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autoCompressPictures="0"/>
  <mc:AlternateContent xmlns:mc="http://schemas.openxmlformats.org/markup-compatibility/2006">
    <mc:Choice Requires="x15">
      <x15ac:absPath xmlns:x15ac="http://schemas.microsoft.com/office/spreadsheetml/2010/11/ac" url="https://currentenergygroup-my.sharepoint.com/personal/aeiden_currentenergy_group/Documents/LGE_KU/Workpapers/Used in testimony/"/>
    </mc:Choice>
  </mc:AlternateContent>
  <xr:revisionPtr revIDLastSave="72" documentId="13_ncr:1_{1CE565CA-09CD-427A-B9EA-BEDFC838EF71}" xr6:coauthVersionLast="47" xr6:coauthVersionMax="47" xr10:uidLastSave="{3F3A9E33-8CA3-4F2A-AB04-4EBC1FD9AA01}"/>
  <bookViews>
    <workbookView xWindow="-110" yWindow="-110" windowWidth="19420" windowHeight="10300" activeTab="1" xr2:uid="{BC4E7ABC-3BE0-4723-AA42-8BD7E571C772}"/>
  </bookViews>
  <sheets>
    <sheet name="Program Summary" sheetId="71" r:id="rId1"/>
    <sheet name="AE charts" sheetId="183" r:id="rId2"/>
    <sheet name="Company Portfolio Summary" sheetId="64" r:id="rId3"/>
    <sheet name="Utility Portfolio Summary" sheetId="113" r:id="rId4"/>
    <sheet name="LGE-KU Budgets" sheetId="114" r:id="rId5"/>
    <sheet name="LI Multifamily - Whole Building" sheetId="148" r:id="rId6"/>
    <sheet name="PDA" sheetId="146" r:id="rId7"/>
    <sheet name="WeCare V2" sheetId="79" r:id="rId8"/>
    <sheet name="Appliance Recycling" sheetId="134" r:id="rId9"/>
    <sheet name="AE analysis - Res Online Audit" sheetId="182" r:id="rId10"/>
    <sheet name="Residential Audit Online" sheetId="135" r:id="rId11"/>
    <sheet name="Small Business - Audit &amp; DI" sheetId="157" r:id="rId12"/>
    <sheet name="AE analysis - Biz rebate" sheetId="181" r:id="rId13"/>
    <sheet name="Business Rebates" sheetId="104" r:id="rId14"/>
    <sheet name="NonRes Midstream Lighting" sheetId="159" r:id="rId15"/>
    <sheet name="Residential Demand Conservation" sheetId="78" r:id="rId16"/>
    <sheet name="Online Marketplace" sheetId="145" r:id="rId17"/>
    <sheet name="BYOT &amp; BYOD" sheetId="132" r:id="rId18"/>
    <sheet name="Residential Managed Charging" sheetId="158" r:id="rId19"/>
    <sheet name="Peak Time Rebate" sheetId="128" r:id="rId20"/>
    <sheet name="Large Nonres Demand Con." sheetId="89" r:id="rId21"/>
    <sheet name="----&gt;Reference Files" sheetId="180" r:id="rId22"/>
    <sheet name="REFERENCE-HomeEnergyPerformance" sheetId="160" r:id="rId23"/>
    <sheet name="Water Reset Reference" sheetId="141" r:id="rId24"/>
    <sheet name="BizRebates_Costs" sheetId="131" r:id="rId25"/>
    <sheet name="LGE_KU_ComReb_Report_Data" sheetId="133" r:id="rId26"/>
    <sheet name="Custom Benchmarking" sheetId="110"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IndirectBenefits__">#REF!</definedName>
    <definedName name="__MeasureInputs__">#REF!</definedName>
    <definedName name="__ProgramInputs__">#REF!</definedName>
    <definedName name="__Version__">#REF!</definedName>
    <definedName name="_10N">#REF!</definedName>
    <definedName name="_10new">#REF!</definedName>
    <definedName name="_10R">#REF!</definedName>
    <definedName name="_11N">#REF!</definedName>
    <definedName name="_11R">#REF!</definedName>
    <definedName name="_11ret">#REF!</definedName>
    <definedName name="_12N">#REF!</definedName>
    <definedName name="_12new">#REF!</definedName>
    <definedName name="_12R">#REF!</definedName>
    <definedName name="_12ret">#REF!</definedName>
    <definedName name="_13N">#REF!</definedName>
    <definedName name="_13new">#REF!</definedName>
    <definedName name="_13R">#REF!</definedName>
    <definedName name="_13ret">#REF!</definedName>
    <definedName name="_14R">#REF!</definedName>
    <definedName name="_14ret">#REF!</definedName>
    <definedName name="_15N">#REF!</definedName>
    <definedName name="_15new">#REF!</definedName>
    <definedName name="_15R">#REF!</definedName>
    <definedName name="_15ret">#REF!</definedName>
    <definedName name="_16R">#REF!</definedName>
    <definedName name="_16ret">#REF!</definedName>
    <definedName name="_17N">#REF!</definedName>
    <definedName name="_17new">#REF!</definedName>
    <definedName name="_17R">#REF!</definedName>
    <definedName name="_17ret">#REF!</definedName>
    <definedName name="_18N">#REF!</definedName>
    <definedName name="_18new">#REF!</definedName>
    <definedName name="_19N">#REF!</definedName>
    <definedName name="_19new">#REF!</definedName>
    <definedName name="_19R">#REF!</definedName>
    <definedName name="_19ret">#REF!</definedName>
    <definedName name="_1N">#REF!</definedName>
    <definedName name="_1new">#REF!</definedName>
    <definedName name="_1R">#REF!</definedName>
    <definedName name="_1ret">#REF!</definedName>
    <definedName name="_20N">#REF!</definedName>
    <definedName name="_20new">#REF!</definedName>
    <definedName name="_20R">#REF!</definedName>
    <definedName name="_20ret">#REF!</definedName>
    <definedName name="_21N">#REF!</definedName>
    <definedName name="_21new">#REF!</definedName>
    <definedName name="_21R">#REF!</definedName>
    <definedName name="_21ret">#REF!</definedName>
    <definedName name="_2N">#REF!</definedName>
    <definedName name="_2new">#REF!</definedName>
    <definedName name="_3">#REF!</definedName>
    <definedName name="_3a">#REF!</definedName>
    <definedName name="_4R">#REF!</definedName>
    <definedName name="_4ret">#REF!</definedName>
    <definedName name="_5N">#REF!</definedName>
    <definedName name="_5new">#REF!</definedName>
    <definedName name="_5R">#REF!</definedName>
    <definedName name="_5ret">#REF!</definedName>
    <definedName name="_6R">#REF!</definedName>
    <definedName name="_7N">#REF!</definedName>
    <definedName name="_7R">#REF!</definedName>
    <definedName name="_8R">#REF!</definedName>
    <definedName name="_9N">#REF!</definedName>
    <definedName name="_9R">#REF!</definedName>
    <definedName name="_xlnm._FilterDatabase" localSheetId="8" hidden="1">'Appliance Recycling'!$A$5:$ER$5</definedName>
    <definedName name="_xlnm._FilterDatabase" localSheetId="13" hidden="1">'Business Rebates'!$A$5:$FL$175</definedName>
    <definedName name="_xlnm._FilterDatabase" localSheetId="17" hidden="1">'BYOT &amp; BYOD'!$B$164:$G$316</definedName>
    <definedName name="_xlnm._FilterDatabase" localSheetId="2" hidden="1">'Company Portfolio Summary'!$B$6:$BK$129</definedName>
    <definedName name="_xlnm._FilterDatabase" localSheetId="20" hidden="1">'Large Nonres Demand Con.'!$A$5:$EL$5</definedName>
    <definedName name="_xlnm._FilterDatabase" localSheetId="5" hidden="1">'LI Multifamily - Whole Building'!$A$5:$ES$5</definedName>
    <definedName name="_xlnm._FilterDatabase" localSheetId="14" hidden="1">'NonRes Midstream Lighting'!$A$5:$ER$5</definedName>
    <definedName name="_xlnm._FilterDatabase" localSheetId="16" hidden="1">'Online Marketplace'!$A$5:$EK$5</definedName>
    <definedName name="_xlnm._FilterDatabase" localSheetId="6" hidden="1">PDA!$A$5:$ER$5</definedName>
    <definedName name="_xlnm._FilterDatabase" localSheetId="0" hidden="1">'Program Summary'!$B$5:$H$21</definedName>
    <definedName name="_xlnm._FilterDatabase" localSheetId="22" hidden="1">'REFERENCE-HomeEnergyPerformance'!$A$5:$ER$148</definedName>
    <definedName name="_xlnm._FilterDatabase" localSheetId="10" hidden="1">'Residential Audit Online'!$A$5:$ER$5</definedName>
    <definedName name="_xlnm._FilterDatabase" localSheetId="15" hidden="1">'Residential Demand Conservation'!$A$5:$D$31</definedName>
    <definedName name="_xlnm._FilterDatabase" localSheetId="18" hidden="1">'Residential Managed Charging'!$A$5:$EK$5</definedName>
    <definedName name="_xlnm._FilterDatabase" localSheetId="3" hidden="1">'Utility Portfolio Summary'!$C$6:$BY$252</definedName>
    <definedName name="_xlnm._FilterDatabase" localSheetId="7" hidden="1">'WeCare V2'!$A$5:$ER$5</definedName>
    <definedName name="_ftn1" localSheetId="26">'Custom Benchmarking'!$B$83</definedName>
    <definedName name="_ftn2" localSheetId="23">'Water Reset Reference'!$O$87</definedName>
    <definedName name="_ftnref1" localSheetId="26">'Custom Benchmarking'!$K$78</definedName>
    <definedName name="_ftnref2" localSheetId="23">'Water Reset Reference'!$S$83</definedName>
    <definedName name="_Key1" localSheetId="13" hidden="1">#REF!</definedName>
    <definedName name="_Key1" localSheetId="4" hidden="1">#REF!</definedName>
    <definedName name="_Key1" localSheetId="22" hidden="1">#REF!</definedName>
    <definedName name="_Key1" localSheetId="3" hidden="1">#REF!</definedName>
    <definedName name="_Key1" hidden="1">#REF!</definedName>
    <definedName name="_Order1" hidden="1">255</definedName>
    <definedName name="_Ref409457430" localSheetId="23">'Water Reset Reference'!$O$77</definedName>
    <definedName name="_Sort" localSheetId="13" hidden="1">#REF!</definedName>
    <definedName name="_Sort" localSheetId="4" hidden="1">#REF!</definedName>
    <definedName name="_Sort" localSheetId="22" hidden="1">#REF!</definedName>
    <definedName name="_Sort" localSheetId="3" hidden="1">#REF!</definedName>
    <definedName name="_Sort" hidden="1">#REF!</definedName>
    <definedName name="_Toc208494236" localSheetId="26">'Custom Benchmarking'!$A$76</definedName>
    <definedName name="_Toc92882575" localSheetId="16">'Online Marketplace'!$B$51</definedName>
    <definedName name="_Toc92882577" localSheetId="16">'Online Marketplace'!$J$48</definedName>
    <definedName name="adminAdder" localSheetId="22">[1]Admin!$C$9</definedName>
    <definedName name="adminAdder">[2]Admin!$C$9</definedName>
    <definedName name="AnnualAdjustment" localSheetId="22">'[3]Assumptions '!$F$5</definedName>
    <definedName name="AnnualAdjustment">#REF!</definedName>
    <definedName name="atest">"a15:c19"</definedName>
    <definedName name="Baseline">[4]ValidationLists!$G$2:$G$4</definedName>
    <definedName name="Capacity_Merged">'[5]EER vs Price - 2005'!$U$18</definedName>
    <definedName name="Category">[4]ValidationLists!$D$2:$D$6</definedName>
    <definedName name="CentralSplitAC">[6]measurecost!#REF!</definedName>
    <definedName name="CentralSplitAC1">[6]measurecost!#REF!</definedName>
    <definedName name="Com_Elec" localSheetId="8">#REF!</definedName>
    <definedName name="Com_Elec" localSheetId="13">#REF!</definedName>
    <definedName name="Com_Elec" localSheetId="2">#REF!</definedName>
    <definedName name="Com_Elec" localSheetId="26">#REF!</definedName>
    <definedName name="Com_Elec" localSheetId="20">#REF!</definedName>
    <definedName name="Com_Elec" localSheetId="4">#REF!</definedName>
    <definedName name="Com_Elec" localSheetId="5">#REF!</definedName>
    <definedName name="Com_Elec" localSheetId="14">#REF!</definedName>
    <definedName name="Com_Elec" localSheetId="16">#REF!</definedName>
    <definedName name="Com_Elec" localSheetId="6">#REF!</definedName>
    <definedName name="Com_Elec" localSheetId="0">#REF!</definedName>
    <definedName name="Com_Elec" localSheetId="22">#REF!</definedName>
    <definedName name="Com_Elec" localSheetId="10">#REF!</definedName>
    <definedName name="Com_Elec" localSheetId="15">#REF!</definedName>
    <definedName name="Com_Elec" localSheetId="18">#REF!</definedName>
    <definedName name="Com_Elec" localSheetId="11">#REF!</definedName>
    <definedName name="Com_Elec" localSheetId="3">#REF!</definedName>
    <definedName name="Com_Elec" localSheetId="7">#REF!</definedName>
    <definedName name="Com_Elec">#REF!</definedName>
    <definedName name="Com_Gas" localSheetId="8">#REF!</definedName>
    <definedName name="Com_Gas" localSheetId="13">#REF!</definedName>
    <definedName name="Com_Gas" localSheetId="2">#REF!</definedName>
    <definedName name="Com_Gas" localSheetId="26">#REF!</definedName>
    <definedName name="Com_Gas" localSheetId="20">#REF!</definedName>
    <definedName name="Com_Gas" localSheetId="4">#REF!</definedName>
    <definedName name="Com_Gas" localSheetId="5">#REF!</definedName>
    <definedName name="Com_Gas" localSheetId="14">#REF!</definedName>
    <definedName name="Com_Gas" localSheetId="16">#REF!</definedName>
    <definedName name="Com_Gas" localSheetId="6">#REF!</definedName>
    <definedName name="Com_Gas" localSheetId="0">#REF!</definedName>
    <definedName name="Com_Gas" localSheetId="22">#REF!</definedName>
    <definedName name="Com_Gas" localSheetId="10">#REF!</definedName>
    <definedName name="Com_Gas" localSheetId="15">#REF!</definedName>
    <definedName name="Com_Gas" localSheetId="18">#REF!</definedName>
    <definedName name="Com_Gas" localSheetId="11">#REF!</definedName>
    <definedName name="Com_Gas" localSheetId="3">#REF!</definedName>
    <definedName name="Com_Gas" localSheetId="7">#REF!</definedName>
    <definedName name="Com_Gas">#REF!</definedName>
    <definedName name="Complete" localSheetId="13">#REF!</definedName>
    <definedName name="Complete" localSheetId="4">#REF!</definedName>
    <definedName name="Complete" localSheetId="22">#REF!</definedName>
    <definedName name="Complete" localSheetId="3">#REF!</definedName>
    <definedName name="Complete">#REF!</definedName>
    <definedName name="ConvertCCF" localSheetId="22">'[3]Assumptions '!$C$16</definedName>
    <definedName name="ConvertCCF">#REF!</definedName>
    <definedName name="CostDataSourceTypes">[4]ValidationLists!$A$2:$A$12</definedName>
    <definedName name="CostkWh" localSheetId="22">'[3]Assumptions '!$B$10</definedName>
    <definedName name="CostkWh">#REF!</definedName>
    <definedName name="discountRate" localSheetId="22">[1]Admin!$C$4</definedName>
    <definedName name="discountRate">[2]Admin!$C$4</definedName>
    <definedName name="earlyretirementfactor">'[7]PProPlus HVAC LookUps_RES'!$C$1</definedName>
    <definedName name="EER_Merged">'[5]EER vs Price - 2005'!$U$19</definedName>
    <definedName name="EndDate" localSheetId="8">#REF!</definedName>
    <definedName name="EndDate" localSheetId="13">#REF!</definedName>
    <definedName name="EndDate" localSheetId="2">#REF!</definedName>
    <definedName name="EndDate" localSheetId="26">#REF!</definedName>
    <definedName name="EndDate" localSheetId="20">#REF!</definedName>
    <definedName name="EndDate" localSheetId="4">#REF!</definedName>
    <definedName name="EndDate" localSheetId="5">#REF!</definedName>
    <definedName name="EndDate" localSheetId="14">#REF!</definedName>
    <definedName name="EndDate" localSheetId="16">#REF!</definedName>
    <definedName name="EndDate" localSheetId="6">#REF!</definedName>
    <definedName name="EndDate" localSheetId="0">#REF!</definedName>
    <definedName name="EndDate" localSheetId="22">#REF!</definedName>
    <definedName name="EndDate" localSheetId="10">#REF!</definedName>
    <definedName name="EndDate" localSheetId="15">#REF!</definedName>
    <definedName name="EndDate" localSheetId="18">#REF!</definedName>
    <definedName name="EndDate" localSheetId="11">#REF!</definedName>
    <definedName name="EndDate" localSheetId="3">#REF!</definedName>
    <definedName name="EndDate" localSheetId="7">#REF!</definedName>
    <definedName name="EndDate">#REF!</definedName>
    <definedName name="ERCost_AdjFactor">[8]Lookups!$X$58</definedName>
    <definedName name="eShares2008">[9]eShares2008!$A$1:$I$42</definedName>
    <definedName name="f" localSheetId="13" hidden="1">#REF!</definedName>
    <definedName name="f" localSheetId="4" hidden="1">#REF!</definedName>
    <definedName name="f" localSheetId="22" hidden="1">#REF!</definedName>
    <definedName name="f" localSheetId="3" hidden="1">#REF!</definedName>
    <definedName name="f" hidden="1">#REF!</definedName>
    <definedName name="HomePerf" localSheetId="8">#REF!</definedName>
    <definedName name="HomePerf" localSheetId="13">#REF!</definedName>
    <definedName name="HomePerf" localSheetId="2">#REF!</definedName>
    <definedName name="HomePerf" localSheetId="26">#REF!</definedName>
    <definedName name="HomePerf" localSheetId="20">#REF!</definedName>
    <definedName name="HomePerf" localSheetId="4">#REF!</definedName>
    <definedName name="HomePerf" localSheetId="5">#REF!</definedName>
    <definedName name="HomePerf" localSheetId="14">#REF!</definedName>
    <definedName name="HomePerf" localSheetId="16">#REF!</definedName>
    <definedName name="HomePerf" localSheetId="6">#REF!</definedName>
    <definedName name="HomePerf" localSheetId="0">#REF!</definedName>
    <definedName name="HomePerf" localSheetId="22">#REF!</definedName>
    <definedName name="HomePerf" localSheetId="10">#REF!</definedName>
    <definedName name="HomePerf" localSheetId="15">#REF!</definedName>
    <definedName name="HomePerf" localSheetId="18">#REF!</definedName>
    <definedName name="HomePerf" localSheetId="11">#REF!</definedName>
    <definedName name="HomePerf" localSheetId="3">#REF!</definedName>
    <definedName name="HomePerf" localSheetId="7">#REF!</definedName>
    <definedName name="HomePerf">#REF!</definedName>
    <definedName name="IAC" localSheetId="8">#REF!</definedName>
    <definedName name="IAC" localSheetId="13">#REF!</definedName>
    <definedName name="IAC" localSheetId="2">#REF!</definedName>
    <definedName name="IAC" localSheetId="26">#REF!</definedName>
    <definedName name="IAC" localSheetId="20">#REF!</definedName>
    <definedName name="IAC" localSheetId="4">#REF!</definedName>
    <definedName name="IAC" localSheetId="5">#REF!</definedName>
    <definedName name="IAC" localSheetId="14">#REF!</definedName>
    <definedName name="IAC" localSheetId="16">#REF!</definedName>
    <definedName name="IAC" localSheetId="6">#REF!</definedName>
    <definedName name="IAC" localSheetId="0">#REF!</definedName>
    <definedName name="IAC" localSheetId="22">#REF!</definedName>
    <definedName name="IAC" localSheetId="10">#REF!</definedName>
    <definedName name="IAC" localSheetId="15">#REF!</definedName>
    <definedName name="IAC" localSheetId="18">#REF!</definedName>
    <definedName name="IAC" localSheetId="11">#REF!</definedName>
    <definedName name="IAC" localSheetId="3">#REF!</definedName>
    <definedName name="IAC" localSheetId="7">#REF!</definedName>
    <definedName name="IAC">#REF!</definedName>
    <definedName name="IndustrialAdder" localSheetId="22">'[3]Commercial Energy Rebates'!$B$272</definedName>
    <definedName name="IndustrialAdder">'Business Rebates'!$B$211</definedName>
    <definedName name="Intercept_Merged">'[5]EER vs Price - 2005'!$U$17</definedName>
    <definedName name="Jurisdiction_State" localSheetId="8">#REF!</definedName>
    <definedName name="Jurisdiction_State" localSheetId="13">#REF!</definedName>
    <definedName name="Jurisdiction_State" localSheetId="2">#REF!</definedName>
    <definedName name="Jurisdiction_State" localSheetId="26">#REF!</definedName>
    <definedName name="Jurisdiction_State" localSheetId="20">#REF!</definedName>
    <definedName name="Jurisdiction_State" localSheetId="4">#REF!</definedName>
    <definedName name="Jurisdiction_State" localSheetId="5">#REF!</definedName>
    <definedName name="Jurisdiction_State" localSheetId="14">#REF!</definedName>
    <definedName name="Jurisdiction_State" localSheetId="16">#REF!</definedName>
    <definedName name="Jurisdiction_State" localSheetId="6">#REF!</definedName>
    <definedName name="Jurisdiction_State" localSheetId="0">#REF!</definedName>
    <definedName name="Jurisdiction_State" localSheetId="22">#REF!</definedName>
    <definedName name="Jurisdiction_State" localSheetId="10">#REF!</definedName>
    <definedName name="Jurisdiction_State" localSheetId="15">#REF!</definedName>
    <definedName name="Jurisdiction_State" localSheetId="18">#REF!</definedName>
    <definedName name="Jurisdiction_State" localSheetId="11">#REF!</definedName>
    <definedName name="Jurisdiction_State" localSheetId="3">#REF!</definedName>
    <definedName name="Jurisdiction_State" localSheetId="7">#REF!</definedName>
    <definedName name="Jurisdiction_State">#REF!</definedName>
    <definedName name="LinkedWorkbooks" localSheetId="22">#REF!</definedName>
    <definedName name="LinkedWorkbooks">#REF!</definedName>
    <definedName name="list_Checkmark">[4]ProData!$AI$6:$AI$6</definedName>
    <definedName name="list_FuelType">[4]ProData!$AA$6:$AA$7</definedName>
    <definedName name="list_MCtabs">[4]ProData!$AK$6:$AK$28</definedName>
    <definedName name="list_OnOff">[4]ProData!$AC$6:$AC$7</definedName>
    <definedName name="list_Sector">[4]ProData!$AE$6:$AE$12</definedName>
    <definedName name="LookupTable" localSheetId="22">#REF!</definedName>
    <definedName name="LookupTable">#REF!</definedName>
    <definedName name="MeasureOutput">'[10]Measure InputOutput'!$A$81:$AL$88</definedName>
    <definedName name="Method">[4]ValidationLists!$C$2:$C$6</definedName>
    <definedName name="OutputRange">'[4]ProCost 7th Plan Inputs'!$G$82</definedName>
    <definedName name="OutShapeSave" localSheetId="22">#REF!</definedName>
    <definedName name="OutShapeSave">#REF!</definedName>
    <definedName name="PC_Main">[11]!PC_Main</definedName>
    <definedName name="Population">'[12]Pop Forecast (Base Case)'!$B$5:$BC$10</definedName>
    <definedName name="primaryFuel" localSheetId="22">[1]Admin!$C$10</definedName>
    <definedName name="primaryFuel">[2]Admin!$C$10</definedName>
    <definedName name="primaryLineLoss" localSheetId="22">[1]Admin!$C$5</definedName>
    <definedName name="primaryLineLoss">[2]Admin!$C$5</definedName>
    <definedName name="Procedure">[4]ValidationLists!$E$2:$E$5</definedName>
    <definedName name="ProData_MeasureType" localSheetId="22">[4]ProData!#REF!</definedName>
    <definedName name="ProData_MeasureType">[4]ProData!#REF!</definedName>
    <definedName name="Program_Year" localSheetId="8">#REF!</definedName>
    <definedName name="Program_Year" localSheetId="13">#REF!</definedName>
    <definedName name="Program_Year" localSheetId="2">#REF!</definedName>
    <definedName name="Program_Year" localSheetId="26">#REF!</definedName>
    <definedName name="Program_Year" localSheetId="20">#REF!</definedName>
    <definedName name="Program_Year" localSheetId="4">#REF!</definedName>
    <definedName name="Program_Year" localSheetId="5">#REF!</definedName>
    <definedName name="Program_Year" localSheetId="14">#REF!</definedName>
    <definedName name="Program_Year" localSheetId="16">#REF!</definedName>
    <definedName name="Program_Year" localSheetId="6">#REF!</definedName>
    <definedName name="Program_Year" localSheetId="0">#REF!</definedName>
    <definedName name="Program_Year" localSheetId="22">#REF!</definedName>
    <definedName name="Program_Year" localSheetId="10">#REF!</definedName>
    <definedName name="Program_Year" localSheetId="15">#REF!</definedName>
    <definedName name="Program_Year" localSheetId="18">#REF!</definedName>
    <definedName name="Program_Year" localSheetId="11">#REF!</definedName>
    <definedName name="Program_Year" localSheetId="3">#REF!</definedName>
    <definedName name="Program_Year" localSheetId="7">#REF!</definedName>
    <definedName name="Program_Year">#REF!</definedName>
    <definedName name="Res_Elec" localSheetId="8">#REF!</definedName>
    <definedName name="Res_Elec" localSheetId="13">#REF!</definedName>
    <definedName name="Res_Elec" localSheetId="2">#REF!</definedName>
    <definedName name="Res_Elec" localSheetId="26">#REF!</definedName>
    <definedName name="Res_Elec" localSheetId="20">#REF!</definedName>
    <definedName name="Res_Elec" localSheetId="4">#REF!</definedName>
    <definedName name="Res_Elec" localSheetId="5">#REF!</definedName>
    <definedName name="Res_Elec" localSheetId="14">#REF!</definedName>
    <definedName name="Res_Elec" localSheetId="16">#REF!</definedName>
    <definedName name="Res_Elec" localSheetId="6">#REF!</definedName>
    <definedName name="Res_Elec" localSheetId="0">#REF!</definedName>
    <definedName name="Res_Elec" localSheetId="22">#REF!</definedName>
    <definedName name="Res_Elec" localSheetId="10">#REF!</definedName>
    <definedName name="Res_Elec" localSheetId="15">#REF!</definedName>
    <definedName name="Res_Elec" localSheetId="18">#REF!</definedName>
    <definedName name="Res_Elec" localSheetId="11">#REF!</definedName>
    <definedName name="Res_Elec" localSheetId="3">#REF!</definedName>
    <definedName name="Res_Elec" localSheetId="7">#REF!</definedName>
    <definedName name="Res_Elec">#REF!</definedName>
    <definedName name="Res_Gas" localSheetId="8">#REF!</definedName>
    <definedName name="Res_Gas" localSheetId="13">#REF!</definedName>
    <definedName name="Res_Gas" localSheetId="2">#REF!</definedName>
    <definedName name="Res_Gas" localSheetId="26">#REF!</definedName>
    <definedName name="Res_Gas" localSheetId="20">#REF!</definedName>
    <definedName name="Res_Gas" localSheetId="4">#REF!</definedName>
    <definedName name="Res_Gas" localSheetId="5">#REF!</definedName>
    <definedName name="Res_Gas" localSheetId="14">#REF!</definedName>
    <definedName name="Res_Gas" localSheetId="16">#REF!</definedName>
    <definedName name="Res_Gas" localSheetId="6">#REF!</definedName>
    <definedName name="Res_Gas" localSheetId="0">#REF!</definedName>
    <definedName name="Res_Gas" localSheetId="22">#REF!</definedName>
    <definedName name="Res_Gas" localSheetId="10">#REF!</definedName>
    <definedName name="Res_Gas" localSheetId="15">#REF!</definedName>
    <definedName name="Res_Gas" localSheetId="18">#REF!</definedName>
    <definedName name="Res_Gas" localSheetId="11">#REF!</definedName>
    <definedName name="Res_Gas" localSheetId="3">#REF!</definedName>
    <definedName name="Res_Gas" localSheetId="7">#REF!</definedName>
    <definedName name="Res_Gas">#REF!</definedName>
    <definedName name="Sector" localSheetId="4">[13]Admin!#REF!</definedName>
    <definedName name="Sector" localSheetId="22">[14]Admin!#REF!</definedName>
    <definedName name="Sector" localSheetId="3">[13]Admin!#REF!</definedName>
    <definedName name="Sector">[13]Admin!#REF!</definedName>
    <definedName name="SECTOR_INPUTS">'[4]ProCost 7th Plan Inputs'!$A$1:$L$75</definedName>
    <definedName name="StartDate" localSheetId="8">#REF!</definedName>
    <definedName name="StartDate" localSheetId="13">#REF!</definedName>
    <definedName name="StartDate" localSheetId="2">#REF!</definedName>
    <definedName name="StartDate" localSheetId="26">#REF!</definedName>
    <definedName name="StartDate" localSheetId="20">#REF!</definedName>
    <definedName name="StartDate" localSheetId="4">#REF!</definedName>
    <definedName name="StartDate" localSheetId="5">#REF!</definedName>
    <definedName name="StartDate" localSheetId="14">#REF!</definedName>
    <definedName name="StartDate" localSheetId="16">#REF!</definedName>
    <definedName name="StartDate" localSheetId="6">#REF!</definedName>
    <definedName name="StartDate" localSheetId="0">#REF!</definedName>
    <definedName name="StartDate" localSheetId="22">#REF!</definedName>
    <definedName name="StartDate" localSheetId="10">#REF!</definedName>
    <definedName name="StartDate" localSheetId="15">#REF!</definedName>
    <definedName name="StartDate" localSheetId="18">#REF!</definedName>
    <definedName name="StartDate" localSheetId="11">#REF!</definedName>
    <definedName name="StartDate" localSheetId="3">#REF!</definedName>
    <definedName name="StartDate" localSheetId="7">#REF!</definedName>
    <definedName name="StartDate">#REF!</definedName>
    <definedName name="TestMeasure">[11]!TestMeasure</definedName>
    <definedName name="VSTOCK">[15]Lookup!$C$4:$D$12</definedName>
    <definedName name="WattClass">'[16]Outdoor Stock'!$T$6:$U$15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76" i="135" l="1"/>
  <c r="F10" i="182"/>
  <c r="F9" i="182"/>
  <c r="F8" i="182"/>
  <c r="C15" i="181"/>
  <c r="C14" i="181"/>
  <c r="C13" i="181"/>
  <c r="N11" i="181"/>
  <c r="M11" i="181"/>
  <c r="L11" i="181"/>
  <c r="K11" i="181"/>
  <c r="J11" i="181"/>
  <c r="I11" i="181"/>
  <c r="F9" i="181"/>
  <c r="I5" i="181" s="1"/>
  <c r="E9" i="181"/>
  <c r="D9" i="181"/>
  <c r="I9" i="181" s="1"/>
  <c r="J9" i="181" s="1"/>
  <c r="K9" i="181" s="1"/>
  <c r="L9" i="181" s="1"/>
  <c r="M9" i="181" s="1"/>
  <c r="N9" i="181" s="1"/>
  <c r="F8" i="181"/>
  <c r="I8" i="181" s="1"/>
  <c r="E8" i="181"/>
  <c r="D8" i="181"/>
  <c r="G8" i="181" s="1"/>
  <c r="H5" i="181"/>
  <c r="H4" i="181"/>
  <c r="H3" i="181"/>
  <c r="AH157" i="64" a="1"/>
  <c r="AH157" i="64" s="1"/>
  <c r="AN165" i="64"/>
  <c r="AM165" i="64"/>
  <c r="AL165" i="64"/>
  <c r="AL164" i="64"/>
  <c r="AL163" i="64"/>
  <c r="AL162" i="64"/>
  <c r="AL161" i="64"/>
  <c r="AK164" i="64"/>
  <c r="AN162" i="64" s="1"/>
  <c r="AJ164" i="64"/>
  <c r="AM164" i="64" s="1"/>
  <c r="AI164" i="64"/>
  <c r="AJ186" i="64"/>
  <c r="I10" i="181" l="1"/>
  <c r="J8" i="181"/>
  <c r="G9" i="181"/>
  <c r="AN164" i="64"/>
  <c r="AM167" i="64"/>
  <c r="AM168" i="64" s="1"/>
  <c r="AN163" i="64"/>
  <c r="AN161" i="64"/>
  <c r="AM161" i="64"/>
  <c r="AM162" i="64"/>
  <c r="AM163" i="64"/>
  <c r="K8" i="181" l="1"/>
  <c r="J10" i="181"/>
  <c r="AJ51" i="135"/>
  <c r="AI51" i="135"/>
  <c r="AH51" i="135"/>
  <c r="AG51" i="135"/>
  <c r="AF51" i="135"/>
  <c r="AE51" i="135"/>
  <c r="R9" i="131"/>
  <c r="D183" i="104"/>
  <c r="D182" i="104"/>
  <c r="D181" i="104"/>
  <c r="C183" i="104"/>
  <c r="C182" i="104"/>
  <c r="C181" i="104"/>
  <c r="R178" i="104"/>
  <c r="K10" i="181" l="1"/>
  <c r="L8" i="181"/>
  <c r="AC87" i="135"/>
  <c r="M158" i="79"/>
  <c r="M157" i="79"/>
  <c r="M155" i="79"/>
  <c r="M154" i="79"/>
  <c r="L10" i="181" l="1"/>
  <c r="M8" i="181"/>
  <c r="CD7" i="104"/>
  <c r="M10" i="181" l="1"/>
  <c r="N8" i="181"/>
  <c r="N10" i="181" s="1"/>
  <c r="L70" i="114"/>
  <c r="B130" i="114"/>
  <c r="B129" i="114"/>
  <c r="B128" i="114"/>
  <c r="B127" i="114"/>
  <c r="B126" i="114"/>
  <c r="B125" i="114"/>
  <c r="B124" i="114"/>
  <c r="B123" i="114"/>
  <c r="B122" i="114"/>
  <c r="B121" i="114"/>
  <c r="B120" i="114"/>
  <c r="B119" i="114"/>
  <c r="B118" i="114"/>
  <c r="B117" i="114"/>
  <c r="B116" i="114"/>
  <c r="B115" i="114"/>
  <c r="B114" i="114"/>
  <c r="B113" i="114"/>
  <c r="B112" i="114"/>
  <c r="B111" i="114"/>
  <c r="B110" i="114"/>
  <c r="B109" i="114"/>
  <c r="B108" i="114"/>
  <c r="B107" i="114"/>
  <c r="B106" i="114"/>
  <c r="B105" i="114"/>
  <c r="B104" i="114"/>
  <c r="B103" i="114"/>
  <c r="B102" i="114"/>
  <c r="B101" i="114"/>
  <c r="B100" i="114"/>
  <c r="B99" i="114"/>
  <c r="B98" i="114"/>
  <c r="B97" i="114"/>
  <c r="B96" i="114"/>
  <c r="B95" i="114"/>
  <c r="B94" i="114"/>
  <c r="B93" i="114"/>
  <c r="B92" i="114"/>
  <c r="B91" i="114"/>
  <c r="B90" i="114"/>
  <c r="B89" i="114"/>
  <c r="B88" i="114"/>
  <c r="B87" i="114"/>
  <c r="B86" i="114"/>
  <c r="B85" i="114"/>
  <c r="B84" i="114"/>
  <c r="B83" i="114"/>
  <c r="B82" i="114"/>
  <c r="B81" i="114"/>
  <c r="B80" i="114"/>
  <c r="B79" i="114"/>
  <c r="B78" i="114"/>
  <c r="B77" i="114"/>
  <c r="B76" i="114"/>
  <c r="B75" i="114"/>
  <c r="B74" i="114"/>
  <c r="B73" i="114"/>
  <c r="B72" i="114"/>
  <c r="B71" i="114"/>
  <c r="B70" i="114"/>
  <c r="B69" i="114"/>
  <c r="B68" i="114"/>
  <c r="B67" i="114"/>
  <c r="B66" i="114"/>
  <c r="B65" i="114"/>
  <c r="B64" i="114"/>
  <c r="B63" i="114"/>
  <c r="B62" i="114"/>
  <c r="B61" i="114"/>
  <c r="L75" i="114" l="1"/>
  <c r="I111" i="135"/>
  <c r="I110" i="135"/>
  <c r="L115" i="114" l="1"/>
  <c r="L110" i="114"/>
  <c r="L100" i="114"/>
  <c r="L95" i="114"/>
  <c r="L90" i="114"/>
  <c r="L85" i="114"/>
  <c r="D148" i="79"/>
  <c r="F149" i="79"/>
  <c r="C149" i="79"/>
  <c r="D149" i="79" s="1"/>
  <c r="H175" i="79"/>
  <c r="H176" i="79"/>
  <c r="E178" i="79"/>
  <c r="E179" i="79"/>
  <c r="E180" i="79"/>
  <c r="E181" i="79"/>
  <c r="C371" i="79"/>
  <c r="C372" i="79"/>
  <c r="C373" i="79"/>
  <c r="C376" i="79"/>
  <c r="C377" i="79" s="1"/>
  <c r="E376" i="79"/>
  <c r="E377" i="79" s="1"/>
  <c r="G376" i="79"/>
  <c r="H376" i="79"/>
  <c r="D377" i="79"/>
  <c r="F377" i="79"/>
  <c r="G377" i="79"/>
  <c r="H377" i="79"/>
  <c r="H379" i="79"/>
  <c r="E382" i="79"/>
  <c r="H380" i="79" s="1"/>
  <c r="E383" i="79"/>
  <c r="E384" i="79"/>
  <c r="E385" i="79"/>
  <c r="L148" i="79"/>
  <c r="M148" i="79"/>
  <c r="N148" i="79"/>
  <c r="J149" i="79"/>
  <c r="J150" i="79" s="1"/>
  <c r="K149" i="79"/>
  <c r="AA132" i="79"/>
  <c r="Z132" i="79"/>
  <c r="AB132" i="79" s="1"/>
  <c r="C121" i="79"/>
  <c r="C111" i="79"/>
  <c r="C110" i="79"/>
  <c r="C106" i="79"/>
  <c r="E121" i="79" s="1"/>
  <c r="Q10" i="79" s="1"/>
  <c r="CD10" i="79" s="1"/>
  <c r="CE10" i="79" s="1"/>
  <c r="CF10" i="79" s="1"/>
  <c r="CG10" i="79" s="1"/>
  <c r="CH10" i="79" s="1"/>
  <c r="CI10" i="79" s="1"/>
  <c r="CJ10" i="79" s="1"/>
  <c r="C95" i="79"/>
  <c r="C107" i="79" s="1"/>
  <c r="C93" i="79"/>
  <c r="C105" i="79" s="1"/>
  <c r="C122" i="79" s="1"/>
  <c r="S13" i="79" s="1"/>
  <c r="J90" i="79"/>
  <c r="G90" i="79"/>
  <c r="I90" i="79" s="1"/>
  <c r="L88" i="79"/>
  <c r="M88" i="79" s="1"/>
  <c r="N88" i="79" s="1"/>
  <c r="O88" i="79" s="1"/>
  <c r="P88" i="79" s="1"/>
  <c r="J88" i="79"/>
  <c r="K88" i="79" s="1"/>
  <c r="G88" i="79"/>
  <c r="I88" i="79" s="1"/>
  <c r="L87" i="79"/>
  <c r="M87" i="79" s="1"/>
  <c r="N87" i="79" s="1"/>
  <c r="O87" i="79" s="1"/>
  <c r="P87" i="79" s="1"/>
  <c r="J87" i="79"/>
  <c r="K87" i="79" s="1"/>
  <c r="G87" i="79"/>
  <c r="I87" i="79" s="1"/>
  <c r="L86" i="79"/>
  <c r="M86" i="79" s="1"/>
  <c r="N86" i="79" s="1"/>
  <c r="O86" i="79" s="1"/>
  <c r="P86" i="79" s="1"/>
  <c r="J86" i="79"/>
  <c r="K86" i="79" s="1"/>
  <c r="I86" i="79"/>
  <c r="G86" i="79"/>
  <c r="C29" i="79"/>
  <c r="C30" i="79" s="1"/>
  <c r="C28" i="79"/>
  <c r="CP13" i="79"/>
  <c r="CQ13" i="79" s="1"/>
  <c r="CN13" i="79"/>
  <c r="CO13" i="79" s="1"/>
  <c r="CK13" i="79"/>
  <c r="CL13" i="79" s="1"/>
  <c r="CM13" i="79" s="1"/>
  <c r="BU13" i="79"/>
  <c r="BV13" i="79" s="1"/>
  <c r="BP13" i="79"/>
  <c r="BQ13" i="79" s="1"/>
  <c r="BR13" i="79" s="1"/>
  <c r="BS13" i="79" s="1"/>
  <c r="BT13" i="79" s="1"/>
  <c r="BI13" i="79"/>
  <c r="BJ13" i="79" s="1"/>
  <c r="BK13" i="79" s="1"/>
  <c r="BL13" i="79" s="1"/>
  <c r="BM13" i="79" s="1"/>
  <c r="BN13" i="79" s="1"/>
  <c r="BO13" i="79" s="1"/>
  <c r="U13" i="79"/>
  <c r="Q13" i="79"/>
  <c r="CD13" i="79" s="1"/>
  <c r="CE13" i="79" s="1"/>
  <c r="CF13" i="79" s="1"/>
  <c r="CG13" i="79" s="1"/>
  <c r="CH13" i="79" s="1"/>
  <c r="CI13" i="79" s="1"/>
  <c r="CJ13" i="79" s="1"/>
  <c r="I13" i="79"/>
  <c r="CR12" i="79"/>
  <c r="CS12" i="79" s="1"/>
  <c r="CT12" i="79" s="1"/>
  <c r="CU12" i="79" s="1"/>
  <c r="CV12" i="79" s="1"/>
  <c r="CW12" i="79" s="1"/>
  <c r="CX12" i="79" s="1"/>
  <c r="CE12" i="79"/>
  <c r="CF12" i="79" s="1"/>
  <c r="CG12" i="79" s="1"/>
  <c r="CH12" i="79" s="1"/>
  <c r="CI12" i="79" s="1"/>
  <c r="CJ12" i="79" s="1"/>
  <c r="CD12" i="79"/>
  <c r="BT12" i="79"/>
  <c r="BU12" i="79" s="1"/>
  <c r="BV12" i="79" s="1"/>
  <c r="BS12" i="79"/>
  <c r="BP12" i="79"/>
  <c r="BQ12" i="79" s="1"/>
  <c r="BR12" i="79" s="1"/>
  <c r="BK12" i="79"/>
  <c r="BL12" i="79" s="1"/>
  <c r="BM12" i="79" s="1"/>
  <c r="BN12" i="79" s="1"/>
  <c r="BO12" i="79" s="1"/>
  <c r="BJ12" i="79"/>
  <c r="BI12" i="79"/>
  <c r="BB12" i="79"/>
  <c r="BE12" i="79" s="1"/>
  <c r="BH12" i="79" s="1"/>
  <c r="AW12" i="79"/>
  <c r="AB12" i="79"/>
  <c r="R12" i="79"/>
  <c r="CK12" i="79" s="1"/>
  <c r="CL12" i="79" s="1"/>
  <c r="CM12" i="79" s="1"/>
  <c r="CN12" i="79" s="1"/>
  <c r="CO12" i="79" s="1"/>
  <c r="CP12" i="79" s="1"/>
  <c r="CQ12" i="79" s="1"/>
  <c r="I12" i="79"/>
  <c r="CR10" i="79"/>
  <c r="CS10" i="79" s="1"/>
  <c r="CT10" i="79" s="1"/>
  <c r="CU10" i="79" s="1"/>
  <c r="CV10" i="79" s="1"/>
  <c r="CW10" i="79" s="1"/>
  <c r="CX10" i="79" s="1"/>
  <c r="CK10" i="79"/>
  <c r="CL10" i="79" s="1"/>
  <c r="CM10" i="79" s="1"/>
  <c r="CN10" i="79" s="1"/>
  <c r="CO10" i="79" s="1"/>
  <c r="CP10" i="79" s="1"/>
  <c r="CQ10" i="79" s="1"/>
  <c r="BQ10" i="79"/>
  <c r="BR10" i="79" s="1"/>
  <c r="BS10" i="79" s="1"/>
  <c r="BT10" i="79" s="1"/>
  <c r="BU10" i="79" s="1"/>
  <c r="BV10" i="79" s="1"/>
  <c r="BP10" i="79"/>
  <c r="BM10" i="79"/>
  <c r="BN10" i="79" s="1"/>
  <c r="BO10" i="79" s="1"/>
  <c r="BK10" i="79"/>
  <c r="BL10" i="79" s="1"/>
  <c r="BI10" i="79"/>
  <c r="BJ10" i="79" s="1"/>
  <c r="U10" i="79"/>
  <c r="I10" i="79"/>
  <c r="K10" i="79" s="1"/>
  <c r="CT9" i="79"/>
  <c r="CU9" i="79" s="1"/>
  <c r="CV9" i="79" s="1"/>
  <c r="CW9" i="79" s="1"/>
  <c r="CX9" i="79" s="1"/>
  <c r="CR9" i="79"/>
  <c r="CS9" i="79" s="1"/>
  <c r="CI9" i="79"/>
  <c r="CJ9" i="79" s="1"/>
  <c r="CH9" i="79"/>
  <c r="CE9" i="79"/>
  <c r="CF9" i="79" s="1"/>
  <c r="CG9" i="79" s="1"/>
  <c r="CD9" i="79"/>
  <c r="BS9" i="79"/>
  <c r="BT9" i="79" s="1"/>
  <c r="BU9" i="79" s="1"/>
  <c r="BV9" i="79" s="1"/>
  <c r="BP9" i="79"/>
  <c r="BQ9" i="79" s="1"/>
  <c r="BR9" i="79" s="1"/>
  <c r="BM9" i="79"/>
  <c r="BN9" i="79" s="1"/>
  <c r="BO9" i="79" s="1"/>
  <c r="BJ9" i="79"/>
  <c r="BK9" i="79" s="1"/>
  <c r="BL9" i="79" s="1"/>
  <c r="BI9" i="79"/>
  <c r="BE9" i="79"/>
  <c r="BH9" i="79" s="1"/>
  <c r="BB9" i="79"/>
  <c r="BC9" i="79" s="1"/>
  <c r="AW9" i="79"/>
  <c r="AB9" i="79"/>
  <c r="R9" i="79"/>
  <c r="CK9" i="79" s="1"/>
  <c r="CL9" i="79" s="1"/>
  <c r="CM9" i="79" s="1"/>
  <c r="CN9" i="79" s="1"/>
  <c r="CO9" i="79" s="1"/>
  <c r="CP9" i="79" s="1"/>
  <c r="CQ9" i="79" s="1"/>
  <c r="I9" i="79"/>
  <c r="CC7" i="79"/>
  <c r="BQ7" i="79"/>
  <c r="BR7" i="79" s="1"/>
  <c r="BS7" i="79" s="1"/>
  <c r="BT7" i="79" s="1"/>
  <c r="BU7" i="79" s="1"/>
  <c r="BV7" i="79" s="1"/>
  <c r="BP7" i="79"/>
  <c r="BI7" i="79"/>
  <c r="BJ7" i="79" s="1"/>
  <c r="BK7" i="79" s="1"/>
  <c r="BL7" i="79" s="1"/>
  <c r="BM7" i="79" s="1"/>
  <c r="BN7" i="79" s="1"/>
  <c r="BO7" i="79" s="1"/>
  <c r="AA7" i="79"/>
  <c r="AA10" i="79" s="1"/>
  <c r="U7" i="79"/>
  <c r="R7" i="79"/>
  <c r="CK7" i="79" s="1"/>
  <c r="CL7" i="79" s="1"/>
  <c r="CM7" i="79" s="1"/>
  <c r="CN7" i="79" s="1"/>
  <c r="CO7" i="79" s="1"/>
  <c r="CP7" i="79" s="1"/>
  <c r="CQ7" i="79" s="1"/>
  <c r="Q7" i="79"/>
  <c r="CD7" i="79" s="1"/>
  <c r="CE7" i="79" s="1"/>
  <c r="CF7" i="79" s="1"/>
  <c r="CG7" i="79" s="1"/>
  <c r="CH7" i="79" s="1"/>
  <c r="CI7" i="79" s="1"/>
  <c r="CJ7" i="79" s="1"/>
  <c r="P7" i="79"/>
  <c r="BZ7" i="79" s="1"/>
  <c r="K7" i="79"/>
  <c r="I7" i="79"/>
  <c r="BB7" i="79" s="1"/>
  <c r="BE7" i="79" s="1"/>
  <c r="BH7" i="79" s="1"/>
  <c r="CR6" i="79"/>
  <c r="CS6" i="79" s="1"/>
  <c r="CT6" i="79" s="1"/>
  <c r="CU6" i="79" s="1"/>
  <c r="CV6" i="79" s="1"/>
  <c r="CW6" i="79" s="1"/>
  <c r="CX6" i="79" s="1"/>
  <c r="CG6" i="79"/>
  <c r="CH6" i="79" s="1"/>
  <c r="CI6" i="79" s="1"/>
  <c r="CJ6" i="79" s="1"/>
  <c r="CF6" i="79"/>
  <c r="CD6" i="79"/>
  <c r="CE6" i="79" s="1"/>
  <c r="BP6" i="79"/>
  <c r="BQ6" i="79" s="1"/>
  <c r="BR6" i="79" s="1"/>
  <c r="BS6" i="79" s="1"/>
  <c r="BT6" i="79" s="1"/>
  <c r="BU6" i="79" s="1"/>
  <c r="BV6" i="79" s="1"/>
  <c r="BI6" i="79"/>
  <c r="BJ6" i="79" s="1"/>
  <c r="BK6" i="79" s="1"/>
  <c r="BL6" i="79" s="1"/>
  <c r="BM6" i="79" s="1"/>
  <c r="BN6" i="79" s="1"/>
  <c r="BO6" i="79" s="1"/>
  <c r="AW6" i="79"/>
  <c r="AB6" i="79"/>
  <c r="AA6" i="79"/>
  <c r="Z6" i="79"/>
  <c r="Y6" i="79"/>
  <c r="X6" i="79"/>
  <c r="W6" i="79"/>
  <c r="S6" i="79"/>
  <c r="R6" i="79"/>
  <c r="CK6" i="79" s="1"/>
  <c r="CL6" i="79" s="1"/>
  <c r="CM6" i="79" s="1"/>
  <c r="CN6" i="79" s="1"/>
  <c r="CO6" i="79" s="1"/>
  <c r="CP6" i="79" s="1"/>
  <c r="CQ6" i="79" s="1"/>
  <c r="P6" i="79"/>
  <c r="BW6" i="79" s="1"/>
  <c r="I6" i="79"/>
  <c r="BB6" i="79" s="1"/>
  <c r="FC1" i="79"/>
  <c r="FB1" i="79"/>
  <c r="FA1" i="79"/>
  <c r="EZ1" i="79"/>
  <c r="EY1" i="79"/>
  <c r="EX1" i="79"/>
  <c r="EW1" i="79"/>
  <c r="EV1" i="79"/>
  <c r="EU1" i="79"/>
  <c r="ET1" i="79"/>
  <c r="ES1" i="79"/>
  <c r="ER1" i="79"/>
  <c r="EQ1" i="79"/>
  <c r="EP1" i="79"/>
  <c r="EO1" i="79"/>
  <c r="EN1" i="79"/>
  <c r="EM1" i="79"/>
  <c r="EL1" i="79"/>
  <c r="EK1" i="79"/>
  <c r="EJ1" i="79"/>
  <c r="EI1" i="79"/>
  <c r="EH1" i="79"/>
  <c r="EG1" i="79"/>
  <c r="EF1" i="79"/>
  <c r="EE1" i="79"/>
  <c r="ED1" i="79"/>
  <c r="EC1" i="79"/>
  <c r="EB1" i="79"/>
  <c r="EA1" i="79"/>
  <c r="DZ1" i="79"/>
  <c r="DY1" i="79"/>
  <c r="DX1" i="79"/>
  <c r="DW1" i="79"/>
  <c r="DV1" i="79"/>
  <c r="DU1" i="79"/>
  <c r="DT1" i="79"/>
  <c r="DS1" i="79"/>
  <c r="DR1" i="79"/>
  <c r="DQ1" i="79"/>
  <c r="DP1" i="79"/>
  <c r="DO1" i="79"/>
  <c r="DN1" i="79"/>
  <c r="DM1" i="79"/>
  <c r="DL1" i="79"/>
  <c r="DK1" i="79"/>
  <c r="DJ1" i="79"/>
  <c r="DI1" i="79"/>
  <c r="DH1" i="79"/>
  <c r="DG1" i="79"/>
  <c r="DF1" i="79"/>
  <c r="DE1" i="79"/>
  <c r="DD1" i="79"/>
  <c r="DC1" i="79"/>
  <c r="DB1" i="79"/>
  <c r="DA1" i="79"/>
  <c r="CZ1" i="79"/>
  <c r="CY1" i="79"/>
  <c r="CX1" i="79"/>
  <c r="CW1" i="79"/>
  <c r="CV1" i="79"/>
  <c r="CU1" i="79"/>
  <c r="CT1" i="79"/>
  <c r="CS1" i="79"/>
  <c r="CR1" i="79"/>
  <c r="CQ1" i="79"/>
  <c r="CP1" i="79"/>
  <c r="CO1" i="79"/>
  <c r="CN1" i="79"/>
  <c r="CM1" i="79"/>
  <c r="CL1" i="79"/>
  <c r="CK1" i="79"/>
  <c r="CJ1" i="79"/>
  <c r="CI1" i="79"/>
  <c r="CH1" i="79"/>
  <c r="CG1" i="79"/>
  <c r="CF1" i="79"/>
  <c r="CE1" i="79"/>
  <c r="CD1" i="79"/>
  <c r="CC1" i="79"/>
  <c r="CB1" i="79"/>
  <c r="CA1" i="79"/>
  <c r="BZ1" i="79"/>
  <c r="BY1" i="79"/>
  <c r="BX1" i="79"/>
  <c r="BW1" i="79"/>
  <c r="BV1" i="79"/>
  <c r="BU1" i="79"/>
  <c r="BT1" i="79"/>
  <c r="BS1" i="79"/>
  <c r="BR1" i="79"/>
  <c r="BQ1" i="79"/>
  <c r="BP1" i="79"/>
  <c r="BO1" i="79"/>
  <c r="BN1" i="79"/>
  <c r="BM1" i="79"/>
  <c r="BL1" i="79"/>
  <c r="BK1" i="79"/>
  <c r="BJ1" i="79"/>
  <c r="BI1" i="79"/>
  <c r="BH1" i="79"/>
  <c r="BG1" i="79"/>
  <c r="BF1" i="79"/>
  <c r="BE1" i="79"/>
  <c r="BD1" i="79"/>
  <c r="BC1" i="79"/>
  <c r="BB1" i="79"/>
  <c r="BA1" i="79"/>
  <c r="AZ1" i="79"/>
  <c r="AY1" i="79"/>
  <c r="AX1" i="79"/>
  <c r="AW1" i="79"/>
  <c r="AV1" i="79"/>
  <c r="AU1" i="79"/>
  <c r="AT1" i="79"/>
  <c r="AS1" i="79"/>
  <c r="AR1" i="79"/>
  <c r="AQ1" i="79"/>
  <c r="AP1" i="79"/>
  <c r="AO1" i="79"/>
  <c r="AN1" i="79"/>
  <c r="AM1" i="79"/>
  <c r="AL1" i="79"/>
  <c r="AK1" i="79"/>
  <c r="AJ1" i="79"/>
  <c r="AI1" i="79"/>
  <c r="AH1" i="79"/>
  <c r="AG1" i="79"/>
  <c r="AF1" i="79"/>
  <c r="AE1" i="79"/>
  <c r="AD1" i="79"/>
  <c r="AC1" i="79"/>
  <c r="AB1" i="79"/>
  <c r="AA1" i="79"/>
  <c r="Z1" i="79"/>
  <c r="Y1" i="79"/>
  <c r="X1" i="79"/>
  <c r="W1" i="79"/>
  <c r="V1" i="79"/>
  <c r="U1" i="79"/>
  <c r="T1" i="79"/>
  <c r="S1" i="79"/>
  <c r="R1" i="79"/>
  <c r="Q1" i="79"/>
  <c r="P1" i="79"/>
  <c r="O1" i="79"/>
  <c r="N1" i="79"/>
  <c r="M1" i="79"/>
  <c r="L1" i="79"/>
  <c r="K1" i="79"/>
  <c r="J1" i="79"/>
  <c r="I1" i="79"/>
  <c r="H1" i="79"/>
  <c r="G1" i="79"/>
  <c r="F1" i="79"/>
  <c r="E1" i="79"/>
  <c r="D1" i="79"/>
  <c r="C1" i="79"/>
  <c r="B1" i="79"/>
  <c r="A1" i="79"/>
  <c r="AB7" i="79" l="1"/>
  <c r="AB13" i="79" s="1"/>
  <c r="AA13" i="79"/>
  <c r="F150" i="79"/>
  <c r="L149" i="79"/>
  <c r="I149" i="79"/>
  <c r="I150" i="79" s="1"/>
  <c r="E150" i="79"/>
  <c r="H149" i="79"/>
  <c r="H150" i="79" s="1"/>
  <c r="G149" i="79"/>
  <c r="K150" i="79"/>
  <c r="S7" i="79"/>
  <c r="CR7" i="79" s="1"/>
  <c r="CS7" i="79" s="1"/>
  <c r="CT7" i="79" s="1"/>
  <c r="CU7" i="79" s="1"/>
  <c r="CV7" i="79" s="1"/>
  <c r="CW7" i="79" s="1"/>
  <c r="CX7" i="79" s="1"/>
  <c r="CR13" i="79"/>
  <c r="CS13" i="79" s="1"/>
  <c r="CT13" i="79" s="1"/>
  <c r="CU13" i="79" s="1"/>
  <c r="CV13" i="79" s="1"/>
  <c r="CW13" i="79" s="1"/>
  <c r="CX13" i="79" s="1"/>
  <c r="BE6" i="79"/>
  <c r="BH6" i="79" s="1"/>
  <c r="BC6" i="79"/>
  <c r="P12" i="79"/>
  <c r="BZ6" i="79"/>
  <c r="BX6" i="79"/>
  <c r="P10" i="79"/>
  <c r="BC12" i="79"/>
  <c r="AC6" i="79"/>
  <c r="BY6" i="79"/>
  <c r="CA6" i="79"/>
  <c r="BC7" i="79"/>
  <c r="CB6" i="79"/>
  <c r="CC6" i="79"/>
  <c r="BW7" i="79"/>
  <c r="K13" i="79"/>
  <c r="BB13" i="79"/>
  <c r="BX7" i="79"/>
  <c r="BY7" i="79"/>
  <c r="CB7" i="79"/>
  <c r="CA7" i="79"/>
  <c r="P9" i="79"/>
  <c r="BF9" i="79"/>
  <c r="BD9" i="79"/>
  <c r="BG9" i="79" s="1"/>
  <c r="BB10" i="79"/>
  <c r="K90" i="79"/>
  <c r="J94" i="79"/>
  <c r="G91" i="79"/>
  <c r="G92" i="79"/>
  <c r="AC7" i="79" l="1"/>
  <c r="AC13" i="79" s="1"/>
  <c r="N149" i="79"/>
  <c r="N150" i="79"/>
  <c r="AB10" i="79"/>
  <c r="G150" i="79"/>
  <c r="M150" i="79" s="1"/>
  <c r="M149" i="79"/>
  <c r="L150" i="79"/>
  <c r="BF6" i="79"/>
  <c r="BD6" i="79"/>
  <c r="BG6" i="79" s="1"/>
  <c r="BC10" i="79"/>
  <c r="BE10" i="79"/>
  <c r="BH10" i="79" s="1"/>
  <c r="BE13" i="79"/>
  <c r="BH13" i="79" s="1"/>
  <c r="BC13" i="79"/>
  <c r="AC12" i="79"/>
  <c r="AC9" i="79"/>
  <c r="AD6" i="79"/>
  <c r="I92" i="79"/>
  <c r="J92" i="79"/>
  <c r="K92" i="79" s="1"/>
  <c r="L92" i="79" s="1"/>
  <c r="M92" i="79" s="1"/>
  <c r="N92" i="79" s="1"/>
  <c r="O92" i="79" s="1"/>
  <c r="P92" i="79" s="1"/>
  <c r="BF12" i="79"/>
  <c r="BD12" i="79"/>
  <c r="BG12" i="79" s="1"/>
  <c r="I91" i="79"/>
  <c r="J91" i="79"/>
  <c r="K91" i="79" s="1"/>
  <c r="L91" i="79" s="1"/>
  <c r="M91" i="79" s="1"/>
  <c r="N91" i="79" s="1"/>
  <c r="O91" i="79" s="1"/>
  <c r="P91" i="79" s="1"/>
  <c r="BY9" i="79"/>
  <c r="BW9" i="79"/>
  <c r="CC9" i="79"/>
  <c r="CA9" i="79"/>
  <c r="CB9" i="79"/>
  <c r="BZ9" i="79"/>
  <c r="BX9" i="79"/>
  <c r="BX10" i="79"/>
  <c r="CC10" i="79"/>
  <c r="CA10" i="79"/>
  <c r="BZ10" i="79"/>
  <c r="BW10" i="79"/>
  <c r="P13" i="79"/>
  <c r="CB10" i="79"/>
  <c r="BY10" i="79"/>
  <c r="BD7" i="79"/>
  <c r="BG7" i="79" s="1"/>
  <c r="BF7" i="79"/>
  <c r="K94" i="79"/>
  <c r="J95" i="79" s="1"/>
  <c r="K95" i="79" s="1"/>
  <c r="L95" i="79" s="1"/>
  <c r="M95" i="79" s="1"/>
  <c r="N95" i="79" s="1"/>
  <c r="O95" i="79" s="1"/>
  <c r="P95" i="79" s="1"/>
  <c r="L90" i="79"/>
  <c r="BY12" i="79"/>
  <c r="CA12" i="79"/>
  <c r="BX12" i="79"/>
  <c r="BW12" i="79"/>
  <c r="CC12" i="79"/>
  <c r="CB12" i="79"/>
  <c r="BZ12" i="79"/>
  <c r="AD7" i="79" l="1"/>
  <c r="DT7" i="79" s="1"/>
  <c r="AC10" i="79"/>
  <c r="L125" i="114"/>
  <c r="L120" i="114"/>
  <c r="L105" i="114"/>
  <c r="L65" i="114"/>
  <c r="L80" i="114"/>
  <c r="M90" i="79"/>
  <c r="L94" i="79"/>
  <c r="BF10" i="79"/>
  <c r="BD10" i="79"/>
  <c r="BG10" i="79" s="1"/>
  <c r="BW13" i="79"/>
  <c r="CC13" i="79"/>
  <c r="CB13" i="79"/>
  <c r="CA13" i="79"/>
  <c r="BZ13" i="79"/>
  <c r="BY13" i="79"/>
  <c r="BX13" i="79"/>
  <c r="AD13" i="79"/>
  <c r="EA7" i="79"/>
  <c r="EH7" i="79"/>
  <c r="DF7" i="79"/>
  <c r="DM7" i="79"/>
  <c r="AD10" i="79"/>
  <c r="EO7" i="79"/>
  <c r="CY7" i="79"/>
  <c r="EA6" i="79"/>
  <c r="DF6" i="79"/>
  <c r="DM6" i="79"/>
  <c r="EH6" i="79"/>
  <c r="EO6" i="79"/>
  <c r="CY6" i="79"/>
  <c r="AD12" i="79"/>
  <c r="AE6" i="79"/>
  <c r="AD9" i="79"/>
  <c r="DT6" i="79"/>
  <c r="DT9" i="79"/>
  <c r="BD13" i="79"/>
  <c r="BG13" i="79" s="1"/>
  <c r="BF13" i="79"/>
  <c r="L130" i="114" l="1"/>
  <c r="EO10" i="79"/>
  <c r="CY10" i="79"/>
  <c r="DM10" i="79"/>
  <c r="EA10" i="79"/>
  <c r="DF10" i="79"/>
  <c r="EH10" i="79"/>
  <c r="EI6" i="79"/>
  <c r="AE9" i="79"/>
  <c r="DN6" i="79"/>
  <c r="EP6" i="79"/>
  <c r="CZ6" i="79"/>
  <c r="AE12" i="79"/>
  <c r="AF6" i="79"/>
  <c r="EB6" i="79"/>
  <c r="DG6" i="79"/>
  <c r="DU6" i="79"/>
  <c r="EA13" i="79"/>
  <c r="EH13" i="79"/>
  <c r="EO13" i="79"/>
  <c r="DM13" i="79"/>
  <c r="CY13" i="79"/>
  <c r="DF13" i="79"/>
  <c r="AE7" i="79"/>
  <c r="DT13" i="79"/>
  <c r="DM12" i="79"/>
  <c r="EA12" i="79"/>
  <c r="CY12" i="79"/>
  <c r="EH12" i="79"/>
  <c r="DF12" i="79"/>
  <c r="EO12" i="79"/>
  <c r="DT10" i="79"/>
  <c r="DT12" i="79"/>
  <c r="M94" i="79"/>
  <c r="N90" i="79"/>
  <c r="DM9" i="79"/>
  <c r="CY9" i="79"/>
  <c r="DF9" i="79"/>
  <c r="EO9" i="79"/>
  <c r="EH9" i="79"/>
  <c r="EA9" i="79"/>
  <c r="CZ12" i="79" l="1"/>
  <c r="EI12" i="79"/>
  <c r="DG12" i="79"/>
  <c r="EP12" i="79"/>
  <c r="EB12" i="79"/>
  <c r="DN12" i="79"/>
  <c r="DU12" i="79"/>
  <c r="EI9" i="79"/>
  <c r="EP9" i="79"/>
  <c r="DN9" i="79"/>
  <c r="CZ9" i="79"/>
  <c r="EB9" i="79"/>
  <c r="DG9" i="79"/>
  <c r="DU9" i="79"/>
  <c r="EB7" i="79"/>
  <c r="CZ7" i="79"/>
  <c r="DG7" i="79"/>
  <c r="EP7" i="79"/>
  <c r="AE10" i="79"/>
  <c r="DN7" i="79"/>
  <c r="AE13" i="79"/>
  <c r="AF7" i="79"/>
  <c r="EI7" i="79"/>
  <c r="DU7" i="79"/>
  <c r="O90" i="79"/>
  <c r="N94" i="79"/>
  <c r="EQ6" i="79"/>
  <c r="AF9" i="79"/>
  <c r="AF12" i="79"/>
  <c r="DA6" i="79"/>
  <c r="AG6" i="79"/>
  <c r="EC6" i="79"/>
  <c r="DH6" i="79"/>
  <c r="EJ6" i="79"/>
  <c r="DO6" i="79"/>
  <c r="DV6" i="79"/>
  <c r="EB10" i="79" l="1"/>
  <c r="DN10" i="79"/>
  <c r="EI10" i="79"/>
  <c r="DG10" i="79"/>
  <c r="EP10" i="79"/>
  <c r="CZ10" i="79"/>
  <c r="DU10" i="79"/>
  <c r="AG12" i="79"/>
  <c r="ED6" i="79"/>
  <c r="ER6" i="79"/>
  <c r="AH6" i="79"/>
  <c r="DB6" i="79"/>
  <c r="DI6" i="79"/>
  <c r="AG9" i="79"/>
  <c r="EK6" i="79"/>
  <c r="DP6" i="79"/>
  <c r="DW6" i="79"/>
  <c r="EC12" i="79"/>
  <c r="EJ12" i="79"/>
  <c r="DH12" i="79"/>
  <c r="EQ12" i="79"/>
  <c r="DO12" i="79"/>
  <c r="DA12" i="79"/>
  <c r="DV12" i="79"/>
  <c r="P90" i="79"/>
  <c r="P94" i="79" s="1"/>
  <c r="O94" i="79"/>
  <c r="EC9" i="79"/>
  <c r="DH9" i="79"/>
  <c r="DO9" i="79"/>
  <c r="EJ9" i="79"/>
  <c r="EQ9" i="79"/>
  <c r="DA9" i="79"/>
  <c r="DV9" i="79"/>
  <c r="EJ7" i="79"/>
  <c r="AG7" i="79"/>
  <c r="EQ7" i="79"/>
  <c r="DO7" i="79"/>
  <c r="AF10" i="79"/>
  <c r="EC7" i="79"/>
  <c r="AF13" i="79"/>
  <c r="DH7" i="79"/>
  <c r="DA7" i="79"/>
  <c r="DV7" i="79"/>
  <c r="EI13" i="79"/>
  <c r="DG13" i="79"/>
  <c r="DN13" i="79"/>
  <c r="EP13" i="79"/>
  <c r="EB13" i="79"/>
  <c r="CZ13" i="79"/>
  <c r="DU13" i="79"/>
  <c r="ER7" i="79" l="1"/>
  <c r="EK7" i="79"/>
  <c r="DI7" i="79"/>
  <c r="DP7" i="79"/>
  <c r="AG13" i="79"/>
  <c r="ED7" i="79"/>
  <c r="AG10" i="79"/>
  <c r="DB7" i="79"/>
  <c r="AH7" i="79"/>
  <c r="DW7" i="79"/>
  <c r="EK9" i="79"/>
  <c r="ER9" i="79"/>
  <c r="ED9" i="79"/>
  <c r="DB9" i="79"/>
  <c r="DP9" i="79"/>
  <c r="DI9" i="79"/>
  <c r="DW9" i="79"/>
  <c r="EQ13" i="79"/>
  <c r="EC13" i="79"/>
  <c r="DA13" i="79"/>
  <c r="DO13" i="79"/>
  <c r="EJ13" i="79"/>
  <c r="DH13" i="79"/>
  <c r="DV13" i="79"/>
  <c r="AH9" i="79"/>
  <c r="DC6" i="79"/>
  <c r="AH12" i="79"/>
  <c r="EL6" i="79"/>
  <c r="DJ6" i="79"/>
  <c r="EE6" i="79"/>
  <c r="DQ6" i="79"/>
  <c r="ES6" i="79"/>
  <c r="AI6" i="79"/>
  <c r="DX6" i="79"/>
  <c r="EJ10" i="79"/>
  <c r="EC10" i="79"/>
  <c r="DA10" i="79"/>
  <c r="DH10" i="79"/>
  <c r="DO10" i="79"/>
  <c r="EQ10" i="79"/>
  <c r="DV10" i="79"/>
  <c r="EK12" i="79"/>
  <c r="ED12" i="79"/>
  <c r="DB12" i="79"/>
  <c r="DI12" i="79"/>
  <c r="ER12" i="79"/>
  <c r="DP12" i="79"/>
  <c r="DW12" i="79"/>
  <c r="DK6" i="79" l="1"/>
  <c r="AI12" i="79"/>
  <c r="ET6" i="79"/>
  <c r="EF6" i="79"/>
  <c r="AI9" i="79"/>
  <c r="DR6" i="79"/>
  <c r="EM6" i="79"/>
  <c r="DD6" i="79"/>
  <c r="AJ6" i="79"/>
  <c r="DY6" i="79"/>
  <c r="ES9" i="79"/>
  <c r="DQ9" i="79"/>
  <c r="EL9" i="79"/>
  <c r="EE9" i="79"/>
  <c r="DJ9" i="79"/>
  <c r="DC9" i="79"/>
  <c r="DX9" i="79"/>
  <c r="ER13" i="79"/>
  <c r="DP13" i="79"/>
  <c r="ED13" i="79"/>
  <c r="DB13" i="79"/>
  <c r="EK13" i="79"/>
  <c r="DI13" i="79"/>
  <c r="DW13" i="79"/>
  <c r="AH13" i="79"/>
  <c r="AI7" i="79"/>
  <c r="AH10" i="79"/>
  <c r="EE7" i="79"/>
  <c r="DC7" i="79"/>
  <c r="DJ7" i="79"/>
  <c r="ES7" i="79"/>
  <c r="EL7" i="79"/>
  <c r="DQ7" i="79"/>
  <c r="DX7" i="79"/>
  <c r="ER10" i="79"/>
  <c r="ED10" i="79"/>
  <c r="DB10" i="79"/>
  <c r="DI10" i="79"/>
  <c r="DP10" i="79"/>
  <c r="EK10" i="79"/>
  <c r="DW10" i="79"/>
  <c r="ES12" i="79"/>
  <c r="DQ12" i="79"/>
  <c r="DJ12" i="79"/>
  <c r="EE12" i="79"/>
  <c r="DC12" i="79"/>
  <c r="EL12" i="79"/>
  <c r="DX12" i="79"/>
  <c r="AI10" i="79" l="1"/>
  <c r="DD7" i="79"/>
  <c r="ET7" i="79"/>
  <c r="DR7" i="79"/>
  <c r="AI13" i="79"/>
  <c r="DK7" i="79"/>
  <c r="EF7" i="79"/>
  <c r="EM7" i="79"/>
  <c r="AJ7" i="79"/>
  <c r="DY7" i="79"/>
  <c r="DS6" i="79"/>
  <c r="EY6" i="79" s="1"/>
  <c r="EG6" i="79"/>
  <c r="FA6" i="79" s="1"/>
  <c r="DL6" i="79"/>
  <c r="EX6" i="79" s="1"/>
  <c r="AJ12" i="79"/>
  <c r="AJ9" i="79"/>
  <c r="EN6" i="79"/>
  <c r="FB6" i="79" s="1"/>
  <c r="DE6" i="79"/>
  <c r="EW6" i="79" s="1"/>
  <c r="EU6" i="79"/>
  <c r="FC6" i="79" s="1"/>
  <c r="DZ6" i="79"/>
  <c r="EZ6" i="79" s="1"/>
  <c r="EV6" i="79"/>
  <c r="EF9" i="79"/>
  <c r="DD9" i="79"/>
  <c r="EM9" i="79"/>
  <c r="DK9" i="79"/>
  <c r="DR9" i="79"/>
  <c r="ET9" i="79"/>
  <c r="DY9" i="79"/>
  <c r="DC13" i="79"/>
  <c r="EE13" i="79"/>
  <c r="EL13" i="79"/>
  <c r="DJ13" i="79"/>
  <c r="ES13" i="79"/>
  <c r="DQ13" i="79"/>
  <c r="DX13" i="79"/>
  <c r="EL10" i="79"/>
  <c r="DJ10" i="79"/>
  <c r="ES10" i="79"/>
  <c r="DQ10" i="79"/>
  <c r="EE10" i="79"/>
  <c r="DC10" i="79"/>
  <c r="DX10" i="79"/>
  <c r="EV9" i="79"/>
  <c r="EM12" i="79"/>
  <c r="DK12" i="79"/>
  <c r="ET12" i="79"/>
  <c r="DR12" i="79"/>
  <c r="EF12" i="79"/>
  <c r="DD12" i="79"/>
  <c r="DY12" i="79"/>
  <c r="DK13" i="79" l="1"/>
  <c r="EF13" i="79"/>
  <c r="DD13" i="79"/>
  <c r="EM13" i="79"/>
  <c r="DR13" i="79"/>
  <c r="ET13" i="79"/>
  <c r="DY13" i="79"/>
  <c r="DE12" i="79"/>
  <c r="EW12" i="79" s="1"/>
  <c r="EG12" i="79"/>
  <c r="FA12" i="79" s="1"/>
  <c r="DL12" i="79"/>
  <c r="EX12" i="79" s="1"/>
  <c r="EU12" i="79"/>
  <c r="FC12" i="79" s="1"/>
  <c r="DS12" i="79"/>
  <c r="EY12" i="79" s="1"/>
  <c r="EN12" i="79"/>
  <c r="FB12" i="79" s="1"/>
  <c r="DZ12" i="79"/>
  <c r="EZ12" i="79" s="1"/>
  <c r="EV12" i="79"/>
  <c r="FF6" i="79"/>
  <c r="FE6" i="79"/>
  <c r="DL7" i="79"/>
  <c r="EX7" i="79" s="1"/>
  <c r="AJ10" i="79"/>
  <c r="AJ13" i="79"/>
  <c r="EV13" i="79" s="1"/>
  <c r="EG7" i="79"/>
  <c r="FA7" i="79" s="1"/>
  <c r="EN7" i="79"/>
  <c r="FB7" i="79" s="1"/>
  <c r="EU7" i="79"/>
  <c r="FC7" i="79" s="1"/>
  <c r="DE7" i="79"/>
  <c r="EW7" i="79" s="1"/>
  <c r="DS7" i="79"/>
  <c r="EY7" i="79" s="1"/>
  <c r="DZ7" i="79"/>
  <c r="EZ7" i="79" s="1"/>
  <c r="EV7" i="79"/>
  <c r="DD10" i="79"/>
  <c r="EF10" i="79"/>
  <c r="EM10" i="79"/>
  <c r="DK10" i="79"/>
  <c r="ET10" i="79"/>
  <c r="DR10" i="79"/>
  <c r="DY10" i="79"/>
  <c r="DE9" i="79"/>
  <c r="EW9" i="79" s="1"/>
  <c r="EG9" i="79"/>
  <c r="FA9" i="79" s="1"/>
  <c r="FJ6" i="79" s="1"/>
  <c r="DL9" i="79"/>
  <c r="EX9" i="79" s="1"/>
  <c r="FG6" i="79" s="1"/>
  <c r="EU9" i="79"/>
  <c r="FC9" i="79" s="1"/>
  <c r="FL6" i="79" s="1"/>
  <c r="DS9" i="79"/>
  <c r="EY9" i="79" s="1"/>
  <c r="FH6" i="79" s="1"/>
  <c r="EN9" i="79"/>
  <c r="FB9" i="79" s="1"/>
  <c r="FK6" i="79" s="1"/>
  <c r="DZ9" i="79"/>
  <c r="EZ9" i="79" s="1"/>
  <c r="FI6" i="79" l="1"/>
  <c r="DS13" i="79"/>
  <c r="EY13" i="79" s="1"/>
  <c r="DE13" i="79"/>
  <c r="EW13" i="79" s="1"/>
  <c r="EN13" i="79"/>
  <c r="FB13" i="79" s="1"/>
  <c r="DL13" i="79"/>
  <c r="EX13" i="79" s="1"/>
  <c r="FG7" i="79" s="1"/>
  <c r="EU13" i="79"/>
  <c r="FC13" i="79" s="1"/>
  <c r="EG13" i="79"/>
  <c r="FA13" i="79" s="1"/>
  <c r="DZ13" i="79"/>
  <c r="EZ13" i="79" s="1"/>
  <c r="DL10" i="79"/>
  <c r="EX10" i="79" s="1"/>
  <c r="DE10" i="79"/>
  <c r="EW10" i="79" s="1"/>
  <c r="FF7" i="79" s="1"/>
  <c r="EU10" i="79"/>
  <c r="FC10" i="79" s="1"/>
  <c r="DS10" i="79"/>
  <c r="EY10" i="79" s="1"/>
  <c r="FH7" i="79" s="1"/>
  <c r="EG10" i="79"/>
  <c r="FA10" i="79" s="1"/>
  <c r="EN10" i="79"/>
  <c r="FB10" i="79" s="1"/>
  <c r="FK7" i="79" s="1"/>
  <c r="DZ10" i="79"/>
  <c r="EZ10" i="79" s="1"/>
  <c r="FI7" i="79" s="1"/>
  <c r="EV10" i="79"/>
  <c r="FE7" i="79" s="1"/>
  <c r="FJ7" i="79" l="1"/>
  <c r="FL7" i="79"/>
  <c r="DG7" i="157"/>
  <c r="ES6" i="157"/>
  <c r="FF7" i="89" l="1"/>
  <c r="FE7" i="89"/>
  <c r="FD7" i="89"/>
  <c r="FC7" i="89"/>
  <c r="FB7" i="89"/>
  <c r="FA7" i="89"/>
  <c r="EZ7" i="89"/>
  <c r="EY7" i="89"/>
  <c r="FF6" i="89"/>
  <c r="FE6" i="89"/>
  <c r="FD6" i="89"/>
  <c r="FC6" i="89"/>
  <c r="FB6" i="89"/>
  <c r="FA6" i="89"/>
  <c r="EZ6" i="89"/>
  <c r="EY6" i="89"/>
  <c r="FC12" i="132"/>
  <c r="EU12" i="132"/>
  <c r="FL8" i="148"/>
  <c r="FL9" i="148"/>
  <c r="FL10" i="148"/>
  <c r="FL11" i="148"/>
  <c r="FE15" i="135"/>
  <c r="FE19" i="135"/>
  <c r="BO27" i="78"/>
  <c r="BN27" i="78"/>
  <c r="BM27" i="78"/>
  <c r="BL27" i="78"/>
  <c r="BK27" i="78"/>
  <c r="BJ27" i="78"/>
  <c r="BI27" i="78"/>
  <c r="BO24" i="78"/>
  <c r="BN24" i="78"/>
  <c r="BM24" i="78"/>
  <c r="BL24" i="78"/>
  <c r="BK24" i="78"/>
  <c r="BJ24" i="78"/>
  <c r="BI24" i="78"/>
  <c r="BO18" i="78"/>
  <c r="BN18" i="78"/>
  <c r="BM18" i="78"/>
  <c r="BL18" i="78"/>
  <c r="BK18" i="78"/>
  <c r="BJ18" i="78"/>
  <c r="BI18" i="78"/>
  <c r="BO15" i="78"/>
  <c r="BN15" i="78"/>
  <c r="BM15" i="78"/>
  <c r="BL15" i="78"/>
  <c r="BK15" i="78"/>
  <c r="BJ15" i="78"/>
  <c r="BI15" i="78"/>
  <c r="DF15" i="78"/>
  <c r="N11" i="132"/>
  <c r="N10" i="132"/>
  <c r="N9" i="132"/>
  <c r="N8" i="132"/>
  <c r="P11" i="148" l="1"/>
  <c r="P18" i="148" s="1"/>
  <c r="P25" i="148" l="1"/>
  <c r="FE11" i="148" l="1"/>
  <c r="BO9" i="78"/>
  <c r="BN9" i="78"/>
  <c r="BM9" i="78"/>
  <c r="BL9" i="78"/>
  <c r="BK9" i="78"/>
  <c r="BJ9" i="78"/>
  <c r="BI9" i="78"/>
  <c r="BO6" i="78"/>
  <c r="BN6" i="78"/>
  <c r="BM6" i="78"/>
  <c r="BL6" i="78"/>
  <c r="BK6" i="78"/>
  <c r="BJ6" i="78"/>
  <c r="BI6" i="78"/>
  <c r="AE91" i="135" l="1"/>
  <c r="AD73" i="135"/>
  <c r="G18" i="135"/>
  <c r="B77" i="113"/>
  <c r="B86" i="113"/>
  <c r="EX13" i="132"/>
  <c r="CK32" i="132"/>
  <c r="CL32" i="132" s="1"/>
  <c r="CM32" i="132" s="1"/>
  <c r="CN32" i="132" s="1"/>
  <c r="CO32" i="132" s="1"/>
  <c r="CP32" i="132" s="1"/>
  <c r="CQ32" i="132" s="1"/>
  <c r="BW32" i="132"/>
  <c r="BC32" i="132"/>
  <c r="BD32" i="132" s="1"/>
  <c r="BE32" i="132" s="1"/>
  <c r="BF32" i="132" s="1"/>
  <c r="BG32" i="132" s="1"/>
  <c r="BH32" i="132" s="1"/>
  <c r="BB32" i="132"/>
  <c r="AU32" i="132"/>
  <c r="AX32" i="132" s="1"/>
  <c r="BA32" i="132" s="1"/>
  <c r="CD32" i="132"/>
  <c r="CE32" i="132" s="1"/>
  <c r="CF32" i="132" s="1"/>
  <c r="CG32" i="132" s="1"/>
  <c r="CH32" i="132" s="1"/>
  <c r="CI32" i="132" s="1"/>
  <c r="CJ32" i="132" s="1"/>
  <c r="I32" i="132"/>
  <c r="B32" i="132"/>
  <c r="CK22" i="132"/>
  <c r="CL22" i="132" s="1"/>
  <c r="CM22" i="132" s="1"/>
  <c r="CN22" i="132" s="1"/>
  <c r="CO22" i="132" s="1"/>
  <c r="CP22" i="132" s="1"/>
  <c r="CQ22" i="132" s="1"/>
  <c r="BW22" i="132"/>
  <c r="BB22" i="132"/>
  <c r="BC22" i="132" s="1"/>
  <c r="BD22" i="132" s="1"/>
  <c r="BE22" i="132" s="1"/>
  <c r="BF22" i="132" s="1"/>
  <c r="BG22" i="132" s="1"/>
  <c r="BH22" i="132" s="1"/>
  <c r="CD22" i="132"/>
  <c r="CE22" i="132" s="1"/>
  <c r="CF22" i="132" s="1"/>
  <c r="CG22" i="132" s="1"/>
  <c r="CH22" i="132" s="1"/>
  <c r="CI22" i="132" s="1"/>
  <c r="CJ22" i="132" s="1"/>
  <c r="EG22" i="132" s="1"/>
  <c r="I22" i="132"/>
  <c r="AU22" i="132" s="1"/>
  <c r="B22" i="132"/>
  <c r="N12" i="132"/>
  <c r="N32" i="132" s="1"/>
  <c r="R45" i="128"/>
  <c r="R48" i="128" s="1"/>
  <c r="N6" i="128" s="1"/>
  <c r="N10" i="128" l="1"/>
  <c r="N8" i="128"/>
  <c r="AV22" i="132"/>
  <c r="AX22" i="132"/>
  <c r="BA22" i="132" s="1"/>
  <c r="AV32" i="132"/>
  <c r="N22" i="132"/>
  <c r="CK12" i="132"/>
  <c r="CL12" i="132" s="1"/>
  <c r="CM12" i="132" s="1"/>
  <c r="CN12" i="132" s="1"/>
  <c r="CO12" i="132" s="1"/>
  <c r="CP12" i="132" s="1"/>
  <c r="CQ12" i="132" s="1"/>
  <c r="BW12" i="132"/>
  <c r="BB12" i="132"/>
  <c r="BC12" i="132" s="1"/>
  <c r="BD12" i="132" s="1"/>
  <c r="BE12" i="132" s="1"/>
  <c r="BF12" i="132" s="1"/>
  <c r="BG12" i="132" s="1"/>
  <c r="BH12" i="132" s="1"/>
  <c r="W12" i="132"/>
  <c r="CD12" i="132"/>
  <c r="CE12" i="132" s="1"/>
  <c r="CF12" i="132" s="1"/>
  <c r="CG12" i="132" s="1"/>
  <c r="CH12" i="132" s="1"/>
  <c r="CI12" i="132" s="1"/>
  <c r="CJ12" i="132" s="1"/>
  <c r="P12" i="132"/>
  <c r="P32" i="132" s="1"/>
  <c r="I12" i="132"/>
  <c r="AU12" i="132" s="1"/>
  <c r="N7" i="132"/>
  <c r="N6" i="132"/>
  <c r="W22" i="132" l="1"/>
  <c r="EA22" i="132" s="1"/>
  <c r="W32" i="132"/>
  <c r="BV32" i="132"/>
  <c r="BS32" i="132"/>
  <c r="BU32" i="132"/>
  <c r="BT32" i="132"/>
  <c r="BR32" i="132"/>
  <c r="BP32" i="132"/>
  <c r="BQ32" i="132"/>
  <c r="AW32" i="132"/>
  <c r="AY32" i="132"/>
  <c r="AY22" i="132"/>
  <c r="AW22" i="132"/>
  <c r="BV12" i="132"/>
  <c r="P22" i="132"/>
  <c r="AX12" i="132"/>
  <c r="BA12" i="132" s="1"/>
  <c r="AV12" i="132"/>
  <c r="CR12" i="132"/>
  <c r="BP12" i="132"/>
  <c r="DM12" i="132" s="1"/>
  <c r="EH12" i="132"/>
  <c r="BI12" i="132"/>
  <c r="DF12" i="132" s="1"/>
  <c r="BQ12" i="132"/>
  <c r="EA12" i="132"/>
  <c r="BR12" i="132"/>
  <c r="DT12" i="132"/>
  <c r="BS12" i="132"/>
  <c r="BT12" i="132"/>
  <c r="X12" i="132"/>
  <c r="X32" i="132" s="1"/>
  <c r="BU12" i="132"/>
  <c r="CY12" i="132"/>
  <c r="H46" i="64"/>
  <c r="AN86" i="113"/>
  <c r="AZ77" i="113"/>
  <c r="AP86" i="113"/>
  <c r="Y77" i="113"/>
  <c r="AF46" i="64"/>
  <c r="AI77" i="113"/>
  <c r="I77" i="113"/>
  <c r="BG86" i="113"/>
  <c r="I46" i="64"/>
  <c r="L46" i="64"/>
  <c r="BQ77" i="113"/>
  <c r="W77" i="113"/>
  <c r="BC46" i="64"/>
  <c r="AH46" i="64"/>
  <c r="E86" i="113"/>
  <c r="BO86" i="113"/>
  <c r="E46" i="64"/>
  <c r="BM86" i="113"/>
  <c r="AL86" i="113"/>
  <c r="X46" i="64"/>
  <c r="N77" i="113"/>
  <c r="J77" i="113"/>
  <c r="BA46" i="64"/>
  <c r="AI86" i="113"/>
  <c r="BK86" i="113"/>
  <c r="BW77" i="113"/>
  <c r="AF86" i="113"/>
  <c r="AC46" i="64"/>
  <c r="V46" i="64"/>
  <c r="AE77" i="113"/>
  <c r="U77" i="113"/>
  <c r="BY86" i="113"/>
  <c r="AY46" i="64"/>
  <c r="R77" i="113"/>
  <c r="AH86" i="113"/>
  <c r="AZ86" i="113"/>
  <c r="BE86" i="113"/>
  <c r="AM77" i="113"/>
  <c r="S46" i="64"/>
  <c r="Q46" i="64"/>
  <c r="AX86" i="113"/>
  <c r="AA77" i="113"/>
  <c r="R86" i="113"/>
  <c r="AX77" i="113"/>
  <c r="AC86" i="113"/>
  <c r="AD46" i="64"/>
  <c r="AE86" i="113"/>
  <c r="BA86" i="113"/>
  <c r="F77" i="113"/>
  <c r="BT77" i="113"/>
  <c r="BM77" i="113"/>
  <c r="BJ86" i="113"/>
  <c r="P86" i="113"/>
  <c r="BQ86" i="113"/>
  <c r="K46" i="64"/>
  <c r="G77" i="113"/>
  <c r="AO46" i="64"/>
  <c r="BI86" i="113"/>
  <c r="T46" i="64"/>
  <c r="AG86" i="113"/>
  <c r="AD86" i="113"/>
  <c r="AK46" i="64"/>
  <c r="BL77" i="113"/>
  <c r="Z46" i="64"/>
  <c r="Y86" i="113"/>
  <c r="K86" i="113"/>
  <c r="Z86" i="113"/>
  <c r="AC77" i="113"/>
  <c r="W46" i="64"/>
  <c r="BS86" i="113"/>
  <c r="AA46" i="64"/>
  <c r="BH77" i="113"/>
  <c r="S86" i="113"/>
  <c r="O77" i="113"/>
  <c r="F86" i="113"/>
  <c r="BS77" i="113"/>
  <c r="BC86" i="113"/>
  <c r="BF86" i="113"/>
  <c r="BE77" i="113"/>
  <c r="AJ46" i="64"/>
  <c r="BL86" i="113"/>
  <c r="H86" i="113"/>
  <c r="M77" i="113"/>
  <c r="M46" i="64"/>
  <c r="H77" i="113"/>
  <c r="AP77" i="113"/>
  <c r="AN46" i="64"/>
  <c r="AL77" i="113"/>
  <c r="BY77" i="113"/>
  <c r="R46" i="64"/>
  <c r="BG77" i="113"/>
  <c r="BC77" i="113"/>
  <c r="AH77" i="113"/>
  <c r="V77" i="113"/>
  <c r="W86" i="113"/>
  <c r="BK77" i="113"/>
  <c r="AB86" i="113"/>
  <c r="BB86" i="113"/>
  <c r="G86" i="113"/>
  <c r="AY77" i="113"/>
  <c r="X86" i="113"/>
  <c r="L77" i="113"/>
  <c r="AZ46" i="64"/>
  <c r="V86" i="113"/>
  <c r="BP86" i="113"/>
  <c r="Q77" i="113"/>
  <c r="AE46" i="64"/>
  <c r="BB46" i="64"/>
  <c r="BV86" i="113"/>
  <c r="BB77" i="113"/>
  <c r="AN77" i="113"/>
  <c r="P46" i="64"/>
  <c r="BF77" i="113"/>
  <c r="AG46" i="64"/>
  <c r="AK77" i="113"/>
  <c r="BV77" i="113"/>
  <c r="AD77" i="113"/>
  <c r="AB77" i="113"/>
  <c r="G46" i="64"/>
  <c r="BN77" i="113"/>
  <c r="X77" i="113"/>
  <c r="P77" i="113"/>
  <c r="AJ86" i="113"/>
  <c r="J86" i="113"/>
  <c r="BJ77" i="113"/>
  <c r="BN86" i="113"/>
  <c r="N86" i="113"/>
  <c r="BP77" i="113"/>
  <c r="O86" i="113"/>
  <c r="J46" i="64"/>
  <c r="E77" i="113"/>
  <c r="AO77" i="113"/>
  <c r="AA86" i="113"/>
  <c r="BT86" i="113"/>
  <c r="AY86" i="113"/>
  <c r="BI77" i="113"/>
  <c r="BD86" i="113"/>
  <c r="AL46" i="64"/>
  <c r="BW86" i="113"/>
  <c r="AX46" i="64"/>
  <c r="I86" i="113"/>
  <c r="AG77" i="113"/>
  <c r="AO86" i="113"/>
  <c r="BD77" i="113"/>
  <c r="AK86" i="113"/>
  <c r="Y46" i="64"/>
  <c r="D46" i="64"/>
  <c r="AF77" i="113"/>
  <c r="Q86" i="113"/>
  <c r="AM86" i="113"/>
  <c r="Z77" i="113"/>
  <c r="S77" i="113"/>
  <c r="BU77" i="113"/>
  <c r="M86" i="113"/>
  <c r="BH86" i="113"/>
  <c r="U86" i="113"/>
  <c r="AJ77" i="113"/>
  <c r="T86" i="113"/>
  <c r="K77" i="113"/>
  <c r="BO77" i="113"/>
  <c r="BA77" i="113"/>
  <c r="T77" i="113"/>
  <c r="BU86" i="113"/>
  <c r="AM46" i="64"/>
  <c r="F46" i="64"/>
  <c r="O46" i="64"/>
  <c r="L86" i="113"/>
  <c r="BR86" i="113" l="1"/>
  <c r="BD46" i="64"/>
  <c r="A77" i="113"/>
  <c r="BR77" i="113"/>
  <c r="A86" i="113"/>
  <c r="DM32" i="132"/>
  <c r="DT22" i="132"/>
  <c r="CY22" i="132"/>
  <c r="BI22" i="132"/>
  <c r="DF22" i="132" s="1"/>
  <c r="CR22" i="132"/>
  <c r="EH22" i="132"/>
  <c r="AZ22" i="132"/>
  <c r="CZ32" i="132"/>
  <c r="DU32" i="132"/>
  <c r="EB32" i="132"/>
  <c r="EI32" i="132"/>
  <c r="CS32" i="132"/>
  <c r="BJ32" i="132"/>
  <c r="DG32" i="132" s="1"/>
  <c r="CR32" i="132"/>
  <c r="CY32" i="132"/>
  <c r="DT32" i="132"/>
  <c r="EH32" i="132"/>
  <c r="EA32" i="132"/>
  <c r="BI32" i="132"/>
  <c r="DF32" i="132" s="1"/>
  <c r="AZ32" i="132"/>
  <c r="DN32" i="132"/>
  <c r="X22" i="132"/>
  <c r="BT22" i="132"/>
  <c r="BS22" i="132"/>
  <c r="BU22" i="132"/>
  <c r="BR22" i="132"/>
  <c r="BQ22" i="132"/>
  <c r="BP22" i="132"/>
  <c r="DM22" i="132" s="1"/>
  <c r="BV22" i="132"/>
  <c r="CZ12" i="132"/>
  <c r="CS12" i="132"/>
  <c r="DU12" i="132"/>
  <c r="EB12" i="132"/>
  <c r="EI12" i="132"/>
  <c r="BJ12" i="132"/>
  <c r="DG12" i="132" s="1"/>
  <c r="AW12" i="132"/>
  <c r="AZ12" i="132" s="1"/>
  <c r="AY12" i="132"/>
  <c r="DN12" i="132"/>
  <c r="DU22" i="132" l="1"/>
  <c r="EB22" i="132"/>
  <c r="EI22" i="132"/>
  <c r="CS22" i="132"/>
  <c r="CZ22" i="132"/>
  <c r="BJ22" i="132"/>
  <c r="DG22" i="132" s="1"/>
  <c r="DN22" i="132"/>
  <c r="N14" i="132" l="1"/>
  <c r="N13" i="132"/>
  <c r="BI9" i="132"/>
  <c r="BJ9" i="132" s="1"/>
  <c r="BK9" i="132" s="1"/>
  <c r="BL9" i="132" s="1"/>
  <c r="BM9" i="132" s="1"/>
  <c r="BN9" i="132" s="1"/>
  <c r="BO9" i="132" s="1"/>
  <c r="BI7" i="132"/>
  <c r="BJ7" i="132" s="1"/>
  <c r="BK7" i="132" s="1"/>
  <c r="BL7" i="132" s="1"/>
  <c r="BM7" i="132" s="1"/>
  <c r="BN7" i="132" s="1"/>
  <c r="BO7" i="132" s="1"/>
  <c r="BI11" i="132"/>
  <c r="BJ11" i="132" s="1"/>
  <c r="BK11" i="132" s="1"/>
  <c r="BL11" i="132" s="1"/>
  <c r="BM11" i="132" s="1"/>
  <c r="BN11" i="132" s="1"/>
  <c r="BO11" i="132" s="1"/>
  <c r="N10" i="158"/>
  <c r="N8" i="158"/>
  <c r="N27" i="78"/>
  <c r="N31" i="78"/>
  <c r="N24" i="78"/>
  <c r="N18" i="78"/>
  <c r="N22" i="78"/>
  <c r="N15" i="78"/>
  <c r="N11" i="78" l="1"/>
  <c r="N10" i="78"/>
  <c r="N8" i="78"/>
  <c r="N7" i="78"/>
  <c r="N16" i="78" l="1"/>
  <c r="N25" i="78"/>
  <c r="N26" i="78"/>
  <c r="N17" i="78"/>
  <c r="N28" i="78"/>
  <c r="N19" i="78"/>
  <c r="N29" i="78"/>
  <c r="N20" i="78"/>
  <c r="P15" i="148"/>
  <c r="P16" i="148"/>
  <c r="P17" i="148"/>
  <c r="S15" i="148"/>
  <c r="S16" i="148"/>
  <c r="S17" i="148"/>
  <c r="N14" i="145"/>
  <c r="Y9" i="145"/>
  <c r="I9" i="145"/>
  <c r="K9" i="145" s="1"/>
  <c r="G9" i="145"/>
  <c r="BG76" i="135" l="1"/>
  <c r="BG75" i="135" s="1"/>
  <c r="G16" i="135"/>
  <c r="G15" i="135"/>
  <c r="G14" i="135"/>
  <c r="P14" i="132" l="1"/>
  <c r="AA6" i="128"/>
  <c r="AU93" i="135" l="1"/>
  <c r="AU92" i="135"/>
  <c r="N77" i="135"/>
  <c r="F95" i="135"/>
  <c r="F70" i="135"/>
  <c r="G72" i="135"/>
  <c r="N85" i="135"/>
  <c r="N86" i="135"/>
  <c r="Q7" i="135" s="1"/>
  <c r="W21" i="89" l="1"/>
  <c r="S17" i="135" l="1"/>
  <c r="S19" i="135"/>
  <c r="S48" i="135"/>
  <c r="S18" i="135" s="1"/>
  <c r="S47" i="135"/>
  <c r="S14" i="135"/>
  <c r="S15" i="135"/>
  <c r="S16" i="135"/>
  <c r="S11" i="148" l="1"/>
  <c r="B142" i="113" l="1"/>
  <c r="B198" i="113"/>
  <c r="L1" i="114" l="1"/>
  <c r="A21" i="114"/>
  <c r="I14" i="135" l="1"/>
  <c r="K14" i="135" s="1"/>
  <c r="K19" i="135"/>
  <c r="I15" i="135"/>
  <c r="K15" i="135" s="1"/>
  <c r="I16" i="135"/>
  <c r="K16" i="135" s="1"/>
  <c r="I17" i="135"/>
  <c r="K17" i="135" s="1"/>
  <c r="I18" i="135"/>
  <c r="K18" i="135" s="1"/>
  <c r="I19" i="135"/>
  <c r="EU10" i="158"/>
  <c r="ET10" i="158"/>
  <c r="EU8" i="158"/>
  <c r="ET8" i="158"/>
  <c r="EU6" i="158"/>
  <c r="ET6" i="158"/>
  <c r="FC6" i="135"/>
  <c r="FB7" i="135"/>
  <c r="FB18" i="135"/>
  <c r="FB6" i="135"/>
  <c r="FA18" i="135"/>
  <c r="FA6" i="135"/>
  <c r="EZ18" i="135"/>
  <c r="EZ6" i="135"/>
  <c r="EY7" i="135"/>
  <c r="EY18" i="135"/>
  <c r="EY6" i="135"/>
  <c r="EX7" i="135"/>
  <c r="EX18" i="135"/>
  <c r="EX6" i="135"/>
  <c r="EV48" i="135"/>
  <c r="EV47" i="135"/>
  <c r="EV37" i="135"/>
  <c r="EV36" i="135"/>
  <c r="EV33" i="135"/>
  <c r="FE18" i="135" s="1"/>
  <c r="EV32" i="135"/>
  <c r="FE17" i="135" s="1"/>
  <c r="EV22" i="135"/>
  <c r="EV21" i="135"/>
  <c r="EV7" i="135"/>
  <c r="EV17" i="135"/>
  <c r="EV18" i="135"/>
  <c r="EV6" i="135"/>
  <c r="BK24" i="64"/>
  <c r="AE58" i="104" l="1"/>
  <c r="AF14" i="159" s="1"/>
  <c r="AF58" i="104" l="1"/>
  <c r="AG14" i="159" s="1"/>
  <c r="BJ10" i="128"/>
  <c r="BK10" i="128" s="1"/>
  <c r="BL10" i="128" s="1"/>
  <c r="BM10" i="128" s="1"/>
  <c r="BN10" i="128" s="1"/>
  <c r="BO10" i="128" s="1"/>
  <c r="BP10" i="128" s="1"/>
  <c r="BJ8" i="128"/>
  <c r="BK8" i="128" s="1"/>
  <c r="BL8" i="128" s="1"/>
  <c r="BM8" i="128" s="1"/>
  <c r="BN8" i="128" s="1"/>
  <c r="BO8" i="128" s="1"/>
  <c r="BP8" i="128" s="1"/>
  <c r="BJ6" i="128"/>
  <c r="BK6" i="128" s="1"/>
  <c r="BL6" i="128" s="1"/>
  <c r="BM6" i="128" s="1"/>
  <c r="BN6" i="128" s="1"/>
  <c r="BO6" i="128" s="1"/>
  <c r="BP6" i="128" s="1"/>
  <c r="AB24" i="158" l="1"/>
  <c r="AB25" i="158"/>
  <c r="BK14" i="132" l="1"/>
  <c r="BK13" i="132"/>
  <c r="BJ14" i="132"/>
  <c r="BJ13" i="132"/>
  <c r="BI14" i="132"/>
  <c r="BI13" i="132"/>
  <c r="AD11" i="148" l="1"/>
  <c r="Z13" i="132"/>
  <c r="BL13" i="132" s="1"/>
  <c r="AB7" i="145" l="1"/>
  <c r="AC7" i="145" s="1"/>
  <c r="W21" i="145"/>
  <c r="W7" i="145" s="1"/>
  <c r="P34" i="132"/>
  <c r="P31" i="132"/>
  <c r="P29" i="132"/>
  <c r="P27" i="132"/>
  <c r="P24" i="132"/>
  <c r="P21" i="132"/>
  <c r="P19" i="132"/>
  <c r="P17" i="132"/>
  <c r="N34" i="132"/>
  <c r="N33" i="132"/>
  <c r="N31" i="132"/>
  <c r="BI31" i="132" s="1"/>
  <c r="BJ31" i="132" s="1"/>
  <c r="BK31" i="132" s="1"/>
  <c r="BL31" i="132" s="1"/>
  <c r="BM31" i="132" s="1"/>
  <c r="BN31" i="132" s="1"/>
  <c r="BO31" i="132" s="1"/>
  <c r="N30" i="132"/>
  <c r="N29" i="132"/>
  <c r="BI29" i="132" s="1"/>
  <c r="BJ29" i="132" s="1"/>
  <c r="BK29" i="132" s="1"/>
  <c r="BL29" i="132" s="1"/>
  <c r="BM29" i="132" s="1"/>
  <c r="BN29" i="132" s="1"/>
  <c r="BO29" i="132" s="1"/>
  <c r="N28" i="132"/>
  <c r="N27" i="132"/>
  <c r="BI27" i="132" s="1"/>
  <c r="BJ27" i="132" s="1"/>
  <c r="BK27" i="132" s="1"/>
  <c r="BL27" i="132" s="1"/>
  <c r="BM27" i="132" s="1"/>
  <c r="BN27" i="132" s="1"/>
  <c r="BO27" i="132" s="1"/>
  <c r="N26" i="132"/>
  <c r="N24" i="132"/>
  <c r="N23" i="132"/>
  <c r="N21" i="132"/>
  <c r="BI21" i="132" s="1"/>
  <c r="BJ21" i="132" s="1"/>
  <c r="BK21" i="132" s="1"/>
  <c r="BL21" i="132" s="1"/>
  <c r="BM21" i="132" s="1"/>
  <c r="BN21" i="132" s="1"/>
  <c r="BO21" i="132" s="1"/>
  <c r="N20" i="132"/>
  <c r="N19" i="132"/>
  <c r="BI19" i="132" s="1"/>
  <c r="BJ19" i="132" s="1"/>
  <c r="BK19" i="132" s="1"/>
  <c r="BL19" i="132" s="1"/>
  <c r="BM19" i="132" s="1"/>
  <c r="BN19" i="132" s="1"/>
  <c r="BO19" i="132" s="1"/>
  <c r="N18" i="132"/>
  <c r="N17" i="132"/>
  <c r="BI17" i="132" s="1"/>
  <c r="BJ17" i="132" s="1"/>
  <c r="BK17" i="132" s="1"/>
  <c r="BL17" i="132" s="1"/>
  <c r="BM17" i="132" s="1"/>
  <c r="BN17" i="132" s="1"/>
  <c r="BO17" i="132" s="1"/>
  <c r="N16" i="132"/>
  <c r="AC25" i="89"/>
  <c r="Z25" i="89" l="1"/>
  <c r="Y25" i="89"/>
  <c r="AA25" i="89"/>
  <c r="AA26" i="89" s="1"/>
  <c r="X25" i="89"/>
  <c r="AB25" i="89"/>
  <c r="X7" i="145"/>
  <c r="W10" i="132"/>
  <c r="BI10" i="132" s="1"/>
  <c r="BJ34" i="132"/>
  <c r="BI34" i="132"/>
  <c r="BJ24" i="132"/>
  <c r="BI24" i="132"/>
  <c r="BJ23" i="132"/>
  <c r="BI23" i="132"/>
  <c r="BJ33" i="132"/>
  <c r="BI33" i="132"/>
  <c r="W25" i="89"/>
  <c r="AB26" i="89" l="1"/>
  <c r="X26" i="89"/>
  <c r="X10" i="132"/>
  <c r="AC26" i="89"/>
  <c r="Z26" i="89"/>
  <c r="Y26" i="89"/>
  <c r="BJ10" i="132" l="1"/>
  <c r="W12" i="89"/>
  <c r="W9" i="89" l="1"/>
  <c r="AJ7" i="135"/>
  <c r="AJ6" i="135"/>
  <c r="AI7" i="135"/>
  <c r="AI6" i="135"/>
  <c r="AF6" i="135"/>
  <c r="AG6" i="135" s="1"/>
  <c r="AH6" i="135" s="1"/>
  <c r="AF7" i="135"/>
  <c r="AE58" i="135"/>
  <c r="AD7" i="135"/>
  <c r="AE7" i="135"/>
  <c r="Y8" i="128"/>
  <c r="Z8" i="128"/>
  <c r="AA8" i="128"/>
  <c r="AB8" i="128"/>
  <c r="Y10" i="128"/>
  <c r="Z10" i="128"/>
  <c r="AA10" i="128"/>
  <c r="AB10" i="128"/>
  <c r="AG7" i="135" l="1"/>
  <c r="AD6" i="134" l="1"/>
  <c r="N13" i="89" l="1"/>
  <c r="N9" i="89" l="1"/>
  <c r="N12" i="89"/>
  <c r="N10" i="89"/>
  <c r="AE59" i="71"/>
  <c r="AF59" i="71"/>
  <c r="AG59" i="71"/>
  <c r="AH59" i="71"/>
  <c r="AI59" i="71"/>
  <c r="AJ59" i="71"/>
  <c r="AK59" i="71"/>
  <c r="AL59" i="71"/>
  <c r="AM59" i="71"/>
  <c r="AN59" i="71"/>
  <c r="AO59" i="71"/>
  <c r="AP59" i="71"/>
  <c r="AQ59" i="71"/>
  <c r="AR59" i="71"/>
  <c r="AS59" i="71"/>
  <c r="AT59" i="71"/>
  <c r="AU59" i="71"/>
  <c r="AV59" i="71"/>
  <c r="AW59" i="71"/>
  <c r="AX59" i="71"/>
  <c r="AD59" i="71"/>
  <c r="AR39" i="71"/>
  <c r="AS39" i="71"/>
  <c r="AT39" i="71"/>
  <c r="AU39" i="71"/>
  <c r="AV39" i="71"/>
  <c r="AW39" i="71"/>
  <c r="AX39" i="71"/>
  <c r="AE39" i="71"/>
  <c r="AF39" i="71"/>
  <c r="AG39" i="71"/>
  <c r="AH39" i="71"/>
  <c r="AI39" i="71"/>
  <c r="AJ39" i="71"/>
  <c r="AK39" i="71"/>
  <c r="AL39" i="71"/>
  <c r="AM39" i="71"/>
  <c r="AN39" i="71"/>
  <c r="AO39" i="71"/>
  <c r="AP39" i="71"/>
  <c r="AQ39" i="71"/>
  <c r="AD39" i="71"/>
  <c r="J59" i="71"/>
  <c r="K59" i="71"/>
  <c r="L59" i="71"/>
  <c r="M59" i="71"/>
  <c r="N59" i="71"/>
  <c r="O59" i="71"/>
  <c r="I59" i="71"/>
  <c r="I39" i="71"/>
  <c r="A59" i="71"/>
  <c r="A58" i="71"/>
  <c r="A57" i="71"/>
  <c r="A56" i="71"/>
  <c r="A55" i="71"/>
  <c r="A54" i="71"/>
  <c r="A53" i="71"/>
  <c r="A52" i="71"/>
  <c r="A51" i="71"/>
  <c r="A50" i="71"/>
  <c r="A49" i="71"/>
  <c r="A48" i="71"/>
  <c r="A47" i="71"/>
  <c r="A46" i="71"/>
  <c r="A39" i="71"/>
  <c r="A38" i="71"/>
  <c r="A37" i="71"/>
  <c r="A36" i="71"/>
  <c r="A35" i="71"/>
  <c r="A34" i="71"/>
  <c r="A33" i="71"/>
  <c r="A32" i="71"/>
  <c r="A31" i="71"/>
  <c r="A30" i="71"/>
  <c r="A29" i="71"/>
  <c r="A28" i="71"/>
  <c r="A27" i="71"/>
  <c r="A26" i="71"/>
  <c r="J39" i="71"/>
  <c r="K39" i="71"/>
  <c r="L39" i="71"/>
  <c r="M39" i="71"/>
  <c r="N39" i="71"/>
  <c r="O39" i="71"/>
  <c r="AE19" i="71"/>
  <c r="AF19" i="71"/>
  <c r="AG19" i="71"/>
  <c r="AH19" i="71"/>
  <c r="AI19" i="71"/>
  <c r="AJ19" i="71"/>
  <c r="AK19" i="71"/>
  <c r="AL19" i="71"/>
  <c r="AM19" i="71"/>
  <c r="AN19" i="71"/>
  <c r="AO19" i="71"/>
  <c r="AP19" i="71"/>
  <c r="AQ19" i="71"/>
  <c r="AR19" i="71"/>
  <c r="AS19" i="71"/>
  <c r="AT19" i="71"/>
  <c r="AU19" i="71"/>
  <c r="AV19" i="71"/>
  <c r="AW19" i="71"/>
  <c r="AX19" i="71"/>
  <c r="AD19" i="71"/>
  <c r="I19" i="71"/>
  <c r="J19" i="71"/>
  <c r="K19" i="71"/>
  <c r="L19" i="71"/>
  <c r="M19" i="71"/>
  <c r="N19" i="71"/>
  <c r="O19" i="71"/>
  <c r="A12" i="71"/>
  <c r="A13" i="71"/>
  <c r="A14" i="71"/>
  <c r="A15" i="71"/>
  <c r="A16" i="71"/>
  <c r="A17" i="71"/>
  <c r="A18" i="71"/>
  <c r="A19" i="71"/>
  <c r="F118" i="64"/>
  <c r="D14" i="64"/>
  <c r="D25" i="64"/>
  <c r="D117" i="64"/>
  <c r="D15" i="64"/>
  <c r="D19" i="64"/>
  <c r="D7" i="64"/>
  <c r="D10" i="64"/>
  <c r="D24" i="64"/>
  <c r="D12" i="64"/>
  <c r="D18" i="64"/>
  <c r="D118" i="64"/>
  <c r="D11" i="64"/>
  <c r="D13" i="64"/>
  <c r="E118" i="64"/>
  <c r="D119" i="64"/>
  <c r="D17" i="64"/>
  <c r="D16" i="64"/>
  <c r="AC6" i="89" l="1"/>
  <c r="X6" i="89" s="1"/>
  <c r="N6" i="89"/>
  <c r="N7" i="89"/>
  <c r="C39" i="71"/>
  <c r="H39" i="71"/>
  <c r="H19" i="71"/>
  <c r="F39" i="71"/>
  <c r="C19" i="71"/>
  <c r="H59" i="71"/>
  <c r="F19" i="71"/>
  <c r="G19" i="71"/>
  <c r="C59" i="71"/>
  <c r="AC9" i="89" l="1"/>
  <c r="AC12" i="89"/>
  <c r="Y6" i="89"/>
  <c r="G6" i="89"/>
  <c r="X9" i="89"/>
  <c r="X12" i="89"/>
  <c r="X13" i="89"/>
  <c r="X10" i="89"/>
  <c r="Y10" i="89"/>
  <c r="Y13" i="89"/>
  <c r="Z10" i="89"/>
  <c r="Z13" i="89"/>
  <c r="AD7" i="89"/>
  <c r="EP7" i="89" s="1"/>
  <c r="AC10" i="89"/>
  <c r="AC13" i="89"/>
  <c r="AB13" i="89"/>
  <c r="AB10" i="89"/>
  <c r="AA13" i="89"/>
  <c r="AA10" i="89"/>
  <c r="AD6" i="89"/>
  <c r="G59" i="71"/>
  <c r="G39" i="71"/>
  <c r="F59" i="71"/>
  <c r="FC10" i="146"/>
  <c r="FC8" i="146"/>
  <c r="FC6" i="146"/>
  <c r="FB10" i="146"/>
  <c r="FB8" i="146"/>
  <c r="FB6" i="146"/>
  <c r="FA10" i="146"/>
  <c r="FA8" i="146"/>
  <c r="FA6" i="146"/>
  <c r="EZ10" i="146"/>
  <c r="EZ8" i="146"/>
  <c r="EZ6" i="146"/>
  <c r="EY10" i="146"/>
  <c r="EY8" i="146"/>
  <c r="EY6" i="146"/>
  <c r="EX10" i="146"/>
  <c r="EX8" i="146"/>
  <c r="EX6" i="146"/>
  <c r="EW6" i="146"/>
  <c r="EV6" i="146"/>
  <c r="CR10" i="146"/>
  <c r="CR8" i="146"/>
  <c r="CR6" i="146"/>
  <c r="CK10" i="146"/>
  <c r="CK8" i="146"/>
  <c r="CK6" i="146"/>
  <c r="CD10" i="146"/>
  <c r="CD8" i="146"/>
  <c r="CD6" i="146"/>
  <c r="BP6" i="146"/>
  <c r="BP8" i="146"/>
  <c r="BI6" i="146"/>
  <c r="BI10" i="146"/>
  <c r="BI8" i="146"/>
  <c r="Z7" i="64"/>
  <c r="AM7" i="64"/>
  <c r="AG7" i="64"/>
  <c r="AL7" i="64"/>
  <c r="AS7" i="64"/>
  <c r="S7" i="64"/>
  <c r="AF7" i="64"/>
  <c r="AH7" i="64"/>
  <c r="AD7" i="64"/>
  <c r="AU7" i="64"/>
  <c r="T7" i="64"/>
  <c r="BJ7" i="64"/>
  <c r="BF7" i="64"/>
  <c r="AC7" i="64"/>
  <c r="AR7" i="64"/>
  <c r="F15" i="64"/>
  <c r="BG7" i="64"/>
  <c r="N7" i="64"/>
  <c r="P7" i="64"/>
  <c r="BE7" i="64"/>
  <c r="AT7" i="64"/>
  <c r="AJ7" i="64"/>
  <c r="BB7" i="64"/>
  <c r="BC7" i="64"/>
  <c r="W7" i="64"/>
  <c r="E15" i="64"/>
  <c r="AY7" i="64"/>
  <c r="AW7" i="64"/>
  <c r="BH7" i="64"/>
  <c r="R7" i="64"/>
  <c r="Q7" i="64"/>
  <c r="U7" i="64"/>
  <c r="AI7" i="64"/>
  <c r="AP7" i="64"/>
  <c r="AV7" i="64"/>
  <c r="BK7" i="64"/>
  <c r="AE7" i="64"/>
  <c r="AB7" i="64"/>
  <c r="BA7" i="64"/>
  <c r="BI7" i="64"/>
  <c r="X7" i="64"/>
  <c r="AX7" i="64"/>
  <c r="Y7" i="64"/>
  <c r="AZ7" i="64"/>
  <c r="AA7" i="64"/>
  <c r="G15" i="64"/>
  <c r="AQ7" i="64"/>
  <c r="AN7" i="64"/>
  <c r="O7" i="64"/>
  <c r="V7" i="64"/>
  <c r="AO7" i="64"/>
  <c r="AK7" i="64"/>
  <c r="AD12" i="89" l="1"/>
  <c r="AD9" i="89"/>
  <c r="AD10" i="89"/>
  <c r="AD13" i="89"/>
  <c r="X10" i="128"/>
  <c r="Y9" i="89" l="1"/>
  <c r="Y12" i="89"/>
  <c r="Z6" i="89"/>
  <c r="Z12" i="89" l="1"/>
  <c r="Z9" i="89"/>
  <c r="AA6" i="89"/>
  <c r="X8" i="128"/>
  <c r="AA12" i="89" l="1"/>
  <c r="AA9" i="89"/>
  <c r="AB6" i="89"/>
  <c r="AB33" i="104"/>
  <c r="AC33" i="104" s="1"/>
  <c r="EP6" i="89" l="1"/>
  <c r="AB12" i="89"/>
  <c r="AB9" i="89"/>
  <c r="R1" i="114" l="1"/>
  <c r="Q1" i="114"/>
  <c r="P1" i="114"/>
  <c r="O1" i="114"/>
  <c r="N1" i="114"/>
  <c r="M1" i="114"/>
  <c r="BD1" i="113"/>
  <c r="BC1" i="113"/>
  <c r="BB1" i="113"/>
  <c r="BA1" i="113"/>
  <c r="AZ1" i="113"/>
  <c r="AY1" i="113"/>
  <c r="AX1" i="113"/>
  <c r="AW1" i="113"/>
  <c r="AV1" i="113"/>
  <c r="AU1" i="113"/>
  <c r="AT1" i="113"/>
  <c r="AS1" i="113"/>
  <c r="AR1" i="113"/>
  <c r="AQ1" i="113"/>
  <c r="AP1" i="113"/>
  <c r="AO1" i="113"/>
  <c r="AN1" i="113"/>
  <c r="AM1" i="113"/>
  <c r="AL1" i="113"/>
  <c r="AK1" i="113"/>
  <c r="AJ1" i="113"/>
  <c r="AI1" i="113"/>
  <c r="AH1" i="113"/>
  <c r="AG1" i="113"/>
  <c r="AF1" i="113"/>
  <c r="AE1" i="113"/>
  <c r="AD1" i="113"/>
  <c r="AC1" i="113"/>
  <c r="AB1" i="113"/>
  <c r="AA1" i="113"/>
  <c r="Z1" i="113"/>
  <c r="Y1" i="113"/>
  <c r="X1" i="113"/>
  <c r="W1" i="113"/>
  <c r="V1" i="113"/>
  <c r="U1" i="113"/>
  <c r="T1" i="113"/>
  <c r="S1" i="113"/>
  <c r="R1" i="113"/>
  <c r="Q1" i="113"/>
  <c r="P1" i="113"/>
  <c r="O1" i="113"/>
  <c r="P13" i="132"/>
  <c r="P10" i="132"/>
  <c r="P8" i="132"/>
  <c r="P6" i="132"/>
  <c r="P6" i="158"/>
  <c r="AC6" i="158"/>
  <c r="P33" i="132" l="1"/>
  <c r="P23" i="132"/>
  <c r="P26" i="132"/>
  <c r="P16" i="132"/>
  <c r="P28" i="132"/>
  <c r="P18" i="132"/>
  <c r="P30" i="132"/>
  <c r="P20" i="132"/>
  <c r="AB6" i="158"/>
  <c r="X6" i="158"/>
  <c r="AA6" i="158"/>
  <c r="Z6" i="158"/>
  <c r="Y6" i="158"/>
  <c r="W6" i="158"/>
  <c r="AL1" i="148"/>
  <c r="BW11" i="148"/>
  <c r="B10" i="158"/>
  <c r="B8" i="158"/>
  <c r="B230" i="113"/>
  <c r="B228" i="113"/>
  <c r="AN13" i="157"/>
  <c r="AN20" i="157" s="1"/>
  <c r="AN14" i="157"/>
  <c r="AN15" i="157"/>
  <c r="AN16" i="157"/>
  <c r="AN17" i="157"/>
  <c r="AN18" i="157"/>
  <c r="AN25" i="157"/>
  <c r="AN24" i="157"/>
  <c r="AN22" i="157"/>
  <c r="B26" i="132"/>
  <c r="B27" i="132"/>
  <c r="B28" i="132"/>
  <c r="B29" i="132"/>
  <c r="B30" i="132"/>
  <c r="B31" i="132"/>
  <c r="B33" i="132"/>
  <c r="B34" i="132"/>
  <c r="B16" i="132"/>
  <c r="B17" i="132"/>
  <c r="B18" i="132"/>
  <c r="B19" i="132"/>
  <c r="B20" i="132"/>
  <c r="B21" i="132"/>
  <c r="B23" i="132"/>
  <c r="B24" i="132"/>
  <c r="L21" i="135"/>
  <c r="B36" i="135"/>
  <c r="B37" i="135"/>
  <c r="B21" i="135"/>
  <c r="B22" i="135"/>
  <c r="S25" i="148"/>
  <c r="S18" i="148"/>
  <c r="CR11" i="148"/>
  <c r="B24" i="113"/>
  <c r="B18" i="113"/>
  <c r="B9" i="113"/>
  <c r="B10" i="113"/>
  <c r="B8" i="113"/>
  <c r="G118" i="64"/>
  <c r="BM6" i="158" l="1"/>
  <c r="BL6" i="158"/>
  <c r="BK6" i="158"/>
  <c r="BI6" i="158"/>
  <c r="BJ6" i="158"/>
  <c r="BN6" i="158"/>
  <c r="BO6" i="158"/>
  <c r="EO6" i="89"/>
  <c r="DF6" i="89"/>
  <c r="DT6" i="89" l="1"/>
  <c r="AV44" i="135" l="1"/>
  <c r="AW44" i="135"/>
  <c r="AV45" i="135"/>
  <c r="AW45" i="135"/>
  <c r="AV46" i="135"/>
  <c r="AW46" i="135"/>
  <c r="AV48" i="135"/>
  <c r="AW48" i="135"/>
  <c r="AV49" i="135"/>
  <c r="AW49" i="135"/>
  <c r="AV23" i="135"/>
  <c r="AV38" i="135" s="1"/>
  <c r="AW23" i="135"/>
  <c r="AW38" i="135" s="1"/>
  <c r="AV24" i="135"/>
  <c r="AV39" i="135" s="1"/>
  <c r="AW24" i="135"/>
  <c r="AW39" i="135" s="1"/>
  <c r="AV25" i="135"/>
  <c r="AV40" i="135" s="1"/>
  <c r="AW25" i="135"/>
  <c r="AW40" i="135" s="1"/>
  <c r="AV26" i="135"/>
  <c r="AV41" i="135" s="1"/>
  <c r="AW26" i="135"/>
  <c r="AW41" i="135" s="1"/>
  <c r="AV27" i="135"/>
  <c r="AV42" i="135" s="1"/>
  <c r="AW27" i="135"/>
  <c r="AW42" i="135" s="1"/>
  <c r="AV28" i="135"/>
  <c r="AV43" i="135" s="1"/>
  <c r="AW28" i="135"/>
  <c r="AW43" i="135" s="1"/>
  <c r="AV29" i="135"/>
  <c r="AW29" i="135"/>
  <c r="AV30" i="135"/>
  <c r="AW30" i="135"/>
  <c r="AV31" i="135"/>
  <c r="AW31" i="135"/>
  <c r="AV32" i="135"/>
  <c r="AV47" i="135" s="1"/>
  <c r="AW32" i="135"/>
  <c r="AW47" i="135" s="1"/>
  <c r="AV33" i="135"/>
  <c r="AW33" i="135"/>
  <c r="AV34" i="135"/>
  <c r="AW34" i="135"/>
  <c r="BJ18" i="113"/>
  <c r="BJ15" i="113"/>
  <c r="BJ25" i="113"/>
  <c r="BJ49" i="113"/>
  <c r="BJ59" i="113"/>
  <c r="BJ56" i="113"/>
  <c r="BJ31" i="113"/>
  <c r="BJ65" i="113"/>
  <c r="BJ62" i="113"/>
  <c r="BJ227" i="113"/>
  <c r="BJ29" i="113"/>
  <c r="BJ54" i="113"/>
  <c r="BJ19" i="113"/>
  <c r="BJ27" i="113"/>
  <c r="BJ229" i="113"/>
  <c r="BJ232" i="113"/>
  <c r="BJ23" i="113"/>
  <c r="BJ228" i="113"/>
  <c r="BJ43" i="113"/>
  <c r="BJ41" i="113"/>
  <c r="BJ17" i="113"/>
  <c r="BJ66" i="113"/>
  <c r="BJ13" i="113"/>
  <c r="BJ231" i="113"/>
  <c r="BJ46" i="113"/>
  <c r="BJ64" i="113"/>
  <c r="BJ45" i="113"/>
  <c r="BJ68" i="113"/>
  <c r="BJ47" i="113"/>
  <c r="BJ57" i="113"/>
  <c r="BJ16" i="113"/>
  <c r="BJ55" i="113"/>
  <c r="BJ20" i="113"/>
  <c r="BJ30" i="113"/>
  <c r="BJ60" i="113"/>
  <c r="BJ22" i="113"/>
  <c r="BJ14" i="113"/>
  <c r="BJ32" i="113"/>
  <c r="BJ58" i="113"/>
  <c r="BJ26" i="113"/>
  <c r="BJ53" i="113"/>
  <c r="BJ50" i="113"/>
  <c r="BJ51" i="113"/>
  <c r="BJ230" i="113"/>
  <c r="BJ48" i="113"/>
  <c r="BJ24" i="113"/>
  <c r="BJ52" i="113"/>
  <c r="BJ21" i="113"/>
  <c r="BJ28" i="113"/>
  <c r="BJ44" i="113"/>
  <c r="BJ67" i="113"/>
  <c r="BJ61" i="113"/>
  <c r="BJ63" i="113"/>
  <c r="BI25" i="148" l="1"/>
  <c r="BJ25" i="148" s="1"/>
  <c r="CD25" i="148"/>
  <c r="CE25" i="148" s="1"/>
  <c r="CK25" i="148"/>
  <c r="CL25" i="148" s="1"/>
  <c r="CR25" i="148"/>
  <c r="CS25" i="148"/>
  <c r="CT25" i="148" s="1"/>
  <c r="BI18" i="148"/>
  <c r="BJ18" i="148" s="1"/>
  <c r="CD18" i="148"/>
  <c r="CE18" i="148"/>
  <c r="CF18" i="148" s="1"/>
  <c r="CK18" i="148"/>
  <c r="CL18" i="148"/>
  <c r="CM18" i="148"/>
  <c r="CN18" i="148" s="1"/>
  <c r="CR18" i="148"/>
  <c r="CS18" i="148" s="1"/>
  <c r="BI11" i="148"/>
  <c r="BJ11" i="148" s="1"/>
  <c r="BX11" i="148"/>
  <c r="BY11" i="148"/>
  <c r="BZ11" i="148"/>
  <c r="CA11" i="148"/>
  <c r="CB11" i="148"/>
  <c r="CC11" i="148"/>
  <c r="CD11" i="148"/>
  <c r="CE11" i="148" s="1"/>
  <c r="CK11" i="148"/>
  <c r="CL11" i="148" s="1"/>
  <c r="CS11" i="148"/>
  <c r="CT11" i="148" s="1"/>
  <c r="DT11" i="148"/>
  <c r="EH11" i="148"/>
  <c r="EO11" i="148"/>
  <c r="AD25" i="148"/>
  <c r="AD18" i="148"/>
  <c r="EH18" i="148" s="1"/>
  <c r="I25" i="148"/>
  <c r="K25" i="148" s="1"/>
  <c r="R25" i="148"/>
  <c r="I18" i="148"/>
  <c r="K18" i="148" s="1"/>
  <c r="R18" i="148"/>
  <c r="AE11" i="148"/>
  <c r="AE18" i="148" s="1"/>
  <c r="AF11" i="148"/>
  <c r="AF25" i="148" s="1"/>
  <c r="AG11" i="148"/>
  <c r="AG25" i="148" s="1"/>
  <c r="AH11" i="148"/>
  <c r="DX11" i="148" s="1"/>
  <c r="AI11" i="148"/>
  <c r="AI18" i="148" s="1"/>
  <c r="AJ11" i="148"/>
  <c r="C55" i="148"/>
  <c r="B55" i="148"/>
  <c r="C50" i="148"/>
  <c r="R11" i="148"/>
  <c r="I11" i="148"/>
  <c r="K11" i="148" s="1"/>
  <c r="O33" i="104"/>
  <c r="H18" i="110"/>
  <c r="G18" i="110"/>
  <c r="C18" i="110"/>
  <c r="D18" i="110"/>
  <c r="U23" i="110"/>
  <c r="G13" i="110"/>
  <c r="E18" i="110"/>
  <c r="B53" i="148"/>
  <c r="B50" i="148"/>
  <c r="BM74" i="135"/>
  <c r="R19" i="135" s="1"/>
  <c r="BJ78" i="135"/>
  <c r="BJ74" i="135" s="1"/>
  <c r="Q19" i="135" s="1"/>
  <c r="AW15" i="64"/>
  <c r="AP15" i="64"/>
  <c r="I15" i="64"/>
  <c r="M15" i="64"/>
  <c r="H15" i="64"/>
  <c r="K15" i="64"/>
  <c r="L15" i="64"/>
  <c r="J15" i="64"/>
  <c r="BP25" i="148" l="1"/>
  <c r="BQ25" i="148" s="1"/>
  <c r="BR25" i="148" s="1"/>
  <c r="BP18" i="148"/>
  <c r="BQ18" i="148" s="1"/>
  <c r="BR18" i="148" s="1"/>
  <c r="BB18" i="148"/>
  <c r="BC18" i="148" s="1"/>
  <c r="BD18" i="148" s="1"/>
  <c r="DW11" i="148"/>
  <c r="AH18" i="148"/>
  <c r="AG18" i="148"/>
  <c r="AH25" i="148"/>
  <c r="BB25" i="148"/>
  <c r="BC25" i="148" s="1"/>
  <c r="BB11" i="148"/>
  <c r="BP11" i="148"/>
  <c r="DM11" i="148" s="1"/>
  <c r="BD15" i="64"/>
  <c r="EI18" i="148"/>
  <c r="EB18" i="148"/>
  <c r="AF18" i="148"/>
  <c r="EJ18" i="148" s="1"/>
  <c r="EV11" i="148"/>
  <c r="EO25" i="148"/>
  <c r="AE25" i="148"/>
  <c r="DV11" i="148"/>
  <c r="DU11" i="148"/>
  <c r="AJ25" i="148"/>
  <c r="DZ11" i="148"/>
  <c r="AJ18" i="148"/>
  <c r="AI25" i="148"/>
  <c r="DY11" i="148"/>
  <c r="DM25" i="148"/>
  <c r="CF11" i="148"/>
  <c r="CG11" i="148" s="1"/>
  <c r="EB11" i="148"/>
  <c r="EA11" i="148"/>
  <c r="EP11" i="148"/>
  <c r="EQ11" i="148"/>
  <c r="CU11" i="148"/>
  <c r="EI11" i="148"/>
  <c r="CM11" i="148"/>
  <c r="CF25" i="148"/>
  <c r="EC11" i="148"/>
  <c r="EO18" i="148"/>
  <c r="EA25" i="148"/>
  <c r="DM18" i="148"/>
  <c r="EA18" i="148"/>
  <c r="CY18" i="148"/>
  <c r="BS25" i="148"/>
  <c r="DO25" i="148"/>
  <c r="CM25" i="148"/>
  <c r="EI25" i="148"/>
  <c r="CU25" i="148"/>
  <c r="EQ25" i="148"/>
  <c r="BK25" i="148"/>
  <c r="DG25" i="148"/>
  <c r="EP25" i="148"/>
  <c r="EH25" i="148"/>
  <c r="DF25" i="148"/>
  <c r="CZ18" i="148"/>
  <c r="BF18" i="148"/>
  <c r="DC18" i="148" s="1"/>
  <c r="CG18" i="148"/>
  <c r="CT18" i="148"/>
  <c r="EP18" i="148"/>
  <c r="CO18" i="148"/>
  <c r="EK18" i="148"/>
  <c r="BS18" i="148"/>
  <c r="BK18" i="148"/>
  <c r="DG18" i="148"/>
  <c r="DN18" i="148"/>
  <c r="DF18" i="148"/>
  <c r="BK11" i="148"/>
  <c r="DG11" i="148"/>
  <c r="DF11" i="148"/>
  <c r="BE80" i="135"/>
  <c r="BD78" i="135" s="1"/>
  <c r="AU99" i="135"/>
  <c r="AZ81" i="135"/>
  <c r="AU69" i="135" s="1"/>
  <c r="AW84" i="135"/>
  <c r="AU77" i="135" s="1"/>
  <c r="AW91" i="135"/>
  <c r="AU78" i="135" s="1"/>
  <c r="BA101" i="135"/>
  <c r="AU101" i="135" s="1"/>
  <c r="BA108" i="135"/>
  <c r="AU102" i="135" s="1"/>
  <c r="AH86" i="135"/>
  <c r="BB14" i="135"/>
  <c r="BC14" i="135" s="1"/>
  <c r="BD14" i="135" s="1"/>
  <c r="BE14" i="135" s="1"/>
  <c r="BF14" i="135" s="1"/>
  <c r="BG14" i="135" s="1"/>
  <c r="BH14" i="135" s="1"/>
  <c r="BC13" i="89"/>
  <c r="BC12" i="89"/>
  <c r="BC10" i="89"/>
  <c r="BC9" i="89"/>
  <c r="BC7" i="89"/>
  <c r="BC6" i="89"/>
  <c r="AB15" i="64"/>
  <c r="U15" i="64"/>
  <c r="AJ15" i="64"/>
  <c r="AQ15" i="64"/>
  <c r="V15" i="64"/>
  <c r="AX15" i="64"/>
  <c r="AK15" i="64"/>
  <c r="AY15" i="64"/>
  <c r="AI15" i="64"/>
  <c r="CC18" i="148" l="1"/>
  <c r="DZ18" i="148" s="1"/>
  <c r="BW18" i="148"/>
  <c r="DT18" i="148" s="1"/>
  <c r="CA18" i="148"/>
  <c r="DX18" i="148" s="1"/>
  <c r="CB18" i="148"/>
  <c r="DY18" i="148" s="1"/>
  <c r="BX18" i="148"/>
  <c r="DU18" i="148" s="1"/>
  <c r="BY18" i="148"/>
  <c r="DV18" i="148" s="1"/>
  <c r="BZ18" i="148"/>
  <c r="DW18" i="148" s="1"/>
  <c r="BY25" i="148"/>
  <c r="DV25" i="148" s="1"/>
  <c r="BZ25" i="148"/>
  <c r="DW25" i="148" s="1"/>
  <c r="CA25" i="148"/>
  <c r="DX25" i="148" s="1"/>
  <c r="CB25" i="148"/>
  <c r="DY25" i="148" s="1"/>
  <c r="BW25" i="148"/>
  <c r="DT25" i="148" s="1"/>
  <c r="CC25" i="148"/>
  <c r="DZ25" i="148" s="1"/>
  <c r="BX25" i="148"/>
  <c r="DU25" i="148" s="1"/>
  <c r="BQ11" i="148"/>
  <c r="DN11" i="148" s="1"/>
  <c r="EZ11" i="148"/>
  <c r="EC18" i="148"/>
  <c r="DO18" i="148"/>
  <c r="CY25" i="148"/>
  <c r="BD25" i="148"/>
  <c r="BF25" i="148"/>
  <c r="DC25" i="148" s="1"/>
  <c r="BC11" i="148"/>
  <c r="CY11" i="148"/>
  <c r="CZ25" i="148"/>
  <c r="EB25" i="148"/>
  <c r="DN25" i="148"/>
  <c r="EV18" i="148"/>
  <c r="EV25" i="148"/>
  <c r="CH11" i="148"/>
  <c r="ED11" i="148"/>
  <c r="CG25" i="148"/>
  <c r="EC25" i="148"/>
  <c r="EJ11" i="148"/>
  <c r="CN11" i="148"/>
  <c r="ER11" i="148"/>
  <c r="CV11" i="148"/>
  <c r="CN25" i="148"/>
  <c r="EJ25" i="148"/>
  <c r="BT25" i="148"/>
  <c r="DP25" i="148"/>
  <c r="CV25" i="148"/>
  <c r="ER25" i="148"/>
  <c r="BL25" i="148"/>
  <c r="DH25" i="148"/>
  <c r="CP18" i="148"/>
  <c r="EL18" i="148"/>
  <c r="BL18" i="148"/>
  <c r="DH18" i="148"/>
  <c r="CH18" i="148"/>
  <c r="ED18" i="148"/>
  <c r="BT18" i="148"/>
  <c r="DP18" i="148"/>
  <c r="EQ18" i="148"/>
  <c r="CU18" i="148"/>
  <c r="BE18" i="148"/>
  <c r="DA18" i="148"/>
  <c r="BG18" i="148"/>
  <c r="DD18" i="148" s="1"/>
  <c r="BL11" i="148"/>
  <c r="DH11" i="148"/>
  <c r="AU96" i="135"/>
  <c r="AU94" i="135" s="1"/>
  <c r="BD76" i="135"/>
  <c r="AU75" i="135"/>
  <c r="AU73" i="135"/>
  <c r="AU71" i="135"/>
  <c r="AU68" i="135" s="1"/>
  <c r="AU95" i="135"/>
  <c r="BK24" i="113"/>
  <c r="BH15" i="64"/>
  <c r="BM18" i="113"/>
  <c r="BL18" i="113"/>
  <c r="BP24" i="113"/>
  <c r="BO18" i="113"/>
  <c r="BQ18" i="113"/>
  <c r="AL15" i="64"/>
  <c r="BM24" i="113"/>
  <c r="BN24" i="113"/>
  <c r="BN18" i="113"/>
  <c r="AZ15" i="64"/>
  <c r="W15" i="64"/>
  <c r="BL24" i="113"/>
  <c r="BP18" i="113"/>
  <c r="N15" i="64"/>
  <c r="BO24" i="113"/>
  <c r="BQ24" i="113"/>
  <c r="BK18" i="113"/>
  <c r="AC15" i="64"/>
  <c r="AR15" i="64"/>
  <c r="Q15" i="135" l="1"/>
  <c r="B9" i="182"/>
  <c r="BR11" i="148"/>
  <c r="EZ18" i="148"/>
  <c r="BF11" i="148"/>
  <c r="DC11" i="148" s="1"/>
  <c r="CZ11" i="148"/>
  <c r="BD11" i="148"/>
  <c r="BE25" i="148"/>
  <c r="BG25" i="148"/>
  <c r="DD25" i="148" s="1"/>
  <c r="DA25" i="148"/>
  <c r="EZ25" i="148"/>
  <c r="FI11" i="148" s="1"/>
  <c r="DO11" i="148"/>
  <c r="BS11" i="148"/>
  <c r="CI11" i="148"/>
  <c r="EE11" i="148"/>
  <c r="CH25" i="148"/>
  <c r="ED25" i="148"/>
  <c r="CO11" i="148"/>
  <c r="EK11" i="148"/>
  <c r="ES11" i="148"/>
  <c r="CW11" i="148"/>
  <c r="EK25" i="148"/>
  <c r="CO25" i="148"/>
  <c r="CW25" i="148"/>
  <c r="ES25" i="148"/>
  <c r="BU25" i="148"/>
  <c r="DQ25" i="148"/>
  <c r="DI25" i="148"/>
  <c r="BM25" i="148"/>
  <c r="CI18" i="148"/>
  <c r="EE18" i="148"/>
  <c r="BU18" i="148"/>
  <c r="DQ18" i="148"/>
  <c r="DB18" i="148"/>
  <c r="BH18" i="148"/>
  <c r="DE18" i="148" s="1"/>
  <c r="ER18" i="148"/>
  <c r="CV18" i="148"/>
  <c r="BM18" i="148"/>
  <c r="DI18" i="148"/>
  <c r="CQ18" i="148"/>
  <c r="EN18" i="148" s="1"/>
  <c r="EM18" i="148"/>
  <c r="FB18" i="148" s="1"/>
  <c r="BM11" i="148"/>
  <c r="DI11" i="148"/>
  <c r="BD75" i="135"/>
  <c r="R15" i="135"/>
  <c r="BF230" i="113"/>
  <c r="BI28" i="113"/>
  <c r="BE59" i="113"/>
  <c r="AD15" i="64"/>
  <c r="AQ24" i="113"/>
  <c r="BF53" i="113"/>
  <c r="BF62" i="113"/>
  <c r="BI52" i="113"/>
  <c r="S24" i="113"/>
  <c r="BI231" i="113"/>
  <c r="BF16" i="113"/>
  <c r="H24" i="113"/>
  <c r="Q18" i="113"/>
  <c r="BI60" i="113"/>
  <c r="BG26" i="113"/>
  <c r="BF55" i="113"/>
  <c r="BH19" i="113"/>
  <c r="BG48" i="113"/>
  <c r="BF227" i="113"/>
  <c r="BE49" i="113"/>
  <c r="BG42" i="113"/>
  <c r="BF46" i="113"/>
  <c r="BE54" i="113"/>
  <c r="BI54" i="113"/>
  <c r="BF229" i="113"/>
  <c r="BG28" i="113"/>
  <c r="BA18" i="113"/>
  <c r="BG47" i="113"/>
  <c r="BG53" i="113"/>
  <c r="BE17" i="113"/>
  <c r="BI64" i="113"/>
  <c r="BH54" i="113"/>
  <c r="BE18" i="113"/>
  <c r="BH50" i="113"/>
  <c r="BH31" i="113"/>
  <c r="AJ18" i="113"/>
  <c r="BH59" i="113"/>
  <c r="AT18" i="113"/>
  <c r="BF21" i="113"/>
  <c r="AX18" i="113"/>
  <c r="T24" i="113"/>
  <c r="BG15" i="113"/>
  <c r="AX24" i="113"/>
  <c r="K24" i="113"/>
  <c r="E228" i="113"/>
  <c r="BI48" i="113"/>
  <c r="BF31" i="113"/>
  <c r="AN18" i="113"/>
  <c r="BF30" i="113"/>
  <c r="BE24" i="113"/>
  <c r="AV18" i="113"/>
  <c r="BG21" i="113"/>
  <c r="O18" i="113"/>
  <c r="BG18" i="113"/>
  <c r="BF15" i="113"/>
  <c r="T18" i="113"/>
  <c r="BH16" i="113"/>
  <c r="BF17" i="113"/>
  <c r="BG30" i="113"/>
  <c r="BG63" i="113"/>
  <c r="BH52" i="113"/>
  <c r="X18" i="113"/>
  <c r="BE56" i="113"/>
  <c r="BG227" i="113"/>
  <c r="BF64" i="113"/>
  <c r="O24" i="113"/>
  <c r="BI21" i="113"/>
  <c r="BI67" i="113"/>
  <c r="BE44" i="113"/>
  <c r="M24" i="113"/>
  <c r="BF26" i="113"/>
  <c r="BE53" i="113"/>
  <c r="AY18" i="113"/>
  <c r="BE27" i="113"/>
  <c r="BG23" i="113"/>
  <c r="BG62" i="113"/>
  <c r="BI16" i="113"/>
  <c r="BG64" i="113"/>
  <c r="G18" i="113"/>
  <c r="BI53" i="113"/>
  <c r="BE47" i="113"/>
  <c r="BF32" i="113"/>
  <c r="BE48" i="113"/>
  <c r="BI15" i="113"/>
  <c r="BI230" i="113"/>
  <c r="BF42" i="113"/>
  <c r="BH66" i="113"/>
  <c r="BF231" i="113"/>
  <c r="U18" i="113"/>
  <c r="BE46" i="113"/>
  <c r="BI24" i="113"/>
  <c r="BG29" i="113"/>
  <c r="BI31" i="113"/>
  <c r="BF51" i="113"/>
  <c r="BH15" i="113"/>
  <c r="BH41" i="113"/>
  <c r="X15" i="64"/>
  <c r="BH29" i="113"/>
  <c r="BI61" i="113"/>
  <c r="BF232" i="113"/>
  <c r="BF67" i="113"/>
  <c r="BG24" i="113"/>
  <c r="BE28" i="113"/>
  <c r="BI46" i="113"/>
  <c r="BG52" i="113"/>
  <c r="BG228" i="113"/>
  <c r="BH32" i="113"/>
  <c r="BI30" i="113"/>
  <c r="BG61" i="113"/>
  <c r="W24" i="113"/>
  <c r="P24" i="113"/>
  <c r="BF66" i="113"/>
  <c r="AL24" i="113"/>
  <c r="BE62" i="113"/>
  <c r="BG56" i="113"/>
  <c r="BE65" i="113"/>
  <c r="BF29" i="113"/>
  <c r="BI43" i="113"/>
  <c r="BF60" i="113"/>
  <c r="AE18" i="113"/>
  <c r="BG27" i="113"/>
  <c r="AR24" i="113"/>
  <c r="BH57" i="113"/>
  <c r="BH23" i="113"/>
  <c r="I24" i="113"/>
  <c r="BF45" i="113"/>
  <c r="BF54" i="113"/>
  <c r="BI232" i="113"/>
  <c r="BF28" i="113"/>
  <c r="BB24" i="113"/>
  <c r="BE20" i="113"/>
  <c r="BI23" i="113"/>
  <c r="BF56" i="113"/>
  <c r="BI32" i="113"/>
  <c r="BH47" i="113"/>
  <c r="BG46" i="113"/>
  <c r="BI59" i="113"/>
  <c r="V18" i="113"/>
  <c r="BF44" i="113"/>
  <c r="BH44" i="113"/>
  <c r="AS15" i="64"/>
  <c r="BG41" i="113"/>
  <c r="BH45" i="113"/>
  <c r="BH30" i="113"/>
  <c r="BE61" i="113"/>
  <c r="BX18" i="113"/>
  <c r="AF18" i="113"/>
  <c r="BH55" i="113"/>
  <c r="BI51" i="113"/>
  <c r="BH13" i="113"/>
  <c r="AD18" i="113"/>
  <c r="BI18" i="113"/>
  <c r="BF43" i="113"/>
  <c r="AL18" i="113"/>
  <c r="BH22" i="113"/>
  <c r="BF63" i="113"/>
  <c r="BH68" i="113"/>
  <c r="BE43" i="113"/>
  <c r="BH17" i="113"/>
  <c r="BE14" i="113"/>
  <c r="BF68" i="113"/>
  <c r="F18" i="113"/>
  <c r="BI29" i="113"/>
  <c r="BF25" i="113"/>
  <c r="BG31" i="113"/>
  <c r="AM15" i="64"/>
  <c r="BE32" i="113"/>
  <c r="BE21" i="113"/>
  <c r="AT24" i="113"/>
  <c r="BF47" i="113"/>
  <c r="BE51" i="113"/>
  <c r="I18" i="113"/>
  <c r="BG57" i="113"/>
  <c r="BI27" i="113"/>
  <c r="BI62" i="113"/>
  <c r="R15" i="64"/>
  <c r="AS18" i="113"/>
  <c r="AW18" i="113"/>
  <c r="BI45" i="113"/>
  <c r="R18" i="113"/>
  <c r="BF41" i="113"/>
  <c r="BG59" i="113"/>
  <c r="BH14" i="113"/>
  <c r="BG60" i="113"/>
  <c r="AQ18" i="113"/>
  <c r="BF58" i="113"/>
  <c r="BF59" i="113"/>
  <c r="BA24" i="113"/>
  <c r="BG67" i="113"/>
  <c r="AD24" i="113"/>
  <c r="BF50" i="113"/>
  <c r="BH25" i="113"/>
  <c r="BE66" i="113"/>
  <c r="BE45" i="113"/>
  <c r="AY24" i="113"/>
  <c r="X24" i="113"/>
  <c r="AC24" i="113"/>
  <c r="BE25" i="113"/>
  <c r="BF48" i="113"/>
  <c r="F230" i="113"/>
  <c r="L18" i="113"/>
  <c r="BF65" i="113"/>
  <c r="AJ24" i="113"/>
  <c r="BH230" i="113"/>
  <c r="BE41" i="113"/>
  <c r="BI57" i="113"/>
  <c r="BH62" i="113"/>
  <c r="Y18" i="113"/>
  <c r="BE67" i="113"/>
  <c r="N18" i="113"/>
  <c r="BF24" i="113"/>
  <c r="BI13" i="113"/>
  <c r="BI50" i="113"/>
  <c r="BG231" i="113"/>
  <c r="E230" i="113"/>
  <c r="BI56" i="113"/>
  <c r="AK18" i="113"/>
  <c r="BG22" i="113"/>
  <c r="V24" i="113"/>
  <c r="BH60" i="113"/>
  <c r="BI44" i="113"/>
  <c r="BE26" i="113"/>
  <c r="BG230" i="113"/>
  <c r="AG24" i="113"/>
  <c r="J18" i="113"/>
  <c r="BF23" i="113"/>
  <c r="BH231" i="113"/>
  <c r="BH27" i="113"/>
  <c r="BG55" i="113"/>
  <c r="BH21" i="113"/>
  <c r="BH51" i="113"/>
  <c r="BH20" i="113"/>
  <c r="BI227" i="113"/>
  <c r="BH42" i="113"/>
  <c r="BE60" i="113"/>
  <c r="AU18" i="113"/>
  <c r="L24" i="113"/>
  <c r="BG51" i="113"/>
  <c r="BH26" i="113"/>
  <c r="BF18" i="113"/>
  <c r="BV18" i="113"/>
  <c r="BH56" i="113"/>
  <c r="BG25" i="113"/>
  <c r="BF52" i="113"/>
  <c r="BE16" i="113"/>
  <c r="AZ24" i="113"/>
  <c r="Q24" i="113"/>
  <c r="BH53" i="113"/>
  <c r="J24" i="113"/>
  <c r="N24" i="113"/>
  <c r="M18" i="113"/>
  <c r="G230" i="113"/>
  <c r="BG17" i="113"/>
  <c r="K18" i="113"/>
  <c r="BH232" i="113"/>
  <c r="BI49" i="113"/>
  <c r="BG45" i="113"/>
  <c r="BH49" i="113"/>
  <c r="BE231" i="113"/>
  <c r="BE29" i="113"/>
  <c r="AE24" i="113"/>
  <c r="AS24" i="113"/>
  <c r="BH46" i="113"/>
  <c r="BE230" i="113"/>
  <c r="BI19" i="113"/>
  <c r="BE55" i="113"/>
  <c r="BE42" i="113"/>
  <c r="E18" i="113"/>
  <c r="BG50" i="113"/>
  <c r="BI63" i="113"/>
  <c r="BF228" i="113"/>
  <c r="W18" i="113"/>
  <c r="BH28" i="113"/>
  <c r="BG68" i="113"/>
  <c r="BH227" i="113"/>
  <c r="BI47" i="113"/>
  <c r="BV24" i="113"/>
  <c r="AM24" i="113"/>
  <c r="BG19" i="113"/>
  <c r="F24" i="113"/>
  <c r="BE227" i="113"/>
  <c r="BG58" i="113"/>
  <c r="BG229" i="113"/>
  <c r="BG16" i="113"/>
  <c r="BI66" i="113"/>
  <c r="BI26" i="113"/>
  <c r="AM18" i="113"/>
  <c r="BH228" i="113"/>
  <c r="BI229" i="113"/>
  <c r="F228" i="113"/>
  <c r="BH24" i="113"/>
  <c r="BE31" i="113"/>
  <c r="BE58" i="113"/>
  <c r="BF49" i="113"/>
  <c r="BI25" i="113"/>
  <c r="BH43" i="113"/>
  <c r="BE68" i="113"/>
  <c r="BG20" i="113"/>
  <c r="Y24" i="113"/>
  <c r="BE57" i="113"/>
  <c r="BE50" i="113"/>
  <c r="BG43" i="113"/>
  <c r="E24" i="113"/>
  <c r="G228" i="113"/>
  <c r="BG13" i="113"/>
  <c r="BE232" i="113"/>
  <c r="AK24" i="113"/>
  <c r="P18" i="113"/>
  <c r="AR18" i="113"/>
  <c r="BG232" i="113"/>
  <c r="BF27" i="113"/>
  <c r="AC18" i="113"/>
  <c r="BE22" i="113"/>
  <c r="BH58" i="113"/>
  <c r="BF57" i="113"/>
  <c r="BI228" i="113"/>
  <c r="BI42" i="113"/>
  <c r="BG49" i="113"/>
  <c r="BE15" i="113"/>
  <c r="BI68" i="113"/>
  <c r="BG54" i="113"/>
  <c r="BI41" i="113"/>
  <c r="AZ18" i="113"/>
  <c r="BE229" i="113"/>
  <c r="BF19" i="113"/>
  <c r="BF22" i="113"/>
  <c r="BH64" i="113"/>
  <c r="BE30" i="113"/>
  <c r="BE64" i="113"/>
  <c r="BI58" i="113"/>
  <c r="BE13" i="113"/>
  <c r="S18" i="113"/>
  <c r="BE19" i="113"/>
  <c r="BI22" i="113"/>
  <c r="BG44" i="113"/>
  <c r="H18" i="113"/>
  <c r="BF20" i="113"/>
  <c r="AG18" i="113"/>
  <c r="BI55" i="113"/>
  <c r="BI65" i="113"/>
  <c r="BE52" i="113"/>
  <c r="BG32" i="113"/>
  <c r="AF24" i="113"/>
  <c r="BH63" i="113"/>
  <c r="BI17" i="113"/>
  <c r="BE228" i="113"/>
  <c r="BI20" i="113"/>
  <c r="BG66" i="113"/>
  <c r="BE23" i="113"/>
  <c r="BH18" i="113"/>
  <c r="BG65" i="113"/>
  <c r="BH65" i="113"/>
  <c r="BI14" i="113"/>
  <c r="BH229" i="113"/>
  <c r="BG14" i="113"/>
  <c r="BF14" i="113"/>
  <c r="BH61" i="113"/>
  <c r="G24" i="113"/>
  <c r="BH67" i="113"/>
  <c r="BE63" i="113"/>
  <c r="BA15" i="64"/>
  <c r="O15" i="64"/>
  <c r="BF61" i="113"/>
  <c r="BF13" i="113"/>
  <c r="BH48" i="113"/>
  <c r="G9" i="182" l="1"/>
  <c r="EG55" i="135"/>
  <c r="ED55" i="135"/>
  <c r="EA55" i="135"/>
  <c r="EF55" i="135"/>
  <c r="EE55" i="135"/>
  <c r="EB55" i="135"/>
  <c r="EC55" i="135"/>
  <c r="DA11" i="148"/>
  <c r="BE11" i="148"/>
  <c r="BG11" i="148"/>
  <c r="DD11" i="148" s="1"/>
  <c r="DB25" i="148"/>
  <c r="BH25" i="148"/>
  <c r="DE25" i="148" s="1"/>
  <c r="EW18" i="148"/>
  <c r="DP11" i="148"/>
  <c r="BT11" i="148"/>
  <c r="A228" i="113"/>
  <c r="A230" i="113"/>
  <c r="A24" i="113"/>
  <c r="BR24" i="113"/>
  <c r="A18" i="113"/>
  <c r="BR18" i="113"/>
  <c r="CJ11" i="148"/>
  <c r="EG11" i="148" s="1"/>
  <c r="EF11" i="148"/>
  <c r="CI25" i="148"/>
  <c r="EE25" i="148"/>
  <c r="CP11" i="148"/>
  <c r="EL11" i="148"/>
  <c r="CX11" i="148"/>
  <c r="EU11" i="148" s="1"/>
  <c r="ET11" i="148"/>
  <c r="CX25" i="148"/>
  <c r="EU25" i="148" s="1"/>
  <c r="ET25" i="148"/>
  <c r="CP25" i="148"/>
  <c r="EL25" i="148"/>
  <c r="BN25" i="148"/>
  <c r="DJ25" i="148"/>
  <c r="BV25" i="148"/>
  <c r="DS25" i="148" s="1"/>
  <c r="DR25" i="148"/>
  <c r="EY25" i="148" s="1"/>
  <c r="BV18" i="148"/>
  <c r="DS18" i="148" s="1"/>
  <c r="DR18" i="148"/>
  <c r="EY18" i="148" s="1"/>
  <c r="ES18" i="148"/>
  <c r="CW18" i="148"/>
  <c r="BN18" i="148"/>
  <c r="DJ18" i="148"/>
  <c r="CJ18" i="148"/>
  <c r="EG18" i="148" s="1"/>
  <c r="EF18" i="148"/>
  <c r="BN11" i="148"/>
  <c r="DJ11" i="148"/>
  <c r="AI24" i="113"/>
  <c r="BB18" i="113"/>
  <c r="BC15" i="64"/>
  <c r="Y15" i="64"/>
  <c r="AH24" i="113"/>
  <c r="U24" i="113"/>
  <c r="BB15" i="64"/>
  <c r="AE15" i="64"/>
  <c r="BS18" i="113"/>
  <c r="AH18" i="113"/>
  <c r="AI18" i="113"/>
  <c r="AP18" i="113"/>
  <c r="AT15" i="64"/>
  <c r="Z18" i="113"/>
  <c r="AO18" i="113"/>
  <c r="P15" i="64"/>
  <c r="S15" i="64"/>
  <c r="AN24" i="113"/>
  <c r="AO15" i="64"/>
  <c r="R24" i="113"/>
  <c r="AN15" i="64"/>
  <c r="Z24" i="113"/>
  <c r="BD24" i="113"/>
  <c r="BU18" i="113"/>
  <c r="BC24" i="113"/>
  <c r="BU24" i="113"/>
  <c r="AU24" i="113"/>
  <c r="BH11" i="148" l="1"/>
  <c r="DE11" i="148" s="1"/>
  <c r="DB11" i="148"/>
  <c r="EW25" i="148"/>
  <c r="FC11" i="148"/>
  <c r="FA18" i="148"/>
  <c r="FA11" i="148"/>
  <c r="DQ11" i="148"/>
  <c r="BU11" i="148"/>
  <c r="CQ11" i="148"/>
  <c r="EN11" i="148" s="1"/>
  <c r="EM11" i="148"/>
  <c r="EF25" i="148"/>
  <c r="CJ25" i="148"/>
  <c r="EG25" i="148" s="1"/>
  <c r="FC25" i="148"/>
  <c r="CQ25" i="148"/>
  <c r="EN25" i="148" s="1"/>
  <c r="EM25" i="148"/>
  <c r="DK25" i="148"/>
  <c r="BO25" i="148"/>
  <c r="DL25" i="148" s="1"/>
  <c r="CX18" i="148"/>
  <c r="EU18" i="148" s="1"/>
  <c r="ET18" i="148"/>
  <c r="DK18" i="148"/>
  <c r="BO18" i="148"/>
  <c r="DL18" i="148" s="1"/>
  <c r="BO11" i="148"/>
  <c r="DL11" i="148" s="1"/>
  <c r="DK11" i="148"/>
  <c r="Z15" i="64"/>
  <c r="AB24" i="113"/>
  <c r="AU15" i="64"/>
  <c r="BY24" i="113"/>
  <c r="BK15" i="64"/>
  <c r="T15" i="64"/>
  <c r="AA18" i="113"/>
  <c r="AF15" i="64"/>
  <c r="AB18" i="113"/>
  <c r="AV24" i="113"/>
  <c r="BC18" i="113"/>
  <c r="AA24" i="113"/>
  <c r="Q15" i="64"/>
  <c r="BS24" i="113"/>
  <c r="AP24" i="113"/>
  <c r="AV15" i="64"/>
  <c r="AW24" i="113"/>
  <c r="BW18" i="113"/>
  <c r="AO24" i="113"/>
  <c r="BI15" i="64"/>
  <c r="AA15" i="64"/>
  <c r="BD18" i="113"/>
  <c r="EW11" i="148" l="1"/>
  <c r="FF11" i="148" s="1"/>
  <c r="EX11" i="148"/>
  <c r="EX18" i="148"/>
  <c r="EX25" i="148"/>
  <c r="FB11" i="148"/>
  <c r="FK11" i="148" s="1"/>
  <c r="DR11" i="148"/>
  <c r="BV11" i="148"/>
  <c r="DS11" i="148" s="1"/>
  <c r="FB25" i="148"/>
  <c r="FA25" i="148"/>
  <c r="FJ11" i="148" s="1"/>
  <c r="FC18" i="148"/>
  <c r="BW24" i="113"/>
  <c r="BY18" i="113"/>
  <c r="BE15" i="64"/>
  <c r="AH15" i="64"/>
  <c r="BJ15" i="64"/>
  <c r="BF15" i="64"/>
  <c r="BX24" i="113"/>
  <c r="BT24" i="113"/>
  <c r="BT18" i="113"/>
  <c r="AG15" i="64"/>
  <c r="FG11" i="148" l="1"/>
  <c r="EY11" i="148"/>
  <c r="FH11" i="148" s="1"/>
  <c r="V49" i="135"/>
  <c r="U49" i="135"/>
  <c r="T49" i="135"/>
  <c r="CR49" i="135"/>
  <c r="CS49" i="135" s="1"/>
  <c r="CT49" i="135" s="1"/>
  <c r="CU49" i="135" s="1"/>
  <c r="CV49" i="135" s="1"/>
  <c r="CW49" i="135" s="1"/>
  <c r="CX49" i="135" s="1"/>
  <c r="R49" i="135"/>
  <c r="CK49" i="135" s="1"/>
  <c r="CL49" i="135" s="1"/>
  <c r="CM49" i="135" s="1"/>
  <c r="CN49" i="135" s="1"/>
  <c r="CO49" i="135" s="1"/>
  <c r="CP49" i="135" s="1"/>
  <c r="CQ49" i="135" s="1"/>
  <c r="Q49" i="135"/>
  <c r="P49" i="135"/>
  <c r="BW49" i="135" s="1"/>
  <c r="O49" i="135"/>
  <c r="N49" i="135"/>
  <c r="M49" i="135"/>
  <c r="L49" i="135"/>
  <c r="K49" i="135"/>
  <c r="J49" i="135"/>
  <c r="I49" i="135"/>
  <c r="H49" i="135"/>
  <c r="G49" i="135"/>
  <c r="V48" i="135"/>
  <c r="U48" i="135"/>
  <c r="T48" i="135"/>
  <c r="CR48" i="135"/>
  <c r="R48" i="135"/>
  <c r="CK48" i="135" s="1"/>
  <c r="Q48" i="135"/>
  <c r="P48" i="135"/>
  <c r="CB48" i="135" s="1"/>
  <c r="O48" i="135"/>
  <c r="N48" i="135"/>
  <c r="M48" i="135"/>
  <c r="L48" i="135"/>
  <c r="K48" i="135"/>
  <c r="J48" i="135"/>
  <c r="I48" i="135"/>
  <c r="BB48" i="135" s="1"/>
  <c r="BC48" i="135" s="1"/>
  <c r="BD48" i="135" s="1"/>
  <c r="BE48" i="135" s="1"/>
  <c r="BF48" i="135" s="1"/>
  <c r="BG48" i="135" s="1"/>
  <c r="BH48" i="135" s="1"/>
  <c r="H48" i="135"/>
  <c r="G48" i="135"/>
  <c r="V47" i="135"/>
  <c r="U47" i="135"/>
  <c r="T47" i="135"/>
  <c r="CR47" i="135"/>
  <c r="R47" i="135"/>
  <c r="CK47" i="135" s="1"/>
  <c r="Q47" i="135"/>
  <c r="P47" i="135"/>
  <c r="BY47" i="135" s="1"/>
  <c r="O47" i="135"/>
  <c r="N47" i="135"/>
  <c r="M47" i="135"/>
  <c r="L47" i="135"/>
  <c r="K47" i="135"/>
  <c r="J47" i="135"/>
  <c r="I47" i="135"/>
  <c r="BB47" i="135" s="1"/>
  <c r="BC47" i="135" s="1"/>
  <c r="BD47" i="135" s="1"/>
  <c r="BE47" i="135" s="1"/>
  <c r="BF47" i="135" s="1"/>
  <c r="BG47" i="135" s="1"/>
  <c r="BH47" i="135" s="1"/>
  <c r="H47" i="135"/>
  <c r="G47" i="135"/>
  <c r="V46" i="135"/>
  <c r="U46" i="135"/>
  <c r="P46" i="135"/>
  <c r="BX46" i="135" s="1"/>
  <c r="O46" i="135"/>
  <c r="N46" i="135"/>
  <c r="M46" i="135"/>
  <c r="L46" i="135"/>
  <c r="K46" i="135"/>
  <c r="J46" i="135"/>
  <c r="BI46" i="135" s="1"/>
  <c r="BJ46" i="135" s="1"/>
  <c r="BK46" i="135" s="1"/>
  <c r="BL46" i="135" s="1"/>
  <c r="BM46" i="135" s="1"/>
  <c r="BN46" i="135" s="1"/>
  <c r="BO46" i="135" s="1"/>
  <c r="I46" i="135"/>
  <c r="BB46" i="135" s="1"/>
  <c r="BC46" i="135" s="1"/>
  <c r="BD46" i="135" s="1"/>
  <c r="BE46" i="135" s="1"/>
  <c r="BF46" i="135" s="1"/>
  <c r="BG46" i="135" s="1"/>
  <c r="BH46" i="135" s="1"/>
  <c r="H46" i="135"/>
  <c r="G46" i="135"/>
  <c r="V45" i="135"/>
  <c r="U45" i="135"/>
  <c r="T45" i="135"/>
  <c r="CR45" i="135"/>
  <c r="CS45" i="135" s="1"/>
  <c r="CT45" i="135" s="1"/>
  <c r="CU45" i="135" s="1"/>
  <c r="CV45" i="135" s="1"/>
  <c r="CW45" i="135" s="1"/>
  <c r="CX45" i="135" s="1"/>
  <c r="R45" i="135"/>
  <c r="CK45" i="135" s="1"/>
  <c r="CL45" i="135" s="1"/>
  <c r="CM45" i="135" s="1"/>
  <c r="CN45" i="135" s="1"/>
  <c r="CO45" i="135" s="1"/>
  <c r="CP45" i="135" s="1"/>
  <c r="CQ45" i="135" s="1"/>
  <c r="Q45" i="135"/>
  <c r="CD45" i="135" s="1"/>
  <c r="CE45" i="135" s="1"/>
  <c r="CF45" i="135" s="1"/>
  <c r="CG45" i="135" s="1"/>
  <c r="CH45" i="135" s="1"/>
  <c r="CI45" i="135" s="1"/>
  <c r="CJ45" i="135" s="1"/>
  <c r="P45" i="135"/>
  <c r="O45" i="135"/>
  <c r="N45" i="135"/>
  <c r="M45" i="135"/>
  <c r="L45" i="135"/>
  <c r="K45" i="135"/>
  <c r="J45" i="135"/>
  <c r="BI45" i="135" s="1"/>
  <c r="BJ45" i="135" s="1"/>
  <c r="BK45" i="135" s="1"/>
  <c r="BL45" i="135" s="1"/>
  <c r="BM45" i="135" s="1"/>
  <c r="BN45" i="135" s="1"/>
  <c r="BO45" i="135" s="1"/>
  <c r="I45" i="135"/>
  <c r="BB45" i="135" s="1"/>
  <c r="BC45" i="135" s="1"/>
  <c r="BD45" i="135" s="1"/>
  <c r="BE45" i="135" s="1"/>
  <c r="BF45" i="135" s="1"/>
  <c r="BG45" i="135" s="1"/>
  <c r="BH45" i="135" s="1"/>
  <c r="H45" i="135"/>
  <c r="G45" i="135"/>
  <c r="V44" i="135"/>
  <c r="U44" i="135"/>
  <c r="T44" i="135"/>
  <c r="CR44" i="135"/>
  <c r="CS44" i="135" s="1"/>
  <c r="CT44" i="135" s="1"/>
  <c r="CU44" i="135" s="1"/>
  <c r="CV44" i="135" s="1"/>
  <c r="CW44" i="135" s="1"/>
  <c r="CX44" i="135" s="1"/>
  <c r="P44" i="135"/>
  <c r="CB44" i="135" s="1"/>
  <c r="O44" i="135"/>
  <c r="N44" i="135"/>
  <c r="M44" i="135"/>
  <c r="L44" i="135"/>
  <c r="K44" i="135"/>
  <c r="J44" i="135"/>
  <c r="I44" i="135"/>
  <c r="BB44" i="135" s="1"/>
  <c r="BC44" i="135" s="1"/>
  <c r="BD44" i="135" s="1"/>
  <c r="BE44" i="135" s="1"/>
  <c r="BF44" i="135" s="1"/>
  <c r="BG44" i="135" s="1"/>
  <c r="BH44" i="135" s="1"/>
  <c r="H44" i="135"/>
  <c r="G44" i="135"/>
  <c r="V43" i="135"/>
  <c r="U43" i="135"/>
  <c r="V42" i="135"/>
  <c r="U42" i="135"/>
  <c r="V41" i="135"/>
  <c r="U41" i="135"/>
  <c r="V40" i="135"/>
  <c r="U40" i="135"/>
  <c r="V39" i="135"/>
  <c r="U39" i="135"/>
  <c r="V38" i="135"/>
  <c r="U38" i="135"/>
  <c r="V34" i="135"/>
  <c r="U34" i="135"/>
  <c r="T34" i="135"/>
  <c r="R34" i="135"/>
  <c r="CK34" i="135" s="1"/>
  <c r="CL34" i="135" s="1"/>
  <c r="CM34" i="135" s="1"/>
  <c r="CN34" i="135" s="1"/>
  <c r="CO34" i="135" s="1"/>
  <c r="CP34" i="135" s="1"/>
  <c r="CQ34" i="135" s="1"/>
  <c r="Q34" i="135"/>
  <c r="CD34" i="135" s="1"/>
  <c r="CE34" i="135" s="1"/>
  <c r="CF34" i="135" s="1"/>
  <c r="CG34" i="135" s="1"/>
  <c r="CH34" i="135" s="1"/>
  <c r="CI34" i="135" s="1"/>
  <c r="CJ34" i="135" s="1"/>
  <c r="P34" i="135"/>
  <c r="BY34" i="135" s="1"/>
  <c r="O34" i="135"/>
  <c r="N34" i="135"/>
  <c r="M34" i="135"/>
  <c r="L34" i="135"/>
  <c r="K34" i="135"/>
  <c r="J34" i="135"/>
  <c r="BI34" i="135" s="1"/>
  <c r="BJ34" i="135" s="1"/>
  <c r="BK34" i="135" s="1"/>
  <c r="BL34" i="135" s="1"/>
  <c r="BM34" i="135" s="1"/>
  <c r="BN34" i="135" s="1"/>
  <c r="BO34" i="135" s="1"/>
  <c r="I34" i="135"/>
  <c r="BB34" i="135" s="1"/>
  <c r="BC34" i="135" s="1"/>
  <c r="BD34" i="135" s="1"/>
  <c r="BE34" i="135" s="1"/>
  <c r="BF34" i="135" s="1"/>
  <c r="BG34" i="135" s="1"/>
  <c r="BH34" i="135" s="1"/>
  <c r="H34" i="135"/>
  <c r="G34" i="135"/>
  <c r="V33" i="135"/>
  <c r="U33" i="135"/>
  <c r="T33" i="135"/>
  <c r="R33" i="135"/>
  <c r="CK33" i="135" s="1"/>
  <c r="Q33" i="135"/>
  <c r="CD33" i="135" s="1"/>
  <c r="P33" i="135"/>
  <c r="CB33" i="135" s="1"/>
  <c r="DY33" i="135" s="1"/>
  <c r="O33" i="135"/>
  <c r="N33" i="135"/>
  <c r="M33" i="135"/>
  <c r="L33" i="135"/>
  <c r="K33" i="135"/>
  <c r="J33" i="135"/>
  <c r="I33" i="135"/>
  <c r="BB33" i="135" s="1"/>
  <c r="BC33" i="135" s="1"/>
  <c r="BD33" i="135" s="1"/>
  <c r="BE33" i="135" s="1"/>
  <c r="BF33" i="135" s="1"/>
  <c r="BG33" i="135" s="1"/>
  <c r="BH33" i="135" s="1"/>
  <c r="H33" i="135"/>
  <c r="G33" i="135"/>
  <c r="V32" i="135"/>
  <c r="U32" i="135"/>
  <c r="T32" i="135"/>
  <c r="R32" i="135"/>
  <c r="CK32" i="135" s="1"/>
  <c r="Q32" i="135"/>
  <c r="CD32" i="135" s="1"/>
  <c r="P32" i="135"/>
  <c r="BX32" i="135" s="1"/>
  <c r="DU32" i="135" s="1"/>
  <c r="O32" i="135"/>
  <c r="N32" i="135"/>
  <c r="M32" i="135"/>
  <c r="L32" i="135"/>
  <c r="K32" i="135"/>
  <c r="J32" i="135"/>
  <c r="BI32" i="135" s="1"/>
  <c r="I32" i="135"/>
  <c r="BB32" i="135" s="1"/>
  <c r="BC32" i="135" s="1"/>
  <c r="BD32" i="135" s="1"/>
  <c r="BE32" i="135" s="1"/>
  <c r="BF32" i="135" s="1"/>
  <c r="BG32" i="135" s="1"/>
  <c r="BH32" i="135" s="1"/>
  <c r="H32" i="135"/>
  <c r="G32" i="135"/>
  <c r="V31" i="135"/>
  <c r="U31" i="135"/>
  <c r="P31" i="135"/>
  <c r="CC31" i="135" s="1"/>
  <c r="O31" i="135"/>
  <c r="N31" i="135"/>
  <c r="M31" i="135"/>
  <c r="L31" i="135"/>
  <c r="K31" i="135"/>
  <c r="J31" i="135"/>
  <c r="BI31" i="135" s="1"/>
  <c r="BJ31" i="135" s="1"/>
  <c r="BK31" i="135" s="1"/>
  <c r="BL31" i="135" s="1"/>
  <c r="BM31" i="135" s="1"/>
  <c r="BN31" i="135" s="1"/>
  <c r="BO31" i="135" s="1"/>
  <c r="I31" i="135"/>
  <c r="BB31" i="135" s="1"/>
  <c r="BC31" i="135" s="1"/>
  <c r="BD31" i="135" s="1"/>
  <c r="BE31" i="135" s="1"/>
  <c r="BF31" i="135" s="1"/>
  <c r="BG31" i="135" s="1"/>
  <c r="BH31" i="135" s="1"/>
  <c r="H31" i="135"/>
  <c r="G31" i="135"/>
  <c r="V30" i="135"/>
  <c r="U30" i="135"/>
  <c r="T30" i="135"/>
  <c r="R30" i="135"/>
  <c r="CK30" i="135" s="1"/>
  <c r="CL30" i="135" s="1"/>
  <c r="CM30" i="135" s="1"/>
  <c r="CN30" i="135" s="1"/>
  <c r="CO30" i="135" s="1"/>
  <c r="CP30" i="135" s="1"/>
  <c r="CQ30" i="135" s="1"/>
  <c r="Q30" i="135"/>
  <c r="CD30" i="135" s="1"/>
  <c r="CE30" i="135" s="1"/>
  <c r="CF30" i="135" s="1"/>
  <c r="CG30" i="135" s="1"/>
  <c r="CH30" i="135" s="1"/>
  <c r="CI30" i="135" s="1"/>
  <c r="CJ30" i="135" s="1"/>
  <c r="P30" i="135"/>
  <c r="CB30" i="135" s="1"/>
  <c r="O30" i="135"/>
  <c r="N30" i="135"/>
  <c r="M30" i="135"/>
  <c r="L30" i="135"/>
  <c r="K30" i="135"/>
  <c r="J30" i="135"/>
  <c r="BI30" i="135" s="1"/>
  <c r="BJ30" i="135" s="1"/>
  <c r="BK30" i="135" s="1"/>
  <c r="BL30" i="135" s="1"/>
  <c r="BM30" i="135" s="1"/>
  <c r="BN30" i="135" s="1"/>
  <c r="BO30" i="135" s="1"/>
  <c r="I30" i="135"/>
  <c r="BB30" i="135" s="1"/>
  <c r="BC30" i="135" s="1"/>
  <c r="BD30" i="135" s="1"/>
  <c r="BE30" i="135" s="1"/>
  <c r="BF30" i="135" s="1"/>
  <c r="BG30" i="135" s="1"/>
  <c r="BH30" i="135" s="1"/>
  <c r="H30" i="135"/>
  <c r="G30" i="135"/>
  <c r="V29" i="135"/>
  <c r="U29" i="135"/>
  <c r="T29" i="135"/>
  <c r="P29" i="135"/>
  <c r="BX29" i="135" s="1"/>
  <c r="O29" i="135"/>
  <c r="N29" i="135"/>
  <c r="M29" i="135"/>
  <c r="L29" i="135"/>
  <c r="K29" i="135"/>
  <c r="J29" i="135"/>
  <c r="I29" i="135"/>
  <c r="BB29" i="135" s="1"/>
  <c r="BC29" i="135" s="1"/>
  <c r="BD29" i="135" s="1"/>
  <c r="BE29" i="135" s="1"/>
  <c r="BF29" i="135" s="1"/>
  <c r="BG29" i="135" s="1"/>
  <c r="BH29" i="135" s="1"/>
  <c r="H29" i="135"/>
  <c r="G29" i="135"/>
  <c r="V28" i="135"/>
  <c r="U28" i="135"/>
  <c r="V27" i="135"/>
  <c r="U27" i="135"/>
  <c r="V26" i="135"/>
  <c r="U26" i="135"/>
  <c r="V25" i="135"/>
  <c r="U25" i="135"/>
  <c r="V24" i="135"/>
  <c r="U24" i="135"/>
  <c r="V23" i="135"/>
  <c r="U23" i="135"/>
  <c r="V22" i="135"/>
  <c r="U22" i="135"/>
  <c r="T22" i="135"/>
  <c r="O22" i="135"/>
  <c r="N22" i="135"/>
  <c r="M22" i="135"/>
  <c r="K22" i="135"/>
  <c r="H22" i="135"/>
  <c r="G22" i="135"/>
  <c r="V21" i="135"/>
  <c r="U21" i="135"/>
  <c r="T21" i="135"/>
  <c r="S21" i="135"/>
  <c r="R21" i="135"/>
  <c r="Q21" i="135"/>
  <c r="P21" i="135"/>
  <c r="O21" i="135"/>
  <c r="N21" i="135"/>
  <c r="M21" i="135"/>
  <c r="K21" i="135"/>
  <c r="J21" i="135"/>
  <c r="H21" i="135"/>
  <c r="G21" i="135"/>
  <c r="CD49" i="135"/>
  <c r="CE49" i="135" s="1"/>
  <c r="CF49" i="135" s="1"/>
  <c r="CG49" i="135" s="1"/>
  <c r="CH49" i="135" s="1"/>
  <c r="CI49" i="135" s="1"/>
  <c r="CJ49" i="135" s="1"/>
  <c r="CC49" i="135"/>
  <c r="CB49" i="135"/>
  <c r="BZ49" i="135"/>
  <c r="BY49" i="135"/>
  <c r="BX49" i="135"/>
  <c r="BI49" i="135"/>
  <c r="BJ49" i="135" s="1"/>
  <c r="BK49" i="135" s="1"/>
  <c r="BL49" i="135" s="1"/>
  <c r="BM49" i="135" s="1"/>
  <c r="BN49" i="135" s="1"/>
  <c r="BO49" i="135" s="1"/>
  <c r="BB49" i="135"/>
  <c r="BC49" i="135" s="1"/>
  <c r="BD49" i="135" s="1"/>
  <c r="BE49" i="135" s="1"/>
  <c r="BF49" i="135" s="1"/>
  <c r="BG49" i="135" s="1"/>
  <c r="BH49" i="135" s="1"/>
  <c r="CD48" i="135"/>
  <c r="CC48" i="135"/>
  <c r="CA48" i="135"/>
  <c r="BZ48" i="135"/>
  <c r="BY48" i="135"/>
  <c r="BW48" i="135"/>
  <c r="BI48" i="135"/>
  <c r="CD47" i="135"/>
  <c r="CB47" i="135"/>
  <c r="CA47" i="135"/>
  <c r="BZ47" i="135"/>
  <c r="BX47" i="135"/>
  <c r="BW47" i="135"/>
  <c r="BI47" i="135"/>
  <c r="CC46" i="135"/>
  <c r="CA46" i="135"/>
  <c r="BZ46" i="135"/>
  <c r="BY46" i="135"/>
  <c r="BW46" i="135"/>
  <c r="CC45" i="135"/>
  <c r="CB45" i="135"/>
  <c r="CA45" i="135"/>
  <c r="BY45" i="135"/>
  <c r="BX45" i="135"/>
  <c r="BW45" i="135"/>
  <c r="BI44" i="135"/>
  <c r="BJ44" i="135" s="1"/>
  <c r="BK44" i="135" s="1"/>
  <c r="BL44" i="135" s="1"/>
  <c r="BM44" i="135" s="1"/>
  <c r="BN44" i="135" s="1"/>
  <c r="BO44" i="135" s="1"/>
  <c r="BP37" i="135"/>
  <c r="BQ37" i="135" s="1"/>
  <c r="BR37" i="135" s="1"/>
  <c r="BS37" i="135" s="1"/>
  <c r="BT37" i="135" s="1"/>
  <c r="BU37" i="135" s="1"/>
  <c r="BV37" i="135" s="1"/>
  <c r="BI33" i="135"/>
  <c r="BZ29" i="135"/>
  <c r="BY29" i="135"/>
  <c r="BW29" i="135"/>
  <c r="BI29" i="135"/>
  <c r="BJ29" i="135" s="1"/>
  <c r="BK29" i="135" s="1"/>
  <c r="BL29" i="135" s="1"/>
  <c r="BM29" i="135" s="1"/>
  <c r="BN29" i="135" s="1"/>
  <c r="BO29" i="135" s="1"/>
  <c r="CR28" i="135"/>
  <c r="CS28" i="135" s="1"/>
  <c r="CT28" i="135" s="1"/>
  <c r="CU28" i="135" s="1"/>
  <c r="CV28" i="135" s="1"/>
  <c r="CW28" i="135" s="1"/>
  <c r="CX28" i="135" s="1"/>
  <c r="CR27" i="135"/>
  <c r="CS27" i="135" s="1"/>
  <c r="CT27" i="135" s="1"/>
  <c r="CU27" i="135" s="1"/>
  <c r="CV27" i="135" s="1"/>
  <c r="CW27" i="135" s="1"/>
  <c r="CX27" i="135" s="1"/>
  <c r="CR26" i="135"/>
  <c r="CS26" i="135" s="1"/>
  <c r="CT26" i="135" s="1"/>
  <c r="CU26" i="135" s="1"/>
  <c r="CV26" i="135" s="1"/>
  <c r="CW26" i="135" s="1"/>
  <c r="CX26" i="135" s="1"/>
  <c r="CR25" i="135"/>
  <c r="CS25" i="135" s="1"/>
  <c r="CT25" i="135" s="1"/>
  <c r="CU25" i="135" s="1"/>
  <c r="CV25" i="135" s="1"/>
  <c r="CW25" i="135" s="1"/>
  <c r="CX25" i="135" s="1"/>
  <c r="CR24" i="135"/>
  <c r="CS24" i="135" s="1"/>
  <c r="CT24" i="135" s="1"/>
  <c r="CU24" i="135" s="1"/>
  <c r="CV24" i="135" s="1"/>
  <c r="CW24" i="135" s="1"/>
  <c r="CX24" i="135" s="1"/>
  <c r="CR23" i="135"/>
  <c r="CS23" i="135" s="1"/>
  <c r="CT23" i="135" s="1"/>
  <c r="CU23" i="135" s="1"/>
  <c r="CV23" i="135" s="1"/>
  <c r="CW23" i="135" s="1"/>
  <c r="CX23" i="135" s="1"/>
  <c r="CK19" i="135"/>
  <c r="CL19" i="135" s="1"/>
  <c r="CM19" i="135" s="1"/>
  <c r="CN19" i="135" s="1"/>
  <c r="CO19" i="135" s="1"/>
  <c r="CP19" i="135" s="1"/>
  <c r="CQ19" i="135" s="1"/>
  <c r="CD19" i="135"/>
  <c r="CE19" i="135" s="1"/>
  <c r="CF19" i="135" s="1"/>
  <c r="CG19" i="135" s="1"/>
  <c r="CH19" i="135" s="1"/>
  <c r="CI19" i="135" s="1"/>
  <c r="CJ19" i="135" s="1"/>
  <c r="CC19" i="135"/>
  <c r="CB19" i="135"/>
  <c r="CA19" i="135"/>
  <c r="BZ19" i="135"/>
  <c r="BY19" i="135"/>
  <c r="BX19" i="135"/>
  <c r="BW19" i="135"/>
  <c r="BP19" i="135"/>
  <c r="BQ19" i="135" s="1"/>
  <c r="BR19" i="135" s="1"/>
  <c r="BS19" i="135" s="1"/>
  <c r="BT19" i="135" s="1"/>
  <c r="BU19" i="135" s="1"/>
  <c r="BV19" i="135" s="1"/>
  <c r="BI19" i="135"/>
  <c r="BJ19" i="135" s="1"/>
  <c r="BK19" i="135" s="1"/>
  <c r="BL19" i="135" s="1"/>
  <c r="BM19" i="135" s="1"/>
  <c r="BN19" i="135" s="1"/>
  <c r="BO19" i="135" s="1"/>
  <c r="BB19" i="135"/>
  <c r="BC19" i="135" s="1"/>
  <c r="BD19" i="135" s="1"/>
  <c r="BE19" i="135" s="1"/>
  <c r="BF19" i="135" s="1"/>
  <c r="BG19" i="135" s="1"/>
  <c r="BH19" i="135" s="1"/>
  <c r="CK18" i="135"/>
  <c r="CD18" i="135"/>
  <c r="CC18" i="135"/>
  <c r="DZ18" i="135" s="1"/>
  <c r="CB18" i="135"/>
  <c r="DY18" i="135" s="1"/>
  <c r="CA18" i="135"/>
  <c r="DX18" i="135" s="1"/>
  <c r="BZ18" i="135"/>
  <c r="DW18" i="135" s="1"/>
  <c r="BY18" i="135"/>
  <c r="DV18" i="135" s="1"/>
  <c r="BX18" i="135"/>
  <c r="DU18" i="135" s="1"/>
  <c r="BW18" i="135"/>
  <c r="DT18" i="135" s="1"/>
  <c r="BP18" i="135"/>
  <c r="BI18" i="135"/>
  <c r="BB18" i="135"/>
  <c r="BC18" i="135" s="1"/>
  <c r="BD18" i="135" s="1"/>
  <c r="BE18" i="135" s="1"/>
  <c r="BF18" i="135" s="1"/>
  <c r="BG18" i="135" s="1"/>
  <c r="BH18" i="135" s="1"/>
  <c r="CK17" i="135"/>
  <c r="CD17" i="135"/>
  <c r="CC17" i="135"/>
  <c r="DZ17" i="135" s="1"/>
  <c r="CB17" i="135"/>
  <c r="DY17" i="135" s="1"/>
  <c r="CA17" i="135"/>
  <c r="DX17" i="135" s="1"/>
  <c r="BZ17" i="135"/>
  <c r="DW17" i="135" s="1"/>
  <c r="BY17" i="135"/>
  <c r="DV17" i="135" s="1"/>
  <c r="BX17" i="135"/>
  <c r="DU17" i="135" s="1"/>
  <c r="EZ17" i="135" s="1"/>
  <c r="BW17" i="135"/>
  <c r="DT17" i="135" s="1"/>
  <c r="BP17" i="135"/>
  <c r="BI17" i="135"/>
  <c r="BB17" i="135"/>
  <c r="CC16" i="135"/>
  <c r="CB16" i="135"/>
  <c r="CA16" i="135"/>
  <c r="BZ16" i="135"/>
  <c r="BY16" i="135"/>
  <c r="BX16" i="135"/>
  <c r="BW16" i="135"/>
  <c r="BP16" i="135"/>
  <c r="BQ16" i="135" s="1"/>
  <c r="BR16" i="135" s="1"/>
  <c r="BS16" i="135" s="1"/>
  <c r="BT16" i="135" s="1"/>
  <c r="BU16" i="135" s="1"/>
  <c r="BV16" i="135" s="1"/>
  <c r="BI16" i="135"/>
  <c r="BJ16" i="135" s="1"/>
  <c r="BK16" i="135" s="1"/>
  <c r="BL16" i="135" s="1"/>
  <c r="BM16" i="135" s="1"/>
  <c r="BN16" i="135" s="1"/>
  <c r="BO16" i="135" s="1"/>
  <c r="BB16" i="135"/>
  <c r="BC16" i="135" s="1"/>
  <c r="BD16" i="135" s="1"/>
  <c r="BE16" i="135" s="1"/>
  <c r="BF16" i="135" s="1"/>
  <c r="BG16" i="135" s="1"/>
  <c r="BH16" i="135" s="1"/>
  <c r="CK15" i="135"/>
  <c r="CL15" i="135" s="1"/>
  <c r="CM15" i="135" s="1"/>
  <c r="CN15" i="135" s="1"/>
  <c r="CO15" i="135" s="1"/>
  <c r="CP15" i="135" s="1"/>
  <c r="CQ15" i="135" s="1"/>
  <c r="CD15" i="135"/>
  <c r="CE15" i="135" s="1"/>
  <c r="CF15" i="135" s="1"/>
  <c r="CG15" i="135" s="1"/>
  <c r="CH15" i="135" s="1"/>
  <c r="CI15" i="135" s="1"/>
  <c r="CJ15" i="135" s="1"/>
  <c r="CC15" i="135"/>
  <c r="CB15" i="135"/>
  <c r="CA15" i="135"/>
  <c r="BZ15" i="135"/>
  <c r="BY15" i="135"/>
  <c r="BX15" i="135"/>
  <c r="BW15" i="135"/>
  <c r="BP15" i="135"/>
  <c r="BQ15" i="135" s="1"/>
  <c r="BR15" i="135" s="1"/>
  <c r="BS15" i="135" s="1"/>
  <c r="BT15" i="135" s="1"/>
  <c r="BU15" i="135" s="1"/>
  <c r="BV15" i="135" s="1"/>
  <c r="BI15" i="135"/>
  <c r="BJ15" i="135" s="1"/>
  <c r="BK15" i="135" s="1"/>
  <c r="BL15" i="135" s="1"/>
  <c r="BM15" i="135" s="1"/>
  <c r="BN15" i="135" s="1"/>
  <c r="BO15" i="135" s="1"/>
  <c r="BB15" i="135"/>
  <c r="BC15" i="135" s="1"/>
  <c r="BD15" i="135" s="1"/>
  <c r="BE15" i="135" s="1"/>
  <c r="BF15" i="135" s="1"/>
  <c r="BG15" i="135" s="1"/>
  <c r="BH15" i="135" s="1"/>
  <c r="CC14" i="135"/>
  <c r="CB14" i="135"/>
  <c r="CA14" i="135"/>
  <c r="BZ14" i="135"/>
  <c r="BY14" i="135"/>
  <c r="BX14" i="135"/>
  <c r="BW14" i="135"/>
  <c r="BP14" i="135"/>
  <c r="BQ14" i="135" s="1"/>
  <c r="BR14" i="135" s="1"/>
  <c r="BS14" i="135" s="1"/>
  <c r="BT14" i="135" s="1"/>
  <c r="BU14" i="135" s="1"/>
  <c r="BV14" i="135" s="1"/>
  <c r="BI14" i="135"/>
  <c r="BJ14" i="135" s="1"/>
  <c r="BK14" i="135" s="1"/>
  <c r="BL14" i="135" s="1"/>
  <c r="BM14" i="135" s="1"/>
  <c r="BN14" i="135" s="1"/>
  <c r="BO14" i="135" s="1"/>
  <c r="BP7" i="135"/>
  <c r="BQ7" i="135" s="1"/>
  <c r="BR7" i="135" s="1"/>
  <c r="BS7" i="135" s="1"/>
  <c r="BT7" i="135" s="1"/>
  <c r="BU7" i="135" s="1"/>
  <c r="BV7" i="135" s="1"/>
  <c r="CL10" i="128"/>
  <c r="CL8" i="128"/>
  <c r="CL6" i="128"/>
  <c r="BX10" i="128"/>
  <c r="BX8" i="128"/>
  <c r="BX6" i="128"/>
  <c r="BC10" i="128"/>
  <c r="BC8" i="128"/>
  <c r="BC6" i="128"/>
  <c r="BD6" i="128" s="1"/>
  <c r="I36" i="135"/>
  <c r="I37" i="135"/>
  <c r="BB37" i="135" s="1"/>
  <c r="BC37" i="135" s="1"/>
  <c r="BD37" i="135" s="1"/>
  <c r="BE37" i="135" s="1"/>
  <c r="BF37" i="135" s="1"/>
  <c r="BG37" i="135" s="1"/>
  <c r="BH37" i="135" s="1"/>
  <c r="BG15" i="64"/>
  <c r="BL52" i="113"/>
  <c r="BP53" i="113"/>
  <c r="CS47" i="135" l="1"/>
  <c r="CT47" i="135" s="1"/>
  <c r="CU47" i="135" s="1"/>
  <c r="CV47" i="135" s="1"/>
  <c r="CW47" i="135" s="1"/>
  <c r="CX47" i="135" s="1"/>
  <c r="EO47" i="135"/>
  <c r="CS48" i="135"/>
  <c r="CT48" i="135" s="1"/>
  <c r="CU48" i="135" s="1"/>
  <c r="CV48" i="135" s="1"/>
  <c r="CW48" i="135" s="1"/>
  <c r="CX48" i="135" s="1"/>
  <c r="EO48" i="135"/>
  <c r="CE33" i="135"/>
  <c r="CF33" i="135" s="1"/>
  <c r="CG33" i="135" s="1"/>
  <c r="CH33" i="135" s="1"/>
  <c r="CI33" i="135" s="1"/>
  <c r="CJ33" i="135" s="1"/>
  <c r="EA33" i="135"/>
  <c r="CL17" i="135"/>
  <c r="CM17" i="135" s="1"/>
  <c r="CN17" i="135" s="1"/>
  <c r="CO17" i="135" s="1"/>
  <c r="CP17" i="135" s="1"/>
  <c r="CQ17" i="135" s="1"/>
  <c r="EH17" i="135"/>
  <c r="CA29" i="135"/>
  <c r="CE48" i="135"/>
  <c r="CF48" i="135" s="1"/>
  <c r="CG48" i="135" s="1"/>
  <c r="CH48" i="135" s="1"/>
  <c r="CI48" i="135" s="1"/>
  <c r="CJ48" i="135" s="1"/>
  <c r="EA48" i="135"/>
  <c r="CE32" i="135"/>
  <c r="CF32" i="135" s="1"/>
  <c r="CG32" i="135" s="1"/>
  <c r="CH32" i="135" s="1"/>
  <c r="CI32" i="135" s="1"/>
  <c r="CJ32" i="135" s="1"/>
  <c r="EA32" i="135"/>
  <c r="CC29" i="135"/>
  <c r="CE47" i="135"/>
  <c r="CF47" i="135" s="1"/>
  <c r="CG47" i="135" s="1"/>
  <c r="CH47" i="135" s="1"/>
  <c r="CI47" i="135" s="1"/>
  <c r="CJ47" i="135" s="1"/>
  <c r="EA47" i="135"/>
  <c r="CE18" i="135"/>
  <c r="CF18" i="135" s="1"/>
  <c r="CG18" i="135" s="1"/>
  <c r="CH18" i="135" s="1"/>
  <c r="CI18" i="135" s="1"/>
  <c r="CJ18" i="135" s="1"/>
  <c r="EA18" i="135"/>
  <c r="BZ32" i="135"/>
  <c r="DW32" i="135" s="1"/>
  <c r="CL47" i="135"/>
  <c r="CM47" i="135" s="1"/>
  <c r="CN47" i="135" s="1"/>
  <c r="CO47" i="135" s="1"/>
  <c r="CP47" i="135" s="1"/>
  <c r="CQ47" i="135" s="1"/>
  <c r="EH47" i="135"/>
  <c r="CL48" i="135"/>
  <c r="CM48" i="135" s="1"/>
  <c r="CN48" i="135" s="1"/>
  <c r="CO48" i="135" s="1"/>
  <c r="CP48" i="135" s="1"/>
  <c r="CQ48" i="135" s="1"/>
  <c r="EH48" i="135"/>
  <c r="CL18" i="135"/>
  <c r="CM18" i="135" s="1"/>
  <c r="CN18" i="135" s="1"/>
  <c r="CO18" i="135" s="1"/>
  <c r="CP18" i="135" s="1"/>
  <c r="CQ18" i="135" s="1"/>
  <c r="EH18" i="135"/>
  <c r="BY33" i="135"/>
  <c r="DV33" i="135" s="1"/>
  <c r="CE17" i="135"/>
  <c r="CF17" i="135" s="1"/>
  <c r="CG17" i="135" s="1"/>
  <c r="CH17" i="135" s="1"/>
  <c r="CI17" i="135" s="1"/>
  <c r="CJ17" i="135" s="1"/>
  <c r="EA17" i="135"/>
  <c r="CL32" i="135"/>
  <c r="CM32" i="135" s="1"/>
  <c r="CN32" i="135" s="1"/>
  <c r="CO32" i="135" s="1"/>
  <c r="CP32" i="135" s="1"/>
  <c r="CQ32" i="135" s="1"/>
  <c r="EH32" i="135"/>
  <c r="CL33" i="135"/>
  <c r="CM33" i="135" s="1"/>
  <c r="CN33" i="135" s="1"/>
  <c r="CO33" i="135" s="1"/>
  <c r="CP33" i="135" s="1"/>
  <c r="CQ33" i="135" s="1"/>
  <c r="EH33" i="135"/>
  <c r="BZ30" i="135"/>
  <c r="BQ17" i="135"/>
  <c r="DM17" i="135"/>
  <c r="BQ18" i="135"/>
  <c r="DM18" i="135"/>
  <c r="BJ33" i="135"/>
  <c r="DF33" i="135"/>
  <c r="BJ32" i="135"/>
  <c r="DF32" i="135"/>
  <c r="BJ48" i="135"/>
  <c r="DF48" i="135"/>
  <c r="BJ18" i="135"/>
  <c r="DF18" i="135"/>
  <c r="BJ47" i="135"/>
  <c r="DF47" i="135"/>
  <c r="BJ17" i="135"/>
  <c r="DF17" i="135"/>
  <c r="BZ44" i="135"/>
  <c r="BP22" i="135"/>
  <c r="BQ22" i="135" s="1"/>
  <c r="BR22" i="135" s="1"/>
  <c r="BS22" i="135" s="1"/>
  <c r="BT22" i="135" s="1"/>
  <c r="BU22" i="135" s="1"/>
  <c r="BV22" i="135" s="1"/>
  <c r="CA44" i="135"/>
  <c r="CC44" i="135"/>
  <c r="BP47" i="135"/>
  <c r="BC17" i="135"/>
  <c r="BD17" i="135" s="1"/>
  <c r="BE17" i="135" s="1"/>
  <c r="BF17" i="135" s="1"/>
  <c r="BG17" i="135" s="1"/>
  <c r="BH17" i="135" s="1"/>
  <c r="DE17" i="135" s="1"/>
  <c r="BW44" i="135"/>
  <c r="BY44" i="135"/>
  <c r="CA30" i="135"/>
  <c r="CA32" i="135"/>
  <c r="DX32" i="135" s="1"/>
  <c r="BZ33" i="135"/>
  <c r="DW33" i="135" s="1"/>
  <c r="CA34" i="135"/>
  <c r="CC30" i="135"/>
  <c r="CC32" i="135"/>
  <c r="DZ32" i="135" s="1"/>
  <c r="CA33" i="135"/>
  <c r="DX33" i="135" s="1"/>
  <c r="CB34" i="135"/>
  <c r="BW31" i="135"/>
  <c r="CC33" i="135"/>
  <c r="DZ33" i="135" s="1"/>
  <c r="CC34" i="135"/>
  <c r="BX31" i="135"/>
  <c r="BY31" i="135"/>
  <c r="BW30" i="135"/>
  <c r="CA31" i="135"/>
  <c r="BW32" i="135"/>
  <c r="DT32" i="135" s="1"/>
  <c r="BW34" i="135"/>
  <c r="BY30" i="135"/>
  <c r="CB31" i="135"/>
  <c r="BY32" i="135"/>
  <c r="DV32" i="135" s="1"/>
  <c r="BW33" i="135"/>
  <c r="DT33" i="135" s="1"/>
  <c r="BX34" i="135"/>
  <c r="BP44" i="135"/>
  <c r="BQ44" i="135" s="1"/>
  <c r="BR44" i="135" s="1"/>
  <c r="BS44" i="135" s="1"/>
  <c r="BT44" i="135" s="1"/>
  <c r="BU44" i="135" s="1"/>
  <c r="BV44" i="135" s="1"/>
  <c r="CY17" i="135"/>
  <c r="BP30" i="135"/>
  <c r="BQ30" i="135" s="1"/>
  <c r="BR30" i="135" s="1"/>
  <c r="BS30" i="135" s="1"/>
  <c r="BT30" i="135" s="1"/>
  <c r="BU30" i="135" s="1"/>
  <c r="BV30" i="135" s="1"/>
  <c r="BP32" i="135"/>
  <c r="BP34" i="135"/>
  <c r="BQ34" i="135" s="1"/>
  <c r="BR34" i="135" s="1"/>
  <c r="BS34" i="135" s="1"/>
  <c r="BT34" i="135" s="1"/>
  <c r="BU34" i="135" s="1"/>
  <c r="BV34" i="135" s="1"/>
  <c r="BP29" i="135"/>
  <c r="BQ29" i="135" s="1"/>
  <c r="BR29" i="135" s="1"/>
  <c r="BS29" i="135" s="1"/>
  <c r="BT29" i="135" s="1"/>
  <c r="BU29" i="135" s="1"/>
  <c r="BV29" i="135" s="1"/>
  <c r="CB29" i="135"/>
  <c r="BX30" i="135"/>
  <c r="BZ31" i="135"/>
  <c r="CB32" i="135"/>
  <c r="DY32" i="135" s="1"/>
  <c r="BX33" i="135"/>
  <c r="DU33" i="135" s="1"/>
  <c r="BZ34" i="135"/>
  <c r="BX44" i="135"/>
  <c r="BZ45" i="135"/>
  <c r="CB46" i="135"/>
  <c r="CC47" i="135"/>
  <c r="BX48" i="135"/>
  <c r="DU48" i="135" s="1"/>
  <c r="CA49" i="135"/>
  <c r="BP33" i="135"/>
  <c r="DV48" i="135"/>
  <c r="BP49" i="135"/>
  <c r="BQ49" i="135" s="1"/>
  <c r="BR49" i="135" s="1"/>
  <c r="BS49" i="135" s="1"/>
  <c r="BT49" i="135" s="1"/>
  <c r="BU49" i="135" s="1"/>
  <c r="BV49" i="135" s="1"/>
  <c r="BP48" i="135"/>
  <c r="BP46" i="135"/>
  <c r="BQ46" i="135" s="1"/>
  <c r="BR46" i="135" s="1"/>
  <c r="BS46" i="135" s="1"/>
  <c r="BT46" i="135" s="1"/>
  <c r="BU46" i="135" s="1"/>
  <c r="BV46" i="135" s="1"/>
  <c r="BP31" i="135"/>
  <c r="BQ31" i="135" s="1"/>
  <c r="BR31" i="135" s="1"/>
  <c r="BS31" i="135" s="1"/>
  <c r="BT31" i="135" s="1"/>
  <c r="BU31" i="135" s="1"/>
  <c r="BV31" i="135" s="1"/>
  <c r="BP45" i="135"/>
  <c r="BQ45" i="135" s="1"/>
  <c r="BR45" i="135" s="1"/>
  <c r="BS45" i="135" s="1"/>
  <c r="BT45" i="135" s="1"/>
  <c r="BU45" i="135" s="1"/>
  <c r="BV45" i="135" s="1"/>
  <c r="CY32" i="135"/>
  <c r="CY33" i="135"/>
  <c r="CY18" i="135"/>
  <c r="S33" i="104"/>
  <c r="S31" i="104"/>
  <c r="DU47" i="135"/>
  <c r="DX47" i="135"/>
  <c r="AD68" i="135"/>
  <c r="AD69" i="135"/>
  <c r="AE70" i="135"/>
  <c r="AD72" i="135"/>
  <c r="AF73" i="135"/>
  <c r="AK67" i="135" s="1"/>
  <c r="AG14" i="135" s="1"/>
  <c r="AE74" i="135"/>
  <c r="AJ68" i="135" s="1"/>
  <c r="AF15" i="135" s="1"/>
  <c r="AG67" i="135"/>
  <c r="AL72" i="135" s="1"/>
  <c r="EV8" i="104"/>
  <c r="EV9" i="104"/>
  <c r="EV10" i="104"/>
  <c r="EV11" i="104"/>
  <c r="EV12" i="104"/>
  <c r="EV13" i="104"/>
  <c r="EV14" i="104"/>
  <c r="EV15" i="104"/>
  <c r="EV16" i="104"/>
  <c r="EV17" i="104"/>
  <c r="EV18" i="104"/>
  <c r="EV31" i="104"/>
  <c r="EV32" i="104"/>
  <c r="EV34" i="104"/>
  <c r="EV35" i="104"/>
  <c r="EV36" i="104"/>
  <c r="EV38" i="104"/>
  <c r="EV39" i="104"/>
  <c r="EV40" i="104"/>
  <c r="EV42" i="104"/>
  <c r="EV43" i="104"/>
  <c r="EV44" i="104"/>
  <c r="EV45" i="104"/>
  <c r="EV46" i="104"/>
  <c r="EV47" i="104"/>
  <c r="EV48" i="104"/>
  <c r="EV49" i="104"/>
  <c r="EV58" i="104"/>
  <c r="EV59" i="104"/>
  <c r="EV62" i="104"/>
  <c r="EV119" i="104"/>
  <c r="EO62" i="104"/>
  <c r="EP62" i="104"/>
  <c r="EQ62" i="104"/>
  <c r="ER62" i="104"/>
  <c r="ES62" i="104"/>
  <c r="ET62" i="104"/>
  <c r="EU62" i="104"/>
  <c r="EO119" i="104"/>
  <c r="EP119" i="104"/>
  <c r="EQ119" i="104"/>
  <c r="ER119" i="104"/>
  <c r="ES119" i="104"/>
  <c r="ET119" i="104"/>
  <c r="EU119" i="104"/>
  <c r="EH62" i="104"/>
  <c r="EI62" i="104"/>
  <c r="EJ62" i="104"/>
  <c r="EK62" i="104"/>
  <c r="EL62" i="104"/>
  <c r="EM62" i="104"/>
  <c r="EN62" i="104"/>
  <c r="EH119" i="104"/>
  <c r="EI119" i="104"/>
  <c r="EJ119" i="104"/>
  <c r="EK119" i="104"/>
  <c r="EL119" i="104"/>
  <c r="EM119" i="104"/>
  <c r="EN119" i="104"/>
  <c r="CD6" i="104"/>
  <c r="CK6" i="104"/>
  <c r="EA62" i="104"/>
  <c r="EB62" i="104"/>
  <c r="EC62" i="104"/>
  <c r="ED62" i="104"/>
  <c r="EE62" i="104"/>
  <c r="EF62" i="104"/>
  <c r="EG62" i="104"/>
  <c r="EA119" i="104"/>
  <c r="EB119" i="104"/>
  <c r="EC119" i="104"/>
  <c r="ED119" i="104"/>
  <c r="EE119" i="104"/>
  <c r="EF119" i="104"/>
  <c r="EG119" i="104"/>
  <c r="DT62" i="104"/>
  <c r="DU62" i="104"/>
  <c r="DV62" i="104"/>
  <c r="DW62" i="104"/>
  <c r="DX62" i="104"/>
  <c r="DY62" i="104"/>
  <c r="DZ62" i="104"/>
  <c r="DT119" i="104"/>
  <c r="DU119" i="104"/>
  <c r="DV119" i="104"/>
  <c r="DW119" i="104"/>
  <c r="DX119" i="104"/>
  <c r="DY119" i="104"/>
  <c r="DZ119" i="104"/>
  <c r="DM62" i="104"/>
  <c r="DN62" i="104"/>
  <c r="DO62" i="104"/>
  <c r="DP62" i="104"/>
  <c r="DQ62" i="104"/>
  <c r="DR62" i="104"/>
  <c r="DS62" i="104"/>
  <c r="DM119" i="104"/>
  <c r="DN119" i="104"/>
  <c r="DO119" i="104"/>
  <c r="DP119" i="104"/>
  <c r="DQ119" i="104"/>
  <c r="DR119" i="104"/>
  <c r="DS119" i="104"/>
  <c r="BP6" i="104"/>
  <c r="DF62" i="104"/>
  <c r="DG62" i="104"/>
  <c r="DH62" i="104"/>
  <c r="DI62" i="104"/>
  <c r="DJ62" i="104"/>
  <c r="DK62" i="104"/>
  <c r="DL62" i="104"/>
  <c r="DF119" i="104"/>
  <c r="DG119" i="104"/>
  <c r="DH119" i="104"/>
  <c r="DI119" i="104"/>
  <c r="DJ119" i="104"/>
  <c r="DK119" i="104"/>
  <c r="DL119" i="104"/>
  <c r="CY62" i="104"/>
  <c r="CZ62" i="104"/>
  <c r="DA62" i="104"/>
  <c r="DB62" i="104"/>
  <c r="DC62" i="104"/>
  <c r="DD62" i="104"/>
  <c r="DE62" i="104"/>
  <c r="CY119" i="104"/>
  <c r="CZ119" i="104"/>
  <c r="DA119" i="104"/>
  <c r="DB119" i="104"/>
  <c r="DC119" i="104"/>
  <c r="DD119" i="104"/>
  <c r="DE119" i="104"/>
  <c r="BI6" i="104"/>
  <c r="BJ6" i="104" s="1"/>
  <c r="DL1" i="104"/>
  <c r="CR6" i="104"/>
  <c r="BQ6" i="104"/>
  <c r="BR6" i="104" s="1"/>
  <c r="H199" i="104"/>
  <c r="G199" i="104"/>
  <c r="G198" i="104"/>
  <c r="H198" i="104"/>
  <c r="BN52" i="113"/>
  <c r="BL66" i="113"/>
  <c r="BQ52" i="113"/>
  <c r="BM52" i="113"/>
  <c r="BN53" i="113"/>
  <c r="BO66" i="113"/>
  <c r="BM67" i="113"/>
  <c r="BP52" i="113"/>
  <c r="BO52" i="113"/>
  <c r="BK52" i="113"/>
  <c r="BL53" i="113"/>
  <c r="BM53" i="113"/>
  <c r="BQ53" i="113"/>
  <c r="BO53" i="113"/>
  <c r="BL67" i="113"/>
  <c r="BK53" i="113"/>
  <c r="EZ33" i="135" l="1"/>
  <c r="EZ32" i="135"/>
  <c r="AH19" i="135"/>
  <c r="AI19" i="135" s="1"/>
  <c r="AJ19" i="135" s="1"/>
  <c r="FC62" i="104"/>
  <c r="EX119" i="104"/>
  <c r="FA62" i="104"/>
  <c r="FC119" i="104"/>
  <c r="FB119" i="104"/>
  <c r="EZ119" i="104"/>
  <c r="EY62" i="104"/>
  <c r="EZ62" i="104"/>
  <c r="EW119" i="104"/>
  <c r="EW62" i="104"/>
  <c r="EX62" i="104"/>
  <c r="EY119" i="104"/>
  <c r="FB62" i="104"/>
  <c r="FA119" i="104"/>
  <c r="DM15" i="135"/>
  <c r="EA15" i="135"/>
  <c r="EH15" i="135"/>
  <c r="BQ33" i="135"/>
  <c r="DM33" i="135"/>
  <c r="BQ47" i="135"/>
  <c r="DM47" i="135"/>
  <c r="BQ32" i="135"/>
  <c r="DM32" i="135"/>
  <c r="BR18" i="135"/>
  <c r="DN18" i="135"/>
  <c r="BQ48" i="135"/>
  <c r="DM48" i="135"/>
  <c r="BR17" i="135"/>
  <c r="DN17" i="135"/>
  <c r="BK18" i="135"/>
  <c r="DG18" i="135"/>
  <c r="BK48" i="135"/>
  <c r="DG48" i="135"/>
  <c r="BK17" i="135"/>
  <c r="DG17" i="135"/>
  <c r="BK32" i="135"/>
  <c r="DG32" i="135"/>
  <c r="AD30" i="135"/>
  <c r="DF15" i="135"/>
  <c r="BK47" i="135"/>
  <c r="DG47" i="135"/>
  <c r="BK33" i="135"/>
  <c r="DG33" i="135"/>
  <c r="DB17" i="135"/>
  <c r="AE68" i="135"/>
  <c r="AD70" i="135"/>
  <c r="AF67" i="135"/>
  <c r="AK72" i="135" s="1"/>
  <c r="AG69" i="135"/>
  <c r="AF69" i="135"/>
  <c r="AD74" i="135"/>
  <c r="AI68" i="135" s="1"/>
  <c r="AE15" i="135" s="1"/>
  <c r="AG68" i="135"/>
  <c r="AG73" i="135"/>
  <c r="AL67" i="135" s="1"/>
  <c r="AH14" i="135" s="1"/>
  <c r="AI14" i="135" s="1"/>
  <c r="AJ14" i="135" s="1"/>
  <c r="AF68" i="135"/>
  <c r="DT15" i="135"/>
  <c r="AF72" i="135"/>
  <c r="AG70" i="135"/>
  <c r="DT47" i="135"/>
  <c r="CY48" i="135"/>
  <c r="DT48" i="135"/>
  <c r="CY47" i="135"/>
  <c r="EB48" i="135"/>
  <c r="EB47" i="135"/>
  <c r="CZ48" i="135"/>
  <c r="CZ47" i="135"/>
  <c r="DC47" i="135"/>
  <c r="EI48" i="135"/>
  <c r="EI47" i="135"/>
  <c r="EP48" i="135"/>
  <c r="EP47" i="135"/>
  <c r="CZ33" i="135"/>
  <c r="DC33" i="135"/>
  <c r="DB33" i="135"/>
  <c r="DE33" i="135"/>
  <c r="CZ32" i="135"/>
  <c r="DC32" i="135"/>
  <c r="DB32" i="135"/>
  <c r="DE32" i="135"/>
  <c r="EI33" i="135"/>
  <c r="EI32" i="135"/>
  <c r="DC17" i="135"/>
  <c r="CZ17" i="135"/>
  <c r="EI18" i="135"/>
  <c r="EI17" i="135"/>
  <c r="EB18" i="135"/>
  <c r="DX48" i="135"/>
  <c r="AF70" i="135"/>
  <c r="AD71" i="135"/>
  <c r="AE71" i="135"/>
  <c r="DW48" i="135"/>
  <c r="AG72" i="135"/>
  <c r="AD67" i="135"/>
  <c r="AI72" i="135" s="1"/>
  <c r="AE19" i="135" s="1"/>
  <c r="AE67" i="135"/>
  <c r="AJ72" i="135" s="1"/>
  <c r="AF19" i="135" s="1"/>
  <c r="DV19" i="135" s="1"/>
  <c r="AG74" i="135"/>
  <c r="AL68" i="135" s="1"/>
  <c r="AE72" i="135"/>
  <c r="AF74" i="135"/>
  <c r="AK68" i="135" s="1"/>
  <c r="AG15" i="135" s="1"/>
  <c r="DW47" i="135"/>
  <c r="AI67" i="135"/>
  <c r="AE73" i="135"/>
  <c r="AJ67" i="135" s="1"/>
  <c r="AF14" i="135" s="1"/>
  <c r="DO14" i="135" s="1"/>
  <c r="AG71" i="135"/>
  <c r="DV47" i="135"/>
  <c r="AF71" i="135"/>
  <c r="AE69" i="135"/>
  <c r="CK33" i="104"/>
  <c r="BN66" i="113"/>
  <c r="BO67" i="113"/>
  <c r="BK67" i="113"/>
  <c r="BM66" i="113"/>
  <c r="BN67" i="113"/>
  <c r="BK66" i="113"/>
  <c r="AE14" i="135" l="1"/>
  <c r="DN14" i="135" s="1"/>
  <c r="AI69" i="135"/>
  <c r="AE16" i="135" s="1"/>
  <c r="DO19" i="135"/>
  <c r="DO15" i="135"/>
  <c r="AH15" i="135"/>
  <c r="AI15" i="135" s="1"/>
  <c r="AJ15" i="135" s="1"/>
  <c r="DH19" i="135"/>
  <c r="AF34" i="135"/>
  <c r="DA34" i="135" s="1"/>
  <c r="DN19" i="135"/>
  <c r="AG19" i="135"/>
  <c r="DP19" i="135" s="1"/>
  <c r="DT30" i="135"/>
  <c r="EB19" i="135"/>
  <c r="DM19" i="135"/>
  <c r="EH19" i="135"/>
  <c r="EA19" i="135"/>
  <c r="DM30" i="135"/>
  <c r="EH30" i="135"/>
  <c r="EA30" i="135"/>
  <c r="BS18" i="135"/>
  <c r="DO18" i="135"/>
  <c r="DG15" i="135"/>
  <c r="DN15" i="135"/>
  <c r="BR32" i="135"/>
  <c r="DN32" i="135"/>
  <c r="BS17" i="135"/>
  <c r="DO17" i="135"/>
  <c r="BR47" i="135"/>
  <c r="DN47" i="135"/>
  <c r="BR48" i="135"/>
  <c r="DN48" i="135"/>
  <c r="BR33" i="135"/>
  <c r="DN33" i="135"/>
  <c r="BL33" i="135"/>
  <c r="DH33" i="135"/>
  <c r="BL17" i="135"/>
  <c r="DH17" i="135"/>
  <c r="DV15" i="135"/>
  <c r="DH15" i="135"/>
  <c r="BL47" i="135"/>
  <c r="DH47" i="135"/>
  <c r="DF19" i="135"/>
  <c r="DV14" i="135"/>
  <c r="DH14" i="135"/>
  <c r="CZ19" i="135"/>
  <c r="DG19" i="135"/>
  <c r="AD45" i="135"/>
  <c r="EO45" i="135" s="1"/>
  <c r="DF30" i="135"/>
  <c r="BL48" i="135"/>
  <c r="DH48" i="135"/>
  <c r="BL32" i="135"/>
  <c r="DH32" i="135"/>
  <c r="BL18" i="135"/>
  <c r="DH18" i="135"/>
  <c r="AK69" i="135"/>
  <c r="CY15" i="135"/>
  <c r="AE30" i="135"/>
  <c r="DU15" i="135"/>
  <c r="AE34" i="135"/>
  <c r="DU19" i="135"/>
  <c r="CY19" i="135"/>
  <c r="AD34" i="135"/>
  <c r="DT19" i="135"/>
  <c r="EB15" i="135"/>
  <c r="EI15" i="135"/>
  <c r="EI19" i="135"/>
  <c r="CZ15" i="135"/>
  <c r="DB47" i="135"/>
  <c r="DC48" i="135"/>
  <c r="DB48" i="135"/>
  <c r="EQ48" i="135"/>
  <c r="EJ47" i="135"/>
  <c r="EC47" i="135"/>
  <c r="DA47" i="135"/>
  <c r="DD47" i="135"/>
  <c r="EJ48" i="135"/>
  <c r="DA48" i="135"/>
  <c r="EC48" i="135"/>
  <c r="EQ47" i="135"/>
  <c r="EJ33" i="135"/>
  <c r="EB33" i="135"/>
  <c r="EJ32" i="135"/>
  <c r="EB32" i="135"/>
  <c r="DA32" i="135"/>
  <c r="DD32" i="135"/>
  <c r="DA33" i="135"/>
  <c r="DD33" i="135"/>
  <c r="EC18" i="135"/>
  <c r="DA19" i="135"/>
  <c r="EJ19" i="135"/>
  <c r="EC15" i="135"/>
  <c r="DA15" i="135"/>
  <c r="EJ17" i="135"/>
  <c r="EB17" i="135"/>
  <c r="DD17" i="135"/>
  <c r="DA17" i="135"/>
  <c r="EW17" i="135" s="1"/>
  <c r="DB18" i="135"/>
  <c r="DE18" i="135"/>
  <c r="EC19" i="135"/>
  <c r="EJ18" i="135"/>
  <c r="DC18" i="135"/>
  <c r="CZ18" i="135"/>
  <c r="EJ15" i="135"/>
  <c r="AJ69" i="135"/>
  <c r="AF16" i="135" s="1"/>
  <c r="DY47" i="135"/>
  <c r="EZ47" i="135" s="1"/>
  <c r="FI17" i="135" s="1"/>
  <c r="DZ47" i="135"/>
  <c r="DP14" i="135"/>
  <c r="AF29" i="135"/>
  <c r="AL69" i="135"/>
  <c r="DY48" i="135"/>
  <c r="EZ48" i="135" s="1"/>
  <c r="FI18" i="135" s="1"/>
  <c r="DZ48" i="135"/>
  <c r="AF30" i="135"/>
  <c r="DO30" i="135" s="1"/>
  <c r="DQ19" i="135"/>
  <c r="BP66" i="113"/>
  <c r="BP67" i="113"/>
  <c r="BQ66" i="113"/>
  <c r="BQ67" i="113"/>
  <c r="BK50" i="113"/>
  <c r="DG14" i="135" l="1"/>
  <c r="AG34" i="135"/>
  <c r="AG49" i="135" s="1"/>
  <c r="DP49" i="135" s="1"/>
  <c r="CZ14" i="135"/>
  <c r="DB19" i="135"/>
  <c r="AE29" i="135"/>
  <c r="DG29" i="135" s="1"/>
  <c r="EJ34" i="135"/>
  <c r="DU14" i="135"/>
  <c r="DH34" i="135"/>
  <c r="EV14" i="135"/>
  <c r="DW19" i="135"/>
  <c r="DV34" i="135"/>
  <c r="AF49" i="135"/>
  <c r="DO49" i="135" s="1"/>
  <c r="DI19" i="135"/>
  <c r="DO34" i="135"/>
  <c r="DN30" i="135"/>
  <c r="DO16" i="135"/>
  <c r="AH16" i="135"/>
  <c r="AI16" i="135" s="1"/>
  <c r="AJ16" i="135" s="1"/>
  <c r="DN16" i="135"/>
  <c r="AG16" i="135"/>
  <c r="DP16" i="135" s="1"/>
  <c r="EV19" i="135"/>
  <c r="EV15" i="135"/>
  <c r="EW33" i="135"/>
  <c r="EW32" i="135"/>
  <c r="EH34" i="135"/>
  <c r="EA34" i="135"/>
  <c r="DM45" i="135"/>
  <c r="EH45" i="135"/>
  <c r="EA45" i="135"/>
  <c r="DF34" i="135"/>
  <c r="DM34" i="135"/>
  <c r="BT17" i="135"/>
  <c r="DP17" i="135"/>
  <c r="BS32" i="135"/>
  <c r="DO32" i="135"/>
  <c r="DI15" i="135"/>
  <c r="DP15" i="135"/>
  <c r="DF16" i="135"/>
  <c r="DM16" i="135"/>
  <c r="DF14" i="135"/>
  <c r="DM14" i="135"/>
  <c r="DG34" i="135"/>
  <c r="DN34" i="135"/>
  <c r="EC49" i="135"/>
  <c r="BS33" i="135"/>
  <c r="DO33" i="135"/>
  <c r="BS47" i="135"/>
  <c r="DO47" i="135"/>
  <c r="BT18" i="135"/>
  <c r="DP18" i="135"/>
  <c r="DH29" i="135"/>
  <c r="DO29" i="135"/>
  <c r="BS48" i="135"/>
  <c r="DO48" i="135"/>
  <c r="DV16" i="135"/>
  <c r="DH16" i="135"/>
  <c r="DH49" i="135"/>
  <c r="DG30" i="135"/>
  <c r="BM32" i="135"/>
  <c r="DI32" i="135"/>
  <c r="DG16" i="135"/>
  <c r="DW14" i="135"/>
  <c r="DI14" i="135"/>
  <c r="BM48" i="135"/>
  <c r="DI48" i="135"/>
  <c r="BM17" i="135"/>
  <c r="DI17" i="135"/>
  <c r="DX19" i="135"/>
  <c r="DJ19" i="135"/>
  <c r="EJ30" i="135"/>
  <c r="DH30" i="135"/>
  <c r="BM18" i="135"/>
  <c r="DI18" i="135"/>
  <c r="DF45" i="135"/>
  <c r="DT45" i="135"/>
  <c r="BM47" i="135"/>
  <c r="DI47" i="135"/>
  <c r="BM33" i="135"/>
  <c r="DI33" i="135"/>
  <c r="DA30" i="135"/>
  <c r="CZ16" i="135"/>
  <c r="DU16" i="135"/>
  <c r="AE31" i="135"/>
  <c r="AF44" i="135"/>
  <c r="DO44" i="135" s="1"/>
  <c r="DV29" i="135"/>
  <c r="EB34" i="135"/>
  <c r="DA16" i="135"/>
  <c r="DB14" i="135"/>
  <c r="AD49" i="135"/>
  <c r="EO49" i="135" s="1"/>
  <c r="DT34" i="135"/>
  <c r="CY34" i="135"/>
  <c r="DC19" i="135"/>
  <c r="CY14" i="135"/>
  <c r="EC30" i="135"/>
  <c r="AE45" i="135"/>
  <c r="EB30" i="135"/>
  <c r="EI30" i="135"/>
  <c r="DU30" i="135"/>
  <c r="CZ30" i="135"/>
  <c r="AD31" i="135"/>
  <c r="DT16" i="135"/>
  <c r="AD29" i="135"/>
  <c r="DT14" i="135"/>
  <c r="CY16" i="135"/>
  <c r="CZ29" i="135"/>
  <c r="CY30" i="135"/>
  <c r="AE49" i="135"/>
  <c r="DU34" i="135"/>
  <c r="EI34" i="135"/>
  <c r="CZ34" i="135"/>
  <c r="AF45" i="135"/>
  <c r="DV30" i="135"/>
  <c r="DW15" i="135"/>
  <c r="DB15" i="135"/>
  <c r="DE47" i="135"/>
  <c r="EW47" i="135" s="1"/>
  <c r="FF17" i="135" s="1"/>
  <c r="DD48" i="135"/>
  <c r="DE48" i="135"/>
  <c r="EK48" i="135"/>
  <c r="EK47" i="135"/>
  <c r="ER48" i="135"/>
  <c r="ER47" i="135"/>
  <c r="DA49" i="135"/>
  <c r="ED48" i="135"/>
  <c r="ED47" i="135"/>
  <c r="DA29" i="135"/>
  <c r="EC32" i="135"/>
  <c r="EC34" i="135"/>
  <c r="EK33" i="135"/>
  <c r="EC33" i="135"/>
  <c r="EK32" i="135"/>
  <c r="DA14" i="135"/>
  <c r="EK15" i="135"/>
  <c r="ED18" i="135"/>
  <c r="EC17" i="135"/>
  <c r="ED19" i="135"/>
  <c r="EK17" i="135"/>
  <c r="ED15" i="135"/>
  <c r="EK19" i="135"/>
  <c r="EK18" i="135"/>
  <c r="DD18" i="135"/>
  <c r="DA18" i="135"/>
  <c r="AF31" i="135"/>
  <c r="DR19" i="135"/>
  <c r="AH34" i="135"/>
  <c r="DQ14" i="135"/>
  <c r="AG29" i="135"/>
  <c r="DP29" i="135" s="1"/>
  <c r="AG30" i="135"/>
  <c r="BL50" i="113"/>
  <c r="BM50" i="113"/>
  <c r="BK64" i="113"/>
  <c r="BM49" i="113"/>
  <c r="BM54" i="113"/>
  <c r="BK54" i="113"/>
  <c r="BL54" i="113"/>
  <c r="EV16" i="135" l="1"/>
  <c r="DN29" i="135"/>
  <c r="EK34" i="135"/>
  <c r="DP34" i="135"/>
  <c r="DU29" i="135"/>
  <c r="DI34" i="135"/>
  <c r="DW34" i="135"/>
  <c r="AE44" i="135"/>
  <c r="DG44" i="135" s="1"/>
  <c r="DB34" i="135"/>
  <c r="EQ49" i="135"/>
  <c r="EJ49" i="135"/>
  <c r="DV49" i="135"/>
  <c r="EW18" i="135"/>
  <c r="DN31" i="135"/>
  <c r="EW48" i="135"/>
  <c r="FF18" i="135" s="1"/>
  <c r="EA49" i="135"/>
  <c r="EH49" i="135"/>
  <c r="DI30" i="135"/>
  <c r="DP30" i="135"/>
  <c r="DJ15" i="135"/>
  <c r="DQ15" i="135"/>
  <c r="DH45" i="135"/>
  <c r="DO45" i="135"/>
  <c r="DG45" i="135"/>
  <c r="DN45" i="135"/>
  <c r="BU18" i="135"/>
  <c r="DQ18" i="135"/>
  <c r="DF49" i="135"/>
  <c r="DM49" i="135"/>
  <c r="BT32" i="135"/>
  <c r="DP32" i="135"/>
  <c r="DF31" i="135"/>
  <c r="DM31" i="135"/>
  <c r="BT47" i="135"/>
  <c r="DP47" i="135"/>
  <c r="DJ34" i="135"/>
  <c r="DQ34" i="135"/>
  <c r="BU17" i="135"/>
  <c r="DQ17" i="135"/>
  <c r="DG49" i="135"/>
  <c r="DN49" i="135"/>
  <c r="DN44" i="135"/>
  <c r="BT48" i="135"/>
  <c r="DP48" i="135"/>
  <c r="BT33" i="135"/>
  <c r="DP33" i="135"/>
  <c r="DH31" i="135"/>
  <c r="DO31" i="135"/>
  <c r="DF29" i="135"/>
  <c r="DM29" i="135"/>
  <c r="DX14" i="135"/>
  <c r="DJ14" i="135"/>
  <c r="BN33" i="135"/>
  <c r="DJ33" i="135"/>
  <c r="BN17" i="135"/>
  <c r="DJ17" i="135"/>
  <c r="BN32" i="135"/>
  <c r="DJ32" i="135"/>
  <c r="BN47" i="135"/>
  <c r="DJ47" i="135"/>
  <c r="BN18" i="135"/>
  <c r="DJ18" i="135"/>
  <c r="BN48" i="135"/>
  <c r="DJ48" i="135"/>
  <c r="DI16" i="135"/>
  <c r="DH44" i="135"/>
  <c r="DU31" i="135"/>
  <c r="DG31" i="135"/>
  <c r="DY19" i="135"/>
  <c r="DK19" i="135"/>
  <c r="EK49" i="135"/>
  <c r="DI49" i="135"/>
  <c r="DI29" i="135"/>
  <c r="CZ31" i="135"/>
  <c r="AE46" i="135"/>
  <c r="DA44" i="135"/>
  <c r="ED49" i="135"/>
  <c r="DD19" i="135"/>
  <c r="ER49" i="135"/>
  <c r="AH49" i="135"/>
  <c r="DQ49" i="135" s="1"/>
  <c r="DX34" i="135"/>
  <c r="DC34" i="135"/>
  <c r="AF46" i="135"/>
  <c r="DV31" i="135"/>
  <c r="DA31" i="135"/>
  <c r="CY49" i="135"/>
  <c r="DU45" i="135"/>
  <c r="CZ45" i="135"/>
  <c r="EP45" i="135"/>
  <c r="EI45" i="135"/>
  <c r="EB45" i="135"/>
  <c r="DC14" i="135"/>
  <c r="DX15" i="135"/>
  <c r="DC15" i="135"/>
  <c r="AD46" i="135"/>
  <c r="DT31" i="135"/>
  <c r="DW16" i="135"/>
  <c r="DB16" i="135"/>
  <c r="AD44" i="135"/>
  <c r="EO44" i="135" s="1"/>
  <c r="DT29" i="135"/>
  <c r="AG45" i="135"/>
  <c r="DW30" i="135"/>
  <c r="DB30" i="135"/>
  <c r="AG44" i="135"/>
  <c r="DP44" i="135" s="1"/>
  <c r="DW29" i="135"/>
  <c r="DB29" i="135"/>
  <c r="ED30" i="135"/>
  <c r="EK30" i="135"/>
  <c r="DU49" i="135"/>
  <c r="EI49" i="135"/>
  <c r="EP49" i="135"/>
  <c r="EB49" i="135"/>
  <c r="CZ49" i="135"/>
  <c r="CY31" i="135"/>
  <c r="DT49" i="135"/>
  <c r="DV44" i="135"/>
  <c r="EQ44" i="135"/>
  <c r="CY45" i="135"/>
  <c r="DV45" i="135"/>
  <c r="EQ45" i="135"/>
  <c r="EC45" i="135"/>
  <c r="EJ45" i="135"/>
  <c r="DA45" i="135"/>
  <c r="DW49" i="135"/>
  <c r="DB49" i="135"/>
  <c r="CY29" i="135"/>
  <c r="DU44" i="135"/>
  <c r="EP44" i="135"/>
  <c r="ES47" i="135"/>
  <c r="EE48" i="135"/>
  <c r="EL47" i="135"/>
  <c r="EL48" i="135"/>
  <c r="EE47" i="135"/>
  <c r="ES48" i="135"/>
  <c r="ED32" i="135"/>
  <c r="EL33" i="135"/>
  <c r="ED33" i="135"/>
  <c r="ED34" i="135"/>
  <c r="EL34" i="135"/>
  <c r="EL32" i="135"/>
  <c r="EL19" i="135"/>
  <c r="ED17" i="135"/>
  <c r="EE19" i="135"/>
  <c r="EL18" i="135"/>
  <c r="EE15" i="135"/>
  <c r="EE18" i="135"/>
  <c r="EL15" i="135"/>
  <c r="EL17" i="135"/>
  <c r="AH30" i="135"/>
  <c r="DR14" i="135"/>
  <c r="AH29" i="135"/>
  <c r="AI34" i="135"/>
  <c r="DQ16" i="135"/>
  <c r="AG31" i="135"/>
  <c r="BL64" i="113"/>
  <c r="BK49" i="113"/>
  <c r="BK51" i="113"/>
  <c r="BM64" i="113"/>
  <c r="BM68" i="113"/>
  <c r="BN49" i="113"/>
  <c r="BK68" i="113"/>
  <c r="BM51" i="113"/>
  <c r="BL51" i="113"/>
  <c r="BM63" i="113"/>
  <c r="BL68" i="113"/>
  <c r="BN68" i="113"/>
  <c r="BN54" i="113"/>
  <c r="BL49" i="113"/>
  <c r="BO54" i="113"/>
  <c r="BN50" i="113"/>
  <c r="BL63" i="113"/>
  <c r="CZ44" i="135" l="1"/>
  <c r="DQ30" i="135"/>
  <c r="EZ19" i="135"/>
  <c r="DU46" i="135"/>
  <c r="EE49" i="135"/>
  <c r="ES49" i="135"/>
  <c r="CZ46" i="135"/>
  <c r="DI45" i="135"/>
  <c r="DP45" i="135"/>
  <c r="DI31" i="135"/>
  <c r="DP31" i="135"/>
  <c r="DF46" i="135"/>
  <c r="DM46" i="135"/>
  <c r="DF44" i="135"/>
  <c r="DM44" i="135"/>
  <c r="BU33" i="135"/>
  <c r="DQ33" i="135"/>
  <c r="BV17" i="135"/>
  <c r="DS17" i="135" s="1"/>
  <c r="DR17" i="135"/>
  <c r="BU32" i="135"/>
  <c r="DQ32" i="135"/>
  <c r="DK34" i="135"/>
  <c r="DR34" i="135"/>
  <c r="DJ29" i="135"/>
  <c r="DQ29" i="135"/>
  <c r="DH46" i="135"/>
  <c r="DO46" i="135"/>
  <c r="DG46" i="135"/>
  <c r="DN46" i="135"/>
  <c r="BU48" i="135"/>
  <c r="DQ48" i="135"/>
  <c r="DL19" i="135"/>
  <c r="EX19" i="135" s="1"/>
  <c r="DS19" i="135"/>
  <c r="EY19" i="135" s="1"/>
  <c r="DK15" i="135"/>
  <c r="DR15" i="135"/>
  <c r="BU47" i="135"/>
  <c r="DQ47" i="135"/>
  <c r="BV18" i="135"/>
  <c r="DS18" i="135" s="1"/>
  <c r="DR18" i="135"/>
  <c r="BO32" i="135"/>
  <c r="DL32" i="135" s="1"/>
  <c r="DK32" i="135"/>
  <c r="DY14" i="135"/>
  <c r="DK14" i="135"/>
  <c r="EL30" i="135"/>
  <c r="DJ30" i="135"/>
  <c r="BO48" i="135"/>
  <c r="DL48" i="135" s="1"/>
  <c r="DK48" i="135"/>
  <c r="BO17" i="135"/>
  <c r="DL17" i="135" s="1"/>
  <c r="DK17" i="135"/>
  <c r="DI44" i="135"/>
  <c r="DJ49" i="135"/>
  <c r="BO18" i="135"/>
  <c r="DL18" i="135" s="1"/>
  <c r="DK18" i="135"/>
  <c r="BO33" i="135"/>
  <c r="DL33" i="135" s="1"/>
  <c r="DK33" i="135"/>
  <c r="DJ16" i="135"/>
  <c r="BO47" i="135"/>
  <c r="DL47" i="135" s="1"/>
  <c r="DK47" i="135"/>
  <c r="EE30" i="135"/>
  <c r="EL49" i="135"/>
  <c r="AH44" i="135"/>
  <c r="DX29" i="135"/>
  <c r="DC29" i="135"/>
  <c r="DY15" i="135"/>
  <c r="DD15" i="135"/>
  <c r="DX16" i="135"/>
  <c r="DC16" i="135"/>
  <c r="CY46" i="135"/>
  <c r="DB45" i="135"/>
  <c r="DW45" i="135"/>
  <c r="ED45" i="135"/>
  <c r="EK45" i="135"/>
  <c r="ER45" i="135"/>
  <c r="DT44" i="135"/>
  <c r="AJ34" i="135"/>
  <c r="EN34" i="135" s="1"/>
  <c r="DZ19" i="135"/>
  <c r="DE19" i="135"/>
  <c r="EW19" i="135" s="1"/>
  <c r="CY44" i="135"/>
  <c r="AG46" i="135"/>
  <c r="DW31" i="135"/>
  <c r="DB31" i="135"/>
  <c r="AI49" i="135"/>
  <c r="DY34" i="135"/>
  <c r="DD34" i="135"/>
  <c r="DV46" i="135"/>
  <c r="DA46" i="135"/>
  <c r="DD14" i="135"/>
  <c r="DW44" i="135"/>
  <c r="DB44" i="135"/>
  <c r="ER44" i="135"/>
  <c r="DT46" i="135"/>
  <c r="AH45" i="135"/>
  <c r="DX30" i="135"/>
  <c r="DC30" i="135"/>
  <c r="DX49" i="135"/>
  <c r="DC49" i="135"/>
  <c r="EM48" i="135"/>
  <c r="EN48" i="135"/>
  <c r="FB48" i="135" s="1"/>
  <c r="EM47" i="135"/>
  <c r="EN47" i="135"/>
  <c r="EF48" i="135"/>
  <c r="EG48" i="135"/>
  <c r="FA48" i="135" s="1"/>
  <c r="EF47" i="135"/>
  <c r="EG47" i="135"/>
  <c r="FA47" i="135" s="1"/>
  <c r="ET48" i="135"/>
  <c r="EU48" i="135"/>
  <c r="ET47" i="135"/>
  <c r="EU47" i="135"/>
  <c r="EM34" i="135"/>
  <c r="FB34" i="135" s="1"/>
  <c r="EE33" i="135"/>
  <c r="EN33" i="135"/>
  <c r="FB33" i="135" s="1"/>
  <c r="EM33" i="135"/>
  <c r="EE32" i="135"/>
  <c r="EN32" i="135"/>
  <c r="EM32" i="135"/>
  <c r="EE34" i="135"/>
  <c r="EF19" i="135"/>
  <c r="FA19" i="135" s="1"/>
  <c r="EG19" i="135"/>
  <c r="EM17" i="135"/>
  <c r="EN17" i="135"/>
  <c r="FB17" i="135" s="1"/>
  <c r="EM15" i="135"/>
  <c r="EF15" i="135"/>
  <c r="EF18" i="135"/>
  <c r="EG18" i="135"/>
  <c r="EM18" i="135"/>
  <c r="EN18" i="135"/>
  <c r="EE17" i="135"/>
  <c r="EM19" i="135"/>
  <c r="FB19" i="135" s="1"/>
  <c r="EN19" i="135"/>
  <c r="DR16" i="135"/>
  <c r="AH31" i="135"/>
  <c r="DQ31" i="135" s="1"/>
  <c r="AI29" i="135"/>
  <c r="AI30" i="135"/>
  <c r="BL65" i="113"/>
  <c r="BN64" i="113"/>
  <c r="BK63" i="113"/>
  <c r="BO49" i="113"/>
  <c r="BN63" i="113"/>
  <c r="BK65" i="113"/>
  <c r="BO68" i="113"/>
  <c r="BN51" i="113"/>
  <c r="BO50" i="113"/>
  <c r="BM65" i="113"/>
  <c r="BP54" i="113"/>
  <c r="EX33" i="135" l="1"/>
  <c r="FK18" i="135"/>
  <c r="EX48" i="135"/>
  <c r="FG18" i="135" s="1"/>
  <c r="FB47" i="135"/>
  <c r="EX32" i="135"/>
  <c r="EX47" i="135"/>
  <c r="FG17" i="135" s="1"/>
  <c r="FB32" i="135"/>
  <c r="EX17" i="135"/>
  <c r="EV34" i="135"/>
  <c r="EY17" i="135"/>
  <c r="FC48" i="135"/>
  <c r="FC47" i="135"/>
  <c r="DJ45" i="135"/>
  <c r="DQ45" i="135"/>
  <c r="BV48" i="135"/>
  <c r="DS48" i="135" s="1"/>
  <c r="DR48" i="135"/>
  <c r="DL14" i="135"/>
  <c r="EX14" i="135" s="1"/>
  <c r="DS14" i="135"/>
  <c r="EY14" i="135" s="1"/>
  <c r="DI46" i="135"/>
  <c r="DP46" i="135"/>
  <c r="BV47" i="135"/>
  <c r="DS47" i="135" s="1"/>
  <c r="DR47" i="135"/>
  <c r="BV32" i="135"/>
  <c r="DS32" i="135" s="1"/>
  <c r="DR32" i="135"/>
  <c r="DK30" i="135"/>
  <c r="DR30" i="135"/>
  <c r="DL15" i="135"/>
  <c r="EX15" i="135" s="1"/>
  <c r="DS15" i="135"/>
  <c r="EY15" i="135" s="1"/>
  <c r="DK49" i="135"/>
  <c r="DR49" i="135"/>
  <c r="DL34" i="135"/>
  <c r="EX34" i="135" s="1"/>
  <c r="DS34" i="135"/>
  <c r="EY34" i="135" s="1"/>
  <c r="DJ44" i="135"/>
  <c r="DQ44" i="135"/>
  <c r="DK29" i="135"/>
  <c r="DR29" i="135"/>
  <c r="BV33" i="135"/>
  <c r="DS33" i="135" s="1"/>
  <c r="DR33" i="135"/>
  <c r="DJ31" i="135"/>
  <c r="DK16" i="135"/>
  <c r="EN15" i="135"/>
  <c r="FB15" i="135" s="1"/>
  <c r="EF49" i="135"/>
  <c r="ET49" i="135"/>
  <c r="EG15" i="135"/>
  <c r="EM49" i="135"/>
  <c r="AJ29" i="135"/>
  <c r="DZ14" i="135"/>
  <c r="EZ14" i="135" s="1"/>
  <c r="DE14" i="135"/>
  <c r="EW14" i="135" s="1"/>
  <c r="AI45" i="135"/>
  <c r="DY30" i="135"/>
  <c r="DD30" i="135"/>
  <c r="AI44" i="135"/>
  <c r="DR44" i="135" s="1"/>
  <c r="DY29" i="135"/>
  <c r="DD29" i="135"/>
  <c r="DY16" i="135"/>
  <c r="DD16" i="135"/>
  <c r="EM30" i="135"/>
  <c r="AJ49" i="135"/>
  <c r="DS49" i="135" s="1"/>
  <c r="DZ34" i="135"/>
  <c r="EZ34" i="135" s="1"/>
  <c r="DE34" i="135"/>
  <c r="EW34" i="135" s="1"/>
  <c r="DW46" i="135"/>
  <c r="DB46" i="135"/>
  <c r="AH46" i="135"/>
  <c r="DX31" i="135"/>
  <c r="DC31" i="135"/>
  <c r="EF30" i="135"/>
  <c r="DY49" i="135"/>
  <c r="DD49" i="135"/>
  <c r="AJ30" i="135"/>
  <c r="DS30" i="135" s="1"/>
  <c r="EY30" i="135" s="1"/>
  <c r="DZ15" i="135"/>
  <c r="EZ15" i="135" s="1"/>
  <c r="DE15" i="135"/>
  <c r="EW15" i="135" s="1"/>
  <c r="DX45" i="135"/>
  <c r="DC45" i="135"/>
  <c r="EE45" i="135"/>
  <c r="EL45" i="135"/>
  <c r="ES45" i="135"/>
  <c r="DX44" i="135"/>
  <c r="DC44" i="135"/>
  <c r="ES44" i="135"/>
  <c r="EF33" i="135"/>
  <c r="EG33" i="135"/>
  <c r="EF34" i="135"/>
  <c r="EG34" i="135"/>
  <c r="EF32" i="135"/>
  <c r="EG32" i="135"/>
  <c r="FA32" i="135" s="1"/>
  <c r="FJ17" i="135" s="1"/>
  <c r="EF17" i="135"/>
  <c r="EG17" i="135"/>
  <c r="FA17" i="135" s="1"/>
  <c r="DS16" i="135"/>
  <c r="EY16" i="135" s="1"/>
  <c r="AI31" i="135"/>
  <c r="DR31" i="135" s="1"/>
  <c r="BP68" i="113"/>
  <c r="BO64" i="113"/>
  <c r="BP50" i="113"/>
  <c r="BQ54" i="113"/>
  <c r="BO63" i="113"/>
  <c r="BP49" i="113"/>
  <c r="BN65" i="113"/>
  <c r="BO51" i="113"/>
  <c r="FA15" i="135" l="1"/>
  <c r="EY33" i="135"/>
  <c r="FA33" i="135"/>
  <c r="FJ18" i="135" s="1"/>
  <c r="FK17" i="135"/>
  <c r="FA34" i="135"/>
  <c r="EY48" i="135"/>
  <c r="FH18" i="135" s="1"/>
  <c r="EY32" i="135"/>
  <c r="DS29" i="135"/>
  <c r="EY29" i="135" s="1"/>
  <c r="EV29" i="135"/>
  <c r="EY49" i="135"/>
  <c r="FH19" i="135" s="1"/>
  <c r="EV49" i="135"/>
  <c r="EV30" i="135"/>
  <c r="EY47" i="135"/>
  <c r="DJ46" i="135"/>
  <c r="DQ46" i="135"/>
  <c r="DK45" i="135"/>
  <c r="DR45" i="135"/>
  <c r="EU49" i="135"/>
  <c r="FC49" i="135" s="1"/>
  <c r="DL49" i="135"/>
  <c r="EX49" i="135" s="1"/>
  <c r="FG19" i="135" s="1"/>
  <c r="DK44" i="135"/>
  <c r="DL29" i="135"/>
  <c r="EX29" i="135" s="1"/>
  <c r="DK31" i="135"/>
  <c r="EG30" i="135"/>
  <c r="FA30" i="135" s="1"/>
  <c r="DL30" i="135"/>
  <c r="EX30" i="135" s="1"/>
  <c r="DL16" i="135"/>
  <c r="EX16" i="135" s="1"/>
  <c r="EG49" i="135"/>
  <c r="FA49" i="135" s="1"/>
  <c r="EN49" i="135"/>
  <c r="FB49" i="135" s="1"/>
  <c r="FK19" i="135" s="1"/>
  <c r="EN30" i="135"/>
  <c r="FB30" i="135" s="1"/>
  <c r="AJ31" i="135"/>
  <c r="DS31" i="135" s="1"/>
  <c r="EY31" i="135" s="1"/>
  <c r="DZ16" i="135"/>
  <c r="EZ16" i="135" s="1"/>
  <c r="DE16" i="135"/>
  <c r="EW16" i="135" s="1"/>
  <c r="AJ45" i="135"/>
  <c r="EV45" i="135" s="1"/>
  <c r="DZ30" i="135"/>
  <c r="EZ30" i="135" s="1"/>
  <c r="DE30" i="135"/>
  <c r="EW30" i="135" s="1"/>
  <c r="DX46" i="135"/>
  <c r="DC46" i="135"/>
  <c r="DY45" i="135"/>
  <c r="DD45" i="135"/>
  <c r="EM45" i="135"/>
  <c r="ET45" i="135"/>
  <c r="EF45" i="135"/>
  <c r="AJ44" i="135"/>
  <c r="EV44" i="135" s="1"/>
  <c r="FE14" i="135" s="1"/>
  <c r="DZ29" i="135"/>
  <c r="EZ29" i="135" s="1"/>
  <c r="DE29" i="135"/>
  <c r="EW29" i="135" s="1"/>
  <c r="AI46" i="135"/>
  <c r="DY31" i="135"/>
  <c r="DD31" i="135"/>
  <c r="DZ49" i="135"/>
  <c r="EZ49" i="135" s="1"/>
  <c r="FI19" i="135" s="1"/>
  <c r="DE49" i="135"/>
  <c r="EW49" i="135" s="1"/>
  <c r="FF19" i="135" s="1"/>
  <c r="DY44" i="135"/>
  <c r="DD44" i="135"/>
  <c r="ET44" i="135"/>
  <c r="BP64" i="113"/>
  <c r="BQ49" i="113"/>
  <c r="BP63" i="113"/>
  <c r="BP51" i="113"/>
  <c r="BQ50" i="113"/>
  <c r="BO65" i="113"/>
  <c r="BQ68" i="113"/>
  <c r="FH17" i="135" l="1"/>
  <c r="FJ19" i="135"/>
  <c r="EV31" i="135"/>
  <c r="FE16" i="135" s="1"/>
  <c r="DL45" i="135"/>
  <c r="EX45" i="135" s="1"/>
  <c r="FG15" i="135" s="1"/>
  <c r="DS45" i="135"/>
  <c r="EY45" i="135" s="1"/>
  <c r="FH15" i="135" s="1"/>
  <c r="DL44" i="135"/>
  <c r="EX44" i="135" s="1"/>
  <c r="FG14" i="135" s="1"/>
  <c r="DS44" i="135"/>
  <c r="EY44" i="135" s="1"/>
  <c r="FH14" i="135" s="1"/>
  <c r="DK46" i="135"/>
  <c r="DR46" i="135"/>
  <c r="DL31" i="135"/>
  <c r="EX31" i="135" s="1"/>
  <c r="DZ45" i="135"/>
  <c r="EZ45" i="135" s="1"/>
  <c r="FI15" i="135" s="1"/>
  <c r="DE45" i="135"/>
  <c r="EW45" i="135" s="1"/>
  <c r="FF15" i="135" s="1"/>
  <c r="EU45" i="135"/>
  <c r="FC45" i="135" s="1"/>
  <c r="EN45" i="135"/>
  <c r="FB45" i="135" s="1"/>
  <c r="FK15" i="135" s="1"/>
  <c r="EG45" i="135"/>
  <c r="FA45" i="135" s="1"/>
  <c r="FJ15" i="135" s="1"/>
  <c r="DZ44" i="135"/>
  <c r="EZ44" i="135" s="1"/>
  <c r="FI14" i="135" s="1"/>
  <c r="DE44" i="135"/>
  <c r="EW44" i="135" s="1"/>
  <c r="FF14" i="135" s="1"/>
  <c r="EU44" i="135"/>
  <c r="FC44" i="135" s="1"/>
  <c r="DY46" i="135"/>
  <c r="DD46" i="135"/>
  <c r="AJ46" i="135"/>
  <c r="EV46" i="135" s="1"/>
  <c r="DZ31" i="135"/>
  <c r="EZ31" i="135" s="1"/>
  <c r="DE31" i="135"/>
  <c r="EW31" i="135" s="1"/>
  <c r="BQ64" i="113"/>
  <c r="BQ63" i="113"/>
  <c r="BP65" i="113"/>
  <c r="BQ51" i="113"/>
  <c r="DL46" i="135" l="1"/>
  <c r="EX46" i="135" s="1"/>
  <c r="FG16" i="135" s="1"/>
  <c r="DS46" i="135"/>
  <c r="EY46" i="135" s="1"/>
  <c r="FH16" i="135" s="1"/>
  <c r="DZ46" i="135"/>
  <c r="EZ46" i="135" s="1"/>
  <c r="FI16" i="135" s="1"/>
  <c r="DE46" i="135"/>
  <c r="EW46" i="135" s="1"/>
  <c r="FF16" i="135" s="1"/>
  <c r="BQ65" i="113"/>
  <c r="CL7" i="157" l="1"/>
  <c r="CM7" i="157" s="1"/>
  <c r="CN7" i="157" s="1"/>
  <c r="CO7" i="157" s="1"/>
  <c r="CP7" i="157" s="1"/>
  <c r="CQ7" i="157" s="1"/>
  <c r="CR7" i="157" s="1"/>
  <c r="CL8" i="157"/>
  <c r="CM8" i="157" s="1"/>
  <c r="CN8" i="157" s="1"/>
  <c r="CO8" i="157" s="1"/>
  <c r="CP8" i="157" s="1"/>
  <c r="CQ8" i="157" s="1"/>
  <c r="CR8" i="157" s="1"/>
  <c r="BX7" i="157"/>
  <c r="BY7" i="157" s="1"/>
  <c r="BZ7" i="157" s="1"/>
  <c r="CA7" i="157" s="1"/>
  <c r="CB7" i="157" s="1"/>
  <c r="CC7" i="157" s="1"/>
  <c r="CD7" i="157" s="1"/>
  <c r="BX8" i="157"/>
  <c r="BY8" i="157" s="1"/>
  <c r="BZ8" i="157" s="1"/>
  <c r="CA8" i="157" s="1"/>
  <c r="CB8" i="157" s="1"/>
  <c r="CC8" i="157" s="1"/>
  <c r="CD8" i="157" s="1"/>
  <c r="BR7" i="157"/>
  <c r="BS7" i="157"/>
  <c r="BT7" i="157"/>
  <c r="BU7" i="157"/>
  <c r="BV7" i="157"/>
  <c r="BW7" i="157"/>
  <c r="BR8" i="157"/>
  <c r="BS8" i="157"/>
  <c r="BT8" i="157"/>
  <c r="BU8" i="157"/>
  <c r="BV8" i="157"/>
  <c r="BW8" i="157"/>
  <c r="BQ7" i="157"/>
  <c r="BQ8" i="157"/>
  <c r="BJ7" i="157"/>
  <c r="BK7" i="157" s="1"/>
  <c r="BL7" i="157" s="1"/>
  <c r="BM7" i="157" s="1"/>
  <c r="BN7" i="157" s="1"/>
  <c r="BO7" i="157" s="1"/>
  <c r="BP7" i="157" s="1"/>
  <c r="BJ8" i="157"/>
  <c r="BK8" i="157" s="1"/>
  <c r="BL8" i="157" s="1"/>
  <c r="BM8" i="157" s="1"/>
  <c r="BN8" i="157" s="1"/>
  <c r="BO8" i="157" s="1"/>
  <c r="BP8" i="157" s="1"/>
  <c r="BJ9" i="157"/>
  <c r="BK9" i="157" s="1"/>
  <c r="BL9" i="157" s="1"/>
  <c r="BM9" i="157" s="1"/>
  <c r="BN9" i="157" s="1"/>
  <c r="BO9" i="157" s="1"/>
  <c r="BP9" i="157" s="1"/>
  <c r="BJ10" i="157"/>
  <c r="BK10" i="157" s="1"/>
  <c r="BL10" i="157" s="1"/>
  <c r="BM10" i="157" s="1"/>
  <c r="BN10" i="157" s="1"/>
  <c r="BO10" i="157" s="1"/>
  <c r="BP10" i="157" s="1"/>
  <c r="BJ11" i="157"/>
  <c r="BK11" i="157" s="1"/>
  <c r="BL11" i="157" s="1"/>
  <c r="BM11" i="157" s="1"/>
  <c r="BN11" i="157" s="1"/>
  <c r="BO11" i="157" s="1"/>
  <c r="BP11" i="157" s="1"/>
  <c r="BC7" i="157"/>
  <c r="BD7" i="157" s="1"/>
  <c r="BE7" i="157" s="1"/>
  <c r="BF7" i="157" s="1"/>
  <c r="BG7" i="157" s="1"/>
  <c r="BH7" i="157" s="1"/>
  <c r="BI7" i="157" s="1"/>
  <c r="BC8" i="157"/>
  <c r="BD8" i="157" s="1"/>
  <c r="BE8" i="157" s="1"/>
  <c r="BF8" i="157" s="1"/>
  <c r="BG8" i="157" s="1"/>
  <c r="BH8" i="157" s="1"/>
  <c r="BI8" i="157" s="1"/>
  <c r="AV7" i="157"/>
  <c r="AW7" i="157" s="1"/>
  <c r="AX7" i="157" s="1"/>
  <c r="AY7" i="157" s="1"/>
  <c r="AZ7" i="157" s="1"/>
  <c r="BA7" i="157" s="1"/>
  <c r="BB7" i="157" s="1"/>
  <c r="AV8" i="157"/>
  <c r="AW8" i="157" s="1"/>
  <c r="AX8" i="157" s="1"/>
  <c r="AY8" i="157" s="1"/>
  <c r="AZ8" i="157" s="1"/>
  <c r="BA8" i="157" s="1"/>
  <c r="BB8" i="157" s="1"/>
  <c r="AS21" i="157"/>
  <c r="AT21" i="157"/>
  <c r="AU21" i="157"/>
  <c r="AS22" i="157"/>
  <c r="AT22" i="157"/>
  <c r="AU22" i="157"/>
  <c r="AT23" i="157"/>
  <c r="AU23" i="157"/>
  <c r="AT24" i="157"/>
  <c r="AU24" i="157"/>
  <c r="AT25" i="157"/>
  <c r="AU25" i="157"/>
  <c r="AS14" i="157"/>
  <c r="AT14" i="157"/>
  <c r="AS15" i="157"/>
  <c r="AT15" i="157"/>
  <c r="AT16" i="157"/>
  <c r="AT17" i="157"/>
  <c r="AT18" i="157"/>
  <c r="AP21" i="157"/>
  <c r="AQ21" i="157"/>
  <c r="AR21" i="157"/>
  <c r="AP22" i="157"/>
  <c r="AQ22" i="157"/>
  <c r="AR22" i="157"/>
  <c r="AP23" i="157"/>
  <c r="AQ23" i="157"/>
  <c r="AR23" i="157"/>
  <c r="AP24" i="157"/>
  <c r="AQ24" i="157"/>
  <c r="AR24" i="157"/>
  <c r="AP25" i="157"/>
  <c r="AQ25" i="157"/>
  <c r="AR25" i="157"/>
  <c r="AP14" i="157"/>
  <c r="AQ14" i="157"/>
  <c r="AR14" i="157"/>
  <c r="AP15" i="157"/>
  <c r="AQ15" i="157"/>
  <c r="AR15" i="157"/>
  <c r="AP16" i="157"/>
  <c r="AQ16" i="157"/>
  <c r="AR16" i="157"/>
  <c r="AP17" i="157"/>
  <c r="AQ17" i="157"/>
  <c r="AR17" i="157"/>
  <c r="AP18" i="157"/>
  <c r="AQ18" i="157"/>
  <c r="AR18" i="157"/>
  <c r="U21" i="157"/>
  <c r="W21" i="157"/>
  <c r="U22" i="157"/>
  <c r="W22" i="157"/>
  <c r="U23" i="157"/>
  <c r="W23" i="157"/>
  <c r="U24" i="157"/>
  <c r="U25" i="157"/>
  <c r="U14" i="157"/>
  <c r="W14" i="157"/>
  <c r="U15" i="157"/>
  <c r="W15" i="157"/>
  <c r="U16" i="157"/>
  <c r="W16" i="157"/>
  <c r="U17" i="157"/>
  <c r="U18" i="157"/>
  <c r="Q21" i="157"/>
  <c r="Q22" i="157"/>
  <c r="T23" i="157"/>
  <c r="T24" i="157"/>
  <c r="T25" i="157"/>
  <c r="Q14" i="157"/>
  <c r="Q15" i="157"/>
  <c r="T16" i="157"/>
  <c r="T17" i="157"/>
  <c r="T18" i="157"/>
  <c r="M21" i="157"/>
  <c r="N21" i="157"/>
  <c r="O21" i="157"/>
  <c r="P21" i="157"/>
  <c r="M22" i="157"/>
  <c r="N22" i="157"/>
  <c r="O22" i="157"/>
  <c r="P22" i="157"/>
  <c r="M23" i="157"/>
  <c r="N23" i="157"/>
  <c r="O23" i="157"/>
  <c r="M24" i="157"/>
  <c r="N24" i="157"/>
  <c r="O24" i="157"/>
  <c r="M25" i="157"/>
  <c r="N25" i="157"/>
  <c r="O25" i="157"/>
  <c r="M14" i="157"/>
  <c r="N14" i="157"/>
  <c r="O14" i="157"/>
  <c r="P14" i="157"/>
  <c r="M15" i="157"/>
  <c r="N15" i="157"/>
  <c r="O15" i="157"/>
  <c r="P15" i="157"/>
  <c r="M16" i="157"/>
  <c r="N16" i="157"/>
  <c r="O16" i="157"/>
  <c r="M17" i="157"/>
  <c r="N17" i="157"/>
  <c r="O17" i="157"/>
  <c r="M18" i="157"/>
  <c r="N18" i="157"/>
  <c r="O18" i="157"/>
  <c r="G21" i="157"/>
  <c r="H21" i="157"/>
  <c r="I21" i="157"/>
  <c r="K21" i="157" s="1"/>
  <c r="J21" i="157"/>
  <c r="G22" i="157"/>
  <c r="H22" i="157"/>
  <c r="I22" i="157"/>
  <c r="K22" i="157" s="1"/>
  <c r="J22" i="157"/>
  <c r="G14" i="157"/>
  <c r="H14" i="157"/>
  <c r="I14" i="157"/>
  <c r="K14" i="157" s="1"/>
  <c r="J14" i="157"/>
  <c r="G15" i="157"/>
  <c r="H15" i="157"/>
  <c r="I15" i="157"/>
  <c r="K15" i="157" s="1"/>
  <c r="J15" i="157"/>
  <c r="C14" i="157"/>
  <c r="D14" i="157"/>
  <c r="E14" i="157"/>
  <c r="F14" i="157"/>
  <c r="C15" i="157"/>
  <c r="D15" i="157"/>
  <c r="E15" i="157"/>
  <c r="F15" i="157"/>
  <c r="C18" i="157"/>
  <c r="D21" i="157"/>
  <c r="E21" i="157"/>
  <c r="F21" i="157"/>
  <c r="D22" i="157"/>
  <c r="E22" i="157"/>
  <c r="F22" i="157"/>
  <c r="C21" i="157"/>
  <c r="C22" i="157"/>
  <c r="C25" i="157"/>
  <c r="B21" i="157"/>
  <c r="B22" i="157"/>
  <c r="B14" i="157"/>
  <c r="B15" i="157"/>
  <c r="AV14" i="157" l="1"/>
  <c r="AV15" i="157"/>
  <c r="N19" i="145" l="1"/>
  <c r="N18" i="145"/>
  <c r="N17" i="145"/>
  <c r="N13" i="145"/>
  <c r="N12" i="145"/>
  <c r="EP12" i="89"/>
  <c r="EP9" i="89"/>
  <c r="CL13" i="89" l="1"/>
  <c r="CM13" i="89" s="1"/>
  <c r="CL10" i="89"/>
  <c r="CL7" i="89"/>
  <c r="BX13" i="89"/>
  <c r="BX10" i="89"/>
  <c r="BY10" i="89" s="1"/>
  <c r="BZ10" i="89" s="1"/>
  <c r="CA10" i="89" s="1"/>
  <c r="CB10" i="89" s="1"/>
  <c r="CC10" i="89" s="1"/>
  <c r="CD10" i="89" s="1"/>
  <c r="BX7" i="89"/>
  <c r="BY7" i="89" s="1"/>
  <c r="BZ7" i="89" s="1"/>
  <c r="CA7" i="89" s="1"/>
  <c r="CB7" i="89" s="1"/>
  <c r="CC7" i="89" s="1"/>
  <c r="CD7" i="89" s="1"/>
  <c r="BQ13" i="89"/>
  <c r="BR13" i="89"/>
  <c r="BS13" i="89"/>
  <c r="BT13" i="89"/>
  <c r="BU13" i="89"/>
  <c r="BV13" i="89"/>
  <c r="BW13" i="89"/>
  <c r="BQ10" i="89"/>
  <c r="BR10" i="89"/>
  <c r="BS10" i="89"/>
  <c r="BT10" i="89"/>
  <c r="BU10" i="89"/>
  <c r="BV10" i="89"/>
  <c r="BW10" i="89"/>
  <c r="BQ7" i="89"/>
  <c r="BR7" i="89"/>
  <c r="BS7" i="89"/>
  <c r="BT7" i="89"/>
  <c r="BU7" i="89"/>
  <c r="BV7" i="89"/>
  <c r="BW7" i="89"/>
  <c r="BD13" i="89"/>
  <c r="BD10" i="89"/>
  <c r="BE10" i="89" s="1"/>
  <c r="BF10" i="89" s="1"/>
  <c r="CM7" i="89" l="1"/>
  <c r="CN7" i="89" s="1"/>
  <c r="CO7" i="89" s="1"/>
  <c r="CP7" i="89" s="1"/>
  <c r="CQ7" i="89" s="1"/>
  <c r="CR7" i="89" s="1"/>
  <c r="CM10" i="89"/>
  <c r="CN10" i="89" s="1"/>
  <c r="CO10" i="89" s="1"/>
  <c r="CP10" i="89" s="1"/>
  <c r="CQ10" i="89" s="1"/>
  <c r="CR10" i="89" s="1"/>
  <c r="BY13" i="89"/>
  <c r="BZ13" i="89" s="1"/>
  <c r="CA13" i="89" s="1"/>
  <c r="CB13" i="89" s="1"/>
  <c r="CC13" i="89" s="1"/>
  <c r="CD13" i="89" s="1"/>
  <c r="CN13" i="89"/>
  <c r="CO13" i="89" s="1"/>
  <c r="CP13" i="89" s="1"/>
  <c r="CQ13" i="89" s="1"/>
  <c r="CR13" i="89" s="1"/>
  <c r="BG10" i="89"/>
  <c r="BD7" i="89"/>
  <c r="BE13" i="89"/>
  <c r="BE7" i="89" l="1"/>
  <c r="BH10" i="89"/>
  <c r="BF13" i="89"/>
  <c r="BG13" i="89" l="1"/>
  <c r="BI10" i="89"/>
  <c r="BF7" i="89"/>
  <c r="BH13" i="89" l="1"/>
  <c r="BG7" i="89"/>
  <c r="BH7" i="89" l="1"/>
  <c r="BI13" i="89"/>
  <c r="BI7" i="89" l="1"/>
  <c r="M10" i="89" l="1"/>
  <c r="CE10" i="89"/>
  <c r="CF10" i="89" s="1"/>
  <c r="M13" i="89"/>
  <c r="CE13" i="89"/>
  <c r="CF13" i="89" s="1"/>
  <c r="M7" i="89"/>
  <c r="CE7" i="89"/>
  <c r="CF7" i="89" s="1"/>
  <c r="G7" i="89" l="1"/>
  <c r="I7" i="89" s="1"/>
  <c r="AV7" i="89" s="1"/>
  <c r="BJ7" i="89"/>
  <c r="G13" i="89"/>
  <c r="I13" i="89" s="1"/>
  <c r="AV13" i="89" s="1"/>
  <c r="BJ13" i="89"/>
  <c r="G10" i="89"/>
  <c r="I10" i="89" s="1"/>
  <c r="AV10" i="89" s="1"/>
  <c r="BJ10" i="89"/>
  <c r="CG13" i="89"/>
  <c r="CH13" i="89" s="1"/>
  <c r="CI13" i="89" s="1"/>
  <c r="CJ13" i="89" s="1"/>
  <c r="CK13" i="89" s="1"/>
  <c r="CG10" i="89"/>
  <c r="CH10" i="89" s="1"/>
  <c r="CI10" i="89" s="1"/>
  <c r="CJ10" i="89" s="1"/>
  <c r="CK10" i="89" s="1"/>
  <c r="CG7" i="89"/>
  <c r="CH7" i="89" s="1"/>
  <c r="CI7" i="89" s="1"/>
  <c r="CJ7" i="89" s="1"/>
  <c r="CK7" i="89" s="1"/>
  <c r="BK10" i="89" l="1"/>
  <c r="BL10" i="89" s="1"/>
  <c r="BM10" i="89" s="1"/>
  <c r="BN10" i="89" s="1"/>
  <c r="BO10" i="89" s="1"/>
  <c r="BP10" i="89" s="1"/>
  <c r="BK13" i="89"/>
  <c r="BL13" i="89" s="1"/>
  <c r="BM13" i="89" s="1"/>
  <c r="BN13" i="89" s="1"/>
  <c r="BO13" i="89" s="1"/>
  <c r="BP13" i="89" s="1"/>
  <c r="BK7" i="89"/>
  <c r="BL7" i="89" s="1"/>
  <c r="BM7" i="89" s="1"/>
  <c r="BN7" i="89" s="1"/>
  <c r="BO7" i="89" s="1"/>
  <c r="BP7" i="89" s="1"/>
  <c r="AW10" i="89"/>
  <c r="AW13" i="89"/>
  <c r="AW7" i="89"/>
  <c r="AX7" i="89" l="1"/>
  <c r="AX13" i="89"/>
  <c r="AX10" i="89"/>
  <c r="AY7" i="89" l="1"/>
  <c r="AY10" i="89"/>
  <c r="AY13" i="89"/>
  <c r="AZ7" i="89" l="1"/>
  <c r="AZ13" i="89"/>
  <c r="AZ10" i="89"/>
  <c r="BA10" i="89" l="1"/>
  <c r="BA13" i="89"/>
  <c r="BA7" i="89"/>
  <c r="BB7" i="89" l="1"/>
  <c r="BB13" i="89"/>
  <c r="BB10" i="89"/>
  <c r="DU7" i="89" l="1"/>
  <c r="EB7" i="89"/>
  <c r="EI7" i="89"/>
  <c r="DG7" i="89"/>
  <c r="DN7" i="89"/>
  <c r="CZ7" i="89"/>
  <c r="CS7" i="89"/>
  <c r="H118" i="64"/>
  <c r="K118" i="64"/>
  <c r="J118" i="64"/>
  <c r="AI118" i="64"/>
  <c r="I118" i="64"/>
  <c r="AP118" i="64"/>
  <c r="AB118" i="64"/>
  <c r="AW118" i="64"/>
  <c r="N118" i="64"/>
  <c r="U118" i="64"/>
  <c r="L118" i="64"/>
  <c r="DJ7" i="89" l="1"/>
  <c r="EE7" i="89"/>
  <c r="DQ7" i="89"/>
  <c r="EL7" i="89"/>
  <c r="DX7" i="89"/>
  <c r="DC7" i="89"/>
  <c r="CV7" i="89"/>
  <c r="EN7" i="89"/>
  <c r="DS7" i="89"/>
  <c r="EG7" i="89"/>
  <c r="DL7" i="89"/>
  <c r="DZ7" i="89"/>
  <c r="DE7" i="89"/>
  <c r="CX7" i="89"/>
  <c r="EJ7" i="89"/>
  <c r="EC7" i="89"/>
  <c r="DH7" i="89"/>
  <c r="DO7" i="89"/>
  <c r="DV7" i="89"/>
  <c r="DA7" i="89"/>
  <c r="CT7" i="89"/>
  <c r="EK7" i="89"/>
  <c r="DI7" i="89"/>
  <c r="DP7" i="89"/>
  <c r="ED7" i="89"/>
  <c r="DW7" i="89"/>
  <c r="DB7" i="89"/>
  <c r="CU7" i="89"/>
  <c r="EM7" i="89"/>
  <c r="DR7" i="89"/>
  <c r="EF7" i="89"/>
  <c r="DK7" i="89"/>
  <c r="DY7" i="89"/>
  <c r="DD7" i="89"/>
  <c r="CW7" i="89"/>
  <c r="AU118" i="64"/>
  <c r="L230" i="113"/>
  <c r="J228" i="113"/>
  <c r="K228" i="113"/>
  <c r="AL118" i="64"/>
  <c r="AT118" i="64"/>
  <c r="AC118" i="64"/>
  <c r="M228" i="113"/>
  <c r="AQ118" i="64"/>
  <c r="AR118" i="64"/>
  <c r="R118" i="64"/>
  <c r="L228" i="113"/>
  <c r="AX118" i="64"/>
  <c r="AS118" i="64"/>
  <c r="M230" i="113"/>
  <c r="AF118" i="64"/>
  <c r="AM118" i="64"/>
  <c r="Q118" i="64"/>
  <c r="P118" i="64"/>
  <c r="J230" i="113"/>
  <c r="I230" i="113"/>
  <c r="AK118" i="64"/>
  <c r="H230" i="113"/>
  <c r="O118" i="64"/>
  <c r="S118" i="64"/>
  <c r="AY118" i="64"/>
  <c r="AD118" i="64"/>
  <c r="M118" i="64"/>
  <c r="AG118" i="64"/>
  <c r="Z118" i="64"/>
  <c r="AJ118" i="64"/>
  <c r="BA118" i="64"/>
  <c r="X118" i="64"/>
  <c r="I228" i="113"/>
  <c r="BB118" i="64"/>
  <c r="W118" i="64"/>
  <c r="AZ118" i="64"/>
  <c r="AE118" i="64"/>
  <c r="H228" i="113"/>
  <c r="AN118" i="64"/>
  <c r="Y118" i="64"/>
  <c r="K230" i="113"/>
  <c r="V118" i="64"/>
  <c r="EP13" i="89" l="1"/>
  <c r="BD118" i="64"/>
  <c r="EI13" i="89"/>
  <c r="DG13" i="89"/>
  <c r="EB13" i="89"/>
  <c r="DU13" i="89"/>
  <c r="EB10" i="89"/>
  <c r="EI10" i="89"/>
  <c r="DG10" i="89"/>
  <c r="DU10" i="89"/>
  <c r="EP10" i="89"/>
  <c r="EO7" i="89"/>
  <c r="EW7" i="89" s="1"/>
  <c r="DM7" i="89"/>
  <c r="ES7" i="89" s="1"/>
  <c r="DT7" i="89"/>
  <c r="ET7" i="89" s="1"/>
  <c r="EA7" i="89"/>
  <c r="EU7" i="89" s="1"/>
  <c r="DF7" i="89"/>
  <c r="ER7" i="89" s="1"/>
  <c r="EH7" i="89"/>
  <c r="EV7" i="89" s="1"/>
  <c r="CY7" i="89"/>
  <c r="EQ7" i="89" s="1"/>
  <c r="EE10" i="89"/>
  <c r="DQ10" i="89"/>
  <c r="DJ10" i="89"/>
  <c r="EL10" i="89"/>
  <c r="DC10" i="89"/>
  <c r="DX10" i="89"/>
  <c r="CV10" i="89"/>
  <c r="EN10" i="89"/>
  <c r="DS10" i="89"/>
  <c r="DL10" i="89"/>
  <c r="EG10" i="89"/>
  <c r="DZ10" i="89"/>
  <c r="DE10" i="89"/>
  <c r="CX10" i="89"/>
  <c r="EN13" i="89"/>
  <c r="DL13" i="89"/>
  <c r="DS13" i="89"/>
  <c r="EG13" i="89"/>
  <c r="DE13" i="89"/>
  <c r="DZ13" i="89"/>
  <c r="CX13" i="89"/>
  <c r="DN13" i="89"/>
  <c r="CZ13" i="89"/>
  <c r="CS13" i="89"/>
  <c r="EJ10" i="89"/>
  <c r="DO10" i="89"/>
  <c r="EC10" i="89"/>
  <c r="DH10" i="89"/>
  <c r="DV10" i="89"/>
  <c r="DA10" i="89"/>
  <c r="CT10" i="89"/>
  <c r="EK13" i="89"/>
  <c r="ED13" i="89"/>
  <c r="DI13" i="89"/>
  <c r="DP13" i="89"/>
  <c r="DB13" i="89"/>
  <c r="DW13" i="89"/>
  <c r="CU13" i="89"/>
  <c r="EJ13" i="89"/>
  <c r="DH13" i="89"/>
  <c r="EC13" i="89"/>
  <c r="DO13" i="89"/>
  <c r="DA13" i="89"/>
  <c r="DV13" i="89"/>
  <c r="CT13" i="89"/>
  <c r="EM13" i="89"/>
  <c r="DK13" i="89"/>
  <c r="DR13" i="89"/>
  <c r="EF13" i="89"/>
  <c r="DD13" i="89"/>
  <c r="DY13" i="89"/>
  <c r="CW13" i="89"/>
  <c r="EK10" i="89"/>
  <c r="ED10" i="89"/>
  <c r="DI10" i="89"/>
  <c r="DP10" i="89"/>
  <c r="DW10" i="89"/>
  <c r="DB10" i="89"/>
  <c r="CU10" i="89"/>
  <c r="DN10" i="89"/>
  <c r="CZ10" i="89"/>
  <c r="CS10" i="89"/>
  <c r="EM10" i="89"/>
  <c r="DK10" i="89"/>
  <c r="EF10" i="89"/>
  <c r="DR10" i="89"/>
  <c r="DD10" i="89"/>
  <c r="DY10" i="89"/>
  <c r="CW10" i="89"/>
  <c r="EE13" i="89"/>
  <c r="DQ13" i="89"/>
  <c r="EL13" i="89"/>
  <c r="DJ13" i="89"/>
  <c r="DC13" i="89"/>
  <c r="DX13" i="89"/>
  <c r="CV13" i="89"/>
  <c r="AJ230" i="113"/>
  <c r="BC118" i="64"/>
  <c r="O230" i="113"/>
  <c r="AZ230" i="113"/>
  <c r="BP228" i="113"/>
  <c r="AN228" i="113"/>
  <c r="AO228" i="113"/>
  <c r="AU230" i="113"/>
  <c r="AL228" i="113"/>
  <c r="AU228" i="113"/>
  <c r="T118" i="64"/>
  <c r="Y230" i="113"/>
  <c r="BA230" i="113"/>
  <c r="AQ228" i="113"/>
  <c r="V230" i="113"/>
  <c r="BM230" i="113"/>
  <c r="BB228" i="113"/>
  <c r="BK230" i="113"/>
  <c r="Z228" i="113"/>
  <c r="O228" i="113"/>
  <c r="AO118" i="64"/>
  <c r="N230" i="113"/>
  <c r="BA228" i="113"/>
  <c r="AF228" i="113"/>
  <c r="AG230" i="113"/>
  <c r="BC228" i="113"/>
  <c r="AH118" i="64"/>
  <c r="BO228" i="113"/>
  <c r="X228" i="113"/>
  <c r="AL230" i="113"/>
  <c r="N228" i="113"/>
  <c r="AH228" i="113"/>
  <c r="BK228" i="113"/>
  <c r="AA118" i="64"/>
  <c r="AV230" i="113"/>
  <c r="AG228" i="113"/>
  <c r="AC230" i="113"/>
  <c r="AC228" i="113"/>
  <c r="P228" i="113"/>
  <c r="AY230" i="113"/>
  <c r="AK230" i="113"/>
  <c r="AD228" i="113"/>
  <c r="AJ228" i="113"/>
  <c r="AT230" i="113"/>
  <c r="BL228" i="113"/>
  <c r="BC230" i="113"/>
  <c r="AV118" i="64"/>
  <c r="AV228" i="113"/>
  <c r="AK228" i="113"/>
  <c r="AX228" i="113"/>
  <c r="AF230" i="113"/>
  <c r="BB230" i="113"/>
  <c r="AS230" i="113"/>
  <c r="AQ230" i="113"/>
  <c r="BN228" i="113"/>
  <c r="T228" i="113"/>
  <c r="AO230" i="113"/>
  <c r="AA230" i="113"/>
  <c r="BP230" i="113"/>
  <c r="R230" i="113"/>
  <c r="BL230" i="113"/>
  <c r="AE230" i="113"/>
  <c r="AH230" i="113"/>
  <c r="AM230" i="113"/>
  <c r="W228" i="113"/>
  <c r="AZ228" i="113"/>
  <c r="P230" i="113"/>
  <c r="AA228" i="113"/>
  <c r="Z230" i="113"/>
  <c r="AS228" i="113"/>
  <c r="AY228" i="113"/>
  <c r="AX230" i="113"/>
  <c r="AE228" i="113"/>
  <c r="S230" i="113"/>
  <c r="X230" i="113"/>
  <c r="BN230" i="113"/>
  <c r="S228" i="113"/>
  <c r="AR228" i="113"/>
  <c r="AT228" i="113"/>
  <c r="V228" i="113"/>
  <c r="AD230" i="113"/>
  <c r="W230" i="113"/>
  <c r="R228" i="113"/>
  <c r="BO230" i="113"/>
  <c r="AM228" i="113"/>
  <c r="Q230" i="113"/>
  <c r="BM228" i="113"/>
  <c r="T230" i="113"/>
  <c r="Q228" i="113"/>
  <c r="Y228" i="113"/>
  <c r="AN230" i="113"/>
  <c r="AR230" i="113"/>
  <c r="BR228" i="113" l="1"/>
  <c r="BR230" i="113"/>
  <c r="EO10" i="89"/>
  <c r="EW10" i="89" s="1"/>
  <c r="DM10" i="89"/>
  <c r="ES10" i="89" s="1"/>
  <c r="DT10" i="89"/>
  <c r="ET10" i="89" s="1"/>
  <c r="EA10" i="89"/>
  <c r="EU10" i="89" s="1"/>
  <c r="DF10" i="89"/>
  <c r="ER10" i="89" s="1"/>
  <c r="EH10" i="89"/>
  <c r="EV10" i="89" s="1"/>
  <c r="CY10" i="89"/>
  <c r="EQ10" i="89" s="1"/>
  <c r="EO13" i="89"/>
  <c r="EW13" i="89" s="1"/>
  <c r="DM13" i="89"/>
  <c r="ES13" i="89" s="1"/>
  <c r="DT13" i="89"/>
  <c r="ET13" i="89" s="1"/>
  <c r="DF13" i="89"/>
  <c r="ER13" i="89" s="1"/>
  <c r="EA13" i="89"/>
  <c r="EU13" i="89" s="1"/>
  <c r="EH13" i="89"/>
  <c r="EV13" i="89" s="1"/>
  <c r="CY13" i="89"/>
  <c r="EQ13" i="89" s="1"/>
  <c r="AP228" i="113"/>
  <c r="U230" i="113"/>
  <c r="AP230" i="113"/>
  <c r="BQ228" i="113"/>
  <c r="BD230" i="113"/>
  <c r="AW230" i="113"/>
  <c r="AB228" i="113"/>
  <c r="AW228" i="113"/>
  <c r="U228" i="113"/>
  <c r="BQ230" i="113"/>
  <c r="AI230" i="113"/>
  <c r="AI228" i="113"/>
  <c r="AB230" i="113"/>
  <c r="BD228" i="113"/>
  <c r="A49" i="114" l="1"/>
  <c r="A43" i="114"/>
  <c r="A44" i="114"/>
  <c r="A45" i="114"/>
  <c r="A46" i="114"/>
  <c r="A47" i="114"/>
  <c r="A48" i="114"/>
  <c r="A34" i="114"/>
  <c r="A28" i="114"/>
  <c r="A29" i="114"/>
  <c r="A30" i="114"/>
  <c r="A31" i="114"/>
  <c r="A32" i="114"/>
  <c r="A33" i="114"/>
  <c r="A18" i="114"/>
  <c r="A15" i="114"/>
  <c r="A13" i="114"/>
  <c r="A12" i="114"/>
  <c r="A8" i="114"/>
  <c r="A9" i="114"/>
  <c r="A10" i="114"/>
  <c r="A11" i="114"/>
  <c r="B245" i="113"/>
  <c r="B246" i="113"/>
  <c r="B247" i="113"/>
  <c r="B248" i="113"/>
  <c r="B249" i="113"/>
  <c r="B250" i="113"/>
  <c r="B251" i="113"/>
  <c r="B252" i="113"/>
  <c r="B236" i="113"/>
  <c r="B237" i="113"/>
  <c r="B238" i="113"/>
  <c r="B239" i="113"/>
  <c r="B240" i="113"/>
  <c r="B241" i="113"/>
  <c r="B242" i="113"/>
  <c r="B243" i="113"/>
  <c r="BW6" i="159"/>
  <c r="T27" i="159"/>
  <c r="R28" i="159"/>
  <c r="T28" i="159"/>
  <c r="S29" i="159"/>
  <c r="T29" i="159"/>
  <c r="R30" i="159"/>
  <c r="S30" i="159"/>
  <c r="T30" i="159"/>
  <c r="Q31" i="159"/>
  <c r="S31" i="159"/>
  <c r="T31" i="159"/>
  <c r="R32" i="159"/>
  <c r="S32" i="159"/>
  <c r="T32" i="159"/>
  <c r="S33" i="159"/>
  <c r="T33" i="159"/>
  <c r="R34" i="159"/>
  <c r="S34" i="159"/>
  <c r="T34" i="159"/>
  <c r="R26" i="159"/>
  <c r="T26" i="159"/>
  <c r="T17" i="159"/>
  <c r="T18" i="159"/>
  <c r="R19" i="159"/>
  <c r="S19" i="159"/>
  <c r="T19" i="159"/>
  <c r="S20" i="159"/>
  <c r="T20" i="159"/>
  <c r="R21" i="159"/>
  <c r="S21" i="159"/>
  <c r="T21" i="159"/>
  <c r="Q22" i="159"/>
  <c r="S22" i="159"/>
  <c r="T22" i="159"/>
  <c r="R23" i="159"/>
  <c r="S23" i="159"/>
  <c r="T23" i="159"/>
  <c r="Q24" i="159"/>
  <c r="S24" i="159"/>
  <c r="T24" i="159"/>
  <c r="S16" i="159"/>
  <c r="T16" i="159"/>
  <c r="BB16" i="159"/>
  <c r="BB21" i="159"/>
  <c r="CD6" i="159"/>
  <c r="Q9" i="159"/>
  <c r="Q19" i="159" s="1"/>
  <c r="R9" i="159"/>
  <c r="R29" i="159" s="1"/>
  <c r="Q10" i="159"/>
  <c r="Q30" i="159" s="1"/>
  <c r="R10" i="159"/>
  <c r="R20" i="159" s="1"/>
  <c r="Q11" i="159"/>
  <c r="Q21" i="159" s="1"/>
  <c r="R11" i="159"/>
  <c r="R31" i="159" s="1"/>
  <c r="Q12" i="159"/>
  <c r="Q32" i="159" s="1"/>
  <c r="R12" i="159"/>
  <c r="R22" i="159" s="1"/>
  <c r="S56" i="104"/>
  <c r="S55" i="104"/>
  <c r="S54" i="104"/>
  <c r="S53" i="104"/>
  <c r="R56" i="104"/>
  <c r="R55" i="104"/>
  <c r="R54" i="104"/>
  <c r="R53" i="104"/>
  <c r="Q13" i="159"/>
  <c r="Q23" i="159" s="1"/>
  <c r="R13" i="159"/>
  <c r="R33" i="159" s="1"/>
  <c r="Q14" i="159"/>
  <c r="Q34" i="159" s="1"/>
  <c r="R14" i="159"/>
  <c r="R24" i="159" s="1"/>
  <c r="Q6" i="159"/>
  <c r="Q26" i="159" s="1"/>
  <c r="R6" i="159"/>
  <c r="R16" i="159" s="1"/>
  <c r="S6" i="159"/>
  <c r="S26" i="159" s="1"/>
  <c r="Q7" i="159"/>
  <c r="Q27" i="159" s="1"/>
  <c r="R7" i="159"/>
  <c r="R27" i="159" s="1"/>
  <c r="Q8" i="159"/>
  <c r="R8" i="159"/>
  <c r="R18" i="159" s="1"/>
  <c r="R50" i="104"/>
  <c r="AD34" i="159" l="1"/>
  <c r="Q29" i="159"/>
  <c r="S8" i="159"/>
  <c r="Q28" i="159"/>
  <c r="Q20" i="159"/>
  <c r="R17" i="159"/>
  <c r="Q33" i="159"/>
  <c r="Q18" i="159"/>
  <c r="Q17" i="159"/>
  <c r="S7" i="159"/>
  <c r="Q16" i="159"/>
  <c r="AD24" i="159"/>
  <c r="E19" i="135"/>
  <c r="E34" i="135" s="1"/>
  <c r="E18" i="135"/>
  <c r="E48" i="135" s="1"/>
  <c r="E17" i="135"/>
  <c r="E32" i="135" s="1"/>
  <c r="E16" i="135"/>
  <c r="E31" i="135" s="1"/>
  <c r="E15" i="135"/>
  <c r="E14" i="135"/>
  <c r="E29" i="135" s="1"/>
  <c r="E13" i="135"/>
  <c r="E28" i="135" s="1"/>
  <c r="E12" i="135"/>
  <c r="E42" i="135" s="1"/>
  <c r="E11" i="135"/>
  <c r="E41" i="135" s="1"/>
  <c r="E10" i="135"/>
  <c r="E40" i="135" s="1"/>
  <c r="E9" i="135"/>
  <c r="E24" i="135" s="1"/>
  <c r="E8" i="135"/>
  <c r="BI22" i="148"/>
  <c r="BJ22" i="148" s="1"/>
  <c r="BK22" i="148" s="1"/>
  <c r="BL22" i="148" s="1"/>
  <c r="BM22" i="148" s="1"/>
  <c r="BN22" i="148" s="1"/>
  <c r="BO22" i="148" s="1"/>
  <c r="BP22" i="148"/>
  <c r="BQ22" i="148" s="1"/>
  <c r="BR22" i="148" s="1"/>
  <c r="BS22" i="148" s="1"/>
  <c r="BT22" i="148" s="1"/>
  <c r="BU22" i="148" s="1"/>
  <c r="BV22" i="148" s="1"/>
  <c r="BI23" i="148"/>
  <c r="BJ23" i="148" s="1"/>
  <c r="BK23" i="148" s="1"/>
  <c r="BL23" i="148" s="1"/>
  <c r="BM23" i="148" s="1"/>
  <c r="BN23" i="148" s="1"/>
  <c r="BO23" i="148" s="1"/>
  <c r="BP23" i="148"/>
  <c r="BQ23" i="148" s="1"/>
  <c r="BR23" i="148" s="1"/>
  <c r="BS23" i="148" s="1"/>
  <c r="BT23" i="148" s="1"/>
  <c r="BU23" i="148" s="1"/>
  <c r="BV23" i="148" s="1"/>
  <c r="BI24" i="148"/>
  <c r="BJ24" i="148" s="1"/>
  <c r="BK24" i="148" s="1"/>
  <c r="BL24" i="148" s="1"/>
  <c r="BM24" i="148" s="1"/>
  <c r="BN24" i="148" s="1"/>
  <c r="BO24" i="148" s="1"/>
  <c r="BP24" i="148"/>
  <c r="BQ24" i="148" s="1"/>
  <c r="BR24" i="148" s="1"/>
  <c r="BS24" i="148" s="1"/>
  <c r="BT24" i="148" s="1"/>
  <c r="BU24" i="148" s="1"/>
  <c r="BV24" i="148" s="1"/>
  <c r="BI15" i="148"/>
  <c r="BJ15" i="148" s="1"/>
  <c r="BK15" i="148" s="1"/>
  <c r="BL15" i="148" s="1"/>
  <c r="BM15" i="148" s="1"/>
  <c r="BN15" i="148" s="1"/>
  <c r="BO15" i="148" s="1"/>
  <c r="BP15" i="148"/>
  <c r="BQ15" i="148" s="1"/>
  <c r="BR15" i="148" s="1"/>
  <c r="BS15" i="148" s="1"/>
  <c r="BT15" i="148" s="1"/>
  <c r="BU15" i="148" s="1"/>
  <c r="BV15" i="148" s="1"/>
  <c r="BI16" i="148"/>
  <c r="BJ16" i="148" s="1"/>
  <c r="BK16" i="148" s="1"/>
  <c r="BL16" i="148" s="1"/>
  <c r="BM16" i="148" s="1"/>
  <c r="BN16" i="148" s="1"/>
  <c r="BO16" i="148" s="1"/>
  <c r="BP16" i="148"/>
  <c r="BQ16" i="148" s="1"/>
  <c r="BR16" i="148" s="1"/>
  <c r="BS16" i="148" s="1"/>
  <c r="BT16" i="148" s="1"/>
  <c r="BU16" i="148" s="1"/>
  <c r="BV16" i="148" s="1"/>
  <c r="BI17" i="148"/>
  <c r="BJ17" i="148" s="1"/>
  <c r="BK17" i="148" s="1"/>
  <c r="BL17" i="148" s="1"/>
  <c r="BM17" i="148" s="1"/>
  <c r="BN17" i="148" s="1"/>
  <c r="BO17" i="148" s="1"/>
  <c r="BP17" i="148"/>
  <c r="BQ17" i="148" s="1"/>
  <c r="BR17" i="148" s="1"/>
  <c r="BS17" i="148" s="1"/>
  <c r="BT17" i="148" s="1"/>
  <c r="BU17" i="148" s="1"/>
  <c r="BV17" i="148" s="1"/>
  <c r="BB22" i="148"/>
  <c r="BC22" i="148" s="1"/>
  <c r="BB23" i="148"/>
  <c r="BC23" i="148" s="1"/>
  <c r="BB24" i="148"/>
  <c r="BC24" i="148" s="1"/>
  <c r="BB15" i="148"/>
  <c r="BC15" i="148" s="1"/>
  <c r="BB16" i="148"/>
  <c r="BC16" i="148" s="1"/>
  <c r="BB17" i="148"/>
  <c r="BC17" i="148" s="1"/>
  <c r="BB13" i="148"/>
  <c r="T22" i="148"/>
  <c r="T23" i="148"/>
  <c r="T24" i="148"/>
  <c r="T15" i="148"/>
  <c r="T16" i="148"/>
  <c r="T17" i="148"/>
  <c r="BV289" i="113"/>
  <c r="E288" i="113"/>
  <c r="E287" i="113"/>
  <c r="E286" i="113"/>
  <c r="E285" i="113"/>
  <c r="E284" i="113"/>
  <c r="E283" i="113"/>
  <c r="E282" i="113"/>
  <c r="E281" i="113"/>
  <c r="E272" i="113"/>
  <c r="E271" i="113"/>
  <c r="E270" i="113"/>
  <c r="H97" i="148"/>
  <c r="E267" i="113"/>
  <c r="E265" i="113"/>
  <c r="E264" i="113"/>
  <c r="E263" i="113"/>
  <c r="E262" i="113"/>
  <c r="AF10" i="158"/>
  <c r="AG10" i="158"/>
  <c r="AH10" i="158"/>
  <c r="AF8" i="158"/>
  <c r="AG8" i="158"/>
  <c r="AH8" i="158"/>
  <c r="AE10" i="158"/>
  <c r="AE8" i="158"/>
  <c r="C10" i="158"/>
  <c r="D10" i="158"/>
  <c r="E10" i="158"/>
  <c r="F10" i="158"/>
  <c r="G10" i="158"/>
  <c r="H10" i="158"/>
  <c r="J10" i="158"/>
  <c r="K10" i="158"/>
  <c r="L10" i="158"/>
  <c r="M10" i="158"/>
  <c r="O10" i="158"/>
  <c r="P10" i="158"/>
  <c r="Q10" i="158"/>
  <c r="S10" i="158"/>
  <c r="U10" i="158"/>
  <c r="Q8" i="158"/>
  <c r="S8" i="158"/>
  <c r="U8" i="158"/>
  <c r="V8" i="158"/>
  <c r="C8" i="158"/>
  <c r="D8" i="158"/>
  <c r="E8" i="158"/>
  <c r="F8" i="158"/>
  <c r="G8" i="158"/>
  <c r="H8" i="158"/>
  <c r="J8" i="158"/>
  <c r="K8" i="158"/>
  <c r="L8" i="158"/>
  <c r="M8" i="158"/>
  <c r="O8" i="158"/>
  <c r="P8" i="158"/>
  <c r="R8" i="158"/>
  <c r="I6" i="158"/>
  <c r="I8" i="158" s="1"/>
  <c r="B210" i="113"/>
  <c r="B209" i="113"/>
  <c r="B208" i="113"/>
  <c r="B207" i="113"/>
  <c r="B206" i="113"/>
  <c r="B205" i="113"/>
  <c r="B204" i="113"/>
  <c r="B203" i="113"/>
  <c r="B202" i="113"/>
  <c r="B201" i="113"/>
  <c r="B200" i="113"/>
  <c r="B199" i="113"/>
  <c r="B85" i="113"/>
  <c r="B84" i="113"/>
  <c r="B83" i="113"/>
  <c r="B82" i="113"/>
  <c r="B81" i="113"/>
  <c r="B80" i="113"/>
  <c r="B79" i="113"/>
  <c r="B78" i="113"/>
  <c r="B76" i="113"/>
  <c r="B75" i="113"/>
  <c r="B74" i="113"/>
  <c r="B73" i="113"/>
  <c r="B72" i="113"/>
  <c r="B71" i="113"/>
  <c r="B70" i="113"/>
  <c r="B69" i="113"/>
  <c r="B68" i="113"/>
  <c r="B67" i="113"/>
  <c r="B66" i="113"/>
  <c r="B65" i="113"/>
  <c r="B64" i="113"/>
  <c r="B63" i="113"/>
  <c r="B62" i="113"/>
  <c r="B61" i="113"/>
  <c r="B60" i="113"/>
  <c r="B59" i="113"/>
  <c r="B58" i="113"/>
  <c r="B57" i="113"/>
  <c r="B56" i="113"/>
  <c r="B55" i="113"/>
  <c r="B54" i="113"/>
  <c r="B53" i="113"/>
  <c r="B52" i="113"/>
  <c r="B51" i="113"/>
  <c r="B50" i="113"/>
  <c r="B49" i="113"/>
  <c r="B48" i="113"/>
  <c r="B47" i="113"/>
  <c r="B46" i="113"/>
  <c r="B45" i="113"/>
  <c r="B44" i="113"/>
  <c r="B43" i="113"/>
  <c r="B42" i="113"/>
  <c r="B41" i="113"/>
  <c r="C36" i="135"/>
  <c r="D36" i="135"/>
  <c r="E36" i="135"/>
  <c r="F36" i="135"/>
  <c r="C37" i="135"/>
  <c r="D37" i="135"/>
  <c r="E37" i="135"/>
  <c r="F37" i="135"/>
  <c r="F44" i="135"/>
  <c r="F45" i="135"/>
  <c r="F46" i="135"/>
  <c r="F47" i="135"/>
  <c r="F48" i="135"/>
  <c r="F49" i="135"/>
  <c r="F33" i="135"/>
  <c r="F34" i="135"/>
  <c r="C21" i="135"/>
  <c r="D21" i="135"/>
  <c r="E21" i="135"/>
  <c r="F21" i="135"/>
  <c r="C22" i="135"/>
  <c r="D22" i="135"/>
  <c r="E22" i="135"/>
  <c r="F22" i="135"/>
  <c r="E27" i="135"/>
  <c r="F29" i="135"/>
  <c r="F30" i="135"/>
  <c r="F31" i="135"/>
  <c r="F32" i="135"/>
  <c r="C44" i="135"/>
  <c r="D44" i="135"/>
  <c r="C45" i="135"/>
  <c r="D45" i="135"/>
  <c r="C46" i="135"/>
  <c r="D46" i="135"/>
  <c r="C32" i="135"/>
  <c r="D32" i="135"/>
  <c r="C48" i="135"/>
  <c r="D48" i="135"/>
  <c r="C34" i="135"/>
  <c r="D34" i="135"/>
  <c r="B19" i="135"/>
  <c r="B15" i="135"/>
  <c r="B16" i="135"/>
  <c r="B17" i="135"/>
  <c r="B18" i="135"/>
  <c r="B14" i="135"/>
  <c r="D8" i="135"/>
  <c r="D38" i="135" s="1"/>
  <c r="D9" i="135"/>
  <c r="D24" i="135" s="1"/>
  <c r="D10" i="135"/>
  <c r="D40" i="135" s="1"/>
  <c r="D11" i="135"/>
  <c r="D26" i="135" s="1"/>
  <c r="D12" i="135"/>
  <c r="D42" i="135" s="1"/>
  <c r="D13" i="135"/>
  <c r="D28" i="135" s="1"/>
  <c r="C8" i="135"/>
  <c r="C38" i="135" s="1"/>
  <c r="C9" i="135"/>
  <c r="C24" i="135" s="1"/>
  <c r="C10" i="135"/>
  <c r="C40" i="135" s="1"/>
  <c r="C11" i="135"/>
  <c r="C26" i="135" s="1"/>
  <c r="C12" i="135"/>
  <c r="C42" i="135" s="1"/>
  <c r="C13" i="135"/>
  <c r="C28" i="135" s="1"/>
  <c r="B12" i="135"/>
  <c r="B13" i="135"/>
  <c r="B9" i="135"/>
  <c r="B10" i="135"/>
  <c r="B11" i="135"/>
  <c r="B8" i="135"/>
  <c r="B40" i="113"/>
  <c r="B39" i="113"/>
  <c r="B38" i="113"/>
  <c r="B37" i="113"/>
  <c r="B36" i="113"/>
  <c r="B35" i="113"/>
  <c r="B34" i="113"/>
  <c r="B33" i="113"/>
  <c r="B32" i="113"/>
  <c r="B31" i="113"/>
  <c r="B30" i="113"/>
  <c r="B29" i="113"/>
  <c r="B28" i="113"/>
  <c r="B27" i="113"/>
  <c r="B26" i="113"/>
  <c r="B25" i="113"/>
  <c r="B23" i="113"/>
  <c r="B22" i="113"/>
  <c r="B21" i="113"/>
  <c r="B17" i="113"/>
  <c r="B16" i="113"/>
  <c r="B15" i="113"/>
  <c r="B12" i="113"/>
  <c r="D32" i="64"/>
  <c r="D26" i="64"/>
  <c r="D37" i="64"/>
  <c r="D36" i="64"/>
  <c r="D31" i="64"/>
  <c r="D27" i="64"/>
  <c r="D30" i="64"/>
  <c r="D34" i="64"/>
  <c r="D33" i="64"/>
  <c r="D28" i="64"/>
  <c r="D29" i="64"/>
  <c r="D35" i="64"/>
  <c r="B47" i="135" l="1"/>
  <c r="B32" i="135"/>
  <c r="B33" i="135"/>
  <c r="B48" i="135"/>
  <c r="B45" i="135"/>
  <c r="B30" i="135"/>
  <c r="B42" i="135"/>
  <c r="B27" i="135"/>
  <c r="B46" i="135"/>
  <c r="B31" i="135"/>
  <c r="B34" i="135"/>
  <c r="B49" i="135"/>
  <c r="B23" i="135"/>
  <c r="B38" i="135"/>
  <c r="B41" i="135"/>
  <c r="B26" i="135"/>
  <c r="B40" i="135"/>
  <c r="B25" i="135"/>
  <c r="B24" i="135"/>
  <c r="B39" i="135"/>
  <c r="B43" i="135"/>
  <c r="B28" i="135"/>
  <c r="B44" i="135"/>
  <c r="B29" i="135"/>
  <c r="E49" i="135"/>
  <c r="E26" i="135"/>
  <c r="F12" i="135"/>
  <c r="O12" i="135"/>
  <c r="P12" i="135"/>
  <c r="H12" i="135"/>
  <c r="M12" i="135"/>
  <c r="F8" i="135"/>
  <c r="H8" i="135"/>
  <c r="M8" i="135"/>
  <c r="O8" i="135"/>
  <c r="P8" i="135"/>
  <c r="P11" i="135"/>
  <c r="H11" i="135"/>
  <c r="M11" i="135"/>
  <c r="F11" i="135"/>
  <c r="O11" i="135"/>
  <c r="M10" i="135"/>
  <c r="P10" i="135"/>
  <c r="H10" i="135"/>
  <c r="O10" i="135"/>
  <c r="F10" i="135"/>
  <c r="P9" i="135"/>
  <c r="O9" i="135"/>
  <c r="H9" i="135"/>
  <c r="F9" i="135"/>
  <c r="M9" i="135"/>
  <c r="P13" i="135"/>
  <c r="M13" i="135"/>
  <c r="O13" i="135"/>
  <c r="F13" i="135"/>
  <c r="H13" i="135"/>
  <c r="E47" i="135"/>
  <c r="E25" i="135"/>
  <c r="E33" i="135"/>
  <c r="R10" i="158"/>
  <c r="I10" i="158"/>
  <c r="E44" i="135"/>
  <c r="E46" i="135"/>
  <c r="E39" i="135"/>
  <c r="S18" i="159"/>
  <c r="S28" i="159"/>
  <c r="AE34" i="159"/>
  <c r="AE24" i="159"/>
  <c r="S27" i="159"/>
  <c r="S17" i="159"/>
  <c r="E43" i="135"/>
  <c r="BD23" i="148"/>
  <c r="BF23" i="148"/>
  <c r="E30" i="135"/>
  <c r="E45" i="135"/>
  <c r="E23" i="135"/>
  <c r="E38" i="135"/>
  <c r="D31" i="135"/>
  <c r="D30" i="135"/>
  <c r="D29" i="135"/>
  <c r="D27" i="135"/>
  <c r="D25" i="135"/>
  <c r="D23" i="135"/>
  <c r="D33" i="135"/>
  <c r="C31" i="135"/>
  <c r="C30" i="135"/>
  <c r="C29" i="135"/>
  <c r="C27" i="135"/>
  <c r="C25" i="135"/>
  <c r="C23" i="135"/>
  <c r="C33" i="135"/>
  <c r="D49" i="135"/>
  <c r="D47" i="135"/>
  <c r="D43" i="135"/>
  <c r="D41" i="135"/>
  <c r="D39" i="135"/>
  <c r="C49" i="135"/>
  <c r="C47" i="135"/>
  <c r="C43" i="135"/>
  <c r="C41" i="135"/>
  <c r="C39" i="135"/>
  <c r="P26" i="135" l="1"/>
  <c r="CA11" i="135"/>
  <c r="BZ11" i="135"/>
  <c r="BY11" i="135"/>
  <c r="BX11" i="135"/>
  <c r="BW11" i="135"/>
  <c r="CC11" i="135"/>
  <c r="P41" i="135"/>
  <c r="CB11" i="135"/>
  <c r="M43" i="135"/>
  <c r="M28" i="135"/>
  <c r="CA12" i="135"/>
  <c r="P27" i="135"/>
  <c r="BZ12" i="135"/>
  <c r="BY12" i="135"/>
  <c r="BX12" i="135"/>
  <c r="BW12" i="135"/>
  <c r="CC12" i="135"/>
  <c r="P42" i="135"/>
  <c r="CB12" i="135"/>
  <c r="BZ8" i="135"/>
  <c r="BY8" i="135"/>
  <c r="BX8" i="135"/>
  <c r="BW8" i="135"/>
  <c r="P23" i="135"/>
  <c r="CC8" i="135"/>
  <c r="CB8" i="135"/>
  <c r="P38" i="135"/>
  <c r="CA8" i="135"/>
  <c r="H23" i="135"/>
  <c r="H38" i="135"/>
  <c r="M42" i="135"/>
  <c r="M27" i="135"/>
  <c r="M41" i="135"/>
  <c r="M26" i="135"/>
  <c r="H28" i="135"/>
  <c r="H43" i="135"/>
  <c r="CC13" i="135"/>
  <c r="CB13" i="135"/>
  <c r="P28" i="135"/>
  <c r="CA13" i="135"/>
  <c r="BZ13" i="135"/>
  <c r="BY13" i="135"/>
  <c r="BX13" i="135"/>
  <c r="BW13" i="135"/>
  <c r="P43" i="135"/>
  <c r="O40" i="135"/>
  <c r="O25" i="135"/>
  <c r="O38" i="135"/>
  <c r="O23" i="135"/>
  <c r="O42" i="135"/>
  <c r="O27" i="135"/>
  <c r="O39" i="135"/>
  <c r="O24" i="135"/>
  <c r="BW9" i="135"/>
  <c r="CC9" i="135"/>
  <c r="CB9" i="135"/>
  <c r="CA9" i="135"/>
  <c r="BZ9" i="135"/>
  <c r="P24" i="135"/>
  <c r="BY9" i="135"/>
  <c r="P39" i="135"/>
  <c r="BX9" i="135"/>
  <c r="H40" i="135"/>
  <c r="H25" i="135"/>
  <c r="H27" i="135"/>
  <c r="H42" i="135"/>
  <c r="O43" i="135"/>
  <c r="O28" i="135"/>
  <c r="M24" i="135"/>
  <c r="M39" i="135"/>
  <c r="O41" i="135"/>
  <c r="O26" i="135"/>
  <c r="M23" i="135"/>
  <c r="M38" i="135"/>
  <c r="BZ10" i="135"/>
  <c r="BY10" i="135"/>
  <c r="BX10" i="135"/>
  <c r="BW10" i="135"/>
  <c r="CC10" i="135"/>
  <c r="CB10" i="135"/>
  <c r="P40" i="135"/>
  <c r="P25" i="135"/>
  <c r="CA10" i="135"/>
  <c r="H24" i="135"/>
  <c r="H39" i="135"/>
  <c r="M40" i="135"/>
  <c r="M25" i="135"/>
  <c r="H26" i="135"/>
  <c r="H41" i="135"/>
  <c r="F39" i="135"/>
  <c r="F24" i="135"/>
  <c r="F38" i="135"/>
  <c r="F23" i="135"/>
  <c r="F41" i="135"/>
  <c r="F26" i="135"/>
  <c r="F40" i="135"/>
  <c r="F25" i="135"/>
  <c r="F27" i="135"/>
  <c r="F42" i="135"/>
  <c r="F43" i="135"/>
  <c r="F28" i="135"/>
  <c r="AF34" i="159"/>
  <c r="AF24" i="159"/>
  <c r="AH14" i="159"/>
  <c r="AI14" i="159" s="1"/>
  <c r="AJ14" i="159" s="1"/>
  <c r="BF17" i="148"/>
  <c r="BD17" i="148"/>
  <c r="BD16" i="148"/>
  <c r="BF16" i="148"/>
  <c r="BD22" i="148"/>
  <c r="BF22" i="148"/>
  <c r="BD15" i="148"/>
  <c r="BF15" i="148"/>
  <c r="BD24" i="148"/>
  <c r="BF24" i="148"/>
  <c r="BE23" i="148"/>
  <c r="BH23" i="148" s="1"/>
  <c r="BG23" i="148"/>
  <c r="BP8" i="148"/>
  <c r="BQ8" i="148" s="1"/>
  <c r="BR8" i="148" s="1"/>
  <c r="BS8" i="148" s="1"/>
  <c r="BT8" i="148" s="1"/>
  <c r="BU8" i="148" s="1"/>
  <c r="BB9" i="148"/>
  <c r="BC9" i="148" s="1"/>
  <c r="BI9" i="148"/>
  <c r="BJ9" i="148" s="1"/>
  <c r="BK9" i="148" s="1"/>
  <c r="BL9" i="148" s="1"/>
  <c r="BP9" i="148"/>
  <c r="BP10" i="148"/>
  <c r="BQ10" i="148" s="1"/>
  <c r="BR10" i="148" s="1"/>
  <c r="R21" i="157" l="1"/>
  <c r="CE7" i="157"/>
  <c r="CF7" i="157" s="1"/>
  <c r="CG7" i="157" s="1"/>
  <c r="CH7" i="157" s="1"/>
  <c r="CI7" i="157" s="1"/>
  <c r="CJ7" i="157" s="1"/>
  <c r="CK7" i="157" s="1"/>
  <c r="R14" i="157"/>
  <c r="R22" i="157"/>
  <c r="CE8" i="157"/>
  <c r="CF8" i="157" s="1"/>
  <c r="CG8" i="157" s="1"/>
  <c r="CH8" i="157" s="1"/>
  <c r="CI8" i="157" s="1"/>
  <c r="CJ8" i="157" s="1"/>
  <c r="CK8" i="157" s="1"/>
  <c r="R15" i="157"/>
  <c r="V15" i="157"/>
  <c r="V22" i="157"/>
  <c r="Z8" i="157"/>
  <c r="Z15" i="157" s="1"/>
  <c r="EJ8" i="157"/>
  <c r="DA8" i="157"/>
  <c r="DV8" i="157"/>
  <c r="Y22" i="157"/>
  <c r="EC8" i="157"/>
  <c r="DH8" i="157"/>
  <c r="Y15" i="157"/>
  <c r="DO8" i="157"/>
  <c r="CT8" i="157"/>
  <c r="EI7" i="157"/>
  <c r="CZ7" i="157"/>
  <c r="DU7" i="157"/>
  <c r="X14" i="157"/>
  <c r="CS7" i="157"/>
  <c r="X21" i="157"/>
  <c r="DN7" i="157"/>
  <c r="Z7" i="157"/>
  <c r="AA7" i="157" s="1"/>
  <c r="DO7" i="157"/>
  <c r="Y21" i="157"/>
  <c r="EJ7" i="157"/>
  <c r="DA7" i="157"/>
  <c r="DV7" i="157"/>
  <c r="DH7" i="157"/>
  <c r="EC7" i="157"/>
  <c r="CT7" i="157"/>
  <c r="Y14" i="157"/>
  <c r="DU8" i="157"/>
  <c r="X22" i="157"/>
  <c r="DG8" i="157"/>
  <c r="X15" i="157"/>
  <c r="EB8" i="157"/>
  <c r="CS8" i="157"/>
  <c r="DN8" i="157"/>
  <c r="EI8" i="157"/>
  <c r="CZ8" i="157"/>
  <c r="V21" i="157"/>
  <c r="V14" i="157"/>
  <c r="BZ38" i="135"/>
  <c r="BY38" i="135"/>
  <c r="BX38" i="135"/>
  <c r="BW38" i="135"/>
  <c r="CC38" i="135"/>
  <c r="CB38" i="135"/>
  <c r="CA38" i="135"/>
  <c r="CA28" i="135"/>
  <c r="BZ28" i="135"/>
  <c r="BY28" i="135"/>
  <c r="BX28" i="135"/>
  <c r="BW28" i="135"/>
  <c r="CC28" i="135"/>
  <c r="CB28" i="135"/>
  <c r="BZ27" i="135"/>
  <c r="BY27" i="135"/>
  <c r="BX27" i="135"/>
  <c r="BW27" i="135"/>
  <c r="CC27" i="135"/>
  <c r="CB27" i="135"/>
  <c r="CA27" i="135"/>
  <c r="BY42" i="135"/>
  <c r="BX42" i="135"/>
  <c r="BW42" i="135"/>
  <c r="CC42" i="135"/>
  <c r="CB42" i="135"/>
  <c r="CA42" i="135"/>
  <c r="BZ42" i="135"/>
  <c r="CA43" i="135"/>
  <c r="BZ43" i="135"/>
  <c r="BY43" i="135"/>
  <c r="BX43" i="135"/>
  <c r="BW43" i="135"/>
  <c r="CC43" i="135"/>
  <c r="CB43" i="135"/>
  <c r="CA23" i="135"/>
  <c r="BZ23" i="135"/>
  <c r="BY23" i="135"/>
  <c r="BX23" i="135"/>
  <c r="BW23" i="135"/>
  <c r="CC23" i="135"/>
  <c r="CB23" i="135"/>
  <c r="CB24" i="135"/>
  <c r="CA24" i="135"/>
  <c r="BZ24" i="135"/>
  <c r="BY24" i="135"/>
  <c r="BX24" i="135"/>
  <c r="BW24" i="135"/>
  <c r="CC24" i="135"/>
  <c r="CC25" i="135"/>
  <c r="CB25" i="135"/>
  <c r="CA25" i="135"/>
  <c r="BZ25" i="135"/>
  <c r="BY25" i="135"/>
  <c r="BX25" i="135"/>
  <c r="BW25" i="135"/>
  <c r="CB39" i="135"/>
  <c r="CA39" i="135"/>
  <c r="BZ39" i="135"/>
  <c r="BY39" i="135"/>
  <c r="BX39" i="135"/>
  <c r="BW39" i="135"/>
  <c r="CC39" i="135"/>
  <c r="CC40" i="135"/>
  <c r="CB40" i="135"/>
  <c r="CA40" i="135"/>
  <c r="BZ40" i="135"/>
  <c r="BY40" i="135"/>
  <c r="BX40" i="135"/>
  <c r="BW40" i="135"/>
  <c r="BW41" i="135"/>
  <c r="CC41" i="135"/>
  <c r="CB41" i="135"/>
  <c r="CA41" i="135"/>
  <c r="BZ41" i="135"/>
  <c r="BY41" i="135"/>
  <c r="BX41" i="135"/>
  <c r="BX26" i="135"/>
  <c r="BW26" i="135"/>
  <c r="CC26" i="135"/>
  <c r="CB26" i="135"/>
  <c r="CA26" i="135"/>
  <c r="BZ26" i="135"/>
  <c r="BY26" i="135"/>
  <c r="AG24" i="159"/>
  <c r="AG34" i="159"/>
  <c r="BE16" i="148"/>
  <c r="BH16" i="148" s="1"/>
  <c r="BG16" i="148"/>
  <c r="BE17" i="148"/>
  <c r="BH17" i="148" s="1"/>
  <c r="BG17" i="148"/>
  <c r="BE15" i="148"/>
  <c r="BH15" i="148" s="1"/>
  <c r="BG15" i="148"/>
  <c r="BE22" i="148"/>
  <c r="BH22" i="148" s="1"/>
  <c r="BG22" i="148"/>
  <c r="BE24" i="148"/>
  <c r="BH24" i="148" s="1"/>
  <c r="BG24" i="148"/>
  <c r="BQ9" i="148"/>
  <c r="BR9" i="148" s="1"/>
  <c r="BS9" i="148" s="1"/>
  <c r="BT9" i="148" s="1"/>
  <c r="BD9" i="148"/>
  <c r="BE9" i="148" s="1"/>
  <c r="BH9" i="148" s="1"/>
  <c r="BF9" i="148"/>
  <c r="BV8" i="148"/>
  <c r="BM9" i="148"/>
  <c r="BS10" i="148"/>
  <c r="BT10" i="148" s="1"/>
  <c r="EB7" i="157" l="1"/>
  <c r="Z14" i="157"/>
  <c r="Z22" i="157"/>
  <c r="AA8" i="157"/>
  <c r="AB8" i="157" s="1"/>
  <c r="EE7" i="157"/>
  <c r="DQ7" i="157"/>
  <c r="EL7" i="157"/>
  <c r="DC7" i="157"/>
  <c r="DX7" i="157"/>
  <c r="DJ7" i="157"/>
  <c r="CV7" i="157"/>
  <c r="DQ8" i="157"/>
  <c r="EL8" i="157"/>
  <c r="DP8" i="157"/>
  <c r="EK8" i="157"/>
  <c r="DB8" i="157"/>
  <c r="CU8" i="157"/>
  <c r="DW8" i="157"/>
  <c r="DI8" i="157"/>
  <c r="ED8" i="157"/>
  <c r="Z21" i="157"/>
  <c r="CU7" i="157"/>
  <c r="DP7" i="157"/>
  <c r="EK7" i="157"/>
  <c r="DB7" i="157"/>
  <c r="DI7" i="157"/>
  <c r="DW7" i="157"/>
  <c r="ED7" i="157"/>
  <c r="AI21" i="157"/>
  <c r="AI14" i="157"/>
  <c r="AJ14" i="157"/>
  <c r="AJ21" i="157"/>
  <c r="AK21" i="157"/>
  <c r="AK14" i="157"/>
  <c r="AI15" i="157"/>
  <c r="AI22" i="157"/>
  <c r="AL21" i="157"/>
  <c r="AL14" i="157"/>
  <c r="AJ22" i="157"/>
  <c r="AJ15" i="157"/>
  <c r="AK15" i="157"/>
  <c r="AK22" i="157"/>
  <c r="AN21" i="157"/>
  <c r="AL22" i="157"/>
  <c r="AL15" i="157"/>
  <c r="AA22" i="157"/>
  <c r="AA15" i="157"/>
  <c r="AB7" i="157"/>
  <c r="AA14" i="157"/>
  <c r="AA21" i="157"/>
  <c r="AH24" i="159"/>
  <c r="AH34" i="159"/>
  <c r="BG9" i="148"/>
  <c r="BU9" i="148"/>
  <c r="BN9" i="148"/>
  <c r="BU10" i="148"/>
  <c r="E25" i="113"/>
  <c r="E31" i="113"/>
  <c r="G31" i="113"/>
  <c r="F29" i="113"/>
  <c r="F32" i="113"/>
  <c r="F27" i="113"/>
  <c r="E30" i="113"/>
  <c r="G25" i="113"/>
  <c r="E28" i="113"/>
  <c r="E26" i="113"/>
  <c r="E27" i="113"/>
  <c r="G29" i="113"/>
  <c r="E32" i="113"/>
  <c r="F28" i="113"/>
  <c r="F25" i="113"/>
  <c r="G26" i="113"/>
  <c r="F30" i="113"/>
  <c r="G32" i="113"/>
  <c r="G27" i="113"/>
  <c r="F31" i="113"/>
  <c r="G30" i="113"/>
  <c r="E29" i="113"/>
  <c r="G28" i="113"/>
  <c r="F26" i="113"/>
  <c r="EE8" i="157" l="1"/>
  <c r="DJ8" i="157"/>
  <c r="DX8" i="157"/>
  <c r="CV8" i="157"/>
  <c r="DC8" i="157"/>
  <c r="A26" i="113"/>
  <c r="A30" i="113"/>
  <c r="A32" i="113"/>
  <c r="A28" i="113"/>
  <c r="A29" i="113"/>
  <c r="A25" i="113"/>
  <c r="A31" i="113"/>
  <c r="A27" i="113"/>
  <c r="EF7" i="157"/>
  <c r="DR7" i="157"/>
  <c r="EM7" i="157"/>
  <c r="DD7" i="157"/>
  <c r="DY7" i="157"/>
  <c r="DK7" i="157"/>
  <c r="CW7" i="157"/>
  <c r="EF8" i="157"/>
  <c r="DR8" i="157"/>
  <c r="DY8" i="157"/>
  <c r="EM8" i="157"/>
  <c r="DD8" i="157"/>
  <c r="CW8" i="157"/>
  <c r="DK8" i="157"/>
  <c r="AC8" i="157"/>
  <c r="AB22" i="157"/>
  <c r="AB15" i="157"/>
  <c r="AC7" i="157"/>
  <c r="AB14" i="157"/>
  <c r="AB21" i="157"/>
  <c r="AI34" i="159"/>
  <c r="AI24" i="159"/>
  <c r="BO9" i="148"/>
  <c r="BV10" i="148"/>
  <c r="BV9" i="148"/>
  <c r="EG8" i="157" l="1"/>
  <c r="CX8" i="157"/>
  <c r="DS8" i="157"/>
  <c r="EN8" i="157"/>
  <c r="DE8" i="157"/>
  <c r="DZ8" i="157"/>
  <c r="DL8" i="157"/>
  <c r="DL7" i="157"/>
  <c r="CX7" i="157"/>
  <c r="EG7" i="157"/>
  <c r="EN7" i="157"/>
  <c r="DE7" i="157"/>
  <c r="DS7" i="157"/>
  <c r="DZ7" i="157"/>
  <c r="AD8" i="157"/>
  <c r="EP8" i="157" s="1"/>
  <c r="AC22" i="157"/>
  <c r="AC15" i="157"/>
  <c r="AD7" i="157"/>
  <c r="EP7" i="157" s="1"/>
  <c r="AC21" i="157"/>
  <c r="AC14" i="157"/>
  <c r="AJ34" i="159"/>
  <c r="AJ24" i="159"/>
  <c r="EA7" i="157" l="1"/>
  <c r="DM7" i="157"/>
  <c r="CY7" i="157"/>
  <c r="EQ7" i="157" s="1"/>
  <c r="DT7" i="157"/>
  <c r="ET7" i="157" s="1"/>
  <c r="EH7" i="157"/>
  <c r="EO7" i="157"/>
  <c r="DF7" i="157"/>
  <c r="DM8" i="157"/>
  <c r="ES8" i="157" s="1"/>
  <c r="DF8" i="157"/>
  <c r="EH8" i="157"/>
  <c r="EO8" i="157"/>
  <c r="DT8" i="157"/>
  <c r="ET8" i="157" s="1"/>
  <c r="CY8" i="157"/>
  <c r="EA8" i="157"/>
  <c r="EU8" i="157" s="1"/>
  <c r="AD22" i="157"/>
  <c r="AD15" i="157"/>
  <c r="AD21" i="157"/>
  <c r="AD14" i="157"/>
  <c r="S13" i="157"/>
  <c r="G143" i="148"/>
  <c r="D177" i="148"/>
  <c r="EV8" i="157" l="1"/>
  <c r="EV7" i="157"/>
  <c r="ER7" i="157"/>
  <c r="EW8" i="157"/>
  <c r="ER8" i="157"/>
  <c r="EW7" i="157"/>
  <c r="ES7" i="157"/>
  <c r="EQ8" i="157"/>
  <c r="EU7" i="157"/>
  <c r="P23" i="148"/>
  <c r="BW9" i="148"/>
  <c r="BX9" i="148"/>
  <c r="BY9" i="148"/>
  <c r="BZ9" i="148"/>
  <c r="CA9" i="148"/>
  <c r="CB9" i="148"/>
  <c r="CC9" i="148"/>
  <c r="G151" i="148"/>
  <c r="H151" i="148" s="1"/>
  <c r="I151" i="148"/>
  <c r="G144" i="148"/>
  <c r="G150" i="148"/>
  <c r="H150" i="148" s="1"/>
  <c r="I150" i="148"/>
  <c r="G152" i="148"/>
  <c r="H152" i="148" s="1"/>
  <c r="I152" i="148"/>
  <c r="H143" i="148"/>
  <c r="G145" i="148"/>
  <c r="H145" i="148" s="1"/>
  <c r="K131" i="148"/>
  <c r="K132" i="148" s="1"/>
  <c r="L150" i="148" s="1"/>
  <c r="M131" i="148"/>
  <c r="K143" i="148" s="1"/>
  <c r="G76" i="135"/>
  <c r="G65" i="157"/>
  <c r="H65" i="157" s="1"/>
  <c r="G89" i="135"/>
  <c r="G77" i="135"/>
  <c r="F78" i="135"/>
  <c r="BB10" i="148"/>
  <c r="BI10" i="148"/>
  <c r="BI8" i="148"/>
  <c r="BB8" i="148"/>
  <c r="D170" i="148"/>
  <c r="D163" i="148"/>
  <c r="CB16" i="148" l="1"/>
  <c r="BW16" i="148"/>
  <c r="BX16" i="148"/>
  <c r="BY16" i="148"/>
  <c r="BZ16" i="148"/>
  <c r="CC16" i="148"/>
  <c r="CA16" i="148"/>
  <c r="BY23" i="148"/>
  <c r="CA23" i="148"/>
  <c r="CB23" i="148"/>
  <c r="CC23" i="148"/>
  <c r="BZ23" i="148"/>
  <c r="BW23" i="148"/>
  <c r="BX23" i="148"/>
  <c r="P24" i="148"/>
  <c r="P22" i="148"/>
  <c r="K151" i="148"/>
  <c r="N151" i="148" s="1"/>
  <c r="K150" i="148"/>
  <c r="O150" i="148" s="1"/>
  <c r="P150" i="148"/>
  <c r="K144" i="148"/>
  <c r="N144" i="148" s="1"/>
  <c r="BJ10" i="148"/>
  <c r="BK10" i="148" s="1"/>
  <c r="BL10" i="148" s="1"/>
  <c r="BM10" i="148" s="1"/>
  <c r="BN10" i="148" s="1"/>
  <c r="BO10" i="148" s="1"/>
  <c r="K152" i="148"/>
  <c r="O152" i="148" s="1"/>
  <c r="BC8" i="148"/>
  <c r="CA8" i="148"/>
  <c r="CB8" i="148"/>
  <c r="CC8" i="148"/>
  <c r="BW8" i="148"/>
  <c r="BX8" i="148"/>
  <c r="BY8" i="148"/>
  <c r="BZ8" i="148"/>
  <c r="BJ8" i="148"/>
  <c r="BK8" i="148" s="1"/>
  <c r="BL8" i="148" s="1"/>
  <c r="BM8" i="148" s="1"/>
  <c r="BN8" i="148" s="1"/>
  <c r="BO8" i="148" s="1"/>
  <c r="BC10" i="148"/>
  <c r="O143" i="148"/>
  <c r="N143" i="148"/>
  <c r="L151" i="148"/>
  <c r="P151" i="148" s="1"/>
  <c r="M132" i="148"/>
  <c r="K145" i="148"/>
  <c r="N145" i="148" s="1"/>
  <c r="H144" i="148"/>
  <c r="O144" i="148" s="1"/>
  <c r="L152" i="148"/>
  <c r="P152" i="148" s="1"/>
  <c r="CA15" i="148" l="1"/>
  <c r="CC15" i="148"/>
  <c r="BW15" i="148"/>
  <c r="BX15" i="148"/>
  <c r="BY15" i="148"/>
  <c r="BZ15" i="148"/>
  <c r="CB15" i="148"/>
  <c r="BX22" i="148"/>
  <c r="BZ22" i="148"/>
  <c r="CA22" i="148"/>
  <c r="CB22" i="148"/>
  <c r="CC22" i="148"/>
  <c r="BW22" i="148"/>
  <c r="BY22" i="148"/>
  <c r="BZ24" i="148"/>
  <c r="CB24" i="148"/>
  <c r="CC24" i="148"/>
  <c r="BW24" i="148"/>
  <c r="BY24" i="148"/>
  <c r="CA24" i="148"/>
  <c r="BX24" i="148"/>
  <c r="CC17" i="148"/>
  <c r="BW17" i="148"/>
  <c r="BX17" i="148"/>
  <c r="BY17" i="148"/>
  <c r="BZ17" i="148"/>
  <c r="CA17" i="148"/>
  <c r="CB17" i="148"/>
  <c r="N152" i="148"/>
  <c r="O151" i="148"/>
  <c r="R9" i="148" s="1"/>
  <c r="N150" i="148"/>
  <c r="BD10" i="148"/>
  <c r="BF10" i="148"/>
  <c r="R8" i="148"/>
  <c r="BD8" i="148"/>
  <c r="BF8" i="148"/>
  <c r="L145" i="148"/>
  <c r="P145" i="148" s="1"/>
  <c r="L144" i="148"/>
  <c r="P144" i="148" s="1"/>
  <c r="L143" i="148"/>
  <c r="P143" i="148" s="1"/>
  <c r="O145" i="148"/>
  <c r="R10" i="148" s="1"/>
  <c r="Y33" i="132"/>
  <c r="BK33" i="132" s="1"/>
  <c r="Y23" i="132"/>
  <c r="BK23" i="132" s="1"/>
  <c r="Y34" i="132"/>
  <c r="BK34" i="132" s="1"/>
  <c r="Y24" i="132"/>
  <c r="BK24" i="132" s="1"/>
  <c r="Z14" i="132"/>
  <c r="AA13" i="132"/>
  <c r="I33" i="132"/>
  <c r="I34" i="132"/>
  <c r="I13" i="132"/>
  <c r="I14" i="132"/>
  <c r="I23" i="132"/>
  <c r="I24" i="132"/>
  <c r="X20" i="157"/>
  <c r="Y20" i="157"/>
  <c r="Z20" i="157"/>
  <c r="AA20" i="157"/>
  <c r="AB20" i="157"/>
  <c r="AC20" i="157"/>
  <c r="AD20" i="157"/>
  <c r="W20" i="157"/>
  <c r="X13" i="157"/>
  <c r="Y13" i="157"/>
  <c r="Z13" i="157"/>
  <c r="AA13" i="157"/>
  <c r="AB13" i="157"/>
  <c r="AC13" i="157"/>
  <c r="AD13" i="157"/>
  <c r="W13" i="157"/>
  <c r="J167" i="132"/>
  <c r="I167" i="132"/>
  <c r="G68" i="157"/>
  <c r="B57" i="157"/>
  <c r="P11" i="157" s="1"/>
  <c r="P18" i="157" l="1"/>
  <c r="BU11" i="157"/>
  <c r="BV11" i="157"/>
  <c r="BR11" i="157"/>
  <c r="BQ11" i="157"/>
  <c r="BW11" i="157"/>
  <c r="P25" i="157"/>
  <c r="BS11" i="157"/>
  <c r="BT11" i="157"/>
  <c r="BL14" i="132"/>
  <c r="Z9" i="145"/>
  <c r="AA14" i="132"/>
  <c r="Z33" i="132"/>
  <c r="Z23" i="132"/>
  <c r="Z34" i="132"/>
  <c r="AB13" i="132"/>
  <c r="BM13" i="132"/>
  <c r="Z24" i="132"/>
  <c r="R14" i="132"/>
  <c r="R34" i="132"/>
  <c r="R24" i="132"/>
  <c r="CK9" i="148"/>
  <c r="CL9" i="148" s="1"/>
  <c r="CM9" i="148" s="1"/>
  <c r="CN9" i="148" s="1"/>
  <c r="CO9" i="148" s="1"/>
  <c r="R16" i="148"/>
  <c r="CK16" i="148" s="1"/>
  <c r="CL16" i="148" s="1"/>
  <c r="CM16" i="148" s="1"/>
  <c r="CN16" i="148" s="1"/>
  <c r="CO16" i="148" s="1"/>
  <c r="CP16" i="148" s="1"/>
  <c r="CQ16" i="148" s="1"/>
  <c r="R23" i="148"/>
  <c r="CK23" i="148" s="1"/>
  <c r="CL23" i="148" s="1"/>
  <c r="CM23" i="148" s="1"/>
  <c r="CN23" i="148" s="1"/>
  <c r="CO23" i="148" s="1"/>
  <c r="CP23" i="148" s="1"/>
  <c r="CQ23" i="148" s="1"/>
  <c r="CR22" i="148"/>
  <c r="CS22" i="148" s="1"/>
  <c r="CT22" i="148" s="1"/>
  <c r="CU22" i="148" s="1"/>
  <c r="CV22" i="148" s="1"/>
  <c r="CW22" i="148" s="1"/>
  <c r="CX22" i="148" s="1"/>
  <c r="CR23" i="148"/>
  <c r="CS23" i="148" s="1"/>
  <c r="CT23" i="148" s="1"/>
  <c r="CU23" i="148" s="1"/>
  <c r="CV23" i="148" s="1"/>
  <c r="CW23" i="148" s="1"/>
  <c r="CX23" i="148" s="1"/>
  <c r="CD9" i="148"/>
  <c r="CE9" i="148" s="1"/>
  <c r="CF9" i="148" s="1"/>
  <c r="CG9" i="148" s="1"/>
  <c r="CH9" i="148" s="1"/>
  <c r="CI9" i="148" s="1"/>
  <c r="CJ9" i="148" s="1"/>
  <c r="Q23" i="148"/>
  <c r="CD23" i="148" s="1"/>
  <c r="CE23" i="148" s="1"/>
  <c r="CF23" i="148" s="1"/>
  <c r="CG23" i="148" s="1"/>
  <c r="CH23" i="148" s="1"/>
  <c r="CI23" i="148" s="1"/>
  <c r="CJ23" i="148" s="1"/>
  <c r="Q16" i="148"/>
  <c r="CD16" i="148" s="1"/>
  <c r="CE16" i="148" s="1"/>
  <c r="CF16" i="148" s="1"/>
  <c r="CG16" i="148" s="1"/>
  <c r="CH16" i="148" s="1"/>
  <c r="CI16" i="148" s="1"/>
  <c r="CJ16" i="148" s="1"/>
  <c r="CD10" i="148"/>
  <c r="CE10" i="148" s="1"/>
  <c r="CF10" i="148" s="1"/>
  <c r="CG10" i="148" s="1"/>
  <c r="CH10" i="148" s="1"/>
  <c r="CI10" i="148" s="1"/>
  <c r="CJ10" i="148" s="1"/>
  <c r="Q17" i="148"/>
  <c r="CD17" i="148" s="1"/>
  <c r="CE17" i="148" s="1"/>
  <c r="CF17" i="148" s="1"/>
  <c r="CG17" i="148" s="1"/>
  <c r="CH17" i="148" s="1"/>
  <c r="CI17" i="148" s="1"/>
  <c r="CJ17" i="148" s="1"/>
  <c r="Q24" i="148"/>
  <c r="CD24" i="148" s="1"/>
  <c r="CE24" i="148" s="1"/>
  <c r="CF24" i="148" s="1"/>
  <c r="CG24" i="148" s="1"/>
  <c r="CH24" i="148" s="1"/>
  <c r="CI24" i="148" s="1"/>
  <c r="CJ24" i="148" s="1"/>
  <c r="CR24" i="148"/>
  <c r="CS24" i="148" s="1"/>
  <c r="CT24" i="148" s="1"/>
  <c r="CU24" i="148" s="1"/>
  <c r="CV24" i="148" s="1"/>
  <c r="CW24" i="148" s="1"/>
  <c r="CX24" i="148" s="1"/>
  <c r="CK8" i="148"/>
  <c r="CL8" i="148" s="1"/>
  <c r="CM8" i="148" s="1"/>
  <c r="CN8" i="148" s="1"/>
  <c r="CO8" i="148" s="1"/>
  <c r="CP8" i="148" s="1"/>
  <c r="CQ8" i="148" s="1"/>
  <c r="R15" i="148"/>
  <c r="CK15" i="148" s="1"/>
  <c r="CL15" i="148" s="1"/>
  <c r="CM15" i="148" s="1"/>
  <c r="CN15" i="148" s="1"/>
  <c r="CO15" i="148" s="1"/>
  <c r="CP15" i="148" s="1"/>
  <c r="CQ15" i="148" s="1"/>
  <c r="R22" i="148"/>
  <c r="CK22" i="148" s="1"/>
  <c r="CL22" i="148" s="1"/>
  <c r="CM22" i="148" s="1"/>
  <c r="CN22" i="148" s="1"/>
  <c r="CO22" i="148" s="1"/>
  <c r="CP22" i="148" s="1"/>
  <c r="CQ22" i="148" s="1"/>
  <c r="R17" i="148"/>
  <c r="CK17" i="148" s="1"/>
  <c r="CL17" i="148" s="1"/>
  <c r="CM17" i="148" s="1"/>
  <c r="CN17" i="148" s="1"/>
  <c r="CO17" i="148" s="1"/>
  <c r="CP17" i="148" s="1"/>
  <c r="CQ17" i="148" s="1"/>
  <c r="R24" i="148"/>
  <c r="CK24" i="148" s="1"/>
  <c r="CL24" i="148" s="1"/>
  <c r="CM24" i="148" s="1"/>
  <c r="CN24" i="148" s="1"/>
  <c r="CO24" i="148" s="1"/>
  <c r="CP24" i="148" s="1"/>
  <c r="CQ24" i="148" s="1"/>
  <c r="CD8" i="148"/>
  <c r="CE8" i="148" s="1"/>
  <c r="CF8" i="148" s="1"/>
  <c r="CG8" i="148" s="1"/>
  <c r="CH8" i="148" s="1"/>
  <c r="CI8" i="148" s="1"/>
  <c r="CJ8" i="148" s="1"/>
  <c r="Q15" i="148"/>
  <c r="CD15" i="148" s="1"/>
  <c r="CE15" i="148" s="1"/>
  <c r="CF15" i="148" s="1"/>
  <c r="CG15" i="148" s="1"/>
  <c r="CH15" i="148" s="1"/>
  <c r="CI15" i="148" s="1"/>
  <c r="CJ15" i="148" s="1"/>
  <c r="Q22" i="148"/>
  <c r="CD22" i="148" s="1"/>
  <c r="CE22" i="148" s="1"/>
  <c r="CF22" i="148" s="1"/>
  <c r="CG22" i="148" s="1"/>
  <c r="CH22" i="148" s="1"/>
  <c r="CI22" i="148" s="1"/>
  <c r="CJ22" i="148" s="1"/>
  <c r="BG8" i="148"/>
  <c r="BE8" i="148"/>
  <c r="BH8" i="148" s="1"/>
  <c r="BG10" i="148"/>
  <c r="BE10" i="148"/>
  <c r="BH10" i="148" s="1"/>
  <c r="I75" i="157"/>
  <c r="G75" i="157"/>
  <c r="R51" i="104"/>
  <c r="G50" i="131"/>
  <c r="G57" i="131"/>
  <c r="AC7" i="104"/>
  <c r="AC64" i="104" s="1"/>
  <c r="H13" i="104"/>
  <c r="H16" i="104"/>
  <c r="AC6" i="104"/>
  <c r="AD6" i="104" s="1"/>
  <c r="EH6" i="104" s="1"/>
  <c r="I73" i="157"/>
  <c r="I72" i="157"/>
  <c r="G72" i="157"/>
  <c r="H72" i="157" s="1"/>
  <c r="G73" i="157"/>
  <c r="H73" i="157" s="1"/>
  <c r="G74" i="157"/>
  <c r="H74" i="157" s="1"/>
  <c r="G66" i="157"/>
  <c r="B50" i="157"/>
  <c r="P9" i="157" s="1"/>
  <c r="G67" i="157"/>
  <c r="H67" i="157" s="1"/>
  <c r="I74" i="157"/>
  <c r="K53" i="157"/>
  <c r="M53" i="157"/>
  <c r="B43" i="157"/>
  <c r="P10" i="157" s="1"/>
  <c r="V13" i="157"/>
  <c r="V20" i="157"/>
  <c r="AI20" i="157"/>
  <c r="AJ20" i="157"/>
  <c r="AK20" i="157"/>
  <c r="AL20" i="157"/>
  <c r="AP20" i="157"/>
  <c r="AR20" i="157"/>
  <c r="AS20" i="157"/>
  <c r="AT20" i="157"/>
  <c r="AU20" i="157"/>
  <c r="AI13" i="157"/>
  <c r="AJ13" i="157"/>
  <c r="AK13" i="157"/>
  <c r="AL13" i="157"/>
  <c r="AP13" i="157"/>
  <c r="AR13" i="157"/>
  <c r="AS13" i="157"/>
  <c r="AT13" i="157"/>
  <c r="U20" i="157"/>
  <c r="U13" i="157"/>
  <c r="R20" i="157"/>
  <c r="S20" i="157"/>
  <c r="T20" i="157"/>
  <c r="Q20" i="157"/>
  <c r="R13" i="157"/>
  <c r="T13" i="157"/>
  <c r="Q13" i="157"/>
  <c r="BV25" i="157"/>
  <c r="N20" i="157"/>
  <c r="O20" i="157"/>
  <c r="M20" i="157"/>
  <c r="BW18" i="157"/>
  <c r="O13" i="157"/>
  <c r="N13" i="157"/>
  <c r="M13" i="157"/>
  <c r="L20" i="157"/>
  <c r="L13" i="157"/>
  <c r="J20" i="157"/>
  <c r="J13" i="157"/>
  <c r="H13" i="157"/>
  <c r="H20" i="157"/>
  <c r="G20" i="157"/>
  <c r="E63" i="104"/>
  <c r="G13" i="157"/>
  <c r="F20" i="157"/>
  <c r="F13" i="157"/>
  <c r="E20" i="157"/>
  <c r="E13" i="157"/>
  <c r="D20" i="157"/>
  <c r="D13" i="157"/>
  <c r="C20" i="157"/>
  <c r="C13" i="157"/>
  <c r="B20" i="157"/>
  <c r="B13" i="157"/>
  <c r="H22" i="104"/>
  <c r="H20" i="104"/>
  <c r="P16" i="157" l="1"/>
  <c r="BR9" i="157"/>
  <c r="BV9" i="157"/>
  <c r="BW9" i="157"/>
  <c r="BS9" i="157"/>
  <c r="BT9" i="157"/>
  <c r="P23" i="157"/>
  <c r="BU9" i="157"/>
  <c r="BQ9" i="157"/>
  <c r="BS10" i="157"/>
  <c r="BT10" i="157"/>
  <c r="BQ10" i="157"/>
  <c r="BR10" i="157"/>
  <c r="BU10" i="157"/>
  <c r="P24" i="157"/>
  <c r="BU24" i="157" s="1"/>
  <c r="BV10" i="157"/>
  <c r="P17" i="157"/>
  <c r="BV17" i="157" s="1"/>
  <c r="BW10" i="157"/>
  <c r="AB14" i="132"/>
  <c r="AB9" i="145" s="1"/>
  <c r="AA9" i="145"/>
  <c r="BM14" i="132"/>
  <c r="BL34" i="132"/>
  <c r="AA34" i="132"/>
  <c r="AC14" i="132"/>
  <c r="BN14" i="132"/>
  <c r="AC13" i="132"/>
  <c r="BO13" i="132" s="1"/>
  <c r="BN13" i="132"/>
  <c r="BL23" i="132"/>
  <c r="AA23" i="132"/>
  <c r="BL24" i="132"/>
  <c r="AA24" i="132"/>
  <c r="BL33" i="132"/>
  <c r="AA33" i="132"/>
  <c r="BC11" i="157"/>
  <c r="BD11" i="157" s="1"/>
  <c r="BE11" i="157" s="1"/>
  <c r="BF11" i="157" s="1"/>
  <c r="BG11" i="157" s="1"/>
  <c r="BH11" i="157" s="1"/>
  <c r="BI11" i="157" s="1"/>
  <c r="J25" i="157"/>
  <c r="J18" i="157"/>
  <c r="V16" i="157"/>
  <c r="V23" i="157"/>
  <c r="B25" i="157"/>
  <c r="F25" i="157"/>
  <c r="F18" i="157"/>
  <c r="AV11" i="157"/>
  <c r="AW11" i="157" s="1"/>
  <c r="AX11" i="157" s="1"/>
  <c r="AY11" i="157" s="1"/>
  <c r="AZ11" i="157" s="1"/>
  <c r="BA11" i="157" s="1"/>
  <c r="BB11" i="157" s="1"/>
  <c r="I25" i="157"/>
  <c r="K25" i="157" s="1"/>
  <c r="I18" i="157"/>
  <c r="W18" i="157"/>
  <c r="W25" i="157"/>
  <c r="B24" i="157"/>
  <c r="E25" i="157"/>
  <c r="E18" i="157"/>
  <c r="H25" i="157"/>
  <c r="H18" i="157"/>
  <c r="J23" i="157"/>
  <c r="J16" i="157"/>
  <c r="BC9" i="157"/>
  <c r="BD9" i="157" s="1"/>
  <c r="BE9" i="157" s="1"/>
  <c r="BF9" i="157" s="1"/>
  <c r="BG9" i="157" s="1"/>
  <c r="BH9" i="157" s="1"/>
  <c r="BI9" i="157" s="1"/>
  <c r="W24" i="157"/>
  <c r="W17" i="157"/>
  <c r="B23" i="157"/>
  <c r="F17" i="157"/>
  <c r="F24" i="157"/>
  <c r="G25" i="157"/>
  <c r="G18" i="157"/>
  <c r="I23" i="157"/>
  <c r="K23" i="157" s="1"/>
  <c r="I16" i="157"/>
  <c r="AV9" i="157"/>
  <c r="AW9" i="157" s="1"/>
  <c r="AX9" i="157" s="1"/>
  <c r="AY9" i="157" s="1"/>
  <c r="AZ9" i="157" s="1"/>
  <c r="BA9" i="157" s="1"/>
  <c r="BB9" i="157" s="1"/>
  <c r="Y25" i="157"/>
  <c r="Y18" i="157"/>
  <c r="C16" i="157"/>
  <c r="C23" i="157"/>
  <c r="G24" i="157"/>
  <c r="G17" i="157"/>
  <c r="DN9" i="157"/>
  <c r="DG9" i="157"/>
  <c r="X23" i="157"/>
  <c r="X16" i="157"/>
  <c r="D25" i="157"/>
  <c r="D18" i="157"/>
  <c r="E17" i="157"/>
  <c r="E24" i="157"/>
  <c r="H23" i="157"/>
  <c r="H16" i="157"/>
  <c r="X25" i="157"/>
  <c r="X18" i="157"/>
  <c r="D17" i="157"/>
  <c r="D24" i="157"/>
  <c r="F23" i="157"/>
  <c r="F16" i="157"/>
  <c r="J17" i="157"/>
  <c r="BC10" i="157"/>
  <c r="BD10" i="157" s="1"/>
  <c r="BE10" i="157" s="1"/>
  <c r="BF10" i="157" s="1"/>
  <c r="BG10" i="157" s="1"/>
  <c r="BH10" i="157" s="1"/>
  <c r="BI10" i="157" s="1"/>
  <c r="J24" i="157"/>
  <c r="G16" i="157"/>
  <c r="G23" i="157"/>
  <c r="Y17" i="157"/>
  <c r="DO10" i="157"/>
  <c r="Y24" i="157"/>
  <c r="C17" i="157"/>
  <c r="C24" i="157"/>
  <c r="E16" i="157"/>
  <c r="E23" i="157"/>
  <c r="I17" i="157"/>
  <c r="I24" i="157"/>
  <c r="K24" i="157" s="1"/>
  <c r="AV10" i="157"/>
  <c r="AW10" i="157" s="1"/>
  <c r="AX10" i="157" s="1"/>
  <c r="AY10" i="157" s="1"/>
  <c r="AZ10" i="157" s="1"/>
  <c r="BA10" i="157" s="1"/>
  <c r="BB10" i="157" s="1"/>
  <c r="V25" i="157"/>
  <c r="V18" i="157"/>
  <c r="X24" i="157"/>
  <c r="DN10" i="157"/>
  <c r="X17" i="157"/>
  <c r="D16" i="157"/>
  <c r="D23" i="157"/>
  <c r="H24" i="157"/>
  <c r="H17" i="157"/>
  <c r="V24" i="157"/>
  <c r="V17" i="157"/>
  <c r="Z9" i="157"/>
  <c r="Z23" i="157" s="1"/>
  <c r="Y16" i="157"/>
  <c r="DH9" i="157"/>
  <c r="DO9" i="157"/>
  <c r="Y23" i="157"/>
  <c r="EO6" i="104"/>
  <c r="EA6" i="104"/>
  <c r="DM6" i="104"/>
  <c r="DF6" i="104"/>
  <c r="AN23" i="157"/>
  <c r="AK25" i="157"/>
  <c r="AK18" i="157"/>
  <c r="AL24" i="157"/>
  <c r="AL17" i="157"/>
  <c r="AS18" i="157"/>
  <c r="AS25" i="157"/>
  <c r="AI23" i="157"/>
  <c r="AI16" i="157"/>
  <c r="AJ18" i="157"/>
  <c r="AJ25" i="157"/>
  <c r="AK17" i="157"/>
  <c r="AK24" i="157"/>
  <c r="AL16" i="157"/>
  <c r="AL23" i="157"/>
  <c r="AS17" i="157"/>
  <c r="AS24" i="157"/>
  <c r="AL18" i="157"/>
  <c r="AL25" i="157"/>
  <c r="AI25" i="157"/>
  <c r="AI18" i="157"/>
  <c r="AJ24" i="157"/>
  <c r="AJ17" i="157"/>
  <c r="AK23" i="157"/>
  <c r="AK16" i="157"/>
  <c r="AS16" i="157"/>
  <c r="AS23" i="157"/>
  <c r="AI17" i="157"/>
  <c r="AI24" i="157"/>
  <c r="AJ16" i="157"/>
  <c r="AJ23" i="157"/>
  <c r="B17" i="157"/>
  <c r="B18" i="157"/>
  <c r="B16" i="157"/>
  <c r="CP9" i="148"/>
  <c r="M54" i="157"/>
  <c r="L67" i="157" s="1"/>
  <c r="P67" i="157" s="1"/>
  <c r="K68" i="157"/>
  <c r="K54" i="157"/>
  <c r="L72" i="157" s="1"/>
  <c r="P72" i="157" s="1"/>
  <c r="K75" i="157"/>
  <c r="O75" i="157" s="1"/>
  <c r="Z11" i="157"/>
  <c r="Z10" i="157"/>
  <c r="AD7" i="104"/>
  <c r="K66" i="157"/>
  <c r="N66" i="157" s="1"/>
  <c r="K72" i="157"/>
  <c r="K67" i="157"/>
  <c r="N67" i="157" s="1"/>
  <c r="H66" i="157"/>
  <c r="K73" i="157"/>
  <c r="K74" i="157"/>
  <c r="K65" i="157"/>
  <c r="N65" i="157" s="1"/>
  <c r="BR21" i="157"/>
  <c r="BS14" i="157"/>
  <c r="BW24" i="157"/>
  <c r="BR24" i="157"/>
  <c r="BT24" i="157"/>
  <c r="BV18" i="157"/>
  <c r="BT18" i="157"/>
  <c r="BT23" i="157"/>
  <c r="BS18" i="157"/>
  <c r="BR18" i="157"/>
  <c r="BQ18" i="157"/>
  <c r="BU25" i="157"/>
  <c r="BU18" i="157"/>
  <c r="BT25" i="157"/>
  <c r="BS24" i="157"/>
  <c r="BS25" i="157"/>
  <c r="BR25" i="157"/>
  <c r="BQ24" i="157"/>
  <c r="BQ17" i="157"/>
  <c r="BQ25" i="157"/>
  <c r="BW25" i="157"/>
  <c r="BV24" i="157"/>
  <c r="DO11" i="157"/>
  <c r="DH10" i="157"/>
  <c r="DG10" i="157"/>
  <c r="DG11" i="157"/>
  <c r="DN11" i="157"/>
  <c r="DH11" i="157"/>
  <c r="S23" i="157" l="1"/>
  <c r="BS17" i="157"/>
  <c r="BU17" i="157"/>
  <c r="BR17" i="157"/>
  <c r="BW17" i="157"/>
  <c r="BT17" i="157"/>
  <c r="L66" i="157"/>
  <c r="P66" i="157" s="1"/>
  <c r="BO14" i="132"/>
  <c r="AC9" i="145"/>
  <c r="EO13" i="132"/>
  <c r="Z16" i="157"/>
  <c r="AA9" i="157"/>
  <c r="DJ9" i="157" s="1"/>
  <c r="AB33" i="132"/>
  <c r="BM33" i="132"/>
  <c r="AB34" i="132"/>
  <c r="BM34" i="132"/>
  <c r="AB24" i="132"/>
  <c r="BM24" i="132"/>
  <c r="EO14" i="132"/>
  <c r="AB23" i="132"/>
  <c r="BM23" i="132"/>
  <c r="CT9" i="157"/>
  <c r="CS10" i="157"/>
  <c r="CT11" i="157"/>
  <c r="CT10" i="157"/>
  <c r="CZ10" i="157"/>
  <c r="CZ9" i="157"/>
  <c r="AV16" i="157"/>
  <c r="K16" i="157"/>
  <c r="DC9" i="157"/>
  <c r="DA10" i="157"/>
  <c r="CU10" i="157"/>
  <c r="DP10" i="157"/>
  <c r="DB9" i="157"/>
  <c r="DI9" i="157"/>
  <c r="CU9" i="157"/>
  <c r="DP9" i="157"/>
  <c r="K17" i="157"/>
  <c r="AV17" i="157"/>
  <c r="CU11" i="157"/>
  <c r="DA9" i="157"/>
  <c r="CS9" i="157"/>
  <c r="AV18" i="157"/>
  <c r="K18" i="157"/>
  <c r="CS11" i="157"/>
  <c r="DB10" i="157"/>
  <c r="Z24" i="157"/>
  <c r="Z17" i="157"/>
  <c r="AA11" i="157"/>
  <c r="Z18" i="157"/>
  <c r="Z25" i="157"/>
  <c r="O66" i="157"/>
  <c r="BW10" i="148"/>
  <c r="BX10" i="148"/>
  <c r="BY10" i="148"/>
  <c r="BZ10" i="148"/>
  <c r="CA10" i="148"/>
  <c r="CB10" i="148"/>
  <c r="CC10" i="148"/>
  <c r="CQ9" i="148"/>
  <c r="DP11" i="157"/>
  <c r="AA10" i="157"/>
  <c r="DC10" i="157" s="1"/>
  <c r="DI10" i="157"/>
  <c r="L74" i="157"/>
  <c r="L75" i="157"/>
  <c r="P75" i="157" s="1"/>
  <c r="S25" i="157" s="1"/>
  <c r="L73" i="157"/>
  <c r="N68" i="157"/>
  <c r="O68" i="157"/>
  <c r="R11" i="157" s="1"/>
  <c r="N75" i="157"/>
  <c r="L65" i="157"/>
  <c r="P65" i="157" s="1"/>
  <c r="S9" i="157" s="1"/>
  <c r="CL9" i="157" s="1"/>
  <c r="L68" i="157"/>
  <c r="P68" i="157" s="1"/>
  <c r="BV14" i="157"/>
  <c r="BT21" i="157"/>
  <c r="BQ21" i="157"/>
  <c r="BS21" i="157"/>
  <c r="BV21" i="157"/>
  <c r="O65" i="157"/>
  <c r="BU23" i="157"/>
  <c r="BR23" i="157"/>
  <c r="BS23" i="157"/>
  <c r="BR14" i="157"/>
  <c r="BU14" i="157"/>
  <c r="BT14" i="157"/>
  <c r="BW14" i="157"/>
  <c r="BQ14" i="157"/>
  <c r="BW21" i="157"/>
  <c r="BU21" i="157"/>
  <c r="CZ11" i="157"/>
  <c r="BQ23" i="157"/>
  <c r="BW23" i="157"/>
  <c r="BV23" i="157"/>
  <c r="O67" i="157"/>
  <c r="BS22" i="157"/>
  <c r="BT22" i="157"/>
  <c r="BU22" i="157"/>
  <c r="BV22" i="157"/>
  <c r="BW22" i="157"/>
  <c r="BQ22" i="157"/>
  <c r="BR22" i="157"/>
  <c r="BU16" i="157"/>
  <c r="BV16" i="157"/>
  <c r="BW16" i="157"/>
  <c r="BQ16" i="157"/>
  <c r="BR16" i="157"/>
  <c r="BS16" i="157"/>
  <c r="BT16" i="157"/>
  <c r="BT15" i="157"/>
  <c r="BU15" i="157"/>
  <c r="BV15" i="157"/>
  <c r="BW15" i="157"/>
  <c r="BQ15" i="157"/>
  <c r="BR15" i="157"/>
  <c r="BS15" i="157"/>
  <c r="DI11" i="157"/>
  <c r="DA11" i="157"/>
  <c r="CM9" i="157" l="1"/>
  <c r="EI9" i="157"/>
  <c r="S11" i="157"/>
  <c r="CL11" i="157" s="1"/>
  <c r="R25" i="157"/>
  <c r="R18" i="157"/>
  <c r="CE11" i="157"/>
  <c r="CF11" i="157" s="1"/>
  <c r="CG11" i="157" s="1"/>
  <c r="CH11" i="157" s="1"/>
  <c r="CI11" i="157" s="1"/>
  <c r="CJ11" i="157" s="1"/>
  <c r="CK11" i="157" s="1"/>
  <c r="AB9" i="157"/>
  <c r="AA16" i="157"/>
  <c r="AA23" i="157"/>
  <c r="CV9" i="157"/>
  <c r="DQ9" i="157"/>
  <c r="AC24" i="132"/>
  <c r="BO24" i="132" s="1"/>
  <c r="BN24" i="132"/>
  <c r="BN34" i="132"/>
  <c r="AC34" i="132"/>
  <c r="BO34" i="132" s="1"/>
  <c r="AC23" i="132"/>
  <c r="BO23" i="132" s="1"/>
  <c r="BN23" i="132"/>
  <c r="AC33" i="132"/>
  <c r="BN33" i="132"/>
  <c r="EO24" i="132"/>
  <c r="CV11" i="157"/>
  <c r="CV10" i="157"/>
  <c r="DQ10" i="157"/>
  <c r="DQ11" i="157"/>
  <c r="AB11" i="157"/>
  <c r="AC11" i="157" s="1"/>
  <c r="DD9" i="157"/>
  <c r="DK9" i="157"/>
  <c r="AA18" i="157"/>
  <c r="AA25" i="157"/>
  <c r="AA17" i="157"/>
  <c r="AA24" i="157"/>
  <c r="DJ10" i="157"/>
  <c r="AB10" i="157"/>
  <c r="Q11" i="157"/>
  <c r="DJ11" i="157"/>
  <c r="DB11" i="157"/>
  <c r="CN9" i="157" l="1"/>
  <c r="EJ9" i="157"/>
  <c r="Q25" i="157"/>
  <c r="Q18" i="157"/>
  <c r="BX11" i="157"/>
  <c r="BY11" i="157" s="1"/>
  <c r="BZ11" i="157" s="1"/>
  <c r="CA11" i="157" s="1"/>
  <c r="CB11" i="157" s="1"/>
  <c r="CC11" i="157" s="1"/>
  <c r="CD11" i="157" s="1"/>
  <c r="CW9" i="157"/>
  <c r="AB16" i="157"/>
  <c r="AB23" i="157"/>
  <c r="DR9" i="157"/>
  <c r="EO34" i="132"/>
  <c r="EX14" i="132" s="1"/>
  <c r="EO23" i="132"/>
  <c r="BO33" i="132"/>
  <c r="EO33" i="132"/>
  <c r="DR11" i="157"/>
  <c r="AB25" i="157"/>
  <c r="CX11" i="157"/>
  <c r="CW11" i="157"/>
  <c r="AB18" i="157"/>
  <c r="DR10" i="157"/>
  <c r="CW10" i="157"/>
  <c r="AC25" i="157"/>
  <c r="AC18" i="157"/>
  <c r="AB17" i="157"/>
  <c r="AB24" i="157"/>
  <c r="DK10" i="157"/>
  <c r="DD10" i="157"/>
  <c r="AC10" i="157"/>
  <c r="CM11" i="157"/>
  <c r="CN11" i="157" s="1"/>
  <c r="CO11" i="157" s="1"/>
  <c r="CP11" i="157" s="1"/>
  <c r="CQ11" i="157" s="1"/>
  <c r="CR11" i="157" s="1"/>
  <c r="EI11" i="157"/>
  <c r="EB11" i="157"/>
  <c r="AD11" i="157"/>
  <c r="EP11" i="157" s="1"/>
  <c r="DS11" i="157"/>
  <c r="AC9" i="157"/>
  <c r="DC11" i="157"/>
  <c r="DK11" i="157"/>
  <c r="DU11" i="157" l="1"/>
  <c r="CO9" i="157"/>
  <c r="EK9" i="157"/>
  <c r="DS10" i="157"/>
  <c r="CX10" i="157"/>
  <c r="DS9" i="157"/>
  <c r="CX9" i="157"/>
  <c r="DE9" i="157"/>
  <c r="DL9" i="157"/>
  <c r="CY11" i="157"/>
  <c r="AC23" i="157"/>
  <c r="AC16" i="157"/>
  <c r="AD25" i="157"/>
  <c r="AD18" i="157"/>
  <c r="AC17" i="157"/>
  <c r="AC24" i="157"/>
  <c r="AD10" i="157"/>
  <c r="EP10" i="157" s="1"/>
  <c r="DE10" i="157"/>
  <c r="DL10" i="157"/>
  <c r="EC11" i="157"/>
  <c r="DV11" i="157"/>
  <c r="EJ11" i="157"/>
  <c r="DT11" i="157"/>
  <c r="ET11" i="157" s="1"/>
  <c r="AD9" i="157"/>
  <c r="EP9" i="157" s="1"/>
  <c r="DM11" i="157"/>
  <c r="DL11" i="157"/>
  <c r="DD11" i="157"/>
  <c r="CP9" i="157" l="1"/>
  <c r="EL9" i="157"/>
  <c r="DM10" i="157"/>
  <c r="ES10" i="157" s="1"/>
  <c r="DF10" i="157"/>
  <c r="ER10" i="157" s="1"/>
  <c r="ES11" i="157"/>
  <c r="EQ11" i="157"/>
  <c r="DT9" i="157"/>
  <c r="ET9" i="157" s="1"/>
  <c r="CY9" i="157"/>
  <c r="DF9" i="157"/>
  <c r="DM9" i="157"/>
  <c r="ES9" i="157" s="1"/>
  <c r="CY10" i="157"/>
  <c r="EQ10" i="157" s="1"/>
  <c r="DT10" i="157"/>
  <c r="ET10" i="157" s="1"/>
  <c r="AD16" i="157"/>
  <c r="AD23" i="157"/>
  <c r="AD17" i="157"/>
  <c r="AD24" i="157"/>
  <c r="DW11" i="157"/>
  <c r="EK11" i="157"/>
  <c r="ED11" i="157"/>
  <c r="DF11" i="157"/>
  <c r="DE11" i="157"/>
  <c r="CQ9" i="157" l="1"/>
  <c r="EM9" i="157"/>
  <c r="ER11" i="157"/>
  <c r="ER9" i="157"/>
  <c r="EQ9" i="157"/>
  <c r="EL11" i="157"/>
  <c r="DX11" i="157"/>
  <c r="EE11" i="157"/>
  <c r="CR9" i="157" l="1"/>
  <c r="EO9" i="157" s="1"/>
  <c r="EW9" i="157" s="1"/>
  <c r="EN9" i="157"/>
  <c r="EF11" i="157"/>
  <c r="DY11" i="157"/>
  <c r="EM11" i="157"/>
  <c r="J166" i="132"/>
  <c r="I166" i="132"/>
  <c r="DZ34" i="132"/>
  <c r="DY34" i="132"/>
  <c r="DX34" i="132"/>
  <c r="DW34" i="132"/>
  <c r="DV34" i="132"/>
  <c r="DU34" i="132"/>
  <c r="DZ33" i="132"/>
  <c r="DY33" i="132"/>
  <c r="DX33" i="132"/>
  <c r="DW33" i="132"/>
  <c r="DV33" i="132"/>
  <c r="DU33" i="132"/>
  <c r="DZ24" i="132"/>
  <c r="DY24" i="132"/>
  <c r="DX24" i="132"/>
  <c r="DW24" i="132"/>
  <c r="DV24" i="132"/>
  <c r="DU24" i="132"/>
  <c r="DZ23" i="132"/>
  <c r="DY23" i="132"/>
  <c r="DX23" i="132"/>
  <c r="DW23" i="132"/>
  <c r="DV23" i="132"/>
  <c r="DU23" i="132"/>
  <c r="DU13" i="132"/>
  <c r="DV13" i="132"/>
  <c r="DW13" i="132"/>
  <c r="DX13" i="132"/>
  <c r="DY13" i="132"/>
  <c r="DZ13" i="132"/>
  <c r="DT14" i="132"/>
  <c r="DU14" i="132"/>
  <c r="DV14" i="132"/>
  <c r="DW14" i="132"/>
  <c r="DX14" i="132"/>
  <c r="DY14" i="132"/>
  <c r="DZ14" i="132"/>
  <c r="W1" i="132"/>
  <c r="AI46" i="64"/>
  <c r="ET14" i="132" l="1"/>
  <c r="R13" i="132"/>
  <c r="R33" i="132"/>
  <c r="R23" i="132"/>
  <c r="EO11" i="157"/>
  <c r="EN11" i="157"/>
  <c r="EA11" i="157"/>
  <c r="DZ11" i="157"/>
  <c r="EH11" i="157"/>
  <c r="EG11" i="157"/>
  <c r="BI46" i="64"/>
  <c r="EU11" i="157" l="1"/>
  <c r="EV11" i="157"/>
  <c r="EW11" i="157"/>
  <c r="AU33" i="132"/>
  <c r="AU34" i="132"/>
  <c r="AU23" i="132"/>
  <c r="AU24" i="132"/>
  <c r="AV24" i="132" s="1"/>
  <c r="AU13" i="132"/>
  <c r="AU14" i="132"/>
  <c r="BB34" i="132"/>
  <c r="BB33" i="132"/>
  <c r="BB23" i="132"/>
  <c r="CY23" i="132" s="1"/>
  <c r="BB24" i="132"/>
  <c r="CY24" i="132" s="1"/>
  <c r="BB13" i="132"/>
  <c r="BB14" i="132"/>
  <c r="CD33" i="132"/>
  <c r="CD34" i="132"/>
  <c r="EA34" i="132" s="1"/>
  <c r="CD23" i="132"/>
  <c r="CD24" i="132"/>
  <c r="CD13" i="132"/>
  <c r="EA13" i="132" s="1"/>
  <c r="CD14" i="132"/>
  <c r="EA14" i="132" s="1"/>
  <c r="CK27" i="132"/>
  <c r="CK28" i="132"/>
  <c r="CK29" i="132"/>
  <c r="CK30" i="132"/>
  <c r="CK31" i="132"/>
  <c r="CK33" i="132"/>
  <c r="CK34" i="132"/>
  <c r="CK26" i="132"/>
  <c r="CK17" i="132"/>
  <c r="CK18" i="132"/>
  <c r="CK19" i="132"/>
  <c r="CK20" i="132"/>
  <c r="CK21" i="132"/>
  <c r="CK23" i="132"/>
  <c r="CK24" i="132"/>
  <c r="CK16" i="132"/>
  <c r="CK7" i="132"/>
  <c r="CK8" i="132"/>
  <c r="CK9" i="132"/>
  <c r="CK10" i="132"/>
  <c r="CK11" i="132"/>
  <c r="CK13" i="132"/>
  <c r="CK14" i="132"/>
  <c r="CK6" i="132"/>
  <c r="BW29" i="132"/>
  <c r="BW27" i="132"/>
  <c r="BW28" i="132"/>
  <c r="BW30" i="132"/>
  <c r="BW31" i="132"/>
  <c r="BW33" i="132"/>
  <c r="DT33" i="132" s="1"/>
  <c r="ET33" i="132" s="1"/>
  <c r="BW34" i="132"/>
  <c r="DT34" i="132" s="1"/>
  <c r="ET34" i="132" s="1"/>
  <c r="BW26" i="132"/>
  <c r="BW21" i="132"/>
  <c r="BW17" i="132"/>
  <c r="BW18" i="132"/>
  <c r="BW19" i="132"/>
  <c r="BW20" i="132"/>
  <c r="BW23" i="132"/>
  <c r="DT23" i="132" s="1"/>
  <c r="ET23" i="132" s="1"/>
  <c r="BW24" i="132"/>
  <c r="DT24" i="132" s="1"/>
  <c r="ET24" i="132" s="1"/>
  <c r="FC14" i="132" s="1"/>
  <c r="BW16" i="132"/>
  <c r="BW8" i="132"/>
  <c r="BW7" i="132"/>
  <c r="BW9" i="132"/>
  <c r="BW10" i="132"/>
  <c r="BW11" i="132"/>
  <c r="BW13" i="132"/>
  <c r="DT13" i="132" s="1"/>
  <c r="ET13" i="132" s="1"/>
  <c r="FC13" i="132" s="1"/>
  <c r="BW6" i="132"/>
  <c r="CD27" i="132"/>
  <c r="CD21" i="132"/>
  <c r="CD17" i="132"/>
  <c r="BP28" i="132"/>
  <c r="BQ28" i="132"/>
  <c r="BR28" i="132"/>
  <c r="BS28" i="132"/>
  <c r="BT28" i="132"/>
  <c r="BU28" i="132"/>
  <c r="BV28" i="132"/>
  <c r="BP29" i="132"/>
  <c r="BQ29" i="132"/>
  <c r="BR29" i="132"/>
  <c r="BS29" i="132"/>
  <c r="BT29" i="132"/>
  <c r="BU29" i="132"/>
  <c r="BV29" i="132"/>
  <c r="BP30" i="132"/>
  <c r="BQ30" i="132"/>
  <c r="BR30" i="132"/>
  <c r="BS30" i="132"/>
  <c r="BT30" i="132"/>
  <c r="BU30" i="132"/>
  <c r="BV30" i="132"/>
  <c r="BP31" i="132"/>
  <c r="BQ31" i="132"/>
  <c r="BR31" i="132"/>
  <c r="BS31" i="132"/>
  <c r="BT31" i="132"/>
  <c r="BU31" i="132"/>
  <c r="BV31" i="132"/>
  <c r="BP33" i="132"/>
  <c r="DM33" i="132" s="1"/>
  <c r="BQ33" i="132"/>
  <c r="DN33" i="132" s="1"/>
  <c r="BR33" i="132"/>
  <c r="DO33" i="132" s="1"/>
  <c r="BS33" i="132"/>
  <c r="DP33" i="132" s="1"/>
  <c r="BT33" i="132"/>
  <c r="DQ33" i="132" s="1"/>
  <c r="BU33" i="132"/>
  <c r="DR33" i="132" s="1"/>
  <c r="BV33" i="132"/>
  <c r="DS33" i="132" s="1"/>
  <c r="BP34" i="132"/>
  <c r="DM34" i="132" s="1"/>
  <c r="BQ34" i="132"/>
  <c r="DN34" i="132" s="1"/>
  <c r="BR34" i="132"/>
  <c r="DO34" i="132" s="1"/>
  <c r="BS34" i="132"/>
  <c r="DP34" i="132" s="1"/>
  <c r="BT34" i="132"/>
  <c r="DQ34" i="132" s="1"/>
  <c r="BU34" i="132"/>
  <c r="DR34" i="132" s="1"/>
  <c r="BV34" i="132"/>
  <c r="DS34" i="132" s="1"/>
  <c r="BP18" i="132"/>
  <c r="BQ18" i="132"/>
  <c r="BR18" i="132"/>
  <c r="BS18" i="132"/>
  <c r="BT18" i="132"/>
  <c r="BU18" i="132"/>
  <c r="BV18" i="132"/>
  <c r="BP19" i="132"/>
  <c r="BQ19" i="132"/>
  <c r="BR19" i="132"/>
  <c r="BS19" i="132"/>
  <c r="BT19" i="132"/>
  <c r="BU19" i="132"/>
  <c r="BV19" i="132"/>
  <c r="BP20" i="132"/>
  <c r="BQ20" i="132"/>
  <c r="BR20" i="132"/>
  <c r="BS20" i="132"/>
  <c r="BT20" i="132"/>
  <c r="BU20" i="132"/>
  <c r="BV20" i="132"/>
  <c r="BP21" i="132"/>
  <c r="BQ21" i="132"/>
  <c r="BR21" i="132"/>
  <c r="BS21" i="132"/>
  <c r="BT21" i="132"/>
  <c r="BU21" i="132"/>
  <c r="BV21" i="132"/>
  <c r="BP23" i="132"/>
  <c r="DM23" i="132" s="1"/>
  <c r="BQ23" i="132"/>
  <c r="DN23" i="132" s="1"/>
  <c r="BR23" i="132"/>
  <c r="DO23" i="132" s="1"/>
  <c r="BS23" i="132"/>
  <c r="DP23" i="132" s="1"/>
  <c r="BT23" i="132"/>
  <c r="DQ23" i="132" s="1"/>
  <c r="BU23" i="132"/>
  <c r="DR23" i="132" s="1"/>
  <c r="BV23" i="132"/>
  <c r="DS23" i="132" s="1"/>
  <c r="BP24" i="132"/>
  <c r="DM24" i="132" s="1"/>
  <c r="BQ24" i="132"/>
  <c r="DN24" i="132" s="1"/>
  <c r="BR24" i="132"/>
  <c r="DO24" i="132" s="1"/>
  <c r="BS24" i="132"/>
  <c r="DP24" i="132" s="1"/>
  <c r="BT24" i="132"/>
  <c r="DQ24" i="132" s="1"/>
  <c r="BU24" i="132"/>
  <c r="DR24" i="132" s="1"/>
  <c r="BV24" i="132"/>
  <c r="DS24" i="132" s="1"/>
  <c r="BP8" i="132"/>
  <c r="BQ8" i="132"/>
  <c r="BR8" i="132"/>
  <c r="BS8" i="132"/>
  <c r="BT8" i="132"/>
  <c r="BU8" i="132"/>
  <c r="BV8" i="132"/>
  <c r="BP9" i="132"/>
  <c r="BQ9" i="132"/>
  <c r="BR9" i="132"/>
  <c r="BS9" i="132"/>
  <c r="BT9" i="132"/>
  <c r="BU9" i="132"/>
  <c r="BV9" i="132"/>
  <c r="BP10" i="132"/>
  <c r="BQ10" i="132"/>
  <c r="BR10" i="132"/>
  <c r="BS10" i="132"/>
  <c r="BT10" i="132"/>
  <c r="BU10" i="132"/>
  <c r="BV10" i="132"/>
  <c r="BP11" i="132"/>
  <c r="BQ11" i="132"/>
  <c r="BR11" i="132"/>
  <c r="BS11" i="132"/>
  <c r="BT11" i="132"/>
  <c r="BU11" i="132"/>
  <c r="BV11" i="132"/>
  <c r="BP13" i="132"/>
  <c r="DM13" i="132" s="1"/>
  <c r="BQ13" i="132"/>
  <c r="DN13" i="132" s="1"/>
  <c r="BR13" i="132"/>
  <c r="DO13" i="132" s="1"/>
  <c r="BS13" i="132"/>
  <c r="DP13" i="132" s="1"/>
  <c r="BT13" i="132"/>
  <c r="DQ13" i="132" s="1"/>
  <c r="BU13" i="132"/>
  <c r="DR13" i="132" s="1"/>
  <c r="BV13" i="132"/>
  <c r="DS13" i="132" s="1"/>
  <c r="BP14" i="132"/>
  <c r="DM14" i="132" s="1"/>
  <c r="BQ14" i="132"/>
  <c r="DN14" i="132" s="1"/>
  <c r="BR14" i="132"/>
  <c r="DO14" i="132" s="1"/>
  <c r="BS14" i="132"/>
  <c r="DP14" i="132" s="1"/>
  <c r="BT14" i="132"/>
  <c r="DQ14" i="132" s="1"/>
  <c r="BU14" i="132"/>
  <c r="DR14" i="132" s="1"/>
  <c r="BV14" i="132"/>
  <c r="DS14" i="132" s="1"/>
  <c r="BP6" i="132"/>
  <c r="BB27" i="132"/>
  <c r="BB28" i="132"/>
  <c r="BB29" i="132"/>
  <c r="BB30" i="132"/>
  <c r="BB31" i="132"/>
  <c r="BB26" i="132"/>
  <c r="BB17" i="132"/>
  <c r="BB18" i="132"/>
  <c r="BB19" i="132"/>
  <c r="BB20" i="132"/>
  <c r="BB21" i="132"/>
  <c r="BB16" i="132"/>
  <c r="BB7" i="132"/>
  <c r="BB8" i="132"/>
  <c r="BB9" i="132"/>
  <c r="BB10" i="132"/>
  <c r="BB11" i="132"/>
  <c r="BB6" i="132"/>
  <c r="I31" i="132"/>
  <c r="AU31" i="132" s="1"/>
  <c r="I30" i="132"/>
  <c r="AU30" i="132" s="1"/>
  <c r="I29" i="132"/>
  <c r="AU29" i="132" s="1"/>
  <c r="I28" i="132"/>
  <c r="AU28" i="132" s="1"/>
  <c r="I27" i="132"/>
  <c r="AU27" i="132" s="1"/>
  <c r="I26" i="132"/>
  <c r="AU26" i="132" s="1"/>
  <c r="I21" i="132"/>
  <c r="AU21" i="132" s="1"/>
  <c r="I20" i="132"/>
  <c r="AU20" i="132" s="1"/>
  <c r="I19" i="132"/>
  <c r="AU19" i="132" s="1"/>
  <c r="I18" i="132"/>
  <c r="AU18" i="132" s="1"/>
  <c r="I17" i="132"/>
  <c r="AU17" i="132" s="1"/>
  <c r="I16" i="132"/>
  <c r="AU16" i="132" s="1"/>
  <c r="AV16" i="132" s="1"/>
  <c r="AW16" i="132" s="1"/>
  <c r="AZ16" i="132" s="1"/>
  <c r="CD11" i="132"/>
  <c r="I11" i="132"/>
  <c r="AU11" i="132" s="1"/>
  <c r="I10" i="132"/>
  <c r="AU10" i="132" s="1"/>
  <c r="I9" i="132"/>
  <c r="AU9" i="132" s="1"/>
  <c r="I8" i="132"/>
  <c r="AU8" i="132" s="1"/>
  <c r="E102" i="148"/>
  <c r="E100" i="148"/>
  <c r="AP46" i="64"/>
  <c r="AQ86" i="113"/>
  <c r="ES14" i="132" l="1"/>
  <c r="ES13" i="132"/>
  <c r="ES33" i="132"/>
  <c r="ES34" i="132"/>
  <c r="ES23" i="132"/>
  <c r="ES24" i="132"/>
  <c r="CE34" i="132"/>
  <c r="EB34" i="132" s="1"/>
  <c r="CE14" i="132"/>
  <c r="CF14" i="132" s="1"/>
  <c r="CL11" i="132"/>
  <c r="CL21" i="132"/>
  <c r="CL31" i="132"/>
  <c r="CE23" i="132"/>
  <c r="EA23" i="132"/>
  <c r="BC34" i="132"/>
  <c r="CZ34" i="132" s="1"/>
  <c r="CY34" i="132"/>
  <c r="AX10" i="132"/>
  <c r="AV29" i="132"/>
  <c r="BC10" i="132"/>
  <c r="BC18" i="132"/>
  <c r="DF14" i="132"/>
  <c r="CL10" i="132"/>
  <c r="CL20" i="132"/>
  <c r="CL30" i="132"/>
  <c r="AV14" i="132"/>
  <c r="CS14" i="132" s="1"/>
  <c r="CR14" i="132"/>
  <c r="BC9" i="132"/>
  <c r="DF13" i="132"/>
  <c r="CL9" i="132"/>
  <c r="CL19" i="132"/>
  <c r="CL29" i="132"/>
  <c r="CE33" i="132"/>
  <c r="EA33" i="132"/>
  <c r="AV13" i="132"/>
  <c r="CS13" i="132" s="1"/>
  <c r="CR13" i="132"/>
  <c r="BC19" i="132"/>
  <c r="AV11" i="132"/>
  <c r="AV18" i="132"/>
  <c r="AW18" i="132" s="1"/>
  <c r="AV30" i="132"/>
  <c r="AY30" i="132" s="1"/>
  <c r="BC8" i="132"/>
  <c r="DF24" i="132"/>
  <c r="CL8" i="132"/>
  <c r="CL18" i="132"/>
  <c r="CL28" i="132"/>
  <c r="BC14" i="132"/>
  <c r="CZ14" i="132" s="1"/>
  <c r="CY14" i="132"/>
  <c r="AW24" i="132"/>
  <c r="CT24" i="132" s="1"/>
  <c r="CS24" i="132"/>
  <c r="BC31" i="132"/>
  <c r="DF23" i="132"/>
  <c r="BC13" i="132"/>
  <c r="CZ13" i="132" s="1"/>
  <c r="CY13" i="132"/>
  <c r="AX24" i="132"/>
  <c r="CU24" i="132" s="1"/>
  <c r="CR24" i="132"/>
  <c r="AV8" i="132"/>
  <c r="AV31" i="132"/>
  <c r="AY31" i="132" s="1"/>
  <c r="BC30" i="132"/>
  <c r="DF34" i="132"/>
  <c r="AV23" i="132"/>
  <c r="CS23" i="132" s="1"/>
  <c r="CR23" i="132"/>
  <c r="BC11" i="132"/>
  <c r="BC21" i="132"/>
  <c r="BC29" i="132"/>
  <c r="DF33" i="132"/>
  <c r="CL14" i="132"/>
  <c r="EH14" i="132"/>
  <c r="CL24" i="132"/>
  <c r="EH24" i="132"/>
  <c r="CL34" i="132"/>
  <c r="EH34" i="132"/>
  <c r="AV34" i="132"/>
  <c r="CS34" i="132" s="1"/>
  <c r="CR34" i="132"/>
  <c r="AV9" i="132"/>
  <c r="AX20" i="132"/>
  <c r="AV28" i="132"/>
  <c r="BC20" i="132"/>
  <c r="BC28" i="132"/>
  <c r="CL13" i="132"/>
  <c r="EH13" i="132"/>
  <c r="CL23" i="132"/>
  <c r="EH23" i="132"/>
  <c r="CL33" i="132"/>
  <c r="EH33" i="132"/>
  <c r="CE24" i="132"/>
  <c r="EA24" i="132"/>
  <c r="BC33" i="132"/>
  <c r="CZ33" i="132" s="1"/>
  <c r="CY33" i="132"/>
  <c r="AX33" i="132"/>
  <c r="CU33" i="132" s="1"/>
  <c r="CR33" i="132"/>
  <c r="BC23" i="132"/>
  <c r="CZ23" i="132" s="1"/>
  <c r="AV33" i="132"/>
  <c r="BC24" i="132"/>
  <c r="CZ24" i="132" s="1"/>
  <c r="AX34" i="132"/>
  <c r="CU34" i="132" s="1"/>
  <c r="AY24" i="132"/>
  <c r="CV24" i="132" s="1"/>
  <c r="AX23" i="132"/>
  <c r="CU23" i="132" s="1"/>
  <c r="AW13" i="132"/>
  <c r="CT13" i="132" s="1"/>
  <c r="AY13" i="132"/>
  <c r="CV13" i="132" s="1"/>
  <c r="AX13" i="132"/>
  <c r="CU13" i="132" s="1"/>
  <c r="AX14" i="132"/>
  <c r="CU14" i="132" s="1"/>
  <c r="CD31" i="132"/>
  <c r="CE21" i="132"/>
  <c r="CD9" i="132"/>
  <c r="CD19" i="132"/>
  <c r="CD29" i="132"/>
  <c r="CE11" i="132"/>
  <c r="CE13" i="132"/>
  <c r="AV10" i="132"/>
  <c r="AX16" i="132"/>
  <c r="BA16" i="132" s="1"/>
  <c r="AX30" i="132"/>
  <c r="AX28" i="132"/>
  <c r="AV17" i="132"/>
  <c r="AY17" i="132" s="1"/>
  <c r="AX17" i="132"/>
  <c r="BA17" i="132" s="1"/>
  <c r="AV21" i="132"/>
  <c r="AX21" i="132"/>
  <c r="AW29" i="132"/>
  <c r="AY29" i="132"/>
  <c r="AX19" i="132"/>
  <c r="AV19" i="132"/>
  <c r="AX9" i="132"/>
  <c r="AX11" i="132"/>
  <c r="AX31" i="132"/>
  <c r="AX29" i="132"/>
  <c r="AX8" i="132"/>
  <c r="BC6" i="132"/>
  <c r="BD6" i="132" s="1"/>
  <c r="BE6" i="132" s="1"/>
  <c r="BF6" i="132" s="1"/>
  <c r="BG6" i="132" s="1"/>
  <c r="BH6" i="132" s="1"/>
  <c r="AV20" i="132"/>
  <c r="AY11" i="132"/>
  <c r="AY16" i="132"/>
  <c r="AX18" i="132"/>
  <c r="C71" i="148"/>
  <c r="D71" i="148" s="1"/>
  <c r="I6" i="157"/>
  <c r="AQ77" i="113"/>
  <c r="AR86" i="113"/>
  <c r="U46" i="64"/>
  <c r="BH46" i="64"/>
  <c r="N46" i="64"/>
  <c r="AW46" i="64"/>
  <c r="AB46" i="64"/>
  <c r="FB14" i="132" l="1"/>
  <c r="FB13" i="132"/>
  <c r="AW14" i="132"/>
  <c r="CT14" i="132" s="1"/>
  <c r="BA33" i="132"/>
  <c r="CX33" i="132" s="1"/>
  <c r="AY34" i="132"/>
  <c r="CV34" i="132" s="1"/>
  <c r="AW30" i="132"/>
  <c r="AZ30" i="132" s="1"/>
  <c r="BD14" i="132"/>
  <c r="DA14" i="132" s="1"/>
  <c r="BA24" i="132"/>
  <c r="CX24" i="132" s="1"/>
  <c r="AY23" i="132"/>
  <c r="CV23" i="132" s="1"/>
  <c r="CF34" i="132"/>
  <c r="CG34" i="132" s="1"/>
  <c r="EB14" i="132"/>
  <c r="I13" i="157"/>
  <c r="K13" i="157" s="1"/>
  <c r="I20" i="157"/>
  <c r="P20" i="157"/>
  <c r="P13" i="157"/>
  <c r="CM8" i="132"/>
  <c r="DG13" i="132"/>
  <c r="AY9" i="132"/>
  <c r="CF13" i="132"/>
  <c r="EB13" i="132"/>
  <c r="BD34" i="132"/>
  <c r="DA34" i="132" s="1"/>
  <c r="AW34" i="132"/>
  <c r="CT34" i="132" s="1"/>
  <c r="BD33" i="132"/>
  <c r="AY18" i="132"/>
  <c r="AW9" i="132"/>
  <c r="AZ9" i="132" s="1"/>
  <c r="CF11" i="132"/>
  <c r="BD13" i="132"/>
  <c r="CF24" i="132"/>
  <c r="EB24" i="132"/>
  <c r="BA20" i="132"/>
  <c r="CM34" i="132"/>
  <c r="EI34" i="132"/>
  <c r="DG33" i="132"/>
  <c r="DG34" i="132"/>
  <c r="DG24" i="132"/>
  <c r="AW11" i="132"/>
  <c r="CM29" i="132"/>
  <c r="BD9" i="132"/>
  <c r="CM10" i="132"/>
  <c r="CF23" i="132"/>
  <c r="EB23" i="132"/>
  <c r="CE29" i="132"/>
  <c r="CF29" i="132" s="1"/>
  <c r="AZ24" i="132"/>
  <c r="CW24" i="132" s="1"/>
  <c r="AW33" i="132"/>
  <c r="CT33" i="132" s="1"/>
  <c r="CS33" i="132"/>
  <c r="BD28" i="132"/>
  <c r="BD29" i="132"/>
  <c r="CM28" i="132"/>
  <c r="BD8" i="132"/>
  <c r="BD19" i="132"/>
  <c r="CM19" i="132"/>
  <c r="DG14" i="132"/>
  <c r="BA10" i="132"/>
  <c r="CM31" i="132"/>
  <c r="CE31" i="132"/>
  <c r="CE19" i="132"/>
  <c r="CF19" i="132" s="1"/>
  <c r="CM33" i="132"/>
  <c r="EI33" i="132"/>
  <c r="CM24" i="132"/>
  <c r="EI24" i="132"/>
  <c r="BD30" i="132"/>
  <c r="AW28" i="132"/>
  <c r="AZ28" i="132" s="1"/>
  <c r="AW8" i="132"/>
  <c r="AZ8" i="132" s="1"/>
  <c r="CE9" i="132"/>
  <c r="AW23" i="132"/>
  <c r="CT23" i="132" s="1"/>
  <c r="AY28" i="132"/>
  <c r="AY8" i="132"/>
  <c r="CF21" i="132"/>
  <c r="AY14" i="132"/>
  <c r="CV14" i="132" s="1"/>
  <c r="CM23" i="132"/>
  <c r="EI23" i="132"/>
  <c r="BD20" i="132"/>
  <c r="CM14" i="132"/>
  <c r="EI14" i="132"/>
  <c r="BD21" i="132"/>
  <c r="BD11" i="132"/>
  <c r="AW31" i="132"/>
  <c r="DG23" i="132"/>
  <c r="CM18" i="132"/>
  <c r="CM9" i="132"/>
  <c r="CM30" i="132"/>
  <c r="BD18" i="132"/>
  <c r="CM21" i="132"/>
  <c r="CM13" i="132"/>
  <c r="EI13" i="132"/>
  <c r="CG14" i="132"/>
  <c r="EC14" i="132"/>
  <c r="BD31" i="132"/>
  <c r="CF33" i="132"/>
  <c r="EB33" i="132"/>
  <c r="CM20" i="132"/>
  <c r="BD10" i="132"/>
  <c r="CM11" i="132"/>
  <c r="AY33" i="132"/>
  <c r="CV33" i="132" s="1"/>
  <c r="BD23" i="132"/>
  <c r="DA23" i="132" s="1"/>
  <c r="BD24" i="132"/>
  <c r="DA24" i="132" s="1"/>
  <c r="CD28" i="132"/>
  <c r="CD16" i="132"/>
  <c r="CD26" i="132"/>
  <c r="CD20" i="132"/>
  <c r="CD8" i="132"/>
  <c r="CD30" i="132"/>
  <c r="CD18" i="132"/>
  <c r="CD10" i="132"/>
  <c r="BA34" i="132"/>
  <c r="CX34" i="132" s="1"/>
  <c r="BA23" i="132"/>
  <c r="CX23" i="132" s="1"/>
  <c r="BA13" i="132"/>
  <c r="CX13" i="132" s="1"/>
  <c r="AZ13" i="132"/>
  <c r="CW13" i="132" s="1"/>
  <c r="BA14" i="132"/>
  <c r="CX14" i="132" s="1"/>
  <c r="AZ14" i="132"/>
  <c r="CW14" i="132" s="1"/>
  <c r="BE14" i="132"/>
  <c r="DB14" i="132" s="1"/>
  <c r="BA28" i="132"/>
  <c r="AZ18" i="132"/>
  <c r="BA11" i="132"/>
  <c r="BA9" i="132"/>
  <c r="BA30" i="132"/>
  <c r="AW19" i="132"/>
  <c r="BA8" i="132"/>
  <c r="BA19" i="132"/>
  <c r="AZ29" i="132"/>
  <c r="AW10" i="132"/>
  <c r="BA18" i="132"/>
  <c r="BA29" i="132"/>
  <c r="BA21" i="132"/>
  <c r="BA31" i="132"/>
  <c r="AW21" i="132"/>
  <c r="AW17" i="132"/>
  <c r="AZ17" i="132" s="1"/>
  <c r="AY10" i="132"/>
  <c r="AY21" i="132"/>
  <c r="AY19" i="132"/>
  <c r="AY20" i="132"/>
  <c r="AW20" i="132"/>
  <c r="AQ46" i="64"/>
  <c r="AR46" i="64"/>
  <c r="AR77" i="113"/>
  <c r="EP14" i="132" l="1"/>
  <c r="EP24" i="132"/>
  <c r="EP13" i="132"/>
  <c r="EC34" i="132"/>
  <c r="AZ34" i="132"/>
  <c r="CW34" i="132" s="1"/>
  <c r="EP34" i="132" s="1"/>
  <c r="EY14" i="132" s="1"/>
  <c r="BE34" i="132"/>
  <c r="DB34" i="132" s="1"/>
  <c r="AZ23" i="132"/>
  <c r="CW23" i="132" s="1"/>
  <c r="EP23" i="132" s="1"/>
  <c r="CF9" i="132"/>
  <c r="CG9" i="132" s="1"/>
  <c r="BE9" i="132"/>
  <c r="CN34" i="132"/>
  <c r="EJ34" i="132"/>
  <c r="CG13" i="132"/>
  <c r="EC13" i="132"/>
  <c r="CN11" i="132"/>
  <c r="CG33" i="132"/>
  <c r="EC33" i="132"/>
  <c r="CN21" i="132"/>
  <c r="DH23" i="132"/>
  <c r="CN14" i="132"/>
  <c r="EJ14" i="132"/>
  <c r="CF31" i="132"/>
  <c r="CN19" i="132"/>
  <c r="BE29" i="132"/>
  <c r="CG11" i="132"/>
  <c r="CG21" i="132"/>
  <c r="CG23" i="132"/>
  <c r="EC23" i="132"/>
  <c r="CN29" i="132"/>
  <c r="DH34" i="132"/>
  <c r="BE10" i="132"/>
  <c r="BE31" i="132"/>
  <c r="CN9" i="132"/>
  <c r="AZ31" i="132"/>
  <c r="CN24" i="132"/>
  <c r="EJ24" i="132"/>
  <c r="CN31" i="132"/>
  <c r="BE19" i="132"/>
  <c r="BE28" i="132"/>
  <c r="DH13" i="132"/>
  <c r="AZ33" i="132"/>
  <c r="CW33" i="132" s="1"/>
  <c r="EP33" i="132" s="1"/>
  <c r="CN10" i="132"/>
  <c r="AZ11" i="132"/>
  <c r="CH34" i="132"/>
  <c r="ED34" i="132"/>
  <c r="BE33" i="132"/>
  <c r="DA33" i="132"/>
  <c r="CN20" i="132"/>
  <c r="CH14" i="132"/>
  <c r="ED14" i="132"/>
  <c r="BE18" i="132"/>
  <c r="CN18" i="132"/>
  <c r="BE11" i="132"/>
  <c r="BE20" i="132"/>
  <c r="CN33" i="132"/>
  <c r="EJ33" i="132"/>
  <c r="BE8" i="132"/>
  <c r="CN8" i="132"/>
  <c r="DH24" i="132"/>
  <c r="DH33" i="132"/>
  <c r="CG24" i="132"/>
  <c r="EC24" i="132"/>
  <c r="CN13" i="132"/>
  <c r="EJ13" i="132"/>
  <c r="CN30" i="132"/>
  <c r="BE21" i="132"/>
  <c r="CN23" i="132"/>
  <c r="EJ23" i="132"/>
  <c r="BE30" i="132"/>
  <c r="DH14" i="132"/>
  <c r="CN28" i="132"/>
  <c r="BE13" i="132"/>
  <c r="DA13" i="132"/>
  <c r="CE10" i="132"/>
  <c r="BE23" i="132"/>
  <c r="DB23" i="132" s="1"/>
  <c r="CE8" i="132"/>
  <c r="CE28" i="132"/>
  <c r="BE24" i="132"/>
  <c r="DB24" i="132" s="1"/>
  <c r="CE18" i="132"/>
  <c r="CE30" i="132"/>
  <c r="CE20" i="132"/>
  <c r="BF14" i="132"/>
  <c r="DC14" i="132" s="1"/>
  <c r="CG19" i="132"/>
  <c r="CG29" i="132"/>
  <c r="AZ19" i="132"/>
  <c r="AZ20" i="132"/>
  <c r="AZ21" i="132"/>
  <c r="AZ10" i="132"/>
  <c r="BE46" i="64"/>
  <c r="AS46" i="64"/>
  <c r="AT86" i="113"/>
  <c r="AS77" i="113"/>
  <c r="AS86" i="113"/>
  <c r="EY13" i="132" l="1"/>
  <c r="BF34" i="132"/>
  <c r="DC34" i="132" s="1"/>
  <c r="CO31" i="132"/>
  <c r="BF10" i="132"/>
  <c r="CH21" i="132"/>
  <c r="CO28" i="132"/>
  <c r="BF21" i="132"/>
  <c r="BF18" i="132"/>
  <c r="CI34" i="132"/>
  <c r="EE34" i="132"/>
  <c r="CG31" i="132"/>
  <c r="CH13" i="132"/>
  <c r="ED13" i="132"/>
  <c r="DI13" i="132"/>
  <c r="CO24" i="132"/>
  <c r="EK24" i="132"/>
  <c r="CO9" i="132"/>
  <c r="DI34" i="132"/>
  <c r="DI14" i="132"/>
  <c r="CH24" i="132"/>
  <c r="ED24" i="132"/>
  <c r="CO8" i="132"/>
  <c r="BF20" i="132"/>
  <c r="CI14" i="132"/>
  <c r="EE14" i="132"/>
  <c r="CH11" i="132"/>
  <c r="CO21" i="132"/>
  <c r="CO34" i="132"/>
  <c r="EK34" i="132"/>
  <c r="BF28" i="132"/>
  <c r="CO29" i="132"/>
  <c r="BF30" i="132"/>
  <c r="CO30" i="132"/>
  <c r="DI33" i="132"/>
  <c r="BF8" i="132"/>
  <c r="BF11" i="132"/>
  <c r="CO20" i="132"/>
  <c r="BF29" i="132"/>
  <c r="CO14" i="132"/>
  <c r="EK14" i="132"/>
  <c r="CH33" i="132"/>
  <c r="ED33" i="132"/>
  <c r="BF19" i="132"/>
  <c r="BF31" i="132"/>
  <c r="CH23" i="132"/>
  <c r="ED23" i="132"/>
  <c r="DB13" i="132"/>
  <c r="BF13" i="132"/>
  <c r="CO23" i="132"/>
  <c r="EK23" i="132"/>
  <c r="CO13" i="132"/>
  <c r="EK13" i="132"/>
  <c r="DI24" i="132"/>
  <c r="CO33" i="132"/>
  <c r="EK33" i="132"/>
  <c r="CO18" i="132"/>
  <c r="DB33" i="132"/>
  <c r="BF33" i="132"/>
  <c r="CO10" i="132"/>
  <c r="CO19" i="132"/>
  <c r="DI23" i="132"/>
  <c r="CO11" i="132"/>
  <c r="BF9" i="132"/>
  <c r="CF28" i="132"/>
  <c r="CF8" i="132"/>
  <c r="CF10" i="132"/>
  <c r="BF23" i="132"/>
  <c r="DC23" i="132" s="1"/>
  <c r="BF24" i="132"/>
  <c r="DC24" i="132" s="1"/>
  <c r="CF30" i="132"/>
  <c r="CF18" i="132"/>
  <c r="CF20" i="132"/>
  <c r="BG14" i="132"/>
  <c r="DD14" i="132" s="1"/>
  <c r="CH19" i="132"/>
  <c r="CH29" i="132"/>
  <c r="CH9" i="132"/>
  <c r="AT46" i="64"/>
  <c r="AT77" i="113"/>
  <c r="AU86" i="113"/>
  <c r="BG34" i="132" l="1"/>
  <c r="DD34" i="132" s="1"/>
  <c r="DC13" i="132"/>
  <c r="BG13" i="132"/>
  <c r="CP19" i="132"/>
  <c r="CP33" i="132"/>
  <c r="EL33" i="132"/>
  <c r="BG19" i="132"/>
  <c r="BG29" i="132"/>
  <c r="DJ33" i="132"/>
  <c r="CP29" i="132"/>
  <c r="CP34" i="132"/>
  <c r="EL34" i="132"/>
  <c r="CI24" i="132"/>
  <c r="EE24" i="132"/>
  <c r="CP9" i="132"/>
  <c r="CP28" i="132"/>
  <c r="CH31" i="132"/>
  <c r="BG9" i="132"/>
  <c r="CP10" i="132"/>
  <c r="DJ24" i="132"/>
  <c r="CI23" i="132"/>
  <c r="EE23" i="132"/>
  <c r="CP20" i="132"/>
  <c r="CP30" i="132"/>
  <c r="CP21" i="132"/>
  <c r="CJ14" i="132"/>
  <c r="EG14" i="132" s="1"/>
  <c r="EF14" i="132"/>
  <c r="CP24" i="132"/>
  <c r="EL24" i="132"/>
  <c r="CI21" i="132"/>
  <c r="DC33" i="132"/>
  <c r="BG33" i="132"/>
  <c r="CP11" i="132"/>
  <c r="CP13" i="132"/>
  <c r="EL13" i="132"/>
  <c r="BG31" i="132"/>
  <c r="CI33" i="132"/>
  <c r="EE33" i="132"/>
  <c r="BG11" i="132"/>
  <c r="BG30" i="132"/>
  <c r="BG20" i="132"/>
  <c r="DJ14" i="132"/>
  <c r="DJ13" i="132"/>
  <c r="CJ34" i="132"/>
  <c r="EG34" i="132" s="1"/>
  <c r="EF34" i="132"/>
  <c r="BG10" i="132"/>
  <c r="DJ23" i="132"/>
  <c r="CP18" i="132"/>
  <c r="CP23" i="132"/>
  <c r="EL23" i="132"/>
  <c r="CP14" i="132"/>
  <c r="EL14" i="132"/>
  <c r="BG8" i="132"/>
  <c r="BG28" i="132"/>
  <c r="CI11" i="132"/>
  <c r="CP8" i="132"/>
  <c r="DJ34" i="132"/>
  <c r="CI13" i="132"/>
  <c r="EE13" i="132"/>
  <c r="BG18" i="132"/>
  <c r="BG21" i="132"/>
  <c r="CP31" i="132"/>
  <c r="CG28" i="132"/>
  <c r="CG10" i="132"/>
  <c r="CG8" i="132"/>
  <c r="BG23" i="132"/>
  <c r="DD23" i="132" s="1"/>
  <c r="BG24" i="132"/>
  <c r="DD24" i="132" s="1"/>
  <c r="CG18" i="132"/>
  <c r="CG20" i="132"/>
  <c r="CG30" i="132"/>
  <c r="BH34" i="132"/>
  <c r="DE34" i="132" s="1"/>
  <c r="EQ34" i="132" s="1"/>
  <c r="BH14" i="132"/>
  <c r="DE14" i="132" s="1"/>
  <c r="EQ14" i="132" s="1"/>
  <c r="CI29" i="132"/>
  <c r="CI19" i="132"/>
  <c r="CI9" i="132"/>
  <c r="AU46" i="64"/>
  <c r="AV46" i="64"/>
  <c r="AV86" i="113"/>
  <c r="AW86" i="113"/>
  <c r="BF46" i="64"/>
  <c r="AU77" i="113"/>
  <c r="EU14" i="132" l="1"/>
  <c r="EU34" i="132"/>
  <c r="DT10" i="132"/>
  <c r="DM10" i="132"/>
  <c r="DF10" i="132"/>
  <c r="W30" i="132"/>
  <c r="BI30" i="132" s="1"/>
  <c r="CY10" i="132"/>
  <c r="CR10" i="132"/>
  <c r="W20" i="132"/>
  <c r="EH10" i="132"/>
  <c r="EA10" i="132"/>
  <c r="CJ13" i="132"/>
  <c r="EG13" i="132" s="1"/>
  <c r="EF13" i="132"/>
  <c r="BH28" i="132"/>
  <c r="BH10" i="132"/>
  <c r="DL14" i="132"/>
  <c r="DK14" i="132"/>
  <c r="BH30" i="132"/>
  <c r="CQ13" i="132"/>
  <c r="EN13" i="132" s="1"/>
  <c r="EM13" i="132"/>
  <c r="CQ21" i="132"/>
  <c r="BH9" i="132"/>
  <c r="CQ34" i="132"/>
  <c r="EN34" i="132" s="1"/>
  <c r="EM34" i="132"/>
  <c r="BH19" i="132"/>
  <c r="CI31" i="132"/>
  <c r="CQ31" i="132"/>
  <c r="DL34" i="132"/>
  <c r="DK34" i="132"/>
  <c r="CQ23" i="132"/>
  <c r="EN23" i="132" s="1"/>
  <c r="EM23" i="132"/>
  <c r="BH20" i="132"/>
  <c r="BH11" i="132"/>
  <c r="CQ11" i="132"/>
  <c r="CQ24" i="132"/>
  <c r="EN24" i="132" s="1"/>
  <c r="EM24" i="132"/>
  <c r="CJ23" i="132"/>
  <c r="EG23" i="132" s="1"/>
  <c r="EF23" i="132"/>
  <c r="CQ9" i="132"/>
  <c r="CQ29" i="132"/>
  <c r="CQ33" i="132"/>
  <c r="EN33" i="132" s="1"/>
  <c r="EM33" i="132"/>
  <c r="DD33" i="132"/>
  <c r="BH33" i="132"/>
  <c r="DE33" i="132" s="1"/>
  <c r="BH21" i="132"/>
  <c r="CQ8" i="132"/>
  <c r="BH8" i="132"/>
  <c r="CQ18" i="132"/>
  <c r="CJ33" i="132"/>
  <c r="EG33" i="132" s="1"/>
  <c r="EF33" i="132"/>
  <c r="CQ30" i="132"/>
  <c r="DL24" i="132"/>
  <c r="DK24" i="132"/>
  <c r="CQ28" i="132"/>
  <c r="CJ24" i="132"/>
  <c r="EG24" i="132" s="1"/>
  <c r="EF24" i="132"/>
  <c r="DL33" i="132"/>
  <c r="DK33" i="132"/>
  <c r="CQ19" i="132"/>
  <c r="DD13" i="132"/>
  <c r="BH13" i="132"/>
  <c r="DE13" i="132" s="1"/>
  <c r="BH18" i="132"/>
  <c r="CJ11" i="132"/>
  <c r="CQ14" i="132"/>
  <c r="EN14" i="132" s="1"/>
  <c r="EM14" i="132"/>
  <c r="DL23" i="132"/>
  <c r="DK23" i="132"/>
  <c r="DL13" i="132"/>
  <c r="DK13" i="132"/>
  <c r="BH31" i="132"/>
  <c r="CJ21" i="132"/>
  <c r="CQ20" i="132"/>
  <c r="CQ10" i="132"/>
  <c r="BH29" i="132"/>
  <c r="CH28" i="132"/>
  <c r="CH10" i="132"/>
  <c r="CH8" i="132"/>
  <c r="BH23" i="132"/>
  <c r="DE23" i="132" s="1"/>
  <c r="EQ23" i="132" s="1"/>
  <c r="BH24" i="132"/>
  <c r="DE24" i="132" s="1"/>
  <c r="EQ24" i="132" s="1"/>
  <c r="EZ14" i="132" s="1"/>
  <c r="CH20" i="132"/>
  <c r="CH18" i="132"/>
  <c r="CH30" i="132"/>
  <c r="CJ9" i="132"/>
  <c r="CJ19" i="132"/>
  <c r="CJ29" i="132"/>
  <c r="AV77" i="113"/>
  <c r="BJ46" i="64"/>
  <c r="AW77" i="113"/>
  <c r="BX86" i="113"/>
  <c r="EQ13" i="132" l="1"/>
  <c r="EQ33" i="132"/>
  <c r="EV34" i="132"/>
  <c r="EZ13" i="132"/>
  <c r="EV24" i="132"/>
  <c r="EV13" i="132"/>
  <c r="EV33" i="132"/>
  <c r="EV14" i="132"/>
  <c r="EV23" i="132"/>
  <c r="BI20" i="132"/>
  <c r="DF20" i="132" s="1"/>
  <c r="ER13" i="132"/>
  <c r="EU23" i="132"/>
  <c r="ER34" i="132"/>
  <c r="EU33" i="132"/>
  <c r="EU13" i="132"/>
  <c r="EU24" i="132"/>
  <c r="DM20" i="132"/>
  <c r="CY20" i="132"/>
  <c r="EH20" i="132"/>
  <c r="DT20" i="132"/>
  <c r="CR20" i="132"/>
  <c r="EA20" i="132"/>
  <c r="DM30" i="132"/>
  <c r="DT30" i="132"/>
  <c r="CR30" i="132"/>
  <c r="CY30" i="132"/>
  <c r="DF30" i="132"/>
  <c r="EH30" i="132"/>
  <c r="EA30" i="132"/>
  <c r="ER14" i="132"/>
  <c r="ER24" i="132"/>
  <c r="ER23" i="132"/>
  <c r="ER33" i="132"/>
  <c r="CJ31" i="132"/>
  <c r="CI28" i="132"/>
  <c r="CI10" i="132"/>
  <c r="CI8" i="132"/>
  <c r="CI30" i="132"/>
  <c r="CI20" i="132"/>
  <c r="CI18" i="132"/>
  <c r="BK46" i="64"/>
  <c r="BG46" i="64"/>
  <c r="BX77" i="113"/>
  <c r="FD14" i="132" l="1"/>
  <c r="FE14" i="132"/>
  <c r="FE13" i="132"/>
  <c r="FD13" i="132"/>
  <c r="FA14" i="132"/>
  <c r="FA13" i="132"/>
  <c r="CJ28" i="132"/>
  <c r="CJ10" i="132"/>
  <c r="CJ8" i="132"/>
  <c r="CJ20" i="132"/>
  <c r="CJ18" i="132"/>
  <c r="CJ30" i="132"/>
  <c r="CK31" i="78" l="1"/>
  <c r="CK30" i="78"/>
  <c r="CK29" i="78"/>
  <c r="CK28" i="78"/>
  <c r="CK27" i="78"/>
  <c r="CK26" i="78"/>
  <c r="CK25" i="78"/>
  <c r="CK24" i="78"/>
  <c r="CK22" i="78"/>
  <c r="CK21" i="78"/>
  <c r="CK20" i="78"/>
  <c r="CK19" i="78"/>
  <c r="CK18" i="78"/>
  <c r="CK17" i="78"/>
  <c r="CK16" i="78"/>
  <c r="CK15" i="78"/>
  <c r="CK7" i="78"/>
  <c r="CK8" i="78"/>
  <c r="CK9" i="78"/>
  <c r="CK10" i="78"/>
  <c r="CK11" i="78"/>
  <c r="CK12" i="78"/>
  <c r="CK13" i="78"/>
  <c r="CK6" i="78"/>
  <c r="CD31" i="78"/>
  <c r="CD30" i="78"/>
  <c r="CD29" i="78"/>
  <c r="CD28" i="78"/>
  <c r="CD27" i="78"/>
  <c r="CD26" i="78"/>
  <c r="CD25" i="78"/>
  <c r="CD24" i="78"/>
  <c r="CD22" i="78"/>
  <c r="CD21" i="78"/>
  <c r="CD20" i="78"/>
  <c r="CD19" i="78"/>
  <c r="CD18" i="78"/>
  <c r="CD17" i="78"/>
  <c r="CD16" i="78"/>
  <c r="CD15" i="78"/>
  <c r="CD7" i="78"/>
  <c r="CD8" i="78"/>
  <c r="CD9" i="78"/>
  <c r="CD10" i="78"/>
  <c r="CD11" i="78"/>
  <c r="CD12" i="78"/>
  <c r="CD13" i="78"/>
  <c r="CD6" i="78"/>
  <c r="BW31" i="78"/>
  <c r="BW30" i="78"/>
  <c r="BW29" i="78"/>
  <c r="BW28" i="78"/>
  <c r="BW27" i="78"/>
  <c r="BW26" i="78"/>
  <c r="BW25" i="78"/>
  <c r="BW24" i="78"/>
  <c r="BW22" i="78"/>
  <c r="BW21" i="78"/>
  <c r="BW20" i="78"/>
  <c r="BW19" i="78"/>
  <c r="BW18" i="78"/>
  <c r="BW17" i="78"/>
  <c r="BW16" i="78"/>
  <c r="BW15" i="78"/>
  <c r="BW7" i="78"/>
  <c r="BW8" i="78"/>
  <c r="BW9" i="78"/>
  <c r="BW10" i="78"/>
  <c r="BW11" i="78"/>
  <c r="BW12" i="78"/>
  <c r="BW13" i="78"/>
  <c r="BW6" i="78"/>
  <c r="BB31" i="78"/>
  <c r="BB30" i="78"/>
  <c r="BB29" i="78"/>
  <c r="BB28" i="78"/>
  <c r="BB27" i="78"/>
  <c r="BB26" i="78"/>
  <c r="BB25" i="78"/>
  <c r="BB24" i="78"/>
  <c r="BB22" i="78"/>
  <c r="BB21" i="78"/>
  <c r="BB20" i="78"/>
  <c r="BB19" i="78"/>
  <c r="BB18" i="78"/>
  <c r="BB17" i="78"/>
  <c r="BB16" i="78"/>
  <c r="BB15" i="78"/>
  <c r="BB7" i="78"/>
  <c r="BB8" i="78"/>
  <c r="BB9" i="78"/>
  <c r="BB10" i="78"/>
  <c r="BB11" i="78"/>
  <c r="BB12" i="78"/>
  <c r="BB13" i="78"/>
  <c r="BB6" i="78"/>
  <c r="N311" i="160"/>
  <c r="M311" i="160"/>
  <c r="L311" i="160"/>
  <c r="N310" i="160"/>
  <c r="M310" i="160"/>
  <c r="L310" i="160"/>
  <c r="N309" i="160"/>
  <c r="M309" i="160"/>
  <c r="L309" i="160"/>
  <c r="N308" i="160"/>
  <c r="M308" i="160"/>
  <c r="L308" i="160"/>
  <c r="N307" i="160"/>
  <c r="M307" i="160"/>
  <c r="L307" i="160"/>
  <c r="N306" i="160"/>
  <c r="M306" i="160"/>
  <c r="L306" i="160"/>
  <c r="N305" i="160"/>
  <c r="M305" i="160"/>
  <c r="L305" i="160"/>
  <c r="N304" i="160"/>
  <c r="M304" i="160"/>
  <c r="L304" i="160"/>
  <c r="N303" i="160"/>
  <c r="M303" i="160"/>
  <c r="L303" i="160"/>
  <c r="N302" i="160"/>
  <c r="M302" i="160"/>
  <c r="L302" i="160"/>
  <c r="N301" i="160"/>
  <c r="M301" i="160"/>
  <c r="L301" i="160"/>
  <c r="N300" i="160"/>
  <c r="M300" i="160"/>
  <c r="L300" i="160"/>
  <c r="N299" i="160"/>
  <c r="M299" i="160"/>
  <c r="L299" i="160"/>
  <c r="N298" i="160"/>
  <c r="M298" i="160"/>
  <c r="L298" i="160"/>
  <c r="N297" i="160"/>
  <c r="M297" i="160"/>
  <c r="L297" i="160"/>
  <c r="N296" i="160"/>
  <c r="M296" i="160"/>
  <c r="L296" i="160"/>
  <c r="N295" i="160"/>
  <c r="M295" i="160"/>
  <c r="L295" i="160"/>
  <c r="N294" i="160"/>
  <c r="M294" i="160"/>
  <c r="L294" i="160"/>
  <c r="N293" i="160"/>
  <c r="M293" i="160"/>
  <c r="L293" i="160"/>
  <c r="N292" i="160"/>
  <c r="M292" i="160"/>
  <c r="L292" i="160"/>
  <c r="N291" i="160"/>
  <c r="M291" i="160"/>
  <c r="L291" i="160"/>
  <c r="N290" i="160"/>
  <c r="M290" i="160"/>
  <c r="L290" i="160"/>
  <c r="N289" i="160"/>
  <c r="M289" i="160"/>
  <c r="L289" i="160"/>
  <c r="N288" i="160"/>
  <c r="M288" i="160"/>
  <c r="L288" i="160"/>
  <c r="N287" i="160"/>
  <c r="M287" i="160"/>
  <c r="L287" i="160"/>
  <c r="N286" i="160"/>
  <c r="M286" i="160"/>
  <c r="L286" i="160"/>
  <c r="N285" i="160"/>
  <c r="M285" i="160"/>
  <c r="L285" i="160"/>
  <c r="N281" i="160"/>
  <c r="M281" i="160"/>
  <c r="L281" i="160"/>
  <c r="N280" i="160"/>
  <c r="M280" i="160"/>
  <c r="L280" i="160"/>
  <c r="N279" i="160"/>
  <c r="M279" i="160"/>
  <c r="L279" i="160"/>
  <c r="N278" i="160"/>
  <c r="M278" i="160"/>
  <c r="L278" i="160"/>
  <c r="N277" i="160"/>
  <c r="M277" i="160"/>
  <c r="L277" i="160"/>
  <c r="N276" i="160"/>
  <c r="M276" i="160"/>
  <c r="L276" i="160"/>
  <c r="N275" i="160"/>
  <c r="M275" i="160"/>
  <c r="L275" i="160"/>
  <c r="N274" i="160"/>
  <c r="M274" i="160"/>
  <c r="L274" i="160"/>
  <c r="N273" i="160"/>
  <c r="M273" i="160"/>
  <c r="L273" i="160"/>
  <c r="N272" i="160"/>
  <c r="M272" i="160"/>
  <c r="L272" i="160"/>
  <c r="N271" i="160"/>
  <c r="M271" i="160"/>
  <c r="L271" i="160"/>
  <c r="N270" i="160"/>
  <c r="M270" i="160"/>
  <c r="L270" i="160"/>
  <c r="N265" i="160"/>
  <c r="M265" i="160"/>
  <c r="L265" i="160"/>
  <c r="N264" i="160"/>
  <c r="M264" i="160"/>
  <c r="L264" i="160"/>
  <c r="N263" i="160"/>
  <c r="M263" i="160"/>
  <c r="L263" i="160"/>
  <c r="N262" i="160"/>
  <c r="M262" i="160"/>
  <c r="L262" i="160"/>
  <c r="N261" i="160"/>
  <c r="M261" i="160"/>
  <c r="L261" i="160"/>
  <c r="N260" i="160"/>
  <c r="M260" i="160"/>
  <c r="L260" i="160"/>
  <c r="N259" i="160"/>
  <c r="M259" i="160"/>
  <c r="L259" i="160"/>
  <c r="N258" i="160"/>
  <c r="M258" i="160"/>
  <c r="L258" i="160"/>
  <c r="N257" i="160"/>
  <c r="M257" i="160"/>
  <c r="L257" i="160"/>
  <c r="N256" i="160"/>
  <c r="M256" i="160"/>
  <c r="L256" i="160"/>
  <c r="N251" i="160"/>
  <c r="M251" i="160"/>
  <c r="L251" i="160"/>
  <c r="N250" i="160"/>
  <c r="M250" i="160"/>
  <c r="L250" i="160"/>
  <c r="N249" i="160"/>
  <c r="M249" i="160"/>
  <c r="L249" i="160"/>
  <c r="N248" i="160"/>
  <c r="M248" i="160"/>
  <c r="L248" i="160"/>
  <c r="N247" i="160"/>
  <c r="M247" i="160"/>
  <c r="L247" i="160"/>
  <c r="N246" i="160"/>
  <c r="M246" i="160"/>
  <c r="L246" i="160"/>
  <c r="N245" i="160"/>
  <c r="M245" i="160"/>
  <c r="L245" i="160"/>
  <c r="N244" i="160"/>
  <c r="M244" i="160"/>
  <c r="L244" i="160"/>
  <c r="N243" i="160"/>
  <c r="M243" i="160"/>
  <c r="L243" i="160"/>
  <c r="N242" i="160"/>
  <c r="M242" i="160"/>
  <c r="L242" i="160"/>
  <c r="N241" i="160"/>
  <c r="M241" i="160"/>
  <c r="L241" i="160"/>
  <c r="N240" i="160"/>
  <c r="M240" i="160"/>
  <c r="L240" i="160"/>
  <c r="N239" i="160"/>
  <c r="M239" i="160"/>
  <c r="L239" i="160"/>
  <c r="N238" i="160"/>
  <c r="M238" i="160"/>
  <c r="L238" i="160"/>
  <c r="N237" i="160"/>
  <c r="M237" i="160"/>
  <c r="L237" i="160"/>
  <c r="N232" i="160"/>
  <c r="M232" i="160"/>
  <c r="L232" i="160"/>
  <c r="N231" i="160"/>
  <c r="M231" i="160"/>
  <c r="L231" i="160"/>
  <c r="N230" i="160"/>
  <c r="M230" i="160"/>
  <c r="L230" i="160"/>
  <c r="N229" i="160"/>
  <c r="M229" i="160"/>
  <c r="L229" i="160"/>
  <c r="N228" i="160"/>
  <c r="M228" i="160"/>
  <c r="L228" i="160"/>
  <c r="N227" i="160"/>
  <c r="M227" i="160"/>
  <c r="L227" i="160"/>
  <c r="N226" i="160"/>
  <c r="M226" i="160"/>
  <c r="L226" i="160"/>
  <c r="N225" i="160"/>
  <c r="M225" i="160"/>
  <c r="L225" i="160"/>
  <c r="N224" i="160"/>
  <c r="M224" i="160"/>
  <c r="L224" i="160"/>
  <c r="N223" i="160"/>
  <c r="M223" i="160"/>
  <c r="L223" i="160"/>
  <c r="N222" i="160"/>
  <c r="M222" i="160"/>
  <c r="L222" i="160"/>
  <c r="N221" i="160"/>
  <c r="M221" i="160"/>
  <c r="L221" i="160"/>
  <c r="N220" i="160"/>
  <c r="M220" i="160"/>
  <c r="L220" i="160"/>
  <c r="N219" i="160"/>
  <c r="M219" i="160"/>
  <c r="L219" i="160"/>
  <c r="N218" i="160"/>
  <c r="M218" i="160"/>
  <c r="L218" i="160"/>
  <c r="N217" i="160"/>
  <c r="M217" i="160"/>
  <c r="L217" i="160"/>
  <c r="S137" i="160"/>
  <c r="N216" i="160"/>
  <c r="M216" i="160"/>
  <c r="L216" i="160"/>
  <c r="S136" i="160"/>
  <c r="N215" i="160"/>
  <c r="M215" i="160"/>
  <c r="L215" i="160"/>
  <c r="N214" i="160"/>
  <c r="M214" i="160"/>
  <c r="L214" i="160"/>
  <c r="N213" i="160"/>
  <c r="M213" i="160"/>
  <c r="L213" i="160"/>
  <c r="N212" i="160"/>
  <c r="M212" i="160"/>
  <c r="L212" i="160"/>
  <c r="N211" i="160"/>
  <c r="M211" i="160"/>
  <c r="L211" i="160"/>
  <c r="N210" i="160"/>
  <c r="M210" i="160"/>
  <c r="L210" i="160"/>
  <c r="N209" i="160"/>
  <c r="M209" i="160"/>
  <c r="L209" i="160"/>
  <c r="N208" i="160"/>
  <c r="M208" i="160"/>
  <c r="L208" i="160"/>
  <c r="N207" i="160"/>
  <c r="M207" i="160"/>
  <c r="L207" i="160"/>
  <c r="N203" i="160"/>
  <c r="M203" i="160"/>
  <c r="L203" i="160"/>
  <c r="N202" i="160"/>
  <c r="M202" i="160"/>
  <c r="L202" i="160"/>
  <c r="N201" i="160"/>
  <c r="M201" i="160"/>
  <c r="L201" i="160"/>
  <c r="N200" i="160"/>
  <c r="M200" i="160"/>
  <c r="L200" i="160"/>
  <c r="N199" i="160"/>
  <c r="M199" i="160"/>
  <c r="L199" i="160"/>
  <c r="N198" i="160"/>
  <c r="M198" i="160"/>
  <c r="L198" i="160"/>
  <c r="N197" i="160"/>
  <c r="M197" i="160"/>
  <c r="L197" i="160"/>
  <c r="N196" i="160"/>
  <c r="M196" i="160"/>
  <c r="L196" i="160"/>
  <c r="N195" i="160"/>
  <c r="M195" i="160"/>
  <c r="L195" i="160"/>
  <c r="N194" i="160"/>
  <c r="M194" i="160"/>
  <c r="L194" i="160"/>
  <c r="N193" i="160"/>
  <c r="M193" i="160"/>
  <c r="L193" i="160"/>
  <c r="N192" i="160"/>
  <c r="M192" i="160"/>
  <c r="L192" i="160"/>
  <c r="N191" i="160"/>
  <c r="M191" i="160"/>
  <c r="L191" i="160"/>
  <c r="N190" i="160"/>
  <c r="M190" i="160"/>
  <c r="L190" i="160"/>
  <c r="N189" i="160"/>
  <c r="M189" i="160"/>
  <c r="L189" i="160"/>
  <c r="N184" i="160"/>
  <c r="M184" i="160"/>
  <c r="L184" i="160"/>
  <c r="N183" i="160"/>
  <c r="M183" i="160"/>
  <c r="L183" i="160"/>
  <c r="N182" i="160"/>
  <c r="M182" i="160"/>
  <c r="L182" i="160"/>
  <c r="N181" i="160"/>
  <c r="M181" i="160"/>
  <c r="L181" i="160"/>
  <c r="N180" i="160"/>
  <c r="M180" i="160"/>
  <c r="L180" i="160"/>
  <c r="N179" i="160"/>
  <c r="M179" i="160"/>
  <c r="L179" i="160"/>
  <c r="N178" i="160"/>
  <c r="M178" i="160"/>
  <c r="L178" i="160"/>
  <c r="N177" i="160"/>
  <c r="M177" i="160"/>
  <c r="L177" i="160"/>
  <c r="N176" i="160"/>
  <c r="M176" i="160"/>
  <c r="L176" i="160"/>
  <c r="N165" i="160"/>
  <c r="M165" i="160"/>
  <c r="L165" i="160"/>
  <c r="N164" i="160"/>
  <c r="M164" i="160"/>
  <c r="L164" i="160"/>
  <c r="N163" i="160"/>
  <c r="M163" i="160"/>
  <c r="L163" i="160"/>
  <c r="N162" i="160"/>
  <c r="M162" i="160"/>
  <c r="L162" i="160"/>
  <c r="N161" i="160"/>
  <c r="M161" i="160"/>
  <c r="L161" i="160"/>
  <c r="N160" i="160"/>
  <c r="M160" i="160"/>
  <c r="L160" i="160"/>
  <c r="N159" i="160"/>
  <c r="M159" i="160"/>
  <c r="L159" i="160"/>
  <c r="N158" i="160"/>
  <c r="M158" i="160"/>
  <c r="L158" i="160"/>
  <c r="C152" i="160"/>
  <c r="AH140" i="160"/>
  <c r="AI140" i="160" s="1"/>
  <c r="CJ139" i="160"/>
  <c r="CK139" i="160" s="1"/>
  <c r="CL139" i="160" s="1"/>
  <c r="CM139" i="160" s="1"/>
  <c r="CN139" i="160" s="1"/>
  <c r="CO139" i="160" s="1"/>
  <c r="CP139" i="160" s="1"/>
  <c r="CC139" i="160"/>
  <c r="CD139" i="160" s="1"/>
  <c r="CE139" i="160" s="1"/>
  <c r="CF139" i="160" s="1"/>
  <c r="CG139" i="160" s="1"/>
  <c r="CH139" i="160" s="1"/>
  <c r="CI139" i="160" s="1"/>
  <c r="P139" i="160"/>
  <c r="BZ139" i="160" s="1"/>
  <c r="O139" i="160"/>
  <c r="M139" i="160"/>
  <c r="H139" i="160"/>
  <c r="CJ138" i="160"/>
  <c r="CK138" i="160" s="1"/>
  <c r="CL138" i="160" s="1"/>
  <c r="CM138" i="160" s="1"/>
  <c r="CN138" i="160" s="1"/>
  <c r="CO138" i="160" s="1"/>
  <c r="CP138" i="160" s="1"/>
  <c r="CC138" i="160"/>
  <c r="CD138" i="160" s="1"/>
  <c r="CE138" i="160" s="1"/>
  <c r="CF138" i="160" s="1"/>
  <c r="CG138" i="160" s="1"/>
  <c r="CH138" i="160" s="1"/>
  <c r="CI138" i="160" s="1"/>
  <c r="P138" i="160"/>
  <c r="CB138" i="160" s="1"/>
  <c r="O138" i="160"/>
  <c r="M138" i="160"/>
  <c r="H138" i="160"/>
  <c r="CJ137" i="160"/>
  <c r="CK137" i="160" s="1"/>
  <c r="CL137" i="160" s="1"/>
  <c r="CM137" i="160" s="1"/>
  <c r="CN137" i="160" s="1"/>
  <c r="CO137" i="160" s="1"/>
  <c r="CP137" i="160" s="1"/>
  <c r="Q137" i="160"/>
  <c r="CC137" i="160" s="1"/>
  <c r="CD137" i="160" s="1"/>
  <c r="CE137" i="160" s="1"/>
  <c r="CF137" i="160" s="1"/>
  <c r="CG137" i="160" s="1"/>
  <c r="CH137" i="160" s="1"/>
  <c r="CI137" i="160" s="1"/>
  <c r="P137" i="160"/>
  <c r="CA137" i="160" s="1"/>
  <c r="O137" i="160"/>
  <c r="M137" i="160"/>
  <c r="H137" i="160"/>
  <c r="CJ136" i="160"/>
  <c r="CK136" i="160" s="1"/>
  <c r="CL136" i="160" s="1"/>
  <c r="CM136" i="160" s="1"/>
  <c r="CN136" i="160" s="1"/>
  <c r="CO136" i="160" s="1"/>
  <c r="CP136" i="160" s="1"/>
  <c r="Q136" i="160"/>
  <c r="CC136" i="160" s="1"/>
  <c r="CD136" i="160" s="1"/>
  <c r="CE136" i="160" s="1"/>
  <c r="CF136" i="160" s="1"/>
  <c r="CG136" i="160" s="1"/>
  <c r="CH136" i="160" s="1"/>
  <c r="CI136" i="160" s="1"/>
  <c r="P136" i="160"/>
  <c r="CB136" i="160" s="1"/>
  <c r="O136" i="160"/>
  <c r="M136" i="160"/>
  <c r="H136" i="160"/>
  <c r="S135" i="160"/>
  <c r="CJ135" i="160"/>
  <c r="CK135" i="160" s="1"/>
  <c r="CL135" i="160" s="1"/>
  <c r="CM135" i="160" s="1"/>
  <c r="CN135" i="160" s="1"/>
  <c r="CO135" i="160" s="1"/>
  <c r="CP135" i="160" s="1"/>
  <c r="Q135" i="160"/>
  <c r="CC135" i="160" s="1"/>
  <c r="CD135" i="160" s="1"/>
  <c r="CE135" i="160" s="1"/>
  <c r="CF135" i="160" s="1"/>
  <c r="CG135" i="160" s="1"/>
  <c r="CH135" i="160" s="1"/>
  <c r="CI135" i="160" s="1"/>
  <c r="P135" i="160"/>
  <c r="CA135" i="160" s="1"/>
  <c r="O135" i="160"/>
  <c r="M135" i="160"/>
  <c r="H135" i="160"/>
  <c r="S134" i="160"/>
  <c r="CJ134" i="160"/>
  <c r="CK134" i="160" s="1"/>
  <c r="CL134" i="160" s="1"/>
  <c r="CM134" i="160" s="1"/>
  <c r="CN134" i="160" s="1"/>
  <c r="CO134" i="160" s="1"/>
  <c r="CP134" i="160" s="1"/>
  <c r="Q134" i="160"/>
  <c r="CC134" i="160" s="1"/>
  <c r="CD134" i="160" s="1"/>
  <c r="CE134" i="160" s="1"/>
  <c r="CF134" i="160" s="1"/>
  <c r="CG134" i="160" s="1"/>
  <c r="CH134" i="160" s="1"/>
  <c r="CI134" i="160" s="1"/>
  <c r="P134" i="160"/>
  <c r="CB134" i="160" s="1"/>
  <c r="O134" i="160"/>
  <c r="M134" i="160"/>
  <c r="H134" i="160"/>
  <c r="CQ133" i="160"/>
  <c r="CR133" i="160" s="1"/>
  <c r="CS133" i="160" s="1"/>
  <c r="CT133" i="160" s="1"/>
  <c r="CU133" i="160" s="1"/>
  <c r="CV133" i="160" s="1"/>
  <c r="CW133" i="160" s="1"/>
  <c r="CJ133" i="160"/>
  <c r="CK133" i="160" s="1"/>
  <c r="CL133" i="160" s="1"/>
  <c r="CM133" i="160" s="1"/>
  <c r="CN133" i="160" s="1"/>
  <c r="CO133" i="160" s="1"/>
  <c r="CP133" i="160" s="1"/>
  <c r="CC133" i="160"/>
  <c r="CD133" i="160" s="1"/>
  <c r="CE133" i="160" s="1"/>
  <c r="CF133" i="160" s="1"/>
  <c r="CG133" i="160" s="1"/>
  <c r="CH133" i="160" s="1"/>
  <c r="CI133" i="160" s="1"/>
  <c r="P133" i="160"/>
  <c r="BW133" i="160" s="1"/>
  <c r="O133" i="160"/>
  <c r="M133" i="160"/>
  <c r="H133" i="160"/>
  <c r="CQ132" i="160"/>
  <c r="CR132" i="160" s="1"/>
  <c r="CS132" i="160" s="1"/>
  <c r="CT132" i="160" s="1"/>
  <c r="CU132" i="160" s="1"/>
  <c r="CV132" i="160" s="1"/>
  <c r="CW132" i="160" s="1"/>
  <c r="CJ132" i="160"/>
  <c r="CK132" i="160" s="1"/>
  <c r="CL132" i="160" s="1"/>
  <c r="CM132" i="160" s="1"/>
  <c r="CN132" i="160" s="1"/>
  <c r="CO132" i="160" s="1"/>
  <c r="CP132" i="160" s="1"/>
  <c r="CC132" i="160"/>
  <c r="CD132" i="160" s="1"/>
  <c r="CE132" i="160" s="1"/>
  <c r="CF132" i="160" s="1"/>
  <c r="CG132" i="160" s="1"/>
  <c r="CH132" i="160" s="1"/>
  <c r="CI132" i="160" s="1"/>
  <c r="P132" i="160"/>
  <c r="BX132" i="160" s="1"/>
  <c r="O132" i="160"/>
  <c r="M132" i="160"/>
  <c r="H132" i="160"/>
  <c r="CQ131" i="160"/>
  <c r="CR131" i="160" s="1"/>
  <c r="CS131" i="160" s="1"/>
  <c r="CT131" i="160" s="1"/>
  <c r="CU131" i="160" s="1"/>
  <c r="CV131" i="160" s="1"/>
  <c r="CW131" i="160" s="1"/>
  <c r="CJ131" i="160"/>
  <c r="CK131" i="160" s="1"/>
  <c r="CL131" i="160" s="1"/>
  <c r="CM131" i="160" s="1"/>
  <c r="CN131" i="160" s="1"/>
  <c r="CO131" i="160" s="1"/>
  <c r="CP131" i="160" s="1"/>
  <c r="CC131" i="160"/>
  <c r="CD131" i="160" s="1"/>
  <c r="CE131" i="160" s="1"/>
  <c r="CF131" i="160" s="1"/>
  <c r="CG131" i="160" s="1"/>
  <c r="CH131" i="160" s="1"/>
  <c r="CI131" i="160" s="1"/>
  <c r="P131" i="160"/>
  <c r="BV131" i="160" s="1"/>
  <c r="O131" i="160"/>
  <c r="M131" i="160"/>
  <c r="H131" i="160"/>
  <c r="CQ130" i="160"/>
  <c r="CR130" i="160" s="1"/>
  <c r="CS130" i="160" s="1"/>
  <c r="CT130" i="160" s="1"/>
  <c r="CU130" i="160" s="1"/>
  <c r="CV130" i="160" s="1"/>
  <c r="CW130" i="160" s="1"/>
  <c r="CJ130" i="160"/>
  <c r="CK130" i="160" s="1"/>
  <c r="CL130" i="160" s="1"/>
  <c r="CM130" i="160" s="1"/>
  <c r="CN130" i="160" s="1"/>
  <c r="CO130" i="160" s="1"/>
  <c r="CP130" i="160" s="1"/>
  <c r="CC130" i="160"/>
  <c r="CD130" i="160" s="1"/>
  <c r="CE130" i="160" s="1"/>
  <c r="CF130" i="160" s="1"/>
  <c r="CG130" i="160" s="1"/>
  <c r="CH130" i="160" s="1"/>
  <c r="CI130" i="160" s="1"/>
  <c r="P130" i="160"/>
  <c r="BY130" i="160" s="1"/>
  <c r="O130" i="160"/>
  <c r="M130" i="160"/>
  <c r="H130" i="160"/>
  <c r="CQ129" i="160"/>
  <c r="CR129" i="160" s="1"/>
  <c r="CS129" i="160" s="1"/>
  <c r="CT129" i="160" s="1"/>
  <c r="CU129" i="160" s="1"/>
  <c r="CV129" i="160" s="1"/>
  <c r="CW129" i="160" s="1"/>
  <c r="CJ129" i="160"/>
  <c r="CK129" i="160" s="1"/>
  <c r="CL129" i="160" s="1"/>
  <c r="CM129" i="160" s="1"/>
  <c r="CN129" i="160" s="1"/>
  <c r="CO129" i="160" s="1"/>
  <c r="CP129" i="160" s="1"/>
  <c r="CC129" i="160"/>
  <c r="CD129" i="160" s="1"/>
  <c r="CE129" i="160" s="1"/>
  <c r="CF129" i="160" s="1"/>
  <c r="CG129" i="160" s="1"/>
  <c r="CH129" i="160" s="1"/>
  <c r="CI129" i="160" s="1"/>
  <c r="P129" i="160"/>
  <c r="O129" i="160"/>
  <c r="M129" i="160"/>
  <c r="H129" i="160"/>
  <c r="CQ128" i="160"/>
  <c r="CR128" i="160" s="1"/>
  <c r="CS128" i="160" s="1"/>
  <c r="CT128" i="160" s="1"/>
  <c r="CU128" i="160" s="1"/>
  <c r="CV128" i="160" s="1"/>
  <c r="CW128" i="160" s="1"/>
  <c r="CJ128" i="160"/>
  <c r="CK128" i="160" s="1"/>
  <c r="CL128" i="160" s="1"/>
  <c r="CM128" i="160" s="1"/>
  <c r="CN128" i="160" s="1"/>
  <c r="CO128" i="160" s="1"/>
  <c r="CP128" i="160" s="1"/>
  <c r="CC128" i="160"/>
  <c r="CD128" i="160" s="1"/>
  <c r="CE128" i="160" s="1"/>
  <c r="CF128" i="160" s="1"/>
  <c r="CG128" i="160" s="1"/>
  <c r="CH128" i="160" s="1"/>
  <c r="CI128" i="160" s="1"/>
  <c r="P128" i="160"/>
  <c r="BX128" i="160" s="1"/>
  <c r="O128" i="160"/>
  <c r="M128" i="160"/>
  <c r="H128" i="160"/>
  <c r="CQ127" i="160"/>
  <c r="CR127" i="160" s="1"/>
  <c r="CS127" i="160" s="1"/>
  <c r="CT127" i="160" s="1"/>
  <c r="CU127" i="160" s="1"/>
  <c r="CV127" i="160" s="1"/>
  <c r="CW127" i="160" s="1"/>
  <c r="CJ127" i="160"/>
  <c r="CK127" i="160" s="1"/>
  <c r="CL127" i="160" s="1"/>
  <c r="CM127" i="160" s="1"/>
  <c r="CN127" i="160" s="1"/>
  <c r="CO127" i="160" s="1"/>
  <c r="CP127" i="160" s="1"/>
  <c r="CC127" i="160"/>
  <c r="CD127" i="160" s="1"/>
  <c r="CE127" i="160" s="1"/>
  <c r="CF127" i="160" s="1"/>
  <c r="CG127" i="160" s="1"/>
  <c r="CH127" i="160" s="1"/>
  <c r="CI127" i="160" s="1"/>
  <c r="P127" i="160"/>
  <c r="BY127" i="160" s="1"/>
  <c r="O127" i="160"/>
  <c r="M127" i="160"/>
  <c r="H127" i="160"/>
  <c r="CQ126" i="160"/>
  <c r="CR126" i="160" s="1"/>
  <c r="CS126" i="160" s="1"/>
  <c r="CT126" i="160" s="1"/>
  <c r="CU126" i="160" s="1"/>
  <c r="CV126" i="160" s="1"/>
  <c r="CW126" i="160" s="1"/>
  <c r="CJ126" i="160"/>
  <c r="CK126" i="160" s="1"/>
  <c r="CL126" i="160" s="1"/>
  <c r="CM126" i="160" s="1"/>
  <c r="CN126" i="160" s="1"/>
  <c r="CO126" i="160" s="1"/>
  <c r="CP126" i="160" s="1"/>
  <c r="CC126" i="160"/>
  <c r="CD126" i="160" s="1"/>
  <c r="CE126" i="160" s="1"/>
  <c r="CF126" i="160" s="1"/>
  <c r="CG126" i="160" s="1"/>
  <c r="CH126" i="160" s="1"/>
  <c r="CI126" i="160" s="1"/>
  <c r="P126" i="160"/>
  <c r="BW126" i="160" s="1"/>
  <c r="O126" i="160"/>
  <c r="M126" i="160"/>
  <c r="H126" i="160"/>
  <c r="CQ125" i="160"/>
  <c r="CR125" i="160" s="1"/>
  <c r="CS125" i="160" s="1"/>
  <c r="CT125" i="160" s="1"/>
  <c r="CU125" i="160" s="1"/>
  <c r="CV125" i="160" s="1"/>
  <c r="CW125" i="160" s="1"/>
  <c r="CJ125" i="160"/>
  <c r="CK125" i="160" s="1"/>
  <c r="CL125" i="160" s="1"/>
  <c r="CM125" i="160" s="1"/>
  <c r="CN125" i="160" s="1"/>
  <c r="CO125" i="160" s="1"/>
  <c r="CP125" i="160" s="1"/>
  <c r="CC125" i="160"/>
  <c r="CD125" i="160" s="1"/>
  <c r="CE125" i="160" s="1"/>
  <c r="CF125" i="160" s="1"/>
  <c r="CG125" i="160" s="1"/>
  <c r="CH125" i="160" s="1"/>
  <c r="CI125" i="160" s="1"/>
  <c r="P125" i="160"/>
  <c r="BX125" i="160" s="1"/>
  <c r="O125" i="160"/>
  <c r="M125" i="160"/>
  <c r="H125" i="160"/>
  <c r="CQ124" i="160"/>
  <c r="CR124" i="160" s="1"/>
  <c r="CS124" i="160" s="1"/>
  <c r="CT124" i="160" s="1"/>
  <c r="CU124" i="160" s="1"/>
  <c r="CV124" i="160" s="1"/>
  <c r="CW124" i="160" s="1"/>
  <c r="CJ124" i="160"/>
  <c r="CK124" i="160" s="1"/>
  <c r="CL124" i="160" s="1"/>
  <c r="CM124" i="160" s="1"/>
  <c r="CN124" i="160" s="1"/>
  <c r="CO124" i="160" s="1"/>
  <c r="CP124" i="160" s="1"/>
  <c r="CC124" i="160"/>
  <c r="CD124" i="160" s="1"/>
  <c r="CE124" i="160" s="1"/>
  <c r="CF124" i="160" s="1"/>
  <c r="CG124" i="160" s="1"/>
  <c r="CH124" i="160" s="1"/>
  <c r="CI124" i="160" s="1"/>
  <c r="P124" i="160"/>
  <c r="BZ124" i="160" s="1"/>
  <c r="O124" i="160"/>
  <c r="M124" i="160"/>
  <c r="H124" i="160"/>
  <c r="CQ123" i="160"/>
  <c r="CR123" i="160" s="1"/>
  <c r="CS123" i="160" s="1"/>
  <c r="CT123" i="160" s="1"/>
  <c r="CU123" i="160" s="1"/>
  <c r="CV123" i="160" s="1"/>
  <c r="CW123" i="160" s="1"/>
  <c r="CJ123" i="160"/>
  <c r="CK123" i="160" s="1"/>
  <c r="CL123" i="160" s="1"/>
  <c r="CM123" i="160" s="1"/>
  <c r="CN123" i="160" s="1"/>
  <c r="CO123" i="160" s="1"/>
  <c r="CP123" i="160" s="1"/>
  <c r="CC123" i="160"/>
  <c r="CD123" i="160" s="1"/>
  <c r="CE123" i="160" s="1"/>
  <c r="CF123" i="160" s="1"/>
  <c r="CG123" i="160" s="1"/>
  <c r="CH123" i="160" s="1"/>
  <c r="CI123" i="160" s="1"/>
  <c r="P123" i="160"/>
  <c r="CA123" i="160" s="1"/>
  <c r="O123" i="160"/>
  <c r="M123" i="160"/>
  <c r="H123" i="160"/>
  <c r="CQ122" i="160"/>
  <c r="CR122" i="160" s="1"/>
  <c r="CS122" i="160" s="1"/>
  <c r="CT122" i="160" s="1"/>
  <c r="CU122" i="160" s="1"/>
  <c r="CV122" i="160" s="1"/>
  <c r="CW122" i="160" s="1"/>
  <c r="CJ122" i="160"/>
  <c r="CK122" i="160" s="1"/>
  <c r="CL122" i="160" s="1"/>
  <c r="CM122" i="160" s="1"/>
  <c r="CN122" i="160" s="1"/>
  <c r="CO122" i="160" s="1"/>
  <c r="CP122" i="160" s="1"/>
  <c r="CC122" i="160"/>
  <c r="CD122" i="160" s="1"/>
  <c r="CE122" i="160" s="1"/>
  <c r="CF122" i="160" s="1"/>
  <c r="CG122" i="160" s="1"/>
  <c r="CH122" i="160" s="1"/>
  <c r="CI122" i="160" s="1"/>
  <c r="P122" i="160"/>
  <c r="BZ122" i="160" s="1"/>
  <c r="O122" i="160"/>
  <c r="M122" i="160"/>
  <c r="H122" i="160"/>
  <c r="CQ121" i="160"/>
  <c r="CR121" i="160" s="1"/>
  <c r="CS121" i="160" s="1"/>
  <c r="CT121" i="160" s="1"/>
  <c r="CU121" i="160" s="1"/>
  <c r="CV121" i="160" s="1"/>
  <c r="CW121" i="160" s="1"/>
  <c r="CJ121" i="160"/>
  <c r="CK121" i="160" s="1"/>
  <c r="CL121" i="160" s="1"/>
  <c r="CM121" i="160" s="1"/>
  <c r="CN121" i="160" s="1"/>
  <c r="CO121" i="160" s="1"/>
  <c r="CP121" i="160" s="1"/>
  <c r="CC121" i="160"/>
  <c r="CD121" i="160" s="1"/>
  <c r="CE121" i="160" s="1"/>
  <c r="CF121" i="160" s="1"/>
  <c r="CG121" i="160" s="1"/>
  <c r="CH121" i="160" s="1"/>
  <c r="CI121" i="160" s="1"/>
  <c r="P121" i="160"/>
  <c r="BW121" i="160" s="1"/>
  <c r="O121" i="160"/>
  <c r="M121" i="160"/>
  <c r="H121" i="160"/>
  <c r="CQ120" i="160"/>
  <c r="CR120" i="160" s="1"/>
  <c r="CS120" i="160" s="1"/>
  <c r="CT120" i="160" s="1"/>
  <c r="CU120" i="160" s="1"/>
  <c r="CV120" i="160" s="1"/>
  <c r="CW120" i="160" s="1"/>
  <c r="CJ120" i="160"/>
  <c r="CK120" i="160" s="1"/>
  <c r="CL120" i="160" s="1"/>
  <c r="CM120" i="160" s="1"/>
  <c r="CN120" i="160" s="1"/>
  <c r="CO120" i="160" s="1"/>
  <c r="CP120" i="160" s="1"/>
  <c r="CC120" i="160"/>
  <c r="CD120" i="160" s="1"/>
  <c r="CE120" i="160" s="1"/>
  <c r="CF120" i="160" s="1"/>
  <c r="CG120" i="160" s="1"/>
  <c r="CH120" i="160" s="1"/>
  <c r="CI120" i="160" s="1"/>
  <c r="P120" i="160"/>
  <c r="BV120" i="160" s="1"/>
  <c r="O120" i="160"/>
  <c r="M120" i="160"/>
  <c r="H120" i="160"/>
  <c r="CQ119" i="160"/>
  <c r="CR119" i="160" s="1"/>
  <c r="CS119" i="160" s="1"/>
  <c r="CT119" i="160" s="1"/>
  <c r="CU119" i="160" s="1"/>
  <c r="CV119" i="160" s="1"/>
  <c r="CW119" i="160" s="1"/>
  <c r="CJ119" i="160"/>
  <c r="CK119" i="160" s="1"/>
  <c r="CL119" i="160" s="1"/>
  <c r="CM119" i="160" s="1"/>
  <c r="CN119" i="160" s="1"/>
  <c r="CO119" i="160" s="1"/>
  <c r="CP119" i="160" s="1"/>
  <c r="CC119" i="160"/>
  <c r="CD119" i="160" s="1"/>
  <c r="CE119" i="160" s="1"/>
  <c r="CF119" i="160" s="1"/>
  <c r="CG119" i="160" s="1"/>
  <c r="CH119" i="160" s="1"/>
  <c r="CI119" i="160" s="1"/>
  <c r="P119" i="160"/>
  <c r="BZ119" i="160" s="1"/>
  <c r="O119" i="160"/>
  <c r="M119" i="160"/>
  <c r="H119" i="160"/>
  <c r="CQ118" i="160"/>
  <c r="CR118" i="160" s="1"/>
  <c r="CS118" i="160" s="1"/>
  <c r="CT118" i="160" s="1"/>
  <c r="CU118" i="160" s="1"/>
  <c r="CV118" i="160" s="1"/>
  <c r="CW118" i="160" s="1"/>
  <c r="P118" i="160"/>
  <c r="BX118" i="160" s="1"/>
  <c r="O118" i="160"/>
  <c r="M118" i="160"/>
  <c r="H118" i="160"/>
  <c r="CQ117" i="160"/>
  <c r="CR117" i="160" s="1"/>
  <c r="CS117" i="160" s="1"/>
  <c r="CT117" i="160" s="1"/>
  <c r="CU117" i="160" s="1"/>
  <c r="CV117" i="160" s="1"/>
  <c r="CW117" i="160" s="1"/>
  <c r="CJ117" i="160"/>
  <c r="CK117" i="160" s="1"/>
  <c r="CL117" i="160" s="1"/>
  <c r="CM117" i="160" s="1"/>
  <c r="CN117" i="160" s="1"/>
  <c r="CO117" i="160" s="1"/>
  <c r="CP117" i="160" s="1"/>
  <c r="CC117" i="160"/>
  <c r="CD117" i="160" s="1"/>
  <c r="CE117" i="160" s="1"/>
  <c r="CF117" i="160" s="1"/>
  <c r="CG117" i="160" s="1"/>
  <c r="CH117" i="160" s="1"/>
  <c r="CI117" i="160" s="1"/>
  <c r="P117" i="160"/>
  <c r="BW117" i="160" s="1"/>
  <c r="O117" i="160"/>
  <c r="M117" i="160"/>
  <c r="J117" i="160"/>
  <c r="BH117" i="160" s="1"/>
  <c r="BI117" i="160" s="1"/>
  <c r="BJ117" i="160" s="1"/>
  <c r="BK117" i="160" s="1"/>
  <c r="BL117" i="160" s="1"/>
  <c r="BM117" i="160" s="1"/>
  <c r="BN117" i="160" s="1"/>
  <c r="H117" i="160"/>
  <c r="CQ116" i="160"/>
  <c r="CR116" i="160" s="1"/>
  <c r="CS116" i="160" s="1"/>
  <c r="CT116" i="160" s="1"/>
  <c r="CU116" i="160" s="1"/>
  <c r="CV116" i="160" s="1"/>
  <c r="CW116" i="160" s="1"/>
  <c r="CJ116" i="160"/>
  <c r="CK116" i="160" s="1"/>
  <c r="CL116" i="160" s="1"/>
  <c r="CM116" i="160" s="1"/>
  <c r="CN116" i="160" s="1"/>
  <c r="CO116" i="160" s="1"/>
  <c r="CP116" i="160" s="1"/>
  <c r="CC116" i="160"/>
  <c r="CD116" i="160" s="1"/>
  <c r="CE116" i="160" s="1"/>
  <c r="CF116" i="160" s="1"/>
  <c r="CG116" i="160" s="1"/>
  <c r="CH116" i="160" s="1"/>
  <c r="CI116" i="160" s="1"/>
  <c r="P116" i="160"/>
  <c r="CA116" i="160" s="1"/>
  <c r="O116" i="160"/>
  <c r="M116" i="160"/>
  <c r="J116" i="160"/>
  <c r="BH116" i="160" s="1"/>
  <c r="BI116" i="160" s="1"/>
  <c r="BJ116" i="160" s="1"/>
  <c r="BK116" i="160" s="1"/>
  <c r="BL116" i="160" s="1"/>
  <c r="BM116" i="160" s="1"/>
  <c r="BN116" i="160" s="1"/>
  <c r="H116" i="160"/>
  <c r="CQ115" i="160"/>
  <c r="CR115" i="160" s="1"/>
  <c r="CS115" i="160" s="1"/>
  <c r="CT115" i="160" s="1"/>
  <c r="CU115" i="160" s="1"/>
  <c r="CV115" i="160" s="1"/>
  <c r="CW115" i="160" s="1"/>
  <c r="CJ115" i="160"/>
  <c r="CK115" i="160" s="1"/>
  <c r="CL115" i="160" s="1"/>
  <c r="CM115" i="160" s="1"/>
  <c r="CN115" i="160" s="1"/>
  <c r="CO115" i="160" s="1"/>
  <c r="CP115" i="160" s="1"/>
  <c r="CC115" i="160"/>
  <c r="CD115" i="160" s="1"/>
  <c r="CE115" i="160" s="1"/>
  <c r="CF115" i="160" s="1"/>
  <c r="CG115" i="160" s="1"/>
  <c r="CH115" i="160" s="1"/>
  <c r="CI115" i="160" s="1"/>
  <c r="P115" i="160"/>
  <c r="O115" i="160"/>
  <c r="M115" i="160"/>
  <c r="J115" i="160"/>
  <c r="BH115" i="160" s="1"/>
  <c r="BI115" i="160" s="1"/>
  <c r="BJ115" i="160" s="1"/>
  <c r="BK115" i="160" s="1"/>
  <c r="BL115" i="160" s="1"/>
  <c r="BM115" i="160" s="1"/>
  <c r="BN115" i="160" s="1"/>
  <c r="H115" i="160"/>
  <c r="CQ114" i="160"/>
  <c r="CR114" i="160" s="1"/>
  <c r="CS114" i="160" s="1"/>
  <c r="CT114" i="160" s="1"/>
  <c r="CU114" i="160" s="1"/>
  <c r="CV114" i="160" s="1"/>
  <c r="CW114" i="160" s="1"/>
  <c r="CJ114" i="160"/>
  <c r="CK114" i="160" s="1"/>
  <c r="CL114" i="160" s="1"/>
  <c r="CM114" i="160" s="1"/>
  <c r="CN114" i="160" s="1"/>
  <c r="CO114" i="160" s="1"/>
  <c r="CP114" i="160" s="1"/>
  <c r="CC114" i="160"/>
  <c r="CD114" i="160" s="1"/>
  <c r="CE114" i="160" s="1"/>
  <c r="CF114" i="160" s="1"/>
  <c r="CG114" i="160" s="1"/>
  <c r="CH114" i="160" s="1"/>
  <c r="CI114" i="160" s="1"/>
  <c r="P114" i="160"/>
  <c r="BW114" i="160" s="1"/>
  <c r="O114" i="160"/>
  <c r="M114" i="160"/>
  <c r="J114" i="160"/>
  <c r="BH114" i="160" s="1"/>
  <c r="BI114" i="160" s="1"/>
  <c r="BJ114" i="160" s="1"/>
  <c r="BK114" i="160" s="1"/>
  <c r="BL114" i="160" s="1"/>
  <c r="BM114" i="160" s="1"/>
  <c r="BN114" i="160" s="1"/>
  <c r="H114" i="160"/>
  <c r="CQ113" i="160"/>
  <c r="CR113" i="160" s="1"/>
  <c r="CS113" i="160" s="1"/>
  <c r="CT113" i="160" s="1"/>
  <c r="CU113" i="160" s="1"/>
  <c r="CV113" i="160" s="1"/>
  <c r="CW113" i="160" s="1"/>
  <c r="CJ113" i="160"/>
  <c r="CK113" i="160" s="1"/>
  <c r="CL113" i="160" s="1"/>
  <c r="CM113" i="160" s="1"/>
  <c r="CN113" i="160" s="1"/>
  <c r="CO113" i="160" s="1"/>
  <c r="CP113" i="160" s="1"/>
  <c r="CC113" i="160"/>
  <c r="CD113" i="160" s="1"/>
  <c r="CE113" i="160" s="1"/>
  <c r="CF113" i="160" s="1"/>
  <c r="CG113" i="160" s="1"/>
  <c r="CH113" i="160" s="1"/>
  <c r="CI113" i="160" s="1"/>
  <c r="P113" i="160"/>
  <c r="BZ113" i="160" s="1"/>
  <c r="O113" i="160"/>
  <c r="M113" i="160"/>
  <c r="H113" i="160"/>
  <c r="CQ112" i="160"/>
  <c r="CR112" i="160" s="1"/>
  <c r="CS112" i="160" s="1"/>
  <c r="CT112" i="160" s="1"/>
  <c r="CU112" i="160" s="1"/>
  <c r="CV112" i="160" s="1"/>
  <c r="CW112" i="160" s="1"/>
  <c r="CJ112" i="160"/>
  <c r="CK112" i="160" s="1"/>
  <c r="CL112" i="160" s="1"/>
  <c r="CM112" i="160" s="1"/>
  <c r="CN112" i="160" s="1"/>
  <c r="CO112" i="160" s="1"/>
  <c r="CP112" i="160" s="1"/>
  <c r="CC112" i="160"/>
  <c r="CD112" i="160" s="1"/>
  <c r="CE112" i="160" s="1"/>
  <c r="CF112" i="160" s="1"/>
  <c r="CG112" i="160" s="1"/>
  <c r="CH112" i="160" s="1"/>
  <c r="CI112" i="160" s="1"/>
  <c r="P112" i="160"/>
  <c r="CB112" i="160" s="1"/>
  <c r="O112" i="160"/>
  <c r="M112" i="160"/>
  <c r="H112" i="160"/>
  <c r="CQ111" i="160"/>
  <c r="CR111" i="160" s="1"/>
  <c r="CS111" i="160" s="1"/>
  <c r="CT111" i="160" s="1"/>
  <c r="CU111" i="160" s="1"/>
  <c r="CV111" i="160" s="1"/>
  <c r="CW111" i="160" s="1"/>
  <c r="CJ111" i="160"/>
  <c r="CK111" i="160" s="1"/>
  <c r="CL111" i="160" s="1"/>
  <c r="CM111" i="160" s="1"/>
  <c r="CN111" i="160" s="1"/>
  <c r="CO111" i="160" s="1"/>
  <c r="CP111" i="160" s="1"/>
  <c r="CC111" i="160"/>
  <c r="CD111" i="160" s="1"/>
  <c r="CE111" i="160" s="1"/>
  <c r="CF111" i="160" s="1"/>
  <c r="CG111" i="160" s="1"/>
  <c r="CH111" i="160" s="1"/>
  <c r="CI111" i="160" s="1"/>
  <c r="P111" i="160"/>
  <c r="O111" i="160"/>
  <c r="M111" i="160"/>
  <c r="H111" i="160"/>
  <c r="CQ110" i="160"/>
  <c r="CR110" i="160" s="1"/>
  <c r="CS110" i="160" s="1"/>
  <c r="CT110" i="160" s="1"/>
  <c r="CU110" i="160" s="1"/>
  <c r="CV110" i="160" s="1"/>
  <c r="CW110" i="160" s="1"/>
  <c r="CJ110" i="160"/>
  <c r="CK110" i="160" s="1"/>
  <c r="CL110" i="160" s="1"/>
  <c r="CM110" i="160" s="1"/>
  <c r="CN110" i="160" s="1"/>
  <c r="CO110" i="160" s="1"/>
  <c r="CP110" i="160" s="1"/>
  <c r="CC110" i="160"/>
  <c r="CD110" i="160" s="1"/>
  <c r="CE110" i="160" s="1"/>
  <c r="CF110" i="160" s="1"/>
  <c r="CG110" i="160" s="1"/>
  <c r="CH110" i="160" s="1"/>
  <c r="CI110" i="160" s="1"/>
  <c r="P110" i="160"/>
  <c r="CA110" i="160" s="1"/>
  <c r="O110" i="160"/>
  <c r="M110" i="160"/>
  <c r="H110" i="160"/>
  <c r="CJ109" i="160"/>
  <c r="CK109" i="160" s="1"/>
  <c r="CL109" i="160" s="1"/>
  <c r="CM109" i="160" s="1"/>
  <c r="CN109" i="160" s="1"/>
  <c r="CO109" i="160" s="1"/>
  <c r="CP109" i="160" s="1"/>
  <c r="S109" i="160"/>
  <c r="CQ109" i="160" s="1"/>
  <c r="CR109" i="160" s="1"/>
  <c r="CS109" i="160" s="1"/>
  <c r="CT109" i="160" s="1"/>
  <c r="CU109" i="160" s="1"/>
  <c r="CV109" i="160" s="1"/>
  <c r="CW109" i="160" s="1"/>
  <c r="Q109" i="160"/>
  <c r="CC109" i="160" s="1"/>
  <c r="CD109" i="160" s="1"/>
  <c r="CE109" i="160" s="1"/>
  <c r="CF109" i="160" s="1"/>
  <c r="CG109" i="160" s="1"/>
  <c r="CH109" i="160" s="1"/>
  <c r="CI109" i="160" s="1"/>
  <c r="O109" i="160"/>
  <c r="M109" i="160"/>
  <c r="L109" i="160"/>
  <c r="H109" i="160"/>
  <c r="G109" i="160"/>
  <c r="AY18" i="160"/>
  <c r="S18" i="160"/>
  <c r="O108" i="160"/>
  <c r="M108" i="160"/>
  <c r="H108" i="160"/>
  <c r="G108" i="160"/>
  <c r="AY17" i="160"/>
  <c r="S17" i="160"/>
  <c r="O107" i="160"/>
  <c r="M107" i="160"/>
  <c r="L107" i="160"/>
  <c r="H107" i="160"/>
  <c r="G107" i="160"/>
  <c r="AY16" i="160"/>
  <c r="P106" i="160"/>
  <c r="CB106" i="160" s="1"/>
  <c r="O106" i="160"/>
  <c r="M106" i="160"/>
  <c r="L106" i="160"/>
  <c r="H106" i="160"/>
  <c r="G106" i="160"/>
  <c r="AY15" i="160"/>
  <c r="P105" i="160"/>
  <c r="CB105" i="160" s="1"/>
  <c r="O105" i="160"/>
  <c r="M105" i="160"/>
  <c r="L105" i="160"/>
  <c r="H105" i="160"/>
  <c r="G105" i="160"/>
  <c r="AD104" i="160"/>
  <c r="AC104" i="160"/>
  <c r="CQ104" i="160"/>
  <c r="CR104" i="160" s="1"/>
  <c r="CJ104" i="160"/>
  <c r="CK104" i="160" s="1"/>
  <c r="CC104" i="160"/>
  <c r="CD104" i="160" s="1"/>
  <c r="O104" i="160"/>
  <c r="M104" i="160"/>
  <c r="H104" i="160"/>
  <c r="G104" i="160"/>
  <c r="AG103" i="160"/>
  <c r="AH103" i="160" s="1"/>
  <c r="AF103" i="160"/>
  <c r="AE103" i="160"/>
  <c r="V103" i="160"/>
  <c r="CQ103" i="160"/>
  <c r="CR103" i="160" s="1"/>
  <c r="CS103" i="160" s="1"/>
  <c r="CJ103" i="160"/>
  <c r="CK103" i="160" s="1"/>
  <c r="CL103" i="160" s="1"/>
  <c r="CC103" i="160"/>
  <c r="CD103" i="160" s="1"/>
  <c r="CE103" i="160" s="1"/>
  <c r="O103" i="160"/>
  <c r="M103" i="160"/>
  <c r="H103" i="160"/>
  <c r="G103" i="160"/>
  <c r="AD102" i="160"/>
  <c r="AC102" i="160"/>
  <c r="CQ102" i="160"/>
  <c r="CR102" i="160" s="1"/>
  <c r="CJ102" i="160"/>
  <c r="O102" i="160"/>
  <c r="M102" i="160"/>
  <c r="H102" i="160"/>
  <c r="G102" i="160"/>
  <c r="AG101" i="160"/>
  <c r="AH101" i="160" s="1"/>
  <c r="AF101" i="160"/>
  <c r="AE101" i="160"/>
  <c r="V101" i="160"/>
  <c r="CQ101" i="160"/>
  <c r="CR101" i="160" s="1"/>
  <c r="CS101" i="160" s="1"/>
  <c r="CJ101" i="160"/>
  <c r="CK101" i="160" s="1"/>
  <c r="CL101" i="160" s="1"/>
  <c r="CM101" i="160" s="1"/>
  <c r="CN101" i="160" s="1"/>
  <c r="CC102" i="160"/>
  <c r="CD102" i="160" s="1"/>
  <c r="O101" i="160"/>
  <c r="M101" i="160"/>
  <c r="H101" i="160"/>
  <c r="G101" i="160"/>
  <c r="AD100" i="160"/>
  <c r="AC100" i="160"/>
  <c r="CQ100" i="160"/>
  <c r="CR100" i="160" s="1"/>
  <c r="CS100" i="160" s="1"/>
  <c r="CT100" i="160" s="1"/>
  <c r="CU100" i="160" s="1"/>
  <c r="CV100" i="160" s="1"/>
  <c r="CW100" i="160" s="1"/>
  <c r="CJ100" i="160"/>
  <c r="CK100" i="160" s="1"/>
  <c r="CL100" i="160" s="1"/>
  <c r="CM100" i="160" s="1"/>
  <c r="CN100" i="160" s="1"/>
  <c r="CO100" i="160" s="1"/>
  <c r="CP100" i="160" s="1"/>
  <c r="O100" i="160"/>
  <c r="M100" i="160"/>
  <c r="H100" i="160"/>
  <c r="G100" i="160"/>
  <c r="AG99" i="160"/>
  <c r="AF99" i="160"/>
  <c r="AE99" i="160"/>
  <c r="V99" i="160"/>
  <c r="CQ99" i="160"/>
  <c r="CR99" i="160" s="1"/>
  <c r="CS99" i="160" s="1"/>
  <c r="CT99" i="160" s="1"/>
  <c r="CU99" i="160" s="1"/>
  <c r="CJ99" i="160"/>
  <c r="CK99" i="160" s="1"/>
  <c r="CL99" i="160" s="1"/>
  <c r="CM99" i="160" s="1"/>
  <c r="CN99" i="160" s="1"/>
  <c r="CO99" i="160" s="1"/>
  <c r="CP99" i="160" s="1"/>
  <c r="O99" i="160"/>
  <c r="M99" i="160"/>
  <c r="H99" i="160"/>
  <c r="G99" i="160"/>
  <c r="CQ98" i="160"/>
  <c r="CR98" i="160" s="1"/>
  <c r="CS98" i="160" s="1"/>
  <c r="CT98" i="160" s="1"/>
  <c r="CU98" i="160" s="1"/>
  <c r="CV98" i="160" s="1"/>
  <c r="CW98" i="160" s="1"/>
  <c r="CJ98" i="160"/>
  <c r="CK98" i="160" s="1"/>
  <c r="CL98" i="160" s="1"/>
  <c r="CM98" i="160" s="1"/>
  <c r="CN98" i="160" s="1"/>
  <c r="CO98" i="160" s="1"/>
  <c r="CP98" i="160" s="1"/>
  <c r="CC98" i="160"/>
  <c r="CD98" i="160" s="1"/>
  <c r="CE98" i="160" s="1"/>
  <c r="CF98" i="160" s="1"/>
  <c r="CG98" i="160" s="1"/>
  <c r="CH98" i="160" s="1"/>
  <c r="CI98" i="160" s="1"/>
  <c r="V98" i="160"/>
  <c r="T98" i="160"/>
  <c r="P98" i="160"/>
  <c r="CB98" i="160" s="1"/>
  <c r="O98" i="160"/>
  <c r="N98" i="160"/>
  <c r="M98" i="160"/>
  <c r="L98" i="160"/>
  <c r="K98" i="160"/>
  <c r="J98" i="160"/>
  <c r="BH98" i="160" s="1"/>
  <c r="BI98" i="160" s="1"/>
  <c r="BJ98" i="160" s="1"/>
  <c r="BK98" i="160" s="1"/>
  <c r="BL98" i="160" s="1"/>
  <c r="BM98" i="160" s="1"/>
  <c r="BN98" i="160" s="1"/>
  <c r="H98" i="160"/>
  <c r="G98" i="160"/>
  <c r="CQ97" i="160"/>
  <c r="CR97" i="160" s="1"/>
  <c r="CS97" i="160" s="1"/>
  <c r="CT97" i="160" s="1"/>
  <c r="CU97" i="160" s="1"/>
  <c r="CV97" i="160" s="1"/>
  <c r="CW97" i="160" s="1"/>
  <c r="CJ97" i="160"/>
  <c r="CK97" i="160" s="1"/>
  <c r="CL97" i="160" s="1"/>
  <c r="CM97" i="160" s="1"/>
  <c r="CN97" i="160" s="1"/>
  <c r="CO97" i="160" s="1"/>
  <c r="CP97" i="160" s="1"/>
  <c r="CC97" i="160"/>
  <c r="CD97" i="160" s="1"/>
  <c r="CE97" i="160" s="1"/>
  <c r="CF97" i="160" s="1"/>
  <c r="CG97" i="160" s="1"/>
  <c r="CH97" i="160" s="1"/>
  <c r="CI97" i="160" s="1"/>
  <c r="V97" i="160"/>
  <c r="T97" i="160"/>
  <c r="P97" i="160"/>
  <c r="CB97" i="160" s="1"/>
  <c r="O97" i="160"/>
  <c r="N97" i="160"/>
  <c r="M97" i="160"/>
  <c r="L97" i="160"/>
  <c r="K97" i="160"/>
  <c r="J97" i="160"/>
  <c r="BH97" i="160" s="1"/>
  <c r="BI97" i="160" s="1"/>
  <c r="BJ97" i="160" s="1"/>
  <c r="BK97" i="160" s="1"/>
  <c r="BL97" i="160" s="1"/>
  <c r="BM97" i="160" s="1"/>
  <c r="BN97" i="160" s="1"/>
  <c r="H97" i="160"/>
  <c r="G97" i="160"/>
  <c r="CQ96" i="160"/>
  <c r="CR96" i="160" s="1"/>
  <c r="CS96" i="160" s="1"/>
  <c r="CT96" i="160" s="1"/>
  <c r="CU96" i="160" s="1"/>
  <c r="CV96" i="160" s="1"/>
  <c r="CW96" i="160" s="1"/>
  <c r="CJ96" i="160"/>
  <c r="CK96" i="160" s="1"/>
  <c r="CL96" i="160" s="1"/>
  <c r="CM96" i="160" s="1"/>
  <c r="CN96" i="160" s="1"/>
  <c r="CO96" i="160" s="1"/>
  <c r="CP96" i="160" s="1"/>
  <c r="CC96" i="160"/>
  <c r="CD96" i="160" s="1"/>
  <c r="CE96" i="160" s="1"/>
  <c r="CF96" i="160" s="1"/>
  <c r="CG96" i="160" s="1"/>
  <c r="CH96" i="160" s="1"/>
  <c r="CI96" i="160" s="1"/>
  <c r="V96" i="160"/>
  <c r="T96" i="160"/>
  <c r="P96" i="160"/>
  <c r="BY96" i="160" s="1"/>
  <c r="O96" i="160"/>
  <c r="N96" i="160"/>
  <c r="M96" i="160"/>
  <c r="L96" i="160"/>
  <c r="K96" i="160"/>
  <c r="J96" i="160"/>
  <c r="BH96" i="160" s="1"/>
  <c r="BI96" i="160" s="1"/>
  <c r="BJ96" i="160" s="1"/>
  <c r="BK96" i="160" s="1"/>
  <c r="BL96" i="160" s="1"/>
  <c r="BM96" i="160" s="1"/>
  <c r="BN96" i="160" s="1"/>
  <c r="H96" i="160"/>
  <c r="G96" i="160"/>
  <c r="CQ94" i="160"/>
  <c r="CR94" i="160" s="1"/>
  <c r="CS94" i="160" s="1"/>
  <c r="CT94" i="160" s="1"/>
  <c r="CU94" i="160" s="1"/>
  <c r="CV94" i="160" s="1"/>
  <c r="CW94" i="160" s="1"/>
  <c r="CJ94" i="160"/>
  <c r="CK94" i="160" s="1"/>
  <c r="CL94" i="160" s="1"/>
  <c r="CM94" i="160" s="1"/>
  <c r="CN94" i="160" s="1"/>
  <c r="CO94" i="160" s="1"/>
  <c r="CP94" i="160" s="1"/>
  <c r="CC94" i="160"/>
  <c r="CD94" i="160" s="1"/>
  <c r="CE94" i="160" s="1"/>
  <c r="CF94" i="160" s="1"/>
  <c r="CG94" i="160" s="1"/>
  <c r="CH94" i="160" s="1"/>
  <c r="CI94" i="160" s="1"/>
  <c r="P94" i="160"/>
  <c r="O94" i="160"/>
  <c r="M94" i="160"/>
  <c r="H94" i="160"/>
  <c r="CQ93" i="160"/>
  <c r="CR93" i="160" s="1"/>
  <c r="CS93" i="160" s="1"/>
  <c r="CT93" i="160" s="1"/>
  <c r="CU93" i="160" s="1"/>
  <c r="CV93" i="160" s="1"/>
  <c r="CW93" i="160" s="1"/>
  <c r="CJ93" i="160"/>
  <c r="CK93" i="160" s="1"/>
  <c r="CL93" i="160" s="1"/>
  <c r="CM93" i="160" s="1"/>
  <c r="CN93" i="160" s="1"/>
  <c r="CO93" i="160" s="1"/>
  <c r="CP93" i="160" s="1"/>
  <c r="CC93" i="160"/>
  <c r="CD93" i="160" s="1"/>
  <c r="CE93" i="160" s="1"/>
  <c r="CF93" i="160" s="1"/>
  <c r="CG93" i="160" s="1"/>
  <c r="CH93" i="160" s="1"/>
  <c r="CI93" i="160" s="1"/>
  <c r="P93" i="160"/>
  <c r="BY93" i="160" s="1"/>
  <c r="O93" i="160"/>
  <c r="M93" i="160"/>
  <c r="H93" i="160"/>
  <c r="S92" i="160"/>
  <c r="CQ92" i="160" s="1"/>
  <c r="CR92" i="160" s="1"/>
  <c r="CS92" i="160" s="1"/>
  <c r="CT92" i="160" s="1"/>
  <c r="CU92" i="160" s="1"/>
  <c r="CV92" i="160" s="1"/>
  <c r="CW92" i="160" s="1"/>
  <c r="CJ92" i="160"/>
  <c r="CK92" i="160" s="1"/>
  <c r="CL92" i="160" s="1"/>
  <c r="CM92" i="160" s="1"/>
  <c r="CN92" i="160" s="1"/>
  <c r="CO92" i="160" s="1"/>
  <c r="CP92" i="160" s="1"/>
  <c r="Q92" i="160"/>
  <c r="CC92" i="160" s="1"/>
  <c r="CD92" i="160" s="1"/>
  <c r="CE92" i="160" s="1"/>
  <c r="CF92" i="160" s="1"/>
  <c r="CG92" i="160" s="1"/>
  <c r="CH92" i="160" s="1"/>
  <c r="CI92" i="160" s="1"/>
  <c r="P92" i="160"/>
  <c r="BX92" i="160" s="1"/>
  <c r="O92" i="160"/>
  <c r="M92" i="160"/>
  <c r="H92" i="160"/>
  <c r="S91" i="160"/>
  <c r="CQ91" i="160" s="1"/>
  <c r="CR91" i="160" s="1"/>
  <c r="CS91" i="160" s="1"/>
  <c r="CT91" i="160" s="1"/>
  <c r="CU91" i="160" s="1"/>
  <c r="CV91" i="160" s="1"/>
  <c r="CW91" i="160" s="1"/>
  <c r="CJ91" i="160"/>
  <c r="CK91" i="160" s="1"/>
  <c r="CL91" i="160" s="1"/>
  <c r="CM91" i="160" s="1"/>
  <c r="CN91" i="160" s="1"/>
  <c r="CO91" i="160" s="1"/>
  <c r="CP91" i="160" s="1"/>
  <c r="Q91" i="160"/>
  <c r="CC91" i="160" s="1"/>
  <c r="CD91" i="160" s="1"/>
  <c r="CE91" i="160" s="1"/>
  <c r="CF91" i="160" s="1"/>
  <c r="CG91" i="160" s="1"/>
  <c r="CH91" i="160" s="1"/>
  <c r="CI91" i="160" s="1"/>
  <c r="P91" i="160"/>
  <c r="O91" i="160"/>
  <c r="M91" i="160"/>
  <c r="H91" i="160"/>
  <c r="S90" i="160"/>
  <c r="CQ90" i="160" s="1"/>
  <c r="CR90" i="160" s="1"/>
  <c r="CS90" i="160" s="1"/>
  <c r="CT90" i="160" s="1"/>
  <c r="CU90" i="160" s="1"/>
  <c r="CV90" i="160" s="1"/>
  <c r="CW90" i="160" s="1"/>
  <c r="CJ90" i="160"/>
  <c r="CK90" i="160" s="1"/>
  <c r="CL90" i="160" s="1"/>
  <c r="CM90" i="160" s="1"/>
  <c r="CN90" i="160" s="1"/>
  <c r="CO90" i="160" s="1"/>
  <c r="CP90" i="160" s="1"/>
  <c r="Q90" i="160"/>
  <c r="CC90" i="160" s="1"/>
  <c r="CD90" i="160" s="1"/>
  <c r="CE90" i="160" s="1"/>
  <c r="CF90" i="160" s="1"/>
  <c r="CG90" i="160" s="1"/>
  <c r="CH90" i="160" s="1"/>
  <c r="CI90" i="160" s="1"/>
  <c r="P90" i="160"/>
  <c r="CA90" i="160" s="1"/>
  <c r="O90" i="160"/>
  <c r="M90" i="160"/>
  <c r="H90" i="160"/>
  <c r="S89" i="160"/>
  <c r="CQ89" i="160" s="1"/>
  <c r="CR89" i="160" s="1"/>
  <c r="CS89" i="160" s="1"/>
  <c r="CT89" i="160" s="1"/>
  <c r="CU89" i="160" s="1"/>
  <c r="CV89" i="160" s="1"/>
  <c r="CW89" i="160" s="1"/>
  <c r="CJ89" i="160"/>
  <c r="CK89" i="160" s="1"/>
  <c r="CL89" i="160" s="1"/>
  <c r="CM89" i="160" s="1"/>
  <c r="CN89" i="160" s="1"/>
  <c r="CO89" i="160" s="1"/>
  <c r="CP89" i="160" s="1"/>
  <c r="Q89" i="160"/>
  <c r="CC89" i="160" s="1"/>
  <c r="CD89" i="160" s="1"/>
  <c r="CE89" i="160" s="1"/>
  <c r="CF89" i="160" s="1"/>
  <c r="CG89" i="160" s="1"/>
  <c r="CH89" i="160" s="1"/>
  <c r="CI89" i="160" s="1"/>
  <c r="P89" i="160"/>
  <c r="O89" i="160"/>
  <c r="M89" i="160"/>
  <c r="H89" i="160"/>
  <c r="CQ88" i="160"/>
  <c r="CR88" i="160" s="1"/>
  <c r="CS88" i="160" s="1"/>
  <c r="CT88" i="160" s="1"/>
  <c r="CU88" i="160" s="1"/>
  <c r="CV88" i="160" s="1"/>
  <c r="CW88" i="160" s="1"/>
  <c r="CJ88" i="160"/>
  <c r="CK88" i="160" s="1"/>
  <c r="CL88" i="160" s="1"/>
  <c r="CM88" i="160" s="1"/>
  <c r="CN88" i="160" s="1"/>
  <c r="CO88" i="160" s="1"/>
  <c r="CP88" i="160" s="1"/>
  <c r="CC88" i="160"/>
  <c r="CD88" i="160" s="1"/>
  <c r="CE88" i="160" s="1"/>
  <c r="CF88" i="160" s="1"/>
  <c r="CG88" i="160" s="1"/>
  <c r="CH88" i="160" s="1"/>
  <c r="CI88" i="160" s="1"/>
  <c r="P88" i="160"/>
  <c r="BV88" i="160" s="1"/>
  <c r="O88" i="160"/>
  <c r="M88" i="160"/>
  <c r="H88" i="160"/>
  <c r="CQ87" i="160"/>
  <c r="CR87" i="160" s="1"/>
  <c r="CS87" i="160" s="1"/>
  <c r="CT87" i="160" s="1"/>
  <c r="CU87" i="160" s="1"/>
  <c r="CV87" i="160" s="1"/>
  <c r="CW87" i="160" s="1"/>
  <c r="CJ87" i="160"/>
  <c r="CK87" i="160" s="1"/>
  <c r="CL87" i="160" s="1"/>
  <c r="CM87" i="160" s="1"/>
  <c r="CN87" i="160" s="1"/>
  <c r="CO87" i="160" s="1"/>
  <c r="CP87" i="160" s="1"/>
  <c r="CC87" i="160"/>
  <c r="CD87" i="160" s="1"/>
  <c r="CE87" i="160" s="1"/>
  <c r="CF87" i="160" s="1"/>
  <c r="CG87" i="160" s="1"/>
  <c r="CH87" i="160" s="1"/>
  <c r="CI87" i="160" s="1"/>
  <c r="P87" i="160"/>
  <c r="O87" i="160"/>
  <c r="M87" i="160"/>
  <c r="H87" i="160"/>
  <c r="CQ86" i="160"/>
  <c r="CR86" i="160" s="1"/>
  <c r="CS86" i="160" s="1"/>
  <c r="CT86" i="160" s="1"/>
  <c r="CU86" i="160" s="1"/>
  <c r="CV86" i="160" s="1"/>
  <c r="CW86" i="160" s="1"/>
  <c r="CJ86" i="160"/>
  <c r="CK86" i="160" s="1"/>
  <c r="CL86" i="160" s="1"/>
  <c r="CM86" i="160" s="1"/>
  <c r="CN86" i="160" s="1"/>
  <c r="CO86" i="160" s="1"/>
  <c r="CP86" i="160" s="1"/>
  <c r="CC86" i="160"/>
  <c r="CD86" i="160" s="1"/>
  <c r="CE86" i="160" s="1"/>
  <c r="CF86" i="160" s="1"/>
  <c r="CG86" i="160" s="1"/>
  <c r="CH86" i="160" s="1"/>
  <c r="CI86" i="160" s="1"/>
  <c r="P86" i="160"/>
  <c r="BY86" i="160" s="1"/>
  <c r="O86" i="160"/>
  <c r="M86" i="160"/>
  <c r="H86" i="160"/>
  <c r="CQ85" i="160"/>
  <c r="CR85" i="160" s="1"/>
  <c r="CS85" i="160" s="1"/>
  <c r="CT85" i="160" s="1"/>
  <c r="CU85" i="160" s="1"/>
  <c r="CV85" i="160" s="1"/>
  <c r="CW85" i="160" s="1"/>
  <c r="CJ85" i="160"/>
  <c r="CK85" i="160" s="1"/>
  <c r="CL85" i="160" s="1"/>
  <c r="CM85" i="160" s="1"/>
  <c r="CN85" i="160" s="1"/>
  <c r="CO85" i="160" s="1"/>
  <c r="CP85" i="160" s="1"/>
  <c r="CC85" i="160"/>
  <c r="CD85" i="160" s="1"/>
  <c r="CE85" i="160" s="1"/>
  <c r="CF85" i="160" s="1"/>
  <c r="CG85" i="160" s="1"/>
  <c r="CH85" i="160" s="1"/>
  <c r="CI85" i="160" s="1"/>
  <c r="P85" i="160"/>
  <c r="CA85" i="160" s="1"/>
  <c r="O85" i="160"/>
  <c r="M85" i="160"/>
  <c r="H85" i="160"/>
  <c r="CQ84" i="160"/>
  <c r="CR84" i="160" s="1"/>
  <c r="CS84" i="160" s="1"/>
  <c r="CT84" i="160" s="1"/>
  <c r="CU84" i="160" s="1"/>
  <c r="CV84" i="160" s="1"/>
  <c r="CW84" i="160" s="1"/>
  <c r="CJ84" i="160"/>
  <c r="CK84" i="160" s="1"/>
  <c r="CL84" i="160" s="1"/>
  <c r="CM84" i="160" s="1"/>
  <c r="CN84" i="160" s="1"/>
  <c r="CO84" i="160" s="1"/>
  <c r="CP84" i="160" s="1"/>
  <c r="CC84" i="160"/>
  <c r="CD84" i="160" s="1"/>
  <c r="CE84" i="160" s="1"/>
  <c r="CF84" i="160" s="1"/>
  <c r="CG84" i="160" s="1"/>
  <c r="CH84" i="160" s="1"/>
  <c r="CI84" i="160" s="1"/>
  <c r="P84" i="160"/>
  <c r="BZ84" i="160" s="1"/>
  <c r="O84" i="160"/>
  <c r="M84" i="160"/>
  <c r="H84" i="160"/>
  <c r="CQ83" i="160"/>
  <c r="CR83" i="160" s="1"/>
  <c r="CS83" i="160" s="1"/>
  <c r="CT83" i="160" s="1"/>
  <c r="CU83" i="160" s="1"/>
  <c r="CV83" i="160" s="1"/>
  <c r="CW83" i="160" s="1"/>
  <c r="CJ83" i="160"/>
  <c r="CK83" i="160" s="1"/>
  <c r="CL83" i="160" s="1"/>
  <c r="CM83" i="160" s="1"/>
  <c r="CN83" i="160" s="1"/>
  <c r="CO83" i="160" s="1"/>
  <c r="CP83" i="160" s="1"/>
  <c r="CC83" i="160"/>
  <c r="CD83" i="160" s="1"/>
  <c r="CE83" i="160" s="1"/>
  <c r="CF83" i="160" s="1"/>
  <c r="CG83" i="160" s="1"/>
  <c r="CH83" i="160" s="1"/>
  <c r="CI83" i="160" s="1"/>
  <c r="P83" i="160"/>
  <c r="O83" i="160"/>
  <c r="M83" i="160"/>
  <c r="H83" i="160"/>
  <c r="CQ82" i="160"/>
  <c r="CR82" i="160" s="1"/>
  <c r="CS82" i="160" s="1"/>
  <c r="CT82" i="160" s="1"/>
  <c r="CU82" i="160" s="1"/>
  <c r="CV82" i="160" s="1"/>
  <c r="CW82" i="160" s="1"/>
  <c r="CJ82" i="160"/>
  <c r="CK82" i="160" s="1"/>
  <c r="CL82" i="160" s="1"/>
  <c r="CM82" i="160" s="1"/>
  <c r="CN82" i="160" s="1"/>
  <c r="CO82" i="160" s="1"/>
  <c r="CP82" i="160" s="1"/>
  <c r="CC82" i="160"/>
  <c r="CD82" i="160" s="1"/>
  <c r="CE82" i="160" s="1"/>
  <c r="CF82" i="160" s="1"/>
  <c r="CG82" i="160" s="1"/>
  <c r="CH82" i="160" s="1"/>
  <c r="CI82" i="160" s="1"/>
  <c r="P82" i="160"/>
  <c r="O82" i="160"/>
  <c r="M82" i="160"/>
  <c r="H82" i="160"/>
  <c r="CQ81" i="160"/>
  <c r="CR81" i="160" s="1"/>
  <c r="CS81" i="160" s="1"/>
  <c r="CT81" i="160" s="1"/>
  <c r="CU81" i="160" s="1"/>
  <c r="CV81" i="160" s="1"/>
  <c r="CW81" i="160" s="1"/>
  <c r="CJ81" i="160"/>
  <c r="CK81" i="160" s="1"/>
  <c r="CL81" i="160" s="1"/>
  <c r="CM81" i="160" s="1"/>
  <c r="CN81" i="160" s="1"/>
  <c r="CO81" i="160" s="1"/>
  <c r="CP81" i="160" s="1"/>
  <c r="CC81" i="160"/>
  <c r="CD81" i="160" s="1"/>
  <c r="CE81" i="160" s="1"/>
  <c r="CF81" i="160" s="1"/>
  <c r="CG81" i="160" s="1"/>
  <c r="CH81" i="160" s="1"/>
  <c r="CI81" i="160" s="1"/>
  <c r="P81" i="160"/>
  <c r="O81" i="160"/>
  <c r="M81" i="160"/>
  <c r="H81" i="160"/>
  <c r="CQ80" i="160"/>
  <c r="CR80" i="160" s="1"/>
  <c r="CS80" i="160" s="1"/>
  <c r="CT80" i="160" s="1"/>
  <c r="CU80" i="160" s="1"/>
  <c r="CV80" i="160" s="1"/>
  <c r="CW80" i="160" s="1"/>
  <c r="CJ80" i="160"/>
  <c r="CK80" i="160" s="1"/>
  <c r="CL80" i="160" s="1"/>
  <c r="CM80" i="160" s="1"/>
  <c r="CN80" i="160" s="1"/>
  <c r="CO80" i="160" s="1"/>
  <c r="CP80" i="160" s="1"/>
  <c r="CC80" i="160"/>
  <c r="CD80" i="160" s="1"/>
  <c r="CE80" i="160" s="1"/>
  <c r="CF80" i="160" s="1"/>
  <c r="CG80" i="160" s="1"/>
  <c r="CH80" i="160" s="1"/>
  <c r="CI80" i="160" s="1"/>
  <c r="P80" i="160"/>
  <c r="BY80" i="160" s="1"/>
  <c r="O80" i="160"/>
  <c r="M80" i="160"/>
  <c r="H80" i="160"/>
  <c r="CQ79" i="160"/>
  <c r="CR79" i="160" s="1"/>
  <c r="CS79" i="160" s="1"/>
  <c r="CT79" i="160" s="1"/>
  <c r="CU79" i="160" s="1"/>
  <c r="CV79" i="160" s="1"/>
  <c r="CW79" i="160" s="1"/>
  <c r="CJ79" i="160"/>
  <c r="CK79" i="160" s="1"/>
  <c r="CL79" i="160" s="1"/>
  <c r="CM79" i="160" s="1"/>
  <c r="CN79" i="160" s="1"/>
  <c r="CO79" i="160" s="1"/>
  <c r="CP79" i="160" s="1"/>
  <c r="CC79" i="160"/>
  <c r="CD79" i="160" s="1"/>
  <c r="CE79" i="160" s="1"/>
  <c r="CF79" i="160" s="1"/>
  <c r="CG79" i="160" s="1"/>
  <c r="CH79" i="160" s="1"/>
  <c r="CI79" i="160" s="1"/>
  <c r="P79" i="160"/>
  <c r="BV79" i="160" s="1"/>
  <c r="O79" i="160"/>
  <c r="M79" i="160"/>
  <c r="H79" i="160"/>
  <c r="CQ78" i="160"/>
  <c r="CR78" i="160" s="1"/>
  <c r="CS78" i="160" s="1"/>
  <c r="CT78" i="160" s="1"/>
  <c r="CU78" i="160" s="1"/>
  <c r="CV78" i="160" s="1"/>
  <c r="CW78" i="160" s="1"/>
  <c r="CJ78" i="160"/>
  <c r="CK78" i="160" s="1"/>
  <c r="CL78" i="160" s="1"/>
  <c r="CM78" i="160" s="1"/>
  <c r="CN78" i="160" s="1"/>
  <c r="CO78" i="160" s="1"/>
  <c r="CP78" i="160" s="1"/>
  <c r="CC78" i="160"/>
  <c r="CD78" i="160" s="1"/>
  <c r="CE78" i="160" s="1"/>
  <c r="CF78" i="160" s="1"/>
  <c r="CG78" i="160" s="1"/>
  <c r="CH78" i="160" s="1"/>
  <c r="CI78" i="160" s="1"/>
  <c r="P78" i="160"/>
  <c r="BY78" i="160" s="1"/>
  <c r="O78" i="160"/>
  <c r="M78" i="160"/>
  <c r="H78" i="160"/>
  <c r="CQ77" i="160"/>
  <c r="CR77" i="160" s="1"/>
  <c r="CS77" i="160" s="1"/>
  <c r="CT77" i="160" s="1"/>
  <c r="CU77" i="160" s="1"/>
  <c r="CV77" i="160" s="1"/>
  <c r="CW77" i="160" s="1"/>
  <c r="CJ77" i="160"/>
  <c r="CK77" i="160" s="1"/>
  <c r="CL77" i="160" s="1"/>
  <c r="CM77" i="160" s="1"/>
  <c r="CN77" i="160" s="1"/>
  <c r="CO77" i="160" s="1"/>
  <c r="CP77" i="160" s="1"/>
  <c r="CC77" i="160"/>
  <c r="CD77" i="160" s="1"/>
  <c r="CE77" i="160" s="1"/>
  <c r="CF77" i="160" s="1"/>
  <c r="CG77" i="160" s="1"/>
  <c r="CH77" i="160" s="1"/>
  <c r="CI77" i="160" s="1"/>
  <c r="P77" i="160"/>
  <c r="CB77" i="160" s="1"/>
  <c r="O77" i="160"/>
  <c r="M77" i="160"/>
  <c r="H77" i="160"/>
  <c r="BV76" i="160"/>
  <c r="CQ76" i="160"/>
  <c r="CR76" i="160" s="1"/>
  <c r="CS76" i="160" s="1"/>
  <c r="CT76" i="160" s="1"/>
  <c r="CU76" i="160" s="1"/>
  <c r="CV76" i="160" s="1"/>
  <c r="CW76" i="160" s="1"/>
  <c r="CJ76" i="160"/>
  <c r="CK76" i="160" s="1"/>
  <c r="CL76" i="160" s="1"/>
  <c r="CM76" i="160" s="1"/>
  <c r="CN76" i="160" s="1"/>
  <c r="CO76" i="160" s="1"/>
  <c r="CP76" i="160" s="1"/>
  <c r="CC76" i="160"/>
  <c r="CD76" i="160" s="1"/>
  <c r="CE76" i="160" s="1"/>
  <c r="CF76" i="160" s="1"/>
  <c r="CG76" i="160" s="1"/>
  <c r="CH76" i="160" s="1"/>
  <c r="CI76" i="160" s="1"/>
  <c r="P76" i="160"/>
  <c r="BY76" i="160" s="1"/>
  <c r="O76" i="160"/>
  <c r="M76" i="160"/>
  <c r="H76" i="160"/>
  <c r="CQ75" i="160"/>
  <c r="CR75" i="160" s="1"/>
  <c r="CS75" i="160" s="1"/>
  <c r="CT75" i="160" s="1"/>
  <c r="CU75" i="160" s="1"/>
  <c r="CV75" i="160" s="1"/>
  <c r="CW75" i="160" s="1"/>
  <c r="CJ75" i="160"/>
  <c r="CK75" i="160" s="1"/>
  <c r="CL75" i="160" s="1"/>
  <c r="CM75" i="160" s="1"/>
  <c r="CN75" i="160" s="1"/>
  <c r="CO75" i="160" s="1"/>
  <c r="CP75" i="160" s="1"/>
  <c r="CC75" i="160"/>
  <c r="CD75" i="160" s="1"/>
  <c r="CE75" i="160" s="1"/>
  <c r="CF75" i="160" s="1"/>
  <c r="CG75" i="160" s="1"/>
  <c r="CH75" i="160" s="1"/>
  <c r="CI75" i="160" s="1"/>
  <c r="P75" i="160"/>
  <c r="CB75" i="160" s="1"/>
  <c r="O75" i="160"/>
  <c r="M75" i="160"/>
  <c r="H75" i="160"/>
  <c r="CQ74" i="160"/>
  <c r="CR74" i="160" s="1"/>
  <c r="CS74" i="160" s="1"/>
  <c r="CT74" i="160" s="1"/>
  <c r="CU74" i="160" s="1"/>
  <c r="CV74" i="160" s="1"/>
  <c r="CW74" i="160" s="1"/>
  <c r="CJ74" i="160"/>
  <c r="CK74" i="160" s="1"/>
  <c r="CL74" i="160" s="1"/>
  <c r="CM74" i="160" s="1"/>
  <c r="CN74" i="160" s="1"/>
  <c r="CO74" i="160" s="1"/>
  <c r="CP74" i="160" s="1"/>
  <c r="CC74" i="160"/>
  <c r="CD74" i="160" s="1"/>
  <c r="CE74" i="160" s="1"/>
  <c r="CF74" i="160" s="1"/>
  <c r="CG74" i="160" s="1"/>
  <c r="CH74" i="160" s="1"/>
  <c r="CI74" i="160" s="1"/>
  <c r="P74" i="160"/>
  <c r="BZ74" i="160" s="1"/>
  <c r="O74" i="160"/>
  <c r="M74" i="160"/>
  <c r="H74" i="160"/>
  <c r="CQ73" i="160"/>
  <c r="CR73" i="160" s="1"/>
  <c r="CS73" i="160" s="1"/>
  <c r="CT73" i="160" s="1"/>
  <c r="CU73" i="160" s="1"/>
  <c r="CV73" i="160" s="1"/>
  <c r="CW73" i="160" s="1"/>
  <c r="CJ73" i="160"/>
  <c r="CK73" i="160" s="1"/>
  <c r="CL73" i="160" s="1"/>
  <c r="CM73" i="160" s="1"/>
  <c r="CN73" i="160" s="1"/>
  <c r="CO73" i="160" s="1"/>
  <c r="CP73" i="160" s="1"/>
  <c r="CC73" i="160"/>
  <c r="CD73" i="160" s="1"/>
  <c r="CE73" i="160" s="1"/>
  <c r="CF73" i="160" s="1"/>
  <c r="CG73" i="160" s="1"/>
  <c r="CH73" i="160" s="1"/>
  <c r="CI73" i="160" s="1"/>
  <c r="P73" i="160"/>
  <c r="BZ73" i="160" s="1"/>
  <c r="O73" i="160"/>
  <c r="M73" i="160"/>
  <c r="H73" i="160"/>
  <c r="FB72" i="160"/>
  <c r="FA72" i="160"/>
  <c r="EZ72" i="160"/>
  <c r="EX72" i="160"/>
  <c r="EW72" i="160"/>
  <c r="EV72" i="160"/>
  <c r="AH72" i="160"/>
  <c r="AI72" i="160" s="1"/>
  <c r="P72" i="160"/>
  <c r="BW72" i="160" s="1"/>
  <c r="DT72" i="160" s="1"/>
  <c r="O72" i="160"/>
  <c r="M72" i="160"/>
  <c r="J72" i="160"/>
  <c r="H72" i="160"/>
  <c r="FB71" i="160"/>
  <c r="FA71" i="160"/>
  <c r="EZ71" i="160"/>
  <c r="EX71" i="160"/>
  <c r="EW71" i="160"/>
  <c r="EV71" i="160"/>
  <c r="AH71" i="160"/>
  <c r="AI71" i="160" s="1"/>
  <c r="P71" i="160"/>
  <c r="BY71" i="160" s="1"/>
  <c r="DV71" i="160" s="1"/>
  <c r="O71" i="160"/>
  <c r="M71" i="160"/>
  <c r="J71" i="160"/>
  <c r="H71" i="160"/>
  <c r="CQ70" i="160"/>
  <c r="CR70" i="160" s="1"/>
  <c r="CS70" i="160" s="1"/>
  <c r="CT70" i="160" s="1"/>
  <c r="CU70" i="160" s="1"/>
  <c r="CV70" i="160" s="1"/>
  <c r="CW70" i="160" s="1"/>
  <c r="CJ70" i="160"/>
  <c r="CK70" i="160" s="1"/>
  <c r="CL70" i="160" s="1"/>
  <c r="CM70" i="160" s="1"/>
  <c r="CN70" i="160" s="1"/>
  <c r="CO70" i="160" s="1"/>
  <c r="CP70" i="160" s="1"/>
  <c r="CC70" i="160"/>
  <c r="CD70" i="160" s="1"/>
  <c r="CE70" i="160" s="1"/>
  <c r="CF70" i="160" s="1"/>
  <c r="CG70" i="160" s="1"/>
  <c r="CH70" i="160" s="1"/>
  <c r="CI70" i="160" s="1"/>
  <c r="P70" i="160"/>
  <c r="CB70" i="160" s="1"/>
  <c r="O70" i="160"/>
  <c r="M70" i="160"/>
  <c r="J70" i="160"/>
  <c r="BH70" i="160" s="1"/>
  <c r="BI70" i="160" s="1"/>
  <c r="BJ70" i="160" s="1"/>
  <c r="BK70" i="160" s="1"/>
  <c r="BL70" i="160" s="1"/>
  <c r="BM70" i="160" s="1"/>
  <c r="BN70" i="160" s="1"/>
  <c r="H70" i="160"/>
  <c r="CQ69" i="160"/>
  <c r="CR69" i="160" s="1"/>
  <c r="CS69" i="160" s="1"/>
  <c r="CT69" i="160" s="1"/>
  <c r="CU69" i="160" s="1"/>
  <c r="CV69" i="160" s="1"/>
  <c r="CW69" i="160" s="1"/>
  <c r="CJ69" i="160"/>
  <c r="CK69" i="160" s="1"/>
  <c r="CL69" i="160" s="1"/>
  <c r="CM69" i="160" s="1"/>
  <c r="CN69" i="160" s="1"/>
  <c r="CO69" i="160" s="1"/>
  <c r="CP69" i="160" s="1"/>
  <c r="CC69" i="160"/>
  <c r="CD69" i="160" s="1"/>
  <c r="CE69" i="160" s="1"/>
  <c r="CF69" i="160" s="1"/>
  <c r="CG69" i="160" s="1"/>
  <c r="CH69" i="160" s="1"/>
  <c r="CI69" i="160" s="1"/>
  <c r="P69" i="160"/>
  <c r="CA69" i="160" s="1"/>
  <c r="O69" i="160"/>
  <c r="M69" i="160"/>
  <c r="J69" i="160"/>
  <c r="BH69" i="160" s="1"/>
  <c r="BI69" i="160" s="1"/>
  <c r="BJ69" i="160" s="1"/>
  <c r="BK69" i="160" s="1"/>
  <c r="BL69" i="160" s="1"/>
  <c r="BM69" i="160" s="1"/>
  <c r="BN69" i="160" s="1"/>
  <c r="H69" i="160"/>
  <c r="CQ68" i="160"/>
  <c r="CR68" i="160" s="1"/>
  <c r="CS68" i="160" s="1"/>
  <c r="CT68" i="160" s="1"/>
  <c r="CU68" i="160" s="1"/>
  <c r="CV68" i="160" s="1"/>
  <c r="CW68" i="160" s="1"/>
  <c r="CJ68" i="160"/>
  <c r="CK68" i="160" s="1"/>
  <c r="CL68" i="160" s="1"/>
  <c r="CM68" i="160" s="1"/>
  <c r="CN68" i="160" s="1"/>
  <c r="CO68" i="160" s="1"/>
  <c r="CP68" i="160" s="1"/>
  <c r="CC68" i="160"/>
  <c r="CD68" i="160" s="1"/>
  <c r="CE68" i="160" s="1"/>
  <c r="CF68" i="160" s="1"/>
  <c r="CG68" i="160" s="1"/>
  <c r="CH68" i="160" s="1"/>
  <c r="CI68" i="160" s="1"/>
  <c r="P68" i="160"/>
  <c r="BY68" i="160" s="1"/>
  <c r="O68" i="160"/>
  <c r="M68" i="160"/>
  <c r="H68" i="160"/>
  <c r="CQ67" i="160"/>
  <c r="CR67" i="160" s="1"/>
  <c r="CS67" i="160" s="1"/>
  <c r="CT67" i="160" s="1"/>
  <c r="CU67" i="160" s="1"/>
  <c r="CV67" i="160" s="1"/>
  <c r="CW67" i="160" s="1"/>
  <c r="CJ67" i="160"/>
  <c r="CK67" i="160" s="1"/>
  <c r="CL67" i="160" s="1"/>
  <c r="CM67" i="160" s="1"/>
  <c r="CN67" i="160" s="1"/>
  <c r="CO67" i="160" s="1"/>
  <c r="CP67" i="160" s="1"/>
  <c r="CC67" i="160"/>
  <c r="CD67" i="160" s="1"/>
  <c r="CE67" i="160" s="1"/>
  <c r="CF67" i="160" s="1"/>
  <c r="CG67" i="160" s="1"/>
  <c r="CH67" i="160" s="1"/>
  <c r="CI67" i="160" s="1"/>
  <c r="P67" i="160"/>
  <c r="O67" i="160"/>
  <c r="M67" i="160"/>
  <c r="H67" i="160"/>
  <c r="FB66" i="160"/>
  <c r="FA66" i="160"/>
  <c r="EZ66" i="160"/>
  <c r="EX66" i="160"/>
  <c r="EW66" i="160"/>
  <c r="EV66" i="160"/>
  <c r="AH66" i="160"/>
  <c r="AI66" i="160" s="1"/>
  <c r="P66" i="160"/>
  <c r="BY66" i="160" s="1"/>
  <c r="DV66" i="160" s="1"/>
  <c r="O66" i="160"/>
  <c r="M66" i="160"/>
  <c r="H66" i="160"/>
  <c r="CQ65" i="160"/>
  <c r="CR65" i="160" s="1"/>
  <c r="CS65" i="160" s="1"/>
  <c r="CT65" i="160" s="1"/>
  <c r="CU65" i="160" s="1"/>
  <c r="CV65" i="160" s="1"/>
  <c r="CW65" i="160" s="1"/>
  <c r="CJ65" i="160"/>
  <c r="CK65" i="160" s="1"/>
  <c r="CL65" i="160" s="1"/>
  <c r="CM65" i="160" s="1"/>
  <c r="CN65" i="160" s="1"/>
  <c r="CO65" i="160" s="1"/>
  <c r="CP65" i="160" s="1"/>
  <c r="CC65" i="160"/>
  <c r="CD65" i="160" s="1"/>
  <c r="CE65" i="160" s="1"/>
  <c r="CF65" i="160" s="1"/>
  <c r="CG65" i="160" s="1"/>
  <c r="CH65" i="160" s="1"/>
  <c r="CI65" i="160" s="1"/>
  <c r="P65" i="160"/>
  <c r="BV65" i="160" s="1"/>
  <c r="O65" i="160"/>
  <c r="M65" i="160"/>
  <c r="H65" i="160"/>
  <c r="CQ64" i="160"/>
  <c r="CR64" i="160" s="1"/>
  <c r="CS64" i="160" s="1"/>
  <c r="CT64" i="160" s="1"/>
  <c r="CU64" i="160" s="1"/>
  <c r="CV64" i="160" s="1"/>
  <c r="CW64" i="160" s="1"/>
  <c r="CJ64" i="160"/>
  <c r="CK64" i="160" s="1"/>
  <c r="CL64" i="160" s="1"/>
  <c r="CM64" i="160" s="1"/>
  <c r="CN64" i="160" s="1"/>
  <c r="CO64" i="160" s="1"/>
  <c r="CP64" i="160" s="1"/>
  <c r="S64" i="160"/>
  <c r="Q64" i="160"/>
  <c r="CC64" i="160" s="1"/>
  <c r="CD64" i="160" s="1"/>
  <c r="CE64" i="160" s="1"/>
  <c r="CF64" i="160" s="1"/>
  <c r="CG64" i="160" s="1"/>
  <c r="CH64" i="160" s="1"/>
  <c r="CI64" i="160" s="1"/>
  <c r="O64" i="160"/>
  <c r="M64" i="160"/>
  <c r="L64" i="160"/>
  <c r="H64" i="160"/>
  <c r="G64" i="160"/>
  <c r="CQ63" i="160"/>
  <c r="CR63" i="160" s="1"/>
  <c r="CS63" i="160" s="1"/>
  <c r="CT63" i="160" s="1"/>
  <c r="CU63" i="160" s="1"/>
  <c r="CV63" i="160" s="1"/>
  <c r="CW63" i="160" s="1"/>
  <c r="CJ63" i="160"/>
  <c r="CK63" i="160" s="1"/>
  <c r="CL63" i="160" s="1"/>
  <c r="CM63" i="160" s="1"/>
  <c r="CN63" i="160" s="1"/>
  <c r="CO63" i="160" s="1"/>
  <c r="CP63" i="160" s="1"/>
  <c r="CC63" i="160"/>
  <c r="CD63" i="160" s="1"/>
  <c r="CE63" i="160" s="1"/>
  <c r="CF63" i="160" s="1"/>
  <c r="CG63" i="160" s="1"/>
  <c r="CH63" i="160" s="1"/>
  <c r="CI63" i="160" s="1"/>
  <c r="O63" i="160"/>
  <c r="M63" i="160"/>
  <c r="H63" i="160"/>
  <c r="G63" i="160"/>
  <c r="CQ62" i="160"/>
  <c r="CR62" i="160" s="1"/>
  <c r="CS62" i="160" s="1"/>
  <c r="CT62" i="160" s="1"/>
  <c r="CU62" i="160" s="1"/>
  <c r="CV62" i="160" s="1"/>
  <c r="CW62" i="160" s="1"/>
  <c r="CJ62" i="160"/>
  <c r="CK62" i="160" s="1"/>
  <c r="CL62" i="160" s="1"/>
  <c r="CM62" i="160" s="1"/>
  <c r="CN62" i="160" s="1"/>
  <c r="CO62" i="160" s="1"/>
  <c r="CP62" i="160" s="1"/>
  <c r="CC62" i="160"/>
  <c r="CD62" i="160" s="1"/>
  <c r="CE62" i="160" s="1"/>
  <c r="CF62" i="160" s="1"/>
  <c r="CG62" i="160" s="1"/>
  <c r="CH62" i="160" s="1"/>
  <c r="CI62" i="160" s="1"/>
  <c r="O62" i="160"/>
  <c r="M62" i="160"/>
  <c r="L62" i="160"/>
  <c r="H62" i="160"/>
  <c r="G62" i="160"/>
  <c r="CQ61" i="160"/>
  <c r="CR61" i="160" s="1"/>
  <c r="CS61" i="160" s="1"/>
  <c r="CT61" i="160" s="1"/>
  <c r="CU61" i="160" s="1"/>
  <c r="CV61" i="160" s="1"/>
  <c r="CW61" i="160" s="1"/>
  <c r="CJ61" i="160"/>
  <c r="CK61" i="160" s="1"/>
  <c r="CL61" i="160" s="1"/>
  <c r="CM61" i="160" s="1"/>
  <c r="CN61" i="160" s="1"/>
  <c r="CO61" i="160" s="1"/>
  <c r="CP61" i="160" s="1"/>
  <c r="CC61" i="160"/>
  <c r="CD61" i="160" s="1"/>
  <c r="CE61" i="160" s="1"/>
  <c r="CF61" i="160" s="1"/>
  <c r="CG61" i="160" s="1"/>
  <c r="CH61" i="160" s="1"/>
  <c r="CI61" i="160" s="1"/>
  <c r="P61" i="160"/>
  <c r="BW61" i="160" s="1"/>
  <c r="O61" i="160"/>
  <c r="M61" i="160"/>
  <c r="L61" i="160"/>
  <c r="H61" i="160"/>
  <c r="G61" i="160"/>
  <c r="CQ60" i="160"/>
  <c r="CR60" i="160" s="1"/>
  <c r="CS60" i="160" s="1"/>
  <c r="CT60" i="160" s="1"/>
  <c r="CU60" i="160" s="1"/>
  <c r="CV60" i="160" s="1"/>
  <c r="CW60" i="160" s="1"/>
  <c r="CJ60" i="160"/>
  <c r="CK60" i="160" s="1"/>
  <c r="CL60" i="160" s="1"/>
  <c r="CM60" i="160" s="1"/>
  <c r="CN60" i="160" s="1"/>
  <c r="CO60" i="160" s="1"/>
  <c r="CP60" i="160" s="1"/>
  <c r="CC60" i="160"/>
  <c r="CD60" i="160" s="1"/>
  <c r="CE60" i="160" s="1"/>
  <c r="CF60" i="160" s="1"/>
  <c r="CG60" i="160" s="1"/>
  <c r="CH60" i="160" s="1"/>
  <c r="CI60" i="160" s="1"/>
  <c r="P60" i="160"/>
  <c r="BX60" i="160" s="1"/>
  <c r="O60" i="160"/>
  <c r="M60" i="160"/>
  <c r="L60" i="160"/>
  <c r="H60" i="160"/>
  <c r="G60" i="160"/>
  <c r="AD59" i="160"/>
  <c r="AC59" i="160"/>
  <c r="CQ59" i="160"/>
  <c r="CR59" i="160" s="1"/>
  <c r="CS59" i="160" s="1"/>
  <c r="CT59" i="160" s="1"/>
  <c r="CU59" i="160" s="1"/>
  <c r="CV59" i="160" s="1"/>
  <c r="CW59" i="160" s="1"/>
  <c r="CJ59" i="160"/>
  <c r="CC59" i="160"/>
  <c r="O59" i="160"/>
  <c r="M59" i="160"/>
  <c r="H59" i="160"/>
  <c r="G59" i="160"/>
  <c r="AG58" i="160"/>
  <c r="AF58" i="160"/>
  <c r="AE58" i="160"/>
  <c r="V58" i="160"/>
  <c r="CQ58" i="160"/>
  <c r="CR58" i="160" s="1"/>
  <c r="CS58" i="160" s="1"/>
  <c r="CT58" i="160" s="1"/>
  <c r="CJ58" i="160"/>
  <c r="CK58" i="160" s="1"/>
  <c r="CL58" i="160" s="1"/>
  <c r="CM58" i="160" s="1"/>
  <c r="CC58" i="160"/>
  <c r="CD58" i="160" s="1"/>
  <c r="CE58" i="160" s="1"/>
  <c r="CF58" i="160" s="1"/>
  <c r="O58" i="160"/>
  <c r="M58" i="160"/>
  <c r="H58" i="160"/>
  <c r="G58" i="160"/>
  <c r="AD57" i="160"/>
  <c r="AC57" i="160"/>
  <c r="CQ57" i="160"/>
  <c r="CR57" i="160" s="1"/>
  <c r="CS57" i="160" s="1"/>
  <c r="CT57" i="160" s="1"/>
  <c r="CU57" i="160" s="1"/>
  <c r="CV57" i="160" s="1"/>
  <c r="CW57" i="160" s="1"/>
  <c r="CJ57" i="160"/>
  <c r="CK57" i="160" s="1"/>
  <c r="CL57" i="160" s="1"/>
  <c r="CM57" i="160" s="1"/>
  <c r="CN57" i="160" s="1"/>
  <c r="CO57" i="160" s="1"/>
  <c r="CP57" i="160" s="1"/>
  <c r="O57" i="160"/>
  <c r="M57" i="160"/>
  <c r="H57" i="160"/>
  <c r="G57" i="160"/>
  <c r="AG56" i="160"/>
  <c r="AF56" i="160"/>
  <c r="AE56" i="160"/>
  <c r="V56" i="160"/>
  <c r="CQ56" i="160"/>
  <c r="CR56" i="160" s="1"/>
  <c r="CS56" i="160" s="1"/>
  <c r="CT56" i="160" s="1"/>
  <c r="CU56" i="160" s="1"/>
  <c r="CV56" i="160" s="1"/>
  <c r="CW56" i="160" s="1"/>
  <c r="CJ56" i="160"/>
  <c r="CK56" i="160" s="1"/>
  <c r="CL56" i="160" s="1"/>
  <c r="CM56" i="160" s="1"/>
  <c r="CN56" i="160" s="1"/>
  <c r="CO56" i="160" s="1"/>
  <c r="CP56" i="160" s="1"/>
  <c r="O56" i="160"/>
  <c r="M56" i="160"/>
  <c r="H56" i="160"/>
  <c r="G56" i="160"/>
  <c r="AD55" i="160"/>
  <c r="AC55" i="160"/>
  <c r="CQ55" i="160"/>
  <c r="CR55" i="160" s="1"/>
  <c r="CS55" i="160" s="1"/>
  <c r="CT55" i="160" s="1"/>
  <c r="CU55" i="160" s="1"/>
  <c r="CV55" i="160" s="1"/>
  <c r="CW55" i="160" s="1"/>
  <c r="CJ55" i="160"/>
  <c r="O55" i="160"/>
  <c r="M55" i="160"/>
  <c r="H55" i="160"/>
  <c r="G55" i="160"/>
  <c r="AG54" i="160"/>
  <c r="AF54" i="160"/>
  <c r="AE54" i="160"/>
  <c r="V54" i="160"/>
  <c r="CQ54" i="160"/>
  <c r="CR54" i="160" s="1"/>
  <c r="CS54" i="160" s="1"/>
  <c r="CT54" i="160" s="1"/>
  <c r="CU54" i="160" s="1"/>
  <c r="CV54" i="160" s="1"/>
  <c r="CW54" i="160" s="1"/>
  <c r="CJ54" i="160"/>
  <c r="CK54" i="160" s="1"/>
  <c r="CL54" i="160" s="1"/>
  <c r="CM54" i="160" s="1"/>
  <c r="CN54" i="160" s="1"/>
  <c r="CC55" i="160"/>
  <c r="CD55" i="160" s="1"/>
  <c r="O54" i="160"/>
  <c r="M54" i="160"/>
  <c r="H54" i="160"/>
  <c r="G54" i="160"/>
  <c r="CQ53" i="160"/>
  <c r="CR53" i="160" s="1"/>
  <c r="CS53" i="160" s="1"/>
  <c r="CT53" i="160" s="1"/>
  <c r="CU53" i="160" s="1"/>
  <c r="CV53" i="160" s="1"/>
  <c r="CW53" i="160" s="1"/>
  <c r="CJ53" i="160"/>
  <c r="CK53" i="160" s="1"/>
  <c r="CL53" i="160" s="1"/>
  <c r="CM53" i="160" s="1"/>
  <c r="CN53" i="160" s="1"/>
  <c r="CO53" i="160" s="1"/>
  <c r="CP53" i="160" s="1"/>
  <c r="CC53" i="160"/>
  <c r="CD53" i="160" s="1"/>
  <c r="CE53" i="160" s="1"/>
  <c r="CF53" i="160" s="1"/>
  <c r="CG53" i="160" s="1"/>
  <c r="CH53" i="160" s="1"/>
  <c r="CI53" i="160" s="1"/>
  <c r="V53" i="160"/>
  <c r="T53" i="160"/>
  <c r="P53" i="160"/>
  <c r="BX53" i="160" s="1"/>
  <c r="O53" i="160"/>
  <c r="N53" i="160"/>
  <c r="M53" i="160"/>
  <c r="L53" i="160"/>
  <c r="K53" i="160"/>
  <c r="J53" i="160"/>
  <c r="BH53" i="160" s="1"/>
  <c r="BI53" i="160" s="1"/>
  <c r="BJ53" i="160" s="1"/>
  <c r="BK53" i="160" s="1"/>
  <c r="BL53" i="160" s="1"/>
  <c r="BM53" i="160" s="1"/>
  <c r="BN53" i="160" s="1"/>
  <c r="H53" i="160"/>
  <c r="G53" i="160"/>
  <c r="CQ52" i="160"/>
  <c r="CR52" i="160" s="1"/>
  <c r="CS52" i="160" s="1"/>
  <c r="CT52" i="160" s="1"/>
  <c r="CU52" i="160" s="1"/>
  <c r="CV52" i="160" s="1"/>
  <c r="CW52" i="160" s="1"/>
  <c r="CJ52" i="160"/>
  <c r="CK52" i="160" s="1"/>
  <c r="CL52" i="160" s="1"/>
  <c r="CM52" i="160" s="1"/>
  <c r="CN52" i="160" s="1"/>
  <c r="CO52" i="160" s="1"/>
  <c r="CP52" i="160" s="1"/>
  <c r="CC52" i="160"/>
  <c r="CD52" i="160" s="1"/>
  <c r="CE52" i="160" s="1"/>
  <c r="CF52" i="160" s="1"/>
  <c r="CG52" i="160" s="1"/>
  <c r="CH52" i="160" s="1"/>
  <c r="CI52" i="160" s="1"/>
  <c r="V52" i="160"/>
  <c r="T52" i="160"/>
  <c r="P52" i="160"/>
  <c r="O52" i="160"/>
  <c r="N52" i="160"/>
  <c r="M52" i="160"/>
  <c r="L52" i="160"/>
  <c r="K52" i="160"/>
  <c r="J52" i="160"/>
  <c r="BH52" i="160" s="1"/>
  <c r="BI52" i="160" s="1"/>
  <c r="BJ52" i="160" s="1"/>
  <c r="BK52" i="160" s="1"/>
  <c r="BL52" i="160" s="1"/>
  <c r="BM52" i="160" s="1"/>
  <c r="BN52" i="160" s="1"/>
  <c r="H52" i="160"/>
  <c r="G52" i="160"/>
  <c r="CQ51" i="160"/>
  <c r="CR51" i="160" s="1"/>
  <c r="CS51" i="160" s="1"/>
  <c r="CT51" i="160" s="1"/>
  <c r="CU51" i="160" s="1"/>
  <c r="CV51" i="160" s="1"/>
  <c r="CW51" i="160" s="1"/>
  <c r="CJ51" i="160"/>
  <c r="CK51" i="160" s="1"/>
  <c r="CL51" i="160" s="1"/>
  <c r="CM51" i="160" s="1"/>
  <c r="CN51" i="160" s="1"/>
  <c r="CO51" i="160" s="1"/>
  <c r="CP51" i="160" s="1"/>
  <c r="CC51" i="160"/>
  <c r="CD51" i="160" s="1"/>
  <c r="CE51" i="160" s="1"/>
  <c r="CF51" i="160" s="1"/>
  <c r="CG51" i="160" s="1"/>
  <c r="CH51" i="160" s="1"/>
  <c r="CI51" i="160" s="1"/>
  <c r="V51" i="160"/>
  <c r="T51" i="160"/>
  <c r="P51" i="160"/>
  <c r="BV51" i="160" s="1"/>
  <c r="O51" i="160"/>
  <c r="N51" i="160"/>
  <c r="M51" i="160"/>
  <c r="L51" i="160"/>
  <c r="K51" i="160"/>
  <c r="J51" i="160"/>
  <c r="BH51" i="160" s="1"/>
  <c r="BI51" i="160" s="1"/>
  <c r="BJ51" i="160" s="1"/>
  <c r="BK51" i="160" s="1"/>
  <c r="BL51" i="160" s="1"/>
  <c r="BM51" i="160" s="1"/>
  <c r="BN51" i="160" s="1"/>
  <c r="H51" i="160"/>
  <c r="G51" i="160"/>
  <c r="CB49" i="160"/>
  <c r="CA49" i="160"/>
  <c r="BZ49" i="160"/>
  <c r="BY49" i="160"/>
  <c r="BX49" i="160"/>
  <c r="BW49" i="160"/>
  <c r="BV49" i="160"/>
  <c r="T13" i="135"/>
  <c r="G13" i="135"/>
  <c r="I13" i="135" s="1"/>
  <c r="K13" i="135" s="1"/>
  <c r="CB48" i="160"/>
  <c r="CA48" i="160"/>
  <c r="BZ48" i="160"/>
  <c r="BY48" i="160"/>
  <c r="BX48" i="160"/>
  <c r="BW48" i="160"/>
  <c r="BV48" i="160"/>
  <c r="T12" i="135"/>
  <c r="G12" i="135"/>
  <c r="I12" i="135" s="1"/>
  <c r="K12" i="135" s="1"/>
  <c r="CB47" i="160"/>
  <c r="CA47" i="160"/>
  <c r="BZ47" i="160"/>
  <c r="BY47" i="160"/>
  <c r="BX47" i="160"/>
  <c r="BW47" i="160"/>
  <c r="BV47" i="160"/>
  <c r="T11" i="135"/>
  <c r="J11" i="135"/>
  <c r="G11" i="135"/>
  <c r="I11" i="135" s="1"/>
  <c r="K11" i="135" s="1"/>
  <c r="CB46" i="160"/>
  <c r="CA46" i="160"/>
  <c r="BZ46" i="160"/>
  <c r="BY46" i="160"/>
  <c r="BX46" i="160"/>
  <c r="BW46" i="160"/>
  <c r="BV46" i="160"/>
  <c r="T10" i="135"/>
  <c r="J10" i="135"/>
  <c r="G10" i="135"/>
  <c r="I10" i="135" s="1"/>
  <c r="K10" i="135" s="1"/>
  <c r="CB45" i="160"/>
  <c r="CA45" i="160"/>
  <c r="BZ45" i="160"/>
  <c r="BY45" i="160"/>
  <c r="BX45" i="160"/>
  <c r="BW45" i="160"/>
  <c r="BV45" i="160"/>
  <c r="T9" i="135"/>
  <c r="J9" i="135"/>
  <c r="G9" i="135"/>
  <c r="I9" i="135" s="1"/>
  <c r="K9" i="135" s="1"/>
  <c r="CB44" i="160"/>
  <c r="CA44" i="160"/>
  <c r="BZ44" i="160"/>
  <c r="BY44" i="160"/>
  <c r="BX44" i="160"/>
  <c r="BW44" i="160"/>
  <c r="BV44" i="160"/>
  <c r="T8" i="135"/>
  <c r="G8" i="135"/>
  <c r="I8" i="135" s="1"/>
  <c r="K8" i="135" s="1"/>
  <c r="CB43" i="160"/>
  <c r="CA43" i="160"/>
  <c r="BZ43" i="160"/>
  <c r="BY43" i="160"/>
  <c r="BX43" i="160"/>
  <c r="BW43" i="160"/>
  <c r="BV43" i="160"/>
  <c r="CQ43" i="160"/>
  <c r="CR43" i="160" s="1"/>
  <c r="CS43" i="160" s="1"/>
  <c r="CT43" i="160" s="1"/>
  <c r="CU43" i="160" s="1"/>
  <c r="CV43" i="160" s="1"/>
  <c r="CW43" i="160" s="1"/>
  <c r="CJ43" i="160"/>
  <c r="CK43" i="160" s="1"/>
  <c r="CL43" i="160" s="1"/>
  <c r="CM43" i="160" s="1"/>
  <c r="CN43" i="160" s="1"/>
  <c r="CO43" i="160" s="1"/>
  <c r="CP43" i="160" s="1"/>
  <c r="CC43" i="160"/>
  <c r="CD43" i="160" s="1"/>
  <c r="CE43" i="160" s="1"/>
  <c r="CF43" i="160" s="1"/>
  <c r="CG43" i="160" s="1"/>
  <c r="CH43" i="160" s="1"/>
  <c r="CI43" i="160" s="1"/>
  <c r="CB42" i="160"/>
  <c r="CA42" i="160"/>
  <c r="BZ42" i="160"/>
  <c r="BY42" i="160"/>
  <c r="BX42" i="160"/>
  <c r="BW42" i="160"/>
  <c r="BV42" i="160"/>
  <c r="CQ42" i="160"/>
  <c r="CR42" i="160" s="1"/>
  <c r="CS42" i="160" s="1"/>
  <c r="CT42" i="160" s="1"/>
  <c r="CU42" i="160" s="1"/>
  <c r="CV42" i="160" s="1"/>
  <c r="CW42" i="160" s="1"/>
  <c r="CJ42" i="160"/>
  <c r="CK42" i="160" s="1"/>
  <c r="CL42" i="160" s="1"/>
  <c r="CM42" i="160" s="1"/>
  <c r="CN42" i="160" s="1"/>
  <c r="CO42" i="160" s="1"/>
  <c r="CP42" i="160" s="1"/>
  <c r="CC42" i="160"/>
  <c r="CD42" i="160" s="1"/>
  <c r="CE42" i="160" s="1"/>
  <c r="CF42" i="160" s="1"/>
  <c r="CG42" i="160" s="1"/>
  <c r="CH42" i="160" s="1"/>
  <c r="CI42" i="160" s="1"/>
  <c r="I42" i="160"/>
  <c r="CB41" i="160"/>
  <c r="CA41" i="160"/>
  <c r="BZ41" i="160"/>
  <c r="BY41" i="160"/>
  <c r="BX41" i="160"/>
  <c r="BW41" i="160"/>
  <c r="BV41" i="160"/>
  <c r="CQ41" i="160"/>
  <c r="CR41" i="160" s="1"/>
  <c r="CS41" i="160" s="1"/>
  <c r="CT41" i="160" s="1"/>
  <c r="CU41" i="160" s="1"/>
  <c r="CV41" i="160" s="1"/>
  <c r="CW41" i="160" s="1"/>
  <c r="CJ41" i="160"/>
  <c r="CK41" i="160" s="1"/>
  <c r="CL41" i="160" s="1"/>
  <c r="CM41" i="160" s="1"/>
  <c r="CN41" i="160" s="1"/>
  <c r="CO41" i="160" s="1"/>
  <c r="CP41" i="160" s="1"/>
  <c r="CC41" i="160"/>
  <c r="CD41" i="160" s="1"/>
  <c r="CE41" i="160" s="1"/>
  <c r="CF41" i="160" s="1"/>
  <c r="CG41" i="160" s="1"/>
  <c r="CH41" i="160" s="1"/>
  <c r="CI41" i="160" s="1"/>
  <c r="CB40" i="160"/>
  <c r="CA40" i="160"/>
  <c r="BZ40" i="160"/>
  <c r="BY40" i="160"/>
  <c r="BX40" i="160"/>
  <c r="BW40" i="160"/>
  <c r="BV40" i="160"/>
  <c r="CQ40" i="160"/>
  <c r="CR40" i="160" s="1"/>
  <c r="CS40" i="160" s="1"/>
  <c r="CT40" i="160" s="1"/>
  <c r="CU40" i="160" s="1"/>
  <c r="CV40" i="160" s="1"/>
  <c r="CW40" i="160" s="1"/>
  <c r="CJ40" i="160"/>
  <c r="CK40" i="160" s="1"/>
  <c r="CL40" i="160" s="1"/>
  <c r="CM40" i="160" s="1"/>
  <c r="CN40" i="160" s="1"/>
  <c r="CO40" i="160" s="1"/>
  <c r="CP40" i="160" s="1"/>
  <c r="CC40" i="160"/>
  <c r="CD40" i="160" s="1"/>
  <c r="CE40" i="160" s="1"/>
  <c r="CF40" i="160" s="1"/>
  <c r="CG40" i="160" s="1"/>
  <c r="CH40" i="160" s="1"/>
  <c r="CI40" i="160" s="1"/>
  <c r="BH40" i="160"/>
  <c r="BI40" i="160" s="1"/>
  <c r="BJ40" i="160" s="1"/>
  <c r="BK40" i="160" s="1"/>
  <c r="BL40" i="160" s="1"/>
  <c r="BM40" i="160" s="1"/>
  <c r="BN40" i="160" s="1"/>
  <c r="CB39" i="160"/>
  <c r="CA39" i="160"/>
  <c r="BZ39" i="160"/>
  <c r="BY39" i="160"/>
  <c r="BX39" i="160"/>
  <c r="BW39" i="160"/>
  <c r="BV39" i="160"/>
  <c r="CQ39" i="160"/>
  <c r="CR39" i="160" s="1"/>
  <c r="CS39" i="160" s="1"/>
  <c r="CT39" i="160" s="1"/>
  <c r="CU39" i="160" s="1"/>
  <c r="CV39" i="160" s="1"/>
  <c r="CW39" i="160" s="1"/>
  <c r="CJ39" i="160"/>
  <c r="CK39" i="160" s="1"/>
  <c r="CL39" i="160" s="1"/>
  <c r="CM39" i="160" s="1"/>
  <c r="CN39" i="160" s="1"/>
  <c r="CO39" i="160" s="1"/>
  <c r="CP39" i="160" s="1"/>
  <c r="CC39" i="160"/>
  <c r="CD39" i="160" s="1"/>
  <c r="CE39" i="160" s="1"/>
  <c r="CF39" i="160" s="1"/>
  <c r="CG39" i="160" s="1"/>
  <c r="CH39" i="160" s="1"/>
  <c r="CI39" i="160" s="1"/>
  <c r="BH39" i="160"/>
  <c r="BI39" i="160" s="1"/>
  <c r="BJ39" i="160" s="1"/>
  <c r="BK39" i="160" s="1"/>
  <c r="BL39" i="160" s="1"/>
  <c r="BM39" i="160" s="1"/>
  <c r="BN39" i="160" s="1"/>
  <c r="CB38" i="160"/>
  <c r="CA38" i="160"/>
  <c r="BZ38" i="160"/>
  <c r="BY38" i="160"/>
  <c r="BX38" i="160"/>
  <c r="BW38" i="160"/>
  <c r="BV38" i="160"/>
  <c r="CQ38" i="160"/>
  <c r="CR38" i="160" s="1"/>
  <c r="CS38" i="160" s="1"/>
  <c r="CT38" i="160" s="1"/>
  <c r="CU38" i="160" s="1"/>
  <c r="CV38" i="160" s="1"/>
  <c r="CW38" i="160" s="1"/>
  <c r="CJ38" i="160"/>
  <c r="CK38" i="160" s="1"/>
  <c r="CL38" i="160" s="1"/>
  <c r="CM38" i="160" s="1"/>
  <c r="CN38" i="160" s="1"/>
  <c r="CO38" i="160" s="1"/>
  <c r="CP38" i="160" s="1"/>
  <c r="CC38" i="160"/>
  <c r="CD38" i="160" s="1"/>
  <c r="CE38" i="160" s="1"/>
  <c r="CF38" i="160" s="1"/>
  <c r="CG38" i="160" s="1"/>
  <c r="CH38" i="160" s="1"/>
  <c r="CI38" i="160" s="1"/>
  <c r="CB37" i="160"/>
  <c r="CA37" i="160"/>
  <c r="BZ37" i="160"/>
  <c r="BY37" i="160"/>
  <c r="BX37" i="160"/>
  <c r="BW37" i="160"/>
  <c r="BV37" i="160"/>
  <c r="CQ37" i="160"/>
  <c r="CR37" i="160" s="1"/>
  <c r="CS37" i="160" s="1"/>
  <c r="CT37" i="160" s="1"/>
  <c r="CU37" i="160" s="1"/>
  <c r="CV37" i="160" s="1"/>
  <c r="CW37" i="160" s="1"/>
  <c r="CJ37" i="160"/>
  <c r="CK37" i="160" s="1"/>
  <c r="CL37" i="160" s="1"/>
  <c r="CM37" i="160" s="1"/>
  <c r="CN37" i="160" s="1"/>
  <c r="CO37" i="160" s="1"/>
  <c r="CP37" i="160" s="1"/>
  <c r="CC37" i="160"/>
  <c r="CD37" i="160" s="1"/>
  <c r="CE37" i="160" s="1"/>
  <c r="CF37" i="160" s="1"/>
  <c r="CG37" i="160" s="1"/>
  <c r="CH37" i="160" s="1"/>
  <c r="CI37" i="160" s="1"/>
  <c r="CB36" i="160"/>
  <c r="CA36" i="160"/>
  <c r="BZ36" i="160"/>
  <c r="BY36" i="160"/>
  <c r="BX36" i="160"/>
  <c r="BW36" i="160"/>
  <c r="BV36" i="160"/>
  <c r="CQ36" i="160"/>
  <c r="CR36" i="160" s="1"/>
  <c r="CS36" i="160" s="1"/>
  <c r="CT36" i="160" s="1"/>
  <c r="CU36" i="160" s="1"/>
  <c r="CV36" i="160" s="1"/>
  <c r="CW36" i="160" s="1"/>
  <c r="CJ36" i="160"/>
  <c r="CK36" i="160" s="1"/>
  <c r="CL36" i="160" s="1"/>
  <c r="CM36" i="160" s="1"/>
  <c r="CN36" i="160" s="1"/>
  <c r="CO36" i="160" s="1"/>
  <c r="CP36" i="160" s="1"/>
  <c r="CC36" i="160"/>
  <c r="CD36" i="160" s="1"/>
  <c r="CE36" i="160" s="1"/>
  <c r="CF36" i="160" s="1"/>
  <c r="CG36" i="160" s="1"/>
  <c r="CH36" i="160" s="1"/>
  <c r="CI36" i="160" s="1"/>
  <c r="BH36" i="160"/>
  <c r="BI36" i="160" s="1"/>
  <c r="BJ36" i="160" s="1"/>
  <c r="BK36" i="160" s="1"/>
  <c r="BL36" i="160" s="1"/>
  <c r="BM36" i="160" s="1"/>
  <c r="BN36" i="160" s="1"/>
  <c r="CB35" i="160"/>
  <c r="CA35" i="160"/>
  <c r="BZ35" i="160"/>
  <c r="BY35" i="160"/>
  <c r="BX35" i="160"/>
  <c r="BW35" i="160"/>
  <c r="BV35" i="160"/>
  <c r="CQ35" i="160"/>
  <c r="CR35" i="160" s="1"/>
  <c r="CS35" i="160" s="1"/>
  <c r="CT35" i="160" s="1"/>
  <c r="CU35" i="160" s="1"/>
  <c r="CV35" i="160" s="1"/>
  <c r="CW35" i="160" s="1"/>
  <c r="CJ35" i="160"/>
  <c r="CK35" i="160" s="1"/>
  <c r="CL35" i="160" s="1"/>
  <c r="CM35" i="160" s="1"/>
  <c r="CN35" i="160" s="1"/>
  <c r="CO35" i="160" s="1"/>
  <c r="CP35" i="160" s="1"/>
  <c r="CC35" i="160"/>
  <c r="CD35" i="160" s="1"/>
  <c r="CE35" i="160" s="1"/>
  <c r="CF35" i="160" s="1"/>
  <c r="CG35" i="160" s="1"/>
  <c r="CH35" i="160" s="1"/>
  <c r="CI35" i="160" s="1"/>
  <c r="BH35" i="160"/>
  <c r="BI35" i="160" s="1"/>
  <c r="BJ35" i="160" s="1"/>
  <c r="BK35" i="160" s="1"/>
  <c r="BL35" i="160" s="1"/>
  <c r="BM35" i="160" s="1"/>
  <c r="BN35" i="160" s="1"/>
  <c r="CB34" i="160"/>
  <c r="CA34" i="160"/>
  <c r="BZ34" i="160"/>
  <c r="BY34" i="160"/>
  <c r="BX34" i="160"/>
  <c r="BW34" i="160"/>
  <c r="BV34" i="160"/>
  <c r="CQ34" i="160"/>
  <c r="CR34" i="160" s="1"/>
  <c r="CS34" i="160" s="1"/>
  <c r="CT34" i="160" s="1"/>
  <c r="CU34" i="160" s="1"/>
  <c r="CV34" i="160" s="1"/>
  <c r="CW34" i="160" s="1"/>
  <c r="CJ34" i="160"/>
  <c r="CK34" i="160" s="1"/>
  <c r="CL34" i="160" s="1"/>
  <c r="CM34" i="160" s="1"/>
  <c r="CN34" i="160" s="1"/>
  <c r="CO34" i="160" s="1"/>
  <c r="CP34" i="160" s="1"/>
  <c r="CC34" i="160"/>
  <c r="CD34" i="160" s="1"/>
  <c r="CE34" i="160" s="1"/>
  <c r="CF34" i="160" s="1"/>
  <c r="CG34" i="160" s="1"/>
  <c r="CH34" i="160" s="1"/>
  <c r="CI34" i="160" s="1"/>
  <c r="BH34" i="160"/>
  <c r="BI34" i="160" s="1"/>
  <c r="BJ34" i="160" s="1"/>
  <c r="BK34" i="160" s="1"/>
  <c r="BL34" i="160" s="1"/>
  <c r="BM34" i="160" s="1"/>
  <c r="BN34" i="160" s="1"/>
  <c r="CB33" i="160"/>
  <c r="CA33" i="160"/>
  <c r="BZ33" i="160"/>
  <c r="BY33" i="160"/>
  <c r="BX33" i="160"/>
  <c r="BW33" i="160"/>
  <c r="BV33" i="160"/>
  <c r="T16" i="135"/>
  <c r="BH33" i="160"/>
  <c r="BI33" i="160" s="1"/>
  <c r="BJ33" i="160" s="1"/>
  <c r="BK33" i="160" s="1"/>
  <c r="BL33" i="160" s="1"/>
  <c r="BM33" i="160" s="1"/>
  <c r="BN33" i="160" s="1"/>
  <c r="CB32" i="160"/>
  <c r="CA32" i="160"/>
  <c r="BZ32" i="160"/>
  <c r="BY32" i="160"/>
  <c r="BX32" i="160"/>
  <c r="BW32" i="160"/>
  <c r="BV32" i="160"/>
  <c r="CQ32" i="160"/>
  <c r="CR32" i="160" s="1"/>
  <c r="CS32" i="160" s="1"/>
  <c r="CT32" i="160" s="1"/>
  <c r="CU32" i="160" s="1"/>
  <c r="CV32" i="160" s="1"/>
  <c r="CW32" i="160" s="1"/>
  <c r="CJ32" i="160"/>
  <c r="CK32" i="160" s="1"/>
  <c r="CL32" i="160" s="1"/>
  <c r="CM32" i="160" s="1"/>
  <c r="CN32" i="160" s="1"/>
  <c r="CO32" i="160" s="1"/>
  <c r="CP32" i="160" s="1"/>
  <c r="CC32" i="160"/>
  <c r="CD32" i="160" s="1"/>
  <c r="CE32" i="160" s="1"/>
  <c r="CF32" i="160" s="1"/>
  <c r="CG32" i="160" s="1"/>
  <c r="CH32" i="160" s="1"/>
  <c r="CI32" i="160" s="1"/>
  <c r="CB31" i="160"/>
  <c r="CA31" i="160"/>
  <c r="BZ31" i="160"/>
  <c r="BY31" i="160"/>
  <c r="BX31" i="160"/>
  <c r="BW31" i="160"/>
  <c r="BV31" i="160"/>
  <c r="CQ31" i="160"/>
  <c r="CR31" i="160" s="1"/>
  <c r="CS31" i="160" s="1"/>
  <c r="CT31" i="160" s="1"/>
  <c r="CU31" i="160" s="1"/>
  <c r="CV31" i="160" s="1"/>
  <c r="CW31" i="160" s="1"/>
  <c r="CJ31" i="160"/>
  <c r="CK31" i="160" s="1"/>
  <c r="CL31" i="160" s="1"/>
  <c r="CM31" i="160" s="1"/>
  <c r="CN31" i="160" s="1"/>
  <c r="CO31" i="160" s="1"/>
  <c r="CP31" i="160" s="1"/>
  <c r="CC31" i="160"/>
  <c r="CD31" i="160" s="1"/>
  <c r="CE31" i="160" s="1"/>
  <c r="CF31" i="160" s="1"/>
  <c r="CG31" i="160" s="1"/>
  <c r="CH31" i="160" s="1"/>
  <c r="CI31" i="160" s="1"/>
  <c r="CB30" i="160"/>
  <c r="CA30" i="160"/>
  <c r="BZ30" i="160"/>
  <c r="BY30" i="160"/>
  <c r="BX30" i="160"/>
  <c r="BW30" i="160"/>
  <c r="BV30" i="160"/>
  <c r="CQ30" i="160"/>
  <c r="CR30" i="160" s="1"/>
  <c r="CS30" i="160" s="1"/>
  <c r="CT30" i="160" s="1"/>
  <c r="CU30" i="160" s="1"/>
  <c r="CV30" i="160" s="1"/>
  <c r="CW30" i="160" s="1"/>
  <c r="CJ30" i="160"/>
  <c r="CK30" i="160" s="1"/>
  <c r="CL30" i="160" s="1"/>
  <c r="CM30" i="160" s="1"/>
  <c r="CN30" i="160" s="1"/>
  <c r="CO30" i="160" s="1"/>
  <c r="CP30" i="160" s="1"/>
  <c r="CC30" i="160"/>
  <c r="CD30" i="160" s="1"/>
  <c r="CE30" i="160" s="1"/>
  <c r="CF30" i="160" s="1"/>
  <c r="CG30" i="160" s="1"/>
  <c r="CH30" i="160" s="1"/>
  <c r="CI30" i="160" s="1"/>
  <c r="BH30" i="160"/>
  <c r="BI30" i="160" s="1"/>
  <c r="BJ30" i="160" s="1"/>
  <c r="BK30" i="160" s="1"/>
  <c r="BL30" i="160" s="1"/>
  <c r="BM30" i="160" s="1"/>
  <c r="BN30" i="160" s="1"/>
  <c r="CB29" i="160"/>
  <c r="CA29" i="160"/>
  <c r="BZ29" i="160"/>
  <c r="BY29" i="160"/>
  <c r="BX29" i="160"/>
  <c r="BW29" i="160"/>
  <c r="BV29" i="160"/>
  <c r="CQ29" i="160"/>
  <c r="CR29" i="160" s="1"/>
  <c r="CS29" i="160" s="1"/>
  <c r="CT29" i="160" s="1"/>
  <c r="CU29" i="160" s="1"/>
  <c r="CV29" i="160" s="1"/>
  <c r="CW29" i="160" s="1"/>
  <c r="CJ29" i="160"/>
  <c r="CK29" i="160" s="1"/>
  <c r="CL29" i="160" s="1"/>
  <c r="CM29" i="160" s="1"/>
  <c r="CN29" i="160" s="1"/>
  <c r="CO29" i="160" s="1"/>
  <c r="CP29" i="160" s="1"/>
  <c r="CC29" i="160"/>
  <c r="CD29" i="160" s="1"/>
  <c r="CE29" i="160" s="1"/>
  <c r="CF29" i="160" s="1"/>
  <c r="CG29" i="160" s="1"/>
  <c r="CH29" i="160" s="1"/>
  <c r="CI29" i="160" s="1"/>
  <c r="CB28" i="160"/>
  <c r="CA28" i="160"/>
  <c r="BZ28" i="160"/>
  <c r="BY28" i="160"/>
  <c r="BX28" i="160"/>
  <c r="BW28" i="160"/>
  <c r="BV28" i="160"/>
  <c r="AY28" i="160"/>
  <c r="BH28" i="160"/>
  <c r="BI28" i="160" s="1"/>
  <c r="BJ28" i="160" s="1"/>
  <c r="BK28" i="160" s="1"/>
  <c r="BL28" i="160" s="1"/>
  <c r="BM28" i="160" s="1"/>
  <c r="BN28" i="160" s="1"/>
  <c r="CB27" i="160"/>
  <c r="CA27" i="160"/>
  <c r="BZ27" i="160"/>
  <c r="BY27" i="160"/>
  <c r="BX27" i="160"/>
  <c r="BW27" i="160"/>
  <c r="BV27" i="160"/>
  <c r="BH27" i="160"/>
  <c r="BI27" i="160" s="1"/>
  <c r="BJ27" i="160" s="1"/>
  <c r="BK27" i="160" s="1"/>
  <c r="BL27" i="160" s="1"/>
  <c r="BM27" i="160" s="1"/>
  <c r="BN27" i="160" s="1"/>
  <c r="CQ27" i="160"/>
  <c r="CR27" i="160" s="1"/>
  <c r="CS27" i="160" s="1"/>
  <c r="CT27" i="160" s="1"/>
  <c r="CU27" i="160" s="1"/>
  <c r="CV27" i="160" s="1"/>
  <c r="CW27" i="160" s="1"/>
  <c r="CJ27" i="160"/>
  <c r="CK27" i="160" s="1"/>
  <c r="CL27" i="160" s="1"/>
  <c r="CM27" i="160" s="1"/>
  <c r="CN27" i="160" s="1"/>
  <c r="CO27" i="160" s="1"/>
  <c r="CP27" i="160" s="1"/>
  <c r="CC27" i="160"/>
  <c r="CD27" i="160" s="1"/>
  <c r="CE27" i="160" s="1"/>
  <c r="CF27" i="160" s="1"/>
  <c r="CG27" i="160" s="1"/>
  <c r="CH27" i="160" s="1"/>
  <c r="CI27" i="160" s="1"/>
  <c r="I27" i="160"/>
  <c r="CB26" i="160"/>
  <c r="CA26" i="160"/>
  <c r="BZ26" i="160"/>
  <c r="BY26" i="160"/>
  <c r="BX26" i="160"/>
  <c r="BW26" i="160"/>
  <c r="BV26" i="160"/>
  <c r="BH26" i="160"/>
  <c r="BI26" i="160" s="1"/>
  <c r="BJ26" i="160" s="1"/>
  <c r="BK26" i="160" s="1"/>
  <c r="BL26" i="160" s="1"/>
  <c r="BM26" i="160" s="1"/>
  <c r="BN26" i="160" s="1"/>
  <c r="CQ26" i="160"/>
  <c r="CR26" i="160" s="1"/>
  <c r="CS26" i="160" s="1"/>
  <c r="CT26" i="160" s="1"/>
  <c r="CU26" i="160" s="1"/>
  <c r="CV26" i="160" s="1"/>
  <c r="CW26" i="160" s="1"/>
  <c r="CJ26" i="160"/>
  <c r="CK26" i="160" s="1"/>
  <c r="CL26" i="160" s="1"/>
  <c r="CM26" i="160" s="1"/>
  <c r="CN26" i="160" s="1"/>
  <c r="CO26" i="160" s="1"/>
  <c r="CP26" i="160" s="1"/>
  <c r="CC26" i="160"/>
  <c r="CD26" i="160" s="1"/>
  <c r="CE26" i="160" s="1"/>
  <c r="CF26" i="160" s="1"/>
  <c r="CG26" i="160" s="1"/>
  <c r="CH26" i="160" s="1"/>
  <c r="CI26" i="160" s="1"/>
  <c r="I26" i="160"/>
  <c r="BA26" i="160" s="1"/>
  <c r="BB26" i="160" s="1"/>
  <c r="CB25" i="160"/>
  <c r="CA25" i="160"/>
  <c r="BZ25" i="160"/>
  <c r="BY25" i="160"/>
  <c r="BX25" i="160"/>
  <c r="BW25" i="160"/>
  <c r="BV25" i="160"/>
  <c r="BH25" i="160"/>
  <c r="BI25" i="160" s="1"/>
  <c r="BJ25" i="160" s="1"/>
  <c r="BK25" i="160" s="1"/>
  <c r="BL25" i="160" s="1"/>
  <c r="BM25" i="160" s="1"/>
  <c r="BN25" i="160" s="1"/>
  <c r="CQ25" i="160"/>
  <c r="CR25" i="160" s="1"/>
  <c r="CS25" i="160" s="1"/>
  <c r="CT25" i="160" s="1"/>
  <c r="CU25" i="160" s="1"/>
  <c r="CV25" i="160" s="1"/>
  <c r="CW25" i="160" s="1"/>
  <c r="CJ25" i="160"/>
  <c r="CK25" i="160" s="1"/>
  <c r="CL25" i="160" s="1"/>
  <c r="CM25" i="160" s="1"/>
  <c r="CN25" i="160" s="1"/>
  <c r="CO25" i="160" s="1"/>
  <c r="CP25" i="160" s="1"/>
  <c r="CC25" i="160"/>
  <c r="CD25" i="160" s="1"/>
  <c r="CE25" i="160" s="1"/>
  <c r="CF25" i="160" s="1"/>
  <c r="CG25" i="160" s="1"/>
  <c r="CH25" i="160" s="1"/>
  <c r="CI25" i="160" s="1"/>
  <c r="I25" i="160"/>
  <c r="BA25" i="160" s="1"/>
  <c r="BB25" i="160" s="1"/>
  <c r="CB24" i="160"/>
  <c r="CA24" i="160"/>
  <c r="BZ24" i="160"/>
  <c r="BY24" i="160"/>
  <c r="BX24" i="160"/>
  <c r="BW24" i="160"/>
  <c r="BV24" i="160"/>
  <c r="BH24" i="160"/>
  <c r="BI24" i="160" s="1"/>
  <c r="BJ24" i="160" s="1"/>
  <c r="BK24" i="160" s="1"/>
  <c r="BL24" i="160" s="1"/>
  <c r="BM24" i="160" s="1"/>
  <c r="BN24" i="160" s="1"/>
  <c r="CQ24" i="160"/>
  <c r="CR24" i="160" s="1"/>
  <c r="CS24" i="160" s="1"/>
  <c r="CT24" i="160" s="1"/>
  <c r="CU24" i="160" s="1"/>
  <c r="CV24" i="160" s="1"/>
  <c r="CW24" i="160" s="1"/>
  <c r="CJ24" i="160"/>
  <c r="CK24" i="160" s="1"/>
  <c r="CL24" i="160" s="1"/>
  <c r="CM24" i="160" s="1"/>
  <c r="CN24" i="160" s="1"/>
  <c r="CO24" i="160" s="1"/>
  <c r="CP24" i="160" s="1"/>
  <c r="CC24" i="160"/>
  <c r="CD24" i="160" s="1"/>
  <c r="CE24" i="160" s="1"/>
  <c r="CF24" i="160" s="1"/>
  <c r="CG24" i="160" s="1"/>
  <c r="CH24" i="160" s="1"/>
  <c r="CI24" i="160" s="1"/>
  <c r="I24" i="160"/>
  <c r="CB23" i="160"/>
  <c r="CA23" i="160"/>
  <c r="BZ23" i="160"/>
  <c r="BY23" i="160"/>
  <c r="BX23" i="160"/>
  <c r="BW23" i="160"/>
  <c r="BV23" i="160"/>
  <c r="CQ23" i="160"/>
  <c r="CR23" i="160" s="1"/>
  <c r="CS23" i="160" s="1"/>
  <c r="CT23" i="160" s="1"/>
  <c r="CU23" i="160" s="1"/>
  <c r="CV23" i="160" s="1"/>
  <c r="CW23" i="160" s="1"/>
  <c r="CJ23" i="160"/>
  <c r="CK23" i="160" s="1"/>
  <c r="CL23" i="160" s="1"/>
  <c r="CM23" i="160" s="1"/>
  <c r="CN23" i="160" s="1"/>
  <c r="CO23" i="160" s="1"/>
  <c r="CP23" i="160" s="1"/>
  <c r="CC23" i="160"/>
  <c r="CD23" i="160" s="1"/>
  <c r="CE23" i="160" s="1"/>
  <c r="CF23" i="160" s="1"/>
  <c r="CG23" i="160" s="1"/>
  <c r="CH23" i="160" s="1"/>
  <c r="CI23" i="160" s="1"/>
  <c r="I23" i="160"/>
  <c r="CB22" i="160"/>
  <c r="CA22" i="160"/>
  <c r="BZ22" i="160"/>
  <c r="BY22" i="160"/>
  <c r="BX22" i="160"/>
  <c r="BW22" i="160"/>
  <c r="BV22" i="160"/>
  <c r="CQ22" i="160"/>
  <c r="CR22" i="160" s="1"/>
  <c r="CS22" i="160" s="1"/>
  <c r="CT22" i="160" s="1"/>
  <c r="CU22" i="160" s="1"/>
  <c r="CV22" i="160" s="1"/>
  <c r="CW22" i="160" s="1"/>
  <c r="CJ22" i="160"/>
  <c r="CK22" i="160" s="1"/>
  <c r="CL22" i="160" s="1"/>
  <c r="CM22" i="160" s="1"/>
  <c r="CN22" i="160" s="1"/>
  <c r="CO22" i="160" s="1"/>
  <c r="CP22" i="160" s="1"/>
  <c r="CC22" i="160"/>
  <c r="CD22" i="160" s="1"/>
  <c r="CE22" i="160" s="1"/>
  <c r="CF22" i="160" s="1"/>
  <c r="CG22" i="160" s="1"/>
  <c r="CH22" i="160" s="1"/>
  <c r="CI22" i="160" s="1"/>
  <c r="CB21" i="160"/>
  <c r="CA21" i="160"/>
  <c r="BZ21" i="160"/>
  <c r="BY21" i="160"/>
  <c r="BX21" i="160"/>
  <c r="BW21" i="160"/>
  <c r="BV21" i="160"/>
  <c r="CQ21" i="160"/>
  <c r="CR21" i="160" s="1"/>
  <c r="CS21" i="160" s="1"/>
  <c r="CT21" i="160" s="1"/>
  <c r="CU21" i="160" s="1"/>
  <c r="CV21" i="160" s="1"/>
  <c r="CW21" i="160" s="1"/>
  <c r="CJ21" i="160"/>
  <c r="CK21" i="160" s="1"/>
  <c r="CL21" i="160" s="1"/>
  <c r="CM21" i="160" s="1"/>
  <c r="CN21" i="160" s="1"/>
  <c r="CO21" i="160" s="1"/>
  <c r="CP21" i="160" s="1"/>
  <c r="CC21" i="160"/>
  <c r="CD21" i="160" s="1"/>
  <c r="CE21" i="160" s="1"/>
  <c r="CF21" i="160" s="1"/>
  <c r="CG21" i="160" s="1"/>
  <c r="CH21" i="160" s="1"/>
  <c r="CI21" i="160" s="1"/>
  <c r="CB20" i="160"/>
  <c r="CA20" i="160"/>
  <c r="BZ20" i="160"/>
  <c r="BY20" i="160"/>
  <c r="BX20" i="160"/>
  <c r="BW20" i="160"/>
  <c r="BV20" i="160"/>
  <c r="CQ20" i="160"/>
  <c r="CR20" i="160" s="1"/>
  <c r="CS20" i="160" s="1"/>
  <c r="CT20" i="160" s="1"/>
  <c r="CU20" i="160" s="1"/>
  <c r="CV20" i="160" s="1"/>
  <c r="CW20" i="160" s="1"/>
  <c r="CJ20" i="160"/>
  <c r="CK20" i="160" s="1"/>
  <c r="CL20" i="160" s="1"/>
  <c r="CM20" i="160" s="1"/>
  <c r="CN20" i="160" s="1"/>
  <c r="CO20" i="160" s="1"/>
  <c r="CP20" i="160" s="1"/>
  <c r="CC20" i="160"/>
  <c r="CD20" i="160" s="1"/>
  <c r="CE20" i="160" s="1"/>
  <c r="CF20" i="160" s="1"/>
  <c r="CG20" i="160" s="1"/>
  <c r="CH20" i="160" s="1"/>
  <c r="CI20" i="160" s="1"/>
  <c r="BH20" i="160"/>
  <c r="BI20" i="160" s="1"/>
  <c r="BJ20" i="160" s="1"/>
  <c r="BK20" i="160" s="1"/>
  <c r="BL20" i="160" s="1"/>
  <c r="BM20" i="160" s="1"/>
  <c r="BN20" i="160" s="1"/>
  <c r="I20" i="160"/>
  <c r="K20" i="160" s="1"/>
  <c r="CJ19" i="160"/>
  <c r="CK19" i="160" s="1"/>
  <c r="CL19" i="160" s="1"/>
  <c r="CM19" i="160" s="1"/>
  <c r="CN19" i="160" s="1"/>
  <c r="CO19" i="160" s="1"/>
  <c r="CP19" i="160" s="1"/>
  <c r="BV19" i="160"/>
  <c r="BH19" i="160"/>
  <c r="BI19" i="160" s="1"/>
  <c r="BJ19" i="160" s="1"/>
  <c r="BK19" i="160" s="1"/>
  <c r="BL19" i="160" s="1"/>
  <c r="BM19" i="160" s="1"/>
  <c r="BN19" i="160" s="1"/>
  <c r="I19" i="160"/>
  <c r="K19" i="160" s="1"/>
  <c r="BH18" i="160"/>
  <c r="BI18" i="160" s="1"/>
  <c r="BJ18" i="160" s="1"/>
  <c r="BK18" i="160" s="1"/>
  <c r="BL18" i="160" s="1"/>
  <c r="BM18" i="160" s="1"/>
  <c r="BN18" i="160" s="1"/>
  <c r="I18" i="160"/>
  <c r="BA18" i="160" s="1"/>
  <c r="BB18" i="160" s="1"/>
  <c r="P17" i="160"/>
  <c r="CB17" i="160" s="1"/>
  <c r="I17" i="160"/>
  <c r="N17" i="160" s="1"/>
  <c r="BO17" i="160" s="1"/>
  <c r="BP17" i="160" s="1"/>
  <c r="BQ17" i="160" s="1"/>
  <c r="BR17" i="160" s="1"/>
  <c r="BS17" i="160" s="1"/>
  <c r="BT17" i="160" s="1"/>
  <c r="BU17" i="160" s="1"/>
  <c r="CB16" i="160"/>
  <c r="CA16" i="160"/>
  <c r="BZ16" i="160"/>
  <c r="BY16" i="160"/>
  <c r="BX16" i="160"/>
  <c r="BW16" i="160"/>
  <c r="BV16" i="160"/>
  <c r="BH16" i="160"/>
  <c r="BI16" i="160" s="1"/>
  <c r="BJ16" i="160" s="1"/>
  <c r="BK16" i="160" s="1"/>
  <c r="BL16" i="160" s="1"/>
  <c r="BM16" i="160" s="1"/>
  <c r="BN16" i="160" s="1"/>
  <c r="I16" i="160"/>
  <c r="BA16" i="160" s="1"/>
  <c r="BB16" i="160" s="1"/>
  <c r="CB15" i="160"/>
  <c r="CA15" i="160"/>
  <c r="BZ15" i="160"/>
  <c r="BY15" i="160"/>
  <c r="BX15" i="160"/>
  <c r="BW15" i="160"/>
  <c r="BV15" i="160"/>
  <c r="I15" i="160"/>
  <c r="K15" i="160" s="1"/>
  <c r="V14" i="160"/>
  <c r="CQ14" i="160"/>
  <c r="CJ14" i="160"/>
  <c r="CC14" i="160"/>
  <c r="I14" i="160"/>
  <c r="N14" i="160" s="1"/>
  <c r="AH13" i="160"/>
  <c r="CQ13" i="160"/>
  <c r="CR13" i="160" s="1"/>
  <c r="CS13" i="160" s="1"/>
  <c r="CJ13" i="160"/>
  <c r="CK13" i="160" s="1"/>
  <c r="CL13" i="160" s="1"/>
  <c r="CC13" i="160"/>
  <c r="CD13" i="160" s="1"/>
  <c r="CE13" i="160" s="1"/>
  <c r="CA13" i="160"/>
  <c r="BH13" i="160"/>
  <c r="BI13" i="160" s="1"/>
  <c r="BJ13" i="160" s="1"/>
  <c r="I13" i="160"/>
  <c r="N13" i="160" s="1"/>
  <c r="V12" i="160"/>
  <c r="CQ12" i="160"/>
  <c r="EN12" i="160" s="1"/>
  <c r="CJ12" i="160"/>
  <c r="I12" i="160"/>
  <c r="K12" i="160" s="1"/>
  <c r="AH11" i="160"/>
  <c r="AI11" i="160" s="1"/>
  <c r="CQ11" i="160"/>
  <c r="CR11" i="160" s="1"/>
  <c r="CS11" i="160" s="1"/>
  <c r="CJ11" i="160"/>
  <c r="CK11" i="160" s="1"/>
  <c r="CL11" i="160" s="1"/>
  <c r="CC12" i="160"/>
  <c r="CB11" i="160"/>
  <c r="I11" i="160"/>
  <c r="N11" i="160" s="1"/>
  <c r="V10" i="160"/>
  <c r="CQ10" i="160"/>
  <c r="EN10" i="160" s="1"/>
  <c r="CJ10" i="160"/>
  <c r="I10" i="160"/>
  <c r="N10" i="160" s="1"/>
  <c r="AH9" i="160"/>
  <c r="AI9" i="160" s="1"/>
  <c r="CQ9" i="160"/>
  <c r="CR9" i="160" s="1"/>
  <c r="CS9" i="160" s="1"/>
  <c r="CJ9" i="160"/>
  <c r="CK9" i="160" s="1"/>
  <c r="CL9" i="160" s="1"/>
  <c r="EI9" i="160" s="1"/>
  <c r="BH9" i="160"/>
  <c r="BI9" i="160" s="1"/>
  <c r="BJ9" i="160" s="1"/>
  <c r="I9" i="160"/>
  <c r="CQ8" i="160"/>
  <c r="CR8" i="160" s="1"/>
  <c r="CS8" i="160" s="1"/>
  <c r="CT8" i="160" s="1"/>
  <c r="CU8" i="160" s="1"/>
  <c r="CV8" i="160" s="1"/>
  <c r="CW8" i="160" s="1"/>
  <c r="CJ8" i="160"/>
  <c r="CK8" i="160" s="1"/>
  <c r="CL8" i="160" s="1"/>
  <c r="CM8" i="160" s="1"/>
  <c r="CN8" i="160" s="1"/>
  <c r="CO8" i="160" s="1"/>
  <c r="CP8" i="160" s="1"/>
  <c r="CC8" i="160"/>
  <c r="CD8" i="160" s="1"/>
  <c r="CE8" i="160" s="1"/>
  <c r="CF8" i="160" s="1"/>
  <c r="CG8" i="160" s="1"/>
  <c r="CH8" i="160" s="1"/>
  <c r="CI8" i="160" s="1"/>
  <c r="CB8" i="160"/>
  <c r="CA8" i="160"/>
  <c r="BZ8" i="160"/>
  <c r="BY8" i="160"/>
  <c r="BX8" i="160"/>
  <c r="BW8" i="160"/>
  <c r="BV8" i="160"/>
  <c r="BO8" i="160"/>
  <c r="BP8" i="160" s="1"/>
  <c r="BQ8" i="160" s="1"/>
  <c r="BR8" i="160" s="1"/>
  <c r="BS8" i="160" s="1"/>
  <c r="BT8" i="160" s="1"/>
  <c r="BU8" i="160" s="1"/>
  <c r="BH8" i="160"/>
  <c r="BI8" i="160" s="1"/>
  <c r="BJ8" i="160" s="1"/>
  <c r="BK8" i="160" s="1"/>
  <c r="BL8" i="160" s="1"/>
  <c r="BM8" i="160" s="1"/>
  <c r="BN8" i="160" s="1"/>
  <c r="AA8" i="160"/>
  <c r="AB8" i="160" s="1"/>
  <c r="AC8" i="160" s="1"/>
  <c r="I8" i="160"/>
  <c r="BA8" i="160" s="1"/>
  <c r="BB8" i="160" s="1"/>
  <c r="CQ7" i="160"/>
  <c r="CR7" i="160" s="1"/>
  <c r="CS7" i="160" s="1"/>
  <c r="CT7" i="160" s="1"/>
  <c r="CU7" i="160" s="1"/>
  <c r="CV7" i="160" s="1"/>
  <c r="CW7" i="160" s="1"/>
  <c r="CJ7" i="160"/>
  <c r="CK7" i="160" s="1"/>
  <c r="CL7" i="160" s="1"/>
  <c r="CM7" i="160" s="1"/>
  <c r="CN7" i="160" s="1"/>
  <c r="CO7" i="160" s="1"/>
  <c r="CP7" i="160" s="1"/>
  <c r="CC7" i="160"/>
  <c r="CD7" i="160" s="1"/>
  <c r="CE7" i="160" s="1"/>
  <c r="CF7" i="160" s="1"/>
  <c r="CG7" i="160" s="1"/>
  <c r="CH7" i="160" s="1"/>
  <c r="CI7" i="160" s="1"/>
  <c r="CB7" i="160"/>
  <c r="CA7" i="160"/>
  <c r="BZ7" i="160"/>
  <c r="BY7" i="160"/>
  <c r="BX7" i="160"/>
  <c r="BW7" i="160"/>
  <c r="BV7" i="160"/>
  <c r="BO7" i="160"/>
  <c r="BP7" i="160" s="1"/>
  <c r="BQ7" i="160" s="1"/>
  <c r="BR7" i="160" s="1"/>
  <c r="BS7" i="160" s="1"/>
  <c r="BT7" i="160" s="1"/>
  <c r="BU7" i="160" s="1"/>
  <c r="BH7" i="160"/>
  <c r="BI7" i="160" s="1"/>
  <c r="BJ7" i="160" s="1"/>
  <c r="BK7" i="160" s="1"/>
  <c r="BL7" i="160" s="1"/>
  <c r="BM7" i="160" s="1"/>
  <c r="BN7" i="160" s="1"/>
  <c r="I7" i="160"/>
  <c r="BA7" i="160" s="1"/>
  <c r="BB7" i="160" s="1"/>
  <c r="CQ6" i="160"/>
  <c r="CR6" i="160" s="1"/>
  <c r="CS6" i="160" s="1"/>
  <c r="CT6" i="160" s="1"/>
  <c r="CU6" i="160" s="1"/>
  <c r="CV6" i="160" s="1"/>
  <c r="CW6" i="160" s="1"/>
  <c r="CJ6" i="160"/>
  <c r="CK6" i="160" s="1"/>
  <c r="CL6" i="160" s="1"/>
  <c r="CM6" i="160" s="1"/>
  <c r="CN6" i="160" s="1"/>
  <c r="CO6" i="160" s="1"/>
  <c r="CP6" i="160" s="1"/>
  <c r="CC6" i="160"/>
  <c r="CD6" i="160" s="1"/>
  <c r="CE6" i="160" s="1"/>
  <c r="CF6" i="160" s="1"/>
  <c r="CG6" i="160" s="1"/>
  <c r="CH6" i="160" s="1"/>
  <c r="CI6" i="160" s="1"/>
  <c r="CB6" i="160"/>
  <c r="CA6" i="160"/>
  <c r="BZ6" i="160"/>
  <c r="BY6" i="160"/>
  <c r="BX6" i="160"/>
  <c r="BW6" i="160"/>
  <c r="BV6" i="160"/>
  <c r="BO6" i="160"/>
  <c r="BP6" i="160" s="1"/>
  <c r="BQ6" i="160" s="1"/>
  <c r="BR6" i="160" s="1"/>
  <c r="BS6" i="160" s="1"/>
  <c r="BT6" i="160" s="1"/>
  <c r="BU6" i="160" s="1"/>
  <c r="BH6" i="160"/>
  <c r="BI6" i="160" s="1"/>
  <c r="BJ6" i="160" s="1"/>
  <c r="BK6" i="160" s="1"/>
  <c r="BL6" i="160" s="1"/>
  <c r="BM6" i="160" s="1"/>
  <c r="BN6" i="160" s="1"/>
  <c r="AA6" i="160"/>
  <c r="AB6" i="160" s="1"/>
  <c r="AC6" i="160" s="1"/>
  <c r="Y7" i="160"/>
  <c r="X7" i="160"/>
  <c r="W7" i="160"/>
  <c r="I6" i="160"/>
  <c r="BA6" i="160" s="1"/>
  <c r="BB6" i="160" s="1"/>
  <c r="BC6" i="160" s="1"/>
  <c r="FB1" i="160"/>
  <c r="FA1" i="160"/>
  <c r="EZ1" i="160"/>
  <c r="EY1" i="160"/>
  <c r="EX1" i="160"/>
  <c r="EW1" i="160"/>
  <c r="EV1" i="160"/>
  <c r="EU1" i="160"/>
  <c r="ET1" i="160"/>
  <c r="ES1" i="160"/>
  <c r="ER1" i="160"/>
  <c r="EQ1" i="160"/>
  <c r="EP1" i="160"/>
  <c r="EO1" i="160"/>
  <c r="EN1" i="160"/>
  <c r="EM1" i="160"/>
  <c r="EL1" i="160"/>
  <c r="EK1" i="160"/>
  <c r="EJ1" i="160"/>
  <c r="EI1" i="160"/>
  <c r="EH1" i="160"/>
  <c r="EG1" i="160"/>
  <c r="EF1" i="160"/>
  <c r="EE1" i="160"/>
  <c r="ED1" i="160"/>
  <c r="EC1" i="160"/>
  <c r="EB1" i="160"/>
  <c r="EA1" i="160"/>
  <c r="DZ1" i="160"/>
  <c r="DY1" i="160"/>
  <c r="DX1" i="160"/>
  <c r="DW1" i="160"/>
  <c r="DV1" i="160"/>
  <c r="DU1" i="160"/>
  <c r="DT1" i="160"/>
  <c r="DS1" i="160"/>
  <c r="DR1" i="160"/>
  <c r="DQ1" i="160"/>
  <c r="DP1" i="160"/>
  <c r="DO1" i="160"/>
  <c r="DN1" i="160"/>
  <c r="DM1" i="160"/>
  <c r="DL1" i="160"/>
  <c r="DK1" i="160"/>
  <c r="DJ1" i="160"/>
  <c r="DI1" i="160"/>
  <c r="DH1" i="160"/>
  <c r="DG1" i="160"/>
  <c r="DF1" i="160"/>
  <c r="DE1" i="160"/>
  <c r="DD1" i="160"/>
  <c r="DC1" i="160"/>
  <c r="DB1" i="160"/>
  <c r="DA1" i="160"/>
  <c r="CZ1" i="160"/>
  <c r="CY1" i="160"/>
  <c r="CX1" i="160"/>
  <c r="CW1" i="160"/>
  <c r="CV1" i="160"/>
  <c r="CU1" i="160"/>
  <c r="CT1" i="160"/>
  <c r="CS1" i="160"/>
  <c r="CR1" i="160"/>
  <c r="CQ1" i="160"/>
  <c r="CP1" i="160"/>
  <c r="CO1" i="160"/>
  <c r="CN1" i="160"/>
  <c r="CM1" i="160"/>
  <c r="CL1" i="160"/>
  <c r="CK1" i="160"/>
  <c r="CJ1" i="160"/>
  <c r="CI1" i="160"/>
  <c r="CH1" i="160"/>
  <c r="CG1" i="160"/>
  <c r="CF1" i="160"/>
  <c r="CE1" i="160"/>
  <c r="CD1" i="160"/>
  <c r="CC1" i="160"/>
  <c r="CB1" i="160"/>
  <c r="CA1" i="160"/>
  <c r="BZ1" i="160"/>
  <c r="BY1" i="160"/>
  <c r="BX1" i="160"/>
  <c r="BW1" i="160"/>
  <c r="BV1" i="160"/>
  <c r="BU1" i="160"/>
  <c r="BT1" i="160"/>
  <c r="BS1" i="160"/>
  <c r="BR1" i="160"/>
  <c r="BQ1" i="160"/>
  <c r="BP1" i="160"/>
  <c r="BO1" i="160"/>
  <c r="BN1" i="160"/>
  <c r="BM1" i="160"/>
  <c r="BL1" i="160"/>
  <c r="BK1" i="160"/>
  <c r="BJ1" i="160"/>
  <c r="BI1" i="160"/>
  <c r="BH1" i="160"/>
  <c r="BG1" i="160"/>
  <c r="BF1" i="160"/>
  <c r="BE1" i="160"/>
  <c r="BD1" i="160"/>
  <c r="BC1" i="160"/>
  <c r="BB1" i="160"/>
  <c r="BA1" i="160"/>
  <c r="AZ1" i="160"/>
  <c r="AY1" i="160"/>
  <c r="AX1" i="160"/>
  <c r="AW1" i="160"/>
  <c r="AV1" i="160"/>
  <c r="AU1" i="160"/>
  <c r="AT1" i="160"/>
  <c r="AS1" i="160"/>
  <c r="AR1" i="160"/>
  <c r="AQ1" i="160"/>
  <c r="AP1" i="160"/>
  <c r="AO1" i="160"/>
  <c r="AN1" i="160"/>
  <c r="AM1" i="160"/>
  <c r="AL1" i="160"/>
  <c r="AK1" i="160"/>
  <c r="AJ1" i="160"/>
  <c r="AI1" i="160"/>
  <c r="AH1" i="160"/>
  <c r="AG1" i="160"/>
  <c r="AF1" i="160"/>
  <c r="AE1" i="160"/>
  <c r="AD1" i="160"/>
  <c r="AC1" i="160"/>
  <c r="AB1" i="160"/>
  <c r="AA1" i="160"/>
  <c r="Z1" i="160"/>
  <c r="Y1" i="160"/>
  <c r="X1" i="160"/>
  <c r="W1" i="160"/>
  <c r="V1" i="160"/>
  <c r="U1" i="160"/>
  <c r="T1" i="160"/>
  <c r="S1" i="160"/>
  <c r="R1" i="160"/>
  <c r="Q1" i="160"/>
  <c r="P1" i="160"/>
  <c r="O1" i="160"/>
  <c r="N1" i="160"/>
  <c r="M1" i="160"/>
  <c r="L1" i="160"/>
  <c r="K1" i="160"/>
  <c r="J1" i="160"/>
  <c r="I1" i="160"/>
  <c r="H1" i="160"/>
  <c r="G1" i="160"/>
  <c r="F1" i="160"/>
  <c r="E1" i="160"/>
  <c r="D1" i="160"/>
  <c r="C1" i="160"/>
  <c r="B1" i="160"/>
  <c r="A1" i="160"/>
  <c r="BY69" i="160" l="1"/>
  <c r="BZ125" i="160"/>
  <c r="O209" i="160"/>
  <c r="Q46" i="160" s="1"/>
  <c r="CC46" i="160" s="1"/>
  <c r="CD46" i="160" s="1"/>
  <c r="CE46" i="160" s="1"/>
  <c r="CF46" i="160" s="1"/>
  <c r="CG46" i="160" s="1"/>
  <c r="CH46" i="160" s="1"/>
  <c r="CI46" i="160" s="1"/>
  <c r="Q208" i="160"/>
  <c r="S45" i="160" s="1"/>
  <c r="CQ45" i="160" s="1"/>
  <c r="CR45" i="160" s="1"/>
  <c r="CS45" i="160" s="1"/>
  <c r="CT45" i="160" s="1"/>
  <c r="CU45" i="160" s="1"/>
  <c r="CV45" i="160" s="1"/>
  <c r="CW45" i="160" s="1"/>
  <c r="CJ118" i="160"/>
  <c r="CK118" i="160" s="1"/>
  <c r="CL118" i="160" s="1"/>
  <c r="CM118" i="160" s="1"/>
  <c r="CN118" i="160" s="1"/>
  <c r="CO118" i="160" s="1"/>
  <c r="CP118" i="160" s="1"/>
  <c r="O207" i="160"/>
  <c r="Q44" i="160" s="1"/>
  <c r="Q8" i="135" s="1"/>
  <c r="Q210" i="160"/>
  <c r="S47" i="160" s="1"/>
  <c r="CQ47" i="160" s="1"/>
  <c r="CR47" i="160" s="1"/>
  <c r="CS47" i="160" s="1"/>
  <c r="CT47" i="160" s="1"/>
  <c r="CU47" i="160" s="1"/>
  <c r="CV47" i="160" s="1"/>
  <c r="CW47" i="160" s="1"/>
  <c r="CQ134" i="160"/>
  <c r="CR134" i="160" s="1"/>
  <c r="CS134" i="160" s="1"/>
  <c r="CT134" i="160" s="1"/>
  <c r="CU134" i="160" s="1"/>
  <c r="CV134" i="160" s="1"/>
  <c r="CW134" i="160" s="1"/>
  <c r="S38" i="135"/>
  <c r="S8" i="135" s="1"/>
  <c r="CQ138" i="160"/>
  <c r="CR138" i="160" s="1"/>
  <c r="CS138" i="160" s="1"/>
  <c r="CT138" i="160" s="1"/>
  <c r="CU138" i="160" s="1"/>
  <c r="CV138" i="160" s="1"/>
  <c r="CW138" i="160" s="1"/>
  <c r="S42" i="135"/>
  <c r="S12" i="135" s="1"/>
  <c r="CQ135" i="160"/>
  <c r="CR135" i="160" s="1"/>
  <c r="CS135" i="160" s="1"/>
  <c r="CT135" i="160" s="1"/>
  <c r="CU135" i="160" s="1"/>
  <c r="CV135" i="160" s="1"/>
  <c r="CW135" i="160" s="1"/>
  <c r="S39" i="135"/>
  <c r="S9" i="135" s="1"/>
  <c r="CQ139" i="160"/>
  <c r="CR139" i="160" s="1"/>
  <c r="CS139" i="160" s="1"/>
  <c r="CT139" i="160" s="1"/>
  <c r="CU139" i="160" s="1"/>
  <c r="CV139" i="160" s="1"/>
  <c r="CW139" i="160" s="1"/>
  <c r="S43" i="135"/>
  <c r="S13" i="135" s="1"/>
  <c r="CQ136" i="160"/>
  <c r="CR136" i="160" s="1"/>
  <c r="CS136" i="160" s="1"/>
  <c r="CT136" i="160" s="1"/>
  <c r="CU136" i="160" s="1"/>
  <c r="CV136" i="160" s="1"/>
  <c r="CW136" i="160" s="1"/>
  <c r="S40" i="135"/>
  <c r="S10" i="135" s="1"/>
  <c r="CQ137" i="160"/>
  <c r="CR137" i="160" s="1"/>
  <c r="CS137" i="160" s="1"/>
  <c r="CT137" i="160" s="1"/>
  <c r="CU137" i="160" s="1"/>
  <c r="CV137" i="160" s="1"/>
  <c r="CW137" i="160" s="1"/>
  <c r="S41" i="135"/>
  <c r="S11" i="135" s="1"/>
  <c r="CC108" i="160"/>
  <c r="CD108" i="160" s="1"/>
  <c r="CE108" i="160" s="1"/>
  <c r="CF108" i="160" s="1"/>
  <c r="CG108" i="160" s="1"/>
  <c r="CH108" i="160" s="1"/>
  <c r="CI108" i="160" s="1"/>
  <c r="CJ108" i="160"/>
  <c r="CK108" i="160" s="1"/>
  <c r="CL108" i="160" s="1"/>
  <c r="CM108" i="160" s="1"/>
  <c r="CN108" i="160" s="1"/>
  <c r="CO108" i="160" s="1"/>
  <c r="CP108" i="160" s="1"/>
  <c r="O208" i="160"/>
  <c r="Q45" i="160" s="1"/>
  <c r="Q9" i="135" s="1"/>
  <c r="BZ19" i="160"/>
  <c r="CC33" i="160"/>
  <c r="CD33" i="160" s="1"/>
  <c r="CE33" i="160" s="1"/>
  <c r="CF33" i="160" s="1"/>
  <c r="CG33" i="160" s="1"/>
  <c r="CH33" i="160" s="1"/>
  <c r="CI33" i="160" s="1"/>
  <c r="Q16" i="135"/>
  <c r="CJ33" i="160"/>
  <c r="CK33" i="160" s="1"/>
  <c r="CL33" i="160" s="1"/>
  <c r="CM33" i="160" s="1"/>
  <c r="CN33" i="160" s="1"/>
  <c r="CO33" i="160" s="1"/>
  <c r="CP33" i="160" s="1"/>
  <c r="R16" i="135"/>
  <c r="CQ33" i="160"/>
  <c r="CR33" i="160" s="1"/>
  <c r="CS33" i="160" s="1"/>
  <c r="CT33" i="160" s="1"/>
  <c r="CU33" i="160" s="1"/>
  <c r="CV33" i="160" s="1"/>
  <c r="CW33" i="160" s="1"/>
  <c r="T46" i="135"/>
  <c r="T31" i="135"/>
  <c r="BO52" i="160"/>
  <c r="BP52" i="160" s="1"/>
  <c r="BQ52" i="160" s="1"/>
  <c r="BR52" i="160" s="1"/>
  <c r="BS52" i="160" s="1"/>
  <c r="BT52" i="160" s="1"/>
  <c r="BU52" i="160" s="1"/>
  <c r="BO53" i="160"/>
  <c r="BP53" i="160" s="1"/>
  <c r="BQ53" i="160" s="1"/>
  <c r="BR53" i="160" s="1"/>
  <c r="BS53" i="160" s="1"/>
  <c r="BT53" i="160" s="1"/>
  <c r="BU53" i="160" s="1"/>
  <c r="BY53" i="160"/>
  <c r="CB53" i="160"/>
  <c r="CA53" i="160"/>
  <c r="BV77" i="160"/>
  <c r="BV80" i="160"/>
  <c r="BV78" i="160"/>
  <c r="BO96" i="160"/>
  <c r="BP96" i="160" s="1"/>
  <c r="BQ96" i="160" s="1"/>
  <c r="BR96" i="160" s="1"/>
  <c r="BS96" i="160" s="1"/>
  <c r="BT96" i="160" s="1"/>
  <c r="BU96" i="160" s="1"/>
  <c r="CA112" i="160"/>
  <c r="BH44" i="160"/>
  <c r="BI44" i="160" s="1"/>
  <c r="BJ44" i="160" s="1"/>
  <c r="BK44" i="160" s="1"/>
  <c r="BL44" i="160" s="1"/>
  <c r="BM44" i="160" s="1"/>
  <c r="BN44" i="160" s="1"/>
  <c r="J8" i="135"/>
  <c r="CC49" i="160"/>
  <c r="CD49" i="160" s="1"/>
  <c r="CE49" i="160" s="1"/>
  <c r="CF49" i="160" s="1"/>
  <c r="CG49" i="160" s="1"/>
  <c r="CH49" i="160" s="1"/>
  <c r="CI49" i="160" s="1"/>
  <c r="Q13" i="135"/>
  <c r="BI11" i="135"/>
  <c r="BJ11" i="135" s="1"/>
  <c r="BK11" i="135" s="1"/>
  <c r="BL11" i="135" s="1"/>
  <c r="BM11" i="135" s="1"/>
  <c r="BN11" i="135" s="1"/>
  <c r="BO11" i="135" s="1"/>
  <c r="J41" i="135"/>
  <c r="BI41" i="135" s="1"/>
  <c r="BJ41" i="135" s="1"/>
  <c r="BK41" i="135" s="1"/>
  <c r="BL41" i="135" s="1"/>
  <c r="BM41" i="135" s="1"/>
  <c r="BN41" i="135" s="1"/>
  <c r="BO41" i="135" s="1"/>
  <c r="J26" i="135"/>
  <c r="BI26" i="135" s="1"/>
  <c r="BJ26" i="135" s="1"/>
  <c r="BK26" i="135" s="1"/>
  <c r="BL26" i="135" s="1"/>
  <c r="BM26" i="135" s="1"/>
  <c r="BN26" i="135" s="1"/>
  <c r="BO26" i="135" s="1"/>
  <c r="G42" i="135"/>
  <c r="G27" i="135"/>
  <c r="L41" i="135"/>
  <c r="L26" i="135"/>
  <c r="BH48" i="160"/>
  <c r="BI48" i="160" s="1"/>
  <c r="BJ48" i="160" s="1"/>
  <c r="BK48" i="160" s="1"/>
  <c r="BL48" i="160" s="1"/>
  <c r="BM48" i="160" s="1"/>
  <c r="BN48" i="160" s="1"/>
  <c r="J12" i="135"/>
  <c r="BW65" i="160"/>
  <c r="BV68" i="160"/>
  <c r="BW70" i="160"/>
  <c r="J24" i="135"/>
  <c r="BI24" i="135" s="1"/>
  <c r="BJ24" i="135" s="1"/>
  <c r="BK24" i="135" s="1"/>
  <c r="BL24" i="135" s="1"/>
  <c r="BM24" i="135" s="1"/>
  <c r="BN24" i="135" s="1"/>
  <c r="BO24" i="135" s="1"/>
  <c r="J39" i="135"/>
  <c r="BI39" i="135" s="1"/>
  <c r="BJ39" i="135" s="1"/>
  <c r="BK39" i="135" s="1"/>
  <c r="BL39" i="135" s="1"/>
  <c r="BM39" i="135" s="1"/>
  <c r="BN39" i="135" s="1"/>
  <c r="BO39" i="135" s="1"/>
  <c r="BI9" i="135"/>
  <c r="BJ9" i="135" s="1"/>
  <c r="BK9" i="135" s="1"/>
  <c r="BL9" i="135" s="1"/>
  <c r="BM9" i="135" s="1"/>
  <c r="BN9" i="135" s="1"/>
  <c r="BO9" i="135" s="1"/>
  <c r="L24" i="135"/>
  <c r="L39" i="135"/>
  <c r="L40" i="135"/>
  <c r="L25" i="135"/>
  <c r="T43" i="135"/>
  <c r="T28" i="135"/>
  <c r="T39" i="135"/>
  <c r="T24" i="135"/>
  <c r="CJ46" i="160"/>
  <c r="CK46" i="160" s="1"/>
  <c r="CL46" i="160" s="1"/>
  <c r="CM46" i="160" s="1"/>
  <c r="CN46" i="160" s="1"/>
  <c r="CO46" i="160" s="1"/>
  <c r="CP46" i="160" s="1"/>
  <c r="R10" i="135"/>
  <c r="CJ47" i="160"/>
  <c r="CK47" i="160" s="1"/>
  <c r="CL47" i="160" s="1"/>
  <c r="CM47" i="160" s="1"/>
  <c r="CN47" i="160" s="1"/>
  <c r="CO47" i="160" s="1"/>
  <c r="CP47" i="160" s="1"/>
  <c r="R11" i="135"/>
  <c r="L42" i="135"/>
  <c r="L27" i="135"/>
  <c r="G43" i="135"/>
  <c r="G28" i="135"/>
  <c r="BZ75" i="160"/>
  <c r="T40" i="135"/>
  <c r="T25" i="135"/>
  <c r="CC48" i="160"/>
  <c r="CD48" i="160" s="1"/>
  <c r="CE48" i="160" s="1"/>
  <c r="CF48" i="160" s="1"/>
  <c r="CG48" i="160" s="1"/>
  <c r="CH48" i="160" s="1"/>
  <c r="CI48" i="160" s="1"/>
  <c r="Q12" i="135"/>
  <c r="BH49" i="160"/>
  <c r="BI49" i="160" s="1"/>
  <c r="BJ49" i="160" s="1"/>
  <c r="BK49" i="160" s="1"/>
  <c r="BL49" i="160" s="1"/>
  <c r="BM49" i="160" s="1"/>
  <c r="BN49" i="160" s="1"/>
  <c r="J13" i="135"/>
  <c r="BX61" i="160"/>
  <c r="BV73" i="160"/>
  <c r="G38" i="135"/>
  <c r="G23" i="135"/>
  <c r="G39" i="135"/>
  <c r="G24" i="135"/>
  <c r="T41" i="135"/>
  <c r="T26" i="135"/>
  <c r="CJ48" i="160"/>
  <c r="CK48" i="160" s="1"/>
  <c r="CL48" i="160" s="1"/>
  <c r="CM48" i="160" s="1"/>
  <c r="CN48" i="160" s="1"/>
  <c r="CO48" i="160" s="1"/>
  <c r="CP48" i="160" s="1"/>
  <c r="R12" i="135"/>
  <c r="L43" i="135"/>
  <c r="L28" i="135"/>
  <c r="BZ53" i="160"/>
  <c r="CB61" i="160"/>
  <c r="BW73" i="160"/>
  <c r="BV119" i="160"/>
  <c r="CQ48" i="160"/>
  <c r="CR48" i="160" s="1"/>
  <c r="CS48" i="160" s="1"/>
  <c r="CT48" i="160" s="1"/>
  <c r="CU48" i="160" s="1"/>
  <c r="CV48" i="160" s="1"/>
  <c r="CW48" i="160" s="1"/>
  <c r="L23" i="135"/>
  <c r="L38" i="135"/>
  <c r="I46" i="160"/>
  <c r="BA46" i="160" s="1"/>
  <c r="BB46" i="160" s="1"/>
  <c r="CJ49" i="160"/>
  <c r="CK49" i="160" s="1"/>
  <c r="CL49" i="160" s="1"/>
  <c r="CM49" i="160" s="1"/>
  <c r="CN49" i="160" s="1"/>
  <c r="CO49" i="160" s="1"/>
  <c r="CP49" i="160" s="1"/>
  <c r="R13" i="135"/>
  <c r="CJ44" i="160"/>
  <c r="CK44" i="160" s="1"/>
  <c r="CL44" i="160" s="1"/>
  <c r="CM44" i="160" s="1"/>
  <c r="CN44" i="160" s="1"/>
  <c r="CO44" i="160" s="1"/>
  <c r="CP44" i="160" s="1"/>
  <c r="R8" i="135"/>
  <c r="J40" i="135"/>
  <c r="BI40" i="135" s="1"/>
  <c r="BJ40" i="135" s="1"/>
  <c r="BK40" i="135" s="1"/>
  <c r="BL40" i="135" s="1"/>
  <c r="BM40" i="135" s="1"/>
  <c r="BN40" i="135" s="1"/>
  <c r="BO40" i="135" s="1"/>
  <c r="J25" i="135"/>
  <c r="BI25" i="135" s="1"/>
  <c r="BJ25" i="135" s="1"/>
  <c r="BK25" i="135" s="1"/>
  <c r="BL25" i="135" s="1"/>
  <c r="BM25" i="135" s="1"/>
  <c r="BN25" i="135" s="1"/>
  <c r="BO25" i="135" s="1"/>
  <c r="BI10" i="135"/>
  <c r="BJ10" i="135" s="1"/>
  <c r="BK10" i="135" s="1"/>
  <c r="BL10" i="135" s="1"/>
  <c r="BM10" i="135" s="1"/>
  <c r="BN10" i="135" s="1"/>
  <c r="BO10" i="135" s="1"/>
  <c r="G41" i="135"/>
  <c r="G26" i="135"/>
  <c r="CQ49" i="160"/>
  <c r="CR49" i="160" s="1"/>
  <c r="CS49" i="160" s="1"/>
  <c r="CT49" i="160" s="1"/>
  <c r="CU49" i="160" s="1"/>
  <c r="CV49" i="160" s="1"/>
  <c r="CW49" i="160" s="1"/>
  <c r="BO98" i="160"/>
  <c r="BP98" i="160" s="1"/>
  <c r="BQ98" i="160" s="1"/>
  <c r="BR98" i="160" s="1"/>
  <c r="BS98" i="160" s="1"/>
  <c r="BT98" i="160" s="1"/>
  <c r="BU98" i="160" s="1"/>
  <c r="T42" i="135"/>
  <c r="T27" i="135"/>
  <c r="T23" i="135"/>
  <c r="T38" i="135"/>
  <c r="CJ45" i="160"/>
  <c r="CK45" i="160" s="1"/>
  <c r="CL45" i="160" s="1"/>
  <c r="CM45" i="160" s="1"/>
  <c r="CN45" i="160" s="1"/>
  <c r="CO45" i="160" s="1"/>
  <c r="CP45" i="160" s="1"/>
  <c r="R9" i="135"/>
  <c r="CC118" i="160"/>
  <c r="CD118" i="160" s="1"/>
  <c r="CE118" i="160" s="1"/>
  <c r="CF118" i="160" s="1"/>
  <c r="CG118" i="160" s="1"/>
  <c r="CH118" i="160" s="1"/>
  <c r="CI118" i="160" s="1"/>
  <c r="O210" i="160"/>
  <c r="Q47" i="160" s="1"/>
  <c r="Q207" i="160"/>
  <c r="S44" i="160" s="1"/>
  <c r="BV86" i="160"/>
  <c r="CA117" i="160"/>
  <c r="BW105" i="160"/>
  <c r="CA70" i="160"/>
  <c r="BW106" i="160"/>
  <c r="BW113" i="160"/>
  <c r="CB78" i="160"/>
  <c r="BY97" i="160"/>
  <c r="EB103" i="160"/>
  <c r="BW118" i="160"/>
  <c r="CA124" i="160"/>
  <c r="BZ97" i="160"/>
  <c r="CC15" i="160"/>
  <c r="CD15" i="160" s="1"/>
  <c r="CE15" i="160" s="1"/>
  <c r="CF15" i="160" s="1"/>
  <c r="CG15" i="160" s="1"/>
  <c r="CH15" i="160" s="1"/>
  <c r="CI15" i="160" s="1"/>
  <c r="BZ70" i="160"/>
  <c r="BW79" i="160"/>
  <c r="BY118" i="160"/>
  <c r="CB118" i="160"/>
  <c r="CB117" i="160"/>
  <c r="BZ69" i="160"/>
  <c r="BX77" i="160"/>
  <c r="BY77" i="160"/>
  <c r="CA68" i="160"/>
  <c r="BZ76" i="160"/>
  <c r="CC11" i="160"/>
  <c r="CD11" i="160" s="1"/>
  <c r="CE11" i="160" s="1"/>
  <c r="EB11" i="160" s="1"/>
  <c r="CA76" i="160"/>
  <c r="CA75" i="160"/>
  <c r="BX11" i="160"/>
  <c r="DU11" i="160" s="1"/>
  <c r="BX76" i="160"/>
  <c r="BY11" i="160"/>
  <c r="DV11" i="160" s="1"/>
  <c r="CA77" i="160"/>
  <c r="CB68" i="160"/>
  <c r="CB76" i="160"/>
  <c r="BW93" i="160"/>
  <c r="BW97" i="160"/>
  <c r="BO51" i="160"/>
  <c r="BP51" i="160" s="1"/>
  <c r="BQ51" i="160" s="1"/>
  <c r="BR51" i="160" s="1"/>
  <c r="BS51" i="160" s="1"/>
  <c r="BT51" i="160" s="1"/>
  <c r="BU51" i="160" s="1"/>
  <c r="BX70" i="160"/>
  <c r="BZ78" i="160"/>
  <c r="BV90" i="160"/>
  <c r="BX93" i="160"/>
  <c r="CB96" i="160"/>
  <c r="BX97" i="160"/>
  <c r="BY110" i="160"/>
  <c r="BX126" i="160"/>
  <c r="CA126" i="160"/>
  <c r="CA113" i="160"/>
  <c r="BZ117" i="160"/>
  <c r="BZ134" i="160"/>
  <c r="CA60" i="160"/>
  <c r="BW80" i="160"/>
  <c r="BX123" i="160"/>
  <c r="BZ106" i="160"/>
  <c r="BZ123" i="160"/>
  <c r="CA106" i="160"/>
  <c r="BV112" i="160"/>
  <c r="BX113" i="160"/>
  <c r="BW116" i="160"/>
  <c r="BY122" i="160"/>
  <c r="CB123" i="160"/>
  <c r="CA125" i="160"/>
  <c r="BW127" i="160"/>
  <c r="EO104" i="160"/>
  <c r="BX112" i="160"/>
  <c r="BY116" i="160"/>
  <c r="BX127" i="160"/>
  <c r="CB71" i="160"/>
  <c r="DY71" i="160" s="1"/>
  <c r="BX65" i="160"/>
  <c r="CC16" i="160"/>
  <c r="CD16" i="160" s="1"/>
  <c r="CE16" i="160" s="1"/>
  <c r="CF16" i="160" s="1"/>
  <c r="CG16" i="160" s="1"/>
  <c r="CH16" i="160" s="1"/>
  <c r="CI16" i="160" s="1"/>
  <c r="BX80" i="160"/>
  <c r="CB65" i="160"/>
  <c r="BV71" i="160"/>
  <c r="DS71" i="160" s="1"/>
  <c r="BY73" i="160"/>
  <c r="BZ80" i="160"/>
  <c r="BO97" i="160"/>
  <c r="BP97" i="160" s="1"/>
  <c r="BQ97" i="160" s="1"/>
  <c r="BR97" i="160" s="1"/>
  <c r="BS97" i="160" s="1"/>
  <c r="BT97" i="160" s="1"/>
  <c r="BU97" i="160" s="1"/>
  <c r="BA12" i="160"/>
  <c r="CX12" i="160" s="1"/>
  <c r="BW71" i="160"/>
  <c r="DT71" i="160" s="1"/>
  <c r="CA73" i="160"/>
  <c r="BW78" i="160"/>
  <c r="BX79" i="160"/>
  <c r="CA80" i="160"/>
  <c r="CA97" i="160"/>
  <c r="EN100" i="160"/>
  <c r="EP103" i="160"/>
  <c r="N12" i="160"/>
  <c r="BO12" i="160" s="1"/>
  <c r="BP12" i="160" s="1"/>
  <c r="CJ17" i="160"/>
  <c r="CK17" i="160" s="1"/>
  <c r="CL17" i="160" s="1"/>
  <c r="CM17" i="160" s="1"/>
  <c r="CN17" i="160" s="1"/>
  <c r="CO17" i="160" s="1"/>
  <c r="CP17" i="160" s="1"/>
  <c r="BV61" i="160"/>
  <c r="BX71" i="160"/>
  <c r="DU71" i="160" s="1"/>
  <c r="CB73" i="160"/>
  <c r="BV75" i="160"/>
  <c r="BW76" i="160"/>
  <c r="BW77" i="160"/>
  <c r="BX78" i="160"/>
  <c r="BZ79" i="160"/>
  <c r="CB80" i="160"/>
  <c r="BV96" i="160"/>
  <c r="BV98" i="160"/>
  <c r="BZ112" i="160"/>
  <c r="BZ116" i="160"/>
  <c r="BZ127" i="160"/>
  <c r="CA127" i="160"/>
  <c r="K18" i="160"/>
  <c r="K108" i="160" s="1"/>
  <c r="BZ65" i="160"/>
  <c r="BX73" i="160"/>
  <c r="DY11" i="160"/>
  <c r="BW60" i="160"/>
  <c r="BZ71" i="160"/>
  <c r="DW71" i="160" s="1"/>
  <c r="BW75" i="160"/>
  <c r="BW96" i="160"/>
  <c r="BW98" i="160"/>
  <c r="BA17" i="160"/>
  <c r="BB17" i="160" s="1"/>
  <c r="BE17" i="160" s="1"/>
  <c r="BW51" i="160"/>
  <c r="BV53" i="160"/>
  <c r="BY61" i="160"/>
  <c r="BX69" i="160"/>
  <c r="BV70" i="160"/>
  <c r="CA71" i="160"/>
  <c r="DX71" i="160" s="1"/>
  <c r="BX75" i="160"/>
  <c r="CA78" i="160"/>
  <c r="CJ106" i="160"/>
  <c r="CK106" i="160" s="1"/>
  <c r="CL106" i="160" s="1"/>
  <c r="CM106" i="160" s="1"/>
  <c r="CN106" i="160" s="1"/>
  <c r="CO106" i="160" s="1"/>
  <c r="CP106" i="160" s="1"/>
  <c r="BV121" i="160"/>
  <c r="BV123" i="160"/>
  <c r="CB124" i="160"/>
  <c r="BZ126" i="160"/>
  <c r="CB127" i="160"/>
  <c r="BZ121" i="160"/>
  <c r="BW123" i="160"/>
  <c r="CK102" i="160"/>
  <c r="CL102" i="160" s="1"/>
  <c r="CM102" i="160" s="1"/>
  <c r="CN102" i="160" s="1"/>
  <c r="CO102" i="160" s="1"/>
  <c r="CP102" i="160" s="1"/>
  <c r="EG102" i="160"/>
  <c r="CA130" i="160"/>
  <c r="CA132" i="160"/>
  <c r="BE6" i="160"/>
  <c r="EK56" i="160"/>
  <c r="CJ15" i="160"/>
  <c r="CK15" i="160" s="1"/>
  <c r="CL15" i="160" s="1"/>
  <c r="CM15" i="160" s="1"/>
  <c r="CN15" i="160" s="1"/>
  <c r="CO15" i="160" s="1"/>
  <c r="CP15" i="160" s="1"/>
  <c r="CA19" i="160"/>
  <c r="CQ105" i="160"/>
  <c r="CR105" i="160" s="1"/>
  <c r="CS105" i="160" s="1"/>
  <c r="CT105" i="160" s="1"/>
  <c r="CU105" i="160" s="1"/>
  <c r="CV105" i="160" s="1"/>
  <c r="CW105" i="160" s="1"/>
  <c r="BA11" i="160"/>
  <c r="BB11" i="160" s="1"/>
  <c r="BE11" i="160" s="1"/>
  <c r="DB11" i="160" s="1"/>
  <c r="K14" i="160"/>
  <c r="K104" i="160" s="1"/>
  <c r="S15" i="160"/>
  <c r="BA15" i="160"/>
  <c r="BB15" i="160" s="1"/>
  <c r="BE15" i="160" s="1"/>
  <c r="BY90" i="160"/>
  <c r="BW92" i="160"/>
  <c r="CB130" i="160"/>
  <c r="CB139" i="160"/>
  <c r="BX131" i="160"/>
  <c r="BX133" i="160"/>
  <c r="CJ16" i="160"/>
  <c r="CK16" i="160" s="1"/>
  <c r="CL16" i="160" s="1"/>
  <c r="CM16" i="160" s="1"/>
  <c r="CN16" i="160" s="1"/>
  <c r="CO16" i="160" s="1"/>
  <c r="CP16" i="160" s="1"/>
  <c r="CQ17" i="160"/>
  <c r="CR17" i="160" s="1"/>
  <c r="CS17" i="160" s="1"/>
  <c r="CT17" i="160" s="1"/>
  <c r="CU17" i="160" s="1"/>
  <c r="CV17" i="160" s="1"/>
  <c r="CW17" i="160" s="1"/>
  <c r="EP54" i="160"/>
  <c r="CC105" i="160"/>
  <c r="CD105" i="160" s="1"/>
  <c r="CE105" i="160" s="1"/>
  <c r="CF105" i="160" s="1"/>
  <c r="CG105" i="160" s="1"/>
  <c r="CH105" i="160" s="1"/>
  <c r="CI105" i="160" s="1"/>
  <c r="BV130" i="160"/>
  <c r="BV132" i="160"/>
  <c r="Q165" i="160"/>
  <c r="S19" i="160" s="1"/>
  <c r="CQ19" i="160" s="1"/>
  <c r="CR19" i="160" s="1"/>
  <c r="CS19" i="160" s="1"/>
  <c r="CT19" i="160" s="1"/>
  <c r="CU19" i="160" s="1"/>
  <c r="CV19" i="160" s="1"/>
  <c r="CW19" i="160" s="1"/>
  <c r="BA27" i="160"/>
  <c r="BB27" i="160" s="1"/>
  <c r="BC27" i="160" s="1"/>
  <c r="K27" i="160"/>
  <c r="N27" i="160" s="1"/>
  <c r="CB9" i="160"/>
  <c r="DY9" i="160" s="1"/>
  <c r="BV9" i="160"/>
  <c r="BY87" i="160"/>
  <c r="BX87" i="160"/>
  <c r="BW87" i="160"/>
  <c r="BW86" i="160"/>
  <c r="CB86" i="160"/>
  <c r="CA86" i="160"/>
  <c r="BZ86" i="160"/>
  <c r="BX86" i="160"/>
  <c r="CR12" i="160"/>
  <c r="BZ14" i="160"/>
  <c r="BX14" i="160"/>
  <c r="CS104" i="160"/>
  <c r="CT104" i="160" s="1"/>
  <c r="CU104" i="160" s="1"/>
  <c r="CV104" i="160" s="1"/>
  <c r="CW104" i="160" s="1"/>
  <c r="Z7" i="160"/>
  <c r="AA7" i="160" s="1"/>
  <c r="AB7" i="160" s="1"/>
  <c r="AC7" i="160" s="1"/>
  <c r="DZ7" i="160" s="1"/>
  <c r="BW14" i="160"/>
  <c r="DT14" i="160" s="1"/>
  <c r="BZ85" i="160"/>
  <c r="BV85" i="160"/>
  <c r="BY88" i="160"/>
  <c r="CB88" i="160"/>
  <c r="CA88" i="160"/>
  <c r="BZ88" i="160"/>
  <c r="BW88" i="160"/>
  <c r="EN104" i="160"/>
  <c r="BY13" i="160"/>
  <c r="DV13" i="160" s="1"/>
  <c r="BX13" i="160"/>
  <c r="DU13" i="160" s="1"/>
  <c r="BW13" i="160"/>
  <c r="BV13" i="160"/>
  <c r="BZ18" i="160"/>
  <c r="BW18" i="160"/>
  <c r="BV18" i="160"/>
  <c r="CQ15" i="160"/>
  <c r="CR15" i="160" s="1"/>
  <c r="CS15" i="160" s="1"/>
  <c r="CT15" i="160" s="1"/>
  <c r="CU15" i="160" s="1"/>
  <c r="CV15" i="160" s="1"/>
  <c r="CW15" i="160" s="1"/>
  <c r="BZ13" i="160"/>
  <c r="DW13" i="160" s="1"/>
  <c r="CB13" i="160"/>
  <c r="BX88" i="160"/>
  <c r="EJ99" i="160"/>
  <c r="CQ106" i="160"/>
  <c r="CR106" i="160" s="1"/>
  <c r="CS106" i="160" s="1"/>
  <c r="CT106" i="160" s="1"/>
  <c r="CU106" i="160" s="1"/>
  <c r="CV106" i="160" s="1"/>
  <c r="CW106" i="160" s="1"/>
  <c r="CC107" i="160"/>
  <c r="CD107" i="160" s="1"/>
  <c r="CE107" i="160" s="1"/>
  <c r="CF107" i="160" s="1"/>
  <c r="CG107" i="160" s="1"/>
  <c r="CH107" i="160" s="1"/>
  <c r="CI107" i="160" s="1"/>
  <c r="S16" i="160"/>
  <c r="CQ16" i="160" s="1"/>
  <c r="CR16" i="160" s="1"/>
  <c r="CS16" i="160" s="1"/>
  <c r="CT16" i="160" s="1"/>
  <c r="CU16" i="160" s="1"/>
  <c r="CV16" i="160" s="1"/>
  <c r="CW16" i="160" s="1"/>
  <c r="CJ18" i="160"/>
  <c r="CK18" i="160" s="1"/>
  <c r="CL18" i="160" s="1"/>
  <c r="CM18" i="160" s="1"/>
  <c r="CN18" i="160" s="1"/>
  <c r="CO18" i="160" s="1"/>
  <c r="CP18" i="160" s="1"/>
  <c r="BX19" i="160"/>
  <c r="BV87" i="160"/>
  <c r="EG100" i="160"/>
  <c r="CJ107" i="160"/>
  <c r="CK107" i="160" s="1"/>
  <c r="CL107" i="160" s="1"/>
  <c r="CM107" i="160" s="1"/>
  <c r="CN107" i="160" s="1"/>
  <c r="CO107" i="160" s="1"/>
  <c r="CP107" i="160" s="1"/>
  <c r="CB128" i="160"/>
  <c r="BW132" i="160"/>
  <c r="BZ133" i="160"/>
  <c r="Q209" i="160"/>
  <c r="S46" i="160" s="1"/>
  <c r="CC106" i="160"/>
  <c r="CD106" i="160" s="1"/>
  <c r="CE106" i="160" s="1"/>
  <c r="CF106" i="160" s="1"/>
  <c r="CG106" i="160" s="1"/>
  <c r="CH106" i="160" s="1"/>
  <c r="CI106" i="160" s="1"/>
  <c r="CA133" i="160"/>
  <c r="BZ138" i="160"/>
  <c r="CB133" i="160"/>
  <c r="BV136" i="160"/>
  <c r="BW130" i="160"/>
  <c r="BX136" i="160"/>
  <c r="BX130" i="160"/>
  <c r="BY136" i="160"/>
  <c r="BZ130" i="160"/>
  <c r="BW139" i="160"/>
  <c r="O165" i="160"/>
  <c r="Q19" i="160" s="1"/>
  <c r="CC19" i="160" s="1"/>
  <c r="CD19" i="160" s="1"/>
  <c r="CE19" i="160" s="1"/>
  <c r="CF19" i="160" s="1"/>
  <c r="CG19" i="160" s="1"/>
  <c r="CH19" i="160" s="1"/>
  <c r="CI19" i="160" s="1"/>
  <c r="BX139" i="160"/>
  <c r="CQ18" i="160"/>
  <c r="CR18" i="160" s="1"/>
  <c r="CS18" i="160" s="1"/>
  <c r="CT18" i="160" s="1"/>
  <c r="CU18" i="160" s="1"/>
  <c r="CV18" i="160" s="1"/>
  <c r="CW18" i="160" s="1"/>
  <c r="CJ28" i="160"/>
  <c r="CK28" i="160" s="1"/>
  <c r="CL28" i="160" s="1"/>
  <c r="CM28" i="160" s="1"/>
  <c r="CN28" i="160" s="1"/>
  <c r="CO28" i="160" s="1"/>
  <c r="CP28" i="160" s="1"/>
  <c r="EN59" i="160"/>
  <c r="BZ93" i="160"/>
  <c r="S28" i="160"/>
  <c r="CQ28" i="160" s="1"/>
  <c r="CR28" i="160" s="1"/>
  <c r="CS28" i="160" s="1"/>
  <c r="CT28" i="160" s="1"/>
  <c r="CU28" i="160" s="1"/>
  <c r="CV28" i="160" s="1"/>
  <c r="CW28" i="160" s="1"/>
  <c r="BY92" i="160"/>
  <c r="CB93" i="160"/>
  <c r="CJ105" i="160"/>
  <c r="CK105" i="160" s="1"/>
  <c r="CL105" i="160" s="1"/>
  <c r="CM105" i="160" s="1"/>
  <c r="CN105" i="160" s="1"/>
  <c r="CO105" i="160" s="1"/>
  <c r="CP105" i="160" s="1"/>
  <c r="CQ108" i="160"/>
  <c r="CR108" i="160" s="1"/>
  <c r="CS108" i="160" s="1"/>
  <c r="CT108" i="160" s="1"/>
  <c r="CU108" i="160" s="1"/>
  <c r="CV108" i="160" s="1"/>
  <c r="CW108" i="160" s="1"/>
  <c r="EI54" i="160"/>
  <c r="BX90" i="160"/>
  <c r="BZ92" i="160"/>
  <c r="CQ107" i="160"/>
  <c r="CR107" i="160" s="1"/>
  <c r="CS107" i="160" s="1"/>
  <c r="CT107" i="160" s="1"/>
  <c r="CU107" i="160" s="1"/>
  <c r="CV107" i="160" s="1"/>
  <c r="CW107" i="160" s="1"/>
  <c r="CA139" i="160"/>
  <c r="EP9" i="160"/>
  <c r="CT9" i="160"/>
  <c r="BD6" i="160"/>
  <c r="BG6" i="160" s="1"/>
  <c r="BF6" i="160"/>
  <c r="EI11" i="160"/>
  <c r="CM11" i="160"/>
  <c r="DG13" i="160"/>
  <c r="BK13" i="160"/>
  <c r="N104" i="160"/>
  <c r="BO104" i="160" s="1"/>
  <c r="BP104" i="160" s="1"/>
  <c r="N59" i="160"/>
  <c r="BO59" i="160" s="1"/>
  <c r="BO14" i="160"/>
  <c r="K110" i="160"/>
  <c r="K65" i="160"/>
  <c r="N20" i="160"/>
  <c r="AC98" i="160"/>
  <c r="AC53" i="160"/>
  <c r="DS8" i="160"/>
  <c r="DZ8" i="160"/>
  <c r="DL8" i="160"/>
  <c r="EG8" i="160"/>
  <c r="AC9" i="160"/>
  <c r="EN8" i="160"/>
  <c r="AD8" i="160"/>
  <c r="CX8" i="160"/>
  <c r="DE8" i="160"/>
  <c r="DG9" i="160"/>
  <c r="BK9" i="160"/>
  <c r="EP11" i="160"/>
  <c r="CT11" i="160"/>
  <c r="DZ12" i="160"/>
  <c r="CD12" i="160"/>
  <c r="EG12" i="160"/>
  <c r="CK12" i="160"/>
  <c r="EN14" i="160"/>
  <c r="CR14" i="160"/>
  <c r="N101" i="160"/>
  <c r="BO101" i="160" s="1"/>
  <c r="BP101" i="160" s="1"/>
  <c r="BQ101" i="160" s="1"/>
  <c r="BR101" i="160" s="1"/>
  <c r="BS101" i="160" s="1"/>
  <c r="N56" i="160"/>
  <c r="BO56" i="160" s="1"/>
  <c r="BP56" i="160" s="1"/>
  <c r="BQ56" i="160" s="1"/>
  <c r="BO11" i="160"/>
  <c r="BP11" i="160" s="1"/>
  <c r="BQ11" i="160" s="1"/>
  <c r="EI13" i="160"/>
  <c r="CM13" i="160"/>
  <c r="BE18" i="160"/>
  <c r="BC18" i="160"/>
  <c r="DS6" i="160"/>
  <c r="BE7" i="160"/>
  <c r="BC7" i="160"/>
  <c r="BE8" i="160"/>
  <c r="BC8" i="160"/>
  <c r="EG10" i="160"/>
  <c r="CK10" i="160"/>
  <c r="EB13" i="160"/>
  <c r="CF13" i="160"/>
  <c r="DZ14" i="160"/>
  <c r="CD14" i="160"/>
  <c r="AC96" i="160"/>
  <c r="AC51" i="160"/>
  <c r="DS51" i="160" s="1"/>
  <c r="EG6" i="160"/>
  <c r="EN6" i="160"/>
  <c r="AD6" i="160"/>
  <c r="DZ6" i="160"/>
  <c r="CX6" i="160"/>
  <c r="DE6" i="160"/>
  <c r="DL6" i="160"/>
  <c r="EP13" i="160"/>
  <c r="CT13" i="160"/>
  <c r="EG14" i="160"/>
  <c r="CK14" i="160"/>
  <c r="BE16" i="160"/>
  <c r="BC16" i="160"/>
  <c r="J127" i="160"/>
  <c r="BH127" i="160" s="1"/>
  <c r="BI127" i="160" s="1"/>
  <c r="BJ127" i="160" s="1"/>
  <c r="BK127" i="160" s="1"/>
  <c r="BL127" i="160" s="1"/>
  <c r="BM127" i="160" s="1"/>
  <c r="BN127" i="160" s="1"/>
  <c r="J82" i="160"/>
  <c r="BH82" i="160" s="1"/>
  <c r="BI82" i="160" s="1"/>
  <c r="BJ82" i="160" s="1"/>
  <c r="BK82" i="160" s="1"/>
  <c r="BL82" i="160" s="1"/>
  <c r="BM82" i="160" s="1"/>
  <c r="BN82" i="160" s="1"/>
  <c r="BH37" i="160"/>
  <c r="BI37" i="160" s="1"/>
  <c r="BJ37" i="160" s="1"/>
  <c r="BK37" i="160" s="1"/>
  <c r="BL37" i="160" s="1"/>
  <c r="BM37" i="160" s="1"/>
  <c r="BN37" i="160" s="1"/>
  <c r="EA102" i="160"/>
  <c r="CE102" i="160"/>
  <c r="CF102" i="160" s="1"/>
  <c r="CG102" i="160" s="1"/>
  <c r="CH102" i="160" s="1"/>
  <c r="CI102" i="160" s="1"/>
  <c r="N100" i="160"/>
  <c r="BO100" i="160" s="1"/>
  <c r="N55" i="160"/>
  <c r="BO55" i="160" s="1"/>
  <c r="BP55" i="160" s="1"/>
  <c r="BQ55" i="160" s="1"/>
  <c r="BR55" i="160" s="1"/>
  <c r="BS55" i="160" s="1"/>
  <c r="BT55" i="160" s="1"/>
  <c r="BU55" i="160" s="1"/>
  <c r="BW9" i="160"/>
  <c r="CM9" i="160"/>
  <c r="P10" i="160"/>
  <c r="CR10" i="160"/>
  <c r="K11" i="160"/>
  <c r="BZ11" i="160"/>
  <c r="DW11" i="160" s="1"/>
  <c r="I102" i="160"/>
  <c r="BA102" i="160" s="1"/>
  <c r="BB102" i="160" s="1"/>
  <c r="I57" i="160"/>
  <c r="BA57" i="160" s="1"/>
  <c r="BB57" i="160" s="1"/>
  <c r="P103" i="160"/>
  <c r="P58" i="160"/>
  <c r="AI13" i="160"/>
  <c r="L104" i="160"/>
  <c r="L59" i="160"/>
  <c r="BA14" i="160"/>
  <c r="BY14" i="160"/>
  <c r="T105" i="160"/>
  <c r="T60" i="160"/>
  <c r="J106" i="160"/>
  <c r="BH106" i="160" s="1"/>
  <c r="BI106" i="160" s="1"/>
  <c r="BJ106" i="160" s="1"/>
  <c r="BK106" i="160" s="1"/>
  <c r="BL106" i="160" s="1"/>
  <c r="BM106" i="160" s="1"/>
  <c r="BN106" i="160" s="1"/>
  <c r="J61" i="160"/>
  <c r="BH61" i="160" s="1"/>
  <c r="BI61" i="160" s="1"/>
  <c r="BJ61" i="160" s="1"/>
  <c r="BK61" i="160" s="1"/>
  <c r="BL61" i="160" s="1"/>
  <c r="BM61" i="160" s="1"/>
  <c r="BN61" i="160" s="1"/>
  <c r="CC17" i="160"/>
  <c r="CD17" i="160" s="1"/>
  <c r="CE17" i="160" s="1"/>
  <c r="CF17" i="160" s="1"/>
  <c r="CG17" i="160" s="1"/>
  <c r="CH17" i="160" s="1"/>
  <c r="CI17" i="160" s="1"/>
  <c r="BY18" i="160"/>
  <c r="I109" i="160"/>
  <c r="BA109" i="160" s="1"/>
  <c r="BB109" i="160" s="1"/>
  <c r="I64" i="160"/>
  <c r="BA64" i="160" s="1"/>
  <c r="BB64" i="160" s="1"/>
  <c r="BA19" i="160"/>
  <c r="BB19" i="160" s="1"/>
  <c r="N19" i="160"/>
  <c r="J101" i="160"/>
  <c r="BH101" i="160" s="1"/>
  <c r="BI101" i="160" s="1"/>
  <c r="BJ101" i="160" s="1"/>
  <c r="BK101" i="160" s="1"/>
  <c r="BL101" i="160" s="1"/>
  <c r="BM101" i="160" s="1"/>
  <c r="J56" i="160"/>
  <c r="BH56" i="160" s="1"/>
  <c r="BI56" i="160" s="1"/>
  <c r="BJ56" i="160" s="1"/>
  <c r="BK56" i="160" s="1"/>
  <c r="BL56" i="160" s="1"/>
  <c r="BM56" i="160" s="1"/>
  <c r="BN56" i="160" s="1"/>
  <c r="N103" i="160"/>
  <c r="BO103" i="160" s="1"/>
  <c r="BP103" i="160" s="1"/>
  <c r="BQ103" i="160" s="1"/>
  <c r="N58" i="160"/>
  <c r="BO58" i="160" s="1"/>
  <c r="BP58" i="160" s="1"/>
  <c r="BQ58" i="160" s="1"/>
  <c r="BR58" i="160" s="1"/>
  <c r="DX13" i="160"/>
  <c r="V104" i="160"/>
  <c r="V59" i="160"/>
  <c r="I99" i="160"/>
  <c r="BA99" i="160" s="1"/>
  <c r="BB99" i="160" s="1"/>
  <c r="I54" i="160"/>
  <c r="BA54" i="160" s="1"/>
  <c r="BB54" i="160" s="1"/>
  <c r="BX9" i="160"/>
  <c r="DU9" i="160" s="1"/>
  <c r="CC10" i="160"/>
  <c r="L101" i="160"/>
  <c r="L56" i="160"/>
  <c r="CA11" i="160"/>
  <c r="DX11" i="160" s="1"/>
  <c r="T102" i="160"/>
  <c r="T57" i="160"/>
  <c r="I105" i="160"/>
  <c r="BA105" i="160" s="1"/>
  <c r="BB105" i="160" s="1"/>
  <c r="I60" i="160"/>
  <c r="BA60" i="160" s="1"/>
  <c r="BB60" i="160" s="1"/>
  <c r="V105" i="160"/>
  <c r="V60" i="160"/>
  <c r="K16" i="160"/>
  <c r="N18" i="160"/>
  <c r="V112" i="160"/>
  <c r="V67" i="160"/>
  <c r="V114" i="160"/>
  <c r="V69" i="160"/>
  <c r="BE25" i="160"/>
  <c r="BC25" i="160"/>
  <c r="T101" i="160"/>
  <c r="T56" i="160"/>
  <c r="V108" i="160"/>
  <c r="V63" i="160"/>
  <c r="I98" i="160"/>
  <c r="BA98" i="160" s="1"/>
  <c r="BB98" i="160" s="1"/>
  <c r="I53" i="160"/>
  <c r="BA53" i="160" s="1"/>
  <c r="BB53" i="160" s="1"/>
  <c r="J99" i="160"/>
  <c r="BH99" i="160" s="1"/>
  <c r="BI99" i="160" s="1"/>
  <c r="BJ99" i="160" s="1"/>
  <c r="BK99" i="160" s="1"/>
  <c r="BL99" i="160" s="1"/>
  <c r="BM99" i="160" s="1"/>
  <c r="BN99" i="160" s="1"/>
  <c r="J54" i="160"/>
  <c r="BH54" i="160" s="1"/>
  <c r="BI54" i="160" s="1"/>
  <c r="BJ54" i="160" s="1"/>
  <c r="BK54" i="160" s="1"/>
  <c r="BL54" i="160" s="1"/>
  <c r="BM54" i="160" s="1"/>
  <c r="BN54" i="160" s="1"/>
  <c r="T99" i="160"/>
  <c r="T54" i="160"/>
  <c r="BA9" i="160"/>
  <c r="BB9" i="160" s="1"/>
  <c r="BY9" i="160"/>
  <c r="DV9" i="160" s="1"/>
  <c r="K102" i="160"/>
  <c r="K57" i="160"/>
  <c r="V102" i="160"/>
  <c r="V57" i="160"/>
  <c r="BO13" i="160"/>
  <c r="BP13" i="160" s="1"/>
  <c r="BQ13" i="160" s="1"/>
  <c r="P104" i="160"/>
  <c r="P59" i="160"/>
  <c r="CA14" i="160"/>
  <c r="J105" i="160"/>
  <c r="BH105" i="160" s="1"/>
  <c r="BI105" i="160" s="1"/>
  <c r="BJ105" i="160" s="1"/>
  <c r="BK105" i="160" s="1"/>
  <c r="BL105" i="160" s="1"/>
  <c r="BM105" i="160" s="1"/>
  <c r="BN105" i="160" s="1"/>
  <c r="J60" i="160"/>
  <c r="BH60" i="160" s="1"/>
  <c r="BI60" i="160" s="1"/>
  <c r="BJ60" i="160" s="1"/>
  <c r="BK60" i="160" s="1"/>
  <c r="BL60" i="160" s="1"/>
  <c r="BM60" i="160" s="1"/>
  <c r="BN60" i="160" s="1"/>
  <c r="P108" i="160"/>
  <c r="P63" i="160"/>
  <c r="CA18" i="160"/>
  <c r="BX18" i="160"/>
  <c r="CB18" i="160"/>
  <c r="K109" i="160"/>
  <c r="K64" i="160"/>
  <c r="L110" i="160"/>
  <c r="L65" i="160"/>
  <c r="J112" i="160"/>
  <c r="BH112" i="160" s="1"/>
  <c r="BI112" i="160" s="1"/>
  <c r="BJ112" i="160" s="1"/>
  <c r="BK112" i="160" s="1"/>
  <c r="BL112" i="160" s="1"/>
  <c r="BM112" i="160" s="1"/>
  <c r="BN112" i="160" s="1"/>
  <c r="J67" i="160"/>
  <c r="BH67" i="160" s="1"/>
  <c r="BI67" i="160" s="1"/>
  <c r="BJ67" i="160" s="1"/>
  <c r="BK67" i="160" s="1"/>
  <c r="BL67" i="160" s="1"/>
  <c r="BM67" i="160" s="1"/>
  <c r="BN67" i="160" s="1"/>
  <c r="BH22" i="160"/>
  <c r="BI22" i="160" s="1"/>
  <c r="BJ22" i="160" s="1"/>
  <c r="BK22" i="160" s="1"/>
  <c r="BL22" i="160" s="1"/>
  <c r="BM22" i="160" s="1"/>
  <c r="BN22" i="160" s="1"/>
  <c r="I113" i="160"/>
  <c r="BA113" i="160" s="1"/>
  <c r="BB113" i="160" s="1"/>
  <c r="I68" i="160"/>
  <c r="BA68" i="160" s="1"/>
  <c r="BB68" i="160" s="1"/>
  <c r="BA23" i="160"/>
  <c r="BB23" i="160" s="1"/>
  <c r="K23" i="160"/>
  <c r="P107" i="160"/>
  <c r="P62" i="160"/>
  <c r="CA17" i="160"/>
  <c r="BX17" i="160"/>
  <c r="I97" i="160"/>
  <c r="BA97" i="160" s="1"/>
  <c r="BB97" i="160" s="1"/>
  <c r="I52" i="160"/>
  <c r="BA52" i="160" s="1"/>
  <c r="BB52" i="160" s="1"/>
  <c r="K9" i="160"/>
  <c r="BZ9" i="160"/>
  <c r="DW9" i="160" s="1"/>
  <c r="I100" i="160"/>
  <c r="BA100" i="160" s="1"/>
  <c r="BB100" i="160" s="1"/>
  <c r="CY100" i="160" s="1"/>
  <c r="I55" i="160"/>
  <c r="BA55" i="160" s="1"/>
  <c r="BB55" i="160" s="1"/>
  <c r="CY55" i="160" s="1"/>
  <c r="BO10" i="160"/>
  <c r="P101" i="160"/>
  <c r="P56" i="160"/>
  <c r="L102" i="160"/>
  <c r="L57" i="160"/>
  <c r="I103" i="160"/>
  <c r="BA103" i="160" s="1"/>
  <c r="BB103" i="160" s="1"/>
  <c r="I58" i="160"/>
  <c r="BA58" i="160" s="1"/>
  <c r="BB58" i="160" s="1"/>
  <c r="CB14" i="160"/>
  <c r="K105" i="160"/>
  <c r="K60" i="160"/>
  <c r="BV17" i="160"/>
  <c r="CC18" i="160"/>
  <c r="CD18" i="160" s="1"/>
  <c r="CE18" i="160" s="1"/>
  <c r="CF18" i="160" s="1"/>
  <c r="CG18" i="160" s="1"/>
  <c r="CH18" i="160" s="1"/>
  <c r="CI18" i="160" s="1"/>
  <c r="P109" i="160"/>
  <c r="P64" i="160"/>
  <c r="BY19" i="160"/>
  <c r="BW19" i="160"/>
  <c r="CB19" i="160"/>
  <c r="I114" i="160"/>
  <c r="BA114" i="160" s="1"/>
  <c r="BB114" i="160" s="1"/>
  <c r="I69" i="160"/>
  <c r="BA69" i="160" s="1"/>
  <c r="BB69" i="160" s="1"/>
  <c r="BA24" i="160"/>
  <c r="BB24" i="160" s="1"/>
  <c r="K24" i="160"/>
  <c r="CC28" i="160"/>
  <c r="CD28" i="160" s="1"/>
  <c r="CE28" i="160" s="1"/>
  <c r="CF28" i="160" s="1"/>
  <c r="CG28" i="160" s="1"/>
  <c r="CH28" i="160" s="1"/>
  <c r="CI28" i="160" s="1"/>
  <c r="I96" i="160"/>
  <c r="BA96" i="160" s="1"/>
  <c r="BB96" i="160" s="1"/>
  <c r="I51" i="160"/>
  <c r="BA51" i="160" s="1"/>
  <c r="BB51" i="160" s="1"/>
  <c r="L99" i="160"/>
  <c r="L54" i="160"/>
  <c r="CA9" i="160"/>
  <c r="DX9" i="160" s="1"/>
  <c r="T100" i="160"/>
  <c r="T55" i="160"/>
  <c r="BV11" i="160"/>
  <c r="J103" i="160"/>
  <c r="BH103" i="160" s="1"/>
  <c r="BI103" i="160" s="1"/>
  <c r="BJ103" i="160" s="1"/>
  <c r="BK103" i="160" s="1"/>
  <c r="J58" i="160"/>
  <c r="BH58" i="160" s="1"/>
  <c r="BI58" i="160" s="1"/>
  <c r="BJ58" i="160" s="1"/>
  <c r="BK58" i="160" s="1"/>
  <c r="T103" i="160"/>
  <c r="T58" i="160"/>
  <c r="BA13" i="160"/>
  <c r="BB13" i="160" s="1"/>
  <c r="N15" i="160"/>
  <c r="V107" i="160"/>
  <c r="V62" i="160"/>
  <c r="BW17" i="160"/>
  <c r="BC26" i="160"/>
  <c r="BE26" i="160"/>
  <c r="I106" i="160"/>
  <c r="BA106" i="160" s="1"/>
  <c r="BB106" i="160" s="1"/>
  <c r="I61" i="160"/>
  <c r="BA61" i="160" s="1"/>
  <c r="BB61" i="160" s="1"/>
  <c r="N16" i="160"/>
  <c r="V109" i="160"/>
  <c r="V64" i="160"/>
  <c r="I110" i="160"/>
  <c r="BA110" i="160" s="1"/>
  <c r="BB110" i="160" s="1"/>
  <c r="I65" i="160"/>
  <c r="BA65" i="160" s="1"/>
  <c r="BB65" i="160" s="1"/>
  <c r="BA20" i="160"/>
  <c r="BB20" i="160" s="1"/>
  <c r="N9" i="160"/>
  <c r="K10" i="160"/>
  <c r="V100" i="160"/>
  <c r="V55" i="160"/>
  <c r="BA10" i="160"/>
  <c r="BW11" i="160"/>
  <c r="P12" i="160"/>
  <c r="K13" i="160"/>
  <c r="I104" i="160"/>
  <c r="BA104" i="160" s="1"/>
  <c r="I59" i="160"/>
  <c r="BA59" i="160" s="1"/>
  <c r="BV14" i="160"/>
  <c r="DS14" i="160" s="1"/>
  <c r="BH15" i="160"/>
  <c r="BI15" i="160" s="1"/>
  <c r="BJ15" i="160" s="1"/>
  <c r="BK15" i="160" s="1"/>
  <c r="BL15" i="160" s="1"/>
  <c r="BM15" i="160" s="1"/>
  <c r="BN15" i="160" s="1"/>
  <c r="T106" i="160"/>
  <c r="T61" i="160"/>
  <c r="J107" i="160"/>
  <c r="BH107" i="160" s="1"/>
  <c r="BI107" i="160" s="1"/>
  <c r="BJ107" i="160" s="1"/>
  <c r="BK107" i="160" s="1"/>
  <c r="BL107" i="160" s="1"/>
  <c r="BM107" i="160" s="1"/>
  <c r="BN107" i="160" s="1"/>
  <c r="J62" i="160"/>
  <c r="BH62" i="160" s="1"/>
  <c r="BI62" i="160" s="1"/>
  <c r="BJ62" i="160" s="1"/>
  <c r="BK62" i="160" s="1"/>
  <c r="BL62" i="160" s="1"/>
  <c r="BM62" i="160" s="1"/>
  <c r="BN62" i="160" s="1"/>
  <c r="BH17" i="160"/>
  <c r="BI17" i="160" s="1"/>
  <c r="BJ17" i="160" s="1"/>
  <c r="BK17" i="160" s="1"/>
  <c r="BL17" i="160" s="1"/>
  <c r="BM17" i="160" s="1"/>
  <c r="BN17" i="160" s="1"/>
  <c r="BY17" i="160"/>
  <c r="I108" i="160"/>
  <c r="BA108" i="160" s="1"/>
  <c r="BB108" i="160" s="1"/>
  <c r="I63" i="160"/>
  <c r="BA63" i="160" s="1"/>
  <c r="BB63" i="160" s="1"/>
  <c r="G111" i="160"/>
  <c r="G66" i="160"/>
  <c r="I21" i="160"/>
  <c r="P99" i="160"/>
  <c r="P54" i="160"/>
  <c r="CC9" i="160"/>
  <c r="CD9" i="160" s="1"/>
  <c r="CE9" i="160" s="1"/>
  <c r="L100" i="160"/>
  <c r="L55" i="160"/>
  <c r="I101" i="160"/>
  <c r="BA101" i="160" s="1"/>
  <c r="BB101" i="160" s="1"/>
  <c r="I56" i="160"/>
  <c r="BA56" i="160" s="1"/>
  <c r="BB56" i="160" s="1"/>
  <c r="BH11" i="160"/>
  <c r="BI11" i="160" s="1"/>
  <c r="BJ11" i="160" s="1"/>
  <c r="L103" i="160"/>
  <c r="L58" i="160"/>
  <c r="T104" i="160"/>
  <c r="T59" i="160"/>
  <c r="V106" i="160"/>
  <c r="V61" i="160"/>
  <c r="N107" i="160"/>
  <c r="BO107" i="160" s="1"/>
  <c r="BP107" i="160" s="1"/>
  <c r="BQ107" i="160" s="1"/>
  <c r="BR107" i="160" s="1"/>
  <c r="BS107" i="160" s="1"/>
  <c r="BT107" i="160" s="1"/>
  <c r="BU107" i="160" s="1"/>
  <c r="N62" i="160"/>
  <c r="BO62" i="160" s="1"/>
  <c r="BP62" i="160" s="1"/>
  <c r="BQ62" i="160" s="1"/>
  <c r="BR62" i="160" s="1"/>
  <c r="BS62" i="160" s="1"/>
  <c r="BT62" i="160" s="1"/>
  <c r="BU62" i="160" s="1"/>
  <c r="BZ17" i="160"/>
  <c r="T109" i="160"/>
  <c r="T64" i="160"/>
  <c r="G110" i="160"/>
  <c r="G65" i="160"/>
  <c r="T110" i="160"/>
  <c r="T65" i="160"/>
  <c r="J111" i="160"/>
  <c r="BH111" i="160" s="1"/>
  <c r="BI111" i="160" s="1"/>
  <c r="BJ111" i="160" s="1"/>
  <c r="BK111" i="160" s="1"/>
  <c r="BL111" i="160" s="1"/>
  <c r="BM111" i="160" s="1"/>
  <c r="BN111" i="160" s="1"/>
  <c r="J66" i="160"/>
  <c r="BH21" i="160"/>
  <c r="BI21" i="160" s="1"/>
  <c r="BJ21" i="160" s="1"/>
  <c r="BK21" i="160" s="1"/>
  <c r="BL21" i="160" s="1"/>
  <c r="BM21" i="160" s="1"/>
  <c r="BN21" i="160" s="1"/>
  <c r="V111" i="160"/>
  <c r="V66" i="160"/>
  <c r="V129" i="160"/>
  <c r="V84" i="160"/>
  <c r="J110" i="160"/>
  <c r="BH110" i="160" s="1"/>
  <c r="BI110" i="160" s="1"/>
  <c r="BJ110" i="160" s="1"/>
  <c r="BK110" i="160" s="1"/>
  <c r="BL110" i="160" s="1"/>
  <c r="BM110" i="160" s="1"/>
  <c r="BN110" i="160" s="1"/>
  <c r="J65" i="160"/>
  <c r="BH65" i="160" s="1"/>
  <c r="BI65" i="160" s="1"/>
  <c r="BJ65" i="160" s="1"/>
  <c r="BK65" i="160" s="1"/>
  <c r="BL65" i="160" s="1"/>
  <c r="BM65" i="160" s="1"/>
  <c r="BN65" i="160" s="1"/>
  <c r="V110" i="160"/>
  <c r="V65" i="160"/>
  <c r="L111" i="160"/>
  <c r="L66" i="160"/>
  <c r="G113" i="160"/>
  <c r="G68" i="160"/>
  <c r="G116" i="160"/>
  <c r="G71" i="160"/>
  <c r="T116" i="160"/>
  <c r="T71" i="160"/>
  <c r="L117" i="160"/>
  <c r="L72" i="160"/>
  <c r="T124" i="160"/>
  <c r="T79" i="160"/>
  <c r="J129" i="160"/>
  <c r="BH129" i="160" s="1"/>
  <c r="BI129" i="160" s="1"/>
  <c r="BJ129" i="160" s="1"/>
  <c r="BK129" i="160" s="1"/>
  <c r="BL129" i="160" s="1"/>
  <c r="BM129" i="160" s="1"/>
  <c r="BN129" i="160" s="1"/>
  <c r="J84" i="160"/>
  <c r="BH84" i="160" s="1"/>
  <c r="BI84" i="160" s="1"/>
  <c r="BJ84" i="160" s="1"/>
  <c r="BK84" i="160" s="1"/>
  <c r="BL84" i="160" s="1"/>
  <c r="BM84" i="160" s="1"/>
  <c r="BN84" i="160" s="1"/>
  <c r="T136" i="160"/>
  <c r="T91" i="160"/>
  <c r="EG57" i="160"/>
  <c r="EN57" i="160"/>
  <c r="T113" i="160"/>
  <c r="T68" i="160"/>
  <c r="L114" i="160"/>
  <c r="L69" i="160"/>
  <c r="I116" i="160"/>
  <c r="BA116" i="160" s="1"/>
  <c r="BB116" i="160" s="1"/>
  <c r="I71" i="160"/>
  <c r="V116" i="160"/>
  <c r="V71" i="160"/>
  <c r="G121" i="160"/>
  <c r="G76" i="160"/>
  <c r="I31" i="160"/>
  <c r="V121" i="160"/>
  <c r="V76" i="160"/>
  <c r="G122" i="160"/>
  <c r="G77" i="160"/>
  <c r="I32" i="160"/>
  <c r="V122" i="160"/>
  <c r="V77" i="160"/>
  <c r="V123" i="160"/>
  <c r="V78" i="160"/>
  <c r="G124" i="160"/>
  <c r="G79" i="160"/>
  <c r="V124" i="160"/>
  <c r="V79" i="160"/>
  <c r="T128" i="160"/>
  <c r="T83" i="160"/>
  <c r="G136" i="160"/>
  <c r="G91" i="160"/>
  <c r="V137" i="160"/>
  <c r="V92" i="160"/>
  <c r="EJ58" i="160"/>
  <c r="CN58" i="160"/>
  <c r="G112" i="160"/>
  <c r="G67" i="160"/>
  <c r="J113" i="160"/>
  <c r="BH113" i="160" s="1"/>
  <c r="BI113" i="160" s="1"/>
  <c r="BJ113" i="160" s="1"/>
  <c r="BK113" i="160" s="1"/>
  <c r="BL113" i="160" s="1"/>
  <c r="BM113" i="160" s="1"/>
  <c r="BN113" i="160" s="1"/>
  <c r="J68" i="160"/>
  <c r="BH68" i="160" s="1"/>
  <c r="BI68" i="160" s="1"/>
  <c r="BJ68" i="160" s="1"/>
  <c r="BK68" i="160" s="1"/>
  <c r="BL68" i="160" s="1"/>
  <c r="BM68" i="160" s="1"/>
  <c r="BN68" i="160" s="1"/>
  <c r="V113" i="160"/>
  <c r="V68" i="160"/>
  <c r="K26" i="160"/>
  <c r="G118" i="160"/>
  <c r="G73" i="160"/>
  <c r="G119" i="160"/>
  <c r="G74" i="160"/>
  <c r="G120" i="160"/>
  <c r="G75" i="160"/>
  <c r="J121" i="160"/>
  <c r="BH121" i="160" s="1"/>
  <c r="BI121" i="160" s="1"/>
  <c r="BJ121" i="160" s="1"/>
  <c r="BK121" i="160" s="1"/>
  <c r="BL121" i="160" s="1"/>
  <c r="BM121" i="160" s="1"/>
  <c r="BN121" i="160" s="1"/>
  <c r="J76" i="160"/>
  <c r="BH76" i="160" s="1"/>
  <c r="BI76" i="160" s="1"/>
  <c r="BJ76" i="160" s="1"/>
  <c r="BK76" i="160" s="1"/>
  <c r="BL76" i="160" s="1"/>
  <c r="BM76" i="160" s="1"/>
  <c r="BN76" i="160" s="1"/>
  <c r="J122" i="160"/>
  <c r="BH122" i="160" s="1"/>
  <c r="BI122" i="160" s="1"/>
  <c r="BJ122" i="160" s="1"/>
  <c r="BK122" i="160" s="1"/>
  <c r="BL122" i="160" s="1"/>
  <c r="BM122" i="160" s="1"/>
  <c r="BN122" i="160" s="1"/>
  <c r="J77" i="160"/>
  <c r="BH77" i="160" s="1"/>
  <c r="BI77" i="160" s="1"/>
  <c r="BJ77" i="160" s="1"/>
  <c r="BK77" i="160" s="1"/>
  <c r="BL77" i="160" s="1"/>
  <c r="BM77" i="160" s="1"/>
  <c r="BN77" i="160" s="1"/>
  <c r="G123" i="160"/>
  <c r="G78" i="160"/>
  <c r="I33" i="160"/>
  <c r="I34" i="160"/>
  <c r="G125" i="160"/>
  <c r="G80" i="160"/>
  <c r="I35" i="160"/>
  <c r="V125" i="160"/>
  <c r="V80" i="160"/>
  <c r="G126" i="160"/>
  <c r="G81" i="160"/>
  <c r="I36" i="160"/>
  <c r="G128" i="160"/>
  <c r="G83" i="160"/>
  <c r="V128" i="160"/>
  <c r="V83" i="160"/>
  <c r="L129" i="160"/>
  <c r="L84" i="160"/>
  <c r="T132" i="160"/>
  <c r="T87" i="160"/>
  <c r="J137" i="160"/>
  <c r="BH137" i="160" s="1"/>
  <c r="BI137" i="160" s="1"/>
  <c r="BJ137" i="160" s="1"/>
  <c r="BK137" i="160" s="1"/>
  <c r="BL137" i="160" s="1"/>
  <c r="BM137" i="160" s="1"/>
  <c r="BN137" i="160" s="1"/>
  <c r="J92" i="160"/>
  <c r="BH92" i="160" s="1"/>
  <c r="BI92" i="160" s="1"/>
  <c r="BJ92" i="160" s="1"/>
  <c r="BK92" i="160" s="1"/>
  <c r="BL92" i="160" s="1"/>
  <c r="BM92" i="160" s="1"/>
  <c r="BN92" i="160" s="1"/>
  <c r="BH47" i="160"/>
  <c r="BI47" i="160" s="1"/>
  <c r="BJ47" i="160" s="1"/>
  <c r="BK47" i="160" s="1"/>
  <c r="BL47" i="160" s="1"/>
  <c r="BM47" i="160" s="1"/>
  <c r="BN47" i="160" s="1"/>
  <c r="L138" i="160"/>
  <c r="L93" i="160"/>
  <c r="EQ58" i="160"/>
  <c r="CU58" i="160"/>
  <c r="CV58" i="160" s="1"/>
  <c r="CW58" i="160" s="1"/>
  <c r="I107" i="160"/>
  <c r="BA107" i="160" s="1"/>
  <c r="BB107" i="160" s="1"/>
  <c r="I62" i="160"/>
  <c r="BA62" i="160" s="1"/>
  <c r="BB62" i="160" s="1"/>
  <c r="T107" i="160"/>
  <c r="T62" i="160"/>
  <c r="J108" i="160"/>
  <c r="BH108" i="160" s="1"/>
  <c r="BI108" i="160" s="1"/>
  <c r="BJ108" i="160" s="1"/>
  <c r="BK108" i="160" s="1"/>
  <c r="BL108" i="160" s="1"/>
  <c r="BM108" i="160" s="1"/>
  <c r="BN108" i="160" s="1"/>
  <c r="J63" i="160"/>
  <c r="BH63" i="160" s="1"/>
  <c r="BI63" i="160" s="1"/>
  <c r="BJ63" i="160" s="1"/>
  <c r="BK63" i="160" s="1"/>
  <c r="BL63" i="160" s="1"/>
  <c r="BM63" i="160" s="1"/>
  <c r="BN63" i="160" s="1"/>
  <c r="T108" i="160"/>
  <c r="T63" i="160"/>
  <c r="J109" i="160"/>
  <c r="BH109" i="160" s="1"/>
  <c r="BI109" i="160" s="1"/>
  <c r="BJ109" i="160" s="1"/>
  <c r="BK109" i="160" s="1"/>
  <c r="BL109" i="160" s="1"/>
  <c r="BM109" i="160" s="1"/>
  <c r="BN109" i="160" s="1"/>
  <c r="J64" i="160"/>
  <c r="BH64" i="160" s="1"/>
  <c r="BI64" i="160" s="1"/>
  <c r="BJ64" i="160" s="1"/>
  <c r="BK64" i="160" s="1"/>
  <c r="BL64" i="160" s="1"/>
  <c r="BM64" i="160" s="1"/>
  <c r="BN64" i="160" s="1"/>
  <c r="I22" i="160"/>
  <c r="T112" i="160"/>
  <c r="T67" i="160"/>
  <c r="G115" i="160"/>
  <c r="G70" i="160"/>
  <c r="T115" i="160"/>
  <c r="T70" i="160"/>
  <c r="L116" i="160"/>
  <c r="L71" i="160"/>
  <c r="I28" i="160"/>
  <c r="T118" i="160"/>
  <c r="T73" i="160"/>
  <c r="I29" i="160"/>
  <c r="T119" i="160"/>
  <c r="T74" i="160"/>
  <c r="I30" i="160"/>
  <c r="T120" i="160"/>
  <c r="T75" i="160"/>
  <c r="L122" i="160"/>
  <c r="L77" i="160"/>
  <c r="J123" i="160"/>
  <c r="BH123" i="160" s="1"/>
  <c r="BI123" i="160" s="1"/>
  <c r="BJ123" i="160" s="1"/>
  <c r="BK123" i="160" s="1"/>
  <c r="BL123" i="160" s="1"/>
  <c r="BM123" i="160" s="1"/>
  <c r="BN123" i="160" s="1"/>
  <c r="J78" i="160"/>
  <c r="BH78" i="160" s="1"/>
  <c r="BI78" i="160" s="1"/>
  <c r="BJ78" i="160" s="1"/>
  <c r="BK78" i="160" s="1"/>
  <c r="BL78" i="160" s="1"/>
  <c r="BM78" i="160" s="1"/>
  <c r="BN78" i="160" s="1"/>
  <c r="J124" i="160"/>
  <c r="BH124" i="160" s="1"/>
  <c r="BI124" i="160" s="1"/>
  <c r="BJ124" i="160" s="1"/>
  <c r="BK124" i="160" s="1"/>
  <c r="BL124" i="160" s="1"/>
  <c r="BM124" i="160" s="1"/>
  <c r="BN124" i="160" s="1"/>
  <c r="J79" i="160"/>
  <c r="BH79" i="160" s="1"/>
  <c r="BI79" i="160" s="1"/>
  <c r="BJ79" i="160" s="1"/>
  <c r="BK79" i="160" s="1"/>
  <c r="BL79" i="160" s="1"/>
  <c r="BM79" i="160" s="1"/>
  <c r="BN79" i="160" s="1"/>
  <c r="J125" i="160"/>
  <c r="BH125" i="160" s="1"/>
  <c r="BI125" i="160" s="1"/>
  <c r="BJ125" i="160" s="1"/>
  <c r="BK125" i="160" s="1"/>
  <c r="BL125" i="160" s="1"/>
  <c r="BM125" i="160" s="1"/>
  <c r="BN125" i="160" s="1"/>
  <c r="J80" i="160"/>
  <c r="BH80" i="160" s="1"/>
  <c r="BI80" i="160" s="1"/>
  <c r="BJ80" i="160" s="1"/>
  <c r="BK80" i="160" s="1"/>
  <c r="BL80" i="160" s="1"/>
  <c r="BM80" i="160" s="1"/>
  <c r="BN80" i="160" s="1"/>
  <c r="I38" i="160"/>
  <c r="G132" i="160"/>
  <c r="G87" i="160"/>
  <c r="V133" i="160"/>
  <c r="V88" i="160"/>
  <c r="EA55" i="160"/>
  <c r="CE55" i="160"/>
  <c r="CF55" i="160" s="1"/>
  <c r="CG55" i="160" s="1"/>
  <c r="CH55" i="160" s="1"/>
  <c r="CI55" i="160" s="1"/>
  <c r="L113" i="160"/>
  <c r="L68" i="160"/>
  <c r="BH23" i="160"/>
  <c r="BI23" i="160" s="1"/>
  <c r="BJ23" i="160" s="1"/>
  <c r="BK23" i="160" s="1"/>
  <c r="BL23" i="160" s="1"/>
  <c r="BM23" i="160" s="1"/>
  <c r="BN23" i="160" s="1"/>
  <c r="I115" i="160"/>
  <c r="BA115" i="160" s="1"/>
  <c r="BB115" i="160" s="1"/>
  <c r="I70" i="160"/>
  <c r="BA70" i="160" s="1"/>
  <c r="BB70" i="160" s="1"/>
  <c r="V115" i="160"/>
  <c r="V70" i="160"/>
  <c r="J118" i="160"/>
  <c r="BH118" i="160" s="1"/>
  <c r="BI118" i="160" s="1"/>
  <c r="BJ118" i="160" s="1"/>
  <c r="BK118" i="160" s="1"/>
  <c r="BL118" i="160" s="1"/>
  <c r="BM118" i="160" s="1"/>
  <c r="BN118" i="160" s="1"/>
  <c r="J73" i="160"/>
  <c r="BH73" i="160" s="1"/>
  <c r="BI73" i="160" s="1"/>
  <c r="BJ73" i="160" s="1"/>
  <c r="BK73" i="160" s="1"/>
  <c r="BL73" i="160" s="1"/>
  <c r="BM73" i="160" s="1"/>
  <c r="BN73" i="160" s="1"/>
  <c r="V118" i="160"/>
  <c r="V73" i="160"/>
  <c r="J119" i="160"/>
  <c r="BH119" i="160" s="1"/>
  <c r="BI119" i="160" s="1"/>
  <c r="BJ119" i="160" s="1"/>
  <c r="BK119" i="160" s="1"/>
  <c r="BL119" i="160" s="1"/>
  <c r="BM119" i="160" s="1"/>
  <c r="BN119" i="160" s="1"/>
  <c r="J74" i="160"/>
  <c r="BH74" i="160" s="1"/>
  <c r="BI74" i="160" s="1"/>
  <c r="BJ74" i="160" s="1"/>
  <c r="BK74" i="160" s="1"/>
  <c r="BL74" i="160" s="1"/>
  <c r="BM74" i="160" s="1"/>
  <c r="BN74" i="160" s="1"/>
  <c r="V119" i="160"/>
  <c r="V74" i="160"/>
  <c r="J120" i="160"/>
  <c r="BH120" i="160" s="1"/>
  <c r="BI120" i="160" s="1"/>
  <c r="BJ120" i="160" s="1"/>
  <c r="BK120" i="160" s="1"/>
  <c r="BL120" i="160" s="1"/>
  <c r="BM120" i="160" s="1"/>
  <c r="BN120" i="160" s="1"/>
  <c r="J75" i="160"/>
  <c r="BH75" i="160" s="1"/>
  <c r="BI75" i="160" s="1"/>
  <c r="BJ75" i="160" s="1"/>
  <c r="BK75" i="160" s="1"/>
  <c r="BL75" i="160" s="1"/>
  <c r="BM75" i="160" s="1"/>
  <c r="BN75" i="160" s="1"/>
  <c r="V120" i="160"/>
  <c r="V75" i="160"/>
  <c r="L121" i="160"/>
  <c r="L76" i="160"/>
  <c r="L123" i="160"/>
  <c r="L78" i="160"/>
  <c r="L124" i="160"/>
  <c r="L79" i="160"/>
  <c r="L126" i="160"/>
  <c r="L81" i="160"/>
  <c r="J128" i="160"/>
  <c r="BH128" i="160" s="1"/>
  <c r="BI128" i="160" s="1"/>
  <c r="BJ128" i="160" s="1"/>
  <c r="BK128" i="160" s="1"/>
  <c r="BL128" i="160" s="1"/>
  <c r="BM128" i="160" s="1"/>
  <c r="BN128" i="160" s="1"/>
  <c r="J83" i="160"/>
  <c r="BH83" i="160" s="1"/>
  <c r="BI83" i="160" s="1"/>
  <c r="BJ83" i="160" s="1"/>
  <c r="BK83" i="160" s="1"/>
  <c r="BL83" i="160" s="1"/>
  <c r="BM83" i="160" s="1"/>
  <c r="BN83" i="160" s="1"/>
  <c r="BH38" i="160"/>
  <c r="BI38" i="160" s="1"/>
  <c r="BJ38" i="160" s="1"/>
  <c r="BK38" i="160" s="1"/>
  <c r="BL38" i="160" s="1"/>
  <c r="BM38" i="160" s="1"/>
  <c r="BN38" i="160" s="1"/>
  <c r="I132" i="160"/>
  <c r="BA132" i="160" s="1"/>
  <c r="BB132" i="160" s="1"/>
  <c r="I87" i="160"/>
  <c r="BA87" i="160" s="1"/>
  <c r="BB87" i="160" s="1"/>
  <c r="BA42" i="160"/>
  <c r="BB42" i="160" s="1"/>
  <c r="K42" i="160"/>
  <c r="J133" i="160"/>
  <c r="BH133" i="160" s="1"/>
  <c r="BI133" i="160" s="1"/>
  <c r="BJ133" i="160" s="1"/>
  <c r="BK133" i="160" s="1"/>
  <c r="BL133" i="160" s="1"/>
  <c r="BM133" i="160" s="1"/>
  <c r="BN133" i="160" s="1"/>
  <c r="J88" i="160"/>
  <c r="BH88" i="160" s="1"/>
  <c r="BI88" i="160" s="1"/>
  <c r="BJ88" i="160" s="1"/>
  <c r="BK88" i="160" s="1"/>
  <c r="BL88" i="160" s="1"/>
  <c r="BM88" i="160" s="1"/>
  <c r="BN88" i="160" s="1"/>
  <c r="BH43" i="160"/>
  <c r="BI43" i="160" s="1"/>
  <c r="BJ43" i="160" s="1"/>
  <c r="BK43" i="160" s="1"/>
  <c r="BL43" i="160" s="1"/>
  <c r="BM43" i="160" s="1"/>
  <c r="BN43" i="160" s="1"/>
  <c r="L134" i="160"/>
  <c r="L89" i="160"/>
  <c r="EK54" i="160"/>
  <c r="CO54" i="160"/>
  <c r="CP54" i="160" s="1"/>
  <c r="K17" i="160"/>
  <c r="L108" i="160"/>
  <c r="L63" i="160"/>
  <c r="T111" i="160"/>
  <c r="T66" i="160"/>
  <c r="K25" i="160"/>
  <c r="G117" i="160"/>
  <c r="G72" i="160"/>
  <c r="T117" i="160"/>
  <c r="T72" i="160"/>
  <c r="BH31" i="160"/>
  <c r="BI31" i="160" s="1"/>
  <c r="BJ31" i="160" s="1"/>
  <c r="BK31" i="160" s="1"/>
  <c r="BL31" i="160" s="1"/>
  <c r="BM31" i="160" s="1"/>
  <c r="BN31" i="160" s="1"/>
  <c r="BH32" i="160"/>
  <c r="BI32" i="160" s="1"/>
  <c r="BJ32" i="160" s="1"/>
  <c r="BK32" i="160" s="1"/>
  <c r="BL32" i="160" s="1"/>
  <c r="BM32" i="160" s="1"/>
  <c r="BN32" i="160" s="1"/>
  <c r="L125" i="160"/>
  <c r="L80" i="160"/>
  <c r="V127" i="160"/>
  <c r="V82" i="160"/>
  <c r="L112" i="160"/>
  <c r="L67" i="160"/>
  <c r="G114" i="160"/>
  <c r="G69" i="160"/>
  <c r="T114" i="160"/>
  <c r="T69" i="160"/>
  <c r="L115" i="160"/>
  <c r="L70" i="160"/>
  <c r="I117" i="160"/>
  <c r="BA117" i="160" s="1"/>
  <c r="BB117" i="160" s="1"/>
  <c r="I72" i="160"/>
  <c r="V117" i="160"/>
  <c r="V72" i="160"/>
  <c r="L118" i="160"/>
  <c r="L73" i="160"/>
  <c r="L119" i="160"/>
  <c r="L74" i="160"/>
  <c r="BH29" i="160"/>
  <c r="BI29" i="160" s="1"/>
  <c r="BJ29" i="160" s="1"/>
  <c r="BK29" i="160" s="1"/>
  <c r="BL29" i="160" s="1"/>
  <c r="BM29" i="160" s="1"/>
  <c r="BN29" i="160" s="1"/>
  <c r="L120" i="160"/>
  <c r="L75" i="160"/>
  <c r="G127" i="160"/>
  <c r="G82" i="160"/>
  <c r="I37" i="160"/>
  <c r="L130" i="160"/>
  <c r="L85" i="160"/>
  <c r="BV52" i="160"/>
  <c r="CB52" i="160"/>
  <c r="CA52" i="160"/>
  <c r="BZ52" i="160"/>
  <c r="BX52" i="160"/>
  <c r="BY52" i="160"/>
  <c r="BW52" i="160"/>
  <c r="CK55" i="160"/>
  <c r="CL55" i="160" s="1"/>
  <c r="CM55" i="160" s="1"/>
  <c r="CN55" i="160" s="1"/>
  <c r="CO55" i="160" s="1"/>
  <c r="CP55" i="160" s="1"/>
  <c r="EG55" i="160"/>
  <c r="G131" i="160"/>
  <c r="G86" i="160"/>
  <c r="J132" i="160"/>
  <c r="BH132" i="160" s="1"/>
  <c r="BI132" i="160" s="1"/>
  <c r="BJ132" i="160" s="1"/>
  <c r="BK132" i="160" s="1"/>
  <c r="BL132" i="160" s="1"/>
  <c r="BM132" i="160" s="1"/>
  <c r="BN132" i="160" s="1"/>
  <c r="J87" i="160"/>
  <c r="BH87" i="160" s="1"/>
  <c r="BI87" i="160" s="1"/>
  <c r="BJ87" i="160" s="1"/>
  <c r="BK87" i="160" s="1"/>
  <c r="BL87" i="160" s="1"/>
  <c r="BM87" i="160" s="1"/>
  <c r="BN87" i="160" s="1"/>
  <c r="V132" i="160"/>
  <c r="V87" i="160"/>
  <c r="L133" i="160"/>
  <c r="L88" i="160"/>
  <c r="G135" i="160"/>
  <c r="G90" i="160"/>
  <c r="J136" i="160"/>
  <c r="BH136" i="160" s="1"/>
  <c r="BI136" i="160" s="1"/>
  <c r="BJ136" i="160" s="1"/>
  <c r="BK136" i="160" s="1"/>
  <c r="BL136" i="160" s="1"/>
  <c r="BM136" i="160" s="1"/>
  <c r="BN136" i="160" s="1"/>
  <c r="J91" i="160"/>
  <c r="BH91" i="160" s="1"/>
  <c r="BI91" i="160" s="1"/>
  <c r="BJ91" i="160" s="1"/>
  <c r="BK91" i="160" s="1"/>
  <c r="BL91" i="160" s="1"/>
  <c r="BM91" i="160" s="1"/>
  <c r="BN91" i="160" s="1"/>
  <c r="V136" i="160"/>
  <c r="V91" i="160"/>
  <c r="L137" i="160"/>
  <c r="L92" i="160"/>
  <c r="G139" i="160"/>
  <c r="G94" i="160"/>
  <c r="EQ54" i="160"/>
  <c r="CC57" i="160"/>
  <c r="CD57" i="160" s="1"/>
  <c r="CE57" i="160" s="1"/>
  <c r="CF57" i="160" s="1"/>
  <c r="CG57" i="160" s="1"/>
  <c r="CH57" i="160" s="1"/>
  <c r="CI57" i="160" s="1"/>
  <c r="CC56" i="160"/>
  <c r="CD56" i="160" s="1"/>
  <c r="CE56" i="160" s="1"/>
  <c r="CF56" i="160" s="1"/>
  <c r="CG56" i="160" s="1"/>
  <c r="T123" i="160"/>
  <c r="T78" i="160"/>
  <c r="T127" i="160"/>
  <c r="T82" i="160"/>
  <c r="I41" i="160"/>
  <c r="T131" i="160"/>
  <c r="T86" i="160"/>
  <c r="I45" i="160"/>
  <c r="T135" i="160"/>
  <c r="T90" i="160"/>
  <c r="I49" i="160"/>
  <c r="EN55" i="160"/>
  <c r="EO55" i="160"/>
  <c r="L128" i="160"/>
  <c r="L83" i="160"/>
  <c r="G130" i="160"/>
  <c r="G85" i="160"/>
  <c r="J131" i="160"/>
  <c r="BH131" i="160" s="1"/>
  <c r="BI131" i="160" s="1"/>
  <c r="BJ131" i="160" s="1"/>
  <c r="BK131" i="160" s="1"/>
  <c r="BL131" i="160" s="1"/>
  <c r="BM131" i="160" s="1"/>
  <c r="BN131" i="160" s="1"/>
  <c r="J86" i="160"/>
  <c r="BH86" i="160" s="1"/>
  <c r="BI86" i="160" s="1"/>
  <c r="BJ86" i="160" s="1"/>
  <c r="BK86" i="160" s="1"/>
  <c r="BL86" i="160" s="1"/>
  <c r="BM86" i="160" s="1"/>
  <c r="BN86" i="160" s="1"/>
  <c r="V131" i="160"/>
  <c r="V86" i="160"/>
  <c r="L132" i="160"/>
  <c r="L87" i="160"/>
  <c r="BH42" i="160"/>
  <c r="BI42" i="160" s="1"/>
  <c r="BJ42" i="160" s="1"/>
  <c r="BK42" i="160" s="1"/>
  <c r="BL42" i="160" s="1"/>
  <c r="BM42" i="160" s="1"/>
  <c r="BN42" i="160" s="1"/>
  <c r="G134" i="160"/>
  <c r="G89" i="160"/>
  <c r="J135" i="160"/>
  <c r="BH135" i="160" s="1"/>
  <c r="BI135" i="160" s="1"/>
  <c r="BJ135" i="160" s="1"/>
  <c r="BK135" i="160" s="1"/>
  <c r="BL135" i="160" s="1"/>
  <c r="BM135" i="160" s="1"/>
  <c r="BN135" i="160" s="1"/>
  <c r="J90" i="160"/>
  <c r="BH90" i="160" s="1"/>
  <c r="BI90" i="160" s="1"/>
  <c r="BJ90" i="160" s="1"/>
  <c r="BK90" i="160" s="1"/>
  <c r="BL90" i="160" s="1"/>
  <c r="BM90" i="160" s="1"/>
  <c r="BN90" i="160" s="1"/>
  <c r="V135" i="160"/>
  <c r="V90" i="160"/>
  <c r="L136" i="160"/>
  <c r="L91" i="160"/>
  <c r="BH46" i="160"/>
  <c r="BI46" i="160" s="1"/>
  <c r="BJ46" i="160" s="1"/>
  <c r="BK46" i="160" s="1"/>
  <c r="BL46" i="160" s="1"/>
  <c r="BM46" i="160" s="1"/>
  <c r="BN46" i="160" s="1"/>
  <c r="G138" i="160"/>
  <c r="G93" i="160"/>
  <c r="J139" i="160"/>
  <c r="BH139" i="160" s="1"/>
  <c r="BI139" i="160" s="1"/>
  <c r="BJ139" i="160" s="1"/>
  <c r="BK139" i="160" s="1"/>
  <c r="BL139" i="160" s="1"/>
  <c r="BM139" i="160" s="1"/>
  <c r="BN139" i="160" s="1"/>
  <c r="J94" i="160"/>
  <c r="BH94" i="160" s="1"/>
  <c r="BI94" i="160" s="1"/>
  <c r="BJ94" i="160" s="1"/>
  <c r="BK94" i="160" s="1"/>
  <c r="BL94" i="160" s="1"/>
  <c r="BM94" i="160" s="1"/>
  <c r="BN94" i="160" s="1"/>
  <c r="V139" i="160"/>
  <c r="V94" i="160"/>
  <c r="T122" i="160"/>
  <c r="T77" i="160"/>
  <c r="T126" i="160"/>
  <c r="T81" i="160"/>
  <c r="I40" i="160"/>
  <c r="T130" i="160"/>
  <c r="T85" i="160"/>
  <c r="I44" i="160"/>
  <c r="T134" i="160"/>
  <c r="T89" i="160"/>
  <c r="I48" i="160"/>
  <c r="T138" i="160"/>
  <c r="T93" i="160"/>
  <c r="CA51" i="160"/>
  <c r="BZ51" i="160"/>
  <c r="BY51" i="160"/>
  <c r="BX51" i="160"/>
  <c r="CB51" i="160"/>
  <c r="J126" i="160"/>
  <c r="BH126" i="160" s="1"/>
  <c r="BI126" i="160" s="1"/>
  <c r="BJ126" i="160" s="1"/>
  <c r="BK126" i="160" s="1"/>
  <c r="BL126" i="160" s="1"/>
  <c r="BM126" i="160" s="1"/>
  <c r="BN126" i="160" s="1"/>
  <c r="J81" i="160"/>
  <c r="BH81" i="160" s="1"/>
  <c r="BI81" i="160" s="1"/>
  <c r="BJ81" i="160" s="1"/>
  <c r="BK81" i="160" s="1"/>
  <c r="BL81" i="160" s="1"/>
  <c r="BM81" i="160" s="1"/>
  <c r="BN81" i="160" s="1"/>
  <c r="V126" i="160"/>
  <c r="V81" i="160"/>
  <c r="L127" i="160"/>
  <c r="L82" i="160"/>
  <c r="G129" i="160"/>
  <c r="G84" i="160"/>
  <c r="J130" i="160"/>
  <c r="BH130" i="160" s="1"/>
  <c r="BI130" i="160" s="1"/>
  <c r="BJ130" i="160" s="1"/>
  <c r="BK130" i="160" s="1"/>
  <c r="BL130" i="160" s="1"/>
  <c r="BM130" i="160" s="1"/>
  <c r="BN130" i="160" s="1"/>
  <c r="J85" i="160"/>
  <c r="BH85" i="160" s="1"/>
  <c r="BI85" i="160" s="1"/>
  <c r="BJ85" i="160" s="1"/>
  <c r="BK85" i="160" s="1"/>
  <c r="BL85" i="160" s="1"/>
  <c r="BM85" i="160" s="1"/>
  <c r="BN85" i="160" s="1"/>
  <c r="V130" i="160"/>
  <c r="V85" i="160"/>
  <c r="L131" i="160"/>
  <c r="L86" i="160"/>
  <c r="BH41" i="160"/>
  <c r="BI41" i="160" s="1"/>
  <c r="BJ41" i="160" s="1"/>
  <c r="BK41" i="160" s="1"/>
  <c r="BL41" i="160" s="1"/>
  <c r="BM41" i="160" s="1"/>
  <c r="BN41" i="160" s="1"/>
  <c r="G133" i="160"/>
  <c r="G88" i="160"/>
  <c r="J134" i="160"/>
  <c r="BH134" i="160" s="1"/>
  <c r="BI134" i="160" s="1"/>
  <c r="BJ134" i="160" s="1"/>
  <c r="BK134" i="160" s="1"/>
  <c r="BL134" i="160" s="1"/>
  <c r="BM134" i="160" s="1"/>
  <c r="BN134" i="160" s="1"/>
  <c r="J89" i="160"/>
  <c r="BH89" i="160" s="1"/>
  <c r="BI89" i="160" s="1"/>
  <c r="BJ89" i="160" s="1"/>
  <c r="BK89" i="160" s="1"/>
  <c r="BL89" i="160" s="1"/>
  <c r="BM89" i="160" s="1"/>
  <c r="BN89" i="160" s="1"/>
  <c r="V134" i="160"/>
  <c r="V89" i="160"/>
  <c r="L135" i="160"/>
  <c r="L90" i="160"/>
  <c r="BH45" i="160"/>
  <c r="BI45" i="160" s="1"/>
  <c r="BJ45" i="160" s="1"/>
  <c r="BK45" i="160" s="1"/>
  <c r="BL45" i="160" s="1"/>
  <c r="BM45" i="160" s="1"/>
  <c r="BN45" i="160" s="1"/>
  <c r="G137" i="160"/>
  <c r="G92" i="160"/>
  <c r="J138" i="160"/>
  <c r="BH138" i="160" s="1"/>
  <c r="BI138" i="160" s="1"/>
  <c r="BJ138" i="160" s="1"/>
  <c r="BK138" i="160" s="1"/>
  <c r="BL138" i="160" s="1"/>
  <c r="BM138" i="160" s="1"/>
  <c r="BN138" i="160" s="1"/>
  <c r="J93" i="160"/>
  <c r="BH93" i="160" s="1"/>
  <c r="BI93" i="160" s="1"/>
  <c r="BJ93" i="160" s="1"/>
  <c r="BK93" i="160" s="1"/>
  <c r="BL93" i="160" s="1"/>
  <c r="BM93" i="160" s="1"/>
  <c r="BN93" i="160" s="1"/>
  <c r="V138" i="160"/>
  <c r="V93" i="160"/>
  <c r="L139" i="160"/>
  <c r="L94" i="160"/>
  <c r="DZ59" i="160"/>
  <c r="CD59" i="160"/>
  <c r="CE59" i="160" s="1"/>
  <c r="CF59" i="160" s="1"/>
  <c r="CG59" i="160" s="1"/>
  <c r="CH59" i="160" s="1"/>
  <c r="CI59" i="160" s="1"/>
  <c r="T121" i="160"/>
  <c r="T76" i="160"/>
  <c r="T125" i="160"/>
  <c r="T80" i="160"/>
  <c r="I39" i="160"/>
  <c r="T129" i="160"/>
  <c r="T84" i="160"/>
  <c r="I43" i="160"/>
  <c r="T133" i="160"/>
  <c r="T88" i="160"/>
  <c r="I47" i="160"/>
  <c r="T137" i="160"/>
  <c r="T92" i="160"/>
  <c r="EJ56" i="160"/>
  <c r="EQ56" i="160"/>
  <c r="EC58" i="160"/>
  <c r="CG58" i="160"/>
  <c r="CH58" i="160" s="1"/>
  <c r="CI58" i="160" s="1"/>
  <c r="EG59" i="160"/>
  <c r="CK59" i="160"/>
  <c r="CL59" i="160" s="1"/>
  <c r="CM59" i="160" s="1"/>
  <c r="CN59" i="160" s="1"/>
  <c r="CO59" i="160" s="1"/>
  <c r="CP59" i="160" s="1"/>
  <c r="EJ54" i="160"/>
  <c r="ER54" i="160"/>
  <c r="DZ55" i="160"/>
  <c r="EP58" i="160"/>
  <c r="AH56" i="160"/>
  <c r="EI58" i="160"/>
  <c r="BY60" i="160"/>
  <c r="CB60" i="160"/>
  <c r="BV60" i="160"/>
  <c r="EB58" i="160"/>
  <c r="EO59" i="160"/>
  <c r="CB66" i="160"/>
  <c r="DY66" i="160" s="1"/>
  <c r="CA66" i="160"/>
  <c r="DX66" i="160" s="1"/>
  <c r="BZ66" i="160"/>
  <c r="DW66" i="160" s="1"/>
  <c r="BX66" i="160"/>
  <c r="DU66" i="160" s="1"/>
  <c r="BW66" i="160"/>
  <c r="DT66" i="160" s="1"/>
  <c r="BV66" i="160"/>
  <c r="DS66" i="160" s="1"/>
  <c r="BX67" i="160"/>
  <c r="BW67" i="160"/>
  <c r="BV67" i="160"/>
  <c r="CB67" i="160"/>
  <c r="CA67" i="160"/>
  <c r="BZ67" i="160"/>
  <c r="BY67" i="160"/>
  <c r="CB72" i="160"/>
  <c r="DY72" i="160" s="1"/>
  <c r="BZ72" i="160"/>
  <c r="DW72" i="160" s="1"/>
  <c r="CA72" i="160"/>
  <c r="DX72" i="160" s="1"/>
  <c r="BY72" i="160"/>
  <c r="DV72" i="160" s="1"/>
  <c r="BX72" i="160"/>
  <c r="DU72" i="160" s="1"/>
  <c r="BV72" i="160"/>
  <c r="DS72" i="160" s="1"/>
  <c r="EP56" i="160"/>
  <c r="EU66" i="160"/>
  <c r="T139" i="160"/>
  <c r="T94" i="160"/>
  <c r="BW53" i="160"/>
  <c r="AH54" i="160"/>
  <c r="EI56" i="160"/>
  <c r="EO57" i="160"/>
  <c r="BZ60" i="160"/>
  <c r="CC54" i="160"/>
  <c r="CD54" i="160" s="1"/>
  <c r="CE54" i="160" s="1"/>
  <c r="CF54" i="160" s="1"/>
  <c r="ER56" i="160"/>
  <c r="EH57" i="160"/>
  <c r="BV89" i="160"/>
  <c r="CA89" i="160"/>
  <c r="BZ89" i="160"/>
  <c r="BY89" i="160"/>
  <c r="BW89" i="160"/>
  <c r="CB89" i="160"/>
  <c r="BX89" i="160"/>
  <c r="AH58" i="160"/>
  <c r="EU71" i="160"/>
  <c r="BZ61" i="160"/>
  <c r="BY65" i="160"/>
  <c r="CA61" i="160"/>
  <c r="BX74" i="160"/>
  <c r="BW74" i="160"/>
  <c r="BV74" i="160"/>
  <c r="CB74" i="160"/>
  <c r="CA74" i="160"/>
  <c r="CA65" i="160"/>
  <c r="BZ68" i="160"/>
  <c r="BW68" i="160"/>
  <c r="BX68" i="160"/>
  <c r="BW69" i="160"/>
  <c r="BV69" i="160"/>
  <c r="CB69" i="160"/>
  <c r="CA82" i="160"/>
  <c r="BX82" i="160"/>
  <c r="BW82" i="160"/>
  <c r="BV82" i="160"/>
  <c r="CB82" i="160"/>
  <c r="BZ82" i="160"/>
  <c r="BY82" i="160"/>
  <c r="BY74" i="160"/>
  <c r="BY84" i="160"/>
  <c r="BX84" i="160"/>
  <c r="BW84" i="160"/>
  <c r="CB84" i="160"/>
  <c r="CA84" i="160"/>
  <c r="CO101" i="160"/>
  <c r="CP101" i="160" s="1"/>
  <c r="EK101" i="160"/>
  <c r="BV81" i="160"/>
  <c r="CB81" i="160"/>
  <c r="CA81" i="160"/>
  <c r="BX81" i="160"/>
  <c r="BW81" i="160"/>
  <c r="BX83" i="160"/>
  <c r="CB83" i="160"/>
  <c r="CA83" i="160"/>
  <c r="BZ83" i="160"/>
  <c r="BW83" i="160"/>
  <c r="BV83" i="160"/>
  <c r="CV99" i="160"/>
  <c r="CW99" i="160" s="1"/>
  <c r="ER99" i="160"/>
  <c r="BY81" i="160"/>
  <c r="CM103" i="160"/>
  <c r="EI103" i="160"/>
  <c r="BY70" i="160"/>
  <c r="BY75" i="160"/>
  <c r="BZ77" i="160"/>
  <c r="BY79" i="160"/>
  <c r="BZ81" i="160"/>
  <c r="EU72" i="160"/>
  <c r="CA79" i="160"/>
  <c r="BV84" i="160"/>
  <c r="CB79" i="160"/>
  <c r="BY83" i="160"/>
  <c r="BW94" i="160"/>
  <c r="BY94" i="160"/>
  <c r="BV94" i="160"/>
  <c r="CB94" i="160"/>
  <c r="CA94" i="160"/>
  <c r="BZ94" i="160"/>
  <c r="BX94" i="160"/>
  <c r="BW85" i="160"/>
  <c r="BX98" i="160"/>
  <c r="BZ98" i="160"/>
  <c r="CA98" i="160"/>
  <c r="BY98" i="160"/>
  <c r="AI103" i="160"/>
  <c r="BX85" i="160"/>
  <c r="BY85" i="160"/>
  <c r="BX91" i="160"/>
  <c r="CA91" i="160"/>
  <c r="BZ91" i="160"/>
  <c r="BY91" i="160"/>
  <c r="BV91" i="160"/>
  <c r="EQ99" i="160"/>
  <c r="CT101" i="160"/>
  <c r="EP101" i="160"/>
  <c r="CS102" i="160"/>
  <c r="CT102" i="160" s="1"/>
  <c r="CU102" i="160" s="1"/>
  <c r="CV102" i="160" s="1"/>
  <c r="CW102" i="160" s="1"/>
  <c r="EO102" i="160"/>
  <c r="EH100" i="160"/>
  <c r="EO100" i="160"/>
  <c r="CB85" i="160"/>
  <c r="CB87" i="160"/>
  <c r="CA87" i="160"/>
  <c r="BZ87" i="160"/>
  <c r="BW91" i="160"/>
  <c r="EJ101" i="160"/>
  <c r="EH104" i="160"/>
  <c r="CL104" i="160"/>
  <c r="CM104" i="160" s="1"/>
  <c r="CN104" i="160" s="1"/>
  <c r="CO104" i="160" s="1"/>
  <c r="CP104" i="160" s="1"/>
  <c r="CB91" i="160"/>
  <c r="BZ90" i="160"/>
  <c r="CA92" i="160"/>
  <c r="CB90" i="160"/>
  <c r="CB92" i="160"/>
  <c r="CA93" i="160"/>
  <c r="EP99" i="160"/>
  <c r="EI99" i="160"/>
  <c r="AI101" i="160"/>
  <c r="CC101" i="160"/>
  <c r="CD101" i="160" s="1"/>
  <c r="CE101" i="160" s="1"/>
  <c r="CF101" i="160" s="1"/>
  <c r="CG101" i="160" s="1"/>
  <c r="CH101" i="160" s="1"/>
  <c r="CI101" i="160" s="1"/>
  <c r="DZ104" i="160"/>
  <c r="CT103" i="160"/>
  <c r="BV92" i="160"/>
  <c r="CC100" i="160"/>
  <c r="CC99" i="160"/>
  <c r="CD99" i="160" s="1"/>
  <c r="CE99" i="160" s="1"/>
  <c r="EA104" i="160"/>
  <c r="CE104" i="160"/>
  <c r="CF104" i="160" s="1"/>
  <c r="CG104" i="160" s="1"/>
  <c r="CH104" i="160" s="1"/>
  <c r="CI104" i="160" s="1"/>
  <c r="BW90" i="160"/>
  <c r="BV93" i="160"/>
  <c r="BZ96" i="160"/>
  <c r="CA96" i="160"/>
  <c r="BX96" i="160"/>
  <c r="CF103" i="160"/>
  <c r="CA105" i="160"/>
  <c r="BX105" i="160"/>
  <c r="BZ105" i="160"/>
  <c r="BV105" i="160"/>
  <c r="BV106" i="160"/>
  <c r="BY106" i="160"/>
  <c r="BX106" i="160"/>
  <c r="DZ102" i="160"/>
  <c r="BY105" i="160"/>
  <c r="BW111" i="160"/>
  <c r="CB111" i="160"/>
  <c r="BY111" i="160"/>
  <c r="BV111" i="160"/>
  <c r="CA111" i="160"/>
  <c r="BZ111" i="160"/>
  <c r="EG104" i="160"/>
  <c r="EK99" i="160"/>
  <c r="AH99" i="160"/>
  <c r="EI101" i="160"/>
  <c r="EN102" i="160"/>
  <c r="BX111" i="160"/>
  <c r="BV97" i="160"/>
  <c r="BW110" i="160"/>
  <c r="BZ110" i="160"/>
  <c r="BX110" i="160"/>
  <c r="BV110" i="160"/>
  <c r="CB110" i="160"/>
  <c r="CA115" i="160"/>
  <c r="BX115" i="160"/>
  <c r="BW115" i="160"/>
  <c r="BV115" i="160"/>
  <c r="BZ115" i="160"/>
  <c r="BY115" i="160"/>
  <c r="CB115" i="160"/>
  <c r="BV114" i="160"/>
  <c r="CA114" i="160"/>
  <c r="CB114" i="160"/>
  <c r="BZ114" i="160"/>
  <c r="BX114" i="160"/>
  <c r="BY114" i="160"/>
  <c r="BW112" i="160"/>
  <c r="BY112" i="160"/>
  <c r="BX116" i="160"/>
  <c r="BV116" i="160"/>
  <c r="CB116" i="160"/>
  <c r="BZ120" i="160"/>
  <c r="CB120" i="160"/>
  <c r="BY120" i="160"/>
  <c r="BX120" i="160"/>
  <c r="BW120" i="160"/>
  <c r="CA120" i="160"/>
  <c r="BY113" i="160"/>
  <c r="BV113" i="160"/>
  <c r="CB113" i="160"/>
  <c r="BW119" i="160"/>
  <c r="CB119" i="160"/>
  <c r="CA119" i="160"/>
  <c r="BX119" i="160"/>
  <c r="BY119" i="160"/>
  <c r="BX117" i="160"/>
  <c r="BY117" i="160"/>
  <c r="BV117" i="160"/>
  <c r="CA118" i="160"/>
  <c r="BY121" i="160"/>
  <c r="BX122" i="160"/>
  <c r="BW122" i="160"/>
  <c r="BV122" i="160"/>
  <c r="CB122" i="160"/>
  <c r="CA121" i="160"/>
  <c r="CB121" i="160"/>
  <c r="BV118" i="160"/>
  <c r="CA122" i="160"/>
  <c r="BZ118" i="160"/>
  <c r="BX121" i="160"/>
  <c r="BY124" i="160"/>
  <c r="CB129" i="160"/>
  <c r="CA129" i="160"/>
  <c r="BZ129" i="160"/>
  <c r="BX129" i="160"/>
  <c r="BW129" i="160"/>
  <c r="BY129" i="160"/>
  <c r="BV129" i="160"/>
  <c r="BY123" i="160"/>
  <c r="BV124" i="160"/>
  <c r="BV125" i="160"/>
  <c r="BW124" i="160"/>
  <c r="BX124" i="160"/>
  <c r="BW125" i="160"/>
  <c r="CB125" i="160"/>
  <c r="BY125" i="160"/>
  <c r="BY126" i="160"/>
  <c r="BV127" i="160"/>
  <c r="CB126" i="160"/>
  <c r="BV128" i="160"/>
  <c r="BV126" i="160"/>
  <c r="BW128" i="160"/>
  <c r="CA128" i="160"/>
  <c r="BZ128" i="160"/>
  <c r="BY128" i="160"/>
  <c r="BW131" i="160"/>
  <c r="BY131" i="160"/>
  <c r="BZ131" i="160"/>
  <c r="CA131" i="160"/>
  <c r="CB131" i="160"/>
  <c r="BZ132" i="160"/>
  <c r="CB132" i="160"/>
  <c r="BY132" i="160"/>
  <c r="BV135" i="160"/>
  <c r="BZ135" i="160"/>
  <c r="CB135" i="160"/>
  <c r="BY135" i="160"/>
  <c r="BX135" i="160"/>
  <c r="BW135" i="160"/>
  <c r="BZ137" i="160"/>
  <c r="BY133" i="160"/>
  <c r="BV134" i="160"/>
  <c r="BW134" i="160"/>
  <c r="BX134" i="160"/>
  <c r="BX137" i="160"/>
  <c r="BW137" i="160"/>
  <c r="CB137" i="160"/>
  <c r="BY134" i="160"/>
  <c r="BV133" i="160"/>
  <c r="CA134" i="160"/>
  <c r="CA136" i="160"/>
  <c r="BZ136" i="160"/>
  <c r="BW136" i="160"/>
  <c r="BV137" i="160"/>
  <c r="BY137" i="160"/>
  <c r="BV138" i="160"/>
  <c r="BW138" i="160"/>
  <c r="BX138" i="160"/>
  <c r="BY138" i="160"/>
  <c r="BV139" i="160"/>
  <c r="CA138" i="160"/>
  <c r="BY139" i="160"/>
  <c r="DL12" i="160" l="1"/>
  <c r="Q10" i="135"/>
  <c r="CD10" i="135" s="1"/>
  <c r="CE10" i="135" s="1"/>
  <c r="CF10" i="135" s="1"/>
  <c r="CG10" i="135" s="1"/>
  <c r="CH10" i="135" s="1"/>
  <c r="CI10" i="135" s="1"/>
  <c r="CJ10" i="135" s="1"/>
  <c r="CC45" i="160"/>
  <c r="CD45" i="160" s="1"/>
  <c r="CE45" i="160" s="1"/>
  <c r="CF45" i="160" s="1"/>
  <c r="CG45" i="160" s="1"/>
  <c r="CH45" i="160" s="1"/>
  <c r="CI45" i="160" s="1"/>
  <c r="CC44" i="160"/>
  <c r="CD44" i="160" s="1"/>
  <c r="CE44" i="160" s="1"/>
  <c r="CF44" i="160" s="1"/>
  <c r="CG44" i="160" s="1"/>
  <c r="CH44" i="160" s="1"/>
  <c r="CI44" i="160" s="1"/>
  <c r="DL55" i="160"/>
  <c r="DO101" i="160"/>
  <c r="CR9" i="135"/>
  <c r="CS9" i="135" s="1"/>
  <c r="CT9" i="135" s="1"/>
  <c r="CU9" i="135" s="1"/>
  <c r="CV9" i="135" s="1"/>
  <c r="CW9" i="135" s="1"/>
  <c r="CX9" i="135" s="1"/>
  <c r="CR39" i="135"/>
  <c r="CS39" i="135" s="1"/>
  <c r="CT39" i="135" s="1"/>
  <c r="CU39" i="135" s="1"/>
  <c r="CV39" i="135" s="1"/>
  <c r="CW39" i="135" s="1"/>
  <c r="CX39" i="135" s="1"/>
  <c r="CR11" i="135"/>
  <c r="CS11" i="135" s="1"/>
  <c r="CT11" i="135" s="1"/>
  <c r="CU11" i="135" s="1"/>
  <c r="CV11" i="135" s="1"/>
  <c r="CW11" i="135" s="1"/>
  <c r="CX11" i="135" s="1"/>
  <c r="CR41" i="135"/>
  <c r="CS41" i="135" s="1"/>
  <c r="CT41" i="135" s="1"/>
  <c r="CU41" i="135" s="1"/>
  <c r="CV41" i="135" s="1"/>
  <c r="CW41" i="135" s="1"/>
  <c r="CX41" i="135" s="1"/>
  <c r="CR46" i="135"/>
  <c r="Q46" i="135"/>
  <c r="CD46" i="135" s="1"/>
  <c r="CD16" i="135"/>
  <c r="Q31" i="135"/>
  <c r="CD31" i="135" s="1"/>
  <c r="CQ46" i="160"/>
  <c r="CR46" i="160" s="1"/>
  <c r="CS46" i="160" s="1"/>
  <c r="CT46" i="160" s="1"/>
  <c r="CU46" i="160" s="1"/>
  <c r="CV46" i="160" s="1"/>
  <c r="CW46" i="160" s="1"/>
  <c r="CD8" i="135"/>
  <c r="CE8" i="135" s="1"/>
  <c r="CF8" i="135" s="1"/>
  <c r="CG8" i="135" s="1"/>
  <c r="CH8" i="135" s="1"/>
  <c r="CI8" i="135" s="1"/>
  <c r="CJ8" i="135" s="1"/>
  <c r="Q38" i="135"/>
  <c r="CD38" i="135" s="1"/>
  <c r="CE38" i="135" s="1"/>
  <c r="CF38" i="135" s="1"/>
  <c r="CG38" i="135" s="1"/>
  <c r="CH38" i="135" s="1"/>
  <c r="CI38" i="135" s="1"/>
  <c r="CJ38" i="135" s="1"/>
  <c r="Q23" i="135"/>
  <c r="CD23" i="135" s="1"/>
  <c r="CE23" i="135" s="1"/>
  <c r="CF23" i="135" s="1"/>
  <c r="CG23" i="135" s="1"/>
  <c r="CH23" i="135" s="1"/>
  <c r="CI23" i="135" s="1"/>
  <c r="CJ23" i="135" s="1"/>
  <c r="R31" i="135"/>
  <c r="CK31" i="135" s="1"/>
  <c r="R46" i="135"/>
  <c r="CK46" i="135" s="1"/>
  <c r="CK16" i="135"/>
  <c r="DN101" i="160"/>
  <c r="K72" i="160"/>
  <c r="CQ44" i="160"/>
  <c r="CR44" i="160" s="1"/>
  <c r="CS44" i="160" s="1"/>
  <c r="CT44" i="160" s="1"/>
  <c r="CU44" i="160" s="1"/>
  <c r="CV44" i="160" s="1"/>
  <c r="CW44" i="160" s="1"/>
  <c r="CD9" i="135"/>
  <c r="CE9" i="135" s="1"/>
  <c r="CF9" i="135" s="1"/>
  <c r="CG9" i="135" s="1"/>
  <c r="CH9" i="135" s="1"/>
  <c r="CI9" i="135" s="1"/>
  <c r="CJ9" i="135" s="1"/>
  <c r="Q24" i="135"/>
  <c r="CD24" i="135" s="1"/>
  <c r="CE24" i="135" s="1"/>
  <c r="CF24" i="135" s="1"/>
  <c r="CG24" i="135" s="1"/>
  <c r="CH24" i="135" s="1"/>
  <c r="CI24" i="135" s="1"/>
  <c r="CJ24" i="135" s="1"/>
  <c r="Q39" i="135"/>
  <c r="CD39" i="135" s="1"/>
  <c r="CE39" i="135" s="1"/>
  <c r="CF39" i="135" s="1"/>
  <c r="CG39" i="135" s="1"/>
  <c r="CH39" i="135" s="1"/>
  <c r="CI39" i="135" s="1"/>
  <c r="CJ39" i="135" s="1"/>
  <c r="CC47" i="160"/>
  <c r="CD47" i="160" s="1"/>
  <c r="CE47" i="160" s="1"/>
  <c r="CF47" i="160" s="1"/>
  <c r="CG47" i="160" s="1"/>
  <c r="CH47" i="160" s="1"/>
  <c r="CI47" i="160" s="1"/>
  <c r="Q11" i="135"/>
  <c r="CX7" i="160"/>
  <c r="K59" i="160"/>
  <c r="CX55" i="160"/>
  <c r="DS53" i="160"/>
  <c r="N57" i="160"/>
  <c r="BO57" i="160" s="1"/>
  <c r="BP57" i="160" s="1"/>
  <c r="BQ57" i="160" s="1"/>
  <c r="BR57" i="160" s="1"/>
  <c r="BS57" i="160" s="1"/>
  <c r="BT57" i="160" s="1"/>
  <c r="BU57" i="160" s="1"/>
  <c r="N102" i="160"/>
  <c r="BO102" i="160" s="1"/>
  <c r="BP102" i="160" s="1"/>
  <c r="DM102" i="160" s="1"/>
  <c r="BE27" i="160"/>
  <c r="AC43" i="160"/>
  <c r="DE43" i="160" s="1"/>
  <c r="I91" i="160"/>
  <c r="BA91" i="160" s="1"/>
  <c r="BB91" i="160" s="1"/>
  <c r="BC91" i="160" s="1"/>
  <c r="I136" i="160"/>
  <c r="BA136" i="160" s="1"/>
  <c r="BB136" i="160" s="1"/>
  <c r="BC136" i="160" s="1"/>
  <c r="K46" i="160"/>
  <c r="K40" i="135" s="1"/>
  <c r="EH102" i="160"/>
  <c r="G40" i="135"/>
  <c r="G25" i="135"/>
  <c r="Q27" i="135"/>
  <c r="CD27" i="135" s="1"/>
  <c r="CE27" i="135" s="1"/>
  <c r="CF27" i="135" s="1"/>
  <c r="CG27" i="135" s="1"/>
  <c r="CH27" i="135" s="1"/>
  <c r="CI27" i="135" s="1"/>
  <c r="CJ27" i="135" s="1"/>
  <c r="CD12" i="135"/>
  <c r="CE12" i="135" s="1"/>
  <c r="CF12" i="135" s="1"/>
  <c r="CG12" i="135" s="1"/>
  <c r="CH12" i="135" s="1"/>
  <c r="CI12" i="135" s="1"/>
  <c r="CJ12" i="135" s="1"/>
  <c r="Q42" i="135"/>
  <c r="CD42" i="135" s="1"/>
  <c r="CE42" i="135" s="1"/>
  <c r="CF42" i="135" s="1"/>
  <c r="CG42" i="135" s="1"/>
  <c r="CH42" i="135" s="1"/>
  <c r="CI42" i="135" s="1"/>
  <c r="CJ42" i="135" s="1"/>
  <c r="I40" i="135"/>
  <c r="BB40" i="135" s="1"/>
  <c r="BC40" i="135" s="1"/>
  <c r="BD40" i="135" s="1"/>
  <c r="BE40" i="135" s="1"/>
  <c r="BF40" i="135" s="1"/>
  <c r="BG40" i="135" s="1"/>
  <c r="BH40" i="135" s="1"/>
  <c r="I25" i="135"/>
  <c r="BB25" i="135" s="1"/>
  <c r="BC25" i="135" s="1"/>
  <c r="BD25" i="135" s="1"/>
  <c r="BE25" i="135" s="1"/>
  <c r="BF25" i="135" s="1"/>
  <c r="BG25" i="135" s="1"/>
  <c r="BH25" i="135" s="1"/>
  <c r="BB10" i="135"/>
  <c r="BC10" i="135" s="1"/>
  <c r="BD10" i="135" s="1"/>
  <c r="BE10" i="135" s="1"/>
  <c r="BF10" i="135" s="1"/>
  <c r="BG10" i="135" s="1"/>
  <c r="BH10" i="135" s="1"/>
  <c r="CK11" i="135"/>
  <c r="CL11" i="135" s="1"/>
  <c r="CM11" i="135" s="1"/>
  <c r="CN11" i="135" s="1"/>
  <c r="CO11" i="135" s="1"/>
  <c r="CP11" i="135" s="1"/>
  <c r="CQ11" i="135" s="1"/>
  <c r="R41" i="135"/>
  <c r="CK41" i="135" s="1"/>
  <c r="CL41" i="135" s="1"/>
  <c r="CM41" i="135" s="1"/>
  <c r="CN41" i="135" s="1"/>
  <c r="CO41" i="135" s="1"/>
  <c r="CP41" i="135" s="1"/>
  <c r="CQ41" i="135" s="1"/>
  <c r="R26" i="135"/>
  <c r="CK26" i="135" s="1"/>
  <c r="CL26" i="135" s="1"/>
  <c r="CM26" i="135" s="1"/>
  <c r="CN26" i="135" s="1"/>
  <c r="CO26" i="135" s="1"/>
  <c r="CP26" i="135" s="1"/>
  <c r="CQ26" i="135" s="1"/>
  <c r="I28" i="135"/>
  <c r="BB28" i="135" s="1"/>
  <c r="BC28" i="135" s="1"/>
  <c r="BD28" i="135" s="1"/>
  <c r="BE28" i="135" s="1"/>
  <c r="BF28" i="135" s="1"/>
  <c r="BG28" i="135" s="1"/>
  <c r="BH28" i="135" s="1"/>
  <c r="BB13" i="135"/>
  <c r="BC13" i="135" s="1"/>
  <c r="BD13" i="135" s="1"/>
  <c r="BE13" i="135" s="1"/>
  <c r="BF13" i="135" s="1"/>
  <c r="BG13" i="135" s="1"/>
  <c r="BH13" i="135" s="1"/>
  <c r="I43" i="135"/>
  <c r="BB43" i="135" s="1"/>
  <c r="BC43" i="135" s="1"/>
  <c r="BD43" i="135" s="1"/>
  <c r="BE43" i="135" s="1"/>
  <c r="BF43" i="135" s="1"/>
  <c r="BG43" i="135" s="1"/>
  <c r="BH43" i="135" s="1"/>
  <c r="I27" i="135"/>
  <c r="BB27" i="135" s="1"/>
  <c r="BC27" i="135" s="1"/>
  <c r="BD27" i="135" s="1"/>
  <c r="BE27" i="135" s="1"/>
  <c r="BF27" i="135" s="1"/>
  <c r="BG27" i="135" s="1"/>
  <c r="BH27" i="135" s="1"/>
  <c r="BB12" i="135"/>
  <c r="BC12" i="135" s="1"/>
  <c r="BD12" i="135" s="1"/>
  <c r="BE12" i="135" s="1"/>
  <c r="BF12" i="135" s="1"/>
  <c r="BG12" i="135" s="1"/>
  <c r="BH12" i="135" s="1"/>
  <c r="I42" i="135"/>
  <c r="BB42" i="135" s="1"/>
  <c r="BC42" i="135" s="1"/>
  <c r="BD42" i="135" s="1"/>
  <c r="BE42" i="135" s="1"/>
  <c r="BF42" i="135" s="1"/>
  <c r="BG42" i="135" s="1"/>
  <c r="BH42" i="135" s="1"/>
  <c r="CK10" i="135"/>
  <c r="CL10" i="135" s="1"/>
  <c r="CM10" i="135" s="1"/>
  <c r="CN10" i="135" s="1"/>
  <c r="CO10" i="135" s="1"/>
  <c r="CP10" i="135" s="1"/>
  <c r="CQ10" i="135" s="1"/>
  <c r="R40" i="135"/>
  <c r="CK40" i="135" s="1"/>
  <c r="CL40" i="135" s="1"/>
  <c r="CM40" i="135" s="1"/>
  <c r="CN40" i="135" s="1"/>
  <c r="CO40" i="135" s="1"/>
  <c r="CP40" i="135" s="1"/>
  <c r="CQ40" i="135" s="1"/>
  <c r="R25" i="135"/>
  <c r="CK25" i="135" s="1"/>
  <c r="CL25" i="135" s="1"/>
  <c r="CM25" i="135" s="1"/>
  <c r="CN25" i="135" s="1"/>
  <c r="CO25" i="135" s="1"/>
  <c r="CP25" i="135" s="1"/>
  <c r="CQ25" i="135" s="1"/>
  <c r="BI12" i="135"/>
  <c r="BJ12" i="135" s="1"/>
  <c r="BK12" i="135" s="1"/>
  <c r="BL12" i="135" s="1"/>
  <c r="BM12" i="135" s="1"/>
  <c r="BN12" i="135" s="1"/>
  <c r="BO12" i="135" s="1"/>
  <c r="J42" i="135"/>
  <c r="BI42" i="135" s="1"/>
  <c r="BJ42" i="135" s="1"/>
  <c r="BK42" i="135" s="1"/>
  <c r="BL42" i="135" s="1"/>
  <c r="BM42" i="135" s="1"/>
  <c r="BN42" i="135" s="1"/>
  <c r="BO42" i="135" s="1"/>
  <c r="J27" i="135"/>
  <c r="BI27" i="135" s="1"/>
  <c r="BJ27" i="135" s="1"/>
  <c r="BK27" i="135" s="1"/>
  <c r="BL27" i="135" s="1"/>
  <c r="BM27" i="135" s="1"/>
  <c r="BN27" i="135" s="1"/>
  <c r="BO27" i="135" s="1"/>
  <c r="DG101" i="160"/>
  <c r="AC33" i="160"/>
  <c r="DS33" i="160" s="1"/>
  <c r="CK8" i="135"/>
  <c r="CL8" i="135" s="1"/>
  <c r="CM8" i="135" s="1"/>
  <c r="CN8" i="135" s="1"/>
  <c r="CO8" i="135" s="1"/>
  <c r="CP8" i="135" s="1"/>
  <c r="CQ8" i="135" s="1"/>
  <c r="R23" i="135"/>
  <c r="CK23" i="135" s="1"/>
  <c r="CL23" i="135" s="1"/>
  <c r="CM23" i="135" s="1"/>
  <c r="CN23" i="135" s="1"/>
  <c r="CO23" i="135" s="1"/>
  <c r="CP23" i="135" s="1"/>
  <c r="CQ23" i="135" s="1"/>
  <c r="R38" i="135"/>
  <c r="CK38" i="135" s="1"/>
  <c r="CL38" i="135" s="1"/>
  <c r="CM38" i="135" s="1"/>
  <c r="CN38" i="135" s="1"/>
  <c r="CO38" i="135" s="1"/>
  <c r="CP38" i="135" s="1"/>
  <c r="CQ38" i="135" s="1"/>
  <c r="CR12" i="135"/>
  <c r="CS12" i="135" s="1"/>
  <c r="CT12" i="135" s="1"/>
  <c r="CU12" i="135" s="1"/>
  <c r="CV12" i="135" s="1"/>
  <c r="CW12" i="135" s="1"/>
  <c r="CX12" i="135" s="1"/>
  <c r="CR42" i="135"/>
  <c r="CS42" i="135" s="1"/>
  <c r="CT42" i="135" s="1"/>
  <c r="CU42" i="135" s="1"/>
  <c r="CV42" i="135" s="1"/>
  <c r="CW42" i="135" s="1"/>
  <c r="CX42" i="135" s="1"/>
  <c r="CK12" i="135"/>
  <c r="CL12" i="135" s="1"/>
  <c r="CM12" i="135" s="1"/>
  <c r="CN12" i="135" s="1"/>
  <c r="CO12" i="135" s="1"/>
  <c r="CP12" i="135" s="1"/>
  <c r="CQ12" i="135" s="1"/>
  <c r="R42" i="135"/>
  <c r="CK42" i="135" s="1"/>
  <c r="CL42" i="135" s="1"/>
  <c r="CM42" i="135" s="1"/>
  <c r="CN42" i="135" s="1"/>
  <c r="CO42" i="135" s="1"/>
  <c r="CP42" i="135" s="1"/>
  <c r="CQ42" i="135" s="1"/>
  <c r="R27" i="135"/>
  <c r="CK27" i="135" s="1"/>
  <c r="CL27" i="135" s="1"/>
  <c r="CM27" i="135" s="1"/>
  <c r="CN27" i="135" s="1"/>
  <c r="CO27" i="135" s="1"/>
  <c r="CP27" i="135" s="1"/>
  <c r="CQ27" i="135" s="1"/>
  <c r="Q28" i="135"/>
  <c r="CD28" i="135" s="1"/>
  <c r="CE28" i="135" s="1"/>
  <c r="CF28" i="135" s="1"/>
  <c r="CG28" i="135" s="1"/>
  <c r="CH28" i="135" s="1"/>
  <c r="CI28" i="135" s="1"/>
  <c r="CJ28" i="135" s="1"/>
  <c r="Q43" i="135"/>
  <c r="CD43" i="135" s="1"/>
  <c r="CE43" i="135" s="1"/>
  <c r="CF43" i="135" s="1"/>
  <c r="CG43" i="135" s="1"/>
  <c r="CH43" i="135" s="1"/>
  <c r="CI43" i="135" s="1"/>
  <c r="CJ43" i="135" s="1"/>
  <c r="CD13" i="135"/>
  <c r="CE13" i="135" s="1"/>
  <c r="CF13" i="135" s="1"/>
  <c r="CG13" i="135" s="1"/>
  <c r="CH13" i="135" s="1"/>
  <c r="CI13" i="135" s="1"/>
  <c r="CJ13" i="135" s="1"/>
  <c r="CR13" i="135"/>
  <c r="CS13" i="135" s="1"/>
  <c r="CT13" i="135" s="1"/>
  <c r="CU13" i="135" s="1"/>
  <c r="CV13" i="135" s="1"/>
  <c r="CW13" i="135" s="1"/>
  <c r="CX13" i="135" s="1"/>
  <c r="CR43" i="135"/>
  <c r="CS43" i="135" s="1"/>
  <c r="CT43" i="135" s="1"/>
  <c r="CU43" i="135" s="1"/>
  <c r="CV43" i="135" s="1"/>
  <c r="CW43" i="135" s="1"/>
  <c r="CX43" i="135" s="1"/>
  <c r="R24" i="135"/>
  <c r="CK24" i="135" s="1"/>
  <c r="CL24" i="135" s="1"/>
  <c r="CM24" i="135" s="1"/>
  <c r="CN24" i="135" s="1"/>
  <c r="CO24" i="135" s="1"/>
  <c r="CP24" i="135" s="1"/>
  <c r="CQ24" i="135" s="1"/>
  <c r="R39" i="135"/>
  <c r="CK39" i="135" s="1"/>
  <c r="CL39" i="135" s="1"/>
  <c r="CM39" i="135" s="1"/>
  <c r="CN39" i="135" s="1"/>
  <c r="CO39" i="135" s="1"/>
  <c r="CP39" i="135" s="1"/>
  <c r="CQ39" i="135" s="1"/>
  <c r="CK9" i="135"/>
  <c r="CL9" i="135" s="1"/>
  <c r="CM9" i="135" s="1"/>
  <c r="CN9" i="135" s="1"/>
  <c r="CO9" i="135" s="1"/>
  <c r="CP9" i="135" s="1"/>
  <c r="CQ9" i="135" s="1"/>
  <c r="R28" i="135"/>
  <c r="CK28" i="135" s="1"/>
  <c r="CL28" i="135" s="1"/>
  <c r="CM28" i="135" s="1"/>
  <c r="CN28" i="135" s="1"/>
  <c r="CO28" i="135" s="1"/>
  <c r="CP28" i="135" s="1"/>
  <c r="CQ28" i="135" s="1"/>
  <c r="R43" i="135"/>
  <c r="CK43" i="135" s="1"/>
  <c r="CL43" i="135" s="1"/>
  <c r="CM43" i="135" s="1"/>
  <c r="CN43" i="135" s="1"/>
  <c r="CO43" i="135" s="1"/>
  <c r="CP43" i="135" s="1"/>
  <c r="CQ43" i="135" s="1"/>
  <c r="CK13" i="135"/>
  <c r="CL13" i="135" s="1"/>
  <c r="CM13" i="135" s="1"/>
  <c r="CN13" i="135" s="1"/>
  <c r="CO13" i="135" s="1"/>
  <c r="CP13" i="135" s="1"/>
  <c r="CQ13" i="135" s="1"/>
  <c r="J28" i="135"/>
  <c r="BI28" i="135" s="1"/>
  <c r="BJ28" i="135" s="1"/>
  <c r="BK28" i="135" s="1"/>
  <c r="BL28" i="135" s="1"/>
  <c r="BM28" i="135" s="1"/>
  <c r="BN28" i="135" s="1"/>
  <c r="BO28" i="135" s="1"/>
  <c r="BI13" i="135"/>
  <c r="BJ13" i="135" s="1"/>
  <c r="BK13" i="135" s="1"/>
  <c r="BL13" i="135" s="1"/>
  <c r="BM13" i="135" s="1"/>
  <c r="BN13" i="135" s="1"/>
  <c r="BO13" i="135" s="1"/>
  <c r="J43" i="135"/>
  <c r="BI43" i="135" s="1"/>
  <c r="BJ43" i="135" s="1"/>
  <c r="BK43" i="135" s="1"/>
  <c r="BL43" i="135" s="1"/>
  <c r="BM43" i="135" s="1"/>
  <c r="BN43" i="135" s="1"/>
  <c r="BO43" i="135" s="1"/>
  <c r="BI8" i="135"/>
  <c r="BJ8" i="135" s="1"/>
  <c r="BK8" i="135" s="1"/>
  <c r="BL8" i="135" s="1"/>
  <c r="BM8" i="135" s="1"/>
  <c r="BN8" i="135" s="1"/>
  <c r="BO8" i="135" s="1"/>
  <c r="J23" i="135"/>
  <c r="BI23" i="135" s="1"/>
  <c r="BJ23" i="135" s="1"/>
  <c r="BK23" i="135" s="1"/>
  <c r="BL23" i="135" s="1"/>
  <c r="BM23" i="135" s="1"/>
  <c r="BN23" i="135" s="1"/>
  <c r="BO23" i="135" s="1"/>
  <c r="J38" i="135"/>
  <c r="BI38" i="135" s="1"/>
  <c r="BJ38" i="135" s="1"/>
  <c r="BK38" i="135" s="1"/>
  <c r="BL38" i="135" s="1"/>
  <c r="BM38" i="135" s="1"/>
  <c r="BN38" i="135" s="1"/>
  <c r="BO38" i="135" s="1"/>
  <c r="BB9" i="135"/>
  <c r="BC9" i="135" s="1"/>
  <c r="BD9" i="135" s="1"/>
  <c r="BE9" i="135" s="1"/>
  <c r="BF9" i="135" s="1"/>
  <c r="BG9" i="135" s="1"/>
  <c r="BH9" i="135" s="1"/>
  <c r="I24" i="135"/>
  <c r="BB24" i="135" s="1"/>
  <c r="BC24" i="135" s="1"/>
  <c r="BD24" i="135" s="1"/>
  <c r="BE24" i="135" s="1"/>
  <c r="BF24" i="135" s="1"/>
  <c r="BG24" i="135" s="1"/>
  <c r="BH24" i="135" s="1"/>
  <c r="I39" i="135"/>
  <c r="BB39" i="135" s="1"/>
  <c r="BC39" i="135" s="1"/>
  <c r="BD39" i="135" s="1"/>
  <c r="BE39" i="135" s="1"/>
  <c r="BF39" i="135" s="1"/>
  <c r="BG39" i="135" s="1"/>
  <c r="BH39" i="135" s="1"/>
  <c r="I23" i="135"/>
  <c r="BB23" i="135" s="1"/>
  <c r="BC23" i="135" s="1"/>
  <c r="BD23" i="135" s="1"/>
  <c r="BE23" i="135" s="1"/>
  <c r="BF23" i="135" s="1"/>
  <c r="BG23" i="135" s="1"/>
  <c r="BH23" i="135" s="1"/>
  <c r="BB8" i="135"/>
  <c r="BC8" i="135" s="1"/>
  <c r="BD8" i="135" s="1"/>
  <c r="BE8" i="135" s="1"/>
  <c r="BF8" i="135" s="1"/>
  <c r="BG8" i="135" s="1"/>
  <c r="BH8" i="135" s="1"/>
  <c r="I38" i="135"/>
  <c r="BB38" i="135" s="1"/>
  <c r="BC38" i="135" s="1"/>
  <c r="BD38" i="135" s="1"/>
  <c r="BE38" i="135" s="1"/>
  <c r="BF38" i="135" s="1"/>
  <c r="BG38" i="135" s="1"/>
  <c r="BH38" i="135" s="1"/>
  <c r="BB11" i="135"/>
  <c r="BC11" i="135" s="1"/>
  <c r="BD11" i="135" s="1"/>
  <c r="BE11" i="135" s="1"/>
  <c r="BF11" i="135" s="1"/>
  <c r="BG11" i="135" s="1"/>
  <c r="BH11" i="135" s="1"/>
  <c r="I41" i="135"/>
  <c r="BB41" i="135" s="1"/>
  <c r="BC41" i="135" s="1"/>
  <c r="BD41" i="135" s="1"/>
  <c r="BE41" i="135" s="1"/>
  <c r="BF41" i="135" s="1"/>
  <c r="BG41" i="135" s="1"/>
  <c r="BH41" i="135" s="1"/>
  <c r="I26" i="135"/>
  <c r="BB26" i="135" s="1"/>
  <c r="BC26" i="135" s="1"/>
  <c r="BD26" i="135" s="1"/>
  <c r="BE26" i="135" s="1"/>
  <c r="BF26" i="135" s="1"/>
  <c r="BG26" i="135" s="1"/>
  <c r="BH26" i="135" s="1"/>
  <c r="CF11" i="160"/>
  <c r="EC11" i="160" s="1"/>
  <c r="DS98" i="160"/>
  <c r="BC11" i="160"/>
  <c r="CZ11" i="160" s="1"/>
  <c r="BB12" i="160"/>
  <c r="BC12" i="160" s="1"/>
  <c r="K117" i="160"/>
  <c r="DM55" i="160"/>
  <c r="DG58" i="160"/>
  <c r="BC17" i="160"/>
  <c r="BF17" i="160" s="1"/>
  <c r="DL104" i="160"/>
  <c r="AC48" i="160"/>
  <c r="K63" i="160"/>
  <c r="BC15" i="160"/>
  <c r="BD15" i="160" s="1"/>
  <c r="BG15" i="160" s="1"/>
  <c r="AC11" i="160"/>
  <c r="DS11" i="160" s="1"/>
  <c r="AC47" i="160"/>
  <c r="EY71" i="160"/>
  <c r="AC28" i="160"/>
  <c r="EN28" i="160" s="1"/>
  <c r="AC49" i="160"/>
  <c r="AC97" i="160"/>
  <c r="EG97" i="160" s="1"/>
  <c r="EC56" i="160"/>
  <c r="EH59" i="160"/>
  <c r="DY13" i="160"/>
  <c r="AC19" i="160"/>
  <c r="DS19" i="160" s="1"/>
  <c r="AC37" i="160"/>
  <c r="DS37" i="160" s="1"/>
  <c r="EB101" i="160"/>
  <c r="AC20" i="160"/>
  <c r="CX20" i="160" s="1"/>
  <c r="AC27" i="160"/>
  <c r="DE27" i="160" s="1"/>
  <c r="AC22" i="160"/>
  <c r="DS22" i="160" s="1"/>
  <c r="AC40" i="160"/>
  <c r="DS40" i="160" s="1"/>
  <c r="DL7" i="160"/>
  <c r="EB54" i="160"/>
  <c r="DS9" i="160"/>
  <c r="CX100" i="160"/>
  <c r="AC16" i="160"/>
  <c r="DS16" i="160" s="1"/>
  <c r="AC25" i="160"/>
  <c r="DS25" i="160" s="1"/>
  <c r="AC44" i="160"/>
  <c r="DE7" i="160"/>
  <c r="EH55" i="160"/>
  <c r="AC24" i="160"/>
  <c r="DS24" i="160" s="1"/>
  <c r="AC34" i="160"/>
  <c r="DS34" i="160" s="1"/>
  <c r="DS7" i="160"/>
  <c r="DI99" i="160"/>
  <c r="AC15" i="160"/>
  <c r="CX15" i="160" s="1"/>
  <c r="AC31" i="160"/>
  <c r="DE31" i="160" s="1"/>
  <c r="AC46" i="160"/>
  <c r="AC52" i="160"/>
  <c r="DS52" i="160" s="1"/>
  <c r="ER58" i="160"/>
  <c r="DG103" i="160"/>
  <c r="EE101" i="160"/>
  <c r="DH99" i="160"/>
  <c r="DI54" i="160"/>
  <c r="DH54" i="160"/>
  <c r="DI56" i="160"/>
  <c r="AC13" i="160"/>
  <c r="AC103" i="160" s="1"/>
  <c r="AC23" i="160"/>
  <c r="DS23" i="160" s="1"/>
  <c r="AC29" i="160"/>
  <c r="DS29" i="160" s="1"/>
  <c r="AC41" i="160"/>
  <c r="DS41" i="160" s="1"/>
  <c r="AD7" i="160"/>
  <c r="DT7" i="160" s="1"/>
  <c r="EB56" i="160"/>
  <c r="CX102" i="160"/>
  <c r="DG54" i="160"/>
  <c r="DG56" i="160"/>
  <c r="AC35" i="160"/>
  <c r="DZ35" i="160" s="1"/>
  <c r="AC30" i="160"/>
  <c r="DS30" i="160" s="1"/>
  <c r="AC45" i="160"/>
  <c r="EN7" i="160"/>
  <c r="EO12" i="160"/>
  <c r="CS12" i="160"/>
  <c r="CT12" i="160" s="1"/>
  <c r="CU12" i="160" s="1"/>
  <c r="CV12" i="160" s="1"/>
  <c r="CW12" i="160" s="1"/>
  <c r="EA59" i="160"/>
  <c r="DH56" i="160"/>
  <c r="AC39" i="160"/>
  <c r="DS39" i="160" s="1"/>
  <c r="AC17" i="160"/>
  <c r="DL17" i="160" s="1"/>
  <c r="AC38" i="160"/>
  <c r="DS38" i="160" s="1"/>
  <c r="AC32" i="160"/>
  <c r="DS32" i="160" s="1"/>
  <c r="EG7" i="160"/>
  <c r="DG99" i="160"/>
  <c r="DN58" i="160"/>
  <c r="AC21" i="160"/>
  <c r="DS21" i="160" s="1"/>
  <c r="AC26" i="160"/>
  <c r="DS26" i="160" s="1"/>
  <c r="AC18" i="160"/>
  <c r="DS18" i="160" s="1"/>
  <c r="AC42" i="160"/>
  <c r="DS42" i="160" s="1"/>
  <c r="AC36" i="160"/>
  <c r="DS36" i="160" s="1"/>
  <c r="DZ57" i="160"/>
  <c r="BE57" i="160"/>
  <c r="BC57" i="160"/>
  <c r="EQ13" i="160"/>
  <c r="CU13" i="160"/>
  <c r="EC13" i="160"/>
  <c r="CG13" i="160"/>
  <c r="DI101" i="160"/>
  <c r="CD100" i="160"/>
  <c r="DZ100" i="160"/>
  <c r="EE58" i="160"/>
  <c r="ES58" i="160"/>
  <c r="AI58" i="160"/>
  <c r="I130" i="160"/>
  <c r="BA130" i="160" s="1"/>
  <c r="BB130" i="160" s="1"/>
  <c r="I85" i="160"/>
  <c r="BA85" i="160" s="1"/>
  <c r="BB85" i="160" s="1"/>
  <c r="K40" i="160"/>
  <c r="BA40" i="160"/>
  <c r="BB40" i="160" s="1"/>
  <c r="BE117" i="160"/>
  <c r="BC117" i="160"/>
  <c r="BE132" i="160"/>
  <c r="BC132" i="160"/>
  <c r="BC107" i="160"/>
  <c r="BE107" i="160"/>
  <c r="I126" i="160"/>
  <c r="BA126" i="160" s="1"/>
  <c r="BB126" i="160" s="1"/>
  <c r="I81" i="160"/>
  <c r="BA81" i="160" s="1"/>
  <c r="BB81" i="160" s="1"/>
  <c r="K36" i="160"/>
  <c r="BA36" i="160"/>
  <c r="BB36" i="160" s="1"/>
  <c r="EK58" i="160"/>
  <c r="CO58" i="160"/>
  <c r="CP58" i="160" s="1"/>
  <c r="EB9" i="160"/>
  <c r="CF9" i="160"/>
  <c r="K103" i="160"/>
  <c r="K58" i="160"/>
  <c r="BC20" i="160"/>
  <c r="BE20" i="160"/>
  <c r="BC51" i="160"/>
  <c r="BE51" i="160"/>
  <c r="BV62" i="160"/>
  <c r="BZ62" i="160"/>
  <c r="BY62" i="160"/>
  <c r="BX62" i="160"/>
  <c r="CB62" i="160"/>
  <c r="CA62" i="160"/>
  <c r="BW62" i="160"/>
  <c r="BX104" i="160"/>
  <c r="CA104" i="160"/>
  <c r="BW104" i="160"/>
  <c r="DT104" i="160" s="1"/>
  <c r="BZ104" i="160"/>
  <c r="BY104" i="160"/>
  <c r="CB104" i="160"/>
  <c r="BV104" i="160"/>
  <c r="DS104" i="160" s="1"/>
  <c r="BE98" i="160"/>
  <c r="BC98" i="160"/>
  <c r="BC105" i="160"/>
  <c r="BE105" i="160"/>
  <c r="CX14" i="160"/>
  <c r="BB14" i="160"/>
  <c r="BC102" i="160"/>
  <c r="BE102" i="160"/>
  <c r="CY102" i="160"/>
  <c r="Q144" i="160"/>
  <c r="BT101" i="160"/>
  <c r="DP101" i="160"/>
  <c r="EH12" i="160"/>
  <c r="CL12" i="160"/>
  <c r="CM12" i="160" s="1"/>
  <c r="CN12" i="160" s="1"/>
  <c r="CO12" i="160" s="1"/>
  <c r="CP12" i="160" s="1"/>
  <c r="EA12" i="160"/>
  <c r="CE12" i="160"/>
  <c r="CF12" i="160" s="1"/>
  <c r="CG12" i="160" s="1"/>
  <c r="CH12" i="160" s="1"/>
  <c r="CI12" i="160" s="1"/>
  <c r="DM12" i="160"/>
  <c r="BQ12" i="160"/>
  <c r="BR12" i="160" s="1"/>
  <c r="BS12" i="160" s="1"/>
  <c r="BT12" i="160" s="1"/>
  <c r="BU12" i="160" s="1"/>
  <c r="BC106" i="160"/>
  <c r="BE106" i="160"/>
  <c r="AI99" i="160"/>
  <c r="EL99" i="160"/>
  <c r="DJ99" i="160"/>
  <c r="ES99" i="160"/>
  <c r="Q143" i="160"/>
  <c r="I129" i="160"/>
  <c r="BA129" i="160" s="1"/>
  <c r="BB129" i="160" s="1"/>
  <c r="I84" i="160"/>
  <c r="BA84" i="160" s="1"/>
  <c r="BB84" i="160" s="1"/>
  <c r="BA39" i="160"/>
  <c r="BB39" i="160" s="1"/>
  <c r="K39" i="160"/>
  <c r="I139" i="160"/>
  <c r="BA139" i="160" s="1"/>
  <c r="BB139" i="160" s="1"/>
  <c r="I94" i="160"/>
  <c r="BA94" i="160" s="1"/>
  <c r="BB94" i="160" s="1"/>
  <c r="BA49" i="160"/>
  <c r="BB49" i="160" s="1"/>
  <c r="K49" i="160"/>
  <c r="I128" i="160"/>
  <c r="BA128" i="160" s="1"/>
  <c r="BB128" i="160" s="1"/>
  <c r="I83" i="160"/>
  <c r="BA83" i="160" s="1"/>
  <c r="BB83" i="160" s="1"/>
  <c r="BA38" i="160"/>
  <c r="BB38" i="160" s="1"/>
  <c r="K38" i="160"/>
  <c r="BC46" i="160"/>
  <c r="BE46" i="160"/>
  <c r="K116" i="160"/>
  <c r="K71" i="160"/>
  <c r="N26" i="160"/>
  <c r="BV54" i="160"/>
  <c r="CB54" i="160"/>
  <c r="CA54" i="160"/>
  <c r="DX54" i="160" s="1"/>
  <c r="BZ54" i="160"/>
  <c r="DW54" i="160" s="1"/>
  <c r="BY54" i="160"/>
  <c r="DV54" i="160" s="1"/>
  <c r="BX54" i="160"/>
  <c r="DU54" i="160" s="1"/>
  <c r="BW54" i="160"/>
  <c r="P102" i="160"/>
  <c r="P57" i="160"/>
  <c r="CB12" i="160"/>
  <c r="CA12" i="160"/>
  <c r="BZ12" i="160"/>
  <c r="BY12" i="160"/>
  <c r="BX12" i="160"/>
  <c r="BV12" i="160"/>
  <c r="DS12" i="160" s="1"/>
  <c r="BW12" i="160"/>
  <c r="DT12" i="160" s="1"/>
  <c r="BE65" i="160"/>
  <c r="BC65" i="160"/>
  <c r="BC96" i="160"/>
  <c r="BE96" i="160"/>
  <c r="K99" i="160"/>
  <c r="K54" i="160"/>
  <c r="BY107" i="160"/>
  <c r="CB107" i="160"/>
  <c r="BX107" i="160"/>
  <c r="CA107" i="160"/>
  <c r="BV107" i="160"/>
  <c r="BZ107" i="160"/>
  <c r="BW107" i="160"/>
  <c r="K113" i="160"/>
  <c r="K68" i="160"/>
  <c r="N23" i="160"/>
  <c r="CB63" i="160"/>
  <c r="CA63" i="160"/>
  <c r="BZ63" i="160"/>
  <c r="BX63" i="160"/>
  <c r="BW63" i="160"/>
  <c r="BV63" i="160"/>
  <c r="BY63" i="160"/>
  <c r="DZ10" i="160"/>
  <c r="CD10" i="160"/>
  <c r="EJ9" i="160"/>
  <c r="CN9" i="160"/>
  <c r="EJ13" i="160"/>
  <c r="CN13" i="160"/>
  <c r="DL14" i="160"/>
  <c r="BP14" i="160"/>
  <c r="BE60" i="160"/>
  <c r="BC60" i="160"/>
  <c r="Q142" i="160"/>
  <c r="EJ103" i="160"/>
  <c r="CN103" i="160"/>
  <c r="I138" i="160"/>
  <c r="BA138" i="160" s="1"/>
  <c r="BB138" i="160" s="1"/>
  <c r="I93" i="160"/>
  <c r="BA93" i="160" s="1"/>
  <c r="BB93" i="160" s="1"/>
  <c r="K48" i="160"/>
  <c r="BA48" i="160"/>
  <c r="BB48" i="160" s="1"/>
  <c r="K107" i="160"/>
  <c r="K62" i="160"/>
  <c r="I119" i="160"/>
  <c r="BA119" i="160" s="1"/>
  <c r="BB119" i="160" s="1"/>
  <c r="I74" i="160"/>
  <c r="BA74" i="160" s="1"/>
  <c r="BB74" i="160" s="1"/>
  <c r="K29" i="160"/>
  <c r="BA29" i="160"/>
  <c r="BB29" i="160" s="1"/>
  <c r="I124" i="160"/>
  <c r="BA124" i="160" s="1"/>
  <c r="BB124" i="160" s="1"/>
  <c r="I79" i="160"/>
  <c r="BA79" i="160" s="1"/>
  <c r="BB79" i="160" s="1"/>
  <c r="BA34" i="160"/>
  <c r="BB34" i="160" s="1"/>
  <c r="K34" i="160"/>
  <c r="BZ99" i="160"/>
  <c r="DW99" i="160" s="1"/>
  <c r="CA99" i="160"/>
  <c r="DX99" i="160" s="1"/>
  <c r="BV99" i="160"/>
  <c r="CB99" i="160"/>
  <c r="BY99" i="160"/>
  <c r="DV99" i="160" s="1"/>
  <c r="BX99" i="160"/>
  <c r="DU99" i="160" s="1"/>
  <c r="BW99" i="160"/>
  <c r="BE110" i="160"/>
  <c r="BC110" i="160"/>
  <c r="DH58" i="160"/>
  <c r="BL58" i="160"/>
  <c r="BY56" i="160"/>
  <c r="DV56" i="160" s="1"/>
  <c r="BX56" i="160"/>
  <c r="DU56" i="160" s="1"/>
  <c r="BW56" i="160"/>
  <c r="BV56" i="160"/>
  <c r="CB56" i="160"/>
  <c r="CA56" i="160"/>
  <c r="DX56" i="160" s="1"/>
  <c r="BZ56" i="160"/>
  <c r="DW56" i="160" s="1"/>
  <c r="BE52" i="160"/>
  <c r="BC52" i="160"/>
  <c r="BE23" i="160"/>
  <c r="BC23" i="160"/>
  <c r="CB108" i="160"/>
  <c r="BX108" i="160"/>
  <c r="BZ108" i="160"/>
  <c r="BY108" i="160"/>
  <c r="BW108" i="160"/>
  <c r="CA108" i="160"/>
  <c r="BV108" i="160"/>
  <c r="DN13" i="160"/>
  <c r="BR13" i="160"/>
  <c r="BE9" i="160"/>
  <c r="DB9" i="160" s="1"/>
  <c r="BC9" i="160"/>
  <c r="BD16" i="160"/>
  <c r="BG16" i="160" s="1"/>
  <c r="BF16" i="160"/>
  <c r="CX51" i="160"/>
  <c r="DE51" i="160"/>
  <c r="DL51" i="160"/>
  <c r="EG51" i="160"/>
  <c r="EN51" i="160"/>
  <c r="DZ51" i="160"/>
  <c r="EH10" i="160"/>
  <c r="CL10" i="160"/>
  <c r="CM10" i="160" s="1"/>
  <c r="CN10" i="160" s="1"/>
  <c r="CO10" i="160" s="1"/>
  <c r="CP10" i="160" s="1"/>
  <c r="EQ11" i="160"/>
  <c r="CU11" i="160"/>
  <c r="AD98" i="160"/>
  <c r="AD53" i="160"/>
  <c r="DT53" i="160" s="1"/>
  <c r="EA8" i="160"/>
  <c r="EH8" i="160"/>
  <c r="AD9" i="160"/>
  <c r="DT9" i="160" s="1"/>
  <c r="EO8" i="160"/>
  <c r="DT8" i="160"/>
  <c r="AE8" i="160"/>
  <c r="CY8" i="160"/>
  <c r="DF8" i="160"/>
  <c r="DM8" i="160"/>
  <c r="DE53" i="160"/>
  <c r="DL53" i="160"/>
  <c r="DZ53" i="160"/>
  <c r="EG53" i="160"/>
  <c r="EN53" i="160"/>
  <c r="CX53" i="160"/>
  <c r="DL59" i="160"/>
  <c r="BP59" i="160"/>
  <c r="I127" i="160"/>
  <c r="BA127" i="160" s="1"/>
  <c r="BB127" i="160" s="1"/>
  <c r="I82" i="160"/>
  <c r="BA82" i="160" s="1"/>
  <c r="BB82" i="160" s="1"/>
  <c r="BA37" i="160"/>
  <c r="BB37" i="160" s="1"/>
  <c r="K37" i="160"/>
  <c r="N99" i="160"/>
  <c r="BO99" i="160" s="1"/>
  <c r="BP99" i="160" s="1"/>
  <c r="BQ99" i="160" s="1"/>
  <c r="N54" i="160"/>
  <c r="BO54" i="160" s="1"/>
  <c r="BP54" i="160" s="1"/>
  <c r="BQ54" i="160" s="1"/>
  <c r="BO9" i="160"/>
  <c r="BP9" i="160" s="1"/>
  <c r="BQ9" i="160" s="1"/>
  <c r="BC13" i="160"/>
  <c r="BE13" i="160"/>
  <c r="DB13" i="160" s="1"/>
  <c r="BZ109" i="160"/>
  <c r="CB109" i="160"/>
  <c r="CA109" i="160"/>
  <c r="BW109" i="160"/>
  <c r="BX109" i="160"/>
  <c r="BV109" i="160"/>
  <c r="BY109" i="160"/>
  <c r="BY59" i="160"/>
  <c r="BX59" i="160"/>
  <c r="BW59" i="160"/>
  <c r="DT59" i="160" s="1"/>
  <c r="BV59" i="160"/>
  <c r="DS59" i="160" s="1"/>
  <c r="CB59" i="160"/>
  <c r="CA59" i="160"/>
  <c r="BZ59" i="160"/>
  <c r="BN101" i="160"/>
  <c r="DK101" i="160" s="1"/>
  <c r="DJ101" i="160"/>
  <c r="ED101" i="160"/>
  <c r="EL101" i="160"/>
  <c r="EM101" i="160"/>
  <c r="EF101" i="160"/>
  <c r="ED58" i="160"/>
  <c r="I137" i="160"/>
  <c r="BA137" i="160" s="1"/>
  <c r="BB137" i="160" s="1"/>
  <c r="I92" i="160"/>
  <c r="BA92" i="160" s="1"/>
  <c r="BB92" i="160" s="1"/>
  <c r="BA47" i="160"/>
  <c r="BB47" i="160" s="1"/>
  <c r="K47" i="160"/>
  <c r="I123" i="160"/>
  <c r="BA123" i="160" s="1"/>
  <c r="BB123" i="160" s="1"/>
  <c r="I78" i="160"/>
  <c r="BA78" i="160" s="1"/>
  <c r="BB78" i="160" s="1"/>
  <c r="BA33" i="160"/>
  <c r="BB33" i="160" s="1"/>
  <c r="K33" i="160"/>
  <c r="BE116" i="160"/>
  <c r="BC116" i="160"/>
  <c r="CX57" i="160"/>
  <c r="DG11" i="160"/>
  <c r="BK11" i="160"/>
  <c r="BC63" i="160"/>
  <c r="BE63" i="160"/>
  <c r="CX10" i="160"/>
  <c r="BB10" i="160"/>
  <c r="DH103" i="160"/>
  <c r="BL103" i="160"/>
  <c r="J100" i="160"/>
  <c r="BH100" i="160" s="1"/>
  <c r="J55" i="160"/>
  <c r="BH55" i="160" s="1"/>
  <c r="BH10" i="160"/>
  <c r="BX101" i="160"/>
  <c r="DU101" i="160" s="1"/>
  <c r="CA101" i="160"/>
  <c r="DX101" i="160" s="1"/>
  <c r="BW101" i="160"/>
  <c r="CB101" i="160"/>
  <c r="DY101" i="160" s="1"/>
  <c r="BZ101" i="160"/>
  <c r="DW101" i="160" s="1"/>
  <c r="BY101" i="160"/>
  <c r="DV101" i="160" s="1"/>
  <c r="BV101" i="160"/>
  <c r="BE97" i="160"/>
  <c r="BC97" i="160"/>
  <c r="BE68" i="160"/>
  <c r="BC68" i="160"/>
  <c r="N108" i="160"/>
  <c r="BO108" i="160" s="1"/>
  <c r="BP108" i="160" s="1"/>
  <c r="BQ108" i="160" s="1"/>
  <c r="BR108" i="160" s="1"/>
  <c r="BS108" i="160" s="1"/>
  <c r="BT108" i="160" s="1"/>
  <c r="BU108" i="160" s="1"/>
  <c r="N63" i="160"/>
  <c r="BO63" i="160" s="1"/>
  <c r="BP63" i="160" s="1"/>
  <c r="BQ63" i="160" s="1"/>
  <c r="BR63" i="160" s="1"/>
  <c r="BS63" i="160" s="1"/>
  <c r="BT63" i="160" s="1"/>
  <c r="BU63" i="160" s="1"/>
  <c r="BO18" i="160"/>
  <c r="BP18" i="160" s="1"/>
  <c r="BQ18" i="160" s="1"/>
  <c r="BR18" i="160" s="1"/>
  <c r="BS18" i="160" s="1"/>
  <c r="BT18" i="160" s="1"/>
  <c r="BU18" i="160" s="1"/>
  <c r="CX96" i="160"/>
  <c r="EN96" i="160"/>
  <c r="EG96" i="160"/>
  <c r="DZ96" i="160"/>
  <c r="DS96" i="160"/>
  <c r="DL96" i="160"/>
  <c r="DE96" i="160"/>
  <c r="EO14" i="160"/>
  <c r="CS14" i="160"/>
  <c r="CT14" i="160" s="1"/>
  <c r="CU14" i="160" s="1"/>
  <c r="CV14" i="160" s="1"/>
  <c r="CW14" i="160" s="1"/>
  <c r="DL98" i="160"/>
  <c r="DE98" i="160"/>
  <c r="CX98" i="160"/>
  <c r="EN98" i="160"/>
  <c r="DZ98" i="160"/>
  <c r="EG98" i="160"/>
  <c r="BQ104" i="160"/>
  <c r="BR104" i="160" s="1"/>
  <c r="BS104" i="160" s="1"/>
  <c r="BT104" i="160" s="1"/>
  <c r="BU104" i="160" s="1"/>
  <c r="DM104" i="160"/>
  <c r="EB99" i="160"/>
  <c r="CF99" i="160"/>
  <c r="BC87" i="160"/>
  <c r="BE87" i="160"/>
  <c r="BC115" i="160"/>
  <c r="BE115" i="160"/>
  <c r="I120" i="160"/>
  <c r="BA120" i="160" s="1"/>
  <c r="BB120" i="160" s="1"/>
  <c r="I75" i="160"/>
  <c r="BA75" i="160" s="1"/>
  <c r="BB75" i="160" s="1"/>
  <c r="BA30" i="160"/>
  <c r="BB30" i="160" s="1"/>
  <c r="K30" i="160"/>
  <c r="BC114" i="160"/>
  <c r="BE114" i="160"/>
  <c r="BE53" i="160"/>
  <c r="BC53" i="160"/>
  <c r="BC109" i="160"/>
  <c r="BE109" i="160"/>
  <c r="DH101" i="160"/>
  <c r="DJ54" i="160"/>
  <c r="AI54" i="160"/>
  <c r="EL54" i="160"/>
  <c r="ES54" i="160"/>
  <c r="EY66" i="160"/>
  <c r="I135" i="160"/>
  <c r="BA135" i="160" s="1"/>
  <c r="BB135" i="160" s="1"/>
  <c r="I90" i="160"/>
  <c r="BA90" i="160" s="1"/>
  <c r="BB90" i="160" s="1"/>
  <c r="BA45" i="160"/>
  <c r="BB45" i="160" s="1"/>
  <c r="K45" i="160"/>
  <c r="I121" i="160"/>
  <c r="BA121" i="160" s="1"/>
  <c r="BB121" i="160" s="1"/>
  <c r="I76" i="160"/>
  <c r="BA76" i="160" s="1"/>
  <c r="BB76" i="160" s="1"/>
  <c r="BA31" i="160"/>
  <c r="BB31" i="160" s="1"/>
  <c r="K31" i="160"/>
  <c r="BE56" i="160"/>
  <c r="DB56" i="160" s="1"/>
  <c r="BC56" i="160"/>
  <c r="BE108" i="160"/>
  <c r="BC108" i="160"/>
  <c r="BF27" i="160"/>
  <c r="BD27" i="160"/>
  <c r="BG27" i="160" s="1"/>
  <c r="K114" i="160"/>
  <c r="K69" i="160"/>
  <c r="N24" i="160"/>
  <c r="DL10" i="160"/>
  <c r="BP10" i="160"/>
  <c r="BE113" i="160"/>
  <c r="BC113" i="160"/>
  <c r="BF25" i="160"/>
  <c r="BD25" i="160"/>
  <c r="BG25" i="160" s="1"/>
  <c r="K106" i="160"/>
  <c r="K61" i="160"/>
  <c r="J102" i="160"/>
  <c r="BH102" i="160" s="1"/>
  <c r="J57" i="160"/>
  <c r="BH57" i="160" s="1"/>
  <c r="BH12" i="160"/>
  <c r="BE54" i="160"/>
  <c r="DB54" i="160" s="1"/>
  <c r="BC54" i="160"/>
  <c r="DO58" i="160"/>
  <c r="BS58" i="160"/>
  <c r="N109" i="160"/>
  <c r="BO109" i="160" s="1"/>
  <c r="BP109" i="160" s="1"/>
  <c r="BQ109" i="160" s="1"/>
  <c r="BR109" i="160" s="1"/>
  <c r="BS109" i="160" s="1"/>
  <c r="BT109" i="160" s="1"/>
  <c r="BU109" i="160" s="1"/>
  <c r="N64" i="160"/>
  <c r="BO64" i="160" s="1"/>
  <c r="BP64" i="160" s="1"/>
  <c r="BQ64" i="160" s="1"/>
  <c r="BR64" i="160" s="1"/>
  <c r="BS64" i="160" s="1"/>
  <c r="BT64" i="160" s="1"/>
  <c r="BU64" i="160" s="1"/>
  <c r="BO19" i="160"/>
  <c r="BP19" i="160" s="1"/>
  <c r="BQ19" i="160" s="1"/>
  <c r="BR19" i="160" s="1"/>
  <c r="BS19" i="160" s="1"/>
  <c r="BT19" i="160" s="1"/>
  <c r="BU19" i="160" s="1"/>
  <c r="K101" i="160"/>
  <c r="K56" i="160"/>
  <c r="BF8" i="160"/>
  <c r="BD8" i="160"/>
  <c r="BG8" i="160" s="1"/>
  <c r="BF18" i="160"/>
  <c r="BD18" i="160"/>
  <c r="BG18" i="160" s="1"/>
  <c r="N110" i="160"/>
  <c r="BO110" i="160" s="1"/>
  <c r="BP110" i="160" s="1"/>
  <c r="BQ110" i="160" s="1"/>
  <c r="BR110" i="160" s="1"/>
  <c r="BS110" i="160" s="1"/>
  <c r="BT110" i="160" s="1"/>
  <c r="BU110" i="160" s="1"/>
  <c r="N65" i="160"/>
  <c r="BO65" i="160" s="1"/>
  <c r="BP65" i="160" s="1"/>
  <c r="BQ65" i="160" s="1"/>
  <c r="BR65" i="160" s="1"/>
  <c r="BS65" i="160" s="1"/>
  <c r="BT65" i="160" s="1"/>
  <c r="BU65" i="160" s="1"/>
  <c r="BO20" i="160"/>
  <c r="BP20" i="160" s="1"/>
  <c r="BQ20" i="160" s="1"/>
  <c r="BR20" i="160" s="1"/>
  <c r="BS20" i="160" s="1"/>
  <c r="BT20" i="160" s="1"/>
  <c r="BU20" i="160" s="1"/>
  <c r="EJ11" i="160"/>
  <c r="CN11" i="160"/>
  <c r="BE62" i="160"/>
  <c r="BC62" i="160"/>
  <c r="BF26" i="160"/>
  <c r="BD26" i="160"/>
  <c r="BG26" i="160" s="1"/>
  <c r="BR56" i="160"/>
  <c r="DN56" i="160"/>
  <c r="EC101" i="160"/>
  <c r="EY72" i="160"/>
  <c r="CY57" i="160"/>
  <c r="ES56" i="160"/>
  <c r="DJ56" i="160"/>
  <c r="AI56" i="160"/>
  <c r="EL56" i="160"/>
  <c r="I134" i="160"/>
  <c r="BA134" i="160" s="1"/>
  <c r="BB134" i="160" s="1"/>
  <c r="I89" i="160"/>
  <c r="BA89" i="160" s="1"/>
  <c r="BB89" i="160" s="1"/>
  <c r="K44" i="160"/>
  <c r="BA44" i="160"/>
  <c r="BB44" i="160" s="1"/>
  <c r="EA57" i="160"/>
  <c r="K115" i="160"/>
  <c r="K70" i="160"/>
  <c r="N25" i="160"/>
  <c r="K132" i="160"/>
  <c r="K87" i="160"/>
  <c r="N42" i="160"/>
  <c r="I118" i="160"/>
  <c r="BA118" i="160" s="1"/>
  <c r="BB118" i="160" s="1"/>
  <c r="I73" i="160"/>
  <c r="BA73" i="160" s="1"/>
  <c r="BB73" i="160" s="1"/>
  <c r="K28" i="160"/>
  <c r="BA28" i="160"/>
  <c r="BB28" i="160" s="1"/>
  <c r="BC101" i="160"/>
  <c r="BE101" i="160"/>
  <c r="DB101" i="160" s="1"/>
  <c r="BB59" i="160"/>
  <c r="CX59" i="160"/>
  <c r="N106" i="160"/>
  <c r="BO106" i="160" s="1"/>
  <c r="BP106" i="160" s="1"/>
  <c r="BQ106" i="160" s="1"/>
  <c r="BR106" i="160" s="1"/>
  <c r="BS106" i="160" s="1"/>
  <c r="BT106" i="160" s="1"/>
  <c r="BU106" i="160" s="1"/>
  <c r="N61" i="160"/>
  <c r="BO61" i="160" s="1"/>
  <c r="BP61" i="160" s="1"/>
  <c r="BQ61" i="160" s="1"/>
  <c r="BR61" i="160" s="1"/>
  <c r="BS61" i="160" s="1"/>
  <c r="BT61" i="160" s="1"/>
  <c r="BU61" i="160" s="1"/>
  <c r="BO16" i="160"/>
  <c r="BP16" i="160" s="1"/>
  <c r="BQ16" i="160" s="1"/>
  <c r="BR16" i="160" s="1"/>
  <c r="BS16" i="160" s="1"/>
  <c r="BT16" i="160" s="1"/>
  <c r="BU16" i="160" s="1"/>
  <c r="N105" i="160"/>
  <c r="BO105" i="160" s="1"/>
  <c r="BP105" i="160" s="1"/>
  <c r="BQ105" i="160" s="1"/>
  <c r="BR105" i="160" s="1"/>
  <c r="BS105" i="160" s="1"/>
  <c r="BT105" i="160" s="1"/>
  <c r="BU105" i="160" s="1"/>
  <c r="N60" i="160"/>
  <c r="BO60" i="160" s="1"/>
  <c r="BP60" i="160" s="1"/>
  <c r="BQ60" i="160" s="1"/>
  <c r="BR60" i="160" s="1"/>
  <c r="BS60" i="160" s="1"/>
  <c r="BT60" i="160" s="1"/>
  <c r="BU60" i="160" s="1"/>
  <c r="BO15" i="160"/>
  <c r="BP15" i="160" s="1"/>
  <c r="BQ15" i="160" s="1"/>
  <c r="BR15" i="160" s="1"/>
  <c r="BS15" i="160" s="1"/>
  <c r="BT15" i="160" s="1"/>
  <c r="BU15" i="160" s="1"/>
  <c r="BE24" i="160"/>
  <c r="BC24" i="160"/>
  <c r="BC58" i="160"/>
  <c r="BE58" i="160"/>
  <c r="DB58" i="160" s="1"/>
  <c r="BC55" i="160"/>
  <c r="BE55" i="160"/>
  <c r="BE99" i="160"/>
  <c r="DB99" i="160" s="1"/>
  <c r="BC99" i="160"/>
  <c r="DN103" i="160"/>
  <c r="BR103" i="160"/>
  <c r="BE19" i="160"/>
  <c r="BC19" i="160"/>
  <c r="CB58" i="160"/>
  <c r="CA58" i="160"/>
  <c r="DX58" i="160" s="1"/>
  <c r="BZ58" i="160"/>
  <c r="DW58" i="160" s="1"/>
  <c r="BY58" i="160"/>
  <c r="DV58" i="160" s="1"/>
  <c r="BX58" i="160"/>
  <c r="DU58" i="160" s="1"/>
  <c r="BW58" i="160"/>
  <c r="BV58" i="160"/>
  <c r="EO10" i="160"/>
  <c r="CS10" i="160"/>
  <c r="CT10" i="160" s="1"/>
  <c r="CU10" i="160" s="1"/>
  <c r="CV10" i="160" s="1"/>
  <c r="CW10" i="160" s="1"/>
  <c r="EH14" i="160"/>
  <c r="CL14" i="160"/>
  <c r="CM14" i="160" s="1"/>
  <c r="CN14" i="160" s="1"/>
  <c r="CO14" i="160" s="1"/>
  <c r="CP14" i="160" s="1"/>
  <c r="EA14" i="160"/>
  <c r="CE14" i="160"/>
  <c r="CF14" i="160" s="1"/>
  <c r="CG14" i="160" s="1"/>
  <c r="CH14" i="160" s="1"/>
  <c r="CI14" i="160" s="1"/>
  <c r="DH9" i="160"/>
  <c r="BL9" i="160"/>
  <c r="AC99" i="160"/>
  <c r="EG9" i="160"/>
  <c r="AC54" i="160"/>
  <c r="EN9" i="160"/>
  <c r="DZ9" i="160"/>
  <c r="CX9" i="160"/>
  <c r="DE9" i="160"/>
  <c r="BL13" i="160"/>
  <c r="DH13" i="160"/>
  <c r="EQ9" i="160"/>
  <c r="CU9" i="160"/>
  <c r="CU103" i="160"/>
  <c r="EQ103" i="160"/>
  <c r="I131" i="160"/>
  <c r="BA131" i="160" s="1"/>
  <c r="BB131" i="160" s="1"/>
  <c r="I86" i="160"/>
  <c r="BA86" i="160" s="1"/>
  <c r="BB86" i="160" s="1"/>
  <c r="BA41" i="160"/>
  <c r="BB41" i="160" s="1"/>
  <c r="K41" i="160"/>
  <c r="DL100" i="160"/>
  <c r="BP100" i="160"/>
  <c r="CG103" i="160"/>
  <c r="EC103" i="160"/>
  <c r="CU101" i="160"/>
  <c r="EQ101" i="160"/>
  <c r="EC54" i="160"/>
  <c r="CG54" i="160"/>
  <c r="I133" i="160"/>
  <c r="BA133" i="160" s="1"/>
  <c r="BB133" i="160" s="1"/>
  <c r="I88" i="160"/>
  <c r="BA88" i="160" s="1"/>
  <c r="BB88" i="160" s="1"/>
  <c r="BA43" i="160"/>
  <c r="BB43" i="160" s="1"/>
  <c r="K43" i="160"/>
  <c r="ED56" i="160"/>
  <c r="CH56" i="160"/>
  <c r="CI56" i="160" s="1"/>
  <c r="BC42" i="160"/>
  <c r="BE42" i="160"/>
  <c r="BC70" i="160"/>
  <c r="BE70" i="160"/>
  <c r="I112" i="160"/>
  <c r="BA112" i="160" s="1"/>
  <c r="BB112" i="160" s="1"/>
  <c r="I67" i="160"/>
  <c r="BA67" i="160" s="1"/>
  <c r="BB67" i="160" s="1"/>
  <c r="K22" i="160"/>
  <c r="BA22" i="160"/>
  <c r="BB22" i="160" s="1"/>
  <c r="I125" i="160"/>
  <c r="BA125" i="160" s="1"/>
  <c r="BB125" i="160" s="1"/>
  <c r="I80" i="160"/>
  <c r="BA80" i="160" s="1"/>
  <c r="BB80" i="160" s="1"/>
  <c r="BA35" i="160"/>
  <c r="BB35" i="160" s="1"/>
  <c r="K35" i="160"/>
  <c r="I122" i="160"/>
  <c r="BA122" i="160" s="1"/>
  <c r="BB122" i="160" s="1"/>
  <c r="I77" i="160"/>
  <c r="BA77" i="160" s="1"/>
  <c r="BB77" i="160" s="1"/>
  <c r="K32" i="160"/>
  <c r="BA32" i="160"/>
  <c r="BB32" i="160" s="1"/>
  <c r="N117" i="160"/>
  <c r="BO117" i="160" s="1"/>
  <c r="BP117" i="160" s="1"/>
  <c r="BQ117" i="160" s="1"/>
  <c r="BR117" i="160" s="1"/>
  <c r="BS117" i="160" s="1"/>
  <c r="BT117" i="160" s="1"/>
  <c r="BU117" i="160" s="1"/>
  <c r="N72" i="160"/>
  <c r="BO27" i="160"/>
  <c r="BP27" i="160" s="1"/>
  <c r="BQ27" i="160" s="1"/>
  <c r="BR27" i="160" s="1"/>
  <c r="BS27" i="160" s="1"/>
  <c r="BT27" i="160" s="1"/>
  <c r="BU27" i="160" s="1"/>
  <c r="I111" i="160"/>
  <c r="BA111" i="160" s="1"/>
  <c r="BB111" i="160" s="1"/>
  <c r="I66" i="160"/>
  <c r="BA21" i="160"/>
  <c r="BB21" i="160" s="1"/>
  <c r="K21" i="160"/>
  <c r="BB104" i="160"/>
  <c r="CX104" i="160"/>
  <c r="K100" i="160"/>
  <c r="K55" i="160"/>
  <c r="BC61" i="160"/>
  <c r="BE61" i="160"/>
  <c r="BE69" i="160"/>
  <c r="BC69" i="160"/>
  <c r="BZ64" i="160"/>
  <c r="BY64" i="160"/>
  <c r="BX64" i="160"/>
  <c r="BV64" i="160"/>
  <c r="CB64" i="160"/>
  <c r="CA64" i="160"/>
  <c r="BW64" i="160"/>
  <c r="BC103" i="160"/>
  <c r="BE103" i="160"/>
  <c r="DB103" i="160" s="1"/>
  <c r="BC100" i="160"/>
  <c r="BE100" i="160"/>
  <c r="BE64" i="160"/>
  <c r="BC64" i="160"/>
  <c r="CA103" i="160"/>
  <c r="DX103" i="160" s="1"/>
  <c r="CB103" i="160"/>
  <c r="DY103" i="160" s="1"/>
  <c r="BX103" i="160"/>
  <c r="DU103" i="160" s="1"/>
  <c r="BY103" i="160"/>
  <c r="DV103" i="160" s="1"/>
  <c r="BZ103" i="160"/>
  <c r="DW103" i="160" s="1"/>
  <c r="BW103" i="160"/>
  <c r="BV103" i="160"/>
  <c r="P100" i="160"/>
  <c r="P55" i="160"/>
  <c r="BZ10" i="160"/>
  <c r="BY10" i="160"/>
  <c r="CA10" i="160"/>
  <c r="BX10" i="160"/>
  <c r="BW10" i="160"/>
  <c r="DT10" i="160" s="1"/>
  <c r="BV10" i="160"/>
  <c r="DS10" i="160" s="1"/>
  <c r="CB10" i="160"/>
  <c r="AD96" i="160"/>
  <c r="AD51" i="160"/>
  <c r="EO6" i="160"/>
  <c r="AE6" i="160"/>
  <c r="CY6" i="160"/>
  <c r="DF6" i="160"/>
  <c r="DM6" i="160"/>
  <c r="EH6" i="160"/>
  <c r="DT6" i="160"/>
  <c r="EA6" i="160"/>
  <c r="BF7" i="160"/>
  <c r="BD7" i="160"/>
  <c r="BG7" i="160" s="1"/>
  <c r="DN11" i="160"/>
  <c r="BR11" i="160"/>
  <c r="Q40" i="135" l="1"/>
  <c r="CD40" i="135" s="1"/>
  <c r="CE40" i="135" s="1"/>
  <c r="CF40" i="135" s="1"/>
  <c r="CG40" i="135" s="1"/>
  <c r="CH40" i="135" s="1"/>
  <c r="CI40" i="135" s="1"/>
  <c r="CJ40" i="135" s="1"/>
  <c r="DZ17" i="160"/>
  <c r="BQ102" i="160"/>
  <c r="BR102" i="160" s="1"/>
  <c r="BS102" i="160" s="1"/>
  <c r="BT102" i="160" s="1"/>
  <c r="BU102" i="160" s="1"/>
  <c r="Q25" i="135"/>
  <c r="CD25" i="135" s="1"/>
  <c r="CE25" i="135" s="1"/>
  <c r="CF25" i="135" s="1"/>
  <c r="CG25" i="135" s="1"/>
  <c r="CH25" i="135" s="1"/>
  <c r="CI25" i="135" s="1"/>
  <c r="CJ25" i="135" s="1"/>
  <c r="BD17" i="160"/>
  <c r="BG17" i="160" s="1"/>
  <c r="DZ11" i="160"/>
  <c r="AC56" i="160"/>
  <c r="DL56" i="160" s="1"/>
  <c r="CY12" i="160"/>
  <c r="BE12" i="160"/>
  <c r="AD34" i="160"/>
  <c r="AC101" i="160"/>
  <c r="EN101" i="160" s="1"/>
  <c r="EN52" i="160"/>
  <c r="EN11" i="160"/>
  <c r="DZ43" i="160"/>
  <c r="EN43" i="160"/>
  <c r="EG43" i="160"/>
  <c r="AC88" i="160"/>
  <c r="DE88" i="160" s="1"/>
  <c r="CG11" i="160"/>
  <c r="ED11" i="160" s="1"/>
  <c r="AD13" i="160"/>
  <c r="EU13" i="160" s="1"/>
  <c r="AC133" i="160"/>
  <c r="DS133" i="160" s="1"/>
  <c r="CL31" i="135"/>
  <c r="EH31" i="135"/>
  <c r="CE46" i="135"/>
  <c r="EA46" i="135"/>
  <c r="DZ33" i="160"/>
  <c r="EG33" i="160"/>
  <c r="DE33" i="160"/>
  <c r="CS46" i="135"/>
  <c r="EO46" i="135"/>
  <c r="BD11" i="160"/>
  <c r="DA11" i="160" s="1"/>
  <c r="AC78" i="160"/>
  <c r="DZ78" i="160" s="1"/>
  <c r="CR40" i="135"/>
  <c r="CS40" i="135" s="1"/>
  <c r="CT40" i="135" s="1"/>
  <c r="CU40" i="135" s="1"/>
  <c r="CV40" i="135" s="1"/>
  <c r="CW40" i="135" s="1"/>
  <c r="CX40" i="135" s="1"/>
  <c r="CR10" i="135"/>
  <c r="CS10" i="135" s="1"/>
  <c r="CT10" i="135" s="1"/>
  <c r="CU10" i="135" s="1"/>
  <c r="CV10" i="135" s="1"/>
  <c r="CW10" i="135" s="1"/>
  <c r="CX10" i="135" s="1"/>
  <c r="BF11" i="160"/>
  <c r="DC11" i="160" s="1"/>
  <c r="CD11" i="135"/>
  <c r="CE11" i="135" s="1"/>
  <c r="CF11" i="135" s="1"/>
  <c r="CG11" i="135" s="1"/>
  <c r="CH11" i="135" s="1"/>
  <c r="CI11" i="135" s="1"/>
  <c r="CJ11" i="135" s="1"/>
  <c r="Q41" i="135"/>
  <c r="CD41" i="135" s="1"/>
  <c r="CE41" i="135" s="1"/>
  <c r="CF41" i="135" s="1"/>
  <c r="CG41" i="135" s="1"/>
  <c r="CH41" i="135" s="1"/>
  <c r="CI41" i="135" s="1"/>
  <c r="CJ41" i="135" s="1"/>
  <c r="Q26" i="135"/>
  <c r="CD26" i="135" s="1"/>
  <c r="CE26" i="135" s="1"/>
  <c r="CF26" i="135" s="1"/>
  <c r="CG26" i="135" s="1"/>
  <c r="CH26" i="135" s="1"/>
  <c r="CI26" i="135" s="1"/>
  <c r="CJ26" i="135" s="1"/>
  <c r="CL16" i="135"/>
  <c r="EH16" i="135"/>
  <c r="CE31" i="135"/>
  <c r="EA31" i="135"/>
  <c r="CL46" i="135"/>
  <c r="EH46" i="135"/>
  <c r="CE16" i="135"/>
  <c r="EA16" i="135"/>
  <c r="EA54" i="135" s="1"/>
  <c r="EA56" i="135" s="1"/>
  <c r="EG18" i="160"/>
  <c r="DS43" i="160"/>
  <c r="AC63" i="160"/>
  <c r="DS63" i="160" s="1"/>
  <c r="DZ37" i="160"/>
  <c r="AD20" i="160"/>
  <c r="CY20" i="160" s="1"/>
  <c r="AD33" i="160"/>
  <c r="DF33" i="160" s="1"/>
  <c r="AD38" i="160"/>
  <c r="AD128" i="160" s="1"/>
  <c r="EN20" i="160"/>
  <c r="DS20" i="160"/>
  <c r="AD52" i="160"/>
  <c r="DT52" i="160" s="1"/>
  <c r="DZ20" i="160"/>
  <c r="AC114" i="160"/>
  <c r="CX114" i="160" s="1"/>
  <c r="DE20" i="160"/>
  <c r="AC86" i="160"/>
  <c r="DZ86" i="160" s="1"/>
  <c r="EG25" i="160"/>
  <c r="AD30" i="160"/>
  <c r="DF30" i="160" s="1"/>
  <c r="CX27" i="160"/>
  <c r="AD40" i="160"/>
  <c r="DT40" i="160" s="1"/>
  <c r="AC106" i="160"/>
  <c r="DS106" i="160" s="1"/>
  <c r="AD42" i="160"/>
  <c r="DT42" i="160" s="1"/>
  <c r="AC73" i="160"/>
  <c r="CX73" i="160" s="1"/>
  <c r="EN25" i="160"/>
  <c r="EG27" i="160"/>
  <c r="DS28" i="160"/>
  <c r="EN17" i="160"/>
  <c r="EN30" i="160"/>
  <c r="DZ28" i="160"/>
  <c r="DM57" i="160"/>
  <c r="CX13" i="160"/>
  <c r="DE19" i="160"/>
  <c r="AC58" i="160"/>
  <c r="DS58" i="160" s="1"/>
  <c r="EG11" i="160"/>
  <c r="DL52" i="160"/>
  <c r="CX52" i="160"/>
  <c r="DL11" i="160"/>
  <c r="BF15" i="160"/>
  <c r="EG52" i="160"/>
  <c r="K91" i="160"/>
  <c r="DZ24" i="160"/>
  <c r="DZ52" i="160"/>
  <c r="K136" i="160"/>
  <c r="CX24" i="160"/>
  <c r="CX11" i="160"/>
  <c r="EN24" i="160"/>
  <c r="EN13" i="160"/>
  <c r="DE11" i="160"/>
  <c r="EG24" i="160"/>
  <c r="DE52" i="160"/>
  <c r="DZ13" i="160"/>
  <c r="CX19" i="160"/>
  <c r="DE24" i="160"/>
  <c r="DE13" i="160"/>
  <c r="EG28" i="160"/>
  <c r="AC109" i="160"/>
  <c r="EG109" i="160" s="1"/>
  <c r="CX25" i="160"/>
  <c r="AC117" i="160"/>
  <c r="DS117" i="160" s="1"/>
  <c r="N46" i="160"/>
  <c r="N10" i="135" s="1"/>
  <c r="N40" i="135" s="1"/>
  <c r="BP40" i="135" s="1"/>
  <c r="BQ40" i="135" s="1"/>
  <c r="BR40" i="135" s="1"/>
  <c r="BS40" i="135" s="1"/>
  <c r="BT40" i="135" s="1"/>
  <c r="BU40" i="135" s="1"/>
  <c r="BV40" i="135" s="1"/>
  <c r="DL57" i="160"/>
  <c r="DZ19" i="160"/>
  <c r="AC70" i="160"/>
  <c r="EN70" i="160" s="1"/>
  <c r="AC69" i="160"/>
  <c r="DZ69" i="160" s="1"/>
  <c r="DZ15" i="160"/>
  <c r="EG19" i="160"/>
  <c r="AC115" i="160"/>
  <c r="DS115" i="160" s="1"/>
  <c r="K25" i="135"/>
  <c r="DS13" i="160"/>
  <c r="DE28" i="160"/>
  <c r="AC64" i="160"/>
  <c r="DS64" i="160" s="1"/>
  <c r="DZ27" i="160"/>
  <c r="DL102" i="160"/>
  <c r="AC65" i="160"/>
  <c r="DS65" i="160" s="1"/>
  <c r="BE136" i="160"/>
  <c r="CX17" i="160"/>
  <c r="AC110" i="160"/>
  <c r="DS110" i="160" s="1"/>
  <c r="BE91" i="160"/>
  <c r="EG20" i="160"/>
  <c r="DE41" i="160"/>
  <c r="DE16" i="160"/>
  <c r="DZ30" i="160"/>
  <c r="DS103" i="160"/>
  <c r="K24" i="135"/>
  <c r="K39" i="135"/>
  <c r="DL13" i="160"/>
  <c r="AC118" i="160"/>
  <c r="DS118" i="160" s="1"/>
  <c r="AC123" i="160"/>
  <c r="EN123" i="160" s="1"/>
  <c r="EN27" i="160"/>
  <c r="DS48" i="160"/>
  <c r="Z63" i="135"/>
  <c r="K41" i="135"/>
  <c r="K26" i="135"/>
  <c r="AC94" i="160"/>
  <c r="DE94" i="160" s="1"/>
  <c r="Z64" i="135"/>
  <c r="K23" i="135"/>
  <c r="K38" i="135"/>
  <c r="EG13" i="160"/>
  <c r="EN19" i="160"/>
  <c r="K43" i="135"/>
  <c r="K28" i="135"/>
  <c r="EN33" i="160"/>
  <c r="DZ25" i="160"/>
  <c r="K42" i="135"/>
  <c r="K27" i="135"/>
  <c r="CX46" i="160"/>
  <c r="Z61" i="135"/>
  <c r="EG47" i="160"/>
  <c r="Z62" i="135"/>
  <c r="DS44" i="160"/>
  <c r="Z59" i="135"/>
  <c r="DS45" i="160"/>
  <c r="Z60" i="135"/>
  <c r="EN34" i="160"/>
  <c r="DE34" i="160"/>
  <c r="EG37" i="160"/>
  <c r="DZ34" i="160"/>
  <c r="EN37" i="160"/>
  <c r="AC124" i="160"/>
  <c r="DS124" i="160" s="1"/>
  <c r="EY9" i="160"/>
  <c r="AC82" i="160"/>
  <c r="DS82" i="160" s="1"/>
  <c r="DS27" i="160"/>
  <c r="EG16" i="160"/>
  <c r="AC119" i="160"/>
  <c r="EG119" i="160" s="1"/>
  <c r="AC116" i="160"/>
  <c r="DS116" i="160" s="1"/>
  <c r="AC127" i="160"/>
  <c r="DS127" i="160" s="1"/>
  <c r="DE25" i="160"/>
  <c r="DZ16" i="160"/>
  <c r="EN49" i="160"/>
  <c r="DE48" i="160"/>
  <c r="AC129" i="160"/>
  <c r="DS129" i="160" s="1"/>
  <c r="EG49" i="160"/>
  <c r="AC79" i="160"/>
  <c r="DE79" i="160" s="1"/>
  <c r="EN48" i="160"/>
  <c r="DE37" i="160"/>
  <c r="DS49" i="160"/>
  <c r="DZ49" i="160"/>
  <c r="EG48" i="160"/>
  <c r="DE36" i="160"/>
  <c r="DZ48" i="160"/>
  <c r="AC137" i="160"/>
  <c r="DS137" i="160" s="1"/>
  <c r="AC81" i="160"/>
  <c r="DZ81" i="160" s="1"/>
  <c r="AC139" i="160"/>
  <c r="DS139" i="160" s="1"/>
  <c r="AC93" i="160"/>
  <c r="DS93" i="160" s="1"/>
  <c r="DE49" i="160"/>
  <c r="DE47" i="160"/>
  <c r="DE32" i="160"/>
  <c r="EG34" i="160"/>
  <c r="AC138" i="160"/>
  <c r="DS138" i="160" s="1"/>
  <c r="DE35" i="160"/>
  <c r="DY99" i="160"/>
  <c r="DZ39" i="160"/>
  <c r="EG35" i="160"/>
  <c r="EN35" i="160"/>
  <c r="EN26" i="160"/>
  <c r="DE39" i="160"/>
  <c r="DY58" i="160"/>
  <c r="AC80" i="160"/>
  <c r="DZ80" i="160" s="1"/>
  <c r="EN29" i="160"/>
  <c r="CX39" i="160"/>
  <c r="EN97" i="160"/>
  <c r="AC125" i="160"/>
  <c r="DS125" i="160" s="1"/>
  <c r="DE29" i="160"/>
  <c r="EG29" i="160"/>
  <c r="EN39" i="160"/>
  <c r="DE26" i="160"/>
  <c r="EG39" i="160"/>
  <c r="DS35" i="160"/>
  <c r="DZ29" i="160"/>
  <c r="EG26" i="160"/>
  <c r="DZ26" i="160"/>
  <c r="CX26" i="160"/>
  <c r="AC84" i="160"/>
  <c r="DS84" i="160" s="1"/>
  <c r="AC74" i="160"/>
  <c r="DS74" i="160" s="1"/>
  <c r="EG36" i="160"/>
  <c r="DZ36" i="160"/>
  <c r="DZ40" i="160"/>
  <c r="AC122" i="160"/>
  <c r="EG122" i="160" s="1"/>
  <c r="AC92" i="160"/>
  <c r="DS92" i="160" s="1"/>
  <c r="DS97" i="160"/>
  <c r="AC126" i="160"/>
  <c r="DE126" i="160" s="1"/>
  <c r="DZ97" i="160"/>
  <c r="DZ32" i="160"/>
  <c r="EG21" i="160"/>
  <c r="EG31" i="160"/>
  <c r="DE97" i="160"/>
  <c r="DS47" i="160"/>
  <c r="DL18" i="160"/>
  <c r="EN32" i="160"/>
  <c r="AC111" i="160"/>
  <c r="DS111" i="160" s="1"/>
  <c r="CX97" i="160"/>
  <c r="DZ47" i="160"/>
  <c r="EN36" i="160"/>
  <c r="EG32" i="160"/>
  <c r="DL97" i="160"/>
  <c r="EN47" i="160"/>
  <c r="EG40" i="160"/>
  <c r="AC77" i="160"/>
  <c r="DE77" i="160" s="1"/>
  <c r="DZ21" i="160"/>
  <c r="DZ23" i="160"/>
  <c r="CX23" i="160"/>
  <c r="EN23" i="160"/>
  <c r="DE21" i="160"/>
  <c r="EN21" i="160"/>
  <c r="DE22" i="160"/>
  <c r="EG42" i="160"/>
  <c r="EN22" i="160"/>
  <c r="DS15" i="160"/>
  <c r="AC60" i="160"/>
  <c r="DS60" i="160" s="1"/>
  <c r="AC91" i="160"/>
  <c r="DS91" i="160" s="1"/>
  <c r="CX16" i="160"/>
  <c r="EN16" i="160"/>
  <c r="AC61" i="160"/>
  <c r="DL61" i="160" s="1"/>
  <c r="AC136" i="160"/>
  <c r="EG136" i="160" s="1"/>
  <c r="EN44" i="160"/>
  <c r="DS46" i="160"/>
  <c r="EN46" i="160"/>
  <c r="EG44" i="160"/>
  <c r="DZ46" i="160"/>
  <c r="EG46" i="160"/>
  <c r="DE46" i="160"/>
  <c r="AC85" i="160"/>
  <c r="CX85" i="160" s="1"/>
  <c r="AC132" i="160"/>
  <c r="DE132" i="160" s="1"/>
  <c r="AC108" i="160"/>
  <c r="DS108" i="160" s="1"/>
  <c r="AD16" i="160"/>
  <c r="AD61" i="160" s="1"/>
  <c r="AD27" i="160"/>
  <c r="AD117" i="160" s="1"/>
  <c r="AD31" i="160"/>
  <c r="AD76" i="160" s="1"/>
  <c r="AD25" i="160"/>
  <c r="EA25" i="160" s="1"/>
  <c r="AD37" i="160"/>
  <c r="AD82" i="160" s="1"/>
  <c r="AC130" i="160"/>
  <c r="CX130" i="160" s="1"/>
  <c r="AC121" i="160"/>
  <c r="DZ121" i="160" s="1"/>
  <c r="DF7" i="160"/>
  <c r="EG45" i="160"/>
  <c r="DE30" i="160"/>
  <c r="AC105" i="160"/>
  <c r="DZ105" i="160" s="1"/>
  <c r="EG22" i="160"/>
  <c r="AC131" i="160"/>
  <c r="EG131" i="160" s="1"/>
  <c r="DZ44" i="160"/>
  <c r="AD22" i="160"/>
  <c r="EO22" i="160" s="1"/>
  <c r="AD97" i="160"/>
  <c r="EA97" i="160" s="1"/>
  <c r="EN45" i="160"/>
  <c r="AC143" i="160"/>
  <c r="CX18" i="160"/>
  <c r="AD18" i="160"/>
  <c r="DM18" i="160" s="1"/>
  <c r="AD15" i="160"/>
  <c r="EA15" i="160" s="1"/>
  <c r="AD24" i="160"/>
  <c r="EA24" i="160" s="1"/>
  <c r="AD36" i="160"/>
  <c r="EA36" i="160" s="1"/>
  <c r="AD28" i="160"/>
  <c r="CY28" i="160" s="1"/>
  <c r="AD41" i="160"/>
  <c r="EH41" i="160" s="1"/>
  <c r="DL9" i="160"/>
  <c r="EG17" i="160"/>
  <c r="CX31" i="160"/>
  <c r="CY7" i="160"/>
  <c r="DZ45" i="160"/>
  <c r="AC75" i="160"/>
  <c r="DZ75" i="160" s="1"/>
  <c r="DZ22" i="160"/>
  <c r="AC89" i="160"/>
  <c r="DS89" i="160" s="1"/>
  <c r="AD46" i="160"/>
  <c r="AD91" i="160" s="1"/>
  <c r="AD19" i="160"/>
  <c r="DT19" i="160" s="1"/>
  <c r="DE45" i="160"/>
  <c r="AC120" i="160"/>
  <c r="CX120" i="160" s="1"/>
  <c r="EN15" i="160"/>
  <c r="AC67" i="160"/>
  <c r="DZ67" i="160" s="1"/>
  <c r="AC134" i="160"/>
  <c r="DS134" i="160" s="1"/>
  <c r="DZ42" i="160"/>
  <c r="AD21" i="160"/>
  <c r="CY21" i="160" s="1"/>
  <c r="DZ18" i="160"/>
  <c r="AD44" i="160"/>
  <c r="AD134" i="160" s="1"/>
  <c r="AD45" i="160"/>
  <c r="AD90" i="160" s="1"/>
  <c r="DZ31" i="160"/>
  <c r="EA7" i="160"/>
  <c r="EN18" i="160"/>
  <c r="AD48" i="160"/>
  <c r="CY48" i="160" s="1"/>
  <c r="AD23" i="160"/>
  <c r="AD68" i="160" s="1"/>
  <c r="AD43" i="160"/>
  <c r="CY43" i="160" s="1"/>
  <c r="AD49" i="160"/>
  <c r="EH49" i="160" s="1"/>
  <c r="CX40" i="160"/>
  <c r="AC107" i="160"/>
  <c r="DS107" i="160" s="1"/>
  <c r="EN31" i="160"/>
  <c r="AE7" i="160"/>
  <c r="AE46" i="160" s="1"/>
  <c r="AC90" i="160"/>
  <c r="DE90" i="160" s="1"/>
  <c r="DE15" i="160"/>
  <c r="AC112" i="160"/>
  <c r="EN112" i="160" s="1"/>
  <c r="EN41" i="160"/>
  <c r="CX29" i="160"/>
  <c r="DS17" i="160"/>
  <c r="AD26" i="160"/>
  <c r="DF26" i="160" s="1"/>
  <c r="AC76" i="160"/>
  <c r="DZ76" i="160" s="1"/>
  <c r="DM7" i="160"/>
  <c r="AD39" i="160"/>
  <c r="CY39" i="160" s="1"/>
  <c r="AD29" i="160"/>
  <c r="CY29" i="160" s="1"/>
  <c r="DE40" i="160"/>
  <c r="AC62" i="160"/>
  <c r="DL62" i="160" s="1"/>
  <c r="DE18" i="160"/>
  <c r="AD11" i="160"/>
  <c r="EA11" i="160" s="1"/>
  <c r="AD17" i="160"/>
  <c r="AD62" i="160" s="1"/>
  <c r="DT62" i="160" s="1"/>
  <c r="AD32" i="160"/>
  <c r="EA32" i="160" s="1"/>
  <c r="AD35" i="160"/>
  <c r="CY35" i="160" s="1"/>
  <c r="AD47" i="160"/>
  <c r="EA47" i="160" s="1"/>
  <c r="EN40" i="160"/>
  <c r="DE17" i="160"/>
  <c r="DS31" i="160"/>
  <c r="EO7" i="160"/>
  <c r="CX49" i="160"/>
  <c r="AC135" i="160"/>
  <c r="EG135" i="160" s="1"/>
  <c r="EG15" i="160"/>
  <c r="EG41" i="160"/>
  <c r="EU9" i="160"/>
  <c r="EH7" i="160"/>
  <c r="EG30" i="160"/>
  <c r="DZ41" i="160"/>
  <c r="DE44" i="160"/>
  <c r="CX36" i="160"/>
  <c r="DZ38" i="160"/>
  <c r="CX34" i="160"/>
  <c r="AC68" i="160"/>
  <c r="EN68" i="160" s="1"/>
  <c r="CX42" i="160"/>
  <c r="EG38" i="160"/>
  <c r="AC113" i="160"/>
  <c r="DS113" i="160" s="1"/>
  <c r="DE42" i="160"/>
  <c r="AC87" i="160"/>
  <c r="DZ87" i="160" s="1"/>
  <c r="EN38" i="160"/>
  <c r="EL58" i="160"/>
  <c r="DS54" i="160"/>
  <c r="DE38" i="160"/>
  <c r="CX38" i="160"/>
  <c r="EG23" i="160"/>
  <c r="AC83" i="160"/>
  <c r="DS83" i="160" s="1"/>
  <c r="EN42" i="160"/>
  <c r="AC128" i="160"/>
  <c r="DS128" i="160" s="1"/>
  <c r="EE56" i="160"/>
  <c r="DE23" i="160"/>
  <c r="BE43" i="160"/>
  <c r="BC43" i="160"/>
  <c r="BE93" i="160"/>
  <c r="BC93" i="160"/>
  <c r="BF51" i="160"/>
  <c r="BD51" i="160"/>
  <c r="BG51" i="160" s="1"/>
  <c r="BE21" i="160"/>
  <c r="BC21" i="160"/>
  <c r="BD55" i="160"/>
  <c r="BG55" i="160" s="1"/>
  <c r="BF55" i="160"/>
  <c r="BE59" i="160"/>
  <c r="BC59" i="160"/>
  <c r="CY59" i="160"/>
  <c r="BE118" i="160"/>
  <c r="BC118" i="160"/>
  <c r="BD108" i="160"/>
  <c r="BG108" i="160" s="1"/>
  <c r="BF108" i="160"/>
  <c r="BE121" i="160"/>
  <c r="BC121" i="160"/>
  <c r="BF114" i="160"/>
  <c r="BD114" i="160"/>
  <c r="BG114" i="160" s="1"/>
  <c r="BD87" i="160"/>
  <c r="BG87" i="160" s="1"/>
  <c r="BF87" i="160"/>
  <c r="DL15" i="160"/>
  <c r="BD97" i="160"/>
  <c r="BG97" i="160" s="1"/>
  <c r="BF97" i="160"/>
  <c r="K123" i="160"/>
  <c r="K78" i="160"/>
  <c r="N33" i="160"/>
  <c r="DN99" i="160"/>
  <c r="BR99" i="160"/>
  <c r="BQ59" i="160"/>
  <c r="BR59" i="160" s="1"/>
  <c r="BS59" i="160" s="1"/>
  <c r="BT59" i="160" s="1"/>
  <c r="BU59" i="160" s="1"/>
  <c r="DM59" i="160"/>
  <c r="BE124" i="160"/>
  <c r="BC124" i="160"/>
  <c r="BE138" i="160"/>
  <c r="BC138" i="160"/>
  <c r="BF60" i="160"/>
  <c r="BD60" i="160"/>
  <c r="BG60" i="160" s="1"/>
  <c r="CX28" i="160"/>
  <c r="DL19" i="160"/>
  <c r="BV102" i="160"/>
  <c r="DS102" i="160" s="1"/>
  <c r="BY102" i="160"/>
  <c r="CB102" i="160"/>
  <c r="BX102" i="160"/>
  <c r="CA102" i="160"/>
  <c r="BZ102" i="160"/>
  <c r="BW102" i="160"/>
  <c r="DT102" i="160" s="1"/>
  <c r="BC38" i="160"/>
  <c r="BE38" i="160"/>
  <c r="K129" i="160"/>
  <c r="K84" i="160"/>
  <c r="N39" i="160"/>
  <c r="BU101" i="160"/>
  <c r="DR101" i="160" s="1"/>
  <c r="DQ101" i="160"/>
  <c r="ED13" i="160"/>
  <c r="CH13" i="160"/>
  <c r="AD99" i="160"/>
  <c r="EU99" i="160" s="1"/>
  <c r="AD54" i="160"/>
  <c r="DT54" i="160" s="1"/>
  <c r="EO9" i="160"/>
  <c r="CY9" i="160"/>
  <c r="DF9" i="160"/>
  <c r="DM9" i="160"/>
  <c r="EA9" i="160"/>
  <c r="EH9" i="160"/>
  <c r="BE139" i="160"/>
  <c r="BC139" i="160"/>
  <c r="BF117" i="160"/>
  <c r="BD117" i="160"/>
  <c r="BG117" i="160" s="1"/>
  <c r="BC125" i="160"/>
  <c r="BE125" i="160"/>
  <c r="AE96" i="160"/>
  <c r="AE51" i="160"/>
  <c r="AF6" i="160"/>
  <c r="CZ6" i="160"/>
  <c r="DG6" i="160"/>
  <c r="DN6" i="160"/>
  <c r="EB6" i="160"/>
  <c r="EP6" i="160"/>
  <c r="EI6" i="160"/>
  <c r="DU6" i="160"/>
  <c r="BE32" i="160"/>
  <c r="BC32" i="160"/>
  <c r="BE22" i="160"/>
  <c r="BC22" i="160"/>
  <c r="BE133" i="160"/>
  <c r="BC133" i="160"/>
  <c r="DZ54" i="160"/>
  <c r="EG54" i="160"/>
  <c r="EN54" i="160"/>
  <c r="CX54" i="160"/>
  <c r="DE54" i="160"/>
  <c r="DL54" i="160"/>
  <c r="CX32" i="160"/>
  <c r="BD19" i="160"/>
  <c r="BG19" i="160" s="1"/>
  <c r="BF19" i="160"/>
  <c r="N132" i="160"/>
  <c r="BO132" i="160" s="1"/>
  <c r="BP132" i="160" s="1"/>
  <c r="BQ132" i="160" s="1"/>
  <c r="BR132" i="160" s="1"/>
  <c r="BS132" i="160" s="1"/>
  <c r="BT132" i="160" s="1"/>
  <c r="BU132" i="160" s="1"/>
  <c r="N87" i="160"/>
  <c r="BO87" i="160" s="1"/>
  <c r="BP87" i="160" s="1"/>
  <c r="BQ87" i="160" s="1"/>
  <c r="BR87" i="160" s="1"/>
  <c r="BS87" i="160" s="1"/>
  <c r="BT87" i="160" s="1"/>
  <c r="BU87" i="160" s="1"/>
  <c r="BO42" i="160"/>
  <c r="DK56" i="160"/>
  <c r="EF56" i="160"/>
  <c r="EM56" i="160"/>
  <c r="ET56" i="160"/>
  <c r="BF54" i="160"/>
  <c r="DC54" i="160" s="1"/>
  <c r="BD54" i="160"/>
  <c r="CZ54" i="160"/>
  <c r="K120" i="160"/>
  <c r="K75" i="160"/>
  <c r="N30" i="160"/>
  <c r="BE33" i="160"/>
  <c r="BC33" i="160"/>
  <c r="K127" i="160"/>
  <c r="K82" i="160"/>
  <c r="N37" i="160"/>
  <c r="CX41" i="160"/>
  <c r="CZ9" i="160"/>
  <c r="BD9" i="160"/>
  <c r="BF9" i="160"/>
  <c r="DC9" i="160" s="1"/>
  <c r="BD110" i="160"/>
  <c r="BG110" i="160" s="1"/>
  <c r="BF110" i="160"/>
  <c r="DS99" i="160"/>
  <c r="EK103" i="160"/>
  <c r="CO103" i="160"/>
  <c r="DM14" i="160"/>
  <c r="BQ14" i="160"/>
  <c r="BR14" i="160" s="1"/>
  <c r="BS14" i="160" s="1"/>
  <c r="BT14" i="160" s="1"/>
  <c r="BU14" i="160" s="1"/>
  <c r="BE83" i="160"/>
  <c r="BC83" i="160"/>
  <c r="BE39" i="160"/>
  <c r="BC39" i="160"/>
  <c r="DK99" i="160"/>
  <c r="EM99" i="160"/>
  <c r="ET99" i="160"/>
  <c r="DL27" i="160"/>
  <c r="K111" i="160"/>
  <c r="K66" i="160"/>
  <c r="N21" i="160"/>
  <c r="EO52" i="160"/>
  <c r="CY51" i="160"/>
  <c r="DF51" i="160"/>
  <c r="DM51" i="160"/>
  <c r="EA51" i="160"/>
  <c r="EO51" i="160"/>
  <c r="EH51" i="160"/>
  <c r="DT51" i="160"/>
  <c r="BD61" i="160"/>
  <c r="BG61" i="160" s="1"/>
  <c r="BF61" i="160"/>
  <c r="BC111" i="160"/>
  <c r="BE111" i="160"/>
  <c r="K122" i="160"/>
  <c r="K77" i="160"/>
  <c r="N32" i="160"/>
  <c r="K112" i="160"/>
  <c r="K67" i="160"/>
  <c r="N22" i="160"/>
  <c r="CV101" i="160"/>
  <c r="ER101" i="160"/>
  <c r="DI13" i="160"/>
  <c r="BM13" i="160"/>
  <c r="CX21" i="160"/>
  <c r="BD58" i="160"/>
  <c r="BF58" i="160"/>
  <c r="DC58" i="160" s="1"/>
  <c r="CZ58" i="160"/>
  <c r="BE44" i="160"/>
  <c r="BC44" i="160"/>
  <c r="CX43" i="160"/>
  <c r="N114" i="160"/>
  <c r="BO114" i="160" s="1"/>
  <c r="BP114" i="160" s="1"/>
  <c r="BQ114" i="160" s="1"/>
  <c r="BR114" i="160" s="1"/>
  <c r="BS114" i="160" s="1"/>
  <c r="BT114" i="160" s="1"/>
  <c r="BU114" i="160" s="1"/>
  <c r="N69" i="160"/>
  <c r="BO69" i="160" s="1"/>
  <c r="BP69" i="160" s="1"/>
  <c r="BQ69" i="160" s="1"/>
  <c r="BR69" i="160" s="1"/>
  <c r="BS69" i="160" s="1"/>
  <c r="BT69" i="160" s="1"/>
  <c r="BU69" i="160" s="1"/>
  <c r="BO24" i="160"/>
  <c r="DZ110" i="160"/>
  <c r="BC30" i="160"/>
  <c r="BE30" i="160"/>
  <c r="CX45" i="160"/>
  <c r="DE10" i="160"/>
  <c r="BI10" i="160"/>
  <c r="BD63" i="160"/>
  <c r="BG63" i="160" s="1"/>
  <c r="BF63" i="160"/>
  <c r="BE78" i="160"/>
  <c r="BC78" i="160"/>
  <c r="BE37" i="160"/>
  <c r="BC37" i="160"/>
  <c r="DM53" i="160"/>
  <c r="EA53" i="160"/>
  <c r="EH53" i="160"/>
  <c r="EO53" i="160"/>
  <c r="CY53" i="160"/>
  <c r="DF53" i="160"/>
  <c r="DY56" i="160"/>
  <c r="BF91" i="160"/>
  <c r="BD91" i="160"/>
  <c r="BG91" i="160" s="1"/>
  <c r="N116" i="160"/>
  <c r="BO116" i="160" s="1"/>
  <c r="BP116" i="160" s="1"/>
  <c r="BQ116" i="160" s="1"/>
  <c r="BR116" i="160" s="1"/>
  <c r="BS116" i="160" s="1"/>
  <c r="BT116" i="160" s="1"/>
  <c r="BU116" i="160" s="1"/>
  <c r="N71" i="160"/>
  <c r="BO26" i="160"/>
  <c r="BC128" i="160"/>
  <c r="BE128" i="160"/>
  <c r="BE84" i="160"/>
  <c r="BC84" i="160"/>
  <c r="CX47" i="160"/>
  <c r="BE36" i="160"/>
  <c r="BC36" i="160"/>
  <c r="BF107" i="160"/>
  <c r="BD107" i="160"/>
  <c r="BG107" i="160" s="1"/>
  <c r="BE40" i="160"/>
  <c r="BC40" i="160"/>
  <c r="EF58" i="160"/>
  <c r="EM58" i="160"/>
  <c r="ET58" i="160"/>
  <c r="ER13" i="160"/>
  <c r="CV13" i="160"/>
  <c r="BD103" i="160"/>
  <c r="BF103" i="160"/>
  <c r="DC103" i="160" s="1"/>
  <c r="CZ103" i="160"/>
  <c r="EK11" i="160"/>
  <c r="CO11" i="160"/>
  <c r="BE76" i="160"/>
  <c r="BC76" i="160"/>
  <c r="EK13" i="160"/>
  <c r="CO13" i="160"/>
  <c r="BF42" i="160"/>
  <c r="BD42" i="160"/>
  <c r="BG42" i="160" s="1"/>
  <c r="BD12" i="160"/>
  <c r="BG12" i="160" s="1"/>
  <c r="BF12" i="160"/>
  <c r="AD65" i="160"/>
  <c r="DF96" i="160"/>
  <c r="EA96" i="160"/>
  <c r="EH96" i="160"/>
  <c r="DM96" i="160"/>
  <c r="EO96" i="160"/>
  <c r="CY96" i="160"/>
  <c r="DT96" i="160"/>
  <c r="BC77" i="160"/>
  <c r="BE77" i="160"/>
  <c r="BC67" i="160"/>
  <c r="BE67" i="160"/>
  <c r="K131" i="160"/>
  <c r="K86" i="160"/>
  <c r="N41" i="160"/>
  <c r="CV103" i="160"/>
  <c r="ER103" i="160"/>
  <c r="EG99" i="160"/>
  <c r="DL99" i="160"/>
  <c r="DZ99" i="160"/>
  <c r="DE99" i="160"/>
  <c r="EN99" i="160"/>
  <c r="CX99" i="160"/>
  <c r="BS103" i="160"/>
  <c r="DO103" i="160"/>
  <c r="BD101" i="160"/>
  <c r="CZ101" i="160"/>
  <c r="BF101" i="160"/>
  <c r="DC101" i="160" s="1"/>
  <c r="K134" i="160"/>
  <c r="K89" i="160"/>
  <c r="N44" i="160"/>
  <c r="N8" i="135" s="1"/>
  <c r="DE12" i="160"/>
  <c r="BI12" i="160"/>
  <c r="BF113" i="160"/>
  <c r="BD113" i="160"/>
  <c r="BG113" i="160" s="1"/>
  <c r="BF56" i="160"/>
  <c r="DC56" i="160" s="1"/>
  <c r="BD56" i="160"/>
  <c r="CZ56" i="160"/>
  <c r="K135" i="160"/>
  <c r="K90" i="160"/>
  <c r="N45" i="160"/>
  <c r="N9" i="135" s="1"/>
  <c r="BE75" i="160"/>
  <c r="BC75" i="160"/>
  <c r="BI55" i="160"/>
  <c r="DE55" i="160"/>
  <c r="DH11" i="160"/>
  <c r="BL11" i="160"/>
  <c r="BE123" i="160"/>
  <c r="BC123" i="160"/>
  <c r="K137" i="160"/>
  <c r="K92" i="160"/>
  <c r="N47" i="160"/>
  <c r="N11" i="135" s="1"/>
  <c r="BC82" i="160"/>
  <c r="BE82" i="160"/>
  <c r="EO98" i="160"/>
  <c r="DF98" i="160"/>
  <c r="EH98" i="160"/>
  <c r="DM98" i="160"/>
  <c r="CY98" i="160"/>
  <c r="EA98" i="160"/>
  <c r="DT98" i="160"/>
  <c r="DO13" i="160"/>
  <c r="BS13" i="160"/>
  <c r="BE29" i="160"/>
  <c r="BC29" i="160"/>
  <c r="EK9" i="160"/>
  <c r="CO9" i="160"/>
  <c r="BC129" i="160"/>
  <c r="BE129" i="160"/>
  <c r="BF105" i="160"/>
  <c r="BD105" i="160"/>
  <c r="BG105" i="160" s="1"/>
  <c r="BF20" i="160"/>
  <c r="BD20" i="160"/>
  <c r="BG20" i="160" s="1"/>
  <c r="K126" i="160"/>
  <c r="K81" i="160"/>
  <c r="N36" i="160"/>
  <c r="BD132" i="160"/>
  <c r="BG132" i="160" s="1"/>
  <c r="BF132" i="160"/>
  <c r="K130" i="160"/>
  <c r="K85" i="160"/>
  <c r="N40" i="160"/>
  <c r="CE100" i="160"/>
  <c r="CF100" i="160" s="1"/>
  <c r="CG100" i="160" s="1"/>
  <c r="CH100" i="160" s="1"/>
  <c r="CI100" i="160" s="1"/>
  <c r="EA100" i="160"/>
  <c r="BE80" i="160"/>
  <c r="BC80" i="160"/>
  <c r="BR54" i="160"/>
  <c r="DN54" i="160"/>
  <c r="BW57" i="160"/>
  <c r="DT57" i="160" s="1"/>
  <c r="BV57" i="160"/>
  <c r="DS57" i="160" s="1"/>
  <c r="CB57" i="160"/>
  <c r="CA57" i="160"/>
  <c r="BZ57" i="160"/>
  <c r="BY57" i="160"/>
  <c r="BX57" i="160"/>
  <c r="BE122" i="160"/>
  <c r="BC122" i="160"/>
  <c r="BE112" i="160"/>
  <c r="BC112" i="160"/>
  <c r="BE41" i="160"/>
  <c r="BC41" i="160"/>
  <c r="DI9" i="160"/>
  <c r="BM9" i="160"/>
  <c r="BD24" i="160"/>
  <c r="BG24" i="160" s="1"/>
  <c r="BF24" i="160"/>
  <c r="N115" i="160"/>
  <c r="BO115" i="160" s="1"/>
  <c r="BP115" i="160" s="1"/>
  <c r="BQ115" i="160" s="1"/>
  <c r="BR115" i="160" s="1"/>
  <c r="BS115" i="160" s="1"/>
  <c r="BT115" i="160" s="1"/>
  <c r="BU115" i="160" s="1"/>
  <c r="N70" i="160"/>
  <c r="BO70" i="160" s="1"/>
  <c r="BP70" i="160" s="1"/>
  <c r="BQ70" i="160" s="1"/>
  <c r="BR70" i="160" s="1"/>
  <c r="BS70" i="160" s="1"/>
  <c r="BT70" i="160" s="1"/>
  <c r="BU70" i="160" s="1"/>
  <c r="BO25" i="160"/>
  <c r="BC89" i="160"/>
  <c r="BE89" i="160"/>
  <c r="J104" i="160"/>
  <c r="BH104" i="160" s="1"/>
  <c r="J59" i="160"/>
  <c r="BH59" i="160" s="1"/>
  <c r="BH14" i="160"/>
  <c r="BE45" i="160"/>
  <c r="BC45" i="160"/>
  <c r="BF109" i="160"/>
  <c r="BD109" i="160"/>
  <c r="BG109" i="160" s="1"/>
  <c r="BE120" i="160"/>
  <c r="BC120" i="160"/>
  <c r="CG99" i="160"/>
  <c r="EC99" i="160"/>
  <c r="CX30" i="160"/>
  <c r="BI100" i="160"/>
  <c r="DE100" i="160"/>
  <c r="BE47" i="160"/>
  <c r="BC47" i="160"/>
  <c r="BC127" i="160"/>
  <c r="BE127" i="160"/>
  <c r="AE98" i="160"/>
  <c r="AE53" i="160"/>
  <c r="AE10" i="160"/>
  <c r="EI8" i="160"/>
  <c r="EP8" i="160"/>
  <c r="EB8" i="160"/>
  <c r="AF8" i="160"/>
  <c r="CZ8" i="160"/>
  <c r="DG8" i="160"/>
  <c r="DN8" i="160"/>
  <c r="DU8" i="160"/>
  <c r="ER11" i="160"/>
  <c r="CV11" i="160"/>
  <c r="DZ103" i="160"/>
  <c r="CX103" i="160"/>
  <c r="EN103" i="160"/>
  <c r="DL103" i="160"/>
  <c r="EG103" i="160"/>
  <c r="DE103" i="160"/>
  <c r="BF23" i="160"/>
  <c r="BD23" i="160"/>
  <c r="BG23" i="160" s="1"/>
  <c r="K119" i="160"/>
  <c r="K74" i="160"/>
  <c r="N29" i="160"/>
  <c r="CX37" i="160"/>
  <c r="BD96" i="160"/>
  <c r="BG96" i="160" s="1"/>
  <c r="BF96" i="160"/>
  <c r="K139" i="160"/>
  <c r="K94" i="160"/>
  <c r="N49" i="160"/>
  <c r="N13" i="135" s="1"/>
  <c r="DL16" i="160"/>
  <c r="BE81" i="160"/>
  <c r="BC81" i="160"/>
  <c r="BC85" i="160"/>
  <c r="BE85" i="160"/>
  <c r="BF57" i="160"/>
  <c r="BD57" i="160"/>
  <c r="BG57" i="160" s="1"/>
  <c r="BE73" i="160"/>
  <c r="BC73" i="160"/>
  <c r="BE10" i="160"/>
  <c r="CY10" i="160"/>
  <c r="BC10" i="160"/>
  <c r="BM58" i="160"/>
  <c r="DI58" i="160"/>
  <c r="K128" i="160"/>
  <c r="K83" i="160"/>
  <c r="N38" i="160"/>
  <c r="BF106" i="160"/>
  <c r="BD106" i="160"/>
  <c r="BG106" i="160" s="1"/>
  <c r="AD124" i="160"/>
  <c r="AD79" i="160"/>
  <c r="CY34" i="160"/>
  <c r="EA34" i="160"/>
  <c r="EO34" i="160"/>
  <c r="EH34" i="160"/>
  <c r="DT34" i="160"/>
  <c r="DF34" i="160"/>
  <c r="CB55" i="160"/>
  <c r="CA55" i="160"/>
  <c r="BZ55" i="160"/>
  <c r="BY55" i="160"/>
  <c r="BX55" i="160"/>
  <c r="BW55" i="160"/>
  <c r="DT55" i="160" s="1"/>
  <c r="BV55" i="160"/>
  <c r="DS55" i="160" s="1"/>
  <c r="BF100" i="160"/>
  <c r="BD100" i="160"/>
  <c r="BG100" i="160" s="1"/>
  <c r="K125" i="160"/>
  <c r="K80" i="160"/>
  <c r="N35" i="160"/>
  <c r="CH54" i="160"/>
  <c r="ED54" i="160"/>
  <c r="CH103" i="160"/>
  <c r="ED103" i="160"/>
  <c r="BE86" i="160"/>
  <c r="BC86" i="160"/>
  <c r="BF99" i="160"/>
  <c r="DC99" i="160" s="1"/>
  <c r="BD99" i="160"/>
  <c r="CZ99" i="160"/>
  <c r="BE28" i="160"/>
  <c r="BC28" i="160"/>
  <c r="BC134" i="160"/>
  <c r="BE134" i="160"/>
  <c r="BS56" i="160"/>
  <c r="DO56" i="160"/>
  <c r="BF62" i="160"/>
  <c r="BD62" i="160"/>
  <c r="BG62" i="160" s="1"/>
  <c r="BI57" i="160"/>
  <c r="DE57" i="160"/>
  <c r="K121" i="160"/>
  <c r="K76" i="160"/>
  <c r="N31" i="160"/>
  <c r="BC90" i="160"/>
  <c r="BE90" i="160"/>
  <c r="EM54" i="160"/>
  <c r="ET54" i="160"/>
  <c r="DK54" i="160"/>
  <c r="BF53" i="160"/>
  <c r="BD53" i="160"/>
  <c r="BG53" i="160" s="1"/>
  <c r="CX35" i="160"/>
  <c r="BM103" i="160"/>
  <c r="DI103" i="160"/>
  <c r="BF136" i="160"/>
  <c r="BD136" i="160"/>
  <c r="BG136" i="160" s="1"/>
  <c r="BE92" i="160"/>
  <c r="BC92" i="160"/>
  <c r="CX22" i="160"/>
  <c r="CZ13" i="160"/>
  <c r="BF13" i="160"/>
  <c r="DC13" i="160" s="1"/>
  <c r="BD13" i="160"/>
  <c r="BG11" i="160"/>
  <c r="DD11" i="160" s="1"/>
  <c r="K124" i="160"/>
  <c r="K79" i="160"/>
  <c r="N34" i="160"/>
  <c r="BC74" i="160"/>
  <c r="BE74" i="160"/>
  <c r="BE48" i="160"/>
  <c r="BC48" i="160"/>
  <c r="CX48" i="160"/>
  <c r="EA10" i="160"/>
  <c r="CE10" i="160"/>
  <c r="CF10" i="160" s="1"/>
  <c r="CG10" i="160" s="1"/>
  <c r="CH10" i="160" s="1"/>
  <c r="CI10" i="160" s="1"/>
  <c r="BE49" i="160"/>
  <c r="BC49" i="160"/>
  <c r="CX44" i="160"/>
  <c r="CX33" i="160"/>
  <c r="BF102" i="160"/>
  <c r="BD102" i="160"/>
  <c r="BG102" i="160" s="1"/>
  <c r="BF98" i="160"/>
  <c r="BD98" i="160"/>
  <c r="BG98" i="160" s="1"/>
  <c r="BE126" i="160"/>
  <c r="BC126" i="160"/>
  <c r="BE130" i="160"/>
  <c r="BC130" i="160"/>
  <c r="BF69" i="160"/>
  <c r="BD69" i="160"/>
  <c r="BG69" i="160" s="1"/>
  <c r="ER9" i="160"/>
  <c r="CV9" i="160"/>
  <c r="BT58" i="160"/>
  <c r="DP58" i="160"/>
  <c r="BE79" i="160"/>
  <c r="BC79" i="160"/>
  <c r="BE88" i="160"/>
  <c r="BC88" i="160"/>
  <c r="DO11" i="160"/>
  <c r="BS11" i="160"/>
  <c r="CA100" i="160"/>
  <c r="BX100" i="160"/>
  <c r="BW100" i="160"/>
  <c r="DT100" i="160" s="1"/>
  <c r="BY100" i="160"/>
  <c r="BV100" i="160"/>
  <c r="DS100" i="160" s="1"/>
  <c r="CB100" i="160"/>
  <c r="BZ100" i="160"/>
  <c r="BF64" i="160"/>
  <c r="BD64" i="160"/>
  <c r="BG64" i="160" s="1"/>
  <c r="BC104" i="160"/>
  <c r="BE104" i="160"/>
  <c r="CY104" i="160"/>
  <c r="BE35" i="160"/>
  <c r="BC35" i="160"/>
  <c r="BD70" i="160"/>
  <c r="BG70" i="160" s="1"/>
  <c r="BF70" i="160"/>
  <c r="K133" i="160"/>
  <c r="K88" i="160"/>
  <c r="N43" i="160"/>
  <c r="BQ100" i="160"/>
  <c r="BR100" i="160" s="1"/>
  <c r="BS100" i="160" s="1"/>
  <c r="BT100" i="160" s="1"/>
  <c r="BU100" i="160" s="1"/>
  <c r="DM100" i="160"/>
  <c r="BE131" i="160"/>
  <c r="BC131" i="160"/>
  <c r="K118" i="160"/>
  <c r="K73" i="160"/>
  <c r="N28" i="160"/>
  <c r="DS81" i="160"/>
  <c r="BI102" i="160"/>
  <c r="DE102" i="160"/>
  <c r="DM10" i="160"/>
  <c r="BQ10" i="160"/>
  <c r="BR10" i="160" s="1"/>
  <c r="BS10" i="160" s="1"/>
  <c r="BT10" i="160" s="1"/>
  <c r="BU10" i="160" s="1"/>
  <c r="BE31" i="160"/>
  <c r="BC31" i="160"/>
  <c r="BE135" i="160"/>
  <c r="BC135" i="160"/>
  <c r="DL20" i="160"/>
  <c r="BF115" i="160"/>
  <c r="BD115" i="160"/>
  <c r="BG115" i="160" s="1"/>
  <c r="BF68" i="160"/>
  <c r="BD68" i="160"/>
  <c r="BG68" i="160" s="1"/>
  <c r="BD116" i="160"/>
  <c r="BG116" i="160" s="1"/>
  <c r="BF116" i="160"/>
  <c r="BE137" i="160"/>
  <c r="BC137" i="160"/>
  <c r="DN9" i="160"/>
  <c r="BR9" i="160"/>
  <c r="BF52" i="160"/>
  <c r="BD52" i="160"/>
  <c r="BG52" i="160" s="1"/>
  <c r="BC34" i="160"/>
  <c r="BE34" i="160"/>
  <c r="BE119" i="160"/>
  <c r="BC119" i="160"/>
  <c r="K138" i="160"/>
  <c r="K93" i="160"/>
  <c r="N48" i="160"/>
  <c r="N12" i="135" s="1"/>
  <c r="N113" i="160"/>
  <c r="BO113" i="160" s="1"/>
  <c r="BP113" i="160" s="1"/>
  <c r="BQ113" i="160" s="1"/>
  <c r="BR113" i="160" s="1"/>
  <c r="BS113" i="160" s="1"/>
  <c r="BT113" i="160" s="1"/>
  <c r="BU113" i="160" s="1"/>
  <c r="N68" i="160"/>
  <c r="BO68" i="160" s="1"/>
  <c r="BP68" i="160" s="1"/>
  <c r="BQ68" i="160" s="1"/>
  <c r="BR68" i="160" s="1"/>
  <c r="BS68" i="160" s="1"/>
  <c r="BT68" i="160" s="1"/>
  <c r="BU68" i="160" s="1"/>
  <c r="BO23" i="160"/>
  <c r="BF65" i="160"/>
  <c r="BD65" i="160"/>
  <c r="BG65" i="160" s="1"/>
  <c r="DY54" i="160"/>
  <c r="BF46" i="160"/>
  <c r="BD46" i="160"/>
  <c r="BG46" i="160" s="1"/>
  <c r="BE94" i="160"/>
  <c r="BC94" i="160"/>
  <c r="BE14" i="160"/>
  <c r="CY14" i="160"/>
  <c r="BC14" i="160"/>
  <c r="EC9" i="160"/>
  <c r="CG9" i="160"/>
  <c r="EG101" i="160" l="1"/>
  <c r="DS101" i="160"/>
  <c r="AD58" i="160"/>
  <c r="CX109" i="160"/>
  <c r="DT38" i="160"/>
  <c r="AD123" i="160"/>
  <c r="DZ133" i="160"/>
  <c r="EA38" i="160"/>
  <c r="DT16" i="160"/>
  <c r="EG86" i="160"/>
  <c r="DE101" i="160"/>
  <c r="DE56" i="160"/>
  <c r="DZ56" i="160"/>
  <c r="N91" i="160"/>
  <c r="BO91" i="160" s="1"/>
  <c r="BP91" i="160" s="1"/>
  <c r="BQ91" i="160" s="1"/>
  <c r="BR91" i="160" s="1"/>
  <c r="BS91" i="160" s="1"/>
  <c r="BT91" i="160" s="1"/>
  <c r="BU91" i="160" s="1"/>
  <c r="DL101" i="160"/>
  <c r="DS56" i="160"/>
  <c r="CX56" i="160"/>
  <c r="DZ101" i="160"/>
  <c r="EN56" i="160"/>
  <c r="CX101" i="160"/>
  <c r="EG56" i="160"/>
  <c r="EN86" i="160"/>
  <c r="CX133" i="160"/>
  <c r="EG133" i="160"/>
  <c r="DE133" i="160"/>
  <c r="EN133" i="160"/>
  <c r="EO33" i="160"/>
  <c r="CX78" i="160"/>
  <c r="EG78" i="160"/>
  <c r="DE78" i="160"/>
  <c r="DF40" i="160"/>
  <c r="DE80" i="160"/>
  <c r="DS85" i="160"/>
  <c r="DE127" i="160"/>
  <c r="EG63" i="160"/>
  <c r="DE63" i="160"/>
  <c r="EG106" i="160"/>
  <c r="EN88" i="160"/>
  <c r="DS114" i="160"/>
  <c r="DS78" i="160"/>
  <c r="DL63" i="160"/>
  <c r="DL106" i="160"/>
  <c r="EG114" i="160"/>
  <c r="DS88" i="160"/>
  <c r="EG111" i="160"/>
  <c r="EG88" i="160"/>
  <c r="EH42" i="160"/>
  <c r="EN106" i="160"/>
  <c r="CX118" i="160"/>
  <c r="CX88" i="160"/>
  <c r="DZ130" i="160"/>
  <c r="DF42" i="160"/>
  <c r="EN78" i="160"/>
  <c r="EG64" i="160"/>
  <c r="DZ88" i="160"/>
  <c r="CY42" i="160"/>
  <c r="AD132" i="160"/>
  <c r="EO132" i="160" s="1"/>
  <c r="DT20" i="160"/>
  <c r="AD110" i="160"/>
  <c r="CY110" i="160" s="1"/>
  <c r="DF20" i="160"/>
  <c r="DZ123" i="160"/>
  <c r="EO20" i="160"/>
  <c r="EA20" i="160"/>
  <c r="EH20" i="160"/>
  <c r="DM20" i="160"/>
  <c r="DF13" i="160"/>
  <c r="EO38" i="160"/>
  <c r="EA30" i="160"/>
  <c r="DT13" i="160"/>
  <c r="EY13" i="160" s="1"/>
  <c r="CY13" i="160"/>
  <c r="EH38" i="160"/>
  <c r="CX125" i="160"/>
  <c r="EO13" i="160"/>
  <c r="DF38" i="160"/>
  <c r="EH13" i="160"/>
  <c r="EN58" i="160"/>
  <c r="CY38" i="160"/>
  <c r="CH11" i="160"/>
  <c r="EE11" i="160" s="1"/>
  <c r="AD106" i="160"/>
  <c r="CY106" i="160" s="1"/>
  <c r="EN60" i="160"/>
  <c r="EA13" i="160"/>
  <c r="AD83" i="160"/>
  <c r="CY83" i="160" s="1"/>
  <c r="AD103" i="160"/>
  <c r="EU103" i="160" s="1"/>
  <c r="DM13" i="160"/>
  <c r="EN80" i="160"/>
  <c r="DZ111" i="160"/>
  <c r="AD87" i="160"/>
  <c r="EO87" i="160" s="1"/>
  <c r="CY30" i="160"/>
  <c r="CX81" i="160"/>
  <c r="CX127" i="160"/>
  <c r="DE114" i="160"/>
  <c r="DZ127" i="160"/>
  <c r="EO42" i="160"/>
  <c r="EN114" i="160"/>
  <c r="EG130" i="160"/>
  <c r="EN127" i="160"/>
  <c r="DS80" i="160"/>
  <c r="EA42" i="160"/>
  <c r="DZ114" i="160"/>
  <c r="EN77" i="160"/>
  <c r="EG80" i="160"/>
  <c r="CM16" i="135"/>
  <c r="EI16" i="135"/>
  <c r="CX63" i="160"/>
  <c r="DZ106" i="160"/>
  <c r="EN63" i="160"/>
  <c r="CF16" i="135"/>
  <c r="EB16" i="135"/>
  <c r="EB54" i="135" s="1"/>
  <c r="EB56" i="135" s="1"/>
  <c r="EB57" i="135" s="1"/>
  <c r="CT46" i="135"/>
  <c r="EP46" i="135"/>
  <c r="CX84" i="160"/>
  <c r="DE106" i="160"/>
  <c r="CM46" i="135"/>
  <c r="EI46" i="135"/>
  <c r="CF46" i="135"/>
  <c r="EB46" i="135"/>
  <c r="CF31" i="135"/>
  <c r="EB31" i="135"/>
  <c r="DZ63" i="160"/>
  <c r="EG110" i="160"/>
  <c r="CX106" i="160"/>
  <c r="CM31" i="135"/>
  <c r="EI31" i="135"/>
  <c r="DS86" i="160"/>
  <c r="EA33" i="160"/>
  <c r="CX86" i="160"/>
  <c r="AD78" i="160"/>
  <c r="EO78" i="160" s="1"/>
  <c r="DE86" i="160"/>
  <c r="DT33" i="160"/>
  <c r="EH33" i="160"/>
  <c r="EG69" i="160"/>
  <c r="CY33" i="160"/>
  <c r="EG125" i="160"/>
  <c r="AD75" i="160"/>
  <c r="EO75" i="160" s="1"/>
  <c r="AD120" i="160"/>
  <c r="EA120" i="160" s="1"/>
  <c r="DT30" i="160"/>
  <c r="DE92" i="160"/>
  <c r="DZ125" i="160"/>
  <c r="EN125" i="160"/>
  <c r="EH30" i="160"/>
  <c r="EO30" i="160"/>
  <c r="DE125" i="160"/>
  <c r="EH31" i="160"/>
  <c r="CY40" i="160"/>
  <c r="EH52" i="160"/>
  <c r="EO40" i="160"/>
  <c r="DM52" i="160"/>
  <c r="AD85" i="160"/>
  <c r="CY85" i="160" s="1"/>
  <c r="EA52" i="160"/>
  <c r="AD130" i="160"/>
  <c r="CY130" i="160" s="1"/>
  <c r="DF52" i="160"/>
  <c r="EH40" i="160"/>
  <c r="EA40" i="160"/>
  <c r="CY52" i="160"/>
  <c r="EH16" i="160"/>
  <c r="EG60" i="160"/>
  <c r="DE60" i="160"/>
  <c r="DM16" i="160"/>
  <c r="DZ109" i="160"/>
  <c r="EG58" i="160"/>
  <c r="DF32" i="160"/>
  <c r="CY16" i="160"/>
  <c r="EO16" i="160"/>
  <c r="DL109" i="160"/>
  <c r="DZ58" i="160"/>
  <c r="CX60" i="160"/>
  <c r="EN109" i="160"/>
  <c r="DL58" i="160"/>
  <c r="EA16" i="160"/>
  <c r="DS109" i="160"/>
  <c r="DF16" i="160"/>
  <c r="DE109" i="160"/>
  <c r="DL60" i="160"/>
  <c r="DE58" i="160"/>
  <c r="DZ60" i="160"/>
  <c r="CX58" i="160"/>
  <c r="DZ64" i="160"/>
  <c r="DZ118" i="160"/>
  <c r="DS73" i="160"/>
  <c r="DS70" i="160"/>
  <c r="EN139" i="160"/>
  <c r="DL64" i="160"/>
  <c r="DE64" i="160"/>
  <c r="DZ73" i="160"/>
  <c r="CX70" i="160"/>
  <c r="CX64" i="160"/>
  <c r="EN73" i="160"/>
  <c r="DZ70" i="160"/>
  <c r="EG73" i="160"/>
  <c r="EG70" i="160"/>
  <c r="EN118" i="160"/>
  <c r="EG118" i="160"/>
  <c r="DE73" i="160"/>
  <c r="DE124" i="160"/>
  <c r="DE70" i="160"/>
  <c r="EN64" i="160"/>
  <c r="DE118" i="160"/>
  <c r="DZ124" i="160"/>
  <c r="CX69" i="160"/>
  <c r="EN69" i="160"/>
  <c r="DE123" i="160"/>
  <c r="DS69" i="160"/>
  <c r="CX123" i="160"/>
  <c r="EG123" i="160"/>
  <c r="DS126" i="160"/>
  <c r="EG126" i="160"/>
  <c r="CX65" i="160"/>
  <c r="EA22" i="160"/>
  <c r="DZ138" i="160"/>
  <c r="EN65" i="160"/>
  <c r="EG116" i="160"/>
  <c r="DS123" i="160"/>
  <c r="CX79" i="160"/>
  <c r="DE69" i="160"/>
  <c r="DE65" i="160"/>
  <c r="CY26" i="160"/>
  <c r="AD116" i="160"/>
  <c r="CY116" i="160" s="1"/>
  <c r="EH22" i="160"/>
  <c r="DS67" i="160"/>
  <c r="DT22" i="160"/>
  <c r="DT26" i="160"/>
  <c r="AD112" i="160"/>
  <c r="EO112" i="160" s="1"/>
  <c r="AD56" i="160"/>
  <c r="DT56" i="160" s="1"/>
  <c r="EY56" i="160" s="1"/>
  <c r="N136" i="160"/>
  <c r="BO136" i="160" s="1"/>
  <c r="BP136" i="160" s="1"/>
  <c r="BQ136" i="160" s="1"/>
  <c r="BR136" i="160" s="1"/>
  <c r="BS136" i="160" s="1"/>
  <c r="BT136" i="160" s="1"/>
  <c r="BU136" i="160" s="1"/>
  <c r="EO26" i="160"/>
  <c r="DZ117" i="160"/>
  <c r="EH26" i="160"/>
  <c r="DE115" i="160"/>
  <c r="CY22" i="160"/>
  <c r="EA26" i="160"/>
  <c r="BO46" i="160"/>
  <c r="BP46" i="160" s="1"/>
  <c r="CX115" i="160"/>
  <c r="DF22" i="160"/>
  <c r="EU54" i="160"/>
  <c r="AD115" i="160"/>
  <c r="DM115" i="160" s="1"/>
  <c r="EG115" i="160"/>
  <c r="EG124" i="160"/>
  <c r="DE111" i="160"/>
  <c r="EN130" i="160"/>
  <c r="EG79" i="160"/>
  <c r="EN138" i="160"/>
  <c r="CX107" i="160"/>
  <c r="CX110" i="160"/>
  <c r="DL65" i="160"/>
  <c r="AD114" i="160"/>
  <c r="DT114" i="160" s="1"/>
  <c r="EG117" i="160"/>
  <c r="EG74" i="160"/>
  <c r="EN111" i="160"/>
  <c r="EN92" i="160"/>
  <c r="CX116" i="160"/>
  <c r="DS94" i="160"/>
  <c r="DZ139" i="160"/>
  <c r="EN85" i="160"/>
  <c r="EG137" i="160"/>
  <c r="EN136" i="160"/>
  <c r="EG94" i="160"/>
  <c r="EH18" i="160"/>
  <c r="DS119" i="160"/>
  <c r="EG65" i="160"/>
  <c r="EN117" i="160"/>
  <c r="DZ107" i="160"/>
  <c r="CX124" i="160"/>
  <c r="EG139" i="160"/>
  <c r="DE137" i="160"/>
  <c r="EN116" i="160"/>
  <c r="DE139" i="160"/>
  <c r="DE85" i="160"/>
  <c r="CX137" i="160"/>
  <c r="DE136" i="160"/>
  <c r="CX94" i="160"/>
  <c r="DE110" i="160"/>
  <c r="EN119" i="160"/>
  <c r="DZ65" i="160"/>
  <c r="CX117" i="160"/>
  <c r="BP10" i="135"/>
  <c r="BQ10" i="135" s="1"/>
  <c r="BR10" i="135" s="1"/>
  <c r="BS10" i="135" s="1"/>
  <c r="BT10" i="135" s="1"/>
  <c r="BU10" i="135" s="1"/>
  <c r="BV10" i="135" s="1"/>
  <c r="DE116" i="160"/>
  <c r="EG92" i="160"/>
  <c r="CX92" i="160"/>
  <c r="DS130" i="160"/>
  <c r="DS79" i="160"/>
  <c r="CX139" i="160"/>
  <c r="EG85" i="160"/>
  <c r="CX136" i="160"/>
  <c r="EN94" i="160"/>
  <c r="DL110" i="160"/>
  <c r="DE117" i="160"/>
  <c r="N25" i="135"/>
  <c r="BP25" i="135" s="1"/>
  <c r="BQ25" i="135" s="1"/>
  <c r="BR25" i="135" s="1"/>
  <c r="BS25" i="135" s="1"/>
  <c r="BT25" i="135" s="1"/>
  <c r="BU25" i="135" s="1"/>
  <c r="BV25" i="135" s="1"/>
  <c r="EN115" i="160"/>
  <c r="DE130" i="160"/>
  <c r="DZ85" i="160"/>
  <c r="DZ136" i="160"/>
  <c r="DZ92" i="160"/>
  <c r="DZ115" i="160"/>
  <c r="EN124" i="160"/>
  <c r="CX111" i="160"/>
  <c r="DZ79" i="160"/>
  <c r="DZ94" i="160"/>
  <c r="EN110" i="160"/>
  <c r="DL117" i="160"/>
  <c r="EN107" i="160"/>
  <c r="DE107" i="160"/>
  <c r="CX122" i="160"/>
  <c r="DE129" i="160"/>
  <c r="DE122" i="160"/>
  <c r="EH24" i="160"/>
  <c r="EG77" i="160"/>
  <c r="DZ129" i="160"/>
  <c r="DM27" i="160"/>
  <c r="DS122" i="160"/>
  <c r="EG129" i="160"/>
  <c r="AD129" i="160"/>
  <c r="CY129" i="160" s="1"/>
  <c r="DE138" i="160"/>
  <c r="EG91" i="160"/>
  <c r="CX129" i="160"/>
  <c r="EH46" i="160"/>
  <c r="EN129" i="160"/>
  <c r="DL69" i="160"/>
  <c r="EG107" i="160"/>
  <c r="N42" i="135"/>
  <c r="BP42" i="135" s="1"/>
  <c r="BQ42" i="135" s="1"/>
  <c r="BR42" i="135" s="1"/>
  <c r="BS42" i="135" s="1"/>
  <c r="BT42" i="135" s="1"/>
  <c r="BU42" i="135" s="1"/>
  <c r="BV42" i="135" s="1"/>
  <c r="N27" i="135"/>
  <c r="BP27" i="135" s="1"/>
  <c r="BQ27" i="135" s="1"/>
  <c r="BR27" i="135" s="1"/>
  <c r="BS27" i="135" s="1"/>
  <c r="BT27" i="135" s="1"/>
  <c r="BU27" i="135" s="1"/>
  <c r="BV27" i="135" s="1"/>
  <c r="BP12" i="135"/>
  <c r="BQ12" i="135" s="1"/>
  <c r="BR12" i="135" s="1"/>
  <c r="BS12" i="135" s="1"/>
  <c r="BT12" i="135" s="1"/>
  <c r="BU12" i="135" s="1"/>
  <c r="BV12" i="135" s="1"/>
  <c r="AD67" i="160"/>
  <c r="EH67" i="160" s="1"/>
  <c r="CX80" i="160"/>
  <c r="EN79" i="160"/>
  <c r="DZ137" i="160"/>
  <c r="CX138" i="160"/>
  <c r="EN87" i="160"/>
  <c r="CY36" i="160"/>
  <c r="Z55" i="135"/>
  <c r="AA62" i="135" s="1"/>
  <c r="N41" i="135"/>
  <c r="BP41" i="135" s="1"/>
  <c r="BQ41" i="135" s="1"/>
  <c r="BR41" i="135" s="1"/>
  <c r="BS41" i="135" s="1"/>
  <c r="BT41" i="135" s="1"/>
  <c r="BU41" i="135" s="1"/>
  <c r="BV41" i="135" s="1"/>
  <c r="N26" i="135"/>
  <c r="BP26" i="135" s="1"/>
  <c r="BQ26" i="135" s="1"/>
  <c r="BR26" i="135" s="1"/>
  <c r="BS26" i="135" s="1"/>
  <c r="BT26" i="135" s="1"/>
  <c r="BU26" i="135" s="1"/>
  <c r="BV26" i="135" s="1"/>
  <c r="BP11" i="135"/>
  <c r="BQ11" i="135" s="1"/>
  <c r="BR11" i="135" s="1"/>
  <c r="BS11" i="135" s="1"/>
  <c r="BT11" i="135" s="1"/>
  <c r="BU11" i="135" s="1"/>
  <c r="BV11" i="135" s="1"/>
  <c r="CY44" i="160"/>
  <c r="DZ116" i="160"/>
  <c r="EG127" i="160"/>
  <c r="EN137" i="160"/>
  <c r="EG138" i="160"/>
  <c r="N38" i="135"/>
  <c r="BP38" i="135" s="1"/>
  <c r="BQ38" i="135" s="1"/>
  <c r="BR38" i="135" s="1"/>
  <c r="BS38" i="135" s="1"/>
  <c r="BT38" i="135" s="1"/>
  <c r="BU38" i="135" s="1"/>
  <c r="BV38" i="135" s="1"/>
  <c r="N23" i="135"/>
  <c r="BP23" i="135" s="1"/>
  <c r="BQ23" i="135" s="1"/>
  <c r="BR23" i="135" s="1"/>
  <c r="BS23" i="135" s="1"/>
  <c r="BT23" i="135" s="1"/>
  <c r="BU23" i="135" s="1"/>
  <c r="BV23" i="135" s="1"/>
  <c r="BP8" i="135"/>
  <c r="BQ8" i="135" s="1"/>
  <c r="BR8" i="135" s="1"/>
  <c r="BS8" i="135" s="1"/>
  <c r="BT8" i="135" s="1"/>
  <c r="BU8" i="135" s="1"/>
  <c r="BV8" i="135" s="1"/>
  <c r="DE84" i="160"/>
  <c r="EN126" i="160"/>
  <c r="DT49" i="160"/>
  <c r="N24" i="135"/>
  <c r="BP24" i="135" s="1"/>
  <c r="BQ24" i="135" s="1"/>
  <c r="BR24" i="135" s="1"/>
  <c r="BS24" i="135" s="1"/>
  <c r="BT24" i="135" s="1"/>
  <c r="BU24" i="135" s="1"/>
  <c r="BV24" i="135" s="1"/>
  <c r="N39" i="135"/>
  <c r="BP39" i="135" s="1"/>
  <c r="BQ39" i="135" s="1"/>
  <c r="BR39" i="135" s="1"/>
  <c r="BS39" i="135" s="1"/>
  <c r="BT39" i="135" s="1"/>
  <c r="BU39" i="135" s="1"/>
  <c r="BV39" i="135" s="1"/>
  <c r="BP9" i="135"/>
  <c r="BQ9" i="135" s="1"/>
  <c r="BR9" i="135" s="1"/>
  <c r="BS9" i="135" s="1"/>
  <c r="BT9" i="135" s="1"/>
  <c r="BU9" i="135" s="1"/>
  <c r="BV9" i="135" s="1"/>
  <c r="BP13" i="135"/>
  <c r="BQ13" i="135" s="1"/>
  <c r="BR13" i="135" s="1"/>
  <c r="BS13" i="135" s="1"/>
  <c r="BT13" i="135" s="1"/>
  <c r="BU13" i="135" s="1"/>
  <c r="BV13" i="135" s="1"/>
  <c r="N43" i="135"/>
  <c r="BP43" i="135" s="1"/>
  <c r="BQ43" i="135" s="1"/>
  <c r="BR43" i="135" s="1"/>
  <c r="BS43" i="135" s="1"/>
  <c r="BT43" i="135" s="1"/>
  <c r="BU43" i="135" s="1"/>
  <c r="BV43" i="135" s="1"/>
  <c r="N28" i="135"/>
  <c r="BP28" i="135" s="1"/>
  <c r="BQ28" i="135" s="1"/>
  <c r="BR28" i="135" s="1"/>
  <c r="BS28" i="135" s="1"/>
  <c r="BT28" i="135" s="1"/>
  <c r="BU28" i="135" s="1"/>
  <c r="BV28" i="135" s="1"/>
  <c r="EB7" i="160"/>
  <c r="CX89" i="160"/>
  <c r="DE119" i="160"/>
  <c r="AE52" i="160"/>
  <c r="CZ52" i="160" s="1"/>
  <c r="CX134" i="160"/>
  <c r="CX119" i="160"/>
  <c r="DE76" i="160"/>
  <c r="DZ119" i="160"/>
  <c r="EG90" i="160"/>
  <c r="EA48" i="160"/>
  <c r="AE32" i="160"/>
  <c r="AE122" i="160" s="1"/>
  <c r="EO28" i="160"/>
  <c r="EO41" i="160"/>
  <c r="AE39" i="160"/>
  <c r="DU39" i="160" s="1"/>
  <c r="AE49" i="160"/>
  <c r="DU49" i="160" s="1"/>
  <c r="AE25" i="160"/>
  <c r="DG25" i="160" s="1"/>
  <c r="AE36" i="160"/>
  <c r="AE81" i="160" s="1"/>
  <c r="AE43" i="160"/>
  <c r="DU43" i="160" s="1"/>
  <c r="CY17" i="160"/>
  <c r="CX108" i="160"/>
  <c r="DE134" i="160"/>
  <c r="DL108" i="160"/>
  <c r="DU7" i="160"/>
  <c r="AD73" i="160"/>
  <c r="DF73" i="160" s="1"/>
  <c r="EN134" i="160"/>
  <c r="DE82" i="160"/>
  <c r="AD107" i="160"/>
  <c r="DT107" i="160" s="1"/>
  <c r="AE18" i="160"/>
  <c r="AE63" i="160" s="1"/>
  <c r="AE44" i="160"/>
  <c r="EB44" i="160" s="1"/>
  <c r="AE34" i="160"/>
  <c r="DU34" i="160" s="1"/>
  <c r="DT97" i="160"/>
  <c r="AD81" i="160"/>
  <c r="EH81" i="160" s="1"/>
  <c r="CX76" i="160"/>
  <c r="DZ108" i="160"/>
  <c r="EU11" i="160"/>
  <c r="DN7" i="160"/>
  <c r="AD118" i="160"/>
  <c r="DF118" i="160" s="1"/>
  <c r="DZ134" i="160"/>
  <c r="EN82" i="160"/>
  <c r="EG93" i="160"/>
  <c r="DZ113" i="160"/>
  <c r="AE17" i="160"/>
  <c r="EI17" i="160" s="1"/>
  <c r="AE38" i="160"/>
  <c r="AE83" i="160" s="1"/>
  <c r="CY97" i="160"/>
  <c r="DE108" i="160"/>
  <c r="DG7" i="160"/>
  <c r="DT28" i="160"/>
  <c r="EG134" i="160"/>
  <c r="CX82" i="160"/>
  <c r="DS132" i="160"/>
  <c r="CX93" i="160"/>
  <c r="CX67" i="160"/>
  <c r="CX75" i="160"/>
  <c r="AE12" i="160"/>
  <c r="AE57" i="160" s="1"/>
  <c r="DU57" i="160" s="1"/>
  <c r="AE16" i="160"/>
  <c r="CZ16" i="160" s="1"/>
  <c r="AE23" i="160"/>
  <c r="DU23" i="160" s="1"/>
  <c r="AE42" i="160"/>
  <c r="CZ42" i="160" s="1"/>
  <c r="DF97" i="160"/>
  <c r="EO17" i="160"/>
  <c r="EN76" i="160"/>
  <c r="EG108" i="160"/>
  <c r="CZ7" i="160"/>
  <c r="EA28" i="160"/>
  <c r="DZ82" i="160"/>
  <c r="EN132" i="160"/>
  <c r="DZ93" i="160"/>
  <c r="DF17" i="160"/>
  <c r="AE29" i="160"/>
  <c r="EI29" i="160" s="1"/>
  <c r="AE27" i="160"/>
  <c r="DN27" i="160" s="1"/>
  <c r="AE30" i="160"/>
  <c r="AE75" i="160" s="1"/>
  <c r="AE33" i="160"/>
  <c r="DG33" i="160" s="1"/>
  <c r="DM97" i="160"/>
  <c r="EI7" i="160"/>
  <c r="DS76" i="160"/>
  <c r="EG76" i="160"/>
  <c r="EN108" i="160"/>
  <c r="DT17" i="160"/>
  <c r="AF7" i="160"/>
  <c r="AG7" i="160" s="1"/>
  <c r="DF28" i="160"/>
  <c r="EN93" i="160"/>
  <c r="EH17" i="160"/>
  <c r="AE14" i="160"/>
  <c r="AE59" i="160" s="1"/>
  <c r="AE48" i="160"/>
  <c r="DU48" i="160" s="1"/>
  <c r="AE40" i="160"/>
  <c r="DG40" i="160" s="1"/>
  <c r="AE37" i="160"/>
  <c r="EP37" i="160" s="1"/>
  <c r="EO97" i="160"/>
  <c r="DE121" i="160"/>
  <c r="AE97" i="160"/>
  <c r="DU97" i="160" s="1"/>
  <c r="EH28" i="160"/>
  <c r="EG82" i="160"/>
  <c r="EP7" i="160"/>
  <c r="CY11" i="160"/>
  <c r="EV11" i="160" s="1"/>
  <c r="DE93" i="160"/>
  <c r="DM17" i="160"/>
  <c r="AE21" i="160"/>
  <c r="AE111" i="160" s="1"/>
  <c r="AE15" i="160"/>
  <c r="EP15" i="160" s="1"/>
  <c r="AE20" i="160"/>
  <c r="EB20" i="160" s="1"/>
  <c r="AE35" i="160"/>
  <c r="EB35" i="160" s="1"/>
  <c r="AE41" i="160"/>
  <c r="AE86" i="160" s="1"/>
  <c r="EG87" i="160"/>
  <c r="EN135" i="160"/>
  <c r="CX126" i="160"/>
  <c r="AD86" i="160"/>
  <c r="EA86" i="160" s="1"/>
  <c r="CY24" i="160"/>
  <c r="DZ77" i="160"/>
  <c r="DE87" i="160"/>
  <c r="DZ135" i="160"/>
  <c r="CY32" i="160"/>
  <c r="DZ126" i="160"/>
  <c r="EN74" i="160"/>
  <c r="EO32" i="160"/>
  <c r="EG89" i="160"/>
  <c r="EG61" i="160"/>
  <c r="AD122" i="160"/>
  <c r="EO122" i="160" s="1"/>
  <c r="DF41" i="160"/>
  <c r="EN90" i="160"/>
  <c r="DZ84" i="160"/>
  <c r="DE135" i="160"/>
  <c r="DT41" i="160"/>
  <c r="AD93" i="160"/>
  <c r="EO93" i="160" s="1"/>
  <c r="EN81" i="160"/>
  <c r="DF24" i="160"/>
  <c r="DS77" i="160"/>
  <c r="DT99" i="160"/>
  <c r="EY99" i="160" s="1"/>
  <c r="DS136" i="160"/>
  <c r="DS135" i="160"/>
  <c r="EN84" i="160"/>
  <c r="DL107" i="160"/>
  <c r="AD77" i="160"/>
  <c r="EH77" i="160" s="1"/>
  <c r="CX87" i="160"/>
  <c r="EA17" i="160"/>
  <c r="EA41" i="160"/>
  <c r="DS90" i="160"/>
  <c r="DZ122" i="160"/>
  <c r="EO48" i="160"/>
  <c r="AE28" i="160"/>
  <c r="DG28" i="160" s="1"/>
  <c r="AE24" i="160"/>
  <c r="AE69" i="160" s="1"/>
  <c r="AE19" i="160"/>
  <c r="AE64" i="160" s="1"/>
  <c r="AE47" i="160"/>
  <c r="EB47" i="160" s="1"/>
  <c r="AE45" i="160"/>
  <c r="EP45" i="160" s="1"/>
  <c r="DT24" i="160"/>
  <c r="DZ61" i="160"/>
  <c r="CX74" i="160"/>
  <c r="EH97" i="160"/>
  <c r="DT32" i="160"/>
  <c r="EN89" i="160"/>
  <c r="CX135" i="160"/>
  <c r="AD131" i="160"/>
  <c r="DT131" i="160" s="1"/>
  <c r="CX90" i="160"/>
  <c r="DE83" i="160"/>
  <c r="AD138" i="160"/>
  <c r="EO138" i="160" s="1"/>
  <c r="DE81" i="160"/>
  <c r="EO24" i="160"/>
  <c r="DZ74" i="160"/>
  <c r="CX77" i="160"/>
  <c r="EG84" i="160"/>
  <c r="EH32" i="160"/>
  <c r="DS87" i="160"/>
  <c r="DE89" i="160"/>
  <c r="CY41" i="160"/>
  <c r="DZ90" i="160"/>
  <c r="EG83" i="160"/>
  <c r="AE22" i="160"/>
  <c r="EB22" i="160" s="1"/>
  <c r="AE26" i="160"/>
  <c r="CZ26" i="160" s="1"/>
  <c r="AE31" i="160"/>
  <c r="CZ31" i="160" s="1"/>
  <c r="EG81" i="160"/>
  <c r="AD69" i="160"/>
  <c r="DF69" i="160" s="1"/>
  <c r="DZ89" i="160"/>
  <c r="EN122" i="160"/>
  <c r="DE74" i="160"/>
  <c r="EH48" i="160"/>
  <c r="DS61" i="160"/>
  <c r="DE61" i="160"/>
  <c r="AD125" i="160"/>
  <c r="CY125" i="160" s="1"/>
  <c r="EO23" i="160"/>
  <c r="CX83" i="160"/>
  <c r="DT48" i="160"/>
  <c r="CX61" i="160"/>
  <c r="DZ83" i="160"/>
  <c r="DF48" i="160"/>
  <c r="EN61" i="160"/>
  <c r="EN83" i="160"/>
  <c r="CX132" i="160"/>
  <c r="AD101" i="160"/>
  <c r="EA101" i="160" s="1"/>
  <c r="EZ101" i="160" s="1"/>
  <c r="DE113" i="160"/>
  <c r="DE75" i="160"/>
  <c r="AD126" i="160"/>
  <c r="DF126" i="160" s="1"/>
  <c r="DF11" i="160"/>
  <c r="EG67" i="160"/>
  <c r="EN75" i="160"/>
  <c r="DS121" i="160"/>
  <c r="DT36" i="160"/>
  <c r="EY54" i="160"/>
  <c r="DM11" i="160"/>
  <c r="DE67" i="160"/>
  <c r="EG75" i="160"/>
  <c r="EN121" i="160"/>
  <c r="DF36" i="160"/>
  <c r="DL116" i="160"/>
  <c r="EG132" i="160"/>
  <c r="EO11" i="160"/>
  <c r="EG113" i="160"/>
  <c r="EN67" i="160"/>
  <c r="EG121" i="160"/>
  <c r="EO36" i="160"/>
  <c r="DT11" i="160"/>
  <c r="EY11" i="160" s="1"/>
  <c r="DZ132" i="160"/>
  <c r="EH11" i="160"/>
  <c r="CX113" i="160"/>
  <c r="DS75" i="160"/>
  <c r="CX121" i="160"/>
  <c r="EH36" i="160"/>
  <c r="EN113" i="160"/>
  <c r="DM19" i="160"/>
  <c r="DT25" i="160"/>
  <c r="DT44" i="160"/>
  <c r="EA18" i="160"/>
  <c r="EG68" i="160"/>
  <c r="AD94" i="160"/>
  <c r="CY94" i="160" s="1"/>
  <c r="AD70" i="160"/>
  <c r="EO70" i="160" s="1"/>
  <c r="DF44" i="160"/>
  <c r="DF18" i="160"/>
  <c r="CX68" i="160"/>
  <c r="AD139" i="160"/>
  <c r="CY139" i="160" s="1"/>
  <c r="DF25" i="160"/>
  <c r="EO44" i="160"/>
  <c r="CY18" i="160"/>
  <c r="EA49" i="160"/>
  <c r="CY25" i="160"/>
  <c r="EH44" i="160"/>
  <c r="EO18" i="160"/>
  <c r="DS68" i="160"/>
  <c r="DF49" i="160"/>
  <c r="AD63" i="160"/>
  <c r="DT63" i="160" s="1"/>
  <c r="DE68" i="160"/>
  <c r="CY49" i="160"/>
  <c r="EO25" i="160"/>
  <c r="EA44" i="160"/>
  <c r="EH25" i="160"/>
  <c r="AD89" i="160"/>
  <c r="EO89" i="160" s="1"/>
  <c r="DT18" i="160"/>
  <c r="AD108" i="160"/>
  <c r="DT108" i="160" s="1"/>
  <c r="DZ68" i="160"/>
  <c r="EO49" i="160"/>
  <c r="EN91" i="160"/>
  <c r="DT27" i="160"/>
  <c r="AD136" i="160"/>
  <c r="CY136" i="160" s="1"/>
  <c r="EO21" i="160"/>
  <c r="EO39" i="160"/>
  <c r="EO35" i="160"/>
  <c r="AD113" i="160"/>
  <c r="EA113" i="160" s="1"/>
  <c r="CX91" i="160"/>
  <c r="DZ91" i="160"/>
  <c r="EA27" i="160"/>
  <c r="EO46" i="160"/>
  <c r="AD111" i="160"/>
  <c r="CY111" i="160" s="1"/>
  <c r="AD84" i="160"/>
  <c r="DF84" i="160" s="1"/>
  <c r="AD80" i="160"/>
  <c r="EA80" i="160" s="1"/>
  <c r="CY23" i="160"/>
  <c r="DF27" i="160"/>
  <c r="EA46" i="160"/>
  <c r="DT21" i="160"/>
  <c r="DT39" i="160"/>
  <c r="DT35" i="160"/>
  <c r="EH23" i="160"/>
  <c r="CY27" i="160"/>
  <c r="DT46" i="160"/>
  <c r="EA21" i="160"/>
  <c r="EH39" i="160"/>
  <c r="DF35" i="160"/>
  <c r="EA23" i="160"/>
  <c r="EO27" i="160"/>
  <c r="DF46" i="160"/>
  <c r="EH21" i="160"/>
  <c r="EA39" i="160"/>
  <c r="EH35" i="160"/>
  <c r="DT23" i="160"/>
  <c r="EH27" i="160"/>
  <c r="CY46" i="160"/>
  <c r="DF21" i="160"/>
  <c r="DF39" i="160"/>
  <c r="EA35" i="160"/>
  <c r="DF23" i="160"/>
  <c r="DE91" i="160"/>
  <c r="DF15" i="160"/>
  <c r="DE62" i="160"/>
  <c r="AD60" i="160"/>
  <c r="EA60" i="160" s="1"/>
  <c r="EG62" i="160"/>
  <c r="DF37" i="160"/>
  <c r="DF45" i="160"/>
  <c r="AD127" i="160"/>
  <c r="EA127" i="160" s="1"/>
  <c r="AD135" i="160"/>
  <c r="EH135" i="160" s="1"/>
  <c r="DS131" i="160"/>
  <c r="EN131" i="160"/>
  <c r="DS62" i="160"/>
  <c r="EG120" i="160"/>
  <c r="AD121" i="160"/>
  <c r="EA121" i="160" s="1"/>
  <c r="AD109" i="160"/>
  <c r="DT109" i="160" s="1"/>
  <c r="AC142" i="160"/>
  <c r="EO43" i="160"/>
  <c r="CX112" i="160"/>
  <c r="AD133" i="160"/>
  <c r="EA133" i="160" s="1"/>
  <c r="CX105" i="160"/>
  <c r="EH29" i="160"/>
  <c r="CX128" i="160"/>
  <c r="DT29" i="160"/>
  <c r="EH47" i="160"/>
  <c r="CY47" i="160"/>
  <c r="CY37" i="160"/>
  <c r="DT31" i="160"/>
  <c r="EH15" i="160"/>
  <c r="DS105" i="160"/>
  <c r="EA29" i="160"/>
  <c r="DS112" i="160"/>
  <c r="DS120" i="160"/>
  <c r="DF47" i="160"/>
  <c r="CX62" i="160"/>
  <c r="AD64" i="160"/>
  <c r="DT64" i="160" s="1"/>
  <c r="AD88" i="160"/>
  <c r="CY88" i="160" s="1"/>
  <c r="CY45" i="160"/>
  <c r="DE131" i="160"/>
  <c r="EO37" i="160"/>
  <c r="EA31" i="160"/>
  <c r="DT15" i="160"/>
  <c r="AD105" i="160"/>
  <c r="CY105" i="160" s="1"/>
  <c r="AD74" i="160"/>
  <c r="DF74" i="160" s="1"/>
  <c r="DZ112" i="160"/>
  <c r="DE120" i="160"/>
  <c r="EO47" i="160"/>
  <c r="EN105" i="160"/>
  <c r="DZ62" i="160"/>
  <c r="EO19" i="160"/>
  <c r="DT43" i="160"/>
  <c r="EO45" i="160"/>
  <c r="CX131" i="160"/>
  <c r="EH37" i="160"/>
  <c r="DF31" i="160"/>
  <c r="DM15" i="160"/>
  <c r="AD119" i="160"/>
  <c r="EA119" i="160" s="1"/>
  <c r="EG112" i="160"/>
  <c r="DZ120" i="160"/>
  <c r="AD92" i="160"/>
  <c r="DT92" i="160" s="1"/>
  <c r="DL105" i="160"/>
  <c r="DZ128" i="160"/>
  <c r="DF19" i="160"/>
  <c r="EA43" i="160"/>
  <c r="EH45" i="160"/>
  <c r="DZ131" i="160"/>
  <c r="EA37" i="160"/>
  <c r="CY31" i="160"/>
  <c r="CY15" i="160"/>
  <c r="DF29" i="160"/>
  <c r="DE112" i="160"/>
  <c r="EN120" i="160"/>
  <c r="AD137" i="160"/>
  <c r="EH137" i="160" s="1"/>
  <c r="EG105" i="160"/>
  <c r="EN128" i="160"/>
  <c r="CY19" i="160"/>
  <c r="EH43" i="160"/>
  <c r="EA45" i="160"/>
  <c r="DT37" i="160"/>
  <c r="EO31" i="160"/>
  <c r="EO15" i="160"/>
  <c r="EO29" i="160"/>
  <c r="DT47" i="160"/>
  <c r="DE105" i="160"/>
  <c r="EN62" i="160"/>
  <c r="DE128" i="160"/>
  <c r="EH19" i="160"/>
  <c r="DF43" i="160"/>
  <c r="DT45" i="160"/>
  <c r="EG128" i="160"/>
  <c r="EA19" i="160"/>
  <c r="DL132" i="160"/>
  <c r="DL115" i="160"/>
  <c r="DL70" i="160"/>
  <c r="N128" i="160"/>
  <c r="BO128" i="160" s="1"/>
  <c r="N83" i="160"/>
  <c r="BO83" i="160" s="1"/>
  <c r="BO38" i="160"/>
  <c r="N131" i="160"/>
  <c r="BO131" i="160" s="1"/>
  <c r="N86" i="160"/>
  <c r="BO86" i="160" s="1"/>
  <c r="BO41" i="160"/>
  <c r="BF133" i="160"/>
  <c r="BD133" i="160"/>
  <c r="BG133" i="160" s="1"/>
  <c r="CI13" i="160"/>
  <c r="EF13" i="160" s="1"/>
  <c r="EE13" i="160"/>
  <c r="BS99" i="160"/>
  <c r="DO99" i="160"/>
  <c r="BD43" i="160"/>
  <c r="BG43" i="160" s="1"/>
  <c r="BF43" i="160"/>
  <c r="EO134" i="160"/>
  <c r="EH134" i="160"/>
  <c r="CY134" i="160"/>
  <c r="EA134" i="160"/>
  <c r="DF134" i="160"/>
  <c r="DT134" i="160"/>
  <c r="DF124" i="160"/>
  <c r="EA124" i="160"/>
  <c r="CY124" i="160"/>
  <c r="EH124" i="160"/>
  <c r="EO124" i="160"/>
  <c r="DT124" i="160"/>
  <c r="BF10" i="160"/>
  <c r="BD10" i="160"/>
  <c r="BG10" i="160" s="1"/>
  <c r="BF85" i="160"/>
  <c r="BD85" i="160"/>
  <c r="BG85" i="160" s="1"/>
  <c r="ES11" i="160"/>
  <c r="CW11" i="160"/>
  <c r="ET11" i="160" s="1"/>
  <c r="DE59" i="160"/>
  <c r="BI59" i="160"/>
  <c r="BP25" i="160"/>
  <c r="DL25" i="160"/>
  <c r="BN9" i="160"/>
  <c r="DK9" i="160" s="1"/>
  <c r="DJ9" i="160"/>
  <c r="EH132" i="160"/>
  <c r="CY58" i="160"/>
  <c r="DF58" i="160"/>
  <c r="DM58" i="160"/>
  <c r="EA58" i="160"/>
  <c r="EH58" i="160"/>
  <c r="FA58" i="160" s="1"/>
  <c r="EO58" i="160"/>
  <c r="N130" i="160"/>
  <c r="BO130" i="160" s="1"/>
  <c r="N85" i="160"/>
  <c r="BO85" i="160" s="1"/>
  <c r="BO40" i="160"/>
  <c r="BD129" i="160"/>
  <c r="BG129" i="160" s="1"/>
  <c r="BF129" i="160"/>
  <c r="BF29" i="160"/>
  <c r="BD29" i="160"/>
  <c r="BG29" i="160" s="1"/>
  <c r="BG101" i="160"/>
  <c r="DD101" i="160" s="1"/>
  <c r="DA101" i="160"/>
  <c r="EA128" i="160"/>
  <c r="CY128" i="160"/>
  <c r="DF128" i="160"/>
  <c r="EH128" i="160"/>
  <c r="EO128" i="160"/>
  <c r="DT128" i="160"/>
  <c r="CP13" i="160"/>
  <c r="EM13" i="160" s="1"/>
  <c r="EL13" i="160"/>
  <c r="BF78" i="160"/>
  <c r="BD78" i="160"/>
  <c r="BG78" i="160" s="1"/>
  <c r="BF44" i="160"/>
  <c r="BD44" i="160"/>
  <c r="BG44" i="160" s="1"/>
  <c r="BN13" i="160"/>
  <c r="DK13" i="160" s="1"/>
  <c r="DJ13" i="160"/>
  <c r="N111" i="160"/>
  <c r="BO111" i="160" s="1"/>
  <c r="N66" i="160"/>
  <c r="BO21" i="160"/>
  <c r="DG51" i="160"/>
  <c r="DN51" i="160"/>
  <c r="EB51" i="160"/>
  <c r="EI51" i="160"/>
  <c r="EP51" i="160"/>
  <c r="CZ51" i="160"/>
  <c r="DU51" i="160"/>
  <c r="EH54" i="160"/>
  <c r="FA54" i="160" s="1"/>
  <c r="EO54" i="160"/>
  <c r="FB54" i="160" s="1"/>
  <c r="CY54" i="160"/>
  <c r="DF54" i="160"/>
  <c r="EW54" i="160" s="1"/>
  <c r="DM54" i="160"/>
  <c r="EA54" i="160"/>
  <c r="N129" i="160"/>
  <c r="BO129" i="160" s="1"/>
  <c r="N84" i="160"/>
  <c r="BO84" i="160" s="1"/>
  <c r="BO39" i="160"/>
  <c r="BF34" i="160"/>
  <c r="BD34" i="160"/>
  <c r="BG34" i="160" s="1"/>
  <c r="CY82" i="160"/>
  <c r="EA82" i="160"/>
  <c r="EH82" i="160"/>
  <c r="DF82" i="160"/>
  <c r="EO82" i="160"/>
  <c r="DT82" i="160"/>
  <c r="BF122" i="160"/>
  <c r="BD122" i="160"/>
  <c r="BG122" i="160" s="1"/>
  <c r="DI11" i="160"/>
  <c r="BM11" i="160"/>
  <c r="BP24" i="160"/>
  <c r="DL24" i="160"/>
  <c r="N138" i="160"/>
  <c r="BO138" i="160" s="1"/>
  <c r="N93" i="160"/>
  <c r="BO93" i="160" s="1"/>
  <c r="BO48" i="160"/>
  <c r="DO9" i="160"/>
  <c r="BS9" i="160"/>
  <c r="DF76" i="160"/>
  <c r="EH76" i="160"/>
  <c r="EO76" i="160"/>
  <c r="EA76" i="160"/>
  <c r="CY76" i="160"/>
  <c r="DT76" i="160"/>
  <c r="BF48" i="160"/>
  <c r="BD48" i="160"/>
  <c r="BG48" i="160" s="1"/>
  <c r="BG13" i="160"/>
  <c r="DD13" i="160" s="1"/>
  <c r="DA13" i="160"/>
  <c r="BG99" i="160"/>
  <c r="DD99" i="160" s="1"/>
  <c r="DA99" i="160"/>
  <c r="CI103" i="160"/>
  <c r="EF103" i="160" s="1"/>
  <c r="EE103" i="160"/>
  <c r="BF81" i="160"/>
  <c r="BD81" i="160"/>
  <c r="BG81" i="160" s="1"/>
  <c r="BI104" i="160"/>
  <c r="DE104" i="160"/>
  <c r="BF80" i="160"/>
  <c r="BD80" i="160"/>
  <c r="BG80" i="160" s="1"/>
  <c r="BG56" i="160"/>
  <c r="DD56" i="160" s="1"/>
  <c r="DA56" i="160"/>
  <c r="DF120" i="160"/>
  <c r="DF78" i="160"/>
  <c r="N122" i="160"/>
  <c r="BO122" i="160" s="1"/>
  <c r="N77" i="160"/>
  <c r="BO77" i="160" s="1"/>
  <c r="BO32" i="160"/>
  <c r="EH62" i="160"/>
  <c r="EO62" i="160"/>
  <c r="DF62" i="160"/>
  <c r="DM62" i="160"/>
  <c r="CY62" i="160"/>
  <c r="EA62" i="160"/>
  <c r="BF22" i="160"/>
  <c r="BD22" i="160"/>
  <c r="BG22" i="160" s="1"/>
  <c r="DF68" i="160"/>
  <c r="EA68" i="160"/>
  <c r="CY68" i="160"/>
  <c r="DM68" i="160"/>
  <c r="EO68" i="160"/>
  <c r="EH68" i="160"/>
  <c r="DT68" i="160"/>
  <c r="EO99" i="160"/>
  <c r="FB99" i="160" s="1"/>
  <c r="CY99" i="160"/>
  <c r="EA99" i="160"/>
  <c r="DF99" i="160"/>
  <c r="EW99" i="160" s="1"/>
  <c r="EH99" i="160"/>
  <c r="FA99" i="160" s="1"/>
  <c r="DM99" i="160"/>
  <c r="EA79" i="160"/>
  <c r="DF79" i="160"/>
  <c r="EH79" i="160"/>
  <c r="CY79" i="160"/>
  <c r="EO79" i="160"/>
  <c r="DT79" i="160"/>
  <c r="DT87" i="160"/>
  <c r="N118" i="160"/>
  <c r="BO118" i="160" s="1"/>
  <c r="N73" i="160"/>
  <c r="BO73" i="160" s="1"/>
  <c r="BO28" i="160"/>
  <c r="N133" i="160"/>
  <c r="BO133" i="160" s="1"/>
  <c r="N88" i="160"/>
  <c r="BO88" i="160" s="1"/>
  <c r="BO43" i="160"/>
  <c r="EO117" i="160"/>
  <c r="EA117" i="160"/>
  <c r="CY117" i="160"/>
  <c r="DF117" i="160"/>
  <c r="DM117" i="160"/>
  <c r="EH117" i="160"/>
  <c r="DT117" i="160"/>
  <c r="EA61" i="160"/>
  <c r="CY61" i="160"/>
  <c r="DF61" i="160"/>
  <c r="EO61" i="160"/>
  <c r="EH61" i="160"/>
  <c r="DM61" i="160"/>
  <c r="DT61" i="160"/>
  <c r="EA85" i="160"/>
  <c r="BJ57" i="160"/>
  <c r="BK57" i="160" s="1"/>
  <c r="BL57" i="160" s="1"/>
  <c r="BM57" i="160" s="1"/>
  <c r="BN57" i="160" s="1"/>
  <c r="DF57" i="160"/>
  <c r="BT56" i="160"/>
  <c r="DP56" i="160"/>
  <c r="N139" i="160"/>
  <c r="BO139" i="160" s="1"/>
  <c r="N94" i="160"/>
  <c r="BO94" i="160" s="1"/>
  <c r="BO49" i="160"/>
  <c r="AE100" i="160"/>
  <c r="DU100" i="160" s="1"/>
  <c r="AE55" i="160"/>
  <c r="DU55" i="160" s="1"/>
  <c r="DN10" i="160"/>
  <c r="EB10" i="160"/>
  <c r="EI10" i="160"/>
  <c r="EP10" i="160"/>
  <c r="CZ10" i="160"/>
  <c r="N137" i="160"/>
  <c r="BO137" i="160" s="1"/>
  <c r="N92" i="160"/>
  <c r="BO92" i="160" s="1"/>
  <c r="BO47" i="160"/>
  <c r="BJ55" i="160"/>
  <c r="BK55" i="160" s="1"/>
  <c r="BL55" i="160" s="1"/>
  <c r="BM55" i="160" s="1"/>
  <c r="BN55" i="160" s="1"/>
  <c r="DF55" i="160"/>
  <c r="BD75" i="160"/>
  <c r="BG75" i="160" s="1"/>
  <c r="BF75" i="160"/>
  <c r="BT103" i="160"/>
  <c r="DP103" i="160"/>
  <c r="EO123" i="160"/>
  <c r="CY123" i="160"/>
  <c r="DF123" i="160"/>
  <c r="EH123" i="160"/>
  <c r="EA123" i="160"/>
  <c r="DT123" i="160"/>
  <c r="EA65" i="160"/>
  <c r="EH65" i="160"/>
  <c r="EO65" i="160"/>
  <c r="CY65" i="160"/>
  <c r="DF65" i="160"/>
  <c r="DM65" i="160"/>
  <c r="DT65" i="160"/>
  <c r="BG103" i="160"/>
  <c r="DD103" i="160" s="1"/>
  <c r="DA103" i="160"/>
  <c r="BF36" i="160"/>
  <c r="BD36" i="160"/>
  <c r="BG36" i="160" s="1"/>
  <c r="BF84" i="160"/>
  <c r="BD84" i="160"/>
  <c r="BG84" i="160" s="1"/>
  <c r="BD39" i="160"/>
  <c r="BG39" i="160" s="1"/>
  <c r="BF39" i="160"/>
  <c r="BG54" i="160"/>
  <c r="DD54" i="160" s="1"/>
  <c r="DA54" i="160"/>
  <c r="BF93" i="160"/>
  <c r="BD93" i="160"/>
  <c r="BG93" i="160" s="1"/>
  <c r="BF89" i="160"/>
  <c r="BD89" i="160"/>
  <c r="BG89" i="160" s="1"/>
  <c r="BD77" i="160"/>
  <c r="BG77" i="160" s="1"/>
  <c r="BF77" i="160"/>
  <c r="BF79" i="160"/>
  <c r="BD79" i="160"/>
  <c r="BG79" i="160" s="1"/>
  <c r="CI54" i="160"/>
  <c r="EF54" i="160" s="1"/>
  <c r="EE54" i="160"/>
  <c r="EB53" i="160"/>
  <c r="EI53" i="160"/>
  <c r="EP53" i="160"/>
  <c r="DG53" i="160"/>
  <c r="DN53" i="160"/>
  <c r="CZ53" i="160"/>
  <c r="DU53" i="160"/>
  <c r="BD47" i="160"/>
  <c r="BG47" i="160" s="1"/>
  <c r="BF47" i="160"/>
  <c r="BF41" i="160"/>
  <c r="BD41" i="160"/>
  <c r="BG41" i="160" s="1"/>
  <c r="EH129" i="160"/>
  <c r="N134" i="160"/>
  <c r="BO134" i="160" s="1"/>
  <c r="N89" i="160"/>
  <c r="BO89" i="160" s="1"/>
  <c r="BO44" i="160"/>
  <c r="DT58" i="160"/>
  <c r="EY58" i="160" s="1"/>
  <c r="DL113" i="160"/>
  <c r="BF32" i="160"/>
  <c r="BD32" i="160"/>
  <c r="BG32" i="160" s="1"/>
  <c r="DN96" i="160"/>
  <c r="DG96" i="160"/>
  <c r="EP96" i="160"/>
  <c r="EB96" i="160"/>
  <c r="CZ96" i="160"/>
  <c r="EI96" i="160"/>
  <c r="DU96" i="160"/>
  <c r="BD118" i="160"/>
  <c r="BG118" i="160" s="1"/>
  <c r="BF118" i="160"/>
  <c r="BD21" i="160"/>
  <c r="BG21" i="160" s="1"/>
  <c r="BF21" i="160"/>
  <c r="BD127" i="160"/>
  <c r="BG127" i="160" s="1"/>
  <c r="BF127" i="160"/>
  <c r="DE14" i="160"/>
  <c r="BI14" i="160"/>
  <c r="DA9" i="160"/>
  <c r="BG9" i="160"/>
  <c r="DD9" i="160" s="1"/>
  <c r="N127" i="160"/>
  <c r="BO127" i="160" s="1"/>
  <c r="N82" i="160"/>
  <c r="BO82" i="160" s="1"/>
  <c r="BO37" i="160"/>
  <c r="BJ102" i="160"/>
  <c r="BK102" i="160" s="1"/>
  <c r="BL102" i="160" s="1"/>
  <c r="BM102" i="160" s="1"/>
  <c r="BN102" i="160" s="1"/>
  <c r="DF102" i="160"/>
  <c r="BF135" i="160"/>
  <c r="BD135" i="160"/>
  <c r="BG135" i="160" s="1"/>
  <c r="BF104" i="160"/>
  <c r="BD104" i="160"/>
  <c r="BG104" i="160" s="1"/>
  <c r="EO106" i="160"/>
  <c r="BU58" i="160"/>
  <c r="DR58" i="160" s="1"/>
  <c r="DQ58" i="160"/>
  <c r="ED9" i="160"/>
  <c r="CH9" i="160"/>
  <c r="BD119" i="160"/>
  <c r="BG119" i="160" s="1"/>
  <c r="BF119" i="160"/>
  <c r="BF131" i="160"/>
  <c r="BD131" i="160"/>
  <c r="BG131" i="160" s="1"/>
  <c r="DP11" i="160"/>
  <c r="BT11" i="160"/>
  <c r="BD130" i="160"/>
  <c r="BG130" i="160" s="1"/>
  <c r="BF130" i="160"/>
  <c r="BF49" i="160"/>
  <c r="BD49" i="160"/>
  <c r="BG49" i="160" s="1"/>
  <c r="BF74" i="160"/>
  <c r="BD74" i="160"/>
  <c r="BG74" i="160" s="1"/>
  <c r="BN103" i="160"/>
  <c r="DK103" i="160" s="1"/>
  <c r="DJ103" i="160"/>
  <c r="N125" i="160"/>
  <c r="BO125" i="160" s="1"/>
  <c r="N80" i="160"/>
  <c r="BO80" i="160" s="1"/>
  <c r="BO35" i="160"/>
  <c r="EB98" i="160"/>
  <c r="DN98" i="160"/>
  <c r="EI98" i="160"/>
  <c r="DG98" i="160"/>
  <c r="CZ98" i="160"/>
  <c r="EP98" i="160"/>
  <c r="DU98" i="160"/>
  <c r="EL9" i="160"/>
  <c r="CP9" i="160"/>
  <c r="EM9" i="160" s="1"/>
  <c r="EU58" i="160"/>
  <c r="BF76" i="160"/>
  <c r="BD76" i="160"/>
  <c r="BG76" i="160" s="1"/>
  <c r="DF10" i="160"/>
  <c r="BJ10" i="160"/>
  <c r="BK10" i="160" s="1"/>
  <c r="BL10" i="160" s="1"/>
  <c r="BM10" i="160" s="1"/>
  <c r="BN10" i="160" s="1"/>
  <c r="BG58" i="160"/>
  <c r="DD58" i="160" s="1"/>
  <c r="DA58" i="160"/>
  <c r="BD83" i="160"/>
  <c r="BG83" i="160" s="1"/>
  <c r="BF83" i="160"/>
  <c r="DL68" i="160"/>
  <c r="N120" i="160"/>
  <c r="BO120" i="160" s="1"/>
  <c r="N75" i="160"/>
  <c r="BO75" i="160" s="1"/>
  <c r="BO30" i="160"/>
  <c r="BF38" i="160"/>
  <c r="BD38" i="160"/>
  <c r="BG38" i="160" s="1"/>
  <c r="BD138" i="160"/>
  <c r="BG138" i="160" s="1"/>
  <c r="BF138" i="160"/>
  <c r="N123" i="160"/>
  <c r="BO123" i="160" s="1"/>
  <c r="N78" i="160"/>
  <c r="BO78" i="160" s="1"/>
  <c r="BO33" i="160"/>
  <c r="DL114" i="160"/>
  <c r="BF73" i="160"/>
  <c r="BD73" i="160"/>
  <c r="BG73" i="160" s="1"/>
  <c r="BF120" i="160"/>
  <c r="BD120" i="160"/>
  <c r="BG120" i="160" s="1"/>
  <c r="CP103" i="160"/>
  <c r="EM103" i="160" s="1"/>
  <c r="EL103" i="160"/>
  <c r="BF94" i="160"/>
  <c r="BD94" i="160"/>
  <c r="BG94" i="160" s="1"/>
  <c r="BF31" i="160"/>
  <c r="BD31" i="160"/>
  <c r="BG31" i="160" s="1"/>
  <c r="N124" i="160"/>
  <c r="BO124" i="160" s="1"/>
  <c r="N79" i="160"/>
  <c r="BO79" i="160" s="1"/>
  <c r="BO34" i="160"/>
  <c r="BD90" i="160"/>
  <c r="BG90" i="160" s="1"/>
  <c r="BF90" i="160"/>
  <c r="BD134" i="160"/>
  <c r="BG134" i="160" s="1"/>
  <c r="BF134" i="160"/>
  <c r="BN58" i="160"/>
  <c r="DK58" i="160" s="1"/>
  <c r="DJ58" i="160"/>
  <c r="N119" i="160"/>
  <c r="BO119" i="160" s="1"/>
  <c r="N74" i="160"/>
  <c r="BO74" i="160" s="1"/>
  <c r="BO29" i="160"/>
  <c r="BF45" i="160"/>
  <c r="BD45" i="160"/>
  <c r="BG45" i="160" s="1"/>
  <c r="BD112" i="160"/>
  <c r="BG112" i="160" s="1"/>
  <c r="BF112" i="160"/>
  <c r="N126" i="160"/>
  <c r="BO126" i="160" s="1"/>
  <c r="N81" i="160"/>
  <c r="BO81" i="160" s="1"/>
  <c r="BO36" i="160"/>
  <c r="DP13" i="160"/>
  <c r="BT13" i="160"/>
  <c r="BF82" i="160"/>
  <c r="BD82" i="160"/>
  <c r="BG82" i="160" s="1"/>
  <c r="BD123" i="160"/>
  <c r="BG123" i="160" s="1"/>
  <c r="BF123" i="160"/>
  <c r="N135" i="160"/>
  <c r="BO135" i="160" s="1"/>
  <c r="N90" i="160"/>
  <c r="BO90" i="160" s="1"/>
  <c r="BO45" i="160"/>
  <c r="DF12" i="160"/>
  <c r="BJ12" i="160"/>
  <c r="BK12" i="160" s="1"/>
  <c r="BL12" i="160" s="1"/>
  <c r="BM12" i="160" s="1"/>
  <c r="BN12" i="160" s="1"/>
  <c r="BF67" i="160"/>
  <c r="BD67" i="160"/>
  <c r="BG67" i="160" s="1"/>
  <c r="CP11" i="160"/>
  <c r="EM11" i="160" s="1"/>
  <c r="EL11" i="160"/>
  <c r="CW13" i="160"/>
  <c r="ET13" i="160" s="1"/>
  <c r="ES13" i="160"/>
  <c r="BF128" i="160"/>
  <c r="BD128" i="160"/>
  <c r="BG128" i="160" s="1"/>
  <c r="BF30" i="160"/>
  <c r="BD30" i="160"/>
  <c r="BG30" i="160" s="1"/>
  <c r="CW101" i="160"/>
  <c r="ET101" i="160" s="1"/>
  <c r="ES101" i="160"/>
  <c r="BD111" i="160"/>
  <c r="BG111" i="160" s="1"/>
  <c r="BF111" i="160"/>
  <c r="BF33" i="160"/>
  <c r="BD33" i="160"/>
  <c r="BG33" i="160" s="1"/>
  <c r="AF96" i="160"/>
  <c r="AF51" i="160"/>
  <c r="DA6" i="160"/>
  <c r="DH6" i="160"/>
  <c r="DO6" i="160"/>
  <c r="DV6" i="160"/>
  <c r="EC6" i="160"/>
  <c r="AG6" i="160"/>
  <c r="EJ6" i="160"/>
  <c r="EQ6" i="160"/>
  <c r="AE136" i="160"/>
  <c r="AE91" i="160"/>
  <c r="DG46" i="160"/>
  <c r="EB46" i="160"/>
  <c r="EI46" i="160"/>
  <c r="EP46" i="160"/>
  <c r="CZ46" i="160"/>
  <c r="DU46" i="160"/>
  <c r="BF139" i="160"/>
  <c r="BD139" i="160"/>
  <c r="BG139" i="160" s="1"/>
  <c r="BD121" i="160"/>
  <c r="BG121" i="160" s="1"/>
  <c r="BF121" i="160"/>
  <c r="BF35" i="160"/>
  <c r="BD35" i="160"/>
  <c r="BG35" i="160" s="1"/>
  <c r="BF14" i="160"/>
  <c r="BD14" i="160"/>
  <c r="BG14" i="160" s="1"/>
  <c r="BP23" i="160"/>
  <c r="DL23" i="160"/>
  <c r="BD137" i="160"/>
  <c r="BG137" i="160" s="1"/>
  <c r="BF137" i="160"/>
  <c r="EA91" i="160"/>
  <c r="EH91" i="160"/>
  <c r="DF91" i="160"/>
  <c r="CY91" i="160"/>
  <c r="EO91" i="160"/>
  <c r="DT91" i="160"/>
  <c r="BD88" i="160"/>
  <c r="BG88" i="160" s="1"/>
  <c r="BF88" i="160"/>
  <c r="CW9" i="160"/>
  <c r="ET9" i="160" s="1"/>
  <c r="ES9" i="160"/>
  <c r="BF126" i="160"/>
  <c r="BD126" i="160"/>
  <c r="BG126" i="160" s="1"/>
  <c r="BF92" i="160"/>
  <c r="BD92" i="160"/>
  <c r="BG92" i="160" s="1"/>
  <c r="N121" i="160"/>
  <c r="BO121" i="160" s="1"/>
  <c r="N76" i="160"/>
  <c r="BO76" i="160" s="1"/>
  <c r="BO31" i="160"/>
  <c r="BF28" i="160"/>
  <c r="BD28" i="160"/>
  <c r="BG28" i="160" s="1"/>
  <c r="BF86" i="160"/>
  <c r="BD86" i="160"/>
  <c r="BG86" i="160" s="1"/>
  <c r="AF98" i="160"/>
  <c r="AF53" i="160"/>
  <c r="EQ8" i="160"/>
  <c r="AG8" i="160"/>
  <c r="EJ8" i="160"/>
  <c r="DA8" i="160"/>
  <c r="DH8" i="160"/>
  <c r="DO8" i="160"/>
  <c r="DV8" i="160"/>
  <c r="EC8" i="160"/>
  <c r="AF10" i="160"/>
  <c r="BJ100" i="160"/>
  <c r="BK100" i="160" s="1"/>
  <c r="BL100" i="160" s="1"/>
  <c r="BM100" i="160" s="1"/>
  <c r="BN100" i="160" s="1"/>
  <c r="DF100" i="160"/>
  <c r="CH99" i="160"/>
  <c r="ED99" i="160"/>
  <c r="BS54" i="160"/>
  <c r="DO54" i="160"/>
  <c r="CW103" i="160"/>
  <c r="ET103" i="160" s="1"/>
  <c r="ES103" i="160"/>
  <c r="EH122" i="160"/>
  <c r="DL87" i="160"/>
  <c r="BF40" i="160"/>
  <c r="BD40" i="160"/>
  <c r="BG40" i="160" s="1"/>
  <c r="BP26" i="160"/>
  <c r="DL26" i="160"/>
  <c r="BF37" i="160"/>
  <c r="BD37" i="160"/>
  <c r="BG37" i="160" s="1"/>
  <c r="N112" i="160"/>
  <c r="BO112" i="160" s="1"/>
  <c r="N67" i="160"/>
  <c r="BO67" i="160" s="1"/>
  <c r="BO22" i="160"/>
  <c r="BP42" i="160"/>
  <c r="DL42" i="160"/>
  <c r="DU10" i="160"/>
  <c r="DN17" i="160"/>
  <c r="EP35" i="160"/>
  <c r="CZ33" i="160"/>
  <c r="BD125" i="160"/>
  <c r="BG125" i="160" s="1"/>
  <c r="BF125" i="160"/>
  <c r="CY90" i="160"/>
  <c r="EH90" i="160"/>
  <c r="DF90" i="160"/>
  <c r="EA90" i="160"/>
  <c r="EO90" i="160"/>
  <c r="DT90" i="160"/>
  <c r="BF124" i="160"/>
  <c r="BD124" i="160"/>
  <c r="BG124" i="160" s="1"/>
  <c r="BF59" i="160"/>
  <c r="BD59" i="160"/>
  <c r="BG59" i="160" s="1"/>
  <c r="DG49" i="160" l="1"/>
  <c r="DM91" i="160"/>
  <c r="DL91" i="160"/>
  <c r="EH69" i="160"/>
  <c r="EP26" i="160"/>
  <c r="DT75" i="160"/>
  <c r="DF86" i="160"/>
  <c r="EZ58" i="160"/>
  <c r="EB49" i="160"/>
  <c r="CZ49" i="160"/>
  <c r="EH75" i="160"/>
  <c r="DF110" i="160"/>
  <c r="EH110" i="160"/>
  <c r="EA103" i="160"/>
  <c r="EZ103" i="160" s="1"/>
  <c r="EA110" i="160"/>
  <c r="EA67" i="160"/>
  <c r="DF103" i="160"/>
  <c r="EW103" i="160" s="1"/>
  <c r="DM103" i="160"/>
  <c r="EO110" i="160"/>
  <c r="DM110" i="160"/>
  <c r="DT118" i="160"/>
  <c r="CY132" i="160"/>
  <c r="DT132" i="160"/>
  <c r="DM132" i="160"/>
  <c r="EA132" i="160"/>
  <c r="EP32" i="160"/>
  <c r="DF132" i="160"/>
  <c r="DF87" i="160"/>
  <c r="EA78" i="160"/>
  <c r="DF75" i="160"/>
  <c r="DT106" i="160"/>
  <c r="DT130" i="160"/>
  <c r="EA87" i="160"/>
  <c r="DT120" i="160"/>
  <c r="EA75" i="160"/>
  <c r="CY78" i="160"/>
  <c r="DF106" i="160"/>
  <c r="DF130" i="160"/>
  <c r="CI11" i="160"/>
  <c r="EF11" i="160" s="1"/>
  <c r="EZ11" i="160" s="1"/>
  <c r="CY87" i="160"/>
  <c r="EH120" i="160"/>
  <c r="CY75" i="160"/>
  <c r="EH87" i="160"/>
  <c r="DM114" i="160"/>
  <c r="DM106" i="160"/>
  <c r="EH130" i="160"/>
  <c r="DM87" i="160"/>
  <c r="DT78" i="160"/>
  <c r="EO120" i="160"/>
  <c r="CY114" i="160"/>
  <c r="EA106" i="160"/>
  <c r="DF112" i="160"/>
  <c r="EO130" i="160"/>
  <c r="EH78" i="160"/>
  <c r="CY120" i="160"/>
  <c r="EH106" i="160"/>
  <c r="EA130" i="160"/>
  <c r="EB33" i="160"/>
  <c r="EA56" i="160"/>
  <c r="EZ56" i="160" s="1"/>
  <c r="DT136" i="160"/>
  <c r="EO103" i="160"/>
  <c r="FB103" i="160" s="1"/>
  <c r="AE123" i="160"/>
  <c r="CZ123" i="160" s="1"/>
  <c r="DT110" i="160"/>
  <c r="CY103" i="160"/>
  <c r="AE65" i="160"/>
  <c r="EP65" i="160" s="1"/>
  <c r="AE134" i="160"/>
  <c r="EO118" i="160"/>
  <c r="EP49" i="160"/>
  <c r="DL46" i="160"/>
  <c r="EH103" i="160"/>
  <c r="FA103" i="160" s="1"/>
  <c r="DT103" i="160"/>
  <c r="EY103" i="160" s="1"/>
  <c r="FG13" i="160" s="1"/>
  <c r="EA137" i="160"/>
  <c r="DT116" i="160"/>
  <c r="EA116" i="160"/>
  <c r="EO116" i="160"/>
  <c r="DF116" i="160"/>
  <c r="DU32" i="160"/>
  <c r="EB32" i="160"/>
  <c r="DT83" i="160"/>
  <c r="EO83" i="160"/>
  <c r="EA115" i="160"/>
  <c r="FB58" i="160"/>
  <c r="EA83" i="160"/>
  <c r="DF83" i="160"/>
  <c r="EH83" i="160"/>
  <c r="AF43" i="160"/>
  <c r="DH43" i="160" s="1"/>
  <c r="CG31" i="135"/>
  <c r="EC31" i="135"/>
  <c r="CU46" i="135"/>
  <c r="EQ46" i="135"/>
  <c r="CN31" i="135"/>
  <c r="EJ31" i="135"/>
  <c r="CN46" i="135"/>
  <c r="EJ46" i="135"/>
  <c r="CG46" i="135"/>
  <c r="EC46" i="135"/>
  <c r="CG16" i="135"/>
  <c r="EC16" i="135"/>
  <c r="EC54" i="135" s="1"/>
  <c r="EC56" i="135" s="1"/>
  <c r="EC57" i="135" s="1"/>
  <c r="CN16" i="135"/>
  <c r="EJ16" i="135"/>
  <c r="EH115" i="160"/>
  <c r="EA118" i="160"/>
  <c r="DF85" i="160"/>
  <c r="CY115" i="160"/>
  <c r="EH118" i="160"/>
  <c r="DT67" i="160"/>
  <c r="AF47" i="160"/>
  <c r="EJ47" i="160" s="1"/>
  <c r="DU44" i="160"/>
  <c r="EB34" i="160"/>
  <c r="EO67" i="160"/>
  <c r="AF29" i="160"/>
  <c r="EQ29" i="160" s="1"/>
  <c r="DG44" i="160"/>
  <c r="AE79" i="160"/>
  <c r="DG79" i="160" s="1"/>
  <c r="DF67" i="160"/>
  <c r="DT85" i="160"/>
  <c r="EO85" i="160"/>
  <c r="DU31" i="160"/>
  <c r="AF33" i="160"/>
  <c r="EQ33" i="160" s="1"/>
  <c r="CZ44" i="160"/>
  <c r="CY67" i="160"/>
  <c r="EH85" i="160"/>
  <c r="EO115" i="160"/>
  <c r="DG39" i="160"/>
  <c r="AF40" i="160"/>
  <c r="EJ40" i="160" s="1"/>
  <c r="AE89" i="160"/>
  <c r="DG89" i="160" s="1"/>
  <c r="DU30" i="160"/>
  <c r="CY74" i="160"/>
  <c r="DF115" i="160"/>
  <c r="EO56" i="160"/>
  <c r="FB56" i="160" s="1"/>
  <c r="DF114" i="160"/>
  <c r="EI49" i="160"/>
  <c r="DM101" i="160"/>
  <c r="EX101" i="160" s="1"/>
  <c r="DG36" i="160"/>
  <c r="DM56" i="160"/>
  <c r="DG42" i="160"/>
  <c r="DF92" i="160"/>
  <c r="EO69" i="160"/>
  <c r="AE94" i="160"/>
  <c r="DG94" i="160" s="1"/>
  <c r="EI26" i="160"/>
  <c r="DF136" i="160"/>
  <c r="EH138" i="160"/>
  <c r="EB26" i="160"/>
  <c r="DU26" i="160"/>
  <c r="DG26" i="160"/>
  <c r="CY70" i="160"/>
  <c r="AE116" i="160"/>
  <c r="EI116" i="160" s="1"/>
  <c r="CY69" i="160"/>
  <c r="DG35" i="160"/>
  <c r="CZ17" i="160"/>
  <c r="EA122" i="160"/>
  <c r="AE80" i="160"/>
  <c r="EP80" i="160" s="1"/>
  <c r="EB17" i="160"/>
  <c r="EP43" i="160"/>
  <c r="AE125" i="160"/>
  <c r="EB125" i="160" s="1"/>
  <c r="DG17" i="160"/>
  <c r="EB43" i="160"/>
  <c r="DU35" i="160"/>
  <c r="AE62" i="160"/>
  <c r="EP62" i="160" s="1"/>
  <c r="DT122" i="160"/>
  <c r="CZ43" i="160"/>
  <c r="EI35" i="160"/>
  <c r="DU17" i="160"/>
  <c r="AE107" i="160"/>
  <c r="DG107" i="160" s="1"/>
  <c r="CY122" i="160"/>
  <c r="AE88" i="160"/>
  <c r="EI88" i="160" s="1"/>
  <c r="CZ35" i="160"/>
  <c r="EP17" i="160"/>
  <c r="DF122" i="160"/>
  <c r="EO114" i="160"/>
  <c r="EA112" i="160"/>
  <c r="EA114" i="160"/>
  <c r="EP25" i="160"/>
  <c r="DN97" i="160"/>
  <c r="DT112" i="160"/>
  <c r="EI97" i="160"/>
  <c r="EH114" i="160"/>
  <c r="EH112" i="160"/>
  <c r="CY112" i="160"/>
  <c r="DT81" i="160"/>
  <c r="EH101" i="160"/>
  <c r="FA101" i="160" s="1"/>
  <c r="AF15" i="160"/>
  <c r="DO15" i="160" s="1"/>
  <c r="AE84" i="160"/>
  <c r="EI84" i="160" s="1"/>
  <c r="AF24" i="160"/>
  <c r="DA24" i="160" s="1"/>
  <c r="DT77" i="160"/>
  <c r="EA64" i="160"/>
  <c r="AF52" i="160"/>
  <c r="DH52" i="160" s="1"/>
  <c r="EH125" i="160"/>
  <c r="EP30" i="160"/>
  <c r="DF77" i="160"/>
  <c r="DU36" i="160"/>
  <c r="DF101" i="160"/>
  <c r="EW101" i="160" s="1"/>
  <c r="EP42" i="160"/>
  <c r="DN20" i="160"/>
  <c r="CZ36" i="160"/>
  <c r="CY101" i="160"/>
  <c r="EV101" i="160" s="1"/>
  <c r="EP31" i="160"/>
  <c r="EI42" i="160"/>
  <c r="DU25" i="160"/>
  <c r="EP44" i="160"/>
  <c r="EP20" i="160"/>
  <c r="CY118" i="160"/>
  <c r="EH116" i="160"/>
  <c r="CZ27" i="160"/>
  <c r="EB37" i="160"/>
  <c r="AE126" i="160"/>
  <c r="EI126" i="160" s="1"/>
  <c r="EB36" i="160"/>
  <c r="EO101" i="160"/>
  <c r="FB101" i="160" s="1"/>
  <c r="EB42" i="160"/>
  <c r="CZ25" i="160"/>
  <c r="EI44" i="160"/>
  <c r="DG20" i="160"/>
  <c r="DT115" i="160"/>
  <c r="DM116" i="160"/>
  <c r="AE117" i="160"/>
  <c r="EI117" i="160" s="1"/>
  <c r="AE127" i="160"/>
  <c r="DU127" i="160" s="1"/>
  <c r="CY77" i="160"/>
  <c r="AE87" i="160"/>
  <c r="CZ87" i="160" s="1"/>
  <c r="DG23" i="160"/>
  <c r="EP36" i="160"/>
  <c r="EI36" i="160"/>
  <c r="EA77" i="160"/>
  <c r="AE132" i="160"/>
  <c r="EI132" i="160" s="1"/>
  <c r="EO77" i="160"/>
  <c r="DU42" i="160"/>
  <c r="DT111" i="160"/>
  <c r="CZ23" i="160"/>
  <c r="DG27" i="160"/>
  <c r="EI37" i="160"/>
  <c r="EB31" i="160"/>
  <c r="AF49" i="160"/>
  <c r="DA49" i="160" s="1"/>
  <c r="AF44" i="160"/>
  <c r="EC44" i="160" s="1"/>
  <c r="EH56" i="160"/>
  <c r="FA56" i="160" s="1"/>
  <c r="CZ32" i="160"/>
  <c r="EB38" i="160"/>
  <c r="DT129" i="160"/>
  <c r="DG34" i="160"/>
  <c r="AF97" i="160"/>
  <c r="DH97" i="160" s="1"/>
  <c r="CZ39" i="160"/>
  <c r="EU56" i="160"/>
  <c r="EO129" i="160"/>
  <c r="AF30" i="160"/>
  <c r="AF75" i="160" s="1"/>
  <c r="AF31" i="160"/>
  <c r="EC31" i="160" s="1"/>
  <c r="AF46" i="160"/>
  <c r="EQ46" i="160" s="1"/>
  <c r="DG32" i="160"/>
  <c r="AE108" i="160"/>
  <c r="EB108" i="160" s="1"/>
  <c r="EI30" i="160"/>
  <c r="EA129" i="160"/>
  <c r="DV7" i="160"/>
  <c r="EB29" i="160"/>
  <c r="AE102" i="160"/>
  <c r="DU102" i="160" s="1"/>
  <c r="EB12" i="160"/>
  <c r="AF19" i="160"/>
  <c r="EJ19" i="160" s="1"/>
  <c r="AF32" i="160"/>
  <c r="DH32" i="160" s="1"/>
  <c r="EI32" i="160"/>
  <c r="DL136" i="160"/>
  <c r="AE120" i="160"/>
  <c r="EB120" i="160" s="1"/>
  <c r="DF131" i="160"/>
  <c r="DF129" i="160"/>
  <c r="DG48" i="160"/>
  <c r="EJ7" i="160"/>
  <c r="EI45" i="160"/>
  <c r="EP41" i="160"/>
  <c r="EB39" i="160"/>
  <c r="DF94" i="160"/>
  <c r="DU18" i="160"/>
  <c r="AF18" i="160"/>
  <c r="DO18" i="160" s="1"/>
  <c r="AF36" i="160"/>
  <c r="AF81" i="160" s="1"/>
  <c r="DF56" i="160"/>
  <c r="EW56" i="160" s="1"/>
  <c r="AE77" i="160"/>
  <c r="CZ77" i="160" s="1"/>
  <c r="EP52" i="160"/>
  <c r="CY113" i="160"/>
  <c r="DO7" i="160"/>
  <c r="DU47" i="160"/>
  <c r="EI39" i="160"/>
  <c r="AE121" i="160"/>
  <c r="DU121" i="160" s="1"/>
  <c r="AF22" i="160"/>
  <c r="EC22" i="160" s="1"/>
  <c r="AF41" i="160"/>
  <c r="AF131" i="160" s="1"/>
  <c r="AE112" i="160"/>
  <c r="EI112" i="160" s="1"/>
  <c r="CY56" i="160"/>
  <c r="EV56" i="160" s="1"/>
  <c r="CZ40" i="160"/>
  <c r="CZ34" i="160"/>
  <c r="DH7" i="160"/>
  <c r="EP39" i="160"/>
  <c r="AA63" i="135"/>
  <c r="AA64" i="135"/>
  <c r="DG22" i="160"/>
  <c r="EP40" i="160"/>
  <c r="CZ18" i="160"/>
  <c r="CY131" i="160"/>
  <c r="EO113" i="160"/>
  <c r="DT126" i="160"/>
  <c r="EB45" i="160"/>
  <c r="DG43" i="160"/>
  <c r="EP27" i="160"/>
  <c r="AE74" i="160"/>
  <c r="DG74" i="160" s="1"/>
  <c r="DF127" i="160"/>
  <c r="AE82" i="160"/>
  <c r="DG82" i="160" s="1"/>
  <c r="EH94" i="160"/>
  <c r="DU52" i="160"/>
  <c r="EH131" i="160"/>
  <c r="EH113" i="160"/>
  <c r="EH119" i="160"/>
  <c r="EO126" i="160"/>
  <c r="AE90" i="160"/>
  <c r="EB90" i="160" s="1"/>
  <c r="AE119" i="160"/>
  <c r="DG119" i="160" s="1"/>
  <c r="EO127" i="160"/>
  <c r="EA94" i="160"/>
  <c r="EI40" i="160"/>
  <c r="CZ22" i="160"/>
  <c r="DT137" i="160"/>
  <c r="AE85" i="160"/>
  <c r="EP85" i="160" s="1"/>
  <c r="EI18" i="160"/>
  <c r="EI52" i="160"/>
  <c r="EA131" i="160"/>
  <c r="DM113" i="160"/>
  <c r="DF119" i="160"/>
  <c r="CY126" i="160"/>
  <c r="AE135" i="160"/>
  <c r="DU135" i="160" s="1"/>
  <c r="EI27" i="160"/>
  <c r="DU29" i="160"/>
  <c r="CY127" i="160"/>
  <c r="DU37" i="160"/>
  <c r="DU14" i="160"/>
  <c r="EP22" i="160"/>
  <c r="CY137" i="160"/>
  <c r="AE130" i="160"/>
  <c r="EB130" i="160" s="1"/>
  <c r="EP18" i="160"/>
  <c r="EB52" i="160"/>
  <c r="EO131" i="160"/>
  <c r="CY119" i="160"/>
  <c r="EH126" i="160"/>
  <c r="DU45" i="160"/>
  <c r="EB27" i="160"/>
  <c r="DG29" i="160"/>
  <c r="CZ37" i="160"/>
  <c r="EB14" i="160"/>
  <c r="DN18" i="160"/>
  <c r="EI22" i="160"/>
  <c r="EO137" i="160"/>
  <c r="DU40" i="160"/>
  <c r="EB18" i="160"/>
  <c r="DN52" i="160"/>
  <c r="DT113" i="160"/>
  <c r="EO119" i="160"/>
  <c r="EA126" i="160"/>
  <c r="DG45" i="160"/>
  <c r="EB19" i="160"/>
  <c r="DU27" i="160"/>
  <c r="EP29" i="160"/>
  <c r="DG37" i="160"/>
  <c r="EP14" i="160"/>
  <c r="DU22" i="160"/>
  <c r="AE67" i="160"/>
  <c r="DG67" i="160" s="1"/>
  <c r="DF137" i="160"/>
  <c r="EB40" i="160"/>
  <c r="DG18" i="160"/>
  <c r="DG52" i="160"/>
  <c r="DF113" i="160"/>
  <c r="CZ45" i="160"/>
  <c r="DG19" i="160"/>
  <c r="EI43" i="160"/>
  <c r="CZ29" i="160"/>
  <c r="AE104" i="160"/>
  <c r="DN104" i="160" s="1"/>
  <c r="DT94" i="160"/>
  <c r="AE139" i="160"/>
  <c r="EB139" i="160" s="1"/>
  <c r="EI48" i="160"/>
  <c r="EA107" i="160"/>
  <c r="DM60" i="160"/>
  <c r="CZ28" i="160"/>
  <c r="AE131" i="160"/>
  <c r="EI131" i="160" s="1"/>
  <c r="AE133" i="160"/>
  <c r="CZ133" i="160" s="1"/>
  <c r="CZ21" i="160"/>
  <c r="AE129" i="160"/>
  <c r="CZ129" i="160" s="1"/>
  <c r="AA60" i="135"/>
  <c r="AE60" i="160"/>
  <c r="CZ60" i="160" s="1"/>
  <c r="DT125" i="160"/>
  <c r="CY73" i="160"/>
  <c r="AE61" i="160"/>
  <c r="DG61" i="160" s="1"/>
  <c r="AA61" i="135"/>
  <c r="AA59" i="135"/>
  <c r="EP97" i="160"/>
  <c r="EI25" i="160"/>
  <c r="EH136" i="160"/>
  <c r="EA69" i="160"/>
  <c r="DU38" i="160"/>
  <c r="DU20" i="160"/>
  <c r="AE110" i="160"/>
  <c r="EI110" i="160" s="1"/>
  <c r="EO111" i="160"/>
  <c r="EP23" i="160"/>
  <c r="DU15" i="160"/>
  <c r="AE105" i="160"/>
  <c r="DG105" i="160" s="1"/>
  <c r="EO73" i="160"/>
  <c r="DU24" i="160"/>
  <c r="EP28" i="160"/>
  <c r="EO81" i="160"/>
  <c r="DT139" i="160"/>
  <c r="DG97" i="160"/>
  <c r="EB25" i="160"/>
  <c r="DM136" i="160"/>
  <c r="EI38" i="160"/>
  <c r="EI20" i="160"/>
  <c r="EH111" i="160"/>
  <c r="EI23" i="160"/>
  <c r="CZ15" i="160"/>
  <c r="DT93" i="160"/>
  <c r="DT73" i="160"/>
  <c r="DG24" i="160"/>
  <c r="AE73" i="160"/>
  <c r="EP73" i="160" s="1"/>
  <c r="DF81" i="160"/>
  <c r="DF139" i="160"/>
  <c r="CZ97" i="160"/>
  <c r="AE70" i="160"/>
  <c r="DG70" i="160" s="1"/>
  <c r="EO136" i="160"/>
  <c r="DT69" i="160"/>
  <c r="EA111" i="160"/>
  <c r="EB23" i="160"/>
  <c r="EB15" i="160"/>
  <c r="DF93" i="160"/>
  <c r="EH73" i="160"/>
  <c r="CZ24" i="160"/>
  <c r="AE118" i="160"/>
  <c r="CZ118" i="160" s="1"/>
  <c r="EV103" i="160"/>
  <c r="CY81" i="160"/>
  <c r="EB97" i="160"/>
  <c r="AE115" i="160"/>
  <c r="EI115" i="160" s="1"/>
  <c r="EA136" i="160"/>
  <c r="DM69" i="160"/>
  <c r="AE128" i="160"/>
  <c r="EI128" i="160" s="1"/>
  <c r="CZ20" i="160"/>
  <c r="DF63" i="160"/>
  <c r="AE68" i="160"/>
  <c r="CZ68" i="160" s="1"/>
  <c r="DN15" i="160"/>
  <c r="CY93" i="160"/>
  <c r="EA73" i="160"/>
  <c r="DF60" i="160"/>
  <c r="EI28" i="160"/>
  <c r="EA81" i="160"/>
  <c r="CY89" i="160"/>
  <c r="AE113" i="160"/>
  <c r="EP113" i="160" s="1"/>
  <c r="EH93" i="160"/>
  <c r="EH60" i="160"/>
  <c r="EB28" i="160"/>
  <c r="DG15" i="160"/>
  <c r="EB48" i="160"/>
  <c r="EI15" i="160"/>
  <c r="EA93" i="160"/>
  <c r="EO107" i="160"/>
  <c r="CY60" i="160"/>
  <c r="DG47" i="160"/>
  <c r="DU28" i="160"/>
  <c r="EO60" i="160"/>
  <c r="EP33" i="160"/>
  <c r="EA92" i="160"/>
  <c r="DT133" i="160"/>
  <c r="EH74" i="160"/>
  <c r="DU41" i="160"/>
  <c r="DG16" i="160"/>
  <c r="EI33" i="160"/>
  <c r="DG31" i="160"/>
  <c r="AF21" i="160"/>
  <c r="EJ21" i="160" s="1"/>
  <c r="AF26" i="160"/>
  <c r="EQ26" i="160" s="1"/>
  <c r="AF48" i="160"/>
  <c r="DH48" i="160" s="1"/>
  <c r="DM108" i="160"/>
  <c r="CY92" i="160"/>
  <c r="CZ38" i="160"/>
  <c r="CZ30" i="160"/>
  <c r="DT138" i="160"/>
  <c r="EP34" i="160"/>
  <c r="CZ48" i="160"/>
  <c r="EH86" i="160"/>
  <c r="EO64" i="160"/>
  <c r="EH107" i="160"/>
  <c r="EC7" i="160"/>
  <c r="AE92" i="160"/>
  <c r="EI92" i="160" s="1"/>
  <c r="EO133" i="160"/>
  <c r="DU12" i="160"/>
  <c r="EA74" i="160"/>
  <c r="DG41" i="160"/>
  <c r="DU21" i="160"/>
  <c r="DU16" i="160"/>
  <c r="EI12" i="160"/>
  <c r="DN14" i="160"/>
  <c r="CY64" i="160"/>
  <c r="EA125" i="160"/>
  <c r="CZ47" i="160"/>
  <c r="EI21" i="160"/>
  <c r="AE106" i="160"/>
  <c r="DU106" i="160" s="1"/>
  <c r="AE78" i="160"/>
  <c r="EP78" i="160" s="1"/>
  <c r="AE76" i="160"/>
  <c r="EB76" i="160" s="1"/>
  <c r="AF20" i="160"/>
  <c r="DO20" i="160" s="1"/>
  <c r="AF17" i="160"/>
  <c r="AF62" i="160" s="1"/>
  <c r="AF27" i="160"/>
  <c r="DH27" i="160" s="1"/>
  <c r="AF35" i="160"/>
  <c r="DA35" i="160" s="1"/>
  <c r="AF39" i="160"/>
  <c r="DA39" i="160" s="1"/>
  <c r="EP38" i="160"/>
  <c r="EB30" i="160"/>
  <c r="DF138" i="160"/>
  <c r="EI34" i="160"/>
  <c r="EP48" i="160"/>
  <c r="EO86" i="160"/>
  <c r="EH64" i="160"/>
  <c r="DM107" i="160"/>
  <c r="EQ7" i="160"/>
  <c r="EH121" i="160"/>
  <c r="AE137" i="160"/>
  <c r="CZ137" i="160" s="1"/>
  <c r="CY133" i="160"/>
  <c r="CZ41" i="160"/>
  <c r="EP21" i="160"/>
  <c r="EP16" i="160"/>
  <c r="EP12" i="160"/>
  <c r="CZ14" i="160"/>
  <c r="EB16" i="160"/>
  <c r="DM64" i="160"/>
  <c r="DU33" i="160"/>
  <c r="EA138" i="160"/>
  <c r="AE93" i="160"/>
  <c r="EB93" i="160" s="1"/>
  <c r="DF64" i="160"/>
  <c r="EI47" i="160"/>
  <c r="EH133" i="160"/>
  <c r="DT74" i="160"/>
  <c r="EI41" i="160"/>
  <c r="EI16" i="160"/>
  <c r="DN12" i="160"/>
  <c r="DF133" i="160"/>
  <c r="EB21" i="160"/>
  <c r="EH92" i="160"/>
  <c r="CY86" i="160"/>
  <c r="DF125" i="160"/>
  <c r="DG21" i="160"/>
  <c r="EI31" i="160"/>
  <c r="AF14" i="160"/>
  <c r="DA14" i="160" s="1"/>
  <c r="AF12" i="160"/>
  <c r="AF102" i="160" s="1"/>
  <c r="AF25" i="160"/>
  <c r="AF115" i="160" s="1"/>
  <c r="AF34" i="160"/>
  <c r="EJ34" i="160" s="1"/>
  <c r="AF23" i="160"/>
  <c r="EJ23" i="160" s="1"/>
  <c r="AF38" i="160"/>
  <c r="EQ38" i="160" s="1"/>
  <c r="EO92" i="160"/>
  <c r="DG38" i="160"/>
  <c r="DG30" i="160"/>
  <c r="CY138" i="160"/>
  <c r="AE124" i="160"/>
  <c r="EP124" i="160" s="1"/>
  <c r="AE138" i="160"/>
  <c r="DG138" i="160" s="1"/>
  <c r="DT86" i="160"/>
  <c r="DF107" i="160"/>
  <c r="EO125" i="160"/>
  <c r="DT84" i="160"/>
  <c r="DA7" i="160"/>
  <c r="EP47" i="160"/>
  <c r="AE109" i="160"/>
  <c r="CZ109" i="160" s="1"/>
  <c r="EO74" i="160"/>
  <c r="EB41" i="160"/>
  <c r="DN16" i="160"/>
  <c r="CZ12" i="160"/>
  <c r="EI14" i="160"/>
  <c r="AF16" i="160"/>
  <c r="DA16" i="160" s="1"/>
  <c r="AF28" i="160"/>
  <c r="DA28" i="160" s="1"/>
  <c r="AF45" i="160"/>
  <c r="EJ45" i="160" s="1"/>
  <c r="AF37" i="160"/>
  <c r="EC37" i="160" s="1"/>
  <c r="AF42" i="160"/>
  <c r="DA42" i="160" s="1"/>
  <c r="CY107" i="160"/>
  <c r="EA84" i="160"/>
  <c r="EI19" i="160"/>
  <c r="EH139" i="160"/>
  <c r="DF70" i="160"/>
  <c r="DU19" i="160"/>
  <c r="EP24" i="160"/>
  <c r="DF111" i="160"/>
  <c r="DN19" i="160"/>
  <c r="EB24" i="160"/>
  <c r="DT105" i="160"/>
  <c r="CZ19" i="160"/>
  <c r="AE114" i="160"/>
  <c r="DU114" i="160" s="1"/>
  <c r="EA139" i="160"/>
  <c r="DT70" i="160"/>
  <c r="DF89" i="160"/>
  <c r="DT119" i="160"/>
  <c r="DT60" i="160"/>
  <c r="EP19" i="160"/>
  <c r="EI24" i="160"/>
  <c r="EO139" i="160"/>
  <c r="EH127" i="160"/>
  <c r="EH70" i="160"/>
  <c r="EH105" i="160"/>
  <c r="DT88" i="160"/>
  <c r="DM70" i="160"/>
  <c r="EO94" i="160"/>
  <c r="DT89" i="160"/>
  <c r="EH89" i="160"/>
  <c r="EH108" i="160"/>
  <c r="CY63" i="160"/>
  <c r="DT127" i="160"/>
  <c r="DF108" i="160"/>
  <c r="EO108" i="160"/>
  <c r="EA70" i="160"/>
  <c r="EA89" i="160"/>
  <c r="CY108" i="160"/>
  <c r="DM63" i="160"/>
  <c r="DF80" i="160"/>
  <c r="EA108" i="160"/>
  <c r="EO63" i="160"/>
  <c r="EH63" i="160"/>
  <c r="EA63" i="160"/>
  <c r="CY84" i="160"/>
  <c r="DF105" i="160"/>
  <c r="EO84" i="160"/>
  <c r="DT121" i="160"/>
  <c r="EO105" i="160"/>
  <c r="EO121" i="160"/>
  <c r="DM105" i="160"/>
  <c r="EV54" i="160"/>
  <c r="DF121" i="160"/>
  <c r="EA105" i="160"/>
  <c r="FG9" i="160"/>
  <c r="EH84" i="160"/>
  <c r="CY121" i="160"/>
  <c r="EU101" i="160"/>
  <c r="DT101" i="160"/>
  <c r="EY101" i="160" s="1"/>
  <c r="FG11" i="160" s="1"/>
  <c r="CY109" i="160"/>
  <c r="DF109" i="160"/>
  <c r="DT80" i="160"/>
  <c r="CY80" i="160"/>
  <c r="DM109" i="160"/>
  <c r="EH80" i="160"/>
  <c r="EA109" i="160"/>
  <c r="EO80" i="160"/>
  <c r="EH109" i="160"/>
  <c r="EO109" i="160"/>
  <c r="DT135" i="160"/>
  <c r="CY135" i="160"/>
  <c r="EA135" i="160"/>
  <c r="DF135" i="160"/>
  <c r="EO135" i="160"/>
  <c r="EA88" i="160"/>
  <c r="EO88" i="160"/>
  <c r="DF88" i="160"/>
  <c r="EH88" i="160"/>
  <c r="EV58" i="160"/>
  <c r="FA13" i="160"/>
  <c r="EW13" i="160"/>
  <c r="EV13" i="160"/>
  <c r="EZ54" i="160"/>
  <c r="FB9" i="160"/>
  <c r="FJ9" i="160" s="1"/>
  <c r="FA9" i="160"/>
  <c r="FI9" i="160" s="1"/>
  <c r="FA11" i="160"/>
  <c r="EV99" i="160"/>
  <c r="EX58" i="160"/>
  <c r="EW58" i="160"/>
  <c r="EW9" i="160"/>
  <c r="FE9" i="160" s="1"/>
  <c r="BP37" i="160"/>
  <c r="DL37" i="160"/>
  <c r="BP111" i="160"/>
  <c r="DL111" i="160"/>
  <c r="BP38" i="160"/>
  <c r="DL38" i="160"/>
  <c r="BQ26" i="160"/>
  <c r="DM26" i="160"/>
  <c r="BQ23" i="160"/>
  <c r="DM23" i="160"/>
  <c r="DG136" i="160"/>
  <c r="DN136" i="160"/>
  <c r="EI136" i="160"/>
  <c r="EB136" i="160"/>
  <c r="CZ136" i="160"/>
  <c r="DU136" i="160"/>
  <c r="EP136" i="160"/>
  <c r="EC96" i="160"/>
  <c r="EQ96" i="160"/>
  <c r="DA96" i="160"/>
  <c r="DO96" i="160"/>
  <c r="EJ96" i="160"/>
  <c r="DH96" i="160"/>
  <c r="DV96" i="160"/>
  <c r="BP45" i="160"/>
  <c r="DL45" i="160"/>
  <c r="BP81" i="160"/>
  <c r="DL81" i="160"/>
  <c r="BP78" i="160"/>
  <c r="DL78" i="160"/>
  <c r="BP82" i="160"/>
  <c r="DL82" i="160"/>
  <c r="BP134" i="160"/>
  <c r="DL134" i="160"/>
  <c r="AG97" i="160"/>
  <c r="AG52" i="160"/>
  <c r="DB7" i="160"/>
  <c r="DI7" i="160"/>
  <c r="AH7" i="160"/>
  <c r="DP7" i="160"/>
  <c r="DW7" i="160"/>
  <c r="ED7" i="160"/>
  <c r="EK7" i="160"/>
  <c r="ER7" i="160"/>
  <c r="BP49" i="160"/>
  <c r="DL49" i="160"/>
  <c r="BP118" i="160"/>
  <c r="DL118" i="160"/>
  <c r="DP9" i="160"/>
  <c r="BT9" i="160"/>
  <c r="BQ24" i="160"/>
  <c r="DM24" i="160"/>
  <c r="BP129" i="160"/>
  <c r="DL129" i="160"/>
  <c r="EI57" i="160"/>
  <c r="EP57" i="160"/>
  <c r="CZ57" i="160"/>
  <c r="DG57" i="160"/>
  <c r="DN57" i="160"/>
  <c r="EB57" i="160"/>
  <c r="BP83" i="160"/>
  <c r="DL83" i="160"/>
  <c r="AG96" i="160"/>
  <c r="AG46" i="160"/>
  <c r="AG42" i="160"/>
  <c r="AG38" i="160"/>
  <c r="AG34" i="160"/>
  <c r="AG30" i="160"/>
  <c r="AG47" i="160"/>
  <c r="AG43" i="160"/>
  <c r="AG39" i="160"/>
  <c r="AG35" i="160"/>
  <c r="AG31" i="160"/>
  <c r="AG48" i="160"/>
  <c r="AG44" i="160"/>
  <c r="AG40" i="160"/>
  <c r="AG36" i="160"/>
  <c r="AG32" i="160"/>
  <c r="AG41" i="160"/>
  <c r="AG26" i="160"/>
  <c r="AG51" i="160"/>
  <c r="AG20" i="160"/>
  <c r="AG45" i="160"/>
  <c r="AG33" i="160"/>
  <c r="AG24" i="160"/>
  <c r="AG27" i="160"/>
  <c r="AG21" i="160"/>
  <c r="AG49" i="160"/>
  <c r="AG29" i="160"/>
  <c r="AG28" i="160"/>
  <c r="AG25" i="160"/>
  <c r="AG37" i="160"/>
  <c r="AG15" i="160"/>
  <c r="DI6" i="160"/>
  <c r="AG12" i="160"/>
  <c r="DP6" i="160"/>
  <c r="DB6" i="160"/>
  <c r="AG22" i="160"/>
  <c r="ED6" i="160"/>
  <c r="AG23" i="160"/>
  <c r="AG19" i="160"/>
  <c r="AG18" i="160"/>
  <c r="AG16" i="160"/>
  <c r="AG14" i="160"/>
  <c r="EK6" i="160"/>
  <c r="AG17" i="160"/>
  <c r="ER6" i="160"/>
  <c r="AH6" i="160"/>
  <c r="DW6" i="160"/>
  <c r="BP124" i="160"/>
  <c r="DL124" i="160"/>
  <c r="BP90" i="160"/>
  <c r="DL90" i="160"/>
  <c r="BP126" i="160"/>
  <c r="DL126" i="160"/>
  <c r="BP123" i="160"/>
  <c r="DL123" i="160"/>
  <c r="DU87" i="160"/>
  <c r="BP127" i="160"/>
  <c r="DL127" i="160"/>
  <c r="BP94" i="160"/>
  <c r="DL94" i="160"/>
  <c r="DN64" i="160"/>
  <c r="EB64" i="160"/>
  <c r="EP64" i="160"/>
  <c r="CZ64" i="160"/>
  <c r="EI64" i="160"/>
  <c r="DG64" i="160"/>
  <c r="DU64" i="160"/>
  <c r="EI111" i="160"/>
  <c r="CZ111" i="160"/>
  <c r="EP111" i="160"/>
  <c r="DG111" i="160"/>
  <c r="EB111" i="160"/>
  <c r="DU111" i="160"/>
  <c r="FB11" i="160"/>
  <c r="BP128" i="160"/>
  <c r="DL128" i="160"/>
  <c r="BP89" i="160"/>
  <c r="DL89" i="160"/>
  <c r="BP135" i="160"/>
  <c r="DL135" i="160"/>
  <c r="BP29" i="160"/>
  <c r="DL29" i="160"/>
  <c r="BP47" i="160"/>
  <c r="DL47" i="160"/>
  <c r="BP139" i="160"/>
  <c r="DL139" i="160"/>
  <c r="EI69" i="160"/>
  <c r="EP69" i="160"/>
  <c r="CZ69" i="160"/>
  <c r="DU69" i="160"/>
  <c r="DG69" i="160"/>
  <c r="EB69" i="160"/>
  <c r="DN69" i="160"/>
  <c r="BP48" i="160"/>
  <c r="DL48" i="160"/>
  <c r="BQ25" i="160"/>
  <c r="DM25" i="160"/>
  <c r="EB59" i="160"/>
  <c r="EI59" i="160"/>
  <c r="EP59" i="160"/>
  <c r="CZ59" i="160"/>
  <c r="DN59" i="160"/>
  <c r="DU59" i="160"/>
  <c r="BP41" i="160"/>
  <c r="DL41" i="160"/>
  <c r="CI99" i="160"/>
  <c r="EF99" i="160" s="1"/>
  <c r="EE99" i="160"/>
  <c r="EJ44" i="160"/>
  <c r="BP33" i="160"/>
  <c r="DL33" i="160"/>
  <c r="BP73" i="160"/>
  <c r="DL73" i="160"/>
  <c r="BP22" i="160"/>
  <c r="DL22" i="160"/>
  <c r="AF69" i="160"/>
  <c r="EP81" i="160"/>
  <c r="EI81" i="160"/>
  <c r="DG81" i="160"/>
  <c r="EB81" i="160"/>
  <c r="CZ81" i="160"/>
  <c r="DU81" i="160"/>
  <c r="BP67" i="160"/>
  <c r="DL67" i="160"/>
  <c r="BT54" i="160"/>
  <c r="DP54" i="160"/>
  <c r="BP74" i="160"/>
  <c r="DL74" i="160"/>
  <c r="CI9" i="160"/>
  <c r="EF9" i="160" s="1"/>
  <c r="EE9" i="160"/>
  <c r="EB89" i="160"/>
  <c r="EV9" i="160"/>
  <c r="BP92" i="160"/>
  <c r="DL92" i="160"/>
  <c r="BP43" i="160"/>
  <c r="DL43" i="160"/>
  <c r="BP32" i="160"/>
  <c r="DL32" i="160"/>
  <c r="BP93" i="160"/>
  <c r="DL93" i="160"/>
  <c r="BP40" i="160"/>
  <c r="DL40" i="160"/>
  <c r="BP86" i="160"/>
  <c r="DL86" i="160"/>
  <c r="BQ46" i="160"/>
  <c r="DM46" i="160"/>
  <c r="DA43" i="160"/>
  <c r="AG98" i="160"/>
  <c r="AG53" i="160"/>
  <c r="AH8" i="160"/>
  <c r="DB8" i="160"/>
  <c r="DI8" i="160"/>
  <c r="ER8" i="160"/>
  <c r="DP8" i="160"/>
  <c r="ED8" i="160"/>
  <c r="AG10" i="160"/>
  <c r="EK8" i="160"/>
  <c r="DW8" i="160"/>
  <c r="BP112" i="160"/>
  <c r="DL112" i="160"/>
  <c r="AF100" i="160"/>
  <c r="AF55" i="160"/>
  <c r="EC10" i="160"/>
  <c r="EJ10" i="160"/>
  <c r="EQ10" i="160"/>
  <c r="DA10" i="160"/>
  <c r="DH10" i="160"/>
  <c r="DO10" i="160"/>
  <c r="DV10" i="160"/>
  <c r="BP31" i="160"/>
  <c r="DL31" i="160"/>
  <c r="FB13" i="160"/>
  <c r="BP119" i="160"/>
  <c r="DL119" i="160"/>
  <c r="BP30" i="160"/>
  <c r="DL30" i="160"/>
  <c r="DQ11" i="160"/>
  <c r="BU11" i="160"/>
  <c r="DR11" i="160" s="1"/>
  <c r="EI134" i="160"/>
  <c r="CZ134" i="160"/>
  <c r="DG134" i="160"/>
  <c r="EB134" i="160"/>
  <c r="EP134" i="160"/>
  <c r="DU134" i="160"/>
  <c r="DF14" i="160"/>
  <c r="BJ14" i="160"/>
  <c r="BU103" i="160"/>
  <c r="DR103" i="160" s="1"/>
  <c r="DQ103" i="160"/>
  <c r="BP137" i="160"/>
  <c r="DL137" i="160"/>
  <c r="BP88" i="160"/>
  <c r="DL88" i="160"/>
  <c r="BP77" i="160"/>
  <c r="DL77" i="160"/>
  <c r="BP138" i="160"/>
  <c r="DL138" i="160"/>
  <c r="BN11" i="160"/>
  <c r="DK11" i="160" s="1"/>
  <c r="DJ11" i="160"/>
  <c r="BP85" i="160"/>
  <c r="DL85" i="160"/>
  <c r="DF59" i="160"/>
  <c r="BJ59" i="160"/>
  <c r="BK59" i="160" s="1"/>
  <c r="BL59" i="160" s="1"/>
  <c r="BM59" i="160" s="1"/>
  <c r="BN59" i="160" s="1"/>
  <c r="EZ13" i="160"/>
  <c r="BP131" i="160"/>
  <c r="DL131" i="160"/>
  <c r="BP36" i="160"/>
  <c r="DL36" i="160"/>
  <c r="BU56" i="160"/>
  <c r="DR56" i="160" s="1"/>
  <c r="DQ56" i="160"/>
  <c r="BP84" i="160"/>
  <c r="DL84" i="160"/>
  <c r="BP34" i="160"/>
  <c r="DL34" i="160"/>
  <c r="EB122" i="160"/>
  <c r="EI122" i="160"/>
  <c r="EP122" i="160"/>
  <c r="CZ122" i="160"/>
  <c r="DG122" i="160"/>
  <c r="DU122" i="160"/>
  <c r="BP75" i="160"/>
  <c r="DL75" i="160"/>
  <c r="BP35" i="160"/>
  <c r="DL35" i="160"/>
  <c r="EB83" i="160"/>
  <c r="EI83" i="160"/>
  <c r="DG83" i="160"/>
  <c r="EP83" i="160"/>
  <c r="CZ83" i="160"/>
  <c r="DU83" i="160"/>
  <c r="CZ55" i="160"/>
  <c r="DG55" i="160"/>
  <c r="DN55" i="160"/>
  <c r="EB55" i="160"/>
  <c r="EI55" i="160"/>
  <c r="EP55" i="160"/>
  <c r="BP133" i="160"/>
  <c r="DL133" i="160"/>
  <c r="BP122" i="160"/>
  <c r="DL122" i="160"/>
  <c r="DF104" i="160"/>
  <c r="BJ104" i="160"/>
  <c r="BK104" i="160" s="1"/>
  <c r="BL104" i="160" s="1"/>
  <c r="BM104" i="160" s="1"/>
  <c r="BN104" i="160" s="1"/>
  <c r="BP21" i="160"/>
  <c r="DL21" i="160"/>
  <c r="BP130" i="160"/>
  <c r="DL130" i="160"/>
  <c r="DG12" i="160"/>
  <c r="EB91" i="160"/>
  <c r="CZ91" i="160"/>
  <c r="DG91" i="160"/>
  <c r="EP91" i="160"/>
  <c r="DN91" i="160"/>
  <c r="EI91" i="160"/>
  <c r="DU91" i="160"/>
  <c r="DO51" i="160"/>
  <c r="EC51" i="160"/>
  <c r="EJ51" i="160"/>
  <c r="EQ51" i="160"/>
  <c r="DA51" i="160"/>
  <c r="DH51" i="160"/>
  <c r="DV51" i="160"/>
  <c r="CZ63" i="160"/>
  <c r="DG63" i="160"/>
  <c r="DN63" i="160"/>
  <c r="EB63" i="160"/>
  <c r="EI63" i="160"/>
  <c r="EP63" i="160"/>
  <c r="DU63" i="160"/>
  <c r="BP125" i="160"/>
  <c r="DL125" i="160"/>
  <c r="DU65" i="160"/>
  <c r="EI86" i="160"/>
  <c r="EB86" i="160"/>
  <c r="CZ86" i="160"/>
  <c r="EP86" i="160"/>
  <c r="DU86" i="160"/>
  <c r="DG86" i="160"/>
  <c r="BU13" i="160"/>
  <c r="DR13" i="160" s="1"/>
  <c r="DQ13" i="160"/>
  <c r="DU62" i="160"/>
  <c r="BQ42" i="160"/>
  <c r="DM42" i="160"/>
  <c r="EC53" i="160"/>
  <c r="EJ53" i="160"/>
  <c r="EQ53" i="160"/>
  <c r="DA53" i="160"/>
  <c r="DO53" i="160"/>
  <c r="DH53" i="160"/>
  <c r="DV53" i="160"/>
  <c r="BP76" i="160"/>
  <c r="DL76" i="160"/>
  <c r="EJ98" i="160"/>
  <c r="EC98" i="160"/>
  <c r="DH98" i="160"/>
  <c r="DO98" i="160"/>
  <c r="EQ98" i="160"/>
  <c r="DA98" i="160"/>
  <c r="DV98" i="160"/>
  <c r="BP121" i="160"/>
  <c r="DL121" i="160"/>
  <c r="DA29" i="160"/>
  <c r="BP79" i="160"/>
  <c r="DL79" i="160"/>
  <c r="BP120" i="160"/>
  <c r="DL120" i="160"/>
  <c r="BP80" i="160"/>
  <c r="DL80" i="160"/>
  <c r="CZ75" i="160"/>
  <c r="DG75" i="160"/>
  <c r="EB75" i="160"/>
  <c r="EI75" i="160"/>
  <c r="EP75" i="160"/>
  <c r="DU75" i="160"/>
  <c r="BP44" i="160"/>
  <c r="DL44" i="160"/>
  <c r="EB79" i="160"/>
  <c r="DG10" i="160"/>
  <c r="DG100" i="160"/>
  <c r="CZ100" i="160"/>
  <c r="EI100" i="160"/>
  <c r="EP100" i="160"/>
  <c r="DN100" i="160"/>
  <c r="EB100" i="160"/>
  <c r="BP28" i="160"/>
  <c r="DL28" i="160"/>
  <c r="BP39" i="160"/>
  <c r="DL39" i="160"/>
  <c r="BT99" i="160"/>
  <c r="DP99" i="160"/>
  <c r="AF119" i="160" l="1"/>
  <c r="EJ29" i="160"/>
  <c r="EC29" i="160"/>
  <c r="DU85" i="160"/>
  <c r="AF74" i="160"/>
  <c r="DG85" i="160"/>
  <c r="DV29" i="160"/>
  <c r="EB127" i="160"/>
  <c r="DH29" i="160"/>
  <c r="DG80" i="160"/>
  <c r="EI127" i="160"/>
  <c r="EI80" i="160"/>
  <c r="AF114" i="160"/>
  <c r="CZ112" i="160"/>
  <c r="EC33" i="160"/>
  <c r="DG108" i="160"/>
  <c r="AF139" i="160"/>
  <c r="DG62" i="160"/>
  <c r="AF88" i="160"/>
  <c r="EQ88" i="160" s="1"/>
  <c r="AF78" i="160"/>
  <c r="DU123" i="160"/>
  <c r="EI62" i="160"/>
  <c r="AF133" i="160"/>
  <c r="DV133" i="160" s="1"/>
  <c r="AF123" i="160"/>
  <c r="EB123" i="160"/>
  <c r="DG68" i="160"/>
  <c r="CZ74" i="160"/>
  <c r="CZ62" i="160"/>
  <c r="EQ43" i="160"/>
  <c r="AF82" i="160"/>
  <c r="DH82" i="160" s="1"/>
  <c r="DH33" i="160"/>
  <c r="EI123" i="160"/>
  <c r="AF127" i="160"/>
  <c r="DH127" i="160" s="1"/>
  <c r="EB62" i="160"/>
  <c r="EJ43" i="160"/>
  <c r="DV33" i="160"/>
  <c r="EP123" i="160"/>
  <c r="DH44" i="160"/>
  <c r="DN62" i="160"/>
  <c r="DG123" i="160"/>
  <c r="EC43" i="160"/>
  <c r="EJ33" i="160"/>
  <c r="DV43" i="160"/>
  <c r="DA33" i="160"/>
  <c r="EJ46" i="160"/>
  <c r="DU70" i="160"/>
  <c r="CZ61" i="160"/>
  <c r="EC19" i="160"/>
  <c r="EQ15" i="160"/>
  <c r="DU88" i="160"/>
  <c r="EB121" i="160"/>
  <c r="FH11" i="160"/>
  <c r="EB65" i="160"/>
  <c r="CZ65" i="160"/>
  <c r="DU79" i="160"/>
  <c r="DN65" i="160"/>
  <c r="CZ79" i="160"/>
  <c r="DG65" i="160"/>
  <c r="EI79" i="160"/>
  <c r="EP79" i="160"/>
  <c r="EI65" i="160"/>
  <c r="DG77" i="160"/>
  <c r="EI89" i="160"/>
  <c r="DA15" i="160"/>
  <c r="EP126" i="160"/>
  <c r="CZ89" i="160"/>
  <c r="EP109" i="160"/>
  <c r="EP74" i="160"/>
  <c r="CZ88" i="160"/>
  <c r="DA97" i="160"/>
  <c r="EB88" i="160"/>
  <c r="DU113" i="160"/>
  <c r="EP68" i="160"/>
  <c r="EP88" i="160"/>
  <c r="CZ113" i="160"/>
  <c r="DU89" i="160"/>
  <c r="DG106" i="160"/>
  <c r="DG88" i="160"/>
  <c r="EP89" i="160"/>
  <c r="DU105" i="160"/>
  <c r="DN106" i="160"/>
  <c r="EC46" i="160"/>
  <c r="DA34" i="160"/>
  <c r="EC47" i="160"/>
  <c r="EQ34" i="160"/>
  <c r="DV47" i="160"/>
  <c r="CZ138" i="160"/>
  <c r="AF61" i="160"/>
  <c r="EJ61" i="160" s="1"/>
  <c r="EI107" i="160"/>
  <c r="EJ36" i="160"/>
  <c r="CZ107" i="160"/>
  <c r="AF126" i="160"/>
  <c r="EC126" i="160" s="1"/>
  <c r="CZ121" i="160"/>
  <c r="DH40" i="160"/>
  <c r="EJ22" i="160"/>
  <c r="CH16" i="135"/>
  <c r="ED16" i="135"/>
  <c r="ED54" i="135" s="1"/>
  <c r="ED56" i="135" s="1"/>
  <c r="ED57" i="135" s="1"/>
  <c r="CV46" i="135"/>
  <c r="ER46" i="135"/>
  <c r="CH46" i="135"/>
  <c r="ED46" i="135"/>
  <c r="CH31" i="135"/>
  <c r="ED31" i="135"/>
  <c r="DA52" i="160"/>
  <c r="EP94" i="160"/>
  <c r="CO46" i="135"/>
  <c r="EK46" i="135"/>
  <c r="CZ94" i="160"/>
  <c r="AF108" i="160"/>
  <c r="DH108" i="160" s="1"/>
  <c r="EB94" i="160"/>
  <c r="CO16" i="135"/>
  <c r="EK16" i="135"/>
  <c r="CO31" i="135"/>
  <c r="EK31" i="135"/>
  <c r="DU128" i="160"/>
  <c r="EP121" i="160"/>
  <c r="DN70" i="160"/>
  <c r="DH47" i="160"/>
  <c r="EI94" i="160"/>
  <c r="DU104" i="160"/>
  <c r="DA47" i="160"/>
  <c r="DG121" i="160"/>
  <c r="DH21" i="160"/>
  <c r="AF64" i="160"/>
  <c r="DO64" i="160" s="1"/>
  <c r="DV46" i="160"/>
  <c r="EQ21" i="160"/>
  <c r="DV27" i="160"/>
  <c r="EI121" i="160"/>
  <c r="DU93" i="160"/>
  <c r="EP128" i="160"/>
  <c r="EQ40" i="160"/>
  <c r="CZ128" i="160"/>
  <c r="AF91" i="160"/>
  <c r="DV91" i="160" s="1"/>
  <c r="AF130" i="160"/>
  <c r="DH130" i="160" s="1"/>
  <c r="EC36" i="160"/>
  <c r="AF92" i="160"/>
  <c r="EQ92" i="160" s="1"/>
  <c r="DA46" i="160"/>
  <c r="DV40" i="160"/>
  <c r="EB107" i="160"/>
  <c r="DA36" i="160"/>
  <c r="DV14" i="160"/>
  <c r="EP104" i="160"/>
  <c r="AF137" i="160"/>
  <c r="EQ137" i="160" s="1"/>
  <c r="EP133" i="160"/>
  <c r="EC27" i="160"/>
  <c r="CZ93" i="160"/>
  <c r="DA40" i="160"/>
  <c r="CZ70" i="160"/>
  <c r="DV36" i="160"/>
  <c r="AF85" i="160"/>
  <c r="EJ85" i="160" s="1"/>
  <c r="DU107" i="160"/>
  <c r="DH36" i="160"/>
  <c r="AF136" i="160"/>
  <c r="DA136" i="160" s="1"/>
  <c r="EP107" i="160"/>
  <c r="DG125" i="160"/>
  <c r="EI104" i="160"/>
  <c r="DH46" i="160"/>
  <c r="EC40" i="160"/>
  <c r="DN107" i="160"/>
  <c r="DU94" i="160"/>
  <c r="DO16" i="160"/>
  <c r="EQ36" i="160"/>
  <c r="EQ14" i="160"/>
  <c r="DH22" i="160"/>
  <c r="EB104" i="160"/>
  <c r="EQ47" i="160"/>
  <c r="EI133" i="160"/>
  <c r="EP116" i="160"/>
  <c r="DH19" i="160"/>
  <c r="DH16" i="160"/>
  <c r="AF104" i="160"/>
  <c r="DH104" i="160" s="1"/>
  <c r="EQ22" i="160"/>
  <c r="DH37" i="160"/>
  <c r="FH13" i="160"/>
  <c r="EC34" i="160"/>
  <c r="CZ80" i="160"/>
  <c r="EI73" i="160"/>
  <c r="EI85" i="160"/>
  <c r="DV24" i="160"/>
  <c r="DA44" i="160"/>
  <c r="EI105" i="160"/>
  <c r="EI68" i="160"/>
  <c r="EI106" i="160"/>
  <c r="EI74" i="160"/>
  <c r="EB113" i="160"/>
  <c r="DV37" i="160"/>
  <c r="DG127" i="160"/>
  <c r="EQ44" i="160"/>
  <c r="DN68" i="160"/>
  <c r="DU138" i="160"/>
  <c r="CZ106" i="160"/>
  <c r="EB74" i="160"/>
  <c r="DG113" i="160"/>
  <c r="DU120" i="160"/>
  <c r="CZ127" i="160"/>
  <c r="DA37" i="160"/>
  <c r="EC42" i="160"/>
  <c r="AF113" i="160"/>
  <c r="DV113" i="160" s="1"/>
  <c r="AF124" i="160"/>
  <c r="DH124" i="160" s="1"/>
  <c r="EB85" i="160"/>
  <c r="EJ24" i="160"/>
  <c r="AF89" i="160"/>
  <c r="EJ89" i="160" s="1"/>
  <c r="DN105" i="160"/>
  <c r="DG90" i="160"/>
  <c r="EP138" i="160"/>
  <c r="DU78" i="160"/>
  <c r="EB106" i="160"/>
  <c r="EI113" i="160"/>
  <c r="EP120" i="160"/>
  <c r="AF79" i="160"/>
  <c r="DA79" i="160" s="1"/>
  <c r="CZ85" i="160"/>
  <c r="EQ37" i="160"/>
  <c r="DV42" i="160"/>
  <c r="DH34" i="160"/>
  <c r="DU80" i="160"/>
  <c r="EC24" i="160"/>
  <c r="AF134" i="160"/>
  <c r="EC134" i="160" s="1"/>
  <c r="EP105" i="160"/>
  <c r="DU68" i="160"/>
  <c r="EI138" i="160"/>
  <c r="DG78" i="160"/>
  <c r="EP106" i="160"/>
  <c r="DN113" i="160"/>
  <c r="DG73" i="160"/>
  <c r="AF68" i="160"/>
  <c r="DA68" i="160" s="1"/>
  <c r="EQ24" i="160"/>
  <c r="EB105" i="160"/>
  <c r="EJ37" i="160"/>
  <c r="DV34" i="160"/>
  <c r="EB80" i="160"/>
  <c r="DH24" i="160"/>
  <c r="DV44" i="160"/>
  <c r="CZ105" i="160"/>
  <c r="EB68" i="160"/>
  <c r="EB138" i="160"/>
  <c r="DU74" i="160"/>
  <c r="EP127" i="160"/>
  <c r="EC32" i="160"/>
  <c r="FI11" i="160"/>
  <c r="EP125" i="160"/>
  <c r="EB116" i="160"/>
  <c r="EI61" i="160"/>
  <c r="CZ125" i="160"/>
  <c r="DV52" i="160"/>
  <c r="EB61" i="160"/>
  <c r="DA31" i="160"/>
  <c r="EI125" i="160"/>
  <c r="EQ52" i="160"/>
  <c r="DU116" i="160"/>
  <c r="EC52" i="160"/>
  <c r="CZ116" i="160"/>
  <c r="DU61" i="160"/>
  <c r="AF121" i="160"/>
  <c r="EQ121" i="160" s="1"/>
  <c r="EJ52" i="160"/>
  <c r="DG116" i="160"/>
  <c r="EP61" i="160"/>
  <c r="DU125" i="160"/>
  <c r="DO52" i="160"/>
  <c r="DN116" i="160"/>
  <c r="DN61" i="160"/>
  <c r="DV18" i="160"/>
  <c r="DA18" i="160"/>
  <c r="EB102" i="160"/>
  <c r="DH42" i="160"/>
  <c r="EQ42" i="160"/>
  <c r="EC23" i="160"/>
  <c r="CZ73" i="160"/>
  <c r="EP90" i="160"/>
  <c r="EJ42" i="160"/>
  <c r="DV23" i="160"/>
  <c r="EJ30" i="160"/>
  <c r="EB73" i="160"/>
  <c r="EI90" i="160"/>
  <c r="AF87" i="160"/>
  <c r="DO87" i="160" s="1"/>
  <c r="DH23" i="160"/>
  <c r="EI67" i="160"/>
  <c r="EI78" i="160"/>
  <c r="DG120" i="160"/>
  <c r="EI82" i="160"/>
  <c r="AF132" i="160"/>
  <c r="EC132" i="160" s="1"/>
  <c r="DA23" i="160"/>
  <c r="DU90" i="160"/>
  <c r="CZ78" i="160"/>
  <c r="EI120" i="160"/>
  <c r="DN87" i="160"/>
  <c r="EQ23" i="160"/>
  <c r="DU73" i="160"/>
  <c r="CZ90" i="160"/>
  <c r="EB78" i="160"/>
  <c r="CZ120" i="160"/>
  <c r="AF128" i="160"/>
  <c r="DV128" i="160" s="1"/>
  <c r="DU119" i="160"/>
  <c r="EB84" i="160"/>
  <c r="EQ49" i="160"/>
  <c r="DN132" i="160"/>
  <c r="CZ84" i="160"/>
  <c r="AF94" i="160"/>
  <c r="EQ94" i="160" s="1"/>
  <c r="EJ25" i="160"/>
  <c r="AF135" i="160"/>
  <c r="EC135" i="160" s="1"/>
  <c r="DU130" i="160"/>
  <c r="AF84" i="160"/>
  <c r="EJ84" i="160" s="1"/>
  <c r="DU84" i="160"/>
  <c r="EP84" i="160"/>
  <c r="EP130" i="160"/>
  <c r="DG135" i="160"/>
  <c r="DG84" i="160"/>
  <c r="DV49" i="160"/>
  <c r="EI135" i="160"/>
  <c r="EC49" i="160"/>
  <c r="EP117" i="160"/>
  <c r="DH49" i="160"/>
  <c r="CZ132" i="160"/>
  <c r="DN117" i="160"/>
  <c r="AF60" i="160"/>
  <c r="DA60" i="160" s="1"/>
  <c r="DV41" i="160"/>
  <c r="AF120" i="160"/>
  <c r="DH120" i="160" s="1"/>
  <c r="EB67" i="160"/>
  <c r="EI87" i="160"/>
  <c r="DV15" i="160"/>
  <c r="AF105" i="160"/>
  <c r="EC105" i="160" s="1"/>
  <c r="DU82" i="160"/>
  <c r="DH41" i="160"/>
  <c r="DG87" i="160"/>
  <c r="EI139" i="160"/>
  <c r="DH15" i="160"/>
  <c r="EB82" i="160"/>
  <c r="AF83" i="160"/>
  <c r="EJ83" i="160" s="1"/>
  <c r="EP87" i="160"/>
  <c r="EJ32" i="160"/>
  <c r="EC15" i="160"/>
  <c r="EP77" i="160"/>
  <c r="EI119" i="160"/>
  <c r="EB87" i="160"/>
  <c r="EI108" i="160"/>
  <c r="EJ15" i="160"/>
  <c r="EQ12" i="160"/>
  <c r="DU126" i="160"/>
  <c r="DH30" i="160"/>
  <c r="EC97" i="160"/>
  <c r="CZ67" i="160"/>
  <c r="DG130" i="160"/>
  <c r="DA41" i="160"/>
  <c r="AF129" i="160"/>
  <c r="EJ129" i="160" s="1"/>
  <c r="CZ117" i="160"/>
  <c r="EB135" i="160"/>
  <c r="DN108" i="160"/>
  <c r="EJ48" i="160"/>
  <c r="DA32" i="160"/>
  <c r="AF73" i="160"/>
  <c r="EJ73" i="160" s="1"/>
  <c r="DV45" i="160"/>
  <c r="EJ49" i="160"/>
  <c r="DU77" i="160"/>
  <c r="CZ130" i="160"/>
  <c r="DV25" i="160"/>
  <c r="DG126" i="160"/>
  <c r="EQ41" i="160"/>
  <c r="EI114" i="160"/>
  <c r="DV97" i="160"/>
  <c r="DU132" i="160"/>
  <c r="DU112" i="160"/>
  <c r="EB117" i="160"/>
  <c r="EP108" i="160"/>
  <c r="DA48" i="160"/>
  <c r="EQ32" i="160"/>
  <c r="DH45" i="160"/>
  <c r="EI77" i="160"/>
  <c r="EI130" i="160"/>
  <c r="EC25" i="160"/>
  <c r="EB126" i="160"/>
  <c r="EJ41" i="160"/>
  <c r="DG124" i="160"/>
  <c r="DN114" i="160"/>
  <c r="EJ97" i="160"/>
  <c r="DG132" i="160"/>
  <c r="EB112" i="160"/>
  <c r="CZ108" i="160"/>
  <c r="AF93" i="160"/>
  <c r="EQ93" i="160" s="1"/>
  <c r="AF77" i="160"/>
  <c r="EQ77" i="160" s="1"/>
  <c r="DA45" i="160"/>
  <c r="EB77" i="160"/>
  <c r="DH25" i="160"/>
  <c r="CZ126" i="160"/>
  <c r="EC41" i="160"/>
  <c r="EI124" i="160"/>
  <c r="CZ114" i="160"/>
  <c r="DO97" i="160"/>
  <c r="EB132" i="160"/>
  <c r="EP112" i="160"/>
  <c r="DU117" i="160"/>
  <c r="AF116" i="160"/>
  <c r="EJ116" i="160" s="1"/>
  <c r="AF122" i="160"/>
  <c r="EC122" i="160" s="1"/>
  <c r="EC45" i="160"/>
  <c r="DA25" i="160"/>
  <c r="AF86" i="160"/>
  <c r="EC86" i="160" s="1"/>
  <c r="DG109" i="160"/>
  <c r="EQ97" i="160"/>
  <c r="EP132" i="160"/>
  <c r="DG112" i="160"/>
  <c r="DG117" i="160"/>
  <c r="DU108" i="160"/>
  <c r="DV32" i="160"/>
  <c r="DU139" i="160"/>
  <c r="AF90" i="160"/>
  <c r="EC90" i="160" s="1"/>
  <c r="EP118" i="160"/>
  <c r="EQ25" i="160"/>
  <c r="EB109" i="160"/>
  <c r="DG102" i="160"/>
  <c r="EB131" i="160"/>
  <c r="EB128" i="160"/>
  <c r="AF76" i="160"/>
  <c r="EQ76" i="160" s="1"/>
  <c r="EQ19" i="160"/>
  <c r="AF63" i="160"/>
  <c r="DA63" i="160" s="1"/>
  <c r="EP82" i="160"/>
  <c r="EQ16" i="160"/>
  <c r="AF59" i="160"/>
  <c r="DA59" i="160" s="1"/>
  <c r="DA22" i="160"/>
  <c r="DV30" i="160"/>
  <c r="EP67" i="160"/>
  <c r="CZ102" i="160"/>
  <c r="EJ27" i="160"/>
  <c r="EI93" i="160"/>
  <c r="EC21" i="160"/>
  <c r="DG128" i="160"/>
  <c r="EB70" i="160"/>
  <c r="DV31" i="160"/>
  <c r="DV19" i="160"/>
  <c r="AF109" i="160"/>
  <c r="DV109" i="160" s="1"/>
  <c r="EQ18" i="160"/>
  <c r="CZ82" i="160"/>
  <c r="DV16" i="160"/>
  <c r="AF106" i="160"/>
  <c r="EC106" i="160" s="1"/>
  <c r="EC14" i="160"/>
  <c r="AF67" i="160"/>
  <c r="EJ67" i="160" s="1"/>
  <c r="DA30" i="160"/>
  <c r="CZ119" i="160"/>
  <c r="DA27" i="160"/>
  <c r="EP131" i="160"/>
  <c r="EP93" i="160"/>
  <c r="AF111" i="160"/>
  <c r="EQ111" i="160" s="1"/>
  <c r="DU131" i="160"/>
  <c r="DA21" i="160"/>
  <c r="EP70" i="160"/>
  <c r="EJ14" i="160"/>
  <c r="AF112" i="160"/>
  <c r="DA112" i="160" s="1"/>
  <c r="EQ30" i="160"/>
  <c r="EB119" i="160"/>
  <c r="AF117" i="160"/>
  <c r="DH117" i="160" s="1"/>
  <c r="DG131" i="160"/>
  <c r="DG76" i="160"/>
  <c r="DH31" i="160"/>
  <c r="EC18" i="160"/>
  <c r="EP102" i="160"/>
  <c r="DA19" i="160"/>
  <c r="DO19" i="160"/>
  <c r="EJ18" i="160"/>
  <c r="EC16" i="160"/>
  <c r="DO14" i="160"/>
  <c r="DV22" i="160"/>
  <c r="EC30" i="160"/>
  <c r="DU67" i="160"/>
  <c r="DN102" i="160"/>
  <c r="EP119" i="160"/>
  <c r="CZ131" i="160"/>
  <c r="DO27" i="160"/>
  <c r="DG93" i="160"/>
  <c r="EJ31" i="160"/>
  <c r="DH18" i="160"/>
  <c r="EJ16" i="160"/>
  <c r="EI70" i="160"/>
  <c r="EQ31" i="160"/>
  <c r="DU115" i="160"/>
  <c r="EI102" i="160"/>
  <c r="DU110" i="160"/>
  <c r="CZ110" i="160"/>
  <c r="DG139" i="160"/>
  <c r="AF118" i="160"/>
  <c r="EC118" i="160" s="1"/>
  <c r="DG118" i="160"/>
  <c r="EJ12" i="160"/>
  <c r="CZ124" i="160"/>
  <c r="EB114" i="160"/>
  <c r="EI109" i="160"/>
  <c r="DU60" i="160"/>
  <c r="DH35" i="160"/>
  <c r="DU129" i="160"/>
  <c r="CZ135" i="160"/>
  <c r="DN110" i="160"/>
  <c r="EQ48" i="160"/>
  <c r="EC12" i="160"/>
  <c r="EB60" i="160"/>
  <c r="EJ35" i="160"/>
  <c r="EB118" i="160"/>
  <c r="DO12" i="160"/>
  <c r="DG114" i="160"/>
  <c r="DN109" i="160"/>
  <c r="DU133" i="160"/>
  <c r="EP60" i="160"/>
  <c r="EJ39" i="160"/>
  <c r="EQ35" i="160"/>
  <c r="EI129" i="160"/>
  <c r="EP135" i="160"/>
  <c r="EB110" i="160"/>
  <c r="DV26" i="160"/>
  <c r="CZ139" i="160"/>
  <c r="EI118" i="160"/>
  <c r="EP129" i="160"/>
  <c r="EP139" i="160"/>
  <c r="DH12" i="160"/>
  <c r="DU124" i="160"/>
  <c r="EP114" i="160"/>
  <c r="EB133" i="160"/>
  <c r="DG60" i="160"/>
  <c r="EC39" i="160"/>
  <c r="EC35" i="160"/>
  <c r="EB129" i="160"/>
  <c r="EP110" i="160"/>
  <c r="DH26" i="160"/>
  <c r="EC28" i="160"/>
  <c r="EQ45" i="160"/>
  <c r="AF70" i="160"/>
  <c r="DA70" i="160" s="1"/>
  <c r="DA12" i="160"/>
  <c r="EB124" i="160"/>
  <c r="CZ104" i="160"/>
  <c r="DG133" i="160"/>
  <c r="EI60" i="160"/>
  <c r="DV39" i="160"/>
  <c r="AF80" i="160"/>
  <c r="DV80" i="160" s="1"/>
  <c r="DV17" i="160"/>
  <c r="DG129" i="160"/>
  <c r="DG110" i="160"/>
  <c r="DV48" i="160"/>
  <c r="DA26" i="160"/>
  <c r="DV28" i="160"/>
  <c r="EQ28" i="160"/>
  <c r="EJ28" i="160"/>
  <c r="DH28" i="160"/>
  <c r="DU118" i="160"/>
  <c r="AF57" i="160"/>
  <c r="EC57" i="160" s="1"/>
  <c r="DU109" i="160"/>
  <c r="DN60" i="160"/>
  <c r="DH39" i="160"/>
  <c r="AF125" i="160"/>
  <c r="EQ125" i="160" s="1"/>
  <c r="AF107" i="160"/>
  <c r="DV107" i="160" s="1"/>
  <c r="EC48" i="160"/>
  <c r="EJ26" i="160"/>
  <c r="DV12" i="160"/>
  <c r="EC26" i="160"/>
  <c r="EQ39" i="160"/>
  <c r="DV35" i="160"/>
  <c r="EQ27" i="160"/>
  <c r="AF138" i="160"/>
  <c r="DH138" i="160" s="1"/>
  <c r="DV21" i="160"/>
  <c r="CZ76" i="160"/>
  <c r="EJ38" i="160"/>
  <c r="EC38" i="160"/>
  <c r="EB115" i="160"/>
  <c r="EI137" i="160"/>
  <c r="AF65" i="160"/>
  <c r="EC65" i="160" s="1"/>
  <c r="DU76" i="160"/>
  <c r="DV38" i="160"/>
  <c r="DG115" i="160"/>
  <c r="EB137" i="160"/>
  <c r="AF110" i="160"/>
  <c r="DO110" i="160" s="1"/>
  <c r="EI76" i="160"/>
  <c r="FD11" i="160"/>
  <c r="DA38" i="160"/>
  <c r="EP115" i="160"/>
  <c r="DU137" i="160"/>
  <c r="EP76" i="160"/>
  <c r="DH38" i="160"/>
  <c r="CZ115" i="160"/>
  <c r="EP137" i="160"/>
  <c r="DN115" i="160"/>
  <c r="DG137" i="160"/>
  <c r="DA20" i="160"/>
  <c r="EQ17" i="160"/>
  <c r="DV20" i="160"/>
  <c r="DU92" i="160"/>
  <c r="EC17" i="160"/>
  <c r="DH17" i="160"/>
  <c r="DH20" i="160"/>
  <c r="CZ92" i="160"/>
  <c r="EJ17" i="160"/>
  <c r="EQ20" i="160"/>
  <c r="EP92" i="160"/>
  <c r="DO17" i="160"/>
  <c r="EJ20" i="160"/>
  <c r="DG92" i="160"/>
  <c r="DA17" i="160"/>
  <c r="EC20" i="160"/>
  <c r="EB92" i="160"/>
  <c r="FD9" i="160"/>
  <c r="EX11" i="160"/>
  <c r="FJ11" i="160"/>
  <c r="FJ13" i="160"/>
  <c r="FI13" i="160"/>
  <c r="EZ99" i="160"/>
  <c r="FE13" i="160"/>
  <c r="FD13" i="160"/>
  <c r="EZ9" i="160"/>
  <c r="EX13" i="160"/>
  <c r="EX56" i="160"/>
  <c r="DG104" i="160"/>
  <c r="EW11" i="160"/>
  <c r="FE11" i="160" s="1"/>
  <c r="BQ22" i="160"/>
  <c r="DM22" i="160"/>
  <c r="BQ41" i="160"/>
  <c r="DM41" i="160"/>
  <c r="BQ44" i="160"/>
  <c r="DM44" i="160"/>
  <c r="EC60" i="160"/>
  <c r="EJ81" i="160"/>
  <c r="DH81" i="160"/>
  <c r="EQ81" i="160"/>
  <c r="EC81" i="160"/>
  <c r="DA81" i="160"/>
  <c r="DV81" i="160"/>
  <c r="BQ131" i="160"/>
  <c r="DM131" i="160"/>
  <c r="BQ77" i="160"/>
  <c r="DM77" i="160"/>
  <c r="BQ88" i="160"/>
  <c r="DM88" i="160"/>
  <c r="EQ113" i="160"/>
  <c r="EK53" i="160"/>
  <c r="ER53" i="160"/>
  <c r="AH53" i="160"/>
  <c r="DB53" i="160"/>
  <c r="DI53" i="160"/>
  <c r="DP53" i="160"/>
  <c r="ED53" i="160"/>
  <c r="DW53" i="160"/>
  <c r="DO114" i="160"/>
  <c r="DA114" i="160"/>
  <c r="EQ114" i="160"/>
  <c r="EC114" i="160"/>
  <c r="DH114" i="160"/>
  <c r="EJ114" i="160"/>
  <c r="DV114" i="160"/>
  <c r="AG109" i="160"/>
  <c r="AG64" i="160"/>
  <c r="EK19" i="160"/>
  <c r="DP19" i="160"/>
  <c r="AH19" i="160"/>
  <c r="DI19" i="160"/>
  <c r="ER19" i="160"/>
  <c r="ED19" i="160"/>
  <c r="DB19" i="160"/>
  <c r="DW19" i="160"/>
  <c r="AG105" i="160"/>
  <c r="AG60" i="160"/>
  <c r="DB15" i="160"/>
  <c r="ER15" i="160"/>
  <c r="DP15" i="160"/>
  <c r="AH15" i="160"/>
  <c r="ED15" i="160"/>
  <c r="EK15" i="160"/>
  <c r="DI15" i="160"/>
  <c r="DW15" i="160"/>
  <c r="AG114" i="160"/>
  <c r="AG69" i="160"/>
  <c r="DI24" i="160"/>
  <c r="AH24" i="160"/>
  <c r="DW24" i="160"/>
  <c r="ED24" i="160"/>
  <c r="EK24" i="160"/>
  <c r="ER24" i="160"/>
  <c r="DB24" i="160"/>
  <c r="AG126" i="160"/>
  <c r="AG81" i="160"/>
  <c r="DB36" i="160"/>
  <c r="DI36" i="160"/>
  <c r="ED36" i="160"/>
  <c r="AH36" i="160"/>
  <c r="ER36" i="160"/>
  <c r="EK36" i="160"/>
  <c r="DW36" i="160"/>
  <c r="AG137" i="160"/>
  <c r="AG92" i="160"/>
  <c r="DI47" i="160"/>
  <c r="AH47" i="160"/>
  <c r="ED47" i="160"/>
  <c r="EK47" i="160"/>
  <c r="ER47" i="160"/>
  <c r="DB47" i="160"/>
  <c r="DW47" i="160"/>
  <c r="BQ83" i="160"/>
  <c r="DM83" i="160"/>
  <c r="BQ118" i="160"/>
  <c r="DM118" i="160"/>
  <c r="BQ81" i="160"/>
  <c r="DM81" i="160"/>
  <c r="BR26" i="160"/>
  <c r="DN26" i="160"/>
  <c r="BU99" i="160"/>
  <c r="DR99" i="160" s="1"/>
  <c r="DQ99" i="160"/>
  <c r="BQ35" i="160"/>
  <c r="DM35" i="160"/>
  <c r="BQ112" i="160"/>
  <c r="DM112" i="160"/>
  <c r="AG100" i="160"/>
  <c r="AG55" i="160"/>
  <c r="ED10" i="160"/>
  <c r="EK10" i="160"/>
  <c r="ER10" i="160"/>
  <c r="DB10" i="160"/>
  <c r="DI10" i="160"/>
  <c r="AH10" i="160"/>
  <c r="DP10" i="160"/>
  <c r="DW10" i="160"/>
  <c r="ER98" i="160"/>
  <c r="EK98" i="160"/>
  <c r="DB98" i="160"/>
  <c r="DP98" i="160"/>
  <c r="ED98" i="160"/>
  <c r="AH98" i="160"/>
  <c r="DI98" i="160"/>
  <c r="DW98" i="160"/>
  <c r="BQ32" i="160"/>
  <c r="DM32" i="160"/>
  <c r="EC78" i="160"/>
  <c r="DA78" i="160"/>
  <c r="EJ78" i="160"/>
  <c r="DH78" i="160"/>
  <c r="DV78" i="160"/>
  <c r="EQ78" i="160"/>
  <c r="BQ33" i="160"/>
  <c r="DM33" i="160"/>
  <c r="BQ47" i="160"/>
  <c r="DM47" i="160"/>
  <c r="BQ135" i="160"/>
  <c r="DM135" i="160"/>
  <c r="BQ128" i="160"/>
  <c r="DM128" i="160"/>
  <c r="DA62" i="160"/>
  <c r="EC62" i="160"/>
  <c r="EJ62" i="160"/>
  <c r="EQ62" i="160"/>
  <c r="DO62" i="160"/>
  <c r="DH62" i="160"/>
  <c r="DV62" i="160"/>
  <c r="DQ6" i="160"/>
  <c r="EE6" i="160"/>
  <c r="DJ6" i="160"/>
  <c r="EL6" i="160"/>
  <c r="ES6" i="160"/>
  <c r="AI6" i="160"/>
  <c r="DC6" i="160"/>
  <c r="DX6" i="160"/>
  <c r="AG113" i="160"/>
  <c r="AG68" i="160"/>
  <c r="ED23" i="160"/>
  <c r="EK23" i="160"/>
  <c r="ER23" i="160"/>
  <c r="DB23" i="160"/>
  <c r="DI23" i="160"/>
  <c r="AH23" i="160"/>
  <c r="DW23" i="160"/>
  <c r="AG127" i="160"/>
  <c r="AG82" i="160"/>
  <c r="EK37" i="160"/>
  <c r="ER37" i="160"/>
  <c r="DB37" i="160"/>
  <c r="DI37" i="160"/>
  <c r="ED37" i="160"/>
  <c r="DW37" i="160"/>
  <c r="AH37" i="160"/>
  <c r="AG123" i="160"/>
  <c r="AG78" i="160"/>
  <c r="EK33" i="160"/>
  <c r="DI33" i="160"/>
  <c r="ER33" i="160"/>
  <c r="ED33" i="160"/>
  <c r="AH33" i="160"/>
  <c r="DB33" i="160"/>
  <c r="DW33" i="160"/>
  <c r="AG130" i="160"/>
  <c r="AG85" i="160"/>
  <c r="DB40" i="160"/>
  <c r="DI40" i="160"/>
  <c r="AH40" i="160"/>
  <c r="ED40" i="160"/>
  <c r="EK40" i="160"/>
  <c r="ER40" i="160"/>
  <c r="DW40" i="160"/>
  <c r="AG120" i="160"/>
  <c r="AG75" i="160"/>
  <c r="EK30" i="160"/>
  <c r="ER30" i="160"/>
  <c r="ED30" i="160"/>
  <c r="DB30" i="160"/>
  <c r="DI30" i="160"/>
  <c r="AH30" i="160"/>
  <c r="DW30" i="160"/>
  <c r="BQ129" i="160"/>
  <c r="DM129" i="160"/>
  <c r="DH91" i="160"/>
  <c r="DO115" i="160"/>
  <c r="EJ115" i="160"/>
  <c r="EQ115" i="160"/>
  <c r="DH115" i="160"/>
  <c r="EC115" i="160"/>
  <c r="DA115" i="160"/>
  <c r="DV115" i="160"/>
  <c r="AG135" i="160"/>
  <c r="AG90" i="160"/>
  <c r="EK45" i="160"/>
  <c r="ER45" i="160"/>
  <c r="DB45" i="160"/>
  <c r="DI45" i="160"/>
  <c r="AH45" i="160"/>
  <c r="ED45" i="160"/>
  <c r="DW45" i="160"/>
  <c r="DJ7" i="160"/>
  <c r="DQ7" i="160"/>
  <c r="DC7" i="160"/>
  <c r="EE7" i="160"/>
  <c r="EL7" i="160"/>
  <c r="ES7" i="160"/>
  <c r="AI7" i="160"/>
  <c r="EU7" i="160" s="1"/>
  <c r="DX7" i="160"/>
  <c r="BQ80" i="160"/>
  <c r="DM80" i="160"/>
  <c r="DA85" i="160"/>
  <c r="BQ84" i="160"/>
  <c r="DM84" i="160"/>
  <c r="BQ36" i="160"/>
  <c r="DM36" i="160"/>
  <c r="BQ137" i="160"/>
  <c r="DM137" i="160"/>
  <c r="EC102" i="160"/>
  <c r="EJ102" i="160"/>
  <c r="DH102" i="160"/>
  <c r="DA102" i="160"/>
  <c r="DO102" i="160"/>
  <c r="EQ102" i="160"/>
  <c r="DV102" i="160"/>
  <c r="BQ86" i="160"/>
  <c r="DM86" i="160"/>
  <c r="BQ43" i="160"/>
  <c r="DM43" i="160"/>
  <c r="AG107" i="160"/>
  <c r="AG62" i="160"/>
  <c r="DI17" i="160"/>
  <c r="ER17" i="160"/>
  <c r="EK17" i="160"/>
  <c r="ED17" i="160"/>
  <c r="DB17" i="160"/>
  <c r="DP17" i="160"/>
  <c r="AH17" i="160"/>
  <c r="DW17" i="160"/>
  <c r="AG112" i="160"/>
  <c r="AG67" i="160"/>
  <c r="ER22" i="160"/>
  <c r="DB22" i="160"/>
  <c r="DI22" i="160"/>
  <c r="AH22" i="160"/>
  <c r="ED22" i="160"/>
  <c r="DW22" i="160"/>
  <c r="EK22" i="160"/>
  <c r="AG118" i="160"/>
  <c r="AG73" i="160"/>
  <c r="DB28" i="160"/>
  <c r="DI28" i="160"/>
  <c r="ED28" i="160"/>
  <c r="AH28" i="160"/>
  <c r="EK28" i="160"/>
  <c r="ER28" i="160"/>
  <c r="DW28" i="160"/>
  <c r="AG110" i="160"/>
  <c r="AG65" i="160"/>
  <c r="EK20" i="160"/>
  <c r="ER20" i="160"/>
  <c r="DB20" i="160"/>
  <c r="DP20" i="160"/>
  <c r="ED20" i="160"/>
  <c r="DI20" i="160"/>
  <c r="AH20" i="160"/>
  <c r="DW20" i="160"/>
  <c r="AG138" i="160"/>
  <c r="AG93" i="160"/>
  <c r="DB48" i="160"/>
  <c r="DI48" i="160"/>
  <c r="AH48" i="160"/>
  <c r="ED48" i="160"/>
  <c r="ER48" i="160"/>
  <c r="EK48" i="160"/>
  <c r="DW48" i="160"/>
  <c r="AG128" i="160"/>
  <c r="AG83" i="160"/>
  <c r="ED38" i="160"/>
  <c r="EK38" i="160"/>
  <c r="ER38" i="160"/>
  <c r="DI38" i="160"/>
  <c r="AH38" i="160"/>
  <c r="DB38" i="160"/>
  <c r="DW38" i="160"/>
  <c r="BR24" i="160"/>
  <c r="DN24" i="160"/>
  <c r="BQ76" i="160"/>
  <c r="DM76" i="160"/>
  <c r="BQ39" i="160"/>
  <c r="DM39" i="160"/>
  <c r="DA130" i="160"/>
  <c r="DV130" i="160"/>
  <c r="BR42" i="160"/>
  <c r="DN42" i="160"/>
  <c r="BQ125" i="160"/>
  <c r="DM125" i="160"/>
  <c r="BQ138" i="160"/>
  <c r="DM138" i="160"/>
  <c r="EX103" i="160"/>
  <c r="BQ119" i="160"/>
  <c r="DM119" i="160"/>
  <c r="BU54" i="160"/>
  <c r="DR54" i="160" s="1"/>
  <c r="DQ54" i="160"/>
  <c r="BQ48" i="160"/>
  <c r="DM48" i="160"/>
  <c r="BQ89" i="160"/>
  <c r="DM89" i="160"/>
  <c r="BQ94" i="160"/>
  <c r="DM94" i="160"/>
  <c r="AG119" i="160"/>
  <c r="AG74" i="160"/>
  <c r="EK29" i="160"/>
  <c r="ED29" i="160"/>
  <c r="DB29" i="160"/>
  <c r="ER29" i="160"/>
  <c r="DI29" i="160"/>
  <c r="AH29" i="160"/>
  <c r="DW29" i="160"/>
  <c r="ED51" i="160"/>
  <c r="EK51" i="160"/>
  <c r="ER51" i="160"/>
  <c r="DI51" i="160"/>
  <c r="DP51" i="160"/>
  <c r="AH51" i="160"/>
  <c r="DB51" i="160"/>
  <c r="DW51" i="160"/>
  <c r="AG121" i="160"/>
  <c r="AG76" i="160"/>
  <c r="DI31" i="160"/>
  <c r="EK31" i="160"/>
  <c r="ER31" i="160"/>
  <c r="ED31" i="160"/>
  <c r="AH31" i="160"/>
  <c r="DB31" i="160"/>
  <c r="DW31" i="160"/>
  <c r="AG132" i="160"/>
  <c r="AG87" i="160"/>
  <c r="ED42" i="160"/>
  <c r="EK42" i="160"/>
  <c r="ER42" i="160"/>
  <c r="DB42" i="160"/>
  <c r="DI42" i="160"/>
  <c r="AH42" i="160"/>
  <c r="DW42" i="160"/>
  <c r="DQ9" i="160"/>
  <c r="BU9" i="160"/>
  <c r="DR9" i="160" s="1"/>
  <c r="BQ38" i="160"/>
  <c r="DM38" i="160"/>
  <c r="BQ79" i="160"/>
  <c r="DM79" i="160"/>
  <c r="BQ40" i="160"/>
  <c r="DM40" i="160"/>
  <c r="AG134" i="160"/>
  <c r="AG89" i="160"/>
  <c r="DB44" i="160"/>
  <c r="DI44" i="160"/>
  <c r="AH44" i="160"/>
  <c r="ED44" i="160"/>
  <c r="ER44" i="160"/>
  <c r="EK44" i="160"/>
  <c r="DW44" i="160"/>
  <c r="BQ130" i="160"/>
  <c r="DM130" i="160"/>
  <c r="BQ133" i="160"/>
  <c r="DM133" i="160"/>
  <c r="BQ75" i="160"/>
  <c r="DM75" i="160"/>
  <c r="DV61" i="160"/>
  <c r="EC139" i="160"/>
  <c r="EJ139" i="160"/>
  <c r="DA139" i="160"/>
  <c r="DH139" i="160"/>
  <c r="EQ139" i="160"/>
  <c r="DV139" i="160"/>
  <c r="BK14" i="160"/>
  <c r="DG14" i="160"/>
  <c r="EJ131" i="160"/>
  <c r="DA131" i="160"/>
  <c r="DH131" i="160"/>
  <c r="EQ131" i="160"/>
  <c r="EC131" i="160"/>
  <c r="DV131" i="160"/>
  <c r="DH133" i="160"/>
  <c r="BQ126" i="160"/>
  <c r="DM126" i="160"/>
  <c r="AG104" i="160"/>
  <c r="AG59" i="160"/>
  <c r="DB14" i="160"/>
  <c r="ER14" i="160"/>
  <c r="DP14" i="160"/>
  <c r="AH14" i="160"/>
  <c r="ED14" i="160"/>
  <c r="EK14" i="160"/>
  <c r="DW14" i="160"/>
  <c r="AG139" i="160"/>
  <c r="AG94" i="160"/>
  <c r="DB49" i="160"/>
  <c r="DI49" i="160"/>
  <c r="ER49" i="160"/>
  <c r="ED49" i="160"/>
  <c r="AH49" i="160"/>
  <c r="EK49" i="160"/>
  <c r="DW49" i="160"/>
  <c r="AG116" i="160"/>
  <c r="DW26" i="160"/>
  <c r="ED26" i="160"/>
  <c r="EK26" i="160"/>
  <c r="ER26" i="160"/>
  <c r="DB26" i="160"/>
  <c r="DI26" i="160"/>
  <c r="AH26" i="160"/>
  <c r="AG125" i="160"/>
  <c r="AG80" i="160"/>
  <c r="DI35" i="160"/>
  <c r="EK35" i="160"/>
  <c r="ED35" i="160"/>
  <c r="AH35" i="160"/>
  <c r="DB35" i="160"/>
  <c r="ER35" i="160"/>
  <c r="DW35" i="160"/>
  <c r="AG136" i="160"/>
  <c r="AG91" i="160"/>
  <c r="ED46" i="160"/>
  <c r="EK46" i="160"/>
  <c r="ER46" i="160"/>
  <c r="DB46" i="160"/>
  <c r="DI46" i="160"/>
  <c r="AH46" i="160"/>
  <c r="DW46" i="160"/>
  <c r="DB52" i="160"/>
  <c r="DI52" i="160"/>
  <c r="DP52" i="160"/>
  <c r="ED52" i="160"/>
  <c r="ER52" i="160"/>
  <c r="EK52" i="160"/>
  <c r="AH52" i="160"/>
  <c r="DW52" i="160"/>
  <c r="BQ134" i="160"/>
  <c r="DM134" i="160"/>
  <c r="BQ78" i="160"/>
  <c r="DM78" i="160"/>
  <c r="BQ111" i="160"/>
  <c r="DM111" i="160"/>
  <c r="BQ28" i="160"/>
  <c r="DM28" i="160"/>
  <c r="DA123" i="160"/>
  <c r="DH123" i="160"/>
  <c r="EC123" i="160"/>
  <c r="EQ123" i="160"/>
  <c r="EJ123" i="160"/>
  <c r="DV123" i="160"/>
  <c r="AG124" i="160"/>
  <c r="AG79" i="160"/>
  <c r="EK34" i="160"/>
  <c r="ED34" i="160"/>
  <c r="DB34" i="160"/>
  <c r="AH34" i="160"/>
  <c r="DI34" i="160"/>
  <c r="ER34" i="160"/>
  <c r="DW34" i="160"/>
  <c r="BQ49" i="160"/>
  <c r="DM49" i="160"/>
  <c r="BQ120" i="160"/>
  <c r="DM120" i="160"/>
  <c r="EJ74" i="160"/>
  <c r="EQ74" i="160"/>
  <c r="DH74" i="160"/>
  <c r="EC74" i="160"/>
  <c r="DA74" i="160"/>
  <c r="DV74" i="160"/>
  <c r="EJ82" i="160"/>
  <c r="EC82" i="160"/>
  <c r="DA82" i="160"/>
  <c r="DV82" i="160"/>
  <c r="BQ31" i="160"/>
  <c r="DM31" i="160"/>
  <c r="DH55" i="160"/>
  <c r="DO55" i="160"/>
  <c r="EC55" i="160"/>
  <c r="EJ55" i="160"/>
  <c r="EQ55" i="160"/>
  <c r="DA55" i="160"/>
  <c r="DV55" i="160"/>
  <c r="BQ93" i="160"/>
  <c r="DM93" i="160"/>
  <c r="BQ92" i="160"/>
  <c r="DM92" i="160"/>
  <c r="BQ74" i="160"/>
  <c r="DM74" i="160"/>
  <c r="BQ67" i="160"/>
  <c r="DM67" i="160"/>
  <c r="DG59" i="160"/>
  <c r="BQ29" i="160"/>
  <c r="DM29" i="160"/>
  <c r="BQ127" i="160"/>
  <c r="DM127" i="160"/>
  <c r="AG106" i="160"/>
  <c r="AG61" i="160"/>
  <c r="DP16" i="160"/>
  <c r="ED16" i="160"/>
  <c r="DB16" i="160"/>
  <c r="EK16" i="160"/>
  <c r="DW16" i="160"/>
  <c r="AH16" i="160"/>
  <c r="DI16" i="160"/>
  <c r="ER16" i="160"/>
  <c r="AG102" i="160"/>
  <c r="AG57" i="160"/>
  <c r="DI12" i="160"/>
  <c r="AH12" i="160"/>
  <c r="DP12" i="160"/>
  <c r="ED12" i="160"/>
  <c r="EK12" i="160"/>
  <c r="DB12" i="160"/>
  <c r="ER12" i="160"/>
  <c r="DW12" i="160"/>
  <c r="AG111" i="160"/>
  <c r="DI21" i="160"/>
  <c r="ED21" i="160"/>
  <c r="ER21" i="160"/>
  <c r="EK21" i="160"/>
  <c r="DB21" i="160"/>
  <c r="AH21" i="160"/>
  <c r="DW21" i="160"/>
  <c r="AG131" i="160"/>
  <c r="AG86" i="160"/>
  <c r="EK41" i="160"/>
  <c r="ER41" i="160"/>
  <c r="DB41" i="160"/>
  <c r="DI41" i="160"/>
  <c r="AH41" i="160"/>
  <c r="ED41" i="160"/>
  <c r="DW41" i="160"/>
  <c r="AG129" i="160"/>
  <c r="AG84" i="160"/>
  <c r="DI39" i="160"/>
  <c r="AH39" i="160"/>
  <c r="ED39" i="160"/>
  <c r="EK39" i="160"/>
  <c r="ER39" i="160"/>
  <c r="DB39" i="160"/>
  <c r="DW39" i="160"/>
  <c r="ED96" i="160"/>
  <c r="DB96" i="160"/>
  <c r="AH96" i="160"/>
  <c r="EK96" i="160"/>
  <c r="ER96" i="160"/>
  <c r="DP96" i="160"/>
  <c r="DI96" i="160"/>
  <c r="DW96" i="160"/>
  <c r="DI97" i="160"/>
  <c r="ED97" i="160"/>
  <c r="ER97" i="160"/>
  <c r="DB97" i="160"/>
  <c r="DP97" i="160"/>
  <c r="AH97" i="160"/>
  <c r="EK97" i="160"/>
  <c r="DW97" i="160"/>
  <c r="BR23" i="160"/>
  <c r="DN23" i="160"/>
  <c r="BQ30" i="160"/>
  <c r="DM30" i="160"/>
  <c r="BQ123" i="160"/>
  <c r="DM123" i="160"/>
  <c r="AG115" i="160"/>
  <c r="AG70" i="160"/>
  <c r="ER25" i="160"/>
  <c r="DB25" i="160"/>
  <c r="DI25" i="160"/>
  <c r="AH25" i="160"/>
  <c r="DW25" i="160"/>
  <c r="ED25" i="160"/>
  <c r="EK25" i="160"/>
  <c r="BQ45" i="160"/>
  <c r="DM45" i="160"/>
  <c r="DA119" i="160"/>
  <c r="EJ119" i="160"/>
  <c r="DH119" i="160"/>
  <c r="EC119" i="160"/>
  <c r="EQ119" i="160"/>
  <c r="DV119" i="160"/>
  <c r="BQ121" i="160"/>
  <c r="DM121" i="160"/>
  <c r="BQ21" i="160"/>
  <c r="DM21" i="160"/>
  <c r="BQ122" i="160"/>
  <c r="DM122" i="160"/>
  <c r="BQ34" i="160"/>
  <c r="DM34" i="160"/>
  <c r="BQ85" i="160"/>
  <c r="DM85" i="160"/>
  <c r="DO68" i="160"/>
  <c r="DO100" i="160"/>
  <c r="EJ100" i="160"/>
  <c r="EQ100" i="160"/>
  <c r="EC100" i="160"/>
  <c r="DH100" i="160"/>
  <c r="DA100" i="160"/>
  <c r="DV100" i="160"/>
  <c r="DC8" i="160"/>
  <c r="DJ8" i="160"/>
  <c r="AI8" i="160"/>
  <c r="EU8" i="160" s="1"/>
  <c r="DQ8" i="160"/>
  <c r="DX8" i="160"/>
  <c r="EE8" i="160"/>
  <c r="EL8" i="160"/>
  <c r="ES8" i="160"/>
  <c r="BR46" i="160"/>
  <c r="DN46" i="160"/>
  <c r="DA75" i="160"/>
  <c r="DH75" i="160"/>
  <c r="EC75" i="160"/>
  <c r="EJ75" i="160"/>
  <c r="EQ75" i="160"/>
  <c r="DV75" i="160"/>
  <c r="EJ92" i="160"/>
  <c r="EQ69" i="160"/>
  <c r="DH69" i="160"/>
  <c r="EJ69" i="160"/>
  <c r="EC69" i="160"/>
  <c r="DO69" i="160"/>
  <c r="DA69" i="160"/>
  <c r="DV69" i="160"/>
  <c r="BQ73" i="160"/>
  <c r="DM73" i="160"/>
  <c r="BR25" i="160"/>
  <c r="DN25" i="160"/>
  <c r="BQ139" i="160"/>
  <c r="DM139" i="160"/>
  <c r="BQ90" i="160"/>
  <c r="DM90" i="160"/>
  <c r="BQ124" i="160"/>
  <c r="DM124" i="160"/>
  <c r="AG108" i="160"/>
  <c r="AG63" i="160"/>
  <c r="DI18" i="160"/>
  <c r="ER18" i="160"/>
  <c r="ED18" i="160"/>
  <c r="DP18" i="160"/>
  <c r="AH18" i="160"/>
  <c r="DB18" i="160"/>
  <c r="EK18" i="160"/>
  <c r="DW18" i="160"/>
  <c r="AG117" i="160"/>
  <c r="DB27" i="160"/>
  <c r="DI27" i="160"/>
  <c r="DP27" i="160"/>
  <c r="AH27" i="160"/>
  <c r="ED27" i="160"/>
  <c r="EK27" i="160"/>
  <c r="ER27" i="160"/>
  <c r="DW27" i="160"/>
  <c r="AG122" i="160"/>
  <c r="AG77" i="160"/>
  <c r="DI32" i="160"/>
  <c r="ER32" i="160"/>
  <c r="ED32" i="160"/>
  <c r="AH32" i="160"/>
  <c r="DB32" i="160"/>
  <c r="EK32" i="160"/>
  <c r="DW32" i="160"/>
  <c r="AG133" i="160"/>
  <c r="AG88" i="160"/>
  <c r="DI43" i="160"/>
  <c r="AH43" i="160"/>
  <c r="ED43" i="160"/>
  <c r="EK43" i="160"/>
  <c r="ER43" i="160"/>
  <c r="DB43" i="160"/>
  <c r="DW43" i="160"/>
  <c r="BQ82" i="160"/>
  <c r="DM82" i="160"/>
  <c r="BQ37" i="160"/>
  <c r="DM37" i="160"/>
  <c r="EC67" i="160" l="1"/>
  <c r="EQ82" i="160"/>
  <c r="EQ130" i="160"/>
  <c r="EC130" i="160"/>
  <c r="DV85" i="160"/>
  <c r="DH88" i="160"/>
  <c r="EJ88" i="160"/>
  <c r="EC88" i="160"/>
  <c r="DA88" i="160"/>
  <c r="DV88" i="160"/>
  <c r="EJ130" i="160"/>
  <c r="EQ85" i="160"/>
  <c r="DH85" i="160"/>
  <c r="DA113" i="160"/>
  <c r="DH129" i="160"/>
  <c r="EC84" i="160"/>
  <c r="DA133" i="160"/>
  <c r="EJ133" i="160"/>
  <c r="EJ124" i="160"/>
  <c r="EJ137" i="160"/>
  <c r="EC133" i="160"/>
  <c r="DA138" i="160"/>
  <c r="DV137" i="160"/>
  <c r="DA137" i="160"/>
  <c r="EQ133" i="160"/>
  <c r="EC85" i="160"/>
  <c r="DV124" i="160"/>
  <c r="EC137" i="160"/>
  <c r="DA124" i="160"/>
  <c r="DH137" i="160"/>
  <c r="EQ124" i="160"/>
  <c r="DV127" i="160"/>
  <c r="EJ127" i="160"/>
  <c r="DA127" i="160"/>
  <c r="EQ127" i="160"/>
  <c r="EC127" i="160"/>
  <c r="EJ134" i="160"/>
  <c r="DH136" i="160"/>
  <c r="EJ68" i="160"/>
  <c r="EQ134" i="160"/>
  <c r="EQ136" i="160"/>
  <c r="DH126" i="160"/>
  <c r="DV108" i="160"/>
  <c r="EQ84" i="160"/>
  <c r="DO91" i="160"/>
  <c r="EQ91" i="160"/>
  <c r="DA73" i="160"/>
  <c r="EC121" i="160"/>
  <c r="DA84" i="160"/>
  <c r="DA91" i="160"/>
  <c r="DH84" i="160"/>
  <c r="DA121" i="160"/>
  <c r="EC91" i="160"/>
  <c r="DH121" i="160"/>
  <c r="EJ91" i="160"/>
  <c r="DV121" i="160"/>
  <c r="EJ121" i="160"/>
  <c r="EJ108" i="160"/>
  <c r="DV84" i="160"/>
  <c r="DH92" i="160"/>
  <c r="EC61" i="160"/>
  <c r="DO105" i="160"/>
  <c r="DA92" i="160"/>
  <c r="DA61" i="160"/>
  <c r="DO61" i="160"/>
  <c r="EQ132" i="160"/>
  <c r="DH61" i="160"/>
  <c r="EQ61" i="160"/>
  <c r="DV92" i="160"/>
  <c r="EC92" i="160"/>
  <c r="DV79" i="160"/>
  <c r="DA89" i="160"/>
  <c r="DO104" i="160"/>
  <c r="EQ126" i="160"/>
  <c r="DV126" i="160"/>
  <c r="DA126" i="160"/>
  <c r="DV64" i="160"/>
  <c r="EJ126" i="160"/>
  <c r="DA64" i="160"/>
  <c r="EJ135" i="160"/>
  <c r="EC128" i="160"/>
  <c r="DA132" i="160"/>
  <c r="DH64" i="160"/>
  <c r="EQ105" i="160"/>
  <c r="DO132" i="160"/>
  <c r="EJ64" i="160"/>
  <c r="EJ132" i="160"/>
  <c r="EC64" i="160"/>
  <c r="DH132" i="160"/>
  <c r="EJ63" i="160"/>
  <c r="DV132" i="160"/>
  <c r="EQ64" i="160"/>
  <c r="EQ108" i="160"/>
  <c r="EJ104" i="160"/>
  <c r="DO113" i="160"/>
  <c r="CI31" i="135"/>
  <c r="EE31" i="135"/>
  <c r="DA108" i="160"/>
  <c r="EJ113" i="160"/>
  <c r="DV104" i="160"/>
  <c r="EQ109" i="160"/>
  <c r="DH113" i="160"/>
  <c r="CI46" i="135"/>
  <c r="EE46" i="135"/>
  <c r="DO108" i="160"/>
  <c r="EC108" i="160"/>
  <c r="EC104" i="160"/>
  <c r="EJ109" i="160"/>
  <c r="EC113" i="160"/>
  <c r="CP31" i="135"/>
  <c r="EL31" i="135"/>
  <c r="DA104" i="160"/>
  <c r="CP46" i="135"/>
  <c r="EL46" i="135"/>
  <c r="CW46" i="135"/>
  <c r="ES46" i="135"/>
  <c r="DA128" i="160"/>
  <c r="DV116" i="160"/>
  <c r="EQ104" i="160"/>
  <c r="CP16" i="135"/>
  <c r="EL16" i="135"/>
  <c r="DH135" i="160"/>
  <c r="CI16" i="135"/>
  <c r="EE16" i="135"/>
  <c r="EE54" i="135" s="1"/>
  <c r="EE56" i="135" s="1"/>
  <c r="EE57" i="135" s="1"/>
  <c r="EC79" i="160"/>
  <c r="DH68" i="160"/>
  <c r="DH134" i="160"/>
  <c r="DO136" i="160"/>
  <c r="EQ79" i="160"/>
  <c r="DH79" i="160"/>
  <c r="DV94" i="160"/>
  <c r="DV136" i="160"/>
  <c r="EC87" i="160"/>
  <c r="EJ79" i="160"/>
  <c r="EQ68" i="160"/>
  <c r="EC68" i="160"/>
  <c r="DV93" i="160"/>
  <c r="EC136" i="160"/>
  <c r="DH87" i="160"/>
  <c r="EJ136" i="160"/>
  <c r="DH89" i="160"/>
  <c r="EC89" i="160"/>
  <c r="DV68" i="160"/>
  <c r="DV134" i="160"/>
  <c r="EQ89" i="160"/>
  <c r="DA118" i="160"/>
  <c r="EJ112" i="160"/>
  <c r="DH128" i="160"/>
  <c r="DH63" i="160"/>
  <c r="DA135" i="160"/>
  <c r="DV90" i="160"/>
  <c r="DH109" i="160"/>
  <c r="EQ112" i="160"/>
  <c r="EJ90" i="160"/>
  <c r="DO63" i="160"/>
  <c r="EJ128" i="160"/>
  <c r="DO109" i="160"/>
  <c r="DV120" i="160"/>
  <c r="EC112" i="160"/>
  <c r="EQ128" i="160"/>
  <c r="DH94" i="160"/>
  <c r="DA134" i="160"/>
  <c r="DA90" i="160"/>
  <c r="DV89" i="160"/>
  <c r="EC124" i="160"/>
  <c r="EC120" i="160"/>
  <c r="DV135" i="160"/>
  <c r="EQ90" i="160"/>
  <c r="EQ120" i="160"/>
  <c r="DH112" i="160"/>
  <c r="DV63" i="160"/>
  <c r="EC63" i="160"/>
  <c r="DA67" i="160"/>
  <c r="DH86" i="160"/>
  <c r="EQ135" i="160"/>
  <c r="DH90" i="160"/>
  <c r="EQ87" i="160"/>
  <c r="EJ120" i="160"/>
  <c r="DV112" i="160"/>
  <c r="EQ63" i="160"/>
  <c r="DA109" i="160"/>
  <c r="DA120" i="160"/>
  <c r="DV76" i="160"/>
  <c r="DV87" i="160"/>
  <c r="DV77" i="160"/>
  <c r="DA87" i="160"/>
  <c r="DH105" i="160"/>
  <c r="EJ87" i="160"/>
  <c r="DA105" i="160"/>
  <c r="DO106" i="160"/>
  <c r="DV83" i="160"/>
  <c r="EJ105" i="160"/>
  <c r="DV111" i="160"/>
  <c r="DH59" i="160"/>
  <c r="EQ59" i="160"/>
  <c r="EQ70" i="160"/>
  <c r="EJ59" i="160"/>
  <c r="DV122" i="160"/>
  <c r="DO70" i="160"/>
  <c r="DV129" i="160"/>
  <c r="EC129" i="160"/>
  <c r="DH73" i="160"/>
  <c r="DH83" i="160"/>
  <c r="EC59" i="160"/>
  <c r="DA122" i="160"/>
  <c r="EJ117" i="160"/>
  <c r="DH70" i="160"/>
  <c r="EJ118" i="160"/>
  <c r="DA83" i="160"/>
  <c r="DH122" i="160"/>
  <c r="DA117" i="160"/>
  <c r="EQ83" i="160"/>
  <c r="DA129" i="160"/>
  <c r="EQ129" i="160"/>
  <c r="EC83" i="160"/>
  <c r="EQ122" i="160"/>
  <c r="DV106" i="160"/>
  <c r="EJ122" i="160"/>
  <c r="DH76" i="160"/>
  <c r="DH57" i="160"/>
  <c r="EC93" i="160"/>
  <c r="EJ60" i="160"/>
  <c r="EJ86" i="160"/>
  <c r="EJ77" i="160"/>
  <c r="DV67" i="160"/>
  <c r="DV86" i="160"/>
  <c r="DA57" i="160"/>
  <c r="DH60" i="160"/>
  <c r="DA86" i="160"/>
  <c r="EJ94" i="160"/>
  <c r="EJ76" i="160"/>
  <c r="EJ93" i="160"/>
  <c r="DA77" i="160"/>
  <c r="EQ86" i="160"/>
  <c r="EC94" i="160"/>
  <c r="EC76" i="160"/>
  <c r="DH93" i="160"/>
  <c r="EC77" i="160"/>
  <c r="DA94" i="160"/>
  <c r="EJ57" i="160"/>
  <c r="DA93" i="160"/>
  <c r="DH77" i="160"/>
  <c r="DV60" i="160"/>
  <c r="DH110" i="160"/>
  <c r="DO57" i="160"/>
  <c r="DO60" i="160"/>
  <c r="EQ106" i="160"/>
  <c r="DA76" i="160"/>
  <c r="EC109" i="160"/>
  <c r="EQ117" i="160"/>
  <c r="EC70" i="160"/>
  <c r="DV105" i="160"/>
  <c r="EQ60" i="160"/>
  <c r="DH111" i="160"/>
  <c r="DH107" i="160"/>
  <c r="DO116" i="160"/>
  <c r="DA110" i="160"/>
  <c r="EQ73" i="160"/>
  <c r="EC73" i="160"/>
  <c r="DA116" i="160"/>
  <c r="EQ110" i="160"/>
  <c r="DH116" i="160"/>
  <c r="EQ80" i="160"/>
  <c r="EQ116" i="160"/>
  <c r="DV125" i="160"/>
  <c r="DV73" i="160"/>
  <c r="EC116" i="160"/>
  <c r="DH125" i="160"/>
  <c r="DH106" i="160"/>
  <c r="EJ111" i="160"/>
  <c r="DH67" i="160"/>
  <c r="DO107" i="160"/>
  <c r="EQ57" i="160"/>
  <c r="DV117" i="160"/>
  <c r="EC125" i="160"/>
  <c r="DH80" i="160"/>
  <c r="DA107" i="160"/>
  <c r="DA80" i="160"/>
  <c r="EJ106" i="160"/>
  <c r="EC111" i="160"/>
  <c r="EQ67" i="160"/>
  <c r="EJ107" i="160"/>
  <c r="DV138" i="160"/>
  <c r="DV59" i="160"/>
  <c r="DO117" i="160"/>
  <c r="DA125" i="160"/>
  <c r="DV70" i="160"/>
  <c r="EJ80" i="160"/>
  <c r="DA106" i="160"/>
  <c r="DA111" i="160"/>
  <c r="EQ107" i="160"/>
  <c r="EQ138" i="160"/>
  <c r="DV57" i="160"/>
  <c r="DV110" i="160"/>
  <c r="DO59" i="160"/>
  <c r="EC117" i="160"/>
  <c r="EJ125" i="160"/>
  <c r="EJ70" i="160"/>
  <c r="EC80" i="160"/>
  <c r="EC107" i="160"/>
  <c r="EJ138" i="160"/>
  <c r="EC138" i="160"/>
  <c r="EJ110" i="160"/>
  <c r="DV65" i="160"/>
  <c r="DA65" i="160"/>
  <c r="DV118" i="160"/>
  <c r="EJ65" i="160"/>
  <c r="EQ118" i="160"/>
  <c r="DH65" i="160"/>
  <c r="DH118" i="160"/>
  <c r="DO65" i="160"/>
  <c r="EQ65" i="160"/>
  <c r="EC110" i="160"/>
  <c r="EX99" i="160"/>
  <c r="FF11" i="160"/>
  <c r="FH9" i="160"/>
  <c r="EX54" i="160"/>
  <c r="FF13" i="160"/>
  <c r="EX9" i="160"/>
  <c r="BR73" i="160"/>
  <c r="DN73" i="160"/>
  <c r="AH77" i="160"/>
  <c r="DB77" i="160"/>
  <c r="EK77" i="160"/>
  <c r="DI77" i="160"/>
  <c r="ED77" i="160"/>
  <c r="ER77" i="160"/>
  <c r="DW77" i="160"/>
  <c r="BR122" i="160"/>
  <c r="DN122" i="160"/>
  <c r="DC25" i="160"/>
  <c r="DJ25" i="160"/>
  <c r="AI25" i="160"/>
  <c r="EE25" i="160"/>
  <c r="EL25" i="160"/>
  <c r="ES25" i="160"/>
  <c r="DX25" i="160"/>
  <c r="DI84" i="160"/>
  <c r="EK84" i="160"/>
  <c r="AH84" i="160"/>
  <c r="ER84" i="160"/>
  <c r="ED84" i="160"/>
  <c r="DB84" i="160"/>
  <c r="DW84" i="160"/>
  <c r="DB106" i="160"/>
  <c r="EK106" i="160"/>
  <c r="DI106" i="160"/>
  <c r="AH106" i="160"/>
  <c r="ED106" i="160"/>
  <c r="DW106" i="160"/>
  <c r="DP106" i="160"/>
  <c r="ER106" i="160"/>
  <c r="AH125" i="160"/>
  <c r="EK125" i="160"/>
  <c r="DB125" i="160"/>
  <c r="ER125" i="160"/>
  <c r="ED125" i="160"/>
  <c r="DI125" i="160"/>
  <c r="DW125" i="160"/>
  <c r="DC14" i="160"/>
  <c r="DQ14" i="160"/>
  <c r="AI14" i="160"/>
  <c r="EE14" i="160"/>
  <c r="EL14" i="160"/>
  <c r="ES14" i="160"/>
  <c r="DX14" i="160"/>
  <c r="DC44" i="160"/>
  <c r="DJ44" i="160"/>
  <c r="AI44" i="160"/>
  <c r="DX44" i="160"/>
  <c r="EE44" i="160"/>
  <c r="EL44" i="160"/>
  <c r="ES44" i="160"/>
  <c r="BR79" i="160"/>
  <c r="DN79" i="160"/>
  <c r="ER121" i="160"/>
  <c r="AH121" i="160"/>
  <c r="ED121" i="160"/>
  <c r="DB121" i="160"/>
  <c r="EK121" i="160"/>
  <c r="DI121" i="160"/>
  <c r="DW121" i="160"/>
  <c r="ER83" i="160"/>
  <c r="ED83" i="160"/>
  <c r="DB83" i="160"/>
  <c r="AH83" i="160"/>
  <c r="EK83" i="160"/>
  <c r="DI83" i="160"/>
  <c r="DW83" i="160"/>
  <c r="EK78" i="160"/>
  <c r="DI78" i="160"/>
  <c r="ER78" i="160"/>
  <c r="AH78" i="160"/>
  <c r="DW78" i="160"/>
  <c r="ED78" i="160"/>
  <c r="DB78" i="160"/>
  <c r="DY6" i="160"/>
  <c r="EY6" i="160" s="1"/>
  <c r="EF6" i="160"/>
  <c r="EZ6" i="160" s="1"/>
  <c r="DR6" i="160"/>
  <c r="EX6" i="160" s="1"/>
  <c r="EM6" i="160"/>
  <c r="FA6" i="160" s="1"/>
  <c r="ET6" i="160"/>
  <c r="FB6" i="160" s="1"/>
  <c r="DD6" i="160"/>
  <c r="EV6" i="160" s="1"/>
  <c r="DK6" i="160"/>
  <c r="EW6" i="160" s="1"/>
  <c r="EU6" i="160"/>
  <c r="ER137" i="160"/>
  <c r="AH137" i="160"/>
  <c r="EK137" i="160"/>
  <c r="DI137" i="160"/>
  <c r="ED137" i="160"/>
  <c r="DB137" i="160"/>
  <c r="DW137" i="160"/>
  <c r="AI24" i="160"/>
  <c r="EU24" i="160" s="1"/>
  <c r="EE24" i="160"/>
  <c r="EL24" i="160"/>
  <c r="ES24" i="160"/>
  <c r="DC24" i="160"/>
  <c r="DJ24" i="160"/>
  <c r="DX24" i="160"/>
  <c r="ED109" i="160"/>
  <c r="DB109" i="160"/>
  <c r="ER109" i="160"/>
  <c r="AH109" i="160"/>
  <c r="DI109" i="160"/>
  <c r="EK109" i="160"/>
  <c r="DP109" i="160"/>
  <c r="DW109" i="160"/>
  <c r="BS46" i="160"/>
  <c r="DO46" i="160"/>
  <c r="BR85" i="160"/>
  <c r="DN85" i="160"/>
  <c r="BR123" i="160"/>
  <c r="DN123" i="160"/>
  <c r="AH129" i="160"/>
  <c r="ED129" i="160"/>
  <c r="ER129" i="160"/>
  <c r="EK129" i="160"/>
  <c r="DI129" i="160"/>
  <c r="DB129" i="160"/>
  <c r="DW129" i="160"/>
  <c r="EL16" i="160"/>
  <c r="DC16" i="160"/>
  <c r="AI16" i="160"/>
  <c r="EU16" i="160" s="1"/>
  <c r="DJ16" i="160"/>
  <c r="DQ16" i="160"/>
  <c r="ES16" i="160"/>
  <c r="EE16" i="160"/>
  <c r="DX16" i="160"/>
  <c r="BR127" i="160"/>
  <c r="DN127" i="160"/>
  <c r="EE34" i="160"/>
  <c r="ES34" i="160"/>
  <c r="DC34" i="160"/>
  <c r="AI34" i="160"/>
  <c r="EL34" i="160"/>
  <c r="DX34" i="160"/>
  <c r="DJ34" i="160"/>
  <c r="BR111" i="160"/>
  <c r="DN111" i="160"/>
  <c r="ER74" i="160"/>
  <c r="DB74" i="160"/>
  <c r="AH74" i="160"/>
  <c r="ED74" i="160"/>
  <c r="DI74" i="160"/>
  <c r="EK74" i="160"/>
  <c r="DW74" i="160"/>
  <c r="BR125" i="160"/>
  <c r="DN125" i="160"/>
  <c r="ED128" i="160"/>
  <c r="EK128" i="160"/>
  <c r="DI128" i="160"/>
  <c r="ER128" i="160"/>
  <c r="DB128" i="160"/>
  <c r="AH128" i="160"/>
  <c r="DW128" i="160"/>
  <c r="DJ28" i="160"/>
  <c r="DX28" i="160"/>
  <c r="EE28" i="160"/>
  <c r="AI28" i="160"/>
  <c r="EL28" i="160"/>
  <c r="ES28" i="160"/>
  <c r="DC28" i="160"/>
  <c r="ER67" i="160"/>
  <c r="DB67" i="160"/>
  <c r="AH67" i="160"/>
  <c r="ED67" i="160"/>
  <c r="DI67" i="160"/>
  <c r="EK67" i="160"/>
  <c r="DW67" i="160"/>
  <c r="DI123" i="160"/>
  <c r="AH123" i="160"/>
  <c r="ED123" i="160"/>
  <c r="EK123" i="160"/>
  <c r="DB123" i="160"/>
  <c r="ER123" i="160"/>
  <c r="DW123" i="160"/>
  <c r="BS26" i="160"/>
  <c r="DO26" i="160"/>
  <c r="BR118" i="160"/>
  <c r="DN118" i="160"/>
  <c r="DB81" i="160"/>
  <c r="ED81" i="160"/>
  <c r="ER81" i="160"/>
  <c r="AH81" i="160"/>
  <c r="EK81" i="160"/>
  <c r="DI81" i="160"/>
  <c r="DW81" i="160"/>
  <c r="DJ15" i="160"/>
  <c r="DX15" i="160"/>
  <c r="EE15" i="160"/>
  <c r="DC15" i="160"/>
  <c r="DQ15" i="160"/>
  <c r="EL15" i="160"/>
  <c r="ES15" i="160"/>
  <c r="AI15" i="160"/>
  <c r="EU15" i="160" s="1"/>
  <c r="BR77" i="160"/>
  <c r="DN77" i="160"/>
  <c r="BR22" i="160"/>
  <c r="DN22" i="160"/>
  <c r="BR37" i="160"/>
  <c r="DN37" i="160"/>
  <c r="BR90" i="160"/>
  <c r="DN90" i="160"/>
  <c r="BR21" i="160"/>
  <c r="DN21" i="160"/>
  <c r="EK86" i="160"/>
  <c r="DI86" i="160"/>
  <c r="ED86" i="160"/>
  <c r="AH86" i="160"/>
  <c r="ER86" i="160"/>
  <c r="DB86" i="160"/>
  <c r="DW86" i="160"/>
  <c r="BR92" i="160"/>
  <c r="DN92" i="160"/>
  <c r="DJ52" i="160"/>
  <c r="DQ52" i="160"/>
  <c r="EE52" i="160"/>
  <c r="EL52" i="160"/>
  <c r="AI52" i="160"/>
  <c r="DC52" i="160"/>
  <c r="ES52" i="160"/>
  <c r="DX52" i="160"/>
  <c r="EE26" i="160"/>
  <c r="EL26" i="160"/>
  <c r="ES26" i="160"/>
  <c r="DC26" i="160"/>
  <c r="DJ26" i="160"/>
  <c r="AI26" i="160"/>
  <c r="DX26" i="160"/>
  <c r="ER116" i="160"/>
  <c r="ED116" i="160"/>
  <c r="DB116" i="160"/>
  <c r="DI116" i="160"/>
  <c r="AH116" i="160"/>
  <c r="EK116" i="160"/>
  <c r="DP116" i="160"/>
  <c r="DW116" i="160"/>
  <c r="AI31" i="160"/>
  <c r="EE31" i="160"/>
  <c r="ES31" i="160"/>
  <c r="DC31" i="160"/>
  <c r="EL31" i="160"/>
  <c r="DX31" i="160"/>
  <c r="DJ31" i="160"/>
  <c r="ES29" i="160"/>
  <c r="EL29" i="160"/>
  <c r="DC29" i="160"/>
  <c r="DJ29" i="160"/>
  <c r="AI29" i="160"/>
  <c r="EU29" i="160" s="1"/>
  <c r="EE29" i="160"/>
  <c r="DX29" i="160"/>
  <c r="DI119" i="160"/>
  <c r="ER119" i="160"/>
  <c r="ED119" i="160"/>
  <c r="AH119" i="160"/>
  <c r="DB119" i="160"/>
  <c r="EK119" i="160"/>
  <c r="DW119" i="160"/>
  <c r="BR94" i="160"/>
  <c r="DN94" i="160"/>
  <c r="BR138" i="160"/>
  <c r="DN138" i="160"/>
  <c r="EE38" i="160"/>
  <c r="EL38" i="160"/>
  <c r="ES38" i="160"/>
  <c r="DC38" i="160"/>
  <c r="DJ38" i="160"/>
  <c r="AI38" i="160"/>
  <c r="DX38" i="160"/>
  <c r="EK93" i="160"/>
  <c r="DB93" i="160"/>
  <c r="DI93" i="160"/>
  <c r="AH93" i="160"/>
  <c r="ED93" i="160"/>
  <c r="ER93" i="160"/>
  <c r="DW93" i="160"/>
  <c r="AH112" i="160"/>
  <c r="EK112" i="160"/>
  <c r="ER112" i="160"/>
  <c r="ED112" i="160"/>
  <c r="DB112" i="160"/>
  <c r="DI112" i="160"/>
  <c r="DW112" i="160"/>
  <c r="BR36" i="160"/>
  <c r="DN36" i="160"/>
  <c r="BR80" i="160"/>
  <c r="DN80" i="160"/>
  <c r="BR129" i="160"/>
  <c r="DN129" i="160"/>
  <c r="DC40" i="160"/>
  <c r="DJ40" i="160"/>
  <c r="AI40" i="160"/>
  <c r="DX40" i="160"/>
  <c r="EE40" i="160"/>
  <c r="EL40" i="160"/>
  <c r="ES40" i="160"/>
  <c r="ES33" i="160"/>
  <c r="DC33" i="160"/>
  <c r="AI33" i="160"/>
  <c r="EU33" i="160" s="1"/>
  <c r="EE33" i="160"/>
  <c r="EL33" i="160"/>
  <c r="DX33" i="160"/>
  <c r="DJ33" i="160"/>
  <c r="ES37" i="160"/>
  <c r="DC37" i="160"/>
  <c r="DJ37" i="160"/>
  <c r="AI37" i="160"/>
  <c r="EU37" i="160" s="1"/>
  <c r="EL37" i="160"/>
  <c r="EE37" i="160"/>
  <c r="DX37" i="160"/>
  <c r="DI82" i="160"/>
  <c r="ER82" i="160"/>
  <c r="AH82" i="160"/>
  <c r="ED82" i="160"/>
  <c r="DB82" i="160"/>
  <c r="EK82" i="160"/>
  <c r="DW82" i="160"/>
  <c r="BR112" i="160"/>
  <c r="DN112" i="160"/>
  <c r="DB126" i="160"/>
  <c r="AH126" i="160"/>
  <c r="EK126" i="160"/>
  <c r="ED126" i="160"/>
  <c r="ER126" i="160"/>
  <c r="DI126" i="160"/>
  <c r="DW126" i="160"/>
  <c r="BR44" i="160"/>
  <c r="DN44" i="160"/>
  <c r="AI43" i="160"/>
  <c r="DX43" i="160"/>
  <c r="EE43" i="160"/>
  <c r="EL43" i="160"/>
  <c r="ES43" i="160"/>
  <c r="DJ43" i="160"/>
  <c r="DC43" i="160"/>
  <c r="DC32" i="160"/>
  <c r="AI32" i="160"/>
  <c r="EE32" i="160"/>
  <c r="EL32" i="160"/>
  <c r="DX32" i="160"/>
  <c r="DJ32" i="160"/>
  <c r="ES32" i="160"/>
  <c r="DI117" i="160"/>
  <c r="AH117" i="160"/>
  <c r="EK117" i="160"/>
  <c r="ER117" i="160"/>
  <c r="DW117" i="160"/>
  <c r="DP117" i="160"/>
  <c r="DB117" i="160"/>
  <c r="ED117" i="160"/>
  <c r="DK8" i="160"/>
  <c r="EW8" i="160" s="1"/>
  <c r="DR8" i="160"/>
  <c r="EX8" i="160" s="1"/>
  <c r="DD8" i="160"/>
  <c r="EV8" i="160" s="1"/>
  <c r="EF8" i="160"/>
  <c r="EZ8" i="160" s="1"/>
  <c r="EM8" i="160"/>
  <c r="FA8" i="160" s="1"/>
  <c r="ET8" i="160"/>
  <c r="FB8" i="160" s="1"/>
  <c r="DY8" i="160"/>
  <c r="EY8" i="160" s="1"/>
  <c r="BR45" i="160"/>
  <c r="DN45" i="160"/>
  <c r="EK131" i="160"/>
  <c r="DB131" i="160"/>
  <c r="DI131" i="160"/>
  <c r="ER131" i="160"/>
  <c r="AH131" i="160"/>
  <c r="ED131" i="160"/>
  <c r="DW131" i="160"/>
  <c r="DQ12" i="160"/>
  <c r="EE12" i="160"/>
  <c r="DJ12" i="160"/>
  <c r="EL12" i="160"/>
  <c r="ES12" i="160"/>
  <c r="AI12" i="160"/>
  <c r="EU12" i="160" s="1"/>
  <c r="DC12" i="160"/>
  <c r="DX12" i="160"/>
  <c r="BR78" i="160"/>
  <c r="DN78" i="160"/>
  <c r="AI35" i="160"/>
  <c r="EU35" i="160" s="1"/>
  <c r="EE35" i="160"/>
  <c r="ES35" i="160"/>
  <c r="DC35" i="160"/>
  <c r="EL35" i="160"/>
  <c r="DX35" i="160"/>
  <c r="DJ35" i="160"/>
  <c r="EK94" i="160"/>
  <c r="DI94" i="160"/>
  <c r="ER94" i="160"/>
  <c r="ED94" i="160"/>
  <c r="DB94" i="160"/>
  <c r="AH94" i="160"/>
  <c r="DW94" i="160"/>
  <c r="BR40" i="160"/>
  <c r="DN40" i="160"/>
  <c r="EE51" i="160"/>
  <c r="EL51" i="160"/>
  <c r="ES51" i="160"/>
  <c r="AI51" i="160"/>
  <c r="EU51" i="160" s="1"/>
  <c r="DQ51" i="160"/>
  <c r="DJ51" i="160"/>
  <c r="DC51" i="160"/>
  <c r="DX51" i="160"/>
  <c r="BS42" i="160"/>
  <c r="DO42" i="160"/>
  <c r="DI138" i="160"/>
  <c r="AH138" i="160"/>
  <c r="EK138" i="160"/>
  <c r="ER138" i="160"/>
  <c r="DB138" i="160"/>
  <c r="ED138" i="160"/>
  <c r="DW138" i="160"/>
  <c r="BR86" i="160"/>
  <c r="DN86" i="160"/>
  <c r="DI75" i="160"/>
  <c r="AH75" i="160"/>
  <c r="EK75" i="160"/>
  <c r="ER75" i="160"/>
  <c r="ED75" i="160"/>
  <c r="DB75" i="160"/>
  <c r="DW75" i="160"/>
  <c r="AH127" i="160"/>
  <c r="EK127" i="160"/>
  <c r="DB127" i="160"/>
  <c r="ED127" i="160"/>
  <c r="ER127" i="160"/>
  <c r="DI127" i="160"/>
  <c r="DW127" i="160"/>
  <c r="BR135" i="160"/>
  <c r="DN135" i="160"/>
  <c r="BR33" i="160"/>
  <c r="DN33" i="160"/>
  <c r="DB69" i="160"/>
  <c r="DP69" i="160"/>
  <c r="AH69" i="160"/>
  <c r="EK69" i="160"/>
  <c r="DI69" i="160"/>
  <c r="ER69" i="160"/>
  <c r="ED69" i="160"/>
  <c r="DW69" i="160"/>
  <c r="BR131" i="160"/>
  <c r="DN131" i="160"/>
  <c r="ER122" i="160"/>
  <c r="DB122" i="160"/>
  <c r="AH122" i="160"/>
  <c r="DI122" i="160"/>
  <c r="EK122" i="160"/>
  <c r="ED122" i="160"/>
  <c r="DW122" i="160"/>
  <c r="BS25" i="160"/>
  <c r="DO25" i="160"/>
  <c r="DP63" i="160"/>
  <c r="AH63" i="160"/>
  <c r="ED63" i="160"/>
  <c r="ER63" i="160"/>
  <c r="DB63" i="160"/>
  <c r="DI63" i="160"/>
  <c r="EK63" i="160"/>
  <c r="DW63" i="160"/>
  <c r="BR34" i="160"/>
  <c r="DN34" i="160"/>
  <c r="BR30" i="160"/>
  <c r="DN30" i="160"/>
  <c r="BS23" i="160"/>
  <c r="DO23" i="160"/>
  <c r="DQ97" i="160"/>
  <c r="DC97" i="160"/>
  <c r="AI97" i="160"/>
  <c r="ES97" i="160"/>
  <c r="EE97" i="160"/>
  <c r="EL97" i="160"/>
  <c r="DJ97" i="160"/>
  <c r="DX97" i="160"/>
  <c r="EL96" i="160"/>
  <c r="DQ96" i="160"/>
  <c r="DC96" i="160"/>
  <c r="ES96" i="160"/>
  <c r="EE96" i="160"/>
  <c r="AI96" i="160"/>
  <c r="DJ96" i="160"/>
  <c r="DX96" i="160"/>
  <c r="ES41" i="160"/>
  <c r="DC41" i="160"/>
  <c r="DJ41" i="160"/>
  <c r="AI41" i="160"/>
  <c r="EL41" i="160"/>
  <c r="EE41" i="160"/>
  <c r="DX41" i="160"/>
  <c r="AH111" i="160"/>
  <c r="EK111" i="160"/>
  <c r="DB111" i="160"/>
  <c r="ER111" i="160"/>
  <c r="DI111" i="160"/>
  <c r="ED111" i="160"/>
  <c r="DW111" i="160"/>
  <c r="BR67" i="160"/>
  <c r="DN67" i="160"/>
  <c r="ED139" i="160"/>
  <c r="EK139" i="160"/>
  <c r="ER139" i="160"/>
  <c r="DB139" i="160"/>
  <c r="DI139" i="160"/>
  <c r="AH139" i="160"/>
  <c r="DW139" i="160"/>
  <c r="BR133" i="160"/>
  <c r="DN133" i="160"/>
  <c r="DB89" i="160"/>
  <c r="ED89" i="160"/>
  <c r="EK89" i="160"/>
  <c r="DI89" i="160"/>
  <c r="ER89" i="160"/>
  <c r="AH89" i="160"/>
  <c r="DW89" i="160"/>
  <c r="BS24" i="160"/>
  <c r="DO24" i="160"/>
  <c r="DB65" i="160"/>
  <c r="DI65" i="160"/>
  <c r="ED65" i="160"/>
  <c r="EK65" i="160"/>
  <c r="AH65" i="160"/>
  <c r="DP65" i="160"/>
  <c r="ER65" i="160"/>
  <c r="DW65" i="160"/>
  <c r="DC22" i="160"/>
  <c r="DJ22" i="160"/>
  <c r="AI22" i="160"/>
  <c r="EL22" i="160"/>
  <c r="ES22" i="160"/>
  <c r="EE22" i="160"/>
  <c r="DX22" i="160"/>
  <c r="DB62" i="160"/>
  <c r="DI62" i="160"/>
  <c r="ED62" i="160"/>
  <c r="EK62" i="160"/>
  <c r="ER62" i="160"/>
  <c r="AH62" i="160"/>
  <c r="DP62" i="160"/>
  <c r="DW62" i="160"/>
  <c r="BR84" i="160"/>
  <c r="DN84" i="160"/>
  <c r="EE30" i="160"/>
  <c r="ES30" i="160"/>
  <c r="DC30" i="160"/>
  <c r="EL30" i="160"/>
  <c r="DX30" i="160"/>
  <c r="DJ30" i="160"/>
  <c r="AI30" i="160"/>
  <c r="ED120" i="160"/>
  <c r="EK120" i="160"/>
  <c r="DI120" i="160"/>
  <c r="ER120" i="160"/>
  <c r="AH120" i="160"/>
  <c r="DB120" i="160"/>
  <c r="DW120" i="160"/>
  <c r="ED68" i="160"/>
  <c r="EK68" i="160"/>
  <c r="DI68" i="160"/>
  <c r="ER68" i="160"/>
  <c r="AH68" i="160"/>
  <c r="DB68" i="160"/>
  <c r="DP68" i="160"/>
  <c r="DW68" i="160"/>
  <c r="BR81" i="160"/>
  <c r="DN81" i="160"/>
  <c r="AI47" i="160"/>
  <c r="DX47" i="160"/>
  <c r="EE47" i="160"/>
  <c r="EL47" i="160"/>
  <c r="ES47" i="160"/>
  <c r="DJ47" i="160"/>
  <c r="DC47" i="160"/>
  <c r="DB114" i="160"/>
  <c r="ER114" i="160"/>
  <c r="AH114" i="160"/>
  <c r="ED114" i="160"/>
  <c r="DP114" i="160"/>
  <c r="EK114" i="160"/>
  <c r="DI114" i="160"/>
  <c r="DW114" i="160"/>
  <c r="ES19" i="160"/>
  <c r="DC19" i="160"/>
  <c r="DJ19" i="160"/>
  <c r="EE19" i="160"/>
  <c r="AI19" i="160"/>
  <c r="EU19" i="160" s="1"/>
  <c r="DQ19" i="160"/>
  <c r="EL19" i="160"/>
  <c r="DX19" i="160"/>
  <c r="BR121" i="160"/>
  <c r="DN121" i="160"/>
  <c r="DP70" i="160"/>
  <c r="AH70" i="160"/>
  <c r="EK70" i="160"/>
  <c r="DI70" i="160"/>
  <c r="ER70" i="160"/>
  <c r="DB70" i="160"/>
  <c r="ED70" i="160"/>
  <c r="DW70" i="160"/>
  <c r="AI39" i="160"/>
  <c r="DX39" i="160"/>
  <c r="EE39" i="160"/>
  <c r="EL39" i="160"/>
  <c r="ES39" i="160"/>
  <c r="DC39" i="160"/>
  <c r="DJ39" i="160"/>
  <c r="AI21" i="160"/>
  <c r="EE21" i="160"/>
  <c r="EL21" i="160"/>
  <c r="DJ21" i="160"/>
  <c r="DX21" i="160"/>
  <c r="DC21" i="160"/>
  <c r="ES21" i="160"/>
  <c r="DB57" i="160"/>
  <c r="DI57" i="160"/>
  <c r="AH57" i="160"/>
  <c r="DP57" i="160"/>
  <c r="ED57" i="160"/>
  <c r="EK57" i="160"/>
  <c r="ER57" i="160"/>
  <c r="DW57" i="160"/>
  <c r="BR93" i="160"/>
  <c r="DN93" i="160"/>
  <c r="BR49" i="160"/>
  <c r="DN49" i="160"/>
  <c r="ER91" i="160"/>
  <c r="ED91" i="160"/>
  <c r="DB91" i="160"/>
  <c r="EK91" i="160"/>
  <c r="DI91" i="160"/>
  <c r="DP91" i="160"/>
  <c r="AH91" i="160"/>
  <c r="DW91" i="160"/>
  <c r="DJ49" i="160"/>
  <c r="AI49" i="160"/>
  <c r="EU49" i="160" s="1"/>
  <c r="ES49" i="160"/>
  <c r="DC49" i="160"/>
  <c r="EE49" i="160"/>
  <c r="EL49" i="160"/>
  <c r="DX49" i="160"/>
  <c r="EK59" i="160"/>
  <c r="ER59" i="160"/>
  <c r="DB59" i="160"/>
  <c r="DI59" i="160"/>
  <c r="DP59" i="160"/>
  <c r="AH59" i="160"/>
  <c r="ED59" i="160"/>
  <c r="DW59" i="160"/>
  <c r="BR126" i="160"/>
  <c r="DN126" i="160"/>
  <c r="ER134" i="160"/>
  <c r="AH134" i="160"/>
  <c r="ED134" i="160"/>
  <c r="EK134" i="160"/>
  <c r="DB134" i="160"/>
  <c r="DW134" i="160"/>
  <c r="DI134" i="160"/>
  <c r="BR38" i="160"/>
  <c r="DN38" i="160"/>
  <c r="DP87" i="160"/>
  <c r="AH87" i="160"/>
  <c r="ED87" i="160"/>
  <c r="DB87" i="160"/>
  <c r="ER87" i="160"/>
  <c r="EK87" i="160"/>
  <c r="DI87" i="160"/>
  <c r="DW87" i="160"/>
  <c r="BR48" i="160"/>
  <c r="DN48" i="160"/>
  <c r="BR119" i="160"/>
  <c r="DN119" i="160"/>
  <c r="EE20" i="160"/>
  <c r="ES20" i="160"/>
  <c r="DJ20" i="160"/>
  <c r="AI20" i="160"/>
  <c r="DX20" i="160"/>
  <c r="EL20" i="160"/>
  <c r="DC20" i="160"/>
  <c r="DQ20" i="160"/>
  <c r="ER110" i="160"/>
  <c r="DP110" i="160"/>
  <c r="AH110" i="160"/>
  <c r="DB110" i="160"/>
  <c r="EK110" i="160"/>
  <c r="DI110" i="160"/>
  <c r="ED110" i="160"/>
  <c r="DW110" i="160"/>
  <c r="DQ17" i="160"/>
  <c r="EE17" i="160"/>
  <c r="AI17" i="160"/>
  <c r="EL17" i="160"/>
  <c r="DJ17" i="160"/>
  <c r="ES17" i="160"/>
  <c r="DC17" i="160"/>
  <c r="DX17" i="160"/>
  <c r="EK107" i="160"/>
  <c r="DP107" i="160"/>
  <c r="DI107" i="160"/>
  <c r="AH107" i="160"/>
  <c r="ER107" i="160"/>
  <c r="ED107" i="160"/>
  <c r="DB107" i="160"/>
  <c r="DW107" i="160"/>
  <c r="DR7" i="160"/>
  <c r="EX7" i="160" s="1"/>
  <c r="EF7" i="160"/>
  <c r="EZ7" i="160" s="1"/>
  <c r="DK7" i="160"/>
  <c r="EW7" i="160" s="1"/>
  <c r="EM7" i="160"/>
  <c r="FA7" i="160" s="1"/>
  <c r="ET7" i="160"/>
  <c r="FB7" i="160" s="1"/>
  <c r="DD7" i="160"/>
  <c r="EV7" i="160" s="1"/>
  <c r="DY7" i="160"/>
  <c r="EY7" i="160" s="1"/>
  <c r="ER90" i="160"/>
  <c r="AH90" i="160"/>
  <c r="ED90" i="160"/>
  <c r="DB90" i="160"/>
  <c r="DI90" i="160"/>
  <c r="EK90" i="160"/>
  <c r="DW90" i="160"/>
  <c r="EL23" i="160"/>
  <c r="ES23" i="160"/>
  <c r="DC23" i="160"/>
  <c r="DJ23" i="160"/>
  <c r="AI23" i="160"/>
  <c r="EU23" i="160" s="1"/>
  <c r="EE23" i="160"/>
  <c r="DX23" i="160"/>
  <c r="EK113" i="160"/>
  <c r="DB113" i="160"/>
  <c r="DI113" i="160"/>
  <c r="ED113" i="160"/>
  <c r="DP113" i="160"/>
  <c r="ER113" i="160"/>
  <c r="AH113" i="160"/>
  <c r="DW113" i="160"/>
  <c r="BR47" i="160"/>
  <c r="DN47" i="160"/>
  <c r="DP55" i="160"/>
  <c r="ED55" i="160"/>
  <c r="EK55" i="160"/>
  <c r="ER55" i="160"/>
  <c r="DB55" i="160"/>
  <c r="DI55" i="160"/>
  <c r="AH55" i="160"/>
  <c r="DW55" i="160"/>
  <c r="BR35" i="160"/>
  <c r="DN35" i="160"/>
  <c r="DC36" i="160"/>
  <c r="DJ36" i="160"/>
  <c r="AI36" i="160"/>
  <c r="EU36" i="160" s="1"/>
  <c r="EE36" i="160"/>
  <c r="ES36" i="160"/>
  <c r="DX36" i="160"/>
  <c r="EL36" i="160"/>
  <c r="EK60" i="160"/>
  <c r="DI60" i="160"/>
  <c r="DP60" i="160"/>
  <c r="DB60" i="160"/>
  <c r="AH60" i="160"/>
  <c r="ER60" i="160"/>
  <c r="ED60" i="160"/>
  <c r="DW60" i="160"/>
  <c r="DP108" i="160"/>
  <c r="DI108" i="160"/>
  <c r="AH108" i="160"/>
  <c r="DB108" i="160"/>
  <c r="ER108" i="160"/>
  <c r="ED108" i="160"/>
  <c r="EK108" i="160"/>
  <c r="DW108" i="160"/>
  <c r="BR139" i="160"/>
  <c r="DN139" i="160"/>
  <c r="DB102" i="160"/>
  <c r="EK102" i="160"/>
  <c r="DI102" i="160"/>
  <c r="AH102" i="160"/>
  <c r="ED102" i="160"/>
  <c r="ER102" i="160"/>
  <c r="DP102" i="160"/>
  <c r="DW102" i="160"/>
  <c r="BR74" i="160"/>
  <c r="DN74" i="160"/>
  <c r="BR31" i="160"/>
  <c r="DN31" i="160"/>
  <c r="EK79" i="160"/>
  <c r="DB79" i="160"/>
  <c r="DI79" i="160"/>
  <c r="ER79" i="160"/>
  <c r="ED79" i="160"/>
  <c r="AH79" i="160"/>
  <c r="DW79" i="160"/>
  <c r="BR134" i="160"/>
  <c r="DN134" i="160"/>
  <c r="EE46" i="160"/>
  <c r="EL46" i="160"/>
  <c r="ES46" i="160"/>
  <c r="DC46" i="160"/>
  <c r="DJ46" i="160"/>
  <c r="AI46" i="160"/>
  <c r="DX46" i="160"/>
  <c r="ED136" i="160"/>
  <c r="ER136" i="160"/>
  <c r="AH136" i="160"/>
  <c r="DP136" i="160"/>
  <c r="DB136" i="160"/>
  <c r="EK136" i="160"/>
  <c r="DI136" i="160"/>
  <c r="DW136" i="160"/>
  <c r="ER104" i="160"/>
  <c r="DB104" i="160"/>
  <c r="EK104" i="160"/>
  <c r="DI104" i="160"/>
  <c r="ED104" i="160"/>
  <c r="DP104" i="160"/>
  <c r="AH104" i="160"/>
  <c r="DW104" i="160"/>
  <c r="BL14" i="160"/>
  <c r="DH14" i="160"/>
  <c r="BR130" i="160"/>
  <c r="DN130" i="160"/>
  <c r="ED132" i="160"/>
  <c r="DP132" i="160"/>
  <c r="AH132" i="160"/>
  <c r="EK132" i="160"/>
  <c r="ER132" i="160"/>
  <c r="DB132" i="160"/>
  <c r="DI132" i="160"/>
  <c r="DW132" i="160"/>
  <c r="BR39" i="160"/>
  <c r="DN39" i="160"/>
  <c r="BR76" i="160"/>
  <c r="DN76" i="160"/>
  <c r="DC48" i="160"/>
  <c r="DJ48" i="160"/>
  <c r="AI48" i="160"/>
  <c r="DX48" i="160"/>
  <c r="EE48" i="160"/>
  <c r="EL48" i="160"/>
  <c r="ES48" i="160"/>
  <c r="ED73" i="160"/>
  <c r="EK73" i="160"/>
  <c r="DI73" i="160"/>
  <c r="ER73" i="160"/>
  <c r="DB73" i="160"/>
  <c r="AH73" i="160"/>
  <c r="DW73" i="160"/>
  <c r="BR43" i="160"/>
  <c r="DN43" i="160"/>
  <c r="DB135" i="160"/>
  <c r="DI135" i="160"/>
  <c r="ED135" i="160"/>
  <c r="ER135" i="160"/>
  <c r="AH135" i="160"/>
  <c r="EK135" i="160"/>
  <c r="DW135" i="160"/>
  <c r="ED85" i="160"/>
  <c r="EK85" i="160"/>
  <c r="DI85" i="160"/>
  <c r="ER85" i="160"/>
  <c r="AH85" i="160"/>
  <c r="DB85" i="160"/>
  <c r="DW85" i="160"/>
  <c r="BR32" i="160"/>
  <c r="DN32" i="160"/>
  <c r="AI98" i="160"/>
  <c r="DC98" i="160"/>
  <c r="EL98" i="160"/>
  <c r="EE98" i="160"/>
  <c r="ES98" i="160"/>
  <c r="DQ98" i="160"/>
  <c r="DJ98" i="160"/>
  <c r="DX98" i="160"/>
  <c r="DI100" i="160"/>
  <c r="AH100" i="160"/>
  <c r="ER100" i="160"/>
  <c r="ED100" i="160"/>
  <c r="DB100" i="160"/>
  <c r="DP100" i="160"/>
  <c r="EK100" i="160"/>
  <c r="DW100" i="160"/>
  <c r="BR83" i="160"/>
  <c r="DN83" i="160"/>
  <c r="DI105" i="160"/>
  <c r="EK105" i="160"/>
  <c r="DP105" i="160"/>
  <c r="DB105" i="160"/>
  <c r="ER105" i="160"/>
  <c r="ED105" i="160"/>
  <c r="AH105" i="160"/>
  <c r="DW105" i="160"/>
  <c r="BR88" i="160"/>
  <c r="DN88" i="160"/>
  <c r="BR82" i="160"/>
  <c r="DN82" i="160"/>
  <c r="EK88" i="160"/>
  <c r="ER88" i="160"/>
  <c r="AH88" i="160"/>
  <c r="ED88" i="160"/>
  <c r="DB88" i="160"/>
  <c r="DI88" i="160"/>
  <c r="DW88" i="160"/>
  <c r="DB115" i="160"/>
  <c r="ED115" i="160"/>
  <c r="DI115" i="160"/>
  <c r="AH115" i="160"/>
  <c r="ER115" i="160"/>
  <c r="DP115" i="160"/>
  <c r="EK115" i="160"/>
  <c r="DW115" i="160"/>
  <c r="DB133" i="160"/>
  <c r="AH133" i="160"/>
  <c r="EK133" i="160"/>
  <c r="ED133" i="160"/>
  <c r="ER133" i="160"/>
  <c r="DI133" i="160"/>
  <c r="DW133" i="160"/>
  <c r="DJ27" i="160"/>
  <c r="DQ27" i="160"/>
  <c r="AI27" i="160"/>
  <c r="DX27" i="160"/>
  <c r="EE27" i="160"/>
  <c r="EL27" i="160"/>
  <c r="ES27" i="160"/>
  <c r="DC27" i="160"/>
  <c r="DQ18" i="160"/>
  <c r="EE18" i="160"/>
  <c r="AI18" i="160"/>
  <c r="ES18" i="160"/>
  <c r="DC18" i="160"/>
  <c r="DJ18" i="160"/>
  <c r="EL18" i="160"/>
  <c r="DX18" i="160"/>
  <c r="BR124" i="160"/>
  <c r="DN124" i="160"/>
  <c r="ER61" i="160"/>
  <c r="DP61" i="160"/>
  <c r="ED61" i="160"/>
  <c r="EK61" i="160"/>
  <c r="DI61" i="160"/>
  <c r="AH61" i="160"/>
  <c r="DB61" i="160"/>
  <c r="DW61" i="160"/>
  <c r="BR29" i="160"/>
  <c r="DN29" i="160"/>
  <c r="BR120" i="160"/>
  <c r="DN120" i="160"/>
  <c r="ED124" i="160"/>
  <c r="DI124" i="160"/>
  <c r="ER124" i="160"/>
  <c r="AH124" i="160"/>
  <c r="DB124" i="160"/>
  <c r="EK124" i="160"/>
  <c r="DW124" i="160"/>
  <c r="BR28" i="160"/>
  <c r="DN28" i="160"/>
  <c r="EK80" i="160"/>
  <c r="DI80" i="160"/>
  <c r="ER80" i="160"/>
  <c r="ED80" i="160"/>
  <c r="DB80" i="160"/>
  <c r="AH80" i="160"/>
  <c r="DW80" i="160"/>
  <c r="BR75" i="160"/>
  <c r="DN75" i="160"/>
  <c r="EE42" i="160"/>
  <c r="EL42" i="160"/>
  <c r="ES42" i="160"/>
  <c r="DC42" i="160"/>
  <c r="DJ42" i="160"/>
  <c r="AI42" i="160"/>
  <c r="DX42" i="160"/>
  <c r="ED76" i="160"/>
  <c r="EK76" i="160"/>
  <c r="DB76" i="160"/>
  <c r="DI76" i="160"/>
  <c r="AH76" i="160"/>
  <c r="ER76" i="160"/>
  <c r="DW76" i="160"/>
  <c r="BR89" i="160"/>
  <c r="DN89" i="160"/>
  <c r="ER118" i="160"/>
  <c r="ED118" i="160"/>
  <c r="DB118" i="160"/>
  <c r="DI118" i="160"/>
  <c r="EK118" i="160"/>
  <c r="AH118" i="160"/>
  <c r="DW118" i="160"/>
  <c r="BR137" i="160"/>
  <c r="DN137" i="160"/>
  <c r="ES45" i="160"/>
  <c r="DC45" i="160"/>
  <c r="DJ45" i="160"/>
  <c r="AI45" i="160"/>
  <c r="EL45" i="160"/>
  <c r="EE45" i="160"/>
  <c r="DX45" i="160"/>
  <c r="EK130" i="160"/>
  <c r="ER130" i="160"/>
  <c r="DI130" i="160"/>
  <c r="AH130" i="160"/>
  <c r="ED130" i="160"/>
  <c r="DW130" i="160"/>
  <c r="DB130" i="160"/>
  <c r="BR128" i="160"/>
  <c r="DN128" i="160"/>
  <c r="EL10" i="160"/>
  <c r="ES10" i="160"/>
  <c r="DC10" i="160"/>
  <c r="DJ10" i="160"/>
  <c r="AI10" i="160"/>
  <c r="DQ10" i="160"/>
  <c r="EE10" i="160"/>
  <c r="DX10" i="160"/>
  <c r="ER92" i="160"/>
  <c r="DI92" i="160"/>
  <c r="AH92" i="160"/>
  <c r="EK92" i="160"/>
  <c r="ED92" i="160"/>
  <c r="DB92" i="160"/>
  <c r="DW92" i="160"/>
  <c r="ED64" i="160"/>
  <c r="EK64" i="160"/>
  <c r="ER64" i="160"/>
  <c r="DB64" i="160"/>
  <c r="DI64" i="160"/>
  <c r="DP64" i="160"/>
  <c r="AH64" i="160"/>
  <c r="DW64" i="160"/>
  <c r="ES53" i="160"/>
  <c r="AI53" i="160"/>
  <c r="DC53" i="160"/>
  <c r="DJ53" i="160"/>
  <c r="DQ53" i="160"/>
  <c r="EE53" i="160"/>
  <c r="EL53" i="160"/>
  <c r="DX53" i="160"/>
  <c r="BR41" i="160"/>
  <c r="DN41" i="160"/>
  <c r="CQ16" i="135" l="1"/>
  <c r="EN16" i="135" s="1"/>
  <c r="EM16" i="135"/>
  <c r="CJ46" i="135"/>
  <c r="EG46" i="135" s="1"/>
  <c r="EF46" i="135"/>
  <c r="CQ31" i="135"/>
  <c r="EN31" i="135" s="1"/>
  <c r="EM31" i="135"/>
  <c r="CJ31" i="135"/>
  <c r="EG31" i="135" s="1"/>
  <c r="EF31" i="135"/>
  <c r="CJ16" i="135"/>
  <c r="EG16" i="135" s="1"/>
  <c r="EG54" i="135" s="1"/>
  <c r="EG56" i="135" s="1"/>
  <c r="EG57" i="135" s="1"/>
  <c r="EF16" i="135"/>
  <c r="EF54" i="135" s="1"/>
  <c r="EF56" i="135" s="1"/>
  <c r="EF57" i="135" s="1"/>
  <c r="CX46" i="135"/>
  <c r="EU46" i="135" s="1"/>
  <c r="ET46" i="135"/>
  <c r="CQ46" i="135"/>
  <c r="EN46" i="135" s="1"/>
  <c r="EM46" i="135"/>
  <c r="FF9" i="160"/>
  <c r="EL64" i="160"/>
  <c r="ES64" i="160"/>
  <c r="DJ64" i="160"/>
  <c r="DQ64" i="160"/>
  <c r="AI64" i="160"/>
  <c r="EU64" i="160" s="1"/>
  <c r="DC64" i="160"/>
  <c r="EE64" i="160"/>
  <c r="DX64" i="160"/>
  <c r="DD45" i="160"/>
  <c r="EV45" i="160" s="1"/>
  <c r="DK45" i="160"/>
  <c r="EW45" i="160" s="1"/>
  <c r="EF45" i="160"/>
  <c r="EZ45" i="160" s="1"/>
  <c r="ET45" i="160"/>
  <c r="FB45" i="160" s="1"/>
  <c r="EM45" i="160"/>
  <c r="FA45" i="160" s="1"/>
  <c r="DY45" i="160"/>
  <c r="EY45" i="160" s="1"/>
  <c r="EU45" i="160"/>
  <c r="EL76" i="160"/>
  <c r="ES76" i="160"/>
  <c r="DJ76" i="160"/>
  <c r="AI76" i="160"/>
  <c r="DC76" i="160"/>
  <c r="EE76" i="160"/>
  <c r="DX76" i="160"/>
  <c r="EM42" i="160"/>
  <c r="FA42" i="160" s="1"/>
  <c r="ET42" i="160"/>
  <c r="FB42" i="160" s="1"/>
  <c r="DD42" i="160"/>
  <c r="EV42" i="160" s="1"/>
  <c r="DK42" i="160"/>
  <c r="EW42" i="160" s="1"/>
  <c r="EF42" i="160"/>
  <c r="EZ42" i="160" s="1"/>
  <c r="DY42" i="160"/>
  <c r="EY42" i="160" s="1"/>
  <c r="EU42" i="160"/>
  <c r="BS75" i="160"/>
  <c r="DO75" i="160"/>
  <c r="BS124" i="160"/>
  <c r="DO124" i="160"/>
  <c r="BS76" i="160"/>
  <c r="DO76" i="160"/>
  <c r="BM14" i="160"/>
  <c r="DI14" i="160"/>
  <c r="ES108" i="160"/>
  <c r="EL108" i="160"/>
  <c r="AI108" i="160"/>
  <c r="EE108" i="160"/>
  <c r="DQ108" i="160"/>
  <c r="DC108" i="160"/>
  <c r="DJ108" i="160"/>
  <c r="DX108" i="160"/>
  <c r="ES60" i="160"/>
  <c r="DQ60" i="160"/>
  <c r="EL60" i="160"/>
  <c r="AI60" i="160"/>
  <c r="EU60" i="160" s="1"/>
  <c r="DJ60" i="160"/>
  <c r="EE60" i="160"/>
  <c r="DC60" i="160"/>
  <c r="DX60" i="160"/>
  <c r="BS35" i="160"/>
  <c r="DO35" i="160"/>
  <c r="BS119" i="160"/>
  <c r="DO119" i="160"/>
  <c r="BS126" i="160"/>
  <c r="DO126" i="160"/>
  <c r="EE70" i="160"/>
  <c r="ES70" i="160"/>
  <c r="DJ70" i="160"/>
  <c r="DQ70" i="160"/>
  <c r="DC70" i="160"/>
  <c r="EL70" i="160"/>
  <c r="AI70" i="160"/>
  <c r="DX70" i="160"/>
  <c r="DJ62" i="160"/>
  <c r="DQ62" i="160"/>
  <c r="AI62" i="160"/>
  <c r="EL62" i="160"/>
  <c r="ES62" i="160"/>
  <c r="DC62" i="160"/>
  <c r="EE62" i="160"/>
  <c r="DX62" i="160"/>
  <c r="BS40" i="160"/>
  <c r="DO40" i="160"/>
  <c r="EE116" i="160"/>
  <c r="DC116" i="160"/>
  <c r="DQ116" i="160"/>
  <c r="DJ116" i="160"/>
  <c r="DX116" i="160"/>
  <c r="AI116" i="160"/>
  <c r="ES116" i="160"/>
  <c r="EL116" i="160"/>
  <c r="DR52" i="160"/>
  <c r="EX52" i="160" s="1"/>
  <c r="EF52" i="160"/>
  <c r="EZ52" i="160" s="1"/>
  <c r="EM52" i="160"/>
  <c r="FA52" i="160" s="1"/>
  <c r="ET52" i="160"/>
  <c r="FB52" i="160" s="1"/>
  <c r="DD52" i="160"/>
  <c r="EV52" i="160" s="1"/>
  <c r="DK52" i="160"/>
  <c r="EW52" i="160" s="1"/>
  <c r="DY52" i="160"/>
  <c r="EY52" i="160" s="1"/>
  <c r="BS22" i="160"/>
  <c r="DO22" i="160"/>
  <c r="BT26" i="160"/>
  <c r="DP26" i="160"/>
  <c r="DC74" i="160"/>
  <c r="DJ74" i="160"/>
  <c r="EE74" i="160"/>
  <c r="ES74" i="160"/>
  <c r="AI74" i="160"/>
  <c r="EL74" i="160"/>
  <c r="DX74" i="160"/>
  <c r="BS127" i="160"/>
  <c r="DO127" i="160"/>
  <c r="BS85" i="160"/>
  <c r="DO85" i="160"/>
  <c r="ES78" i="160"/>
  <c r="EL78" i="160"/>
  <c r="DJ78" i="160"/>
  <c r="AI78" i="160"/>
  <c r="EU78" i="160" s="1"/>
  <c r="DX78" i="160"/>
  <c r="EE78" i="160"/>
  <c r="DC78" i="160"/>
  <c r="DK44" i="160"/>
  <c r="EW44" i="160" s="1"/>
  <c r="EF44" i="160"/>
  <c r="EZ44" i="160" s="1"/>
  <c r="EM44" i="160"/>
  <c r="FA44" i="160" s="1"/>
  <c r="ET44" i="160"/>
  <c r="FB44" i="160" s="1"/>
  <c r="DD44" i="160"/>
  <c r="EV44" i="160" s="1"/>
  <c r="DY44" i="160"/>
  <c r="EY44" i="160" s="1"/>
  <c r="EU44" i="160"/>
  <c r="BS122" i="160"/>
  <c r="DO122" i="160"/>
  <c r="BS29" i="160"/>
  <c r="DO29" i="160"/>
  <c r="EL132" i="160"/>
  <c r="DQ132" i="160"/>
  <c r="ES132" i="160"/>
  <c r="DC132" i="160"/>
  <c r="EE132" i="160"/>
  <c r="DJ132" i="160"/>
  <c r="AI132" i="160"/>
  <c r="DX132" i="160"/>
  <c r="ES107" i="160"/>
  <c r="EE107" i="160"/>
  <c r="DC107" i="160"/>
  <c r="DQ107" i="160"/>
  <c r="EL107" i="160"/>
  <c r="AI107" i="160"/>
  <c r="DJ107" i="160"/>
  <c r="DX107" i="160"/>
  <c r="EM20" i="160"/>
  <c r="FA20" i="160" s="1"/>
  <c r="DD20" i="160"/>
  <c r="EV20" i="160" s="1"/>
  <c r="DR20" i="160"/>
  <c r="EX20" i="160" s="1"/>
  <c r="EF20" i="160"/>
  <c r="EZ20" i="160" s="1"/>
  <c r="ET20" i="160"/>
  <c r="FB20" i="160" s="1"/>
  <c r="DK20" i="160"/>
  <c r="EW20" i="160" s="1"/>
  <c r="DY20" i="160"/>
  <c r="EY20" i="160" s="1"/>
  <c r="EU20" i="160"/>
  <c r="EE87" i="160"/>
  <c r="DC87" i="160"/>
  <c r="EL87" i="160"/>
  <c r="AI87" i="160"/>
  <c r="DJ87" i="160"/>
  <c r="DQ87" i="160"/>
  <c r="ES87" i="160"/>
  <c r="DX87" i="160"/>
  <c r="BS81" i="160"/>
  <c r="DO81" i="160"/>
  <c r="DC65" i="160"/>
  <c r="DJ65" i="160"/>
  <c r="DQ65" i="160"/>
  <c r="AI65" i="160"/>
  <c r="EE65" i="160"/>
  <c r="EL65" i="160"/>
  <c r="ES65" i="160"/>
  <c r="DX65" i="160"/>
  <c r="BS67" i="160"/>
  <c r="DO67" i="160"/>
  <c r="EM97" i="160"/>
  <c r="FA97" i="160" s="1"/>
  <c r="ET97" i="160"/>
  <c r="FB97" i="160" s="1"/>
  <c r="EF97" i="160"/>
  <c r="EZ97" i="160" s="1"/>
  <c r="DR97" i="160"/>
  <c r="EX97" i="160" s="1"/>
  <c r="DD97" i="160"/>
  <c r="EV97" i="160" s="1"/>
  <c r="DK97" i="160"/>
  <c r="EW97" i="160" s="1"/>
  <c r="DY97" i="160"/>
  <c r="EY97" i="160" s="1"/>
  <c r="EU97" i="160"/>
  <c r="BS33" i="160"/>
  <c r="DO33" i="160"/>
  <c r="AI75" i="160"/>
  <c r="EU75" i="160" s="1"/>
  <c r="EE75" i="160"/>
  <c r="ES75" i="160"/>
  <c r="DC75" i="160"/>
  <c r="DJ75" i="160"/>
  <c r="EL75" i="160"/>
  <c r="DX75" i="160"/>
  <c r="BS80" i="160"/>
  <c r="DO80" i="160"/>
  <c r="EM38" i="160"/>
  <c r="FA38" i="160" s="1"/>
  <c r="ET38" i="160"/>
  <c r="FB38" i="160" s="1"/>
  <c r="DD38" i="160"/>
  <c r="EV38" i="160" s="1"/>
  <c r="DK38" i="160"/>
  <c r="EW38" i="160" s="1"/>
  <c r="EF38" i="160"/>
  <c r="EZ38" i="160" s="1"/>
  <c r="DY38" i="160"/>
  <c r="EY38" i="160" s="1"/>
  <c r="AI123" i="160"/>
  <c r="EE123" i="160"/>
  <c r="EL123" i="160"/>
  <c r="ES123" i="160"/>
  <c r="DJ123" i="160"/>
  <c r="DC123" i="160"/>
  <c r="DX123" i="160"/>
  <c r="EE129" i="160"/>
  <c r="EL129" i="160"/>
  <c r="DC129" i="160"/>
  <c r="AI129" i="160"/>
  <c r="DJ129" i="160"/>
  <c r="ES129" i="160"/>
  <c r="DX129" i="160"/>
  <c r="DR14" i="160"/>
  <c r="EX14" i="160" s="1"/>
  <c r="DD14" i="160"/>
  <c r="EV14" i="160" s="1"/>
  <c r="EF14" i="160"/>
  <c r="EZ14" i="160" s="1"/>
  <c r="EM14" i="160"/>
  <c r="FA14" i="160" s="1"/>
  <c r="ET14" i="160"/>
  <c r="FB14" i="160" s="1"/>
  <c r="DY14" i="160"/>
  <c r="EY14" i="160" s="1"/>
  <c r="EE77" i="160"/>
  <c r="EL77" i="160"/>
  <c r="DJ77" i="160"/>
  <c r="ES77" i="160"/>
  <c r="AI77" i="160"/>
  <c r="DC77" i="160"/>
  <c r="DX77" i="160"/>
  <c r="EU52" i="160"/>
  <c r="EL118" i="160"/>
  <c r="DJ118" i="160"/>
  <c r="ES118" i="160"/>
  <c r="AI118" i="160"/>
  <c r="DC118" i="160"/>
  <c r="EE118" i="160"/>
  <c r="DX118" i="160"/>
  <c r="EL124" i="160"/>
  <c r="ES124" i="160"/>
  <c r="AI124" i="160"/>
  <c r="DJ124" i="160"/>
  <c r="EE124" i="160"/>
  <c r="DC124" i="160"/>
  <c r="DX124" i="160"/>
  <c r="EE105" i="160"/>
  <c r="AI105" i="160"/>
  <c r="ES105" i="160"/>
  <c r="DQ105" i="160"/>
  <c r="DC105" i="160"/>
  <c r="EL105" i="160"/>
  <c r="DJ105" i="160"/>
  <c r="DX105" i="160"/>
  <c r="BS83" i="160"/>
  <c r="DO83" i="160"/>
  <c r="EL85" i="160"/>
  <c r="EE85" i="160"/>
  <c r="DC85" i="160"/>
  <c r="DJ85" i="160"/>
  <c r="ES85" i="160"/>
  <c r="AI85" i="160"/>
  <c r="EU85" i="160" s="1"/>
  <c r="DX85" i="160"/>
  <c r="BS43" i="160"/>
  <c r="DO43" i="160"/>
  <c r="BS39" i="160"/>
  <c r="DO39" i="160"/>
  <c r="EL104" i="160"/>
  <c r="DQ104" i="160"/>
  <c r="AI104" i="160"/>
  <c r="EU104" i="160" s="1"/>
  <c r="ES104" i="160"/>
  <c r="DJ104" i="160"/>
  <c r="DC104" i="160"/>
  <c r="EE104" i="160"/>
  <c r="DX104" i="160"/>
  <c r="EM46" i="160"/>
  <c r="FA46" i="160" s="1"/>
  <c r="ET46" i="160"/>
  <c r="FB46" i="160" s="1"/>
  <c r="DD46" i="160"/>
  <c r="EV46" i="160" s="1"/>
  <c r="DK46" i="160"/>
  <c r="EW46" i="160" s="1"/>
  <c r="EF46" i="160"/>
  <c r="EZ46" i="160" s="1"/>
  <c r="DY46" i="160"/>
  <c r="EY46" i="160" s="1"/>
  <c r="EU46" i="160"/>
  <c r="BS134" i="160"/>
  <c r="DO134" i="160"/>
  <c r="BS139" i="160"/>
  <c r="DO139" i="160"/>
  <c r="EM17" i="160"/>
  <c r="FA17" i="160" s="1"/>
  <c r="DD17" i="160"/>
  <c r="EV17" i="160" s="1"/>
  <c r="DK17" i="160"/>
  <c r="EW17" i="160" s="1"/>
  <c r="ET17" i="160"/>
  <c r="FB17" i="160" s="1"/>
  <c r="EF17" i="160"/>
  <c r="EZ17" i="160" s="1"/>
  <c r="DR17" i="160"/>
  <c r="EX17" i="160" s="1"/>
  <c r="DY17" i="160"/>
  <c r="EY17" i="160" s="1"/>
  <c r="DC110" i="160"/>
  <c r="EL110" i="160"/>
  <c r="DJ110" i="160"/>
  <c r="ES110" i="160"/>
  <c r="DQ110" i="160"/>
  <c r="AI110" i="160"/>
  <c r="EE110" i="160"/>
  <c r="DX110" i="160"/>
  <c r="BS48" i="160"/>
  <c r="DO48" i="160"/>
  <c r="EE134" i="160"/>
  <c r="EL134" i="160"/>
  <c r="DC134" i="160"/>
  <c r="DJ134" i="160"/>
  <c r="AI134" i="160"/>
  <c r="ES134" i="160"/>
  <c r="DX134" i="160"/>
  <c r="DK19" i="160"/>
  <c r="EW19" i="160" s="1"/>
  <c r="EF19" i="160"/>
  <c r="EZ19" i="160" s="1"/>
  <c r="ET19" i="160"/>
  <c r="FB19" i="160" s="1"/>
  <c r="DR19" i="160"/>
  <c r="EX19" i="160" s="1"/>
  <c r="DD19" i="160"/>
  <c r="EV19" i="160" s="1"/>
  <c r="EM19" i="160"/>
  <c r="FA19" i="160" s="1"/>
  <c r="DY19" i="160"/>
  <c r="EY19" i="160" s="1"/>
  <c r="EM30" i="160"/>
  <c r="FA30" i="160" s="1"/>
  <c r="DK30" i="160"/>
  <c r="EW30" i="160" s="1"/>
  <c r="EF30" i="160"/>
  <c r="EZ30" i="160" s="1"/>
  <c r="DD30" i="160"/>
  <c r="EV30" i="160" s="1"/>
  <c r="DY30" i="160"/>
  <c r="EY30" i="160" s="1"/>
  <c r="ET30" i="160"/>
  <c r="FB30" i="160" s="1"/>
  <c r="EU30" i="160"/>
  <c r="DD22" i="160"/>
  <c r="EV22" i="160" s="1"/>
  <c r="DK22" i="160"/>
  <c r="EW22" i="160" s="1"/>
  <c r="EF22" i="160"/>
  <c r="EZ22" i="160" s="1"/>
  <c r="ET22" i="160"/>
  <c r="FB22" i="160" s="1"/>
  <c r="EM22" i="160"/>
  <c r="FA22" i="160" s="1"/>
  <c r="DY22" i="160"/>
  <c r="EY22" i="160" s="1"/>
  <c r="EU22" i="160"/>
  <c r="DC111" i="160"/>
  <c r="ES111" i="160"/>
  <c r="EE111" i="160"/>
  <c r="DJ111" i="160"/>
  <c r="AI111" i="160"/>
  <c r="EL111" i="160"/>
  <c r="DX111" i="160"/>
  <c r="BS34" i="160"/>
  <c r="DO34" i="160"/>
  <c r="EE63" i="160"/>
  <c r="EL63" i="160"/>
  <c r="DC63" i="160"/>
  <c r="DJ63" i="160"/>
  <c r="AI63" i="160"/>
  <c r="EU63" i="160" s="1"/>
  <c r="DQ63" i="160"/>
  <c r="ES63" i="160"/>
  <c r="DX63" i="160"/>
  <c r="BS131" i="160"/>
  <c r="DO131" i="160"/>
  <c r="EE127" i="160"/>
  <c r="ES127" i="160"/>
  <c r="DJ127" i="160"/>
  <c r="DC127" i="160"/>
  <c r="AI127" i="160"/>
  <c r="EL127" i="160"/>
  <c r="DX127" i="160"/>
  <c r="BS44" i="160"/>
  <c r="DO44" i="160"/>
  <c r="DC126" i="160"/>
  <c r="DJ126" i="160"/>
  <c r="ES126" i="160"/>
  <c r="EL126" i="160"/>
  <c r="AI126" i="160"/>
  <c r="EE126" i="160"/>
  <c r="DX126" i="160"/>
  <c r="BS21" i="160"/>
  <c r="DO21" i="160"/>
  <c r="BS77" i="160"/>
  <c r="DO77" i="160"/>
  <c r="EM34" i="160"/>
  <c r="FA34" i="160" s="1"/>
  <c r="DK34" i="160"/>
  <c r="EW34" i="160" s="1"/>
  <c r="DD34" i="160"/>
  <c r="EV34" i="160" s="1"/>
  <c r="ET34" i="160"/>
  <c r="FB34" i="160" s="1"/>
  <c r="EF34" i="160"/>
  <c r="EZ34" i="160" s="1"/>
  <c r="DY34" i="160"/>
  <c r="EY34" i="160" s="1"/>
  <c r="EU34" i="160"/>
  <c r="BT46" i="160"/>
  <c r="DP46" i="160"/>
  <c r="DJ106" i="160"/>
  <c r="ES106" i="160"/>
  <c r="AI106" i="160"/>
  <c r="EE106" i="160"/>
  <c r="DQ106" i="160"/>
  <c r="EL106" i="160"/>
  <c r="DC106" i="160"/>
  <c r="DX106" i="160"/>
  <c r="EU17" i="160"/>
  <c r="BS128" i="160"/>
  <c r="DO128" i="160"/>
  <c r="BS82" i="160"/>
  <c r="DO82" i="160"/>
  <c r="EE100" i="160"/>
  <c r="ES100" i="160"/>
  <c r="DC100" i="160"/>
  <c r="DJ100" i="160"/>
  <c r="EL100" i="160"/>
  <c r="AI100" i="160"/>
  <c r="DQ100" i="160"/>
  <c r="DX100" i="160"/>
  <c r="DK48" i="160"/>
  <c r="EW48" i="160" s="1"/>
  <c r="EF48" i="160"/>
  <c r="EZ48" i="160" s="1"/>
  <c r="EM48" i="160"/>
  <c r="FA48" i="160" s="1"/>
  <c r="ET48" i="160"/>
  <c r="FB48" i="160" s="1"/>
  <c r="DD48" i="160"/>
  <c r="EV48" i="160" s="1"/>
  <c r="DY48" i="160"/>
  <c r="EY48" i="160" s="1"/>
  <c r="EU48" i="160"/>
  <c r="DK36" i="160"/>
  <c r="EW36" i="160" s="1"/>
  <c r="EM36" i="160"/>
  <c r="FA36" i="160" s="1"/>
  <c r="ET36" i="160"/>
  <c r="FB36" i="160" s="1"/>
  <c r="DD36" i="160"/>
  <c r="EV36" i="160" s="1"/>
  <c r="EF36" i="160"/>
  <c r="EZ36" i="160" s="1"/>
  <c r="DY36" i="160"/>
  <c r="EY36" i="160" s="1"/>
  <c r="EE55" i="160"/>
  <c r="EL55" i="160"/>
  <c r="ES55" i="160"/>
  <c r="DC55" i="160"/>
  <c r="DJ55" i="160"/>
  <c r="AI55" i="160"/>
  <c r="DQ55" i="160"/>
  <c r="DX55" i="160"/>
  <c r="BS47" i="160"/>
  <c r="DO47" i="160"/>
  <c r="ES59" i="160"/>
  <c r="DC59" i="160"/>
  <c r="DJ59" i="160"/>
  <c r="DQ59" i="160"/>
  <c r="AI59" i="160"/>
  <c r="EE59" i="160"/>
  <c r="EL59" i="160"/>
  <c r="DX59" i="160"/>
  <c r="BS121" i="160"/>
  <c r="DO121" i="160"/>
  <c r="BS84" i="160"/>
  <c r="DO84" i="160"/>
  <c r="DJ89" i="160"/>
  <c r="DC89" i="160"/>
  <c r="EL89" i="160"/>
  <c r="ES89" i="160"/>
  <c r="AI89" i="160"/>
  <c r="EE89" i="160"/>
  <c r="DX89" i="160"/>
  <c r="BS133" i="160"/>
  <c r="DO133" i="160"/>
  <c r="DC69" i="160"/>
  <c r="DJ69" i="160"/>
  <c r="DQ69" i="160"/>
  <c r="AI69" i="160"/>
  <c r="ES69" i="160"/>
  <c r="EL69" i="160"/>
  <c r="EE69" i="160"/>
  <c r="DX69" i="160"/>
  <c r="BS135" i="160"/>
  <c r="DO135" i="160"/>
  <c r="EM51" i="160"/>
  <c r="FA51" i="160" s="1"/>
  <c r="ET51" i="160"/>
  <c r="FB51" i="160" s="1"/>
  <c r="DD51" i="160"/>
  <c r="EV51" i="160" s="1"/>
  <c r="DR51" i="160"/>
  <c r="EX51" i="160" s="1"/>
  <c r="DK51" i="160"/>
  <c r="EW51" i="160" s="1"/>
  <c r="EF51" i="160"/>
  <c r="EZ51" i="160" s="1"/>
  <c r="DY51" i="160"/>
  <c r="EY51" i="160" s="1"/>
  <c r="EM35" i="160"/>
  <c r="FA35" i="160" s="1"/>
  <c r="DD35" i="160"/>
  <c r="EV35" i="160" s="1"/>
  <c r="DK35" i="160"/>
  <c r="EW35" i="160" s="1"/>
  <c r="ET35" i="160"/>
  <c r="FB35" i="160" s="1"/>
  <c r="EF35" i="160"/>
  <c r="EZ35" i="160" s="1"/>
  <c r="DY35" i="160"/>
  <c r="EY35" i="160" s="1"/>
  <c r="EF12" i="160"/>
  <c r="EZ12" i="160" s="1"/>
  <c r="EM12" i="160"/>
  <c r="FA12" i="160" s="1"/>
  <c r="ET12" i="160"/>
  <c r="FB12" i="160" s="1"/>
  <c r="DD12" i="160"/>
  <c r="EV12" i="160" s="1"/>
  <c r="DR12" i="160"/>
  <c r="EX12" i="160" s="1"/>
  <c r="DK12" i="160"/>
  <c r="EW12" i="160" s="1"/>
  <c r="DY12" i="160"/>
  <c r="EY12" i="160" s="1"/>
  <c r="DK32" i="160"/>
  <c r="EW32" i="160" s="1"/>
  <c r="EM32" i="160"/>
  <c r="FA32" i="160" s="1"/>
  <c r="DD32" i="160"/>
  <c r="EV32" i="160" s="1"/>
  <c r="ET32" i="160"/>
  <c r="FB32" i="160" s="1"/>
  <c r="EF32" i="160"/>
  <c r="EZ32" i="160" s="1"/>
  <c r="DY32" i="160"/>
  <c r="EY32" i="160" s="1"/>
  <c r="EU32" i="160"/>
  <c r="BS36" i="160"/>
  <c r="DO36" i="160"/>
  <c r="ES112" i="160"/>
  <c r="DC112" i="160"/>
  <c r="AI112" i="160"/>
  <c r="EE112" i="160"/>
  <c r="EL112" i="160"/>
  <c r="DJ112" i="160"/>
  <c r="DX112" i="160"/>
  <c r="ES93" i="160"/>
  <c r="EE93" i="160"/>
  <c r="EL93" i="160"/>
  <c r="DC93" i="160"/>
  <c r="AI93" i="160"/>
  <c r="DJ93" i="160"/>
  <c r="DX93" i="160"/>
  <c r="AI119" i="160"/>
  <c r="EU119" i="160" s="1"/>
  <c r="EE119" i="160"/>
  <c r="DC119" i="160"/>
  <c r="ES119" i="160"/>
  <c r="EL119" i="160"/>
  <c r="DJ119" i="160"/>
  <c r="DX119" i="160"/>
  <c r="EM29" i="160"/>
  <c r="FA29" i="160" s="1"/>
  <c r="DD29" i="160"/>
  <c r="EV29" i="160" s="1"/>
  <c r="DK29" i="160"/>
  <c r="EW29" i="160" s="1"/>
  <c r="ET29" i="160"/>
  <c r="FB29" i="160" s="1"/>
  <c r="EF29" i="160"/>
  <c r="EZ29" i="160" s="1"/>
  <c r="DY29" i="160"/>
  <c r="EY29" i="160" s="1"/>
  <c r="DC128" i="160"/>
  <c r="EE128" i="160"/>
  <c r="EL128" i="160"/>
  <c r="DJ128" i="160"/>
  <c r="ES128" i="160"/>
  <c r="AI128" i="160"/>
  <c r="EU128" i="160" s="1"/>
  <c r="DX128" i="160"/>
  <c r="BS125" i="160"/>
  <c r="DO125" i="160"/>
  <c r="EL109" i="160"/>
  <c r="EE109" i="160"/>
  <c r="DC109" i="160"/>
  <c r="DQ109" i="160"/>
  <c r="DJ109" i="160"/>
  <c r="AI109" i="160"/>
  <c r="ES109" i="160"/>
  <c r="DX109" i="160"/>
  <c r="EE83" i="160"/>
  <c r="DC83" i="160"/>
  <c r="EL83" i="160"/>
  <c r="DJ83" i="160"/>
  <c r="ES83" i="160"/>
  <c r="AI83" i="160"/>
  <c r="DX83" i="160"/>
  <c r="BS79" i="160"/>
  <c r="DO79" i="160"/>
  <c r="DD25" i="160"/>
  <c r="EV25" i="160" s="1"/>
  <c r="DK25" i="160"/>
  <c r="EW25" i="160" s="1"/>
  <c r="EF25" i="160"/>
  <c r="EZ25" i="160" s="1"/>
  <c r="EM25" i="160"/>
  <c r="FA25" i="160" s="1"/>
  <c r="ET25" i="160"/>
  <c r="FB25" i="160" s="1"/>
  <c r="DY25" i="160"/>
  <c r="EY25" i="160" s="1"/>
  <c r="EU25" i="160"/>
  <c r="BS89" i="160"/>
  <c r="DO89" i="160"/>
  <c r="ES80" i="160"/>
  <c r="AI80" i="160"/>
  <c r="EE80" i="160"/>
  <c r="DC80" i="160"/>
  <c r="EL80" i="160"/>
  <c r="DJ80" i="160"/>
  <c r="DX80" i="160"/>
  <c r="DD98" i="160"/>
  <c r="EV98" i="160" s="1"/>
  <c r="EF98" i="160"/>
  <c r="EZ98" i="160" s="1"/>
  <c r="EM98" i="160"/>
  <c r="FA98" i="160" s="1"/>
  <c r="DR98" i="160"/>
  <c r="EX98" i="160" s="1"/>
  <c r="ET98" i="160"/>
  <c r="FB98" i="160" s="1"/>
  <c r="DK98" i="160"/>
  <c r="EW98" i="160" s="1"/>
  <c r="DY98" i="160"/>
  <c r="EY98" i="160" s="1"/>
  <c r="EU98" i="160"/>
  <c r="DJ135" i="160"/>
  <c r="AI135" i="160"/>
  <c r="EU135" i="160" s="1"/>
  <c r="EL135" i="160"/>
  <c r="DC135" i="160"/>
  <c r="ES135" i="160"/>
  <c r="EE135" i="160"/>
  <c r="DX135" i="160"/>
  <c r="DJ79" i="160"/>
  <c r="ES79" i="160"/>
  <c r="EE79" i="160"/>
  <c r="EL79" i="160"/>
  <c r="DC79" i="160"/>
  <c r="AI79" i="160"/>
  <c r="DX79" i="160"/>
  <c r="BS31" i="160"/>
  <c r="DO31" i="160"/>
  <c r="DJ102" i="160"/>
  <c r="AI102" i="160"/>
  <c r="EU102" i="160" s="1"/>
  <c r="DQ102" i="160"/>
  <c r="ES102" i="160"/>
  <c r="EE102" i="160"/>
  <c r="DC102" i="160"/>
  <c r="EL102" i="160"/>
  <c r="DX102" i="160"/>
  <c r="EE90" i="160"/>
  <c r="DC90" i="160"/>
  <c r="EL90" i="160"/>
  <c r="AI90" i="160"/>
  <c r="EU90" i="160" s="1"/>
  <c r="ES90" i="160"/>
  <c r="DJ90" i="160"/>
  <c r="DX90" i="160"/>
  <c r="BS38" i="160"/>
  <c r="DO38" i="160"/>
  <c r="EL91" i="160"/>
  <c r="DJ91" i="160"/>
  <c r="DC91" i="160"/>
  <c r="ES91" i="160"/>
  <c r="AI91" i="160"/>
  <c r="EE91" i="160"/>
  <c r="DQ91" i="160"/>
  <c r="DX91" i="160"/>
  <c r="BS49" i="160"/>
  <c r="DO49" i="160"/>
  <c r="DJ114" i="160"/>
  <c r="EE114" i="160"/>
  <c r="AI114" i="160"/>
  <c r="EU114" i="160" s="1"/>
  <c r="EL114" i="160"/>
  <c r="DQ114" i="160"/>
  <c r="DC114" i="160"/>
  <c r="ES114" i="160"/>
  <c r="DX114" i="160"/>
  <c r="DC122" i="160"/>
  <c r="DJ122" i="160"/>
  <c r="ES122" i="160"/>
  <c r="EL122" i="160"/>
  <c r="AI122" i="160"/>
  <c r="EE122" i="160"/>
  <c r="DX122" i="160"/>
  <c r="BT42" i="160"/>
  <c r="DP42" i="160"/>
  <c r="DJ131" i="160"/>
  <c r="ES131" i="160"/>
  <c r="AI131" i="160"/>
  <c r="EE131" i="160"/>
  <c r="EL131" i="160"/>
  <c r="DC131" i="160"/>
  <c r="DX131" i="160"/>
  <c r="DQ117" i="160"/>
  <c r="AI117" i="160"/>
  <c r="ES117" i="160"/>
  <c r="DJ117" i="160"/>
  <c r="EE117" i="160"/>
  <c r="DC117" i="160"/>
  <c r="EL117" i="160"/>
  <c r="DX117" i="160"/>
  <c r="BS90" i="160"/>
  <c r="DO90" i="160"/>
  <c r="DR15" i="160"/>
  <c r="EX15" i="160" s="1"/>
  <c r="DY15" i="160"/>
  <c r="EY15" i="160" s="1"/>
  <c r="EF15" i="160"/>
  <c r="EZ15" i="160" s="1"/>
  <c r="DD15" i="160"/>
  <c r="EV15" i="160" s="1"/>
  <c r="EM15" i="160"/>
  <c r="FA15" i="160" s="1"/>
  <c r="DK15" i="160"/>
  <c r="EW15" i="160" s="1"/>
  <c r="ET15" i="160"/>
  <c r="FB15" i="160" s="1"/>
  <c r="EF28" i="160"/>
  <c r="EZ28" i="160" s="1"/>
  <c r="EM28" i="160"/>
  <c r="FA28" i="160" s="1"/>
  <c r="ET28" i="160"/>
  <c r="FB28" i="160" s="1"/>
  <c r="DD28" i="160"/>
  <c r="EV28" i="160" s="1"/>
  <c r="DK28" i="160"/>
  <c r="EW28" i="160" s="1"/>
  <c r="DY28" i="160"/>
  <c r="EY28" i="160" s="1"/>
  <c r="EU28" i="160"/>
  <c r="EU14" i="160"/>
  <c r="DC125" i="160"/>
  <c r="ES125" i="160"/>
  <c r="EE125" i="160"/>
  <c r="DJ125" i="160"/>
  <c r="AI125" i="160"/>
  <c r="EL125" i="160"/>
  <c r="DX125" i="160"/>
  <c r="AI84" i="160"/>
  <c r="DJ84" i="160"/>
  <c r="ES84" i="160"/>
  <c r="EE84" i="160"/>
  <c r="DC84" i="160"/>
  <c r="EL84" i="160"/>
  <c r="DX84" i="160"/>
  <c r="BS73" i="160"/>
  <c r="DO73" i="160"/>
  <c r="BS41" i="160"/>
  <c r="DO41" i="160"/>
  <c r="DD53" i="160"/>
  <c r="EV53" i="160" s="1"/>
  <c r="DK53" i="160"/>
  <c r="EW53" i="160" s="1"/>
  <c r="DR53" i="160"/>
  <c r="EX53" i="160" s="1"/>
  <c r="EM53" i="160"/>
  <c r="FA53" i="160" s="1"/>
  <c r="ET53" i="160"/>
  <c r="FB53" i="160" s="1"/>
  <c r="EF53" i="160"/>
  <c r="EZ53" i="160" s="1"/>
  <c r="DY53" i="160"/>
  <c r="EY53" i="160" s="1"/>
  <c r="EU53" i="160"/>
  <c r="EE92" i="160"/>
  <c r="AI92" i="160"/>
  <c r="EL92" i="160"/>
  <c r="DC92" i="160"/>
  <c r="ES92" i="160"/>
  <c r="DJ92" i="160"/>
  <c r="DX92" i="160"/>
  <c r="ET10" i="160"/>
  <c r="FB10" i="160" s="1"/>
  <c r="DD10" i="160"/>
  <c r="EV10" i="160" s="1"/>
  <c r="DK10" i="160"/>
  <c r="EW10" i="160" s="1"/>
  <c r="DR10" i="160"/>
  <c r="EX10" i="160" s="1"/>
  <c r="EF10" i="160"/>
  <c r="EZ10" i="160" s="1"/>
  <c r="EM10" i="160"/>
  <c r="FA10" i="160" s="1"/>
  <c r="DY10" i="160"/>
  <c r="EY10" i="160" s="1"/>
  <c r="EU10" i="160"/>
  <c r="BS28" i="160"/>
  <c r="DO28" i="160"/>
  <c r="DC61" i="160"/>
  <c r="EE61" i="160"/>
  <c r="EL61" i="160"/>
  <c r="DQ61" i="160"/>
  <c r="DJ61" i="160"/>
  <c r="AI61" i="160"/>
  <c r="ES61" i="160"/>
  <c r="DX61" i="160"/>
  <c r="ES113" i="160"/>
  <c r="DJ113" i="160"/>
  <c r="EE113" i="160"/>
  <c r="EL113" i="160"/>
  <c r="DX113" i="160"/>
  <c r="DQ113" i="160"/>
  <c r="AI113" i="160"/>
  <c r="EU113" i="160" s="1"/>
  <c r="DC113" i="160"/>
  <c r="DC57" i="160"/>
  <c r="DJ57" i="160"/>
  <c r="AI57" i="160"/>
  <c r="DQ57" i="160"/>
  <c r="EE57" i="160"/>
  <c r="EL57" i="160"/>
  <c r="ES57" i="160"/>
  <c r="DX57" i="160"/>
  <c r="EL68" i="160"/>
  <c r="ES68" i="160"/>
  <c r="DC68" i="160"/>
  <c r="AI68" i="160"/>
  <c r="EE68" i="160"/>
  <c r="DQ68" i="160"/>
  <c r="DJ68" i="160"/>
  <c r="DX68" i="160"/>
  <c r="EL120" i="160"/>
  <c r="EE120" i="160"/>
  <c r="DC120" i="160"/>
  <c r="DJ120" i="160"/>
  <c r="ES120" i="160"/>
  <c r="AI120" i="160"/>
  <c r="EU120" i="160" s="1"/>
  <c r="DX120" i="160"/>
  <c r="BT23" i="160"/>
  <c r="DP23" i="160"/>
  <c r="DC94" i="160"/>
  <c r="AI94" i="160"/>
  <c r="DJ94" i="160"/>
  <c r="ES94" i="160"/>
  <c r="EL94" i="160"/>
  <c r="EE94" i="160"/>
  <c r="DX94" i="160"/>
  <c r="EF43" i="160"/>
  <c r="EZ43" i="160" s="1"/>
  <c r="EM43" i="160"/>
  <c r="FA43" i="160" s="1"/>
  <c r="ET43" i="160"/>
  <c r="FB43" i="160" s="1"/>
  <c r="DD43" i="160"/>
  <c r="EV43" i="160" s="1"/>
  <c r="DK43" i="160"/>
  <c r="EW43" i="160" s="1"/>
  <c r="DY43" i="160"/>
  <c r="EY43" i="160" s="1"/>
  <c r="DD37" i="160"/>
  <c r="EV37" i="160" s="1"/>
  <c r="DK37" i="160"/>
  <c r="EW37" i="160" s="1"/>
  <c r="ET37" i="160"/>
  <c r="FB37" i="160" s="1"/>
  <c r="EM37" i="160"/>
  <c r="FA37" i="160" s="1"/>
  <c r="EF37" i="160"/>
  <c r="EZ37" i="160" s="1"/>
  <c r="DY37" i="160"/>
  <c r="EY37" i="160" s="1"/>
  <c r="BS129" i="160"/>
  <c r="DO129" i="160"/>
  <c r="BS138" i="160"/>
  <c r="DO138" i="160"/>
  <c r="DC86" i="160"/>
  <c r="EL86" i="160"/>
  <c r="DJ86" i="160"/>
  <c r="ES86" i="160"/>
  <c r="AI86" i="160"/>
  <c r="EE86" i="160"/>
  <c r="DX86" i="160"/>
  <c r="DC67" i="160"/>
  <c r="DJ67" i="160"/>
  <c r="EE67" i="160"/>
  <c r="EL67" i="160"/>
  <c r="ES67" i="160"/>
  <c r="AI67" i="160"/>
  <c r="DX67" i="160"/>
  <c r="BS137" i="160"/>
  <c r="DO137" i="160"/>
  <c r="EM18" i="160"/>
  <c r="FA18" i="160" s="1"/>
  <c r="DD18" i="160"/>
  <c r="EV18" i="160" s="1"/>
  <c r="ET18" i="160"/>
  <c r="FB18" i="160" s="1"/>
  <c r="EF18" i="160"/>
  <c r="EZ18" i="160" s="1"/>
  <c r="DR18" i="160"/>
  <c r="EX18" i="160" s="1"/>
  <c r="DK18" i="160"/>
  <c r="EW18" i="160" s="1"/>
  <c r="DY18" i="160"/>
  <c r="EY18" i="160" s="1"/>
  <c r="EU18" i="160"/>
  <c r="DR27" i="160"/>
  <c r="EX27" i="160" s="1"/>
  <c r="EF27" i="160"/>
  <c r="EZ27" i="160" s="1"/>
  <c r="EM27" i="160"/>
  <c r="FA27" i="160" s="1"/>
  <c r="ET27" i="160"/>
  <c r="FB27" i="160" s="1"/>
  <c r="DD27" i="160"/>
  <c r="EV27" i="160" s="1"/>
  <c r="DK27" i="160"/>
  <c r="EW27" i="160" s="1"/>
  <c r="DY27" i="160"/>
  <c r="EY27" i="160" s="1"/>
  <c r="EU27" i="160"/>
  <c r="EE115" i="160"/>
  <c r="ES115" i="160"/>
  <c r="DC115" i="160"/>
  <c r="DJ115" i="160"/>
  <c r="EL115" i="160"/>
  <c r="DQ115" i="160"/>
  <c r="AI115" i="160"/>
  <c r="DX115" i="160"/>
  <c r="BS32" i="160"/>
  <c r="DO32" i="160"/>
  <c r="BS130" i="160"/>
  <c r="DO130" i="160"/>
  <c r="EE136" i="160"/>
  <c r="EL136" i="160"/>
  <c r="DC136" i="160"/>
  <c r="ES136" i="160"/>
  <c r="AI136" i="160"/>
  <c r="DJ136" i="160"/>
  <c r="DQ136" i="160"/>
  <c r="DX136" i="160"/>
  <c r="EF47" i="160"/>
  <c r="EZ47" i="160" s="1"/>
  <c r="EM47" i="160"/>
  <c r="FA47" i="160" s="1"/>
  <c r="ET47" i="160"/>
  <c r="FB47" i="160" s="1"/>
  <c r="DD47" i="160"/>
  <c r="EV47" i="160" s="1"/>
  <c r="DK47" i="160"/>
  <c r="EW47" i="160" s="1"/>
  <c r="DY47" i="160"/>
  <c r="EY47" i="160" s="1"/>
  <c r="EL139" i="160"/>
  <c r="ES139" i="160"/>
  <c r="DJ139" i="160"/>
  <c r="AI139" i="160"/>
  <c r="DX139" i="160"/>
  <c r="EE139" i="160"/>
  <c r="DC139" i="160"/>
  <c r="ET96" i="160"/>
  <c r="FB96" i="160" s="1"/>
  <c r="EM96" i="160"/>
  <c r="FA96" i="160" s="1"/>
  <c r="DK96" i="160"/>
  <c r="EW96" i="160" s="1"/>
  <c r="FE6" i="160" s="1"/>
  <c r="EF96" i="160"/>
  <c r="EZ96" i="160" s="1"/>
  <c r="DR96" i="160"/>
  <c r="EX96" i="160" s="1"/>
  <c r="DD96" i="160"/>
  <c r="EV96" i="160" s="1"/>
  <c r="DY96" i="160"/>
  <c r="EY96" i="160" s="1"/>
  <c r="EU96" i="160"/>
  <c r="BT25" i="160"/>
  <c r="DP25" i="160"/>
  <c r="BS78" i="160"/>
  <c r="DO78" i="160"/>
  <c r="BS45" i="160"/>
  <c r="DO45" i="160"/>
  <c r="EU43" i="160"/>
  <c r="BS112" i="160"/>
  <c r="DO112" i="160"/>
  <c r="EE82" i="160"/>
  <c r="ES82" i="160"/>
  <c r="AI82" i="160"/>
  <c r="DC82" i="160"/>
  <c r="EL82" i="160"/>
  <c r="DJ82" i="160"/>
  <c r="DX82" i="160"/>
  <c r="EM26" i="160"/>
  <c r="FA26" i="160" s="1"/>
  <c r="ET26" i="160"/>
  <c r="FB26" i="160" s="1"/>
  <c r="DD26" i="160"/>
  <c r="EV26" i="160" s="1"/>
  <c r="DK26" i="160"/>
  <c r="EW26" i="160" s="1"/>
  <c r="EF26" i="160"/>
  <c r="EZ26" i="160" s="1"/>
  <c r="DY26" i="160"/>
  <c r="EY26" i="160" s="1"/>
  <c r="EU26" i="160"/>
  <c r="BS92" i="160"/>
  <c r="DO92" i="160"/>
  <c r="BS37" i="160"/>
  <c r="DO37" i="160"/>
  <c r="BS118" i="160"/>
  <c r="DO118" i="160"/>
  <c r="BS111" i="160"/>
  <c r="DO111" i="160"/>
  <c r="BS123" i="160"/>
  <c r="DO123" i="160"/>
  <c r="DC121" i="160"/>
  <c r="ES121" i="160"/>
  <c r="AI121" i="160"/>
  <c r="EE121" i="160"/>
  <c r="DJ121" i="160"/>
  <c r="EL121" i="160"/>
  <c r="DX121" i="160"/>
  <c r="ES130" i="160"/>
  <c r="DC130" i="160"/>
  <c r="AI130" i="160"/>
  <c r="EL130" i="160"/>
  <c r="EE130" i="160"/>
  <c r="DJ130" i="160"/>
  <c r="DX130" i="160"/>
  <c r="BS120" i="160"/>
  <c r="DO120" i="160"/>
  <c r="DC133" i="160"/>
  <c r="DJ133" i="160"/>
  <c r="ES133" i="160"/>
  <c r="EL133" i="160"/>
  <c r="AI133" i="160"/>
  <c r="EE133" i="160"/>
  <c r="DX133" i="160"/>
  <c r="ES88" i="160"/>
  <c r="EE88" i="160"/>
  <c r="DJ88" i="160"/>
  <c r="DC88" i="160"/>
  <c r="EL88" i="160"/>
  <c r="AI88" i="160"/>
  <c r="DX88" i="160"/>
  <c r="BS88" i="160"/>
  <c r="DO88" i="160"/>
  <c r="EL73" i="160"/>
  <c r="ES73" i="160"/>
  <c r="DC73" i="160"/>
  <c r="AI73" i="160"/>
  <c r="EE73" i="160"/>
  <c r="DX73" i="160"/>
  <c r="DJ73" i="160"/>
  <c r="BS74" i="160"/>
  <c r="DO74" i="160"/>
  <c r="ET23" i="160"/>
  <c r="FB23" i="160" s="1"/>
  <c r="DD23" i="160"/>
  <c r="EV23" i="160" s="1"/>
  <c r="DK23" i="160"/>
  <c r="EW23" i="160" s="1"/>
  <c r="DY23" i="160"/>
  <c r="EY23" i="160" s="1"/>
  <c r="EF23" i="160"/>
  <c r="EZ23" i="160" s="1"/>
  <c r="EM23" i="160"/>
  <c r="FA23" i="160" s="1"/>
  <c r="EF49" i="160"/>
  <c r="EZ49" i="160" s="1"/>
  <c r="DK49" i="160"/>
  <c r="EW49" i="160" s="1"/>
  <c r="EM49" i="160"/>
  <c r="FA49" i="160" s="1"/>
  <c r="ET49" i="160"/>
  <c r="FB49" i="160" s="1"/>
  <c r="DD49" i="160"/>
  <c r="EV49" i="160" s="1"/>
  <c r="DY49" i="160"/>
  <c r="EY49" i="160" s="1"/>
  <c r="BS93" i="160"/>
  <c r="DO93" i="160"/>
  <c r="EM21" i="160"/>
  <c r="FA21" i="160" s="1"/>
  <c r="ET21" i="160"/>
  <c r="FB21" i="160" s="1"/>
  <c r="DD21" i="160"/>
  <c r="EV21" i="160" s="1"/>
  <c r="EF21" i="160"/>
  <c r="EZ21" i="160" s="1"/>
  <c r="DK21" i="160"/>
  <c r="EW21" i="160" s="1"/>
  <c r="DY21" i="160"/>
  <c r="EY21" i="160" s="1"/>
  <c r="EU21" i="160"/>
  <c r="EF39" i="160"/>
  <c r="EZ39" i="160" s="1"/>
  <c r="EM39" i="160"/>
  <c r="FA39" i="160" s="1"/>
  <c r="ET39" i="160"/>
  <c r="FB39" i="160" s="1"/>
  <c r="DD39" i="160"/>
  <c r="EV39" i="160" s="1"/>
  <c r="DK39" i="160"/>
  <c r="EW39" i="160" s="1"/>
  <c r="DY39" i="160"/>
  <c r="EY39" i="160" s="1"/>
  <c r="EU39" i="160"/>
  <c r="EU47" i="160"/>
  <c r="BT24" i="160"/>
  <c r="DP24" i="160"/>
  <c r="DD41" i="160"/>
  <c r="EV41" i="160" s="1"/>
  <c r="DK41" i="160"/>
  <c r="EW41" i="160" s="1"/>
  <c r="EF41" i="160"/>
  <c r="EZ41" i="160" s="1"/>
  <c r="EM41" i="160"/>
  <c r="FA41" i="160" s="1"/>
  <c r="ET41" i="160"/>
  <c r="FB41" i="160" s="1"/>
  <c r="DY41" i="160"/>
  <c r="EY41" i="160" s="1"/>
  <c r="EU41" i="160"/>
  <c r="BS30" i="160"/>
  <c r="DO30" i="160"/>
  <c r="BS86" i="160"/>
  <c r="DO86" i="160"/>
  <c r="AI138" i="160"/>
  <c r="EE138" i="160"/>
  <c r="ES138" i="160"/>
  <c r="DC138" i="160"/>
  <c r="DJ138" i="160"/>
  <c r="EL138" i="160"/>
  <c r="DX138" i="160"/>
  <c r="DK33" i="160"/>
  <c r="EW33" i="160" s="1"/>
  <c r="DD33" i="160"/>
  <c r="EV33" i="160" s="1"/>
  <c r="EM33" i="160"/>
  <c r="FA33" i="160" s="1"/>
  <c r="ET33" i="160"/>
  <c r="FB33" i="160" s="1"/>
  <c r="EF33" i="160"/>
  <c r="EZ33" i="160" s="1"/>
  <c r="DY33" i="160"/>
  <c r="EY33" i="160" s="1"/>
  <c r="DK40" i="160"/>
  <c r="EW40" i="160" s="1"/>
  <c r="EF40" i="160"/>
  <c r="EZ40" i="160" s="1"/>
  <c r="EM40" i="160"/>
  <c r="FA40" i="160" s="1"/>
  <c r="ET40" i="160"/>
  <c r="FB40" i="160" s="1"/>
  <c r="DD40" i="160"/>
  <c r="EV40" i="160" s="1"/>
  <c r="DY40" i="160"/>
  <c r="EY40" i="160" s="1"/>
  <c r="EU40" i="160"/>
  <c r="EU38" i="160"/>
  <c r="BS94" i="160"/>
  <c r="DO94" i="160"/>
  <c r="EM31" i="160"/>
  <c r="FA31" i="160" s="1"/>
  <c r="EF31" i="160"/>
  <c r="EZ31" i="160" s="1"/>
  <c r="DD31" i="160"/>
  <c r="EV31" i="160" s="1"/>
  <c r="DK31" i="160"/>
  <c r="EW31" i="160" s="1"/>
  <c r="ET31" i="160"/>
  <c r="FB31" i="160" s="1"/>
  <c r="DY31" i="160"/>
  <c r="EY31" i="160" s="1"/>
  <c r="EU31" i="160"/>
  <c r="DJ81" i="160"/>
  <c r="EE81" i="160"/>
  <c r="DC81" i="160"/>
  <c r="ES81" i="160"/>
  <c r="AI81" i="160"/>
  <c r="EU81" i="160" s="1"/>
  <c r="EL81" i="160"/>
  <c r="DX81" i="160"/>
  <c r="EF16" i="160"/>
  <c r="EZ16" i="160" s="1"/>
  <c r="ET16" i="160"/>
  <c r="FB16" i="160" s="1"/>
  <c r="DK16" i="160"/>
  <c r="EW16" i="160" s="1"/>
  <c r="EM16" i="160"/>
  <c r="FA16" i="160" s="1"/>
  <c r="DY16" i="160"/>
  <c r="EY16" i="160" s="1"/>
  <c r="DD16" i="160"/>
  <c r="EV16" i="160" s="1"/>
  <c r="DR16" i="160"/>
  <c r="EX16" i="160" s="1"/>
  <c r="DY24" i="160"/>
  <c r="EY24" i="160" s="1"/>
  <c r="EF24" i="160"/>
  <c r="EZ24" i="160" s="1"/>
  <c r="EM24" i="160"/>
  <c r="FA24" i="160" s="1"/>
  <c r="ET24" i="160"/>
  <c r="FB24" i="160" s="1"/>
  <c r="DD24" i="160"/>
  <c r="EV24" i="160" s="1"/>
  <c r="DK24" i="160"/>
  <c r="EW24" i="160" s="1"/>
  <c r="DC137" i="160"/>
  <c r="DJ137" i="160"/>
  <c r="ES137" i="160"/>
  <c r="EE137" i="160"/>
  <c r="AI137" i="160"/>
  <c r="EL137" i="160"/>
  <c r="DX137" i="160"/>
  <c r="FA31" i="135" l="1"/>
  <c r="FA46" i="135"/>
  <c r="FA16" i="135"/>
  <c r="FC46" i="135"/>
  <c r="FB31" i="135"/>
  <c r="FB46" i="135"/>
  <c r="FB16" i="135"/>
  <c r="FD7" i="160"/>
  <c r="FG8" i="160"/>
  <c r="FI7" i="160"/>
  <c r="FI8" i="160"/>
  <c r="FJ6" i="160"/>
  <c r="FG6" i="160"/>
  <c r="FE8" i="160"/>
  <c r="FH7" i="160"/>
  <c r="FH8" i="160"/>
  <c r="FF8" i="160"/>
  <c r="FF7" i="160"/>
  <c r="FD8" i="160"/>
  <c r="FG7" i="160"/>
  <c r="FE7" i="160"/>
  <c r="FJ8" i="160"/>
  <c r="FB144" i="160"/>
  <c r="FI6" i="160"/>
  <c r="FD6" i="160"/>
  <c r="EU144" i="160"/>
  <c r="FJ7" i="160"/>
  <c r="EY144" i="160"/>
  <c r="ET80" i="160"/>
  <c r="FB80" i="160" s="1"/>
  <c r="EF80" i="160"/>
  <c r="EZ80" i="160" s="1"/>
  <c r="DD80" i="160"/>
  <c r="EV80" i="160" s="1"/>
  <c r="EM80" i="160"/>
  <c r="FA80" i="160" s="1"/>
  <c r="DK80" i="160"/>
  <c r="EW80" i="160" s="1"/>
  <c r="DY80" i="160"/>
  <c r="EY80" i="160" s="1"/>
  <c r="EU80" i="160"/>
  <c r="BU24" i="160"/>
  <c r="DR24" i="160" s="1"/>
  <c r="DQ24" i="160"/>
  <c r="BT92" i="160"/>
  <c r="DP92" i="160"/>
  <c r="BT45" i="160"/>
  <c r="DP45" i="160"/>
  <c r="BU25" i="160"/>
  <c r="DR25" i="160" s="1"/>
  <c r="DQ25" i="160"/>
  <c r="EM115" i="160"/>
  <c r="FA115" i="160" s="1"/>
  <c r="DD115" i="160"/>
  <c r="EV115" i="160" s="1"/>
  <c r="ET115" i="160"/>
  <c r="FB115" i="160" s="1"/>
  <c r="EF115" i="160"/>
  <c r="EZ115" i="160" s="1"/>
  <c r="DR115" i="160"/>
  <c r="EX115" i="160" s="1"/>
  <c r="DK115" i="160"/>
  <c r="EW115" i="160" s="1"/>
  <c r="DY115" i="160"/>
  <c r="EY115" i="160" s="1"/>
  <c r="EU115" i="160"/>
  <c r="DD67" i="160"/>
  <c r="EV67" i="160" s="1"/>
  <c r="DK67" i="160"/>
  <c r="EW67" i="160" s="1"/>
  <c r="EF67" i="160"/>
  <c r="EZ67" i="160" s="1"/>
  <c r="EM67" i="160"/>
  <c r="FA67" i="160" s="1"/>
  <c r="ET67" i="160"/>
  <c r="FB67" i="160" s="1"/>
  <c r="DY67" i="160"/>
  <c r="EY67" i="160" s="1"/>
  <c r="DK57" i="160"/>
  <c r="EW57" i="160" s="1"/>
  <c r="DR57" i="160"/>
  <c r="EX57" i="160" s="1"/>
  <c r="EF57" i="160"/>
  <c r="EZ57" i="160" s="1"/>
  <c r="EM57" i="160"/>
  <c r="FA57" i="160" s="1"/>
  <c r="ET57" i="160"/>
  <c r="FB57" i="160" s="1"/>
  <c r="DD57" i="160"/>
  <c r="EV57" i="160" s="1"/>
  <c r="DY57" i="160"/>
  <c r="EY57" i="160" s="1"/>
  <c r="EU57" i="160"/>
  <c r="DR117" i="160"/>
  <c r="EX117" i="160" s="1"/>
  <c r="FF27" i="160" s="1"/>
  <c r="ET117" i="160"/>
  <c r="FB117" i="160" s="1"/>
  <c r="FJ27" i="160" s="1"/>
  <c r="EM117" i="160"/>
  <c r="FA117" i="160" s="1"/>
  <c r="FI27" i="160" s="1"/>
  <c r="DK117" i="160"/>
  <c r="EW117" i="160" s="1"/>
  <c r="FE27" i="160" s="1"/>
  <c r="DD117" i="160"/>
  <c r="EV117" i="160" s="1"/>
  <c r="FD27" i="160" s="1"/>
  <c r="EF117" i="160"/>
  <c r="EZ117" i="160" s="1"/>
  <c r="FH27" i="160" s="1"/>
  <c r="DY117" i="160"/>
  <c r="EY117" i="160" s="1"/>
  <c r="FG27" i="160" s="1"/>
  <c r="EU117" i="160"/>
  <c r="DD122" i="160"/>
  <c r="EV122" i="160" s="1"/>
  <c r="DK122" i="160"/>
  <c r="EW122" i="160" s="1"/>
  <c r="EF122" i="160"/>
  <c r="EZ122" i="160" s="1"/>
  <c r="EM122" i="160"/>
  <c r="FA122" i="160" s="1"/>
  <c r="ET122" i="160"/>
  <c r="FB122" i="160" s="1"/>
  <c r="DY122" i="160"/>
  <c r="EY122" i="160" s="1"/>
  <c r="EU122" i="160"/>
  <c r="BT38" i="160"/>
  <c r="DP38" i="160"/>
  <c r="EF79" i="160"/>
  <c r="EZ79" i="160" s="1"/>
  <c r="ET79" i="160"/>
  <c r="FB79" i="160" s="1"/>
  <c r="EM79" i="160"/>
  <c r="FA79" i="160" s="1"/>
  <c r="DD79" i="160"/>
  <c r="EV79" i="160" s="1"/>
  <c r="DK79" i="160"/>
  <c r="EW79" i="160" s="1"/>
  <c r="DY79" i="160"/>
  <c r="EY79" i="160" s="1"/>
  <c r="EU79" i="160"/>
  <c r="BT82" i="160"/>
  <c r="DP82" i="160"/>
  <c r="EM134" i="160"/>
  <c r="FA134" i="160" s="1"/>
  <c r="DD134" i="160"/>
  <c r="EV134" i="160" s="1"/>
  <c r="DK134" i="160"/>
  <c r="EW134" i="160" s="1"/>
  <c r="ET134" i="160"/>
  <c r="FB134" i="160" s="1"/>
  <c r="EF134" i="160"/>
  <c r="EZ134" i="160" s="1"/>
  <c r="DY134" i="160"/>
  <c r="EY134" i="160" s="1"/>
  <c r="EU134" i="160"/>
  <c r="EF129" i="160"/>
  <c r="EZ129" i="160" s="1"/>
  <c r="EM129" i="160"/>
  <c r="FA129" i="160" s="1"/>
  <c r="ET129" i="160"/>
  <c r="FB129" i="160" s="1"/>
  <c r="DD129" i="160"/>
  <c r="EV129" i="160" s="1"/>
  <c r="DK129" i="160"/>
  <c r="EW129" i="160" s="1"/>
  <c r="DY129" i="160"/>
  <c r="EY129" i="160" s="1"/>
  <c r="EU129" i="160"/>
  <c r="ET132" i="160"/>
  <c r="FB132" i="160" s="1"/>
  <c r="EF132" i="160"/>
  <c r="EZ132" i="160" s="1"/>
  <c r="DD132" i="160"/>
  <c r="EV132" i="160" s="1"/>
  <c r="DK132" i="160"/>
  <c r="EW132" i="160" s="1"/>
  <c r="EM132" i="160"/>
  <c r="FA132" i="160" s="1"/>
  <c r="DR132" i="160"/>
  <c r="EX132" i="160" s="1"/>
  <c r="DY132" i="160"/>
  <c r="EY132" i="160" s="1"/>
  <c r="EU132" i="160"/>
  <c r="EF108" i="160"/>
  <c r="EZ108" i="160" s="1"/>
  <c r="DR108" i="160"/>
  <c r="EX108" i="160" s="1"/>
  <c r="DK108" i="160"/>
  <c r="EW108" i="160" s="1"/>
  <c r="ET108" i="160"/>
  <c r="FB108" i="160" s="1"/>
  <c r="DD108" i="160"/>
  <c r="EV108" i="160" s="1"/>
  <c r="EM108" i="160"/>
  <c r="FA108" i="160" s="1"/>
  <c r="DY108" i="160"/>
  <c r="EY108" i="160" s="1"/>
  <c r="EU108" i="160"/>
  <c r="BT76" i="160"/>
  <c r="DP76" i="160"/>
  <c r="EF138" i="160"/>
  <c r="EZ138" i="160" s="1"/>
  <c r="EM138" i="160"/>
  <c r="FA138" i="160" s="1"/>
  <c r="DD138" i="160"/>
  <c r="EV138" i="160" s="1"/>
  <c r="DK138" i="160"/>
  <c r="EW138" i="160" s="1"/>
  <c r="ET138" i="160"/>
  <c r="FB138" i="160" s="1"/>
  <c r="DY138" i="160"/>
  <c r="EY138" i="160" s="1"/>
  <c r="EU138" i="160"/>
  <c r="DK133" i="160"/>
  <c r="EW133" i="160" s="1"/>
  <c r="EF133" i="160"/>
  <c r="EZ133" i="160" s="1"/>
  <c r="EM133" i="160"/>
  <c r="FA133" i="160" s="1"/>
  <c r="DD133" i="160"/>
  <c r="EV133" i="160" s="1"/>
  <c r="ET133" i="160"/>
  <c r="FB133" i="160" s="1"/>
  <c r="DY133" i="160"/>
  <c r="EY133" i="160" s="1"/>
  <c r="BT111" i="160"/>
  <c r="DP111" i="160"/>
  <c r="EM82" i="160"/>
  <c r="FA82" i="160" s="1"/>
  <c r="EF82" i="160"/>
  <c r="EZ82" i="160" s="1"/>
  <c r="DD82" i="160"/>
  <c r="EV82" i="160" s="1"/>
  <c r="DK82" i="160"/>
  <c r="EW82" i="160" s="1"/>
  <c r="ET82" i="160"/>
  <c r="FB82" i="160" s="1"/>
  <c r="DY82" i="160"/>
  <c r="EY82" i="160" s="1"/>
  <c r="BT130" i="160"/>
  <c r="DP130" i="160"/>
  <c r="ET84" i="160"/>
  <c r="FB84" i="160" s="1"/>
  <c r="EF84" i="160"/>
  <c r="EZ84" i="160" s="1"/>
  <c r="DD84" i="160"/>
  <c r="EV84" i="160" s="1"/>
  <c r="EM84" i="160"/>
  <c r="FA84" i="160" s="1"/>
  <c r="DK84" i="160"/>
  <c r="EW84" i="160" s="1"/>
  <c r="DY84" i="160"/>
  <c r="EY84" i="160" s="1"/>
  <c r="EU84" i="160"/>
  <c r="DD91" i="160"/>
  <c r="EV91" i="160" s="1"/>
  <c r="EM91" i="160"/>
  <c r="FA91" i="160" s="1"/>
  <c r="DK91" i="160"/>
  <c r="EW91" i="160" s="1"/>
  <c r="ET91" i="160"/>
  <c r="FB91" i="160" s="1"/>
  <c r="DR91" i="160"/>
  <c r="EX91" i="160" s="1"/>
  <c r="EF91" i="160"/>
  <c r="EZ91" i="160" s="1"/>
  <c r="DY91" i="160"/>
  <c r="EY91" i="160" s="1"/>
  <c r="BT125" i="160"/>
  <c r="DP125" i="160"/>
  <c r="EF112" i="160"/>
  <c r="EZ112" i="160" s="1"/>
  <c r="DK112" i="160"/>
  <c r="EW112" i="160" s="1"/>
  <c r="ET112" i="160"/>
  <c r="FB112" i="160" s="1"/>
  <c r="DD112" i="160"/>
  <c r="EV112" i="160" s="1"/>
  <c r="EM112" i="160"/>
  <c r="FA112" i="160" s="1"/>
  <c r="DY112" i="160"/>
  <c r="EY112" i="160" s="1"/>
  <c r="EU112" i="160"/>
  <c r="BT121" i="160"/>
  <c r="DP121" i="160"/>
  <c r="EM100" i="160"/>
  <c r="FA100" i="160" s="1"/>
  <c r="DR100" i="160"/>
  <c r="EX100" i="160" s="1"/>
  <c r="DK100" i="160"/>
  <c r="EW100" i="160" s="1"/>
  <c r="DD100" i="160"/>
  <c r="EV100" i="160" s="1"/>
  <c r="EF100" i="160"/>
  <c r="EZ100" i="160" s="1"/>
  <c r="ET100" i="160"/>
  <c r="FB100" i="160" s="1"/>
  <c r="DY100" i="160"/>
  <c r="EY100" i="160" s="1"/>
  <c r="EU100" i="160"/>
  <c r="BT77" i="160"/>
  <c r="DP77" i="160"/>
  <c r="BT44" i="160"/>
  <c r="DP44" i="160"/>
  <c r="EF127" i="160"/>
  <c r="EZ127" i="160" s="1"/>
  <c r="EM127" i="160"/>
  <c r="FA127" i="160" s="1"/>
  <c r="ET127" i="160"/>
  <c r="FB127" i="160" s="1"/>
  <c r="DK127" i="160"/>
  <c r="EW127" i="160" s="1"/>
  <c r="DY127" i="160"/>
  <c r="EY127" i="160" s="1"/>
  <c r="DD127" i="160"/>
  <c r="EV127" i="160" s="1"/>
  <c r="BT34" i="160"/>
  <c r="DP34" i="160"/>
  <c r="BT43" i="160"/>
  <c r="DP43" i="160"/>
  <c r="DD118" i="160"/>
  <c r="EV118" i="160" s="1"/>
  <c r="EM118" i="160"/>
  <c r="FA118" i="160" s="1"/>
  <c r="DK118" i="160"/>
  <c r="EW118" i="160" s="1"/>
  <c r="ET118" i="160"/>
  <c r="FB118" i="160" s="1"/>
  <c r="EF118" i="160"/>
  <c r="EZ118" i="160" s="1"/>
  <c r="DY118" i="160"/>
  <c r="EY118" i="160" s="1"/>
  <c r="DK65" i="160"/>
  <c r="EW65" i="160" s="1"/>
  <c r="DR65" i="160"/>
  <c r="EX65" i="160" s="1"/>
  <c r="EM65" i="160"/>
  <c r="FA65" i="160" s="1"/>
  <c r="ET65" i="160"/>
  <c r="FB65" i="160" s="1"/>
  <c r="DD65" i="160"/>
  <c r="EV65" i="160" s="1"/>
  <c r="EF65" i="160"/>
  <c r="EZ65" i="160" s="1"/>
  <c r="DY65" i="160"/>
  <c r="EY65" i="160" s="1"/>
  <c r="EU65" i="160"/>
  <c r="FA144" i="160"/>
  <c r="BU26" i="160"/>
  <c r="DR26" i="160" s="1"/>
  <c r="DQ26" i="160"/>
  <c r="BT35" i="160"/>
  <c r="DP35" i="160"/>
  <c r="EU67" i="160"/>
  <c r="DK110" i="160"/>
  <c r="EW110" i="160" s="1"/>
  <c r="DD110" i="160"/>
  <c r="EV110" i="160" s="1"/>
  <c r="DR110" i="160"/>
  <c r="EX110" i="160" s="1"/>
  <c r="EF110" i="160"/>
  <c r="EZ110" i="160" s="1"/>
  <c r="ET110" i="160"/>
  <c r="FB110" i="160" s="1"/>
  <c r="EM110" i="160"/>
  <c r="FA110" i="160" s="1"/>
  <c r="DY110" i="160"/>
  <c r="EY110" i="160" s="1"/>
  <c r="EF70" i="160"/>
  <c r="EZ70" i="160" s="1"/>
  <c r="EM70" i="160"/>
  <c r="FA70" i="160" s="1"/>
  <c r="ET70" i="160"/>
  <c r="FB70" i="160" s="1"/>
  <c r="DY70" i="160"/>
  <c r="EY70" i="160" s="1"/>
  <c r="DR70" i="160"/>
  <c r="EX70" i="160" s="1"/>
  <c r="DK70" i="160"/>
  <c r="EW70" i="160" s="1"/>
  <c r="DD70" i="160"/>
  <c r="EV70" i="160" s="1"/>
  <c r="EU70" i="160"/>
  <c r="BT88" i="160"/>
  <c r="DP88" i="160"/>
  <c r="BT118" i="160"/>
  <c r="DP118" i="160"/>
  <c r="EU82" i="160"/>
  <c r="EM136" i="160"/>
  <c r="FA136" i="160" s="1"/>
  <c r="ET136" i="160"/>
  <c r="FB136" i="160" s="1"/>
  <c r="DK136" i="160"/>
  <c r="EW136" i="160" s="1"/>
  <c r="EF136" i="160"/>
  <c r="EZ136" i="160" s="1"/>
  <c r="DR136" i="160"/>
  <c r="EX136" i="160" s="1"/>
  <c r="DD136" i="160"/>
  <c r="EV136" i="160" s="1"/>
  <c r="DY136" i="160"/>
  <c r="EY136" i="160" s="1"/>
  <c r="EU136" i="160"/>
  <c r="DK86" i="160"/>
  <c r="EW86" i="160" s="1"/>
  <c r="ET86" i="160"/>
  <c r="FB86" i="160" s="1"/>
  <c r="EF86" i="160"/>
  <c r="EZ86" i="160" s="1"/>
  <c r="DD86" i="160"/>
  <c r="EV86" i="160" s="1"/>
  <c r="DY86" i="160"/>
  <c r="EY86" i="160" s="1"/>
  <c r="EM86" i="160"/>
  <c r="FA86" i="160" s="1"/>
  <c r="DD61" i="160"/>
  <c r="EV61" i="160" s="1"/>
  <c r="DK61" i="160"/>
  <c r="EW61" i="160" s="1"/>
  <c r="EF61" i="160"/>
  <c r="EZ61" i="160" s="1"/>
  <c r="EM61" i="160"/>
  <c r="FA61" i="160" s="1"/>
  <c r="ET61" i="160"/>
  <c r="FB61" i="160" s="1"/>
  <c r="DR61" i="160"/>
  <c r="EX61" i="160" s="1"/>
  <c r="DY61" i="160"/>
  <c r="EY61" i="160" s="1"/>
  <c r="EU61" i="160"/>
  <c r="BT28" i="160"/>
  <c r="DP28" i="160"/>
  <c r="EM92" i="160"/>
  <c r="FA92" i="160" s="1"/>
  <c r="ET92" i="160"/>
  <c r="FB92" i="160" s="1"/>
  <c r="DD92" i="160"/>
  <c r="EV92" i="160" s="1"/>
  <c r="EF92" i="160"/>
  <c r="EZ92" i="160" s="1"/>
  <c r="DK92" i="160"/>
  <c r="EW92" i="160" s="1"/>
  <c r="DY92" i="160"/>
  <c r="EY92" i="160" s="1"/>
  <c r="EU92" i="160"/>
  <c r="DR102" i="160"/>
  <c r="EX102" i="160" s="1"/>
  <c r="ET102" i="160"/>
  <c r="FB102" i="160" s="1"/>
  <c r="EM102" i="160"/>
  <c r="FA102" i="160" s="1"/>
  <c r="DD102" i="160"/>
  <c r="EV102" i="160" s="1"/>
  <c r="DK102" i="160"/>
  <c r="EW102" i="160" s="1"/>
  <c r="EF102" i="160"/>
  <c r="EZ102" i="160" s="1"/>
  <c r="DY102" i="160"/>
  <c r="EY102" i="160" s="1"/>
  <c r="BT79" i="160"/>
  <c r="DP79" i="160"/>
  <c r="BT133" i="160"/>
  <c r="DP133" i="160"/>
  <c r="FH6" i="160"/>
  <c r="BT21" i="160"/>
  <c r="DP21" i="160"/>
  <c r="DK126" i="160"/>
  <c r="EW126" i="160" s="1"/>
  <c r="EF126" i="160"/>
  <c r="EZ126" i="160" s="1"/>
  <c r="DD126" i="160"/>
  <c r="EV126" i="160" s="1"/>
  <c r="ET126" i="160"/>
  <c r="FB126" i="160" s="1"/>
  <c r="EM126" i="160"/>
  <c r="FA126" i="160" s="1"/>
  <c r="DY126" i="160"/>
  <c r="EY126" i="160" s="1"/>
  <c r="EF63" i="160"/>
  <c r="EZ63" i="160" s="1"/>
  <c r="EM63" i="160"/>
  <c r="FA63" i="160" s="1"/>
  <c r="ET63" i="160"/>
  <c r="FB63" i="160" s="1"/>
  <c r="DD63" i="160"/>
  <c r="EV63" i="160" s="1"/>
  <c r="DK63" i="160"/>
  <c r="EW63" i="160" s="1"/>
  <c r="DR63" i="160"/>
  <c r="EX63" i="160" s="1"/>
  <c r="DY63" i="160"/>
  <c r="EY63" i="160" s="1"/>
  <c r="DD104" i="160"/>
  <c r="EV104" i="160" s="1"/>
  <c r="EF104" i="160"/>
  <c r="EZ104" i="160" s="1"/>
  <c r="ET104" i="160"/>
  <c r="FB104" i="160" s="1"/>
  <c r="EM104" i="160"/>
  <c r="FA104" i="160" s="1"/>
  <c r="DR104" i="160"/>
  <c r="EX104" i="160" s="1"/>
  <c r="DK104" i="160"/>
  <c r="EW104" i="160" s="1"/>
  <c r="DY104" i="160"/>
  <c r="EY104" i="160" s="1"/>
  <c r="EM105" i="160"/>
  <c r="FA105" i="160" s="1"/>
  <c r="DR105" i="160"/>
  <c r="EX105" i="160" s="1"/>
  <c r="ET105" i="160"/>
  <c r="FB105" i="160" s="1"/>
  <c r="EF105" i="160"/>
  <c r="EZ105" i="160" s="1"/>
  <c r="DD105" i="160"/>
  <c r="EV105" i="160" s="1"/>
  <c r="DK105" i="160"/>
  <c r="EW105" i="160" s="1"/>
  <c r="DY105" i="160"/>
  <c r="EY105" i="160" s="1"/>
  <c r="EU105" i="160"/>
  <c r="EF77" i="160"/>
  <c r="EZ77" i="160" s="1"/>
  <c r="DY77" i="160"/>
  <c r="EY77" i="160" s="1"/>
  <c r="DD77" i="160"/>
  <c r="EV77" i="160" s="1"/>
  <c r="DK77" i="160"/>
  <c r="EW77" i="160" s="1"/>
  <c r="ET77" i="160"/>
  <c r="FB77" i="160" s="1"/>
  <c r="EM77" i="160"/>
  <c r="FA77" i="160" s="1"/>
  <c r="EU77" i="160"/>
  <c r="BT29" i="160"/>
  <c r="DP29" i="160"/>
  <c r="DD74" i="160"/>
  <c r="EV74" i="160" s="1"/>
  <c r="DK74" i="160"/>
  <c r="EW74" i="160" s="1"/>
  <c r="EF74" i="160"/>
  <c r="EZ74" i="160" s="1"/>
  <c r="EM74" i="160"/>
  <c r="FA74" i="160" s="1"/>
  <c r="ET74" i="160"/>
  <c r="FB74" i="160" s="1"/>
  <c r="DY74" i="160"/>
  <c r="EY74" i="160" s="1"/>
  <c r="BT22" i="160"/>
  <c r="DP22" i="160"/>
  <c r="BT40" i="160"/>
  <c r="DP40" i="160"/>
  <c r="ET76" i="160"/>
  <c r="FB76" i="160" s="1"/>
  <c r="DD76" i="160"/>
  <c r="EV76" i="160" s="1"/>
  <c r="EF76" i="160"/>
  <c r="EZ76" i="160" s="1"/>
  <c r="DK76" i="160"/>
  <c r="EW76" i="160" s="1"/>
  <c r="EM76" i="160"/>
  <c r="FA76" i="160" s="1"/>
  <c r="DY76" i="160"/>
  <c r="EY76" i="160" s="1"/>
  <c r="BT137" i="160"/>
  <c r="DP137" i="160"/>
  <c r="DK94" i="160"/>
  <c r="EW94" i="160" s="1"/>
  <c r="ET94" i="160"/>
  <c r="FB94" i="160" s="1"/>
  <c r="EF94" i="160"/>
  <c r="EZ94" i="160" s="1"/>
  <c r="EM94" i="160"/>
  <c r="FA94" i="160" s="1"/>
  <c r="DD94" i="160"/>
  <c r="EV94" i="160" s="1"/>
  <c r="DY94" i="160"/>
  <c r="EY94" i="160" s="1"/>
  <c r="EU94" i="160"/>
  <c r="EF119" i="160"/>
  <c r="EZ119" i="160" s="1"/>
  <c r="DD119" i="160"/>
  <c r="EV119" i="160" s="1"/>
  <c r="EM119" i="160"/>
  <c r="FA119" i="160" s="1"/>
  <c r="DK119" i="160"/>
  <c r="EW119" i="160" s="1"/>
  <c r="ET119" i="160"/>
  <c r="FB119" i="160" s="1"/>
  <c r="DY119" i="160"/>
  <c r="EY119" i="160" s="1"/>
  <c r="FF6" i="160"/>
  <c r="BT86" i="160"/>
  <c r="DP86" i="160"/>
  <c r="BT74" i="160"/>
  <c r="DP74" i="160"/>
  <c r="ET73" i="160"/>
  <c r="FB73" i="160" s="1"/>
  <c r="DK73" i="160"/>
  <c r="EW73" i="160" s="1"/>
  <c r="EF73" i="160"/>
  <c r="EZ73" i="160" s="1"/>
  <c r="EM73" i="160"/>
  <c r="FA73" i="160" s="1"/>
  <c r="DD73" i="160"/>
  <c r="EV73" i="160" s="1"/>
  <c r="DY73" i="160"/>
  <c r="EY73" i="160" s="1"/>
  <c r="EU73" i="160"/>
  <c r="ET139" i="160"/>
  <c r="FB139" i="160" s="1"/>
  <c r="DD139" i="160"/>
  <c r="EV139" i="160" s="1"/>
  <c r="DY139" i="160"/>
  <c r="EY139" i="160" s="1"/>
  <c r="EF139" i="160"/>
  <c r="EZ139" i="160" s="1"/>
  <c r="EM139" i="160"/>
  <c r="FA139" i="160" s="1"/>
  <c r="DK139" i="160"/>
  <c r="EW139" i="160" s="1"/>
  <c r="BT32" i="160"/>
  <c r="DP32" i="160"/>
  <c r="BT129" i="160"/>
  <c r="DP129" i="160"/>
  <c r="ET120" i="160"/>
  <c r="FB120" i="160" s="1"/>
  <c r="EF120" i="160"/>
  <c r="EZ120" i="160" s="1"/>
  <c r="DD120" i="160"/>
  <c r="EV120" i="160" s="1"/>
  <c r="EM120" i="160"/>
  <c r="FA120" i="160" s="1"/>
  <c r="DK120" i="160"/>
  <c r="EW120" i="160" s="1"/>
  <c r="DY120" i="160"/>
  <c r="EY120" i="160" s="1"/>
  <c r="BU42" i="160"/>
  <c r="DR42" i="160" s="1"/>
  <c r="DQ42" i="160"/>
  <c r="BT49" i="160"/>
  <c r="DP49" i="160"/>
  <c r="DK128" i="160"/>
  <c r="EW128" i="160" s="1"/>
  <c r="EM128" i="160"/>
  <c r="FA128" i="160" s="1"/>
  <c r="ET128" i="160"/>
  <c r="FB128" i="160" s="1"/>
  <c r="EF128" i="160"/>
  <c r="EZ128" i="160" s="1"/>
  <c r="DD128" i="160"/>
  <c r="EV128" i="160" s="1"/>
  <c r="DY128" i="160"/>
  <c r="EY128" i="160" s="1"/>
  <c r="DK69" i="160"/>
  <c r="EW69" i="160" s="1"/>
  <c r="DR69" i="160"/>
  <c r="EX69" i="160" s="1"/>
  <c r="EF69" i="160"/>
  <c r="EZ69" i="160" s="1"/>
  <c r="ET69" i="160"/>
  <c r="FB69" i="160" s="1"/>
  <c r="DD69" i="160"/>
  <c r="EV69" i="160" s="1"/>
  <c r="EM69" i="160"/>
  <c r="FA69" i="160" s="1"/>
  <c r="DY69" i="160"/>
  <c r="EY69" i="160" s="1"/>
  <c r="EU69" i="160"/>
  <c r="BT47" i="160"/>
  <c r="DP47" i="160"/>
  <c r="EZ144" i="160"/>
  <c r="BT134" i="160"/>
  <c r="DP134" i="160"/>
  <c r="BT83" i="160"/>
  <c r="DP83" i="160"/>
  <c r="EF123" i="160"/>
  <c r="EZ123" i="160" s="1"/>
  <c r="EM123" i="160"/>
  <c r="FA123" i="160" s="1"/>
  <c r="ET123" i="160"/>
  <c r="FB123" i="160" s="1"/>
  <c r="DK123" i="160"/>
  <c r="EW123" i="160" s="1"/>
  <c r="DD123" i="160"/>
  <c r="EV123" i="160" s="1"/>
  <c r="DY123" i="160"/>
  <c r="EY123" i="160" s="1"/>
  <c r="EU123" i="160"/>
  <c r="EF75" i="160"/>
  <c r="EZ75" i="160" s="1"/>
  <c r="EM75" i="160"/>
  <c r="FA75" i="160" s="1"/>
  <c r="DD75" i="160"/>
  <c r="EV75" i="160" s="1"/>
  <c r="DK75" i="160"/>
  <c r="EW75" i="160" s="1"/>
  <c r="ET75" i="160"/>
  <c r="FB75" i="160" s="1"/>
  <c r="DY75" i="160"/>
  <c r="EY75" i="160" s="1"/>
  <c r="BT67" i="160"/>
  <c r="DP67" i="160"/>
  <c r="ET78" i="160"/>
  <c r="FB78" i="160" s="1"/>
  <c r="EF78" i="160"/>
  <c r="EZ78" i="160" s="1"/>
  <c r="DD78" i="160"/>
  <c r="EV78" i="160" s="1"/>
  <c r="EM78" i="160"/>
  <c r="FA78" i="160" s="1"/>
  <c r="DK78" i="160"/>
  <c r="EW78" i="160" s="1"/>
  <c r="DY78" i="160"/>
  <c r="EY78" i="160" s="1"/>
  <c r="BT85" i="160"/>
  <c r="DP85" i="160"/>
  <c r="DR62" i="160"/>
  <c r="EX62" i="160" s="1"/>
  <c r="ET62" i="160"/>
  <c r="FB62" i="160" s="1"/>
  <c r="DD62" i="160"/>
  <c r="EV62" i="160" s="1"/>
  <c r="EM62" i="160"/>
  <c r="FA62" i="160" s="1"/>
  <c r="EF62" i="160"/>
  <c r="EZ62" i="160" s="1"/>
  <c r="DK62" i="160"/>
  <c r="EW62" i="160" s="1"/>
  <c r="DY62" i="160"/>
  <c r="EY62" i="160" s="1"/>
  <c r="EU62" i="160"/>
  <c r="BT124" i="160"/>
  <c r="DP124" i="160"/>
  <c r="ET64" i="160"/>
  <c r="FB64" i="160" s="1"/>
  <c r="DD64" i="160"/>
  <c r="EV64" i="160" s="1"/>
  <c r="DR64" i="160"/>
  <c r="EX64" i="160" s="1"/>
  <c r="EF64" i="160"/>
  <c r="EZ64" i="160" s="1"/>
  <c r="DK64" i="160"/>
  <c r="EW64" i="160" s="1"/>
  <c r="EM64" i="160"/>
  <c r="FA64" i="160" s="1"/>
  <c r="DY64" i="160"/>
  <c r="EY64" i="160" s="1"/>
  <c r="BT78" i="160"/>
  <c r="DP78" i="160"/>
  <c r="BT138" i="160"/>
  <c r="DP138" i="160"/>
  <c r="EM88" i="160"/>
  <c r="FA88" i="160" s="1"/>
  <c r="DK88" i="160"/>
  <c r="EW88" i="160" s="1"/>
  <c r="EF88" i="160"/>
  <c r="EZ88" i="160" s="1"/>
  <c r="DD88" i="160"/>
  <c r="EV88" i="160" s="1"/>
  <c r="ET88" i="160"/>
  <c r="FB88" i="160" s="1"/>
  <c r="DY88" i="160"/>
  <c r="EY88" i="160" s="1"/>
  <c r="EU88" i="160"/>
  <c r="EU133" i="160"/>
  <c r="EV144" i="160"/>
  <c r="BT112" i="160"/>
  <c r="DP112" i="160"/>
  <c r="DR113" i="160"/>
  <c r="EX113" i="160" s="1"/>
  <c r="DD113" i="160"/>
  <c r="EV113" i="160" s="1"/>
  <c r="ET113" i="160"/>
  <c r="FB113" i="160" s="1"/>
  <c r="EM113" i="160"/>
  <c r="FA113" i="160" s="1"/>
  <c r="DK113" i="160"/>
  <c r="EW113" i="160" s="1"/>
  <c r="EF113" i="160"/>
  <c r="EZ113" i="160" s="1"/>
  <c r="DY113" i="160"/>
  <c r="EY113" i="160" s="1"/>
  <c r="EU91" i="160"/>
  <c r="BT89" i="160"/>
  <c r="DP89" i="160"/>
  <c r="DD83" i="160"/>
  <c r="EV83" i="160" s="1"/>
  <c r="EM83" i="160"/>
  <c r="FA83" i="160" s="1"/>
  <c r="DK83" i="160"/>
  <c r="EW83" i="160" s="1"/>
  <c r="EF83" i="160"/>
  <c r="EZ83" i="160" s="1"/>
  <c r="ET83" i="160"/>
  <c r="FB83" i="160" s="1"/>
  <c r="DY83" i="160"/>
  <c r="EY83" i="160" s="1"/>
  <c r="EU83" i="160"/>
  <c r="BT36" i="160"/>
  <c r="DP36" i="160"/>
  <c r="DD59" i="160"/>
  <c r="EV59" i="160" s="1"/>
  <c r="DK59" i="160"/>
  <c r="EW59" i="160" s="1"/>
  <c r="DR59" i="160"/>
  <c r="EX59" i="160" s="1"/>
  <c r="EF59" i="160"/>
  <c r="EZ59" i="160" s="1"/>
  <c r="EM59" i="160"/>
  <c r="FA59" i="160" s="1"/>
  <c r="ET59" i="160"/>
  <c r="FB59" i="160" s="1"/>
  <c r="DY59" i="160"/>
  <c r="EY59" i="160" s="1"/>
  <c r="EU59" i="160"/>
  <c r="EU110" i="160"/>
  <c r="EU127" i="160"/>
  <c r="DK111" i="160"/>
  <c r="EW111" i="160" s="1"/>
  <c r="FE21" i="160" s="1"/>
  <c r="EF111" i="160"/>
  <c r="EZ111" i="160" s="1"/>
  <c r="FH21" i="160" s="1"/>
  <c r="EM111" i="160"/>
  <c r="FA111" i="160" s="1"/>
  <c r="FI21" i="160" s="1"/>
  <c r="ET111" i="160"/>
  <c r="FB111" i="160" s="1"/>
  <c r="FJ21" i="160" s="1"/>
  <c r="DD111" i="160"/>
  <c r="EV111" i="160" s="1"/>
  <c r="FD21" i="160" s="1"/>
  <c r="DY111" i="160"/>
  <c r="EY111" i="160" s="1"/>
  <c r="FG21" i="160" s="1"/>
  <c r="EU111" i="160"/>
  <c r="ET85" i="160"/>
  <c r="FB85" i="160" s="1"/>
  <c r="EF85" i="160"/>
  <c r="EZ85" i="160" s="1"/>
  <c r="DD85" i="160"/>
  <c r="EV85" i="160" s="1"/>
  <c r="DK85" i="160"/>
  <c r="EW85" i="160" s="1"/>
  <c r="EM85" i="160"/>
  <c r="FA85" i="160" s="1"/>
  <c r="DY85" i="160"/>
  <c r="EY85" i="160" s="1"/>
  <c r="ET107" i="160"/>
  <c r="FB107" i="160" s="1"/>
  <c r="DR107" i="160"/>
  <c r="EX107" i="160" s="1"/>
  <c r="DK107" i="160"/>
  <c r="EW107" i="160" s="1"/>
  <c r="EM107" i="160"/>
  <c r="FA107" i="160" s="1"/>
  <c r="DD107" i="160"/>
  <c r="EV107" i="160" s="1"/>
  <c r="EF107" i="160"/>
  <c r="EZ107" i="160" s="1"/>
  <c r="DY107" i="160"/>
  <c r="EY107" i="160" s="1"/>
  <c r="EU107" i="160"/>
  <c r="DD116" i="160"/>
  <c r="EV116" i="160" s="1"/>
  <c r="FD26" i="160" s="1"/>
  <c r="EM116" i="160"/>
  <c r="FA116" i="160" s="1"/>
  <c r="FI26" i="160" s="1"/>
  <c r="DK116" i="160"/>
  <c r="EW116" i="160" s="1"/>
  <c r="FE26" i="160" s="1"/>
  <c r="ET116" i="160"/>
  <c r="FB116" i="160" s="1"/>
  <c r="FJ26" i="160" s="1"/>
  <c r="DR116" i="160"/>
  <c r="EX116" i="160" s="1"/>
  <c r="EF116" i="160"/>
  <c r="EZ116" i="160" s="1"/>
  <c r="FH26" i="160" s="1"/>
  <c r="DY116" i="160"/>
  <c r="EY116" i="160" s="1"/>
  <c r="FG26" i="160" s="1"/>
  <c r="EU116" i="160"/>
  <c r="BN14" i="160"/>
  <c r="DK14" i="160" s="1"/>
  <c r="DJ14" i="160"/>
  <c r="EU139" i="160"/>
  <c r="BT73" i="160"/>
  <c r="DP73" i="160"/>
  <c r="ET109" i="160"/>
  <c r="FB109" i="160" s="1"/>
  <c r="EM109" i="160"/>
  <c r="FA109" i="160" s="1"/>
  <c r="DK109" i="160"/>
  <c r="EW109" i="160" s="1"/>
  <c r="DR109" i="160"/>
  <c r="EX109" i="160" s="1"/>
  <c r="DD109" i="160"/>
  <c r="EV109" i="160" s="1"/>
  <c r="EF109" i="160"/>
  <c r="EZ109" i="160" s="1"/>
  <c r="DY109" i="160"/>
  <c r="EY109" i="160" s="1"/>
  <c r="ET124" i="160"/>
  <c r="FB124" i="160" s="1"/>
  <c r="EF124" i="160"/>
  <c r="EZ124" i="160" s="1"/>
  <c r="DD124" i="160"/>
  <c r="EV124" i="160" s="1"/>
  <c r="EM124" i="160"/>
  <c r="FA124" i="160" s="1"/>
  <c r="DK124" i="160"/>
  <c r="EW124" i="160" s="1"/>
  <c r="DY124" i="160"/>
  <c r="EY124" i="160" s="1"/>
  <c r="EU124" i="160"/>
  <c r="DD137" i="160"/>
  <c r="EV137" i="160" s="1"/>
  <c r="DK137" i="160"/>
  <c r="EW137" i="160" s="1"/>
  <c r="EF137" i="160"/>
  <c r="EZ137" i="160" s="1"/>
  <c r="ET137" i="160"/>
  <c r="FB137" i="160" s="1"/>
  <c r="EM137" i="160"/>
  <c r="FA137" i="160" s="1"/>
  <c r="DY137" i="160"/>
  <c r="EY137" i="160" s="1"/>
  <c r="EU137" i="160"/>
  <c r="DD81" i="160"/>
  <c r="EV81" i="160" s="1"/>
  <c r="EM81" i="160"/>
  <c r="FA81" i="160" s="1"/>
  <c r="DK81" i="160"/>
  <c r="EW81" i="160" s="1"/>
  <c r="EF81" i="160"/>
  <c r="EZ81" i="160" s="1"/>
  <c r="ET81" i="160"/>
  <c r="FB81" i="160" s="1"/>
  <c r="DY81" i="160"/>
  <c r="EY81" i="160" s="1"/>
  <c r="BT30" i="160"/>
  <c r="DP30" i="160"/>
  <c r="DD130" i="160"/>
  <c r="EV130" i="160" s="1"/>
  <c r="DK130" i="160"/>
  <c r="EW130" i="160" s="1"/>
  <c r="EF130" i="160"/>
  <c r="EZ130" i="160" s="1"/>
  <c r="ET130" i="160"/>
  <c r="FB130" i="160" s="1"/>
  <c r="EM130" i="160"/>
  <c r="FA130" i="160" s="1"/>
  <c r="DY130" i="160"/>
  <c r="EY130" i="160" s="1"/>
  <c r="EU130" i="160"/>
  <c r="BT37" i="160"/>
  <c r="DP37" i="160"/>
  <c r="BU23" i="160"/>
  <c r="DR23" i="160" s="1"/>
  <c r="DQ23" i="160"/>
  <c r="ET68" i="160"/>
  <c r="FB68" i="160" s="1"/>
  <c r="DK68" i="160"/>
  <c r="EW68" i="160" s="1"/>
  <c r="EF68" i="160"/>
  <c r="EZ68" i="160" s="1"/>
  <c r="DR68" i="160"/>
  <c r="EX68" i="160" s="1"/>
  <c r="DD68" i="160"/>
  <c r="EV68" i="160" s="1"/>
  <c r="EM68" i="160"/>
  <c r="FA68" i="160" s="1"/>
  <c r="DY68" i="160"/>
  <c r="EY68" i="160" s="1"/>
  <c r="EU68" i="160"/>
  <c r="DK125" i="160"/>
  <c r="EW125" i="160" s="1"/>
  <c r="EF125" i="160"/>
  <c r="EZ125" i="160" s="1"/>
  <c r="ET125" i="160"/>
  <c r="FB125" i="160" s="1"/>
  <c r="DD125" i="160"/>
  <c r="EV125" i="160" s="1"/>
  <c r="EM125" i="160"/>
  <c r="FA125" i="160" s="1"/>
  <c r="DY125" i="160"/>
  <c r="EY125" i="160" s="1"/>
  <c r="EU125" i="160"/>
  <c r="BT90" i="160"/>
  <c r="DP90" i="160"/>
  <c r="DR114" i="160"/>
  <c r="EX114" i="160" s="1"/>
  <c r="EM114" i="160"/>
  <c r="FA114" i="160" s="1"/>
  <c r="EF114" i="160"/>
  <c r="EZ114" i="160" s="1"/>
  <c r="DK114" i="160"/>
  <c r="EW114" i="160" s="1"/>
  <c r="ET114" i="160"/>
  <c r="FB114" i="160" s="1"/>
  <c r="DD114" i="160"/>
  <c r="EV114" i="160" s="1"/>
  <c r="DY114" i="160"/>
  <c r="EY114" i="160" s="1"/>
  <c r="BT31" i="160"/>
  <c r="DP31" i="160"/>
  <c r="ET135" i="160"/>
  <c r="FB135" i="160" s="1"/>
  <c r="EM135" i="160"/>
  <c r="FA135" i="160" s="1"/>
  <c r="DK135" i="160"/>
  <c r="EW135" i="160" s="1"/>
  <c r="EF135" i="160"/>
  <c r="EZ135" i="160" s="1"/>
  <c r="DD135" i="160"/>
  <c r="EV135" i="160" s="1"/>
  <c r="DY135" i="160"/>
  <c r="EY135" i="160" s="1"/>
  <c r="EF93" i="160"/>
  <c r="EZ93" i="160" s="1"/>
  <c r="DD93" i="160"/>
  <c r="EV93" i="160" s="1"/>
  <c r="EM93" i="160"/>
  <c r="FA93" i="160" s="1"/>
  <c r="DK93" i="160"/>
  <c r="EW93" i="160" s="1"/>
  <c r="ET93" i="160"/>
  <c r="FB93" i="160" s="1"/>
  <c r="DY93" i="160"/>
  <c r="EY93" i="160" s="1"/>
  <c r="EU93" i="160"/>
  <c r="EM89" i="160"/>
  <c r="FA89" i="160" s="1"/>
  <c r="DK89" i="160"/>
  <c r="EW89" i="160" s="1"/>
  <c r="ET89" i="160"/>
  <c r="FB89" i="160" s="1"/>
  <c r="EF89" i="160"/>
  <c r="EZ89" i="160" s="1"/>
  <c r="DD89" i="160"/>
  <c r="EV89" i="160" s="1"/>
  <c r="DY89" i="160"/>
  <c r="EY89" i="160" s="1"/>
  <c r="EU89" i="160"/>
  <c r="BT81" i="160"/>
  <c r="DP81" i="160"/>
  <c r="BT122" i="160"/>
  <c r="DP122" i="160"/>
  <c r="BT127" i="160"/>
  <c r="DP127" i="160"/>
  <c r="BT119" i="160"/>
  <c r="DP119" i="160"/>
  <c r="BT75" i="160"/>
  <c r="DP75" i="160"/>
  <c r="EU118" i="160"/>
  <c r="BT139" i="160"/>
  <c r="DP139" i="160"/>
  <c r="BT80" i="160"/>
  <c r="DP80" i="160"/>
  <c r="BT126" i="160"/>
  <c r="DP126" i="160"/>
  <c r="BT94" i="160"/>
  <c r="DP94" i="160"/>
  <c r="BT93" i="160"/>
  <c r="DP93" i="160"/>
  <c r="BT120" i="160"/>
  <c r="DP120" i="160"/>
  <c r="DK121" i="160"/>
  <c r="EW121" i="160" s="1"/>
  <c r="EF121" i="160"/>
  <c r="EZ121" i="160" s="1"/>
  <c r="DD121" i="160"/>
  <c r="EV121" i="160" s="1"/>
  <c r="EM121" i="160"/>
  <c r="FA121" i="160" s="1"/>
  <c r="ET121" i="160"/>
  <c r="FB121" i="160" s="1"/>
  <c r="DY121" i="160"/>
  <c r="EY121" i="160" s="1"/>
  <c r="EU121" i="160"/>
  <c r="BT123" i="160"/>
  <c r="DP123" i="160"/>
  <c r="BT41" i="160"/>
  <c r="DP41" i="160"/>
  <c r="ET131" i="160"/>
  <c r="FB131" i="160" s="1"/>
  <c r="EF131" i="160"/>
  <c r="EZ131" i="160" s="1"/>
  <c r="EM131" i="160"/>
  <c r="FA131" i="160" s="1"/>
  <c r="DD131" i="160"/>
  <c r="EV131" i="160" s="1"/>
  <c r="DK131" i="160"/>
  <c r="EW131" i="160" s="1"/>
  <c r="DY131" i="160"/>
  <c r="EY131" i="160" s="1"/>
  <c r="EU131" i="160"/>
  <c r="EM90" i="160"/>
  <c r="FA90" i="160" s="1"/>
  <c r="DK90" i="160"/>
  <c r="EW90" i="160" s="1"/>
  <c r="EF90" i="160"/>
  <c r="EZ90" i="160" s="1"/>
  <c r="DD90" i="160"/>
  <c r="EV90" i="160" s="1"/>
  <c r="ET90" i="160"/>
  <c r="FB90" i="160" s="1"/>
  <c r="DY90" i="160"/>
  <c r="EY90" i="160" s="1"/>
  <c r="EU109" i="160"/>
  <c r="BT135" i="160"/>
  <c r="DP135" i="160"/>
  <c r="BT84" i="160"/>
  <c r="DP84" i="160"/>
  <c r="EF55" i="160"/>
  <c r="EZ55" i="160" s="1"/>
  <c r="EM55" i="160"/>
  <c r="FA55" i="160" s="1"/>
  <c r="ET55" i="160"/>
  <c r="FB55" i="160" s="1"/>
  <c r="DD55" i="160"/>
  <c r="EV55" i="160" s="1"/>
  <c r="DK55" i="160"/>
  <c r="EW55" i="160" s="1"/>
  <c r="DR55" i="160"/>
  <c r="EX55" i="160" s="1"/>
  <c r="DY55" i="160"/>
  <c r="EY55" i="160" s="1"/>
  <c r="EU55" i="160"/>
  <c r="BT128" i="160"/>
  <c r="DP128" i="160"/>
  <c r="DR106" i="160"/>
  <c r="EX106" i="160" s="1"/>
  <c r="ET106" i="160"/>
  <c r="FB106" i="160" s="1"/>
  <c r="DD106" i="160"/>
  <c r="EV106" i="160" s="1"/>
  <c r="DK106" i="160"/>
  <c r="EW106" i="160" s="1"/>
  <c r="EM106" i="160"/>
  <c r="FA106" i="160" s="1"/>
  <c r="EF106" i="160"/>
  <c r="EZ106" i="160" s="1"/>
  <c r="DY106" i="160"/>
  <c r="EY106" i="160" s="1"/>
  <c r="EU106" i="160"/>
  <c r="BU46" i="160"/>
  <c r="DR46" i="160" s="1"/>
  <c r="DQ46" i="160"/>
  <c r="EU126" i="160"/>
  <c r="BT131" i="160"/>
  <c r="DP131" i="160"/>
  <c r="BT48" i="160"/>
  <c r="DP48" i="160"/>
  <c r="BT39" i="160"/>
  <c r="DP39" i="160"/>
  <c r="BT33" i="160"/>
  <c r="DP33" i="160"/>
  <c r="EF87" i="160"/>
  <c r="EZ87" i="160" s="1"/>
  <c r="DD87" i="160"/>
  <c r="EV87" i="160" s="1"/>
  <c r="EM87" i="160"/>
  <c r="FA87" i="160" s="1"/>
  <c r="DK87" i="160"/>
  <c r="EW87" i="160" s="1"/>
  <c r="ET87" i="160"/>
  <c r="FB87" i="160" s="1"/>
  <c r="DR87" i="160"/>
  <c r="EX87" i="160" s="1"/>
  <c r="DY87" i="160"/>
  <c r="EY87" i="160" s="1"/>
  <c r="EU87" i="160"/>
  <c r="EU74" i="160"/>
  <c r="EF60" i="160"/>
  <c r="EZ60" i="160" s="1"/>
  <c r="EM60" i="160"/>
  <c r="FA60" i="160" s="1"/>
  <c r="DK60" i="160"/>
  <c r="EW60" i="160" s="1"/>
  <c r="ET60" i="160"/>
  <c r="FB60" i="160" s="1"/>
  <c r="DR60" i="160"/>
  <c r="EX60" i="160" s="1"/>
  <c r="DD60" i="160"/>
  <c r="EV60" i="160" s="1"/>
  <c r="DY60" i="160"/>
  <c r="EY60" i="160" s="1"/>
  <c r="EU76" i="160"/>
  <c r="EU86" i="160"/>
  <c r="FK16" i="135" l="1"/>
  <c r="FJ16" i="135"/>
  <c r="FI44" i="160"/>
  <c r="FH20" i="160"/>
  <c r="FF12" i="160"/>
  <c r="FJ10" i="160"/>
  <c r="FI31" i="160"/>
  <c r="FG35" i="160"/>
  <c r="FJ39" i="160"/>
  <c r="FG32" i="160"/>
  <c r="FD39" i="160"/>
  <c r="FD15" i="160"/>
  <c r="FJ44" i="160"/>
  <c r="FH17" i="160"/>
  <c r="FE42" i="160"/>
  <c r="FI48" i="160"/>
  <c r="FJ35" i="160"/>
  <c r="FE28" i="160"/>
  <c r="FD48" i="160"/>
  <c r="FH35" i="160"/>
  <c r="FD16" i="160"/>
  <c r="FH36" i="160"/>
  <c r="FH47" i="160"/>
  <c r="FE15" i="160"/>
  <c r="FJ42" i="160"/>
  <c r="FE48" i="160"/>
  <c r="FD35" i="160"/>
  <c r="FH42" i="160"/>
  <c r="FE16" i="160"/>
  <c r="FG20" i="160"/>
  <c r="FF14" i="160"/>
  <c r="FJ34" i="160"/>
  <c r="FE41" i="160"/>
  <c r="FG30" i="160"/>
  <c r="FH23" i="160"/>
  <c r="FF18" i="160"/>
  <c r="FH48" i="160"/>
  <c r="FJ25" i="160"/>
  <c r="FJ12" i="160"/>
  <c r="FJ46" i="160"/>
  <c r="FE37" i="160"/>
  <c r="FD34" i="160"/>
  <c r="FD43" i="160"/>
  <c r="FJ32" i="160"/>
  <c r="FH44" i="160"/>
  <c r="FD10" i="160"/>
  <c r="FI23" i="160"/>
  <c r="FE24" i="160"/>
  <c r="FD36" i="160"/>
  <c r="FG33" i="160"/>
  <c r="FE33" i="160"/>
  <c r="FD19" i="160"/>
  <c r="FH34" i="160"/>
  <c r="FD24" i="160"/>
  <c r="FJ18" i="160"/>
  <c r="FE32" i="160"/>
  <c r="FI18" i="160"/>
  <c r="FD28" i="160"/>
  <c r="FH25" i="160"/>
  <c r="FJ30" i="160"/>
  <c r="FH39" i="160"/>
  <c r="FI20" i="160"/>
  <c r="FI46" i="160"/>
  <c r="FJ29" i="160"/>
  <c r="FG39" i="160"/>
  <c r="FJ36" i="160"/>
  <c r="FD33" i="160"/>
  <c r="FE30" i="160"/>
  <c r="FG23" i="160"/>
  <c r="FJ14" i="160"/>
  <c r="FG25" i="160"/>
  <c r="FD32" i="160"/>
  <c r="FI14" i="160"/>
  <c r="FH43" i="160"/>
  <c r="FH18" i="160"/>
  <c r="FE12" i="160"/>
  <c r="FI25" i="160"/>
  <c r="FI39" i="160"/>
  <c r="FJ38" i="160"/>
  <c r="FI28" i="160"/>
  <c r="FH32" i="160"/>
  <c r="FI24" i="160"/>
  <c r="FG15" i="160"/>
  <c r="FG22" i="160"/>
  <c r="FE38" i="160"/>
  <c r="FD45" i="160"/>
  <c r="FG37" i="160"/>
  <c r="FH45" i="160"/>
  <c r="FH49" i="160"/>
  <c r="FH46" i="160"/>
  <c r="FG43" i="160"/>
  <c r="FJ22" i="160"/>
  <c r="FD30" i="160"/>
  <c r="FD29" i="160"/>
  <c r="FE20" i="160"/>
  <c r="FH28" i="160"/>
  <c r="FE34" i="160"/>
  <c r="FI19" i="160"/>
  <c r="FG31" i="160"/>
  <c r="FG46" i="160"/>
  <c r="FI45" i="160"/>
  <c r="FH19" i="160"/>
  <c r="FK15" i="160"/>
  <c r="FD17" i="160"/>
  <c r="FE36" i="160"/>
  <c r="FD38" i="160"/>
  <c r="FF20" i="160"/>
  <c r="FI35" i="160"/>
  <c r="FG42" i="160"/>
  <c r="FG45" i="160"/>
  <c r="FD47" i="160"/>
  <c r="FG29" i="160"/>
  <c r="FD49" i="160"/>
  <c r="FG18" i="160"/>
  <c r="FD18" i="160"/>
  <c r="FE39" i="160"/>
  <c r="FJ15" i="160"/>
  <c r="FJ45" i="160"/>
  <c r="FE35" i="160"/>
  <c r="FE23" i="160"/>
  <c r="FI49" i="160"/>
  <c r="FE31" i="160"/>
  <c r="FD37" i="160"/>
  <c r="FI34" i="160"/>
  <c r="FI12" i="160"/>
  <c r="FE22" i="160"/>
  <c r="FG16" i="160"/>
  <c r="FI22" i="160"/>
  <c r="FG34" i="160"/>
  <c r="FH14" i="160"/>
  <c r="FG38" i="160"/>
  <c r="FJ43" i="160"/>
  <c r="FJ19" i="160"/>
  <c r="FJ24" i="160"/>
  <c r="FJ28" i="160"/>
  <c r="FE25" i="160"/>
  <c r="FD22" i="160"/>
  <c r="FG28" i="160"/>
  <c r="FF10" i="160"/>
  <c r="EX26" i="160"/>
  <c r="FF26" i="160" s="1"/>
  <c r="FI37" i="160"/>
  <c r="FD14" i="160"/>
  <c r="FF16" i="160"/>
  <c r="FE47" i="160"/>
  <c r="FD12" i="160"/>
  <c r="FJ23" i="160"/>
  <c r="FE45" i="160"/>
  <c r="FG44" i="160"/>
  <c r="FJ48" i="160"/>
  <c r="FG36" i="160"/>
  <c r="EW14" i="160"/>
  <c r="EW142" i="160" s="1"/>
  <c r="FG19" i="160"/>
  <c r="FF17" i="160"/>
  <c r="FI30" i="160"/>
  <c r="FG12" i="160"/>
  <c r="FG47" i="160"/>
  <c r="FI41" i="160"/>
  <c r="FI43" i="160"/>
  <c r="FF15" i="160"/>
  <c r="FE43" i="160"/>
  <c r="FJ17" i="160"/>
  <c r="FH33" i="160"/>
  <c r="FH24" i="160"/>
  <c r="FI15" i="160"/>
  <c r="FG41" i="160"/>
  <c r="FD46" i="160"/>
  <c r="FH37" i="160"/>
  <c r="FE44" i="160"/>
  <c r="FH22" i="160"/>
  <c r="EZ142" i="160"/>
  <c r="FI36" i="160"/>
  <c r="FG40" i="160"/>
  <c r="FJ49" i="160"/>
  <c r="FH31" i="160"/>
  <c r="FJ16" i="160"/>
  <c r="FH41" i="160"/>
  <c r="FH12" i="160"/>
  <c r="EX24" i="160"/>
  <c r="FF24" i="160" s="1"/>
  <c r="FD41" i="160"/>
  <c r="FI40" i="160"/>
  <c r="FE19" i="160"/>
  <c r="FG17" i="160"/>
  <c r="FD31" i="160"/>
  <c r="FI32" i="160"/>
  <c r="FE18" i="160"/>
  <c r="FJ47" i="160"/>
  <c r="FI16" i="160"/>
  <c r="FJ41" i="160"/>
  <c r="FE46" i="160"/>
  <c r="FG48" i="160"/>
  <c r="FI42" i="160"/>
  <c r="FG10" i="160"/>
  <c r="FE40" i="160"/>
  <c r="FH38" i="160"/>
  <c r="FE17" i="160"/>
  <c r="FG24" i="160"/>
  <c r="FE49" i="160"/>
  <c r="FJ31" i="160"/>
  <c r="FI29" i="160"/>
  <c r="FI47" i="160"/>
  <c r="FH16" i="160"/>
  <c r="FD25" i="160"/>
  <c r="FD20" i="160"/>
  <c r="EX25" i="160"/>
  <c r="FF25" i="160" s="1"/>
  <c r="FA142" i="160"/>
  <c r="FD23" i="160"/>
  <c r="FJ33" i="160"/>
  <c r="FD42" i="160"/>
  <c r="FD44" i="160"/>
  <c r="FD40" i="160"/>
  <c r="FG14" i="160"/>
  <c r="FF19" i="160"/>
  <c r="FH30" i="160"/>
  <c r="FH29" i="160"/>
  <c r="FJ20" i="160"/>
  <c r="FJ37" i="160"/>
  <c r="EX46" i="160"/>
  <c r="FF46" i="160" s="1"/>
  <c r="FJ40" i="160"/>
  <c r="FH40" i="160"/>
  <c r="FI38" i="160"/>
  <c r="FI17" i="160"/>
  <c r="FI33" i="160"/>
  <c r="FG49" i="160"/>
  <c r="FE29" i="160"/>
  <c r="BU134" i="160"/>
  <c r="DR134" i="160" s="1"/>
  <c r="DQ134" i="160"/>
  <c r="BU32" i="160"/>
  <c r="DR32" i="160" s="1"/>
  <c r="DQ32" i="160"/>
  <c r="EZ143" i="160"/>
  <c r="BU48" i="160"/>
  <c r="DR48" i="160" s="1"/>
  <c r="DQ48" i="160"/>
  <c r="BU123" i="160"/>
  <c r="DR123" i="160" s="1"/>
  <c r="DQ123" i="160"/>
  <c r="BU119" i="160"/>
  <c r="DR119" i="160" s="1"/>
  <c r="DQ119" i="160"/>
  <c r="BU81" i="160"/>
  <c r="DR81" i="160" s="1"/>
  <c r="DQ81" i="160"/>
  <c r="FB143" i="160"/>
  <c r="EX42" i="160"/>
  <c r="FF42" i="160" s="1"/>
  <c r="EV142" i="160"/>
  <c r="FE10" i="160"/>
  <c r="BU118" i="160"/>
  <c r="DR118" i="160" s="1"/>
  <c r="DQ118" i="160"/>
  <c r="BU30" i="160"/>
  <c r="DR30" i="160" s="1"/>
  <c r="DQ30" i="160"/>
  <c r="BU37" i="160"/>
  <c r="DR37" i="160" s="1"/>
  <c r="DQ37" i="160"/>
  <c r="BU67" i="160"/>
  <c r="DR67" i="160" s="1"/>
  <c r="DQ67" i="160"/>
  <c r="BU74" i="160"/>
  <c r="DR74" i="160" s="1"/>
  <c r="DQ74" i="160"/>
  <c r="BU40" i="160"/>
  <c r="DR40" i="160" s="1"/>
  <c r="DQ40" i="160"/>
  <c r="EV143" i="160"/>
  <c r="BU130" i="160"/>
  <c r="DR130" i="160" s="1"/>
  <c r="DQ130" i="160"/>
  <c r="FI10" i="160"/>
  <c r="BU45" i="160"/>
  <c r="DR45" i="160" s="1"/>
  <c r="DQ45" i="160"/>
  <c r="BU89" i="160"/>
  <c r="DR89" i="160" s="1"/>
  <c r="DQ89" i="160"/>
  <c r="FB142" i="160"/>
  <c r="EY142" i="160"/>
  <c r="BU41" i="160"/>
  <c r="DR41" i="160" s="1"/>
  <c r="DQ41" i="160"/>
  <c r="BU120" i="160"/>
  <c r="DR120" i="160" s="1"/>
  <c r="DQ120" i="160"/>
  <c r="BU94" i="160"/>
  <c r="DR94" i="160" s="1"/>
  <c r="DQ94" i="160"/>
  <c r="BU80" i="160"/>
  <c r="DR80" i="160" s="1"/>
  <c r="DQ80" i="160"/>
  <c r="BU127" i="160"/>
  <c r="DR127" i="160" s="1"/>
  <c r="DQ127" i="160"/>
  <c r="EX23" i="160"/>
  <c r="FF23" i="160" s="1"/>
  <c r="BU21" i="160"/>
  <c r="DR21" i="160" s="1"/>
  <c r="DQ21" i="160"/>
  <c r="BU28" i="160"/>
  <c r="DR28" i="160" s="1"/>
  <c r="DQ28" i="160"/>
  <c r="BU88" i="160"/>
  <c r="DR88" i="160" s="1"/>
  <c r="DQ88" i="160"/>
  <c r="BU34" i="160"/>
  <c r="DR34" i="160" s="1"/>
  <c r="DQ34" i="160"/>
  <c r="BU121" i="160"/>
  <c r="DR121" i="160" s="1"/>
  <c r="DQ121" i="160"/>
  <c r="BU125" i="160"/>
  <c r="DR125" i="160" s="1"/>
  <c r="DQ125" i="160"/>
  <c r="BU126" i="160"/>
  <c r="DR126" i="160" s="1"/>
  <c r="DQ126" i="160"/>
  <c r="BU86" i="160"/>
  <c r="DR86" i="160" s="1"/>
  <c r="DQ86" i="160"/>
  <c r="BU33" i="160"/>
  <c r="DR33" i="160" s="1"/>
  <c r="DQ33" i="160"/>
  <c r="BU128" i="160"/>
  <c r="DR128" i="160" s="1"/>
  <c r="DQ128" i="160"/>
  <c r="EY143" i="160"/>
  <c r="BU73" i="160"/>
  <c r="DR73" i="160" s="1"/>
  <c r="DQ73" i="160"/>
  <c r="BU36" i="160"/>
  <c r="DR36" i="160" s="1"/>
  <c r="DQ36" i="160"/>
  <c r="BU124" i="160"/>
  <c r="DR124" i="160" s="1"/>
  <c r="DQ124" i="160"/>
  <c r="BU129" i="160"/>
  <c r="DR129" i="160" s="1"/>
  <c r="DQ129" i="160"/>
  <c r="BU22" i="160"/>
  <c r="DR22" i="160" s="1"/>
  <c r="DQ22" i="160"/>
  <c r="BU43" i="160"/>
  <c r="DR43" i="160" s="1"/>
  <c r="DQ43" i="160"/>
  <c r="BU44" i="160"/>
  <c r="DR44" i="160" s="1"/>
  <c r="DQ44" i="160"/>
  <c r="EW143" i="160"/>
  <c r="BU111" i="160"/>
  <c r="DR111" i="160" s="1"/>
  <c r="DQ111" i="160"/>
  <c r="BU82" i="160"/>
  <c r="DR82" i="160" s="1"/>
  <c r="DQ82" i="160"/>
  <c r="BU78" i="160"/>
  <c r="DR78" i="160" s="1"/>
  <c r="DQ78" i="160"/>
  <c r="BU133" i="160"/>
  <c r="DR133" i="160" s="1"/>
  <c r="DQ133" i="160"/>
  <c r="BU139" i="160"/>
  <c r="DR139" i="160" s="1"/>
  <c r="DQ139" i="160"/>
  <c r="BU138" i="160"/>
  <c r="DR138" i="160" s="1"/>
  <c r="DQ138" i="160"/>
  <c r="BU83" i="160"/>
  <c r="DR83" i="160" s="1"/>
  <c r="DQ83" i="160"/>
  <c r="BU137" i="160"/>
  <c r="DR137" i="160" s="1"/>
  <c r="DQ137" i="160"/>
  <c r="FH10" i="160"/>
  <c r="BU92" i="160"/>
  <c r="DR92" i="160" s="1"/>
  <c r="DQ92" i="160"/>
  <c r="BU39" i="160"/>
  <c r="DR39" i="160" s="1"/>
  <c r="DQ39" i="160"/>
  <c r="BU93" i="160"/>
  <c r="DR93" i="160" s="1"/>
  <c r="DQ93" i="160"/>
  <c r="BU122" i="160"/>
  <c r="DR122" i="160" s="1"/>
  <c r="DQ122" i="160"/>
  <c r="BU31" i="160"/>
  <c r="DR31" i="160" s="1"/>
  <c r="DQ31" i="160"/>
  <c r="FA143" i="160"/>
  <c r="BU49" i="160"/>
  <c r="DR49" i="160" s="1"/>
  <c r="DQ49" i="160"/>
  <c r="BU29" i="160"/>
  <c r="DR29" i="160" s="1"/>
  <c r="DQ29" i="160"/>
  <c r="BU79" i="160"/>
  <c r="DR79" i="160" s="1"/>
  <c r="DQ79" i="160"/>
  <c r="BU35" i="160"/>
  <c r="DR35" i="160" s="1"/>
  <c r="DQ35" i="160"/>
  <c r="BU77" i="160"/>
  <c r="DR77" i="160" s="1"/>
  <c r="DQ77" i="160"/>
  <c r="BU76" i="160"/>
  <c r="DR76" i="160" s="1"/>
  <c r="DQ76" i="160"/>
  <c r="BU84" i="160"/>
  <c r="DR84" i="160" s="1"/>
  <c r="DQ84" i="160"/>
  <c r="BU112" i="160"/>
  <c r="DR112" i="160" s="1"/>
  <c r="DQ112" i="160"/>
  <c r="BU135" i="160"/>
  <c r="DR135" i="160" s="1"/>
  <c r="DQ135" i="160"/>
  <c r="BU131" i="160"/>
  <c r="DR131" i="160" s="1"/>
  <c r="DQ131" i="160"/>
  <c r="EU143" i="160"/>
  <c r="EU142" i="160"/>
  <c r="BU75" i="160"/>
  <c r="DR75" i="160" s="1"/>
  <c r="DQ75" i="160"/>
  <c r="BU90" i="160"/>
  <c r="DR90" i="160" s="1"/>
  <c r="DQ90" i="160"/>
  <c r="BU85" i="160"/>
  <c r="DR85" i="160" s="1"/>
  <c r="DQ85" i="160"/>
  <c r="BU47" i="160"/>
  <c r="DR47" i="160" s="1"/>
  <c r="DQ47" i="160"/>
  <c r="FH15" i="160"/>
  <c r="BU38" i="160"/>
  <c r="DR38" i="160" s="1"/>
  <c r="DQ38" i="160"/>
  <c r="EW144" i="160" l="1"/>
  <c r="FE14" i="160"/>
  <c r="EX39" i="160"/>
  <c r="EX43" i="160"/>
  <c r="EX36" i="160"/>
  <c r="EX38" i="160"/>
  <c r="EX67" i="160"/>
  <c r="EX138" i="160"/>
  <c r="EX86" i="160"/>
  <c r="EX34" i="160"/>
  <c r="EX74" i="160"/>
  <c r="EX118" i="160"/>
  <c r="EX119" i="160"/>
  <c r="EX41" i="160"/>
  <c r="EX37" i="160"/>
  <c r="EX48" i="160"/>
  <c r="EX130" i="160"/>
  <c r="EX44" i="160"/>
  <c r="EX89" i="160"/>
  <c r="EX122" i="160"/>
  <c r="EX129" i="160"/>
  <c r="EX93" i="160"/>
  <c r="EX124" i="160"/>
  <c r="EX75" i="160"/>
  <c r="EX112" i="160"/>
  <c r="EX35" i="160"/>
  <c r="EX82" i="160"/>
  <c r="EX120" i="160"/>
  <c r="EX40" i="160"/>
  <c r="EX31" i="160"/>
  <c r="EX92" i="160"/>
  <c r="EX22" i="160"/>
  <c r="EX73" i="160"/>
  <c r="EX30" i="160"/>
  <c r="EX81" i="160"/>
  <c r="EX47" i="160"/>
  <c r="EX84" i="160"/>
  <c r="EX79" i="160"/>
  <c r="EX139" i="160"/>
  <c r="EX111" i="160"/>
  <c r="EX126" i="160"/>
  <c r="EX88" i="160"/>
  <c r="EX127" i="160"/>
  <c r="EX45" i="160"/>
  <c r="EX32" i="160"/>
  <c r="EX85" i="160"/>
  <c r="EX131" i="160"/>
  <c r="EX76" i="160"/>
  <c r="EX29" i="160"/>
  <c r="EX137" i="160"/>
  <c r="EX133" i="160"/>
  <c r="EX128" i="160"/>
  <c r="EX125" i="160"/>
  <c r="EX28" i="160"/>
  <c r="EX80" i="160"/>
  <c r="EX134" i="160"/>
  <c r="EX123" i="160"/>
  <c r="EX90" i="160"/>
  <c r="EX135" i="160"/>
  <c r="EX77" i="160"/>
  <c r="EX49" i="160"/>
  <c r="EX83" i="160"/>
  <c r="EX78" i="160"/>
  <c r="EX33" i="160"/>
  <c r="EX121" i="160"/>
  <c r="EX21" i="160"/>
  <c r="EX94" i="160"/>
  <c r="FF39" i="160" l="1"/>
  <c r="FF28" i="160"/>
  <c r="FF44" i="160"/>
  <c r="FF37" i="160"/>
  <c r="FF48" i="160"/>
  <c r="FF36" i="160"/>
  <c r="FF33" i="160"/>
  <c r="FF22" i="160"/>
  <c r="FF43" i="160"/>
  <c r="FF29" i="160"/>
  <c r="FF38" i="160"/>
  <c r="FF41" i="160"/>
  <c r="FF34" i="160"/>
  <c r="FF31" i="160"/>
  <c r="FF49" i="160"/>
  <c r="FF32" i="160"/>
  <c r="FF40" i="160"/>
  <c r="FF45" i="160"/>
  <c r="FF47" i="160"/>
  <c r="FF21" i="160"/>
  <c r="EX144" i="160"/>
  <c r="FF30" i="160"/>
  <c r="EX143" i="160"/>
  <c r="EX142" i="160"/>
  <c r="FF35" i="160"/>
  <c r="EV34" i="159" l="1"/>
  <c r="DZ34" i="159"/>
  <c r="DY34" i="159"/>
  <c r="DX34" i="159"/>
  <c r="DW34" i="159"/>
  <c r="DV34" i="159"/>
  <c r="DU34" i="159"/>
  <c r="DT34" i="159"/>
  <c r="CR34" i="159"/>
  <c r="EO34" i="159" s="1"/>
  <c r="CK34" i="159"/>
  <c r="EH34" i="159" s="1"/>
  <c r="CD34" i="159"/>
  <c r="EA34" i="159" s="1"/>
  <c r="BP34" i="159"/>
  <c r="BQ34" i="159" s="1"/>
  <c r="BR34" i="159" s="1"/>
  <c r="BJ34" i="159"/>
  <c r="DG34" i="159" s="1"/>
  <c r="BI34" i="159"/>
  <c r="DF34" i="159" s="1"/>
  <c r="BB34" i="159"/>
  <c r="CR33" i="159"/>
  <c r="CK33" i="159"/>
  <c r="CD33" i="159"/>
  <c r="CE33" i="159" s="1"/>
  <c r="BP33" i="159"/>
  <c r="BI33" i="159"/>
  <c r="CR32" i="159"/>
  <c r="CK32" i="159"/>
  <c r="CE32" i="159"/>
  <c r="CD32" i="159"/>
  <c r="BP32" i="159"/>
  <c r="BI32" i="159"/>
  <c r="BB32" i="159"/>
  <c r="BC32" i="159" s="1"/>
  <c r="BF32" i="159" s="1"/>
  <c r="CR31" i="159"/>
  <c r="CK31" i="159"/>
  <c r="CD31" i="159"/>
  <c r="BQ31" i="159"/>
  <c r="BP31" i="159"/>
  <c r="BI31" i="159"/>
  <c r="BB31" i="159"/>
  <c r="CS30" i="159"/>
  <c r="CR30" i="159"/>
  <c r="CK30" i="159"/>
  <c r="CL30" i="159" s="1"/>
  <c r="CD30" i="159"/>
  <c r="BP30" i="159"/>
  <c r="BI30" i="159"/>
  <c r="BB30" i="159"/>
  <c r="CR29" i="159"/>
  <c r="CK29" i="159"/>
  <c r="CD29" i="159"/>
  <c r="BP29" i="159"/>
  <c r="BJ29" i="159"/>
  <c r="BI29" i="159"/>
  <c r="BB29" i="159"/>
  <c r="BE29" i="159" s="1"/>
  <c r="CR28" i="159"/>
  <c r="CK28" i="159"/>
  <c r="CD28" i="159"/>
  <c r="CE28" i="159" s="1"/>
  <c r="BQ28" i="159"/>
  <c r="BP28" i="159"/>
  <c r="BI28" i="159"/>
  <c r="CR27" i="159"/>
  <c r="CK27" i="159"/>
  <c r="CD27" i="159"/>
  <c r="BP27" i="159"/>
  <c r="BI27" i="159"/>
  <c r="BB27" i="159"/>
  <c r="BC27" i="159" s="1"/>
  <c r="BF27" i="159" s="1"/>
  <c r="CR26" i="159"/>
  <c r="CS26" i="159" s="1"/>
  <c r="CT26" i="159" s="1"/>
  <c r="CU26" i="159" s="1"/>
  <c r="CV26" i="159" s="1"/>
  <c r="CW26" i="159" s="1"/>
  <c r="CX26" i="159" s="1"/>
  <c r="CK26" i="159"/>
  <c r="CL26" i="159" s="1"/>
  <c r="CM26" i="159" s="1"/>
  <c r="CD26" i="159"/>
  <c r="CE26" i="159" s="1"/>
  <c r="CF26" i="159" s="1"/>
  <c r="CC26" i="159"/>
  <c r="CB26" i="159"/>
  <c r="CA26" i="159"/>
  <c r="BZ26" i="159"/>
  <c r="BY26" i="159"/>
  <c r="BX26" i="159"/>
  <c r="BW26" i="159"/>
  <c r="BQ26" i="159"/>
  <c r="BP26" i="159"/>
  <c r="BI26" i="159"/>
  <c r="EV24" i="159"/>
  <c r="EH24" i="159"/>
  <c r="DZ24" i="159"/>
  <c r="DY24" i="159"/>
  <c r="DX24" i="159"/>
  <c r="DW24" i="159"/>
  <c r="DV24" i="159"/>
  <c r="DU24" i="159"/>
  <c r="DT24" i="159"/>
  <c r="DM24" i="159"/>
  <c r="CR24" i="159"/>
  <c r="EO24" i="159" s="1"/>
  <c r="CK24" i="159"/>
  <c r="CL24" i="159" s="1"/>
  <c r="CD24" i="159"/>
  <c r="BP24" i="159"/>
  <c r="BQ24" i="159" s="1"/>
  <c r="BR24" i="159" s="1"/>
  <c r="BI24" i="159"/>
  <c r="BB24" i="159"/>
  <c r="CR23" i="159"/>
  <c r="CK23" i="159"/>
  <c r="CD23" i="159"/>
  <c r="BP23" i="159"/>
  <c r="BI23" i="159"/>
  <c r="BB23" i="159"/>
  <c r="CR22" i="159"/>
  <c r="CK22" i="159"/>
  <c r="CD22" i="159"/>
  <c r="BP22" i="159"/>
  <c r="BI22" i="159"/>
  <c r="CR21" i="159"/>
  <c r="CK21" i="159"/>
  <c r="CD21" i="159"/>
  <c r="BQ21" i="159"/>
  <c r="BP21" i="159"/>
  <c r="BJ21" i="159"/>
  <c r="BI21" i="159"/>
  <c r="BE21" i="159"/>
  <c r="CR20" i="159"/>
  <c r="CK20" i="159"/>
  <c r="CL20" i="159" s="1"/>
  <c r="CD20" i="159"/>
  <c r="BP20" i="159"/>
  <c r="BI20" i="159"/>
  <c r="BB20" i="159"/>
  <c r="CR19" i="159"/>
  <c r="CK19" i="159"/>
  <c r="CD19" i="159"/>
  <c r="BP19" i="159"/>
  <c r="BI19" i="159"/>
  <c r="CR18" i="159"/>
  <c r="CK18" i="159"/>
  <c r="CD18" i="159"/>
  <c r="BP18" i="159"/>
  <c r="BI18" i="159"/>
  <c r="CR17" i="159"/>
  <c r="CK17" i="159"/>
  <c r="CD17" i="159"/>
  <c r="BP17" i="159"/>
  <c r="BQ17" i="159" s="1"/>
  <c r="BI17" i="159"/>
  <c r="BJ17" i="159" s="1"/>
  <c r="BC17" i="159"/>
  <c r="BB17" i="159"/>
  <c r="CR16" i="159"/>
  <c r="CS16" i="159" s="1"/>
  <c r="CT16" i="159" s="1"/>
  <c r="CK16" i="159"/>
  <c r="CL16" i="159" s="1"/>
  <c r="CM16" i="159" s="1"/>
  <c r="CN16" i="159" s="1"/>
  <c r="CD16" i="159"/>
  <c r="CE16" i="159" s="1"/>
  <c r="CC16" i="159"/>
  <c r="CB16" i="159"/>
  <c r="CA16" i="159"/>
  <c r="BZ16" i="159"/>
  <c r="BY16" i="159"/>
  <c r="BX16" i="159"/>
  <c r="BW16" i="159"/>
  <c r="BQ16" i="159"/>
  <c r="BR16" i="159" s="1"/>
  <c r="BS16" i="159" s="1"/>
  <c r="BT16" i="159" s="1"/>
  <c r="BU16" i="159" s="1"/>
  <c r="BV16" i="159" s="1"/>
  <c r="BP16" i="159"/>
  <c r="BI16" i="159"/>
  <c r="BJ16" i="159" s="1"/>
  <c r="EV14" i="159"/>
  <c r="FE14" i="159" s="1"/>
  <c r="DZ14" i="159"/>
  <c r="DY14" i="159"/>
  <c r="DX14" i="159"/>
  <c r="DW14" i="159"/>
  <c r="DV14" i="159"/>
  <c r="DU14" i="159"/>
  <c r="DT14" i="159"/>
  <c r="CR14" i="159"/>
  <c r="EO14" i="159" s="1"/>
  <c r="CK14" i="159"/>
  <c r="EH14" i="159" s="1"/>
  <c r="CD14" i="159"/>
  <c r="BP14" i="159"/>
  <c r="DM14" i="159" s="1"/>
  <c r="BI14" i="159"/>
  <c r="DF14" i="159" s="1"/>
  <c r="BB14" i="159"/>
  <c r="CR13" i="159"/>
  <c r="CK13" i="159"/>
  <c r="CD13" i="159"/>
  <c r="BP13" i="159"/>
  <c r="BQ13" i="159" s="1"/>
  <c r="BJ13" i="159"/>
  <c r="BK13" i="159" s="1"/>
  <c r="BI13" i="159"/>
  <c r="BB13" i="159"/>
  <c r="CR12" i="159"/>
  <c r="CK12" i="159"/>
  <c r="CL12" i="159" s="1"/>
  <c r="CD12" i="159"/>
  <c r="BQ12" i="159"/>
  <c r="BR12" i="159" s="1"/>
  <c r="BP12" i="159"/>
  <c r="BI12" i="159"/>
  <c r="BJ12" i="159" s="1"/>
  <c r="BB12" i="159"/>
  <c r="CR11" i="159"/>
  <c r="CS11" i="159" s="1"/>
  <c r="CK11" i="159"/>
  <c r="CD11" i="159"/>
  <c r="CE11" i="159" s="1"/>
  <c r="BP11" i="159"/>
  <c r="BJ11" i="159"/>
  <c r="BI11" i="159"/>
  <c r="BB11" i="159"/>
  <c r="CS10" i="159"/>
  <c r="CR10" i="159"/>
  <c r="CK10" i="159"/>
  <c r="CL10" i="159" s="1"/>
  <c r="CD10" i="159"/>
  <c r="BQ10" i="159"/>
  <c r="BP10" i="159"/>
  <c r="BJ10" i="159"/>
  <c r="BI10" i="159"/>
  <c r="BB10" i="159"/>
  <c r="CS9" i="159"/>
  <c r="CR9" i="159"/>
  <c r="CK9" i="159"/>
  <c r="CL9" i="159" s="1"/>
  <c r="CD9" i="159"/>
  <c r="BP9" i="159"/>
  <c r="BQ9" i="159" s="1"/>
  <c r="BJ9" i="159"/>
  <c r="BI9" i="159"/>
  <c r="CR8" i="159"/>
  <c r="CK8" i="159"/>
  <c r="CD8" i="159"/>
  <c r="CE8" i="159" s="1"/>
  <c r="BQ8" i="159"/>
  <c r="BP8" i="159"/>
  <c r="BI8" i="159"/>
  <c r="BB8" i="159"/>
  <c r="CR7" i="159"/>
  <c r="CK7" i="159"/>
  <c r="CD7" i="159"/>
  <c r="BP7" i="159"/>
  <c r="BI7" i="159"/>
  <c r="BB7" i="159"/>
  <c r="BE7" i="159" s="1"/>
  <c r="CR6" i="159"/>
  <c r="CK6" i="159"/>
  <c r="CC6" i="159"/>
  <c r="CB6" i="159"/>
  <c r="CA6" i="159"/>
  <c r="BZ6" i="159"/>
  <c r="BY6" i="159"/>
  <c r="BX6" i="159"/>
  <c r="BP6" i="159"/>
  <c r="BQ6" i="159" s="1"/>
  <c r="BJ6" i="159"/>
  <c r="BI6" i="159"/>
  <c r="BB6" i="159"/>
  <c r="FC1" i="159"/>
  <c r="FB1" i="159"/>
  <c r="FA1" i="159"/>
  <c r="EZ1" i="159"/>
  <c r="EY1" i="159"/>
  <c r="EX1" i="159"/>
  <c r="EW1" i="159"/>
  <c r="EV1" i="159"/>
  <c r="EU1" i="159"/>
  <c r="ET1" i="159"/>
  <c r="ES1" i="159"/>
  <c r="ER1" i="159"/>
  <c r="EQ1" i="159"/>
  <c r="EP1" i="159"/>
  <c r="EO1" i="159"/>
  <c r="EN1" i="159"/>
  <c r="EM1" i="159"/>
  <c r="EL1" i="159"/>
  <c r="EK1" i="159"/>
  <c r="EJ1" i="159"/>
  <c r="EI1" i="159"/>
  <c r="EH1" i="159"/>
  <c r="EG1" i="159"/>
  <c r="EF1" i="159"/>
  <c r="EE1" i="159"/>
  <c r="ED1" i="159"/>
  <c r="EC1" i="159"/>
  <c r="EB1" i="159"/>
  <c r="EA1" i="159"/>
  <c r="DZ1" i="159"/>
  <c r="DY1" i="159"/>
  <c r="DX1" i="159"/>
  <c r="DW1" i="159"/>
  <c r="DV1" i="159"/>
  <c r="DU1" i="159"/>
  <c r="DT1" i="159"/>
  <c r="DS1" i="159"/>
  <c r="DR1" i="159"/>
  <c r="DQ1" i="159"/>
  <c r="DP1" i="159"/>
  <c r="DO1" i="159"/>
  <c r="DN1" i="159"/>
  <c r="DM1" i="159"/>
  <c r="DL1" i="159"/>
  <c r="DK1" i="159"/>
  <c r="DJ1" i="159"/>
  <c r="DI1" i="159"/>
  <c r="DH1" i="159"/>
  <c r="DG1" i="159"/>
  <c r="DF1" i="159"/>
  <c r="DE1" i="159"/>
  <c r="DD1" i="159"/>
  <c r="DC1" i="159"/>
  <c r="DB1" i="159"/>
  <c r="DA1" i="159"/>
  <c r="CZ1" i="159"/>
  <c r="CY1" i="159"/>
  <c r="CX1" i="159"/>
  <c r="CW1" i="159"/>
  <c r="CV1" i="159"/>
  <c r="CU1" i="159"/>
  <c r="CT1" i="159"/>
  <c r="CS1" i="159"/>
  <c r="CR1" i="159"/>
  <c r="CQ1" i="159"/>
  <c r="CP1" i="159"/>
  <c r="CO1" i="159"/>
  <c r="CN1" i="159"/>
  <c r="CM1" i="159"/>
  <c r="CL1" i="159"/>
  <c r="CK1" i="159"/>
  <c r="CJ1" i="159"/>
  <c r="CI1" i="159"/>
  <c r="CH1" i="159"/>
  <c r="CG1" i="159"/>
  <c r="CF1" i="159"/>
  <c r="CE1" i="159"/>
  <c r="CD1" i="159"/>
  <c r="CC1" i="159"/>
  <c r="CB1" i="159"/>
  <c r="CA1" i="159"/>
  <c r="BZ1" i="159"/>
  <c r="BY1" i="159"/>
  <c r="BX1" i="159"/>
  <c r="BW1" i="159"/>
  <c r="BV1" i="159"/>
  <c r="BU1" i="159"/>
  <c r="BT1" i="159"/>
  <c r="BS1" i="159"/>
  <c r="BR1" i="159"/>
  <c r="BQ1" i="159"/>
  <c r="BP1" i="159"/>
  <c r="BO1" i="159"/>
  <c r="BN1" i="159"/>
  <c r="BM1" i="159"/>
  <c r="BL1" i="159"/>
  <c r="BK1" i="159"/>
  <c r="BJ1" i="159"/>
  <c r="BI1" i="159"/>
  <c r="BH1" i="159"/>
  <c r="BG1" i="159"/>
  <c r="BF1" i="159"/>
  <c r="BE1" i="159"/>
  <c r="BD1" i="159"/>
  <c r="BC1" i="159"/>
  <c r="BB1" i="159"/>
  <c r="BA1" i="159"/>
  <c r="AZ1" i="159"/>
  <c r="AY1" i="159"/>
  <c r="AX1" i="159"/>
  <c r="AW1" i="159"/>
  <c r="AV1" i="159"/>
  <c r="AU1" i="159"/>
  <c r="AT1" i="159"/>
  <c r="AS1" i="159"/>
  <c r="AR1" i="159"/>
  <c r="AQ1" i="159"/>
  <c r="AP1" i="159"/>
  <c r="AO1" i="159"/>
  <c r="AN1" i="159"/>
  <c r="AM1" i="159"/>
  <c r="AL1" i="159"/>
  <c r="AK1" i="159"/>
  <c r="AJ1" i="159"/>
  <c r="AI1" i="159"/>
  <c r="AH1" i="159"/>
  <c r="AG1" i="159"/>
  <c r="AF1" i="159"/>
  <c r="AE1" i="159"/>
  <c r="AD1" i="159"/>
  <c r="AC1" i="159"/>
  <c r="AB1" i="159"/>
  <c r="AA1" i="159"/>
  <c r="Z1" i="159"/>
  <c r="Y1" i="159"/>
  <c r="X1" i="159"/>
  <c r="W1" i="159"/>
  <c r="V1" i="159"/>
  <c r="U1" i="159"/>
  <c r="T1" i="159"/>
  <c r="S1" i="159"/>
  <c r="R1" i="159"/>
  <c r="Q1" i="159"/>
  <c r="P1" i="159"/>
  <c r="O1" i="159"/>
  <c r="N1" i="159"/>
  <c r="M1" i="159"/>
  <c r="L1" i="159"/>
  <c r="K1" i="159"/>
  <c r="J1" i="159"/>
  <c r="I1" i="159"/>
  <c r="H1" i="159"/>
  <c r="G1" i="159"/>
  <c r="F1" i="159"/>
  <c r="E1" i="159"/>
  <c r="D1" i="159"/>
  <c r="C1" i="159"/>
  <c r="B1" i="159"/>
  <c r="A1" i="159"/>
  <c r="CK10" i="158"/>
  <c r="CL10" i="158" s="1"/>
  <c r="CM10" i="158" s="1"/>
  <c r="CN10" i="158" s="1"/>
  <c r="CD10" i="158"/>
  <c r="CE10" i="158" s="1"/>
  <c r="CF10" i="158" s="1"/>
  <c r="CG10" i="158" s="1"/>
  <c r="BW10" i="158"/>
  <c r="BX10" i="158" s="1"/>
  <c r="BY10" i="158" s="1"/>
  <c r="BZ10" i="158" s="1"/>
  <c r="CA10" i="158" s="1"/>
  <c r="CB10" i="158" s="1"/>
  <c r="BV10" i="158"/>
  <c r="BU10" i="158"/>
  <c r="BT10" i="158"/>
  <c r="BS10" i="158"/>
  <c r="BR10" i="158"/>
  <c r="BQ10" i="158"/>
  <c r="BP10" i="158"/>
  <c r="BB10" i="158"/>
  <c r="BC10" i="158" s="1"/>
  <c r="BD10" i="158" s="1"/>
  <c r="BE10" i="158" s="1"/>
  <c r="AC10" i="158"/>
  <c r="AB10" i="158"/>
  <c r="AA10" i="158"/>
  <c r="Z10" i="158"/>
  <c r="BL10" i="158" s="1"/>
  <c r="Y10" i="158"/>
  <c r="X10" i="158"/>
  <c r="W10" i="158"/>
  <c r="BI10" i="158" s="1"/>
  <c r="AU10" i="158"/>
  <c r="AX10" i="158" s="1"/>
  <c r="BA10" i="158" s="1"/>
  <c r="CK8" i="158"/>
  <c r="CL8" i="158" s="1"/>
  <c r="CM8" i="158" s="1"/>
  <c r="CN8" i="158" s="1"/>
  <c r="CO8" i="158" s="1"/>
  <c r="CP8" i="158" s="1"/>
  <c r="CQ8" i="158" s="1"/>
  <c r="CD8" i="158"/>
  <c r="CE8" i="158" s="1"/>
  <c r="CF8" i="158" s="1"/>
  <c r="CG8" i="158" s="1"/>
  <c r="CH8" i="158" s="1"/>
  <c r="CI8" i="158" s="1"/>
  <c r="BW8" i="158"/>
  <c r="BX8" i="158" s="1"/>
  <c r="BY8" i="158" s="1"/>
  <c r="BZ8" i="158" s="1"/>
  <c r="CA8" i="158" s="1"/>
  <c r="BV8" i="158"/>
  <c r="BU8" i="158"/>
  <c r="BT8" i="158"/>
  <c r="BS8" i="158"/>
  <c r="BR8" i="158"/>
  <c r="BQ8" i="158"/>
  <c r="BP8" i="158"/>
  <c r="BB8" i="158"/>
  <c r="BC8" i="158" s="1"/>
  <c r="AC8" i="158"/>
  <c r="AB8" i="158"/>
  <c r="AA8" i="158"/>
  <c r="Z8" i="158"/>
  <c r="Y8" i="158"/>
  <c r="X8" i="158"/>
  <c r="W8" i="158"/>
  <c r="AU8" i="158"/>
  <c r="AX8" i="158" s="1"/>
  <c r="BA8" i="158" s="1"/>
  <c r="EO6" i="158"/>
  <c r="CK6" i="158"/>
  <c r="EH6" i="158" s="1"/>
  <c r="CD6" i="158"/>
  <c r="EA6" i="158" s="1"/>
  <c r="BW6" i="158"/>
  <c r="BX6" i="158" s="1"/>
  <c r="BV6" i="158"/>
  <c r="DS6" i="158" s="1"/>
  <c r="BU6" i="158"/>
  <c r="DR6" i="158" s="1"/>
  <c r="BT6" i="158"/>
  <c r="DQ6" i="158" s="1"/>
  <c r="BS6" i="158"/>
  <c r="DP6" i="158" s="1"/>
  <c r="BR6" i="158"/>
  <c r="DO6" i="158" s="1"/>
  <c r="BQ6" i="158"/>
  <c r="DN6" i="158" s="1"/>
  <c r="BP6" i="158"/>
  <c r="BB6" i="158"/>
  <c r="CY6" i="158" s="1"/>
  <c r="AU6" i="158"/>
  <c r="AX6" i="158" s="1"/>
  <c r="AP6" i="158"/>
  <c r="EV1" i="158"/>
  <c r="EU1" i="158"/>
  <c r="ET1" i="158"/>
  <c r="ES1" i="158"/>
  <c r="ER1" i="158"/>
  <c r="EQ1" i="158"/>
  <c r="EP1" i="158"/>
  <c r="EO1" i="158"/>
  <c r="EN1" i="158"/>
  <c r="EM1" i="158"/>
  <c r="EL1" i="158"/>
  <c r="EK1" i="158"/>
  <c r="EJ1" i="158"/>
  <c r="EI1" i="158"/>
  <c r="EH1" i="158"/>
  <c r="EG1" i="158"/>
  <c r="EF1" i="158"/>
  <c r="EE1" i="158"/>
  <c r="ED1" i="158"/>
  <c r="EC1" i="158"/>
  <c r="EB1" i="158"/>
  <c r="EA1" i="158"/>
  <c r="DZ1" i="158"/>
  <c r="DY1" i="158"/>
  <c r="DX1" i="158"/>
  <c r="DW1" i="158"/>
  <c r="DV1" i="158"/>
  <c r="DU1" i="158"/>
  <c r="DT1" i="158"/>
  <c r="DS1" i="158"/>
  <c r="DR1" i="158"/>
  <c r="DQ1" i="158"/>
  <c r="DP1" i="158"/>
  <c r="DO1" i="158"/>
  <c r="DN1" i="158"/>
  <c r="DM1" i="158"/>
  <c r="DL1" i="158"/>
  <c r="DK1" i="158"/>
  <c r="DJ1" i="158"/>
  <c r="DI1" i="158"/>
  <c r="DH1" i="158"/>
  <c r="DG1" i="158"/>
  <c r="DF1" i="158"/>
  <c r="DE1" i="158"/>
  <c r="DD1" i="158"/>
  <c r="DC1" i="158"/>
  <c r="DB1" i="158"/>
  <c r="DA1" i="158"/>
  <c r="CZ1" i="158"/>
  <c r="CY1" i="158"/>
  <c r="CX1" i="158"/>
  <c r="CW1" i="158"/>
  <c r="CV1" i="158"/>
  <c r="CU1" i="158"/>
  <c r="CT1" i="158"/>
  <c r="CS1" i="158"/>
  <c r="CR1" i="158"/>
  <c r="CQ1" i="158"/>
  <c r="CP1" i="158"/>
  <c r="CO1" i="158"/>
  <c r="CN1" i="158"/>
  <c r="CM1" i="158"/>
  <c r="CL1" i="158"/>
  <c r="CK1" i="158"/>
  <c r="CJ1" i="158"/>
  <c r="CI1" i="158"/>
  <c r="CH1" i="158"/>
  <c r="CG1" i="158"/>
  <c r="CF1" i="158"/>
  <c r="CE1" i="158"/>
  <c r="CD1" i="158"/>
  <c r="CC1" i="158"/>
  <c r="CB1" i="158"/>
  <c r="CA1" i="158"/>
  <c r="BZ1" i="158"/>
  <c r="BY1" i="158"/>
  <c r="BX1" i="158"/>
  <c r="BW1" i="158"/>
  <c r="BV1" i="158"/>
  <c r="BU1" i="158"/>
  <c r="BT1" i="158"/>
  <c r="BS1" i="158"/>
  <c r="BR1" i="158"/>
  <c r="BQ1" i="158"/>
  <c r="BP1" i="158"/>
  <c r="BO1" i="158"/>
  <c r="BN1" i="158"/>
  <c r="BM1" i="158"/>
  <c r="BL1" i="158"/>
  <c r="BK1" i="158"/>
  <c r="BJ1" i="158"/>
  <c r="BI1" i="158"/>
  <c r="BH1" i="158"/>
  <c r="BG1" i="158"/>
  <c r="BF1" i="158"/>
  <c r="BE1" i="158"/>
  <c r="BD1" i="158"/>
  <c r="BC1" i="158"/>
  <c r="BB1" i="158"/>
  <c r="BA1" i="158"/>
  <c r="AZ1" i="158"/>
  <c r="AY1" i="158"/>
  <c r="AX1" i="158"/>
  <c r="AW1" i="158"/>
  <c r="AV1" i="158"/>
  <c r="AU1" i="158"/>
  <c r="AT1" i="158"/>
  <c r="AS1" i="158"/>
  <c r="AR1" i="158"/>
  <c r="AQ1" i="158"/>
  <c r="AP1" i="158"/>
  <c r="AO1" i="158"/>
  <c r="AN1" i="158"/>
  <c r="AM1" i="158"/>
  <c r="AL1" i="158"/>
  <c r="AK1" i="158"/>
  <c r="AJ1" i="158"/>
  <c r="AI1" i="158"/>
  <c r="AH1" i="158"/>
  <c r="AG1" i="158"/>
  <c r="AF1" i="158"/>
  <c r="AE1" i="158"/>
  <c r="AD1" i="158"/>
  <c r="AC1" i="158"/>
  <c r="AB1" i="158"/>
  <c r="AA1" i="158"/>
  <c r="Z1" i="158"/>
  <c r="Y1" i="158"/>
  <c r="X1" i="158"/>
  <c r="W1" i="158"/>
  <c r="V1" i="158"/>
  <c r="U1" i="158"/>
  <c r="T1" i="158"/>
  <c r="S1" i="158"/>
  <c r="R1" i="158"/>
  <c r="Q1" i="158"/>
  <c r="P1" i="158"/>
  <c r="O1" i="158"/>
  <c r="N1" i="158"/>
  <c r="M1" i="158"/>
  <c r="L1" i="158"/>
  <c r="K1" i="158"/>
  <c r="J1" i="158"/>
  <c r="I1" i="158"/>
  <c r="H1" i="158"/>
  <c r="G1" i="158"/>
  <c r="F1" i="158"/>
  <c r="E1" i="158"/>
  <c r="D1" i="158"/>
  <c r="C1" i="158"/>
  <c r="B1" i="158"/>
  <c r="A1" i="158"/>
  <c r="EP25" i="157"/>
  <c r="DT25" i="157"/>
  <c r="DS25" i="157"/>
  <c r="DR25" i="157"/>
  <c r="DQ25" i="157"/>
  <c r="DP25" i="157"/>
  <c r="DO25" i="157"/>
  <c r="DN25" i="157"/>
  <c r="CL25" i="157"/>
  <c r="CM25" i="157" s="1"/>
  <c r="CE25" i="157"/>
  <c r="CF25" i="157" s="1"/>
  <c r="BX25" i="157"/>
  <c r="BJ25" i="157"/>
  <c r="BC25" i="157"/>
  <c r="BD25" i="157" s="1"/>
  <c r="EP24" i="157"/>
  <c r="DT24" i="157"/>
  <c r="DS24" i="157"/>
  <c r="DR24" i="157"/>
  <c r="DQ24" i="157"/>
  <c r="DP24" i="157"/>
  <c r="DO24" i="157"/>
  <c r="DN24" i="157"/>
  <c r="BJ24" i="157"/>
  <c r="BC24" i="157"/>
  <c r="BD24" i="157" s="1"/>
  <c r="DA24" i="157" s="1"/>
  <c r="EP23" i="157"/>
  <c r="DT23" i="157"/>
  <c r="DS23" i="157"/>
  <c r="DR23" i="157"/>
  <c r="DQ23" i="157"/>
  <c r="DP23" i="157"/>
  <c r="DO23" i="157"/>
  <c r="DN23" i="157"/>
  <c r="CL23" i="157"/>
  <c r="BJ23" i="157"/>
  <c r="BC23" i="157"/>
  <c r="CZ23" i="157" s="1"/>
  <c r="EP22" i="157"/>
  <c r="DT22" i="157"/>
  <c r="DS22" i="157"/>
  <c r="DR22" i="157"/>
  <c r="DQ22" i="157"/>
  <c r="DP22" i="157"/>
  <c r="DO22" i="157"/>
  <c r="DN22" i="157"/>
  <c r="BJ22" i="157"/>
  <c r="BK22" i="157" s="1"/>
  <c r="BC22" i="157"/>
  <c r="CZ22" i="157" s="1"/>
  <c r="EP21" i="157"/>
  <c r="DT21" i="157"/>
  <c r="DS21" i="157"/>
  <c r="DR21" i="157"/>
  <c r="DQ21" i="157"/>
  <c r="DP21" i="157"/>
  <c r="DO21" i="157"/>
  <c r="DN21" i="157"/>
  <c r="BJ21" i="157"/>
  <c r="BK21" i="157" s="1"/>
  <c r="DH21" i="157" s="1"/>
  <c r="BC21" i="157"/>
  <c r="BD21" i="157" s="1"/>
  <c r="CL20" i="157"/>
  <c r="CM20" i="157" s="1"/>
  <c r="CE20" i="157"/>
  <c r="CF20" i="157" s="1"/>
  <c r="CG20" i="157" s="1"/>
  <c r="CH20" i="157" s="1"/>
  <c r="CI20" i="157" s="1"/>
  <c r="CJ20" i="157" s="1"/>
  <c r="CK20" i="157" s="1"/>
  <c r="BX20" i="157"/>
  <c r="BW20" i="157"/>
  <c r="BV20" i="157"/>
  <c r="BU20" i="157"/>
  <c r="BT20" i="157"/>
  <c r="BS20" i="157"/>
  <c r="BR20" i="157"/>
  <c r="BQ20" i="157"/>
  <c r="BC20" i="157"/>
  <c r="BD20" i="157" s="1"/>
  <c r="BE20" i="157" s="1"/>
  <c r="BJ20" i="157"/>
  <c r="BK20" i="157" s="1"/>
  <c r="BL20" i="157" s="1"/>
  <c r="BM20" i="157" s="1"/>
  <c r="BN20" i="157" s="1"/>
  <c r="BO20" i="157" s="1"/>
  <c r="BP20" i="157" s="1"/>
  <c r="DM20" i="157" s="1"/>
  <c r="AV20" i="157"/>
  <c r="EP18" i="157"/>
  <c r="EY11" i="157" s="1"/>
  <c r="DT18" i="157"/>
  <c r="DS18" i="157"/>
  <c r="DR18" i="157"/>
  <c r="DQ18" i="157"/>
  <c r="DP18" i="157"/>
  <c r="DO18" i="157"/>
  <c r="DN18" i="157"/>
  <c r="CL18" i="157"/>
  <c r="EI18" i="157" s="1"/>
  <c r="CE18" i="157"/>
  <c r="CF18" i="157" s="1"/>
  <c r="CG18" i="157" s="1"/>
  <c r="BX18" i="157"/>
  <c r="DU18" i="157" s="1"/>
  <c r="BJ18" i="157"/>
  <c r="BC18" i="157"/>
  <c r="CZ18" i="157" s="1"/>
  <c r="EP17" i="157"/>
  <c r="EY10" i="157" s="1"/>
  <c r="DT17" i="157"/>
  <c r="DS17" i="157"/>
  <c r="DR17" i="157"/>
  <c r="DQ17" i="157"/>
  <c r="DP17" i="157"/>
  <c r="DO17" i="157"/>
  <c r="DN17" i="157"/>
  <c r="CL17" i="157"/>
  <c r="BJ17" i="157"/>
  <c r="DG17" i="157" s="1"/>
  <c r="BC17" i="157"/>
  <c r="CS17" i="157"/>
  <c r="EP16" i="157"/>
  <c r="DT16" i="157"/>
  <c r="DS16" i="157"/>
  <c r="DR16" i="157"/>
  <c r="DQ16" i="157"/>
  <c r="DP16" i="157"/>
  <c r="DO16" i="157"/>
  <c r="DN16" i="157"/>
  <c r="CL16" i="157"/>
  <c r="BJ16" i="157"/>
  <c r="BK16" i="157" s="1"/>
  <c r="DH16" i="157" s="1"/>
  <c r="BC16" i="157"/>
  <c r="CZ16" i="157" s="1"/>
  <c r="EP15" i="157"/>
  <c r="EY8" i="157" s="1"/>
  <c r="DT15" i="157"/>
  <c r="DS15" i="157"/>
  <c r="DR15" i="157"/>
  <c r="DQ15" i="157"/>
  <c r="DP15" i="157"/>
  <c r="DO15" i="157"/>
  <c r="DN15" i="157"/>
  <c r="CL15" i="157"/>
  <c r="CM15" i="157" s="1"/>
  <c r="BJ15" i="157"/>
  <c r="BK15" i="157" s="1"/>
  <c r="DH15" i="157" s="1"/>
  <c r="BC15" i="157"/>
  <c r="CZ15" i="157" s="1"/>
  <c r="EP14" i="157"/>
  <c r="DT14" i="157"/>
  <c r="DS14" i="157"/>
  <c r="DR14" i="157"/>
  <c r="DQ14" i="157"/>
  <c r="DP14" i="157"/>
  <c r="DO14" i="157"/>
  <c r="DN14" i="157"/>
  <c r="CL14" i="157"/>
  <c r="EI14" i="157" s="1"/>
  <c r="BJ14" i="157"/>
  <c r="BC14" i="157"/>
  <c r="BD14" i="157" s="1"/>
  <c r="DA14" i="157" s="1"/>
  <c r="CL13" i="157"/>
  <c r="CM13" i="157" s="1"/>
  <c r="CE13" i="157"/>
  <c r="EB13" i="157" s="1"/>
  <c r="BX13" i="157"/>
  <c r="BY13" i="157" s="1"/>
  <c r="BW13" i="157"/>
  <c r="BV13" i="157"/>
  <c r="BU13" i="157"/>
  <c r="BT13" i="157"/>
  <c r="BS13" i="157"/>
  <c r="BR13" i="157"/>
  <c r="BQ13" i="157"/>
  <c r="BJ13" i="157"/>
  <c r="BC13" i="157"/>
  <c r="BD13" i="157" s="1"/>
  <c r="BE13" i="157" s="1"/>
  <c r="BF13" i="157" s="1"/>
  <c r="BG13" i="157" s="1"/>
  <c r="BH13" i="157" s="1"/>
  <c r="BI13" i="157" s="1"/>
  <c r="EP6" i="157"/>
  <c r="CL6" i="157"/>
  <c r="EI6" i="157" s="1"/>
  <c r="CE6" i="157"/>
  <c r="CF6" i="157" s="1"/>
  <c r="CG6" i="157" s="1"/>
  <c r="CH6" i="157" s="1"/>
  <c r="CI6" i="157" s="1"/>
  <c r="CJ6" i="157" s="1"/>
  <c r="CK6" i="157" s="1"/>
  <c r="BX6" i="157"/>
  <c r="DU6" i="157" s="1"/>
  <c r="BW6" i="157"/>
  <c r="DT6" i="157" s="1"/>
  <c r="BV6" i="157"/>
  <c r="DS6" i="157" s="1"/>
  <c r="BU6" i="157"/>
  <c r="DR6" i="157" s="1"/>
  <c r="BT6" i="157"/>
  <c r="DQ6" i="157" s="1"/>
  <c r="BS6" i="157"/>
  <c r="DP6" i="157" s="1"/>
  <c r="BR6" i="157"/>
  <c r="DO6" i="157" s="1"/>
  <c r="BQ6" i="157"/>
  <c r="DN6" i="157" s="1"/>
  <c r="BJ6" i="157"/>
  <c r="DG6" i="157" s="1"/>
  <c r="BC6" i="157"/>
  <c r="CZ6" i="157" s="1"/>
  <c r="AQ6" i="157"/>
  <c r="EW1" i="157"/>
  <c r="EV1" i="157"/>
  <c r="EU1" i="157"/>
  <c r="ET1" i="157"/>
  <c r="ES1" i="157"/>
  <c r="ER1" i="157"/>
  <c r="EQ1" i="157"/>
  <c r="EP1" i="157"/>
  <c r="EO1" i="157"/>
  <c r="EN1" i="157"/>
  <c r="EM1" i="157"/>
  <c r="EL1" i="157"/>
  <c r="EK1" i="157"/>
  <c r="EJ1" i="157"/>
  <c r="EI1" i="157"/>
  <c r="EH1" i="157"/>
  <c r="EG1" i="157"/>
  <c r="EF1" i="157"/>
  <c r="EE1" i="157"/>
  <c r="ED1" i="157"/>
  <c r="EC1" i="157"/>
  <c r="EB1" i="157"/>
  <c r="EA1" i="157"/>
  <c r="DZ1" i="157"/>
  <c r="DY1" i="157"/>
  <c r="DX1" i="157"/>
  <c r="DW1" i="157"/>
  <c r="DV1" i="157"/>
  <c r="DU1" i="157"/>
  <c r="DT1" i="157"/>
  <c r="DS1" i="157"/>
  <c r="DR1" i="157"/>
  <c r="DQ1" i="157"/>
  <c r="DP1" i="157"/>
  <c r="DO1" i="157"/>
  <c r="DN1" i="157"/>
  <c r="DM1" i="157"/>
  <c r="DL1" i="157"/>
  <c r="DK1" i="157"/>
  <c r="DJ1" i="157"/>
  <c r="DI1" i="157"/>
  <c r="DH1" i="157"/>
  <c r="DG1" i="157"/>
  <c r="DF1" i="157"/>
  <c r="DE1" i="157"/>
  <c r="DD1" i="157"/>
  <c r="DC1" i="157"/>
  <c r="DB1" i="157"/>
  <c r="DA1" i="157"/>
  <c r="CZ1" i="157"/>
  <c r="CY1" i="157"/>
  <c r="CX1" i="157"/>
  <c r="CW1" i="157"/>
  <c r="CV1" i="157"/>
  <c r="CU1" i="157"/>
  <c r="CT1" i="157"/>
  <c r="CS1" i="157"/>
  <c r="CR1" i="157"/>
  <c r="CQ1" i="157"/>
  <c r="CP1" i="157"/>
  <c r="CO1" i="157"/>
  <c r="CN1" i="157"/>
  <c r="CM1" i="157"/>
  <c r="CL1" i="157"/>
  <c r="CK1" i="157"/>
  <c r="CJ1" i="157"/>
  <c r="CI1" i="157"/>
  <c r="CH1" i="157"/>
  <c r="CG1" i="157"/>
  <c r="CF1" i="157"/>
  <c r="CE1" i="157"/>
  <c r="CD1" i="157"/>
  <c r="CC1" i="157"/>
  <c r="CB1" i="157"/>
  <c r="CA1" i="157"/>
  <c r="BZ1" i="157"/>
  <c r="BY1" i="157"/>
  <c r="BX1" i="157"/>
  <c r="BW1" i="157"/>
  <c r="BV1" i="157"/>
  <c r="BU1" i="157"/>
  <c r="BT1" i="157"/>
  <c r="BS1" i="157"/>
  <c r="BR1" i="157"/>
  <c r="BQ1" i="157"/>
  <c r="BP1" i="157"/>
  <c r="BO1" i="157"/>
  <c r="BN1" i="157"/>
  <c r="BM1" i="157"/>
  <c r="BL1" i="157"/>
  <c r="BK1" i="157"/>
  <c r="BJ1" i="157"/>
  <c r="BI1" i="157"/>
  <c r="BH1" i="157"/>
  <c r="BG1" i="157"/>
  <c r="BF1" i="157"/>
  <c r="BE1" i="157"/>
  <c r="BD1" i="157"/>
  <c r="BC1" i="157"/>
  <c r="BB1" i="157"/>
  <c r="BA1" i="157"/>
  <c r="AZ1" i="157"/>
  <c r="AY1" i="157"/>
  <c r="AX1" i="157"/>
  <c r="AW1" i="157"/>
  <c r="AV1" i="157"/>
  <c r="AU1" i="157"/>
  <c r="AT1" i="157"/>
  <c r="AS1" i="157"/>
  <c r="AR1" i="157"/>
  <c r="AQ1" i="157"/>
  <c r="AP1" i="157"/>
  <c r="AO1" i="157"/>
  <c r="AN1" i="157"/>
  <c r="AM1" i="157"/>
  <c r="AL1" i="157"/>
  <c r="AK1" i="157"/>
  <c r="AJ1" i="157"/>
  <c r="AI1" i="157"/>
  <c r="AH1" i="157"/>
  <c r="AG1" i="157"/>
  <c r="AF1" i="157"/>
  <c r="AE1" i="157"/>
  <c r="AD1" i="157"/>
  <c r="AC1" i="157"/>
  <c r="AB1" i="157"/>
  <c r="AA1" i="157"/>
  <c r="Z1" i="157"/>
  <c r="Y1" i="157"/>
  <c r="X1" i="157"/>
  <c r="W1" i="157"/>
  <c r="V1" i="157"/>
  <c r="U1" i="157"/>
  <c r="T1" i="157"/>
  <c r="S1" i="157"/>
  <c r="R1" i="157"/>
  <c r="Q1" i="157"/>
  <c r="P1" i="157"/>
  <c r="O1" i="157"/>
  <c r="N1" i="157"/>
  <c r="M1" i="157"/>
  <c r="L1" i="157"/>
  <c r="K1" i="157"/>
  <c r="J1" i="157"/>
  <c r="I1" i="157"/>
  <c r="H1" i="157"/>
  <c r="G1" i="157"/>
  <c r="F1" i="157"/>
  <c r="E1" i="157"/>
  <c r="D1" i="157"/>
  <c r="C1" i="157"/>
  <c r="B1" i="157"/>
  <c r="A1" i="157"/>
  <c r="J120" i="64"/>
  <c r="BJ233" i="113"/>
  <c r="I120" i="64"/>
  <c r="F120" i="64"/>
  <c r="BE234" i="113"/>
  <c r="BF233" i="113"/>
  <c r="E120" i="64"/>
  <c r="BI234" i="113"/>
  <c r="G120" i="64"/>
  <c r="M120" i="64"/>
  <c r="BI233" i="113"/>
  <c r="BH233" i="113"/>
  <c r="BF234" i="113"/>
  <c r="H120" i="64"/>
  <c r="D120" i="64"/>
  <c r="BJ234" i="113"/>
  <c r="K120" i="64"/>
  <c r="BH234" i="113"/>
  <c r="BG233" i="113"/>
  <c r="BG234" i="113"/>
  <c r="BE233" i="113"/>
  <c r="L120" i="64"/>
  <c r="EY7" i="157" l="1"/>
  <c r="EY9" i="157"/>
  <c r="BN10" i="158"/>
  <c r="BM8" i="158"/>
  <c r="BM10" i="158"/>
  <c r="BJ8" i="158"/>
  <c r="BO10" i="158"/>
  <c r="BJ10" i="158"/>
  <c r="BN8" i="158"/>
  <c r="K147" i="64"/>
  <c r="M147" i="64"/>
  <c r="G147" i="64"/>
  <c r="BD120" i="64"/>
  <c r="BD147" i="64" s="1"/>
  <c r="J147" i="64"/>
  <c r="L147" i="64"/>
  <c r="H147" i="64"/>
  <c r="I147" i="64"/>
  <c r="BL8" i="158"/>
  <c r="DI8" i="158" s="1"/>
  <c r="DM6" i="158"/>
  <c r="BK10" i="158"/>
  <c r="BO8" i="158"/>
  <c r="CR8" i="158"/>
  <c r="BI8" i="158"/>
  <c r="DF8" i="158" s="1"/>
  <c r="BK8" i="158"/>
  <c r="EZ24" i="159"/>
  <c r="BC6" i="158"/>
  <c r="CZ6" i="158" s="1"/>
  <c r="DM8" i="158"/>
  <c r="DT6" i="158"/>
  <c r="EF8" i="158"/>
  <c r="BR6" i="159"/>
  <c r="BR17" i="159"/>
  <c r="CF11" i="159"/>
  <c r="CF8" i="159"/>
  <c r="DP8" i="158"/>
  <c r="DP10" i="158"/>
  <c r="BC6" i="159"/>
  <c r="BK9" i="159"/>
  <c r="CT9" i="159"/>
  <c r="CT10" i="159"/>
  <c r="CE13" i="159"/>
  <c r="BR21" i="159"/>
  <c r="CE22" i="159"/>
  <c r="CE23" i="159"/>
  <c r="BK29" i="159"/>
  <c r="CL33" i="159"/>
  <c r="DQ8" i="158"/>
  <c r="BE6" i="159"/>
  <c r="BH6" i="159" s="1"/>
  <c r="CE27" i="159"/>
  <c r="CS6" i="159"/>
  <c r="BR10" i="159"/>
  <c r="BQ14" i="159"/>
  <c r="DN14" i="159" s="1"/>
  <c r="CL28" i="159"/>
  <c r="CM28" i="159" s="1"/>
  <c r="BQ7" i="159"/>
  <c r="CS7" i="159"/>
  <c r="BQ11" i="159"/>
  <c r="CS13" i="159"/>
  <c r="CL17" i="159"/>
  <c r="BQ18" i="159"/>
  <c r="CL19" i="159"/>
  <c r="BJ20" i="159"/>
  <c r="CS20" i="159"/>
  <c r="CS23" i="159"/>
  <c r="CE29" i="159"/>
  <c r="CS34" i="159"/>
  <c r="EP34" i="159" s="1"/>
  <c r="DY10" i="158"/>
  <c r="BK6" i="159"/>
  <c r="CL14" i="159"/>
  <c r="BE17" i="159"/>
  <c r="BH17" i="159" s="1"/>
  <c r="CS19" i="159"/>
  <c r="BQ20" i="159"/>
  <c r="BD27" i="159"/>
  <c r="DM34" i="159"/>
  <c r="EN8" i="158"/>
  <c r="DN10" i="158"/>
  <c r="CE7" i="159"/>
  <c r="CL8" i="159"/>
  <c r="DX10" i="158"/>
  <c r="DA10" i="158"/>
  <c r="DO10" i="158"/>
  <c r="EE8" i="158"/>
  <c r="DQ10" i="158"/>
  <c r="DR10" i="158"/>
  <c r="DS10" i="158"/>
  <c r="DR8" i="158"/>
  <c r="DS8" i="158"/>
  <c r="CZ20" i="157"/>
  <c r="P73" i="157"/>
  <c r="P74" i="157"/>
  <c r="EB25" i="157"/>
  <c r="AQ20" i="157"/>
  <c r="AQ13" i="157"/>
  <c r="EB18" i="157"/>
  <c r="CF13" i="157"/>
  <c r="EC13" i="157" s="1"/>
  <c r="BL21" i="157"/>
  <c r="BM21" i="157" s="1"/>
  <c r="BN21" i="157" s="1"/>
  <c r="DG15" i="157"/>
  <c r="CZ21" i="157"/>
  <c r="CZ13" i="157"/>
  <c r="DC13" i="157"/>
  <c r="AV22" i="157"/>
  <c r="AY22" i="157" s="1"/>
  <c r="BB22" i="157" s="1"/>
  <c r="CY22" i="157" s="1"/>
  <c r="K20" i="157"/>
  <c r="AY16" i="157"/>
  <c r="BB16" i="157" s="1"/>
  <c r="CY16" i="157" s="1"/>
  <c r="DS13" i="157"/>
  <c r="DR20" i="157"/>
  <c r="DS20" i="157"/>
  <c r="DT20" i="157"/>
  <c r="DN13" i="157"/>
  <c r="DV13" i="157"/>
  <c r="DN20" i="157"/>
  <c r="EH20" i="157"/>
  <c r="EJ13" i="157"/>
  <c r="AW20" i="157"/>
  <c r="CT20" i="157" s="1"/>
  <c r="AY20" i="157"/>
  <c r="BB20" i="157" s="1"/>
  <c r="CY20" i="157" s="1"/>
  <c r="DK20" i="157"/>
  <c r="EJ25" i="157"/>
  <c r="CN25" i="157"/>
  <c r="EK25" i="157" s="1"/>
  <c r="CN20" i="157"/>
  <c r="CO20" i="157" s="1"/>
  <c r="EL20" i="157" s="1"/>
  <c r="EJ20" i="157"/>
  <c r="ED6" i="157"/>
  <c r="EC6" i="157"/>
  <c r="DO13" i="157"/>
  <c r="BZ13" i="157"/>
  <c r="CA13" i="157" s="1"/>
  <c r="CB13" i="157" s="1"/>
  <c r="CC13" i="157" s="1"/>
  <c r="CD13" i="157" s="1"/>
  <c r="EA13" i="157" s="1"/>
  <c r="EI13" i="157"/>
  <c r="BD15" i="157"/>
  <c r="DA15" i="157" s="1"/>
  <c r="ET16" i="157"/>
  <c r="BK17" i="157"/>
  <c r="DH17" i="157" s="1"/>
  <c r="ET17" i="157"/>
  <c r="BY18" i="157"/>
  <c r="DV18" i="157" s="1"/>
  <c r="EC18" i="157"/>
  <c r="DG21" i="157"/>
  <c r="BD22" i="157"/>
  <c r="DA22" i="157" s="1"/>
  <c r="DG22" i="157"/>
  <c r="EI25" i="157"/>
  <c r="EB6" i="157"/>
  <c r="DP13" i="157"/>
  <c r="BE14" i="157"/>
  <c r="CZ14" i="157"/>
  <c r="DG16" i="157"/>
  <c r="DO20" i="157"/>
  <c r="CS20" i="157"/>
  <c r="AV21" i="157"/>
  <c r="CZ25" i="157"/>
  <c r="BY6" i="157"/>
  <c r="BZ6" i="157" s="1"/>
  <c r="EI15" i="157"/>
  <c r="DQ20" i="157"/>
  <c r="BD18" i="157"/>
  <c r="CZ24" i="157"/>
  <c r="DT13" i="157"/>
  <c r="DJ20" i="157"/>
  <c r="EB20" i="157"/>
  <c r="DG13" i="157"/>
  <c r="DU13" i="157"/>
  <c r="EI20" i="157"/>
  <c r="ET23" i="157"/>
  <c r="BE24" i="157"/>
  <c r="DB24" i="157" s="1"/>
  <c r="BD6" i="157"/>
  <c r="BE6" i="157" s="1"/>
  <c r="BF6" i="157" s="1"/>
  <c r="BG6" i="157" s="1"/>
  <c r="BH6" i="157" s="1"/>
  <c r="BI6" i="157" s="1"/>
  <c r="EH8" i="158"/>
  <c r="DV10" i="158"/>
  <c r="DW10" i="158"/>
  <c r="DX8" i="158"/>
  <c r="CB8" i="158"/>
  <c r="DY8" i="158" s="1"/>
  <c r="DW8" i="158"/>
  <c r="BH7" i="159"/>
  <c r="CL7" i="159"/>
  <c r="CG8" i="159"/>
  <c r="CU10" i="159"/>
  <c r="CT6" i="159"/>
  <c r="BE8" i="159"/>
  <c r="BC8" i="159"/>
  <c r="CT11" i="159"/>
  <c r="BD6" i="159"/>
  <c r="BL6" i="159"/>
  <c r="CL6" i="159"/>
  <c r="BJ7" i="159"/>
  <c r="BJ8" i="159"/>
  <c r="CE10" i="159"/>
  <c r="BE12" i="159"/>
  <c r="BC12" i="159"/>
  <c r="CT7" i="159"/>
  <c r="BK12" i="159"/>
  <c r="CU16" i="159"/>
  <c r="CV16" i="159" s="1"/>
  <c r="CW16" i="159" s="1"/>
  <c r="CX16" i="159" s="1"/>
  <c r="BF6" i="159"/>
  <c r="CE6" i="159"/>
  <c r="BR8" i="159"/>
  <c r="BR9" i="159"/>
  <c r="CM10" i="159"/>
  <c r="BE11" i="159"/>
  <c r="BC11" i="159"/>
  <c r="BK16" i="159"/>
  <c r="BL16" i="159" s="1"/>
  <c r="BK17" i="159"/>
  <c r="BC7" i="159"/>
  <c r="BK11" i="159"/>
  <c r="BL13" i="159"/>
  <c r="BB9" i="159"/>
  <c r="BE10" i="159"/>
  <c r="CE12" i="159"/>
  <c r="CY14" i="159"/>
  <c r="BC14" i="159"/>
  <c r="BE14" i="159"/>
  <c r="CO16" i="159"/>
  <c r="CP16" i="159" s="1"/>
  <c r="CQ16" i="159" s="1"/>
  <c r="BF17" i="159"/>
  <c r="BD17" i="159"/>
  <c r="CS12" i="159"/>
  <c r="EI14" i="159"/>
  <c r="CM14" i="159"/>
  <c r="BC16" i="159"/>
  <c r="BE16" i="159"/>
  <c r="BH16" i="159" s="1"/>
  <c r="CL13" i="159"/>
  <c r="BR13" i="159"/>
  <c r="BB18" i="159"/>
  <c r="CE9" i="159"/>
  <c r="CM9" i="159"/>
  <c r="CU9" i="159"/>
  <c r="BC10" i="159"/>
  <c r="BK10" i="159"/>
  <c r="BS10" i="159"/>
  <c r="BS12" i="159"/>
  <c r="CM12" i="159"/>
  <c r="BE13" i="159"/>
  <c r="BC13" i="159"/>
  <c r="CF16" i="159"/>
  <c r="CG16" i="159" s="1"/>
  <c r="CH16" i="159" s="1"/>
  <c r="CI16" i="159" s="1"/>
  <c r="CJ16" i="159" s="1"/>
  <c r="BS17" i="159"/>
  <c r="BJ18" i="159"/>
  <c r="BQ22" i="159"/>
  <c r="BB28" i="159"/>
  <c r="CS8" i="159"/>
  <c r="CL11" i="159"/>
  <c r="EA14" i="159"/>
  <c r="CE14" i="159"/>
  <c r="EZ14" i="159"/>
  <c r="CS21" i="159"/>
  <c r="BE23" i="159"/>
  <c r="EA24" i="159"/>
  <c r="CE24" i="159"/>
  <c r="CS14" i="159"/>
  <c r="CS18" i="159"/>
  <c r="BE20" i="159"/>
  <c r="BC20" i="159"/>
  <c r="BC23" i="159"/>
  <c r="CE19" i="159"/>
  <c r="BK20" i="159"/>
  <c r="CG26" i="159"/>
  <c r="CF22" i="159"/>
  <c r="CN26" i="159"/>
  <c r="CT13" i="159"/>
  <c r="BJ14" i="159"/>
  <c r="BR14" i="159"/>
  <c r="CS17" i="159"/>
  <c r="BB19" i="159"/>
  <c r="CM19" i="159"/>
  <c r="BH21" i="159"/>
  <c r="DF24" i="159"/>
  <c r="BJ24" i="159"/>
  <c r="CM30" i="159"/>
  <c r="CF13" i="159"/>
  <c r="CE17" i="159"/>
  <c r="CM17" i="159"/>
  <c r="BR18" i="159"/>
  <c r="BB22" i="159"/>
  <c r="DO24" i="159"/>
  <c r="BS24" i="159"/>
  <c r="BE31" i="159"/>
  <c r="BC31" i="159"/>
  <c r="CF33" i="159"/>
  <c r="BQ19" i="159"/>
  <c r="CL21" i="159"/>
  <c r="BJ22" i="159"/>
  <c r="CL23" i="159"/>
  <c r="BB26" i="159"/>
  <c r="CN28" i="159"/>
  <c r="CT30" i="159"/>
  <c r="CL18" i="159"/>
  <c r="BJ19" i="159"/>
  <c r="CE21" i="159"/>
  <c r="BJ26" i="159"/>
  <c r="BK26" i="159" s="1"/>
  <c r="BL26" i="159" s="1"/>
  <c r="BM26" i="159" s="1"/>
  <c r="BN26" i="159" s="1"/>
  <c r="BO26" i="159" s="1"/>
  <c r="CS27" i="159"/>
  <c r="CE18" i="159"/>
  <c r="CS28" i="159"/>
  <c r="BE24" i="159"/>
  <c r="CY24" i="159"/>
  <c r="EI24" i="159"/>
  <c r="CM24" i="159"/>
  <c r="DN24" i="159"/>
  <c r="BR26" i="159"/>
  <c r="BS26" i="159" s="1"/>
  <c r="BT26" i="159" s="1"/>
  <c r="BU26" i="159" s="1"/>
  <c r="BV26" i="159" s="1"/>
  <c r="BG27" i="159"/>
  <c r="BR28" i="159"/>
  <c r="BB33" i="159"/>
  <c r="CE20" i="159"/>
  <c r="CM20" i="159"/>
  <c r="BC21" i="159"/>
  <c r="BK21" i="159"/>
  <c r="BS21" i="159"/>
  <c r="CS22" i="159"/>
  <c r="BQ23" i="159"/>
  <c r="CF23" i="159"/>
  <c r="BC24" i="159"/>
  <c r="BE27" i="159"/>
  <c r="CF28" i="159"/>
  <c r="BK34" i="159"/>
  <c r="CL22" i="159"/>
  <c r="BJ23" i="159"/>
  <c r="DO34" i="159"/>
  <c r="BS34" i="159"/>
  <c r="DN34" i="159"/>
  <c r="CL27" i="159"/>
  <c r="BJ28" i="159"/>
  <c r="BL29" i="159"/>
  <c r="BJ31" i="159"/>
  <c r="CS32" i="159"/>
  <c r="CM33" i="159"/>
  <c r="EZ34" i="159"/>
  <c r="CS24" i="159"/>
  <c r="BQ27" i="159"/>
  <c r="CF27" i="159"/>
  <c r="BH29" i="159"/>
  <c r="BE30" i="159"/>
  <c r="BC30" i="159"/>
  <c r="CE30" i="159"/>
  <c r="BD32" i="159"/>
  <c r="BE34" i="159"/>
  <c r="CY34" i="159"/>
  <c r="BJ27" i="159"/>
  <c r="BC29" i="159"/>
  <c r="BR31" i="159"/>
  <c r="BE32" i="159"/>
  <c r="BQ33" i="159"/>
  <c r="BC34" i="159"/>
  <c r="CS29" i="159"/>
  <c r="BQ30" i="159"/>
  <c r="CL32" i="159"/>
  <c r="BJ33" i="159"/>
  <c r="CL29" i="159"/>
  <c r="BJ30" i="159"/>
  <c r="CS31" i="159"/>
  <c r="BQ32" i="159"/>
  <c r="CF32" i="159"/>
  <c r="CL34" i="159"/>
  <c r="CT34" i="159"/>
  <c r="BQ29" i="159"/>
  <c r="CF29" i="159"/>
  <c r="CL31" i="159"/>
  <c r="BJ32" i="159"/>
  <c r="CE34" i="159"/>
  <c r="CE31" i="159"/>
  <c r="CS33" i="159"/>
  <c r="BA6" i="158"/>
  <c r="CX6" i="158" s="1"/>
  <c r="CU6" i="158"/>
  <c r="DG6" i="158"/>
  <c r="DU6" i="158"/>
  <c r="BY6" i="158"/>
  <c r="AV6" i="158"/>
  <c r="CR6" i="158"/>
  <c r="DV8" i="158"/>
  <c r="EC8" i="158"/>
  <c r="EJ8" i="158"/>
  <c r="DH8" i="158"/>
  <c r="CL6" i="158"/>
  <c r="CE6" i="158"/>
  <c r="DF6" i="158"/>
  <c r="CZ8" i="158"/>
  <c r="BD8" i="158"/>
  <c r="BE8" i="158" s="1"/>
  <c r="AV10" i="158"/>
  <c r="CS10" i="158" s="1"/>
  <c r="EO8" i="158"/>
  <c r="EM8" i="158"/>
  <c r="DO8" i="158"/>
  <c r="CX8" i="158"/>
  <c r="AV8" i="158"/>
  <c r="CJ8" i="158"/>
  <c r="EG8" i="158" s="1"/>
  <c r="CY8" i="158"/>
  <c r="DT8" i="158"/>
  <c r="EA8" i="158"/>
  <c r="DG8" i="158"/>
  <c r="DN8" i="158"/>
  <c r="DU8" i="158"/>
  <c r="EB8" i="158"/>
  <c r="EI8" i="158"/>
  <c r="CU8" i="158"/>
  <c r="DL10" i="158"/>
  <c r="DI10" i="158"/>
  <c r="CY10" i="158"/>
  <c r="DF10" i="158"/>
  <c r="DT10" i="158"/>
  <c r="EA10" i="158"/>
  <c r="EH10" i="158"/>
  <c r="CR10" i="158"/>
  <c r="EO10" i="158"/>
  <c r="DH10" i="158"/>
  <c r="DB10" i="158"/>
  <c r="BF10" i="158"/>
  <c r="BG10" i="158" s="1"/>
  <c r="BH10" i="158" s="1"/>
  <c r="DE10" i="158" s="1"/>
  <c r="EK8" i="158"/>
  <c r="ED8" i="158"/>
  <c r="EL8" i="158"/>
  <c r="CC10" i="158"/>
  <c r="DZ10" i="158" s="1"/>
  <c r="DG10" i="158"/>
  <c r="DU10" i="158"/>
  <c r="EB10" i="158"/>
  <c r="EI10" i="158"/>
  <c r="ED10" i="158"/>
  <c r="CH10" i="158"/>
  <c r="CI10" i="158" s="1"/>
  <c r="EK10" i="158"/>
  <c r="CO10" i="158"/>
  <c r="CP10" i="158" s="1"/>
  <c r="CQ10" i="158" s="1"/>
  <c r="EN10" i="158" s="1"/>
  <c r="CX10" i="158"/>
  <c r="DM10" i="158"/>
  <c r="CZ10" i="158"/>
  <c r="CU10" i="158"/>
  <c r="EJ10" i="158"/>
  <c r="EC10" i="158"/>
  <c r="DD13" i="157"/>
  <c r="CZ17" i="157"/>
  <c r="BD17" i="157"/>
  <c r="BK23" i="157"/>
  <c r="DG23" i="157"/>
  <c r="ET6" i="157"/>
  <c r="AV13" i="157"/>
  <c r="CS13" i="157" s="1"/>
  <c r="EI17" i="157"/>
  <c r="CM17" i="157"/>
  <c r="DB20" i="157"/>
  <c r="BF20" i="157"/>
  <c r="AV6" i="157"/>
  <c r="EI16" i="157"/>
  <c r="CM16" i="157"/>
  <c r="EP13" i="157"/>
  <c r="EY6" i="157" s="1"/>
  <c r="DQ13" i="157"/>
  <c r="ET14" i="157"/>
  <c r="CM6" i="157"/>
  <c r="CN6" i="157" s="1"/>
  <c r="CO6" i="157" s="1"/>
  <c r="CP6" i="157" s="1"/>
  <c r="CQ6" i="157" s="1"/>
  <c r="CR6" i="157" s="1"/>
  <c r="DB13" i="157"/>
  <c r="BK13" i="157"/>
  <c r="DR13" i="157"/>
  <c r="CN13" i="157"/>
  <c r="CO13" i="157" s="1"/>
  <c r="CP13" i="157" s="1"/>
  <c r="CQ13" i="157" s="1"/>
  <c r="BL16" i="157"/>
  <c r="ED18" i="157"/>
  <c r="CH18" i="157"/>
  <c r="DE13" i="157"/>
  <c r="EJ15" i="157"/>
  <c r="CN15" i="157"/>
  <c r="AW17" i="157"/>
  <c r="AY17" i="157"/>
  <c r="DU20" i="157"/>
  <c r="BY20" i="157"/>
  <c r="DU25" i="157"/>
  <c r="BY25" i="157"/>
  <c r="BK6" i="157"/>
  <c r="BL6" i="157" s="1"/>
  <c r="BM6" i="157" s="1"/>
  <c r="BN6" i="157" s="1"/>
  <c r="BO6" i="157" s="1"/>
  <c r="BP6" i="157" s="1"/>
  <c r="DF13" i="157"/>
  <c r="DG14" i="157"/>
  <c r="BK14" i="157"/>
  <c r="ET15" i="157"/>
  <c r="BL15" i="157"/>
  <c r="BD16" i="157"/>
  <c r="DG18" i="157"/>
  <c r="BK18" i="157"/>
  <c r="EG20" i="157"/>
  <c r="DL20" i="157"/>
  <c r="CP20" i="157"/>
  <c r="CQ20" i="157" s="1"/>
  <c r="CR20" i="157" s="1"/>
  <c r="EO20" i="157" s="1"/>
  <c r="CG25" i="157"/>
  <c r="EC25" i="157"/>
  <c r="DA13" i="157"/>
  <c r="ET18" i="157"/>
  <c r="AV25" i="157"/>
  <c r="CM14" i="157"/>
  <c r="EP20" i="157"/>
  <c r="AV23" i="157"/>
  <c r="DH22" i="157"/>
  <c r="BL22" i="157"/>
  <c r="CM18" i="157"/>
  <c r="DA20" i="157"/>
  <c r="DH20" i="157"/>
  <c r="EC20" i="157"/>
  <c r="DA21" i="157"/>
  <c r="BE21" i="157"/>
  <c r="DI20" i="157"/>
  <c r="DP20" i="157"/>
  <c r="ED20" i="157"/>
  <c r="DA25" i="157"/>
  <c r="BE25" i="157"/>
  <c r="EE20" i="157"/>
  <c r="DJ21" i="157"/>
  <c r="AV24" i="157"/>
  <c r="ET21" i="157"/>
  <c r="DG24" i="157"/>
  <c r="BK24" i="157"/>
  <c r="DG20" i="157"/>
  <c r="ET22" i="157"/>
  <c r="DG25" i="157"/>
  <c r="BK25" i="157"/>
  <c r="EF20" i="157"/>
  <c r="EI23" i="157"/>
  <c r="CM23" i="157"/>
  <c r="ET24" i="157"/>
  <c r="BD23" i="157"/>
  <c r="ET25" i="157"/>
  <c r="FI14" i="159" l="1"/>
  <c r="S24" i="157"/>
  <c r="CL24" i="157" s="1"/>
  <c r="S10" i="157"/>
  <c r="CL10" i="157" s="1"/>
  <c r="O17" i="71"/>
  <c r="M17" i="71"/>
  <c r="K17" i="71"/>
  <c r="J17" i="71"/>
  <c r="N17" i="71"/>
  <c r="L17" i="71"/>
  <c r="I17" i="71"/>
  <c r="FC9" i="157"/>
  <c r="FC11" i="157"/>
  <c r="BD6" i="158"/>
  <c r="DD10" i="158"/>
  <c r="ES6" i="158"/>
  <c r="FC10" i="157"/>
  <c r="FC7" i="157"/>
  <c r="FC8" i="157"/>
  <c r="ES10" i="158"/>
  <c r="EE10" i="158"/>
  <c r="EK20" i="157"/>
  <c r="BL17" i="157"/>
  <c r="BM17" i="157" s="1"/>
  <c r="DV6" i="157"/>
  <c r="DC10" i="158"/>
  <c r="EQ10" i="158" s="1"/>
  <c r="ES8" i="158"/>
  <c r="CT23" i="159"/>
  <c r="BR20" i="159"/>
  <c r="BR11" i="159"/>
  <c r="CG11" i="159"/>
  <c r="CM8" i="159"/>
  <c r="CT19" i="159"/>
  <c r="CT20" i="159"/>
  <c r="BL9" i="159"/>
  <c r="CF7" i="159"/>
  <c r="BR7" i="159"/>
  <c r="BS6" i="159"/>
  <c r="CC8" i="158"/>
  <c r="DZ8" i="158" s="1"/>
  <c r="EL10" i="158"/>
  <c r="EV8" i="158"/>
  <c r="DX13" i="157"/>
  <c r="BE15" i="157"/>
  <c r="DB15" i="157" s="1"/>
  <c r="DY13" i="157"/>
  <c r="CG13" i="157"/>
  <c r="CH13" i="157" s="1"/>
  <c r="CI13" i="157" s="1"/>
  <c r="CJ13" i="157" s="1"/>
  <c r="CK13" i="157" s="1"/>
  <c r="EH13" i="157" s="1"/>
  <c r="CL22" i="157"/>
  <c r="CL21" i="157"/>
  <c r="DW13" i="157"/>
  <c r="BZ18" i="157"/>
  <c r="DW18" i="157" s="1"/>
  <c r="DI21" i="157"/>
  <c r="CV20" i="157"/>
  <c r="CV22" i="157"/>
  <c r="AW22" i="157"/>
  <c r="AX22" i="157" s="1"/>
  <c r="CS22" i="157"/>
  <c r="BE22" i="157"/>
  <c r="DB22" i="157" s="1"/>
  <c r="AW16" i="157"/>
  <c r="AX16" i="157" s="1"/>
  <c r="CS16" i="157"/>
  <c r="CV16" i="157"/>
  <c r="EV20" i="157"/>
  <c r="DB14" i="157"/>
  <c r="BF14" i="157"/>
  <c r="ER13" i="157"/>
  <c r="DZ13" i="157"/>
  <c r="EL13" i="157"/>
  <c r="AY21" i="157"/>
  <c r="CS21" i="157"/>
  <c r="AW21" i="157"/>
  <c r="ET20" i="157"/>
  <c r="ET13" i="157"/>
  <c r="BF24" i="157"/>
  <c r="DC24" i="157" s="1"/>
  <c r="AY15" i="157"/>
  <c r="AW15" i="157"/>
  <c r="CS15" i="157"/>
  <c r="EE6" i="157"/>
  <c r="CO25" i="157"/>
  <c r="EL25" i="157" s="1"/>
  <c r="DA18" i="157"/>
  <c r="BE18" i="157"/>
  <c r="EM20" i="157"/>
  <c r="AZ20" i="157"/>
  <c r="CW20" i="157" s="1"/>
  <c r="AX20" i="157"/>
  <c r="DA6" i="157"/>
  <c r="EM10" i="158"/>
  <c r="CG29" i="159"/>
  <c r="CF30" i="159"/>
  <c r="CM27" i="159"/>
  <c r="BT21" i="159"/>
  <c r="EP14" i="159"/>
  <c r="CT14" i="159"/>
  <c r="EJ14" i="159"/>
  <c r="CN14" i="159"/>
  <c r="BR29" i="159"/>
  <c r="BR33" i="159"/>
  <c r="BR27" i="159"/>
  <c r="BL21" i="159"/>
  <c r="BS28" i="159"/>
  <c r="CN24" i="159"/>
  <c r="EJ24" i="159"/>
  <c r="BK22" i="159"/>
  <c r="BE22" i="159"/>
  <c r="BC22" i="159"/>
  <c r="CG13" i="159"/>
  <c r="CN19" i="159"/>
  <c r="BL20" i="159"/>
  <c r="CT18" i="159"/>
  <c r="BD10" i="159"/>
  <c r="BF10" i="159"/>
  <c r="BG17" i="159"/>
  <c r="BD7" i="159"/>
  <c r="BF7" i="159"/>
  <c r="BF34" i="159"/>
  <c r="DC34" i="159" s="1"/>
  <c r="CZ34" i="159"/>
  <c r="BD34" i="159"/>
  <c r="CT32" i="159"/>
  <c r="CU30" i="159"/>
  <c r="BH20" i="159"/>
  <c r="CT8" i="159"/>
  <c r="BM16" i="159"/>
  <c r="BS9" i="159"/>
  <c r="CT33" i="159"/>
  <c r="CT31" i="159"/>
  <c r="CT29" i="159"/>
  <c r="BD30" i="159"/>
  <c r="BF30" i="159"/>
  <c r="DH34" i="159"/>
  <c r="BL34" i="159"/>
  <c r="BD21" i="159"/>
  <c r="BF21" i="159"/>
  <c r="CT28" i="159"/>
  <c r="CF18" i="159"/>
  <c r="CM21" i="159"/>
  <c r="BH31" i="159"/>
  <c r="CN30" i="159"/>
  <c r="DG24" i="159"/>
  <c r="BK24" i="159"/>
  <c r="DO14" i="159"/>
  <c r="BS14" i="159"/>
  <c r="EB24" i="159"/>
  <c r="CF24" i="159"/>
  <c r="BE28" i="159"/>
  <c r="BC28" i="159"/>
  <c r="BD13" i="159"/>
  <c r="BF13" i="159"/>
  <c r="CV9" i="159"/>
  <c r="BS13" i="159"/>
  <c r="BM6" i="159"/>
  <c r="BF8" i="159"/>
  <c r="BD8" i="159"/>
  <c r="CH8" i="159"/>
  <c r="BR30" i="159"/>
  <c r="BF31" i="159"/>
  <c r="BD31" i="159"/>
  <c r="BL10" i="159"/>
  <c r="BD14" i="159"/>
  <c r="BF14" i="159"/>
  <c r="DC14" i="159" s="1"/>
  <c r="CZ14" i="159"/>
  <c r="CU11" i="159"/>
  <c r="CF31" i="159"/>
  <c r="BK30" i="159"/>
  <c r="BH32" i="159"/>
  <c r="BH34" i="159"/>
  <c r="DE34" i="159" s="1"/>
  <c r="DB34" i="159"/>
  <c r="BK31" i="159"/>
  <c r="BF24" i="159"/>
  <c r="DC24" i="159" s="1"/>
  <c r="CZ24" i="159"/>
  <c r="BD24" i="159"/>
  <c r="CO28" i="159"/>
  <c r="BR19" i="159"/>
  <c r="BS18" i="159"/>
  <c r="DG14" i="159"/>
  <c r="BK14" i="159"/>
  <c r="BF23" i="159"/>
  <c r="BD23" i="159"/>
  <c r="BR22" i="159"/>
  <c r="BH13" i="159"/>
  <c r="CN9" i="159"/>
  <c r="CF12" i="159"/>
  <c r="CG12" i="159" s="1"/>
  <c r="BL11" i="159"/>
  <c r="BF11" i="159"/>
  <c r="BD11" i="159"/>
  <c r="BS8" i="159"/>
  <c r="BG6" i="159"/>
  <c r="BR32" i="159"/>
  <c r="CG27" i="159"/>
  <c r="BM13" i="159"/>
  <c r="CM6" i="159"/>
  <c r="CM29" i="159"/>
  <c r="BS31" i="159"/>
  <c r="BH30" i="159"/>
  <c r="CG23" i="159"/>
  <c r="CN20" i="159"/>
  <c r="BH24" i="159"/>
  <c r="DE24" i="159" s="1"/>
  <c r="DB24" i="159"/>
  <c r="CT27" i="159"/>
  <c r="CF21" i="159"/>
  <c r="BE19" i="159"/>
  <c r="BC19" i="159"/>
  <c r="CU13" i="159"/>
  <c r="CG22" i="159"/>
  <c r="CF19" i="159"/>
  <c r="EB14" i="159"/>
  <c r="CF14" i="159"/>
  <c r="CN12" i="159"/>
  <c r="CF9" i="159"/>
  <c r="CT12" i="159"/>
  <c r="BF12" i="159"/>
  <c r="BD12" i="159"/>
  <c r="BK8" i="159"/>
  <c r="BH8" i="159"/>
  <c r="CM7" i="159"/>
  <c r="EP24" i="159"/>
  <c r="CT24" i="159"/>
  <c r="EB34" i="159"/>
  <c r="CF34" i="159"/>
  <c r="EQ34" i="159"/>
  <c r="CU34" i="159"/>
  <c r="BF29" i="159"/>
  <c r="BD29" i="159"/>
  <c r="BM29" i="159"/>
  <c r="CG28" i="159"/>
  <c r="BR23" i="159"/>
  <c r="CF20" i="159"/>
  <c r="BK19" i="159"/>
  <c r="DP24" i="159"/>
  <c r="BT24" i="159"/>
  <c r="CN17" i="159"/>
  <c r="CT17" i="159"/>
  <c r="CO26" i="159"/>
  <c r="BH23" i="159"/>
  <c r="BK18" i="159"/>
  <c r="BH10" i="159"/>
  <c r="BL17" i="159"/>
  <c r="BH11" i="159"/>
  <c r="BH12" i="159"/>
  <c r="CU6" i="159"/>
  <c r="BE33" i="159"/>
  <c r="BC33" i="159"/>
  <c r="CM23" i="159"/>
  <c r="BK32" i="159"/>
  <c r="EI34" i="159"/>
  <c r="CM34" i="159"/>
  <c r="BK33" i="159"/>
  <c r="BK27" i="159"/>
  <c r="BG32" i="159"/>
  <c r="DP34" i="159"/>
  <c r="BT34" i="159"/>
  <c r="BK23" i="159"/>
  <c r="BH27" i="159"/>
  <c r="CM18" i="159"/>
  <c r="CG33" i="159"/>
  <c r="CF17" i="159"/>
  <c r="CH26" i="159"/>
  <c r="BF20" i="159"/>
  <c r="BD20" i="159"/>
  <c r="CT21" i="159"/>
  <c r="BT12" i="159"/>
  <c r="BE18" i="159"/>
  <c r="BC18" i="159"/>
  <c r="CM13" i="159"/>
  <c r="BD16" i="159"/>
  <c r="BF16" i="159"/>
  <c r="CN10" i="159"/>
  <c r="CF6" i="159"/>
  <c r="CV10" i="159"/>
  <c r="CU7" i="159"/>
  <c r="CM31" i="159"/>
  <c r="CG32" i="159"/>
  <c r="CM32" i="159"/>
  <c r="CN33" i="159"/>
  <c r="BK28" i="159"/>
  <c r="CM22" i="159"/>
  <c r="CT22" i="159"/>
  <c r="BE26" i="159"/>
  <c r="BC26" i="159"/>
  <c r="CM11" i="159"/>
  <c r="BT17" i="159"/>
  <c r="BT10" i="159"/>
  <c r="BH14" i="159"/>
  <c r="DE14" i="159" s="1"/>
  <c r="DB14" i="159"/>
  <c r="BE9" i="159"/>
  <c r="BC9" i="159"/>
  <c r="BL12" i="159"/>
  <c r="CF10" i="159"/>
  <c r="BK7" i="159"/>
  <c r="DJ8" i="158"/>
  <c r="DJ10" i="158"/>
  <c r="EI6" i="158"/>
  <c r="CM6" i="158"/>
  <c r="DA8" i="158"/>
  <c r="AY10" i="158"/>
  <c r="CV10" i="158" s="1"/>
  <c r="AW10" i="158"/>
  <c r="AY8" i="158"/>
  <c r="CV8" i="158" s="1"/>
  <c r="AW8" i="158"/>
  <c r="CS8" i="158"/>
  <c r="DB8" i="158"/>
  <c r="BF8" i="158"/>
  <c r="DA6" i="158"/>
  <c r="BE6" i="158"/>
  <c r="BZ6" i="158"/>
  <c r="DV6" i="158"/>
  <c r="DK10" i="158"/>
  <c r="EX6" i="158"/>
  <c r="CF6" i="158"/>
  <c r="EB6" i="158"/>
  <c r="AY6" i="158"/>
  <c r="CV6" i="158" s="1"/>
  <c r="CS6" i="158"/>
  <c r="AW6" i="158"/>
  <c r="DH6" i="158"/>
  <c r="EF10" i="158"/>
  <c r="CJ10" i="158"/>
  <c r="EG10" i="158" s="1"/>
  <c r="ED25" i="157"/>
  <c r="CH25" i="157"/>
  <c r="CS6" i="157"/>
  <c r="AW6" i="157"/>
  <c r="AX6" i="157" s="1"/>
  <c r="AY6" i="157" s="1"/>
  <c r="AZ6" i="157" s="1"/>
  <c r="BA6" i="157" s="1"/>
  <c r="BB6" i="157" s="1"/>
  <c r="DB25" i="157"/>
  <c r="BF25" i="157"/>
  <c r="EN20" i="157"/>
  <c r="DV20" i="157"/>
  <c r="BZ20" i="157"/>
  <c r="BG20" i="157"/>
  <c r="DC20" i="157"/>
  <c r="BL24" i="157"/>
  <c r="DH24" i="157"/>
  <c r="DI15" i="157"/>
  <c r="BM15" i="157"/>
  <c r="BL14" i="157"/>
  <c r="DH14" i="157"/>
  <c r="DH6" i="157"/>
  <c r="BF15" i="157"/>
  <c r="EJ16" i="157"/>
  <c r="CN16" i="157"/>
  <c r="EM13" i="157"/>
  <c r="BL25" i="157"/>
  <c r="DH25" i="157"/>
  <c r="DK21" i="157"/>
  <c r="BO21" i="157"/>
  <c r="CS23" i="157"/>
  <c r="AW23" i="157"/>
  <c r="AY23" i="157"/>
  <c r="EK15" i="157"/>
  <c r="CO15" i="157"/>
  <c r="EE18" i="157"/>
  <c r="CI18" i="157"/>
  <c r="DW6" i="157"/>
  <c r="CA6" i="157"/>
  <c r="DA16" i="157"/>
  <c r="BE16" i="157"/>
  <c r="DA23" i="157"/>
  <c r="BE23" i="157"/>
  <c r="AY24" i="157"/>
  <c r="CS24" i="157"/>
  <c r="AW24" i="157"/>
  <c r="DV25" i="157"/>
  <c r="BZ25" i="157"/>
  <c r="AY18" i="157"/>
  <c r="CS18" i="157"/>
  <c r="AW18" i="157"/>
  <c r="CR13" i="157"/>
  <c r="EO13" i="157" s="1"/>
  <c r="EN13" i="157"/>
  <c r="EJ14" i="157"/>
  <c r="CN14" i="157"/>
  <c r="ES20" i="157"/>
  <c r="CN18" i="157"/>
  <c r="EJ18" i="157"/>
  <c r="CV17" i="157"/>
  <c r="BB17" i="157"/>
  <c r="CY17" i="157" s="1"/>
  <c r="EJ23" i="157"/>
  <c r="CN23" i="157"/>
  <c r="DI22" i="157"/>
  <c r="BM22" i="157"/>
  <c r="BL18" i="157"/>
  <c r="DH18" i="157"/>
  <c r="AZ17" i="157"/>
  <c r="CW17" i="157" s="1"/>
  <c r="AX17" i="157"/>
  <c r="CT17" i="157"/>
  <c r="DI16" i="157"/>
  <c r="BM16" i="157"/>
  <c r="EK13" i="157"/>
  <c r="EJ17" i="157"/>
  <c r="CN17" i="157"/>
  <c r="AW13" i="157"/>
  <c r="AY13" i="157"/>
  <c r="BE17" i="157"/>
  <c r="DA17" i="157"/>
  <c r="DB21" i="157"/>
  <c r="BF21" i="157"/>
  <c r="AY14" i="157"/>
  <c r="CS14" i="157"/>
  <c r="AW14" i="157"/>
  <c r="DH13" i="157"/>
  <c r="BL13" i="157"/>
  <c r="EJ6" i="157"/>
  <c r="DH23" i="157"/>
  <c r="BL23" i="157"/>
  <c r="AY25" i="157"/>
  <c r="CS25" i="157"/>
  <c r="AW25" i="157"/>
  <c r="FC6" i="157" l="1"/>
  <c r="EI24" i="157"/>
  <c r="CM24" i="157"/>
  <c r="C17" i="71"/>
  <c r="FB6" i="158"/>
  <c r="DI17" i="157"/>
  <c r="EE13" i="157"/>
  <c r="EV10" i="158"/>
  <c r="ER10" i="158"/>
  <c r="BM9" i="159"/>
  <c r="CU23" i="159"/>
  <c r="CH11" i="159"/>
  <c r="BS7" i="159"/>
  <c r="CU20" i="159"/>
  <c r="BS11" i="159"/>
  <c r="CU19" i="159"/>
  <c r="CG7" i="159"/>
  <c r="CN8" i="159"/>
  <c r="BS20" i="159"/>
  <c r="BT6" i="159"/>
  <c r="BF22" i="157"/>
  <c r="BG22" i="157" s="1"/>
  <c r="CM10" i="157"/>
  <c r="CN10" i="157" s="1"/>
  <c r="CO10" i="157" s="1"/>
  <c r="CP10" i="157" s="1"/>
  <c r="CQ10" i="157" s="1"/>
  <c r="CR10" i="157" s="1"/>
  <c r="EG13" i="157"/>
  <c r="ED13" i="157"/>
  <c r="CA18" i="157"/>
  <c r="CB18" i="157" s="1"/>
  <c r="EF13" i="157"/>
  <c r="AZ16" i="157"/>
  <c r="CW16" i="157" s="1"/>
  <c r="CP25" i="157"/>
  <c r="EM25" i="157" s="1"/>
  <c r="CT16" i="157"/>
  <c r="EI21" i="157"/>
  <c r="CM21" i="157"/>
  <c r="CM22" i="157"/>
  <c r="EI22" i="157"/>
  <c r="CT22" i="157"/>
  <c r="BG24" i="157"/>
  <c r="DD24" i="157" s="1"/>
  <c r="EU13" i="157"/>
  <c r="AZ22" i="157"/>
  <c r="CW22" i="157" s="1"/>
  <c r="EW20" i="157"/>
  <c r="EF6" i="157"/>
  <c r="N74" i="157"/>
  <c r="Q10" i="157" s="1"/>
  <c r="O74" i="157"/>
  <c r="R10" i="157" s="1"/>
  <c r="N72" i="157"/>
  <c r="Q9" i="157" s="1"/>
  <c r="O72" i="157"/>
  <c r="R9" i="157" s="1"/>
  <c r="N73" i="157"/>
  <c r="O73" i="157"/>
  <c r="AX15" i="157"/>
  <c r="CT15" i="157"/>
  <c r="AZ15" i="157"/>
  <c r="CW15" i="157" s="1"/>
  <c r="BB15" i="157"/>
  <c r="CY15" i="157" s="1"/>
  <c r="CV15" i="157"/>
  <c r="DB18" i="157"/>
  <c r="BF18" i="157"/>
  <c r="DC14" i="157"/>
  <c r="BG14" i="157"/>
  <c r="EW13" i="157"/>
  <c r="AZ21" i="157"/>
  <c r="CW21" i="157" s="1"/>
  <c r="CT21" i="157"/>
  <c r="AX21" i="157"/>
  <c r="CU20" i="157"/>
  <c r="BA20" i="157"/>
  <c r="CX20" i="157" s="1"/>
  <c r="BB21" i="157"/>
  <c r="CY21" i="157" s="1"/>
  <c r="CV21" i="157"/>
  <c r="DB6" i="157"/>
  <c r="BH9" i="159"/>
  <c r="BL32" i="159"/>
  <c r="BM11" i="159"/>
  <c r="DA24" i="159"/>
  <c r="BG24" i="159"/>
  <c r="DD24" i="159" s="1"/>
  <c r="CI8" i="159"/>
  <c r="BF28" i="159"/>
  <c r="BD28" i="159"/>
  <c r="BG10" i="159"/>
  <c r="BU17" i="159"/>
  <c r="CV7" i="159"/>
  <c r="BF18" i="159"/>
  <c r="BD18" i="159"/>
  <c r="CU21" i="159"/>
  <c r="CV6" i="159"/>
  <c r="CP26" i="159"/>
  <c r="BL19" i="159"/>
  <c r="CH28" i="159"/>
  <c r="BG29" i="159"/>
  <c r="BL8" i="159"/>
  <c r="EC14" i="159"/>
  <c r="CG14" i="159"/>
  <c r="CV13" i="159"/>
  <c r="BL14" i="159"/>
  <c r="DH14" i="159"/>
  <c r="CP28" i="159"/>
  <c r="CV11" i="159"/>
  <c r="BM10" i="159"/>
  <c r="BH28" i="159"/>
  <c r="BG30" i="159"/>
  <c r="CU33" i="159"/>
  <c r="BG34" i="159"/>
  <c r="DD34" i="159" s="1"/>
  <c r="DA34" i="159"/>
  <c r="CO19" i="159"/>
  <c r="CG34" i="159"/>
  <c r="EC34" i="159"/>
  <c r="BH22" i="159"/>
  <c r="BH18" i="159"/>
  <c r="CH33" i="159"/>
  <c r="DQ34" i="159"/>
  <c r="BU34" i="159"/>
  <c r="BL27" i="159"/>
  <c r="CH27" i="159"/>
  <c r="BG8" i="159"/>
  <c r="BT13" i="159"/>
  <c r="BT14" i="159"/>
  <c r="DP14" i="159"/>
  <c r="BG7" i="159"/>
  <c r="CU18" i="159"/>
  <c r="BS33" i="159"/>
  <c r="CU22" i="159"/>
  <c r="BL23" i="159"/>
  <c r="CU27" i="159"/>
  <c r="BM12" i="159"/>
  <c r="CN11" i="159"/>
  <c r="CN22" i="159"/>
  <c r="CN32" i="159"/>
  <c r="CW10" i="159"/>
  <c r="BG20" i="159"/>
  <c r="BL33" i="159"/>
  <c r="CN23" i="159"/>
  <c r="CU17" i="159"/>
  <c r="EQ24" i="159"/>
  <c r="CU24" i="159"/>
  <c r="BF19" i="159"/>
  <c r="BD19" i="159"/>
  <c r="BT31" i="159"/>
  <c r="BT8" i="159"/>
  <c r="BS22" i="159"/>
  <c r="BL31" i="159"/>
  <c r="BL30" i="159"/>
  <c r="BG31" i="159"/>
  <c r="CW9" i="159"/>
  <c r="CN21" i="159"/>
  <c r="BG21" i="159"/>
  <c r="BM21" i="159"/>
  <c r="BU21" i="159"/>
  <c r="CG17" i="159"/>
  <c r="CU12" i="159"/>
  <c r="BT28" i="159"/>
  <c r="BG16" i="159"/>
  <c r="BU12" i="159"/>
  <c r="CN18" i="159"/>
  <c r="BF33" i="159"/>
  <c r="BD33" i="159"/>
  <c r="BM17" i="159"/>
  <c r="BL18" i="159"/>
  <c r="BG12" i="159"/>
  <c r="CG9" i="159"/>
  <c r="CO20" i="159"/>
  <c r="CN6" i="159"/>
  <c r="BS32" i="159"/>
  <c r="DH24" i="159"/>
  <c r="BL24" i="159"/>
  <c r="BT9" i="159"/>
  <c r="BM20" i="159"/>
  <c r="CH13" i="159"/>
  <c r="BL22" i="159"/>
  <c r="CN27" i="159"/>
  <c r="BL28" i="159"/>
  <c r="CH32" i="159"/>
  <c r="CN13" i="159"/>
  <c r="EJ34" i="159"/>
  <c r="CN34" i="159"/>
  <c r="CO17" i="159"/>
  <c r="CG20" i="159"/>
  <c r="CN7" i="159"/>
  <c r="CG19" i="159"/>
  <c r="BH19" i="159"/>
  <c r="CN29" i="159"/>
  <c r="BG11" i="159"/>
  <c r="BT18" i="159"/>
  <c r="CU29" i="159"/>
  <c r="BN16" i="159"/>
  <c r="CV30" i="159"/>
  <c r="BS29" i="159"/>
  <c r="CG10" i="159"/>
  <c r="CO10" i="159"/>
  <c r="CH29" i="159"/>
  <c r="BF26" i="159"/>
  <c r="BD26" i="159"/>
  <c r="CG6" i="159"/>
  <c r="CI26" i="159"/>
  <c r="BH33" i="159"/>
  <c r="ER34" i="159"/>
  <c r="CV34" i="159"/>
  <c r="CG21" i="159"/>
  <c r="CH23" i="159"/>
  <c r="BN13" i="159"/>
  <c r="BG23" i="159"/>
  <c r="BS19" i="159"/>
  <c r="BS30" i="159"/>
  <c r="BN6" i="159"/>
  <c r="BG13" i="159"/>
  <c r="EC24" i="159"/>
  <c r="CG24" i="159"/>
  <c r="CO30" i="159"/>
  <c r="CG18" i="159"/>
  <c r="DI34" i="159"/>
  <c r="BM34" i="159"/>
  <c r="BF22" i="159"/>
  <c r="BD22" i="159"/>
  <c r="EK14" i="159"/>
  <c r="CO14" i="159"/>
  <c r="CG30" i="159"/>
  <c r="EQ14" i="159"/>
  <c r="CU14" i="159"/>
  <c r="BL7" i="159"/>
  <c r="BF9" i="159"/>
  <c r="BD9" i="159"/>
  <c r="BU10" i="159"/>
  <c r="BH26" i="159"/>
  <c r="CO33" i="159"/>
  <c r="CN31" i="159"/>
  <c r="DQ24" i="159"/>
  <c r="BU24" i="159"/>
  <c r="BS23" i="159"/>
  <c r="BN29" i="159"/>
  <c r="CO12" i="159"/>
  <c r="CH22" i="159"/>
  <c r="CO9" i="159"/>
  <c r="CG31" i="159"/>
  <c r="DA14" i="159"/>
  <c r="BG14" i="159"/>
  <c r="DD14" i="159" s="1"/>
  <c r="CU28" i="159"/>
  <c r="CU31" i="159"/>
  <c r="CU8" i="159"/>
  <c r="CU32" i="159"/>
  <c r="CO24" i="159"/>
  <c r="EK24" i="159"/>
  <c r="BS27" i="159"/>
  <c r="DW6" i="158"/>
  <c r="CA6" i="158"/>
  <c r="AZ6" i="158"/>
  <c r="CW6" i="158" s="1"/>
  <c r="CT6" i="158"/>
  <c r="DK8" i="158"/>
  <c r="DL8" i="158"/>
  <c r="DB6" i="158"/>
  <c r="BF6" i="158"/>
  <c r="CG6" i="158"/>
  <c r="EC6" i="158"/>
  <c r="AZ8" i="158"/>
  <c r="CW8" i="158" s="1"/>
  <c r="CT8" i="158"/>
  <c r="AZ10" i="158"/>
  <c r="CW10" i="158" s="1"/>
  <c r="CT10" i="158"/>
  <c r="BG8" i="158"/>
  <c r="DC8" i="158"/>
  <c r="DI6" i="158"/>
  <c r="EJ6" i="158"/>
  <c r="CN6" i="158"/>
  <c r="CT25" i="157"/>
  <c r="AX25" i="157"/>
  <c r="AZ25" i="157"/>
  <c r="CW25" i="157" s="1"/>
  <c r="DJ17" i="157"/>
  <c r="BN17" i="157"/>
  <c r="EL15" i="157"/>
  <c r="CP15" i="157"/>
  <c r="DI25" i="157"/>
  <c r="BM25" i="157"/>
  <c r="CV25" i="157"/>
  <c r="BB25" i="157"/>
  <c r="CY25" i="157" s="1"/>
  <c r="AZ14" i="157"/>
  <c r="CW14" i="157" s="1"/>
  <c r="CT14" i="157"/>
  <c r="AX14" i="157"/>
  <c r="AX13" i="157"/>
  <c r="AZ13" i="157"/>
  <c r="CW13" i="157" s="1"/>
  <c r="CT13" i="157"/>
  <c r="BN16" i="157"/>
  <c r="DJ16" i="157"/>
  <c r="DJ15" i="157"/>
  <c r="BN15" i="157"/>
  <c r="CY6" i="157"/>
  <c r="CV6" i="157"/>
  <c r="EK16" i="157"/>
  <c r="CO16" i="157"/>
  <c r="CT6" i="157"/>
  <c r="CW6" i="157"/>
  <c r="BB13" i="157"/>
  <c r="CY13" i="157" s="1"/>
  <c r="CV13" i="157"/>
  <c r="CV24" i="157"/>
  <c r="BB24" i="157"/>
  <c r="CY24" i="157" s="1"/>
  <c r="DI14" i="157"/>
  <c r="BM14" i="157"/>
  <c r="DI24" i="157"/>
  <c r="BM24" i="157"/>
  <c r="DI23" i="157"/>
  <c r="BM23" i="157"/>
  <c r="BA22" i="157"/>
  <c r="CX22" i="157" s="1"/>
  <c r="CU22" i="157"/>
  <c r="BF17" i="157"/>
  <c r="DB17" i="157"/>
  <c r="CO17" i="157"/>
  <c r="EK17" i="157"/>
  <c r="BN22" i="157"/>
  <c r="DJ22" i="157"/>
  <c r="BP21" i="157"/>
  <c r="DM21" i="157" s="1"/>
  <c r="DL21" i="157"/>
  <c r="BH20" i="157"/>
  <c r="DD20" i="157"/>
  <c r="CB6" i="157"/>
  <c r="DX6" i="157"/>
  <c r="BM13" i="157"/>
  <c r="DI13" i="157"/>
  <c r="BB18" i="157"/>
  <c r="CY18" i="157" s="1"/>
  <c r="CV18" i="157"/>
  <c r="BF23" i="157"/>
  <c r="DB23" i="157"/>
  <c r="BA17" i="157"/>
  <c r="CX17" i="157" s="1"/>
  <c r="CU17" i="157"/>
  <c r="CO18" i="157"/>
  <c r="EK18" i="157"/>
  <c r="AZ18" i="157"/>
  <c r="CW18" i="157" s="1"/>
  <c r="CT18" i="157"/>
  <c r="AX18" i="157"/>
  <c r="CU16" i="157"/>
  <c r="BA16" i="157"/>
  <c r="CX16" i="157" s="1"/>
  <c r="BF16" i="157"/>
  <c r="DB16" i="157"/>
  <c r="CV23" i="157"/>
  <c r="BB23" i="157"/>
  <c r="CY23" i="157" s="1"/>
  <c r="DI6" i="157"/>
  <c r="BB14" i="157"/>
  <c r="CY14" i="157" s="1"/>
  <c r="CV14" i="157"/>
  <c r="DC21" i="157"/>
  <c r="BG21" i="157"/>
  <c r="DI18" i="157"/>
  <c r="BM18" i="157"/>
  <c r="DW25" i="157"/>
  <c r="CA25" i="157"/>
  <c r="BG15" i="157"/>
  <c r="DC15" i="157"/>
  <c r="EK6" i="157"/>
  <c r="CO23" i="157"/>
  <c r="EK23" i="157"/>
  <c r="EK14" i="157"/>
  <c r="CO14" i="157"/>
  <c r="AZ24" i="157"/>
  <c r="CW24" i="157" s="1"/>
  <c r="AX24" i="157"/>
  <c r="CT24" i="157"/>
  <c r="EF18" i="157"/>
  <c r="CJ18" i="157"/>
  <c r="AZ23" i="157"/>
  <c r="CW23" i="157" s="1"/>
  <c r="AX23" i="157"/>
  <c r="CT23" i="157"/>
  <c r="CA20" i="157"/>
  <c r="DW20" i="157"/>
  <c r="BG25" i="157"/>
  <c r="DC25" i="157"/>
  <c r="EE25" i="157"/>
  <c r="CI25" i="157"/>
  <c r="R16" i="157" l="1"/>
  <c r="CE16" i="157" s="1"/>
  <c r="CE9" i="157"/>
  <c r="R23" i="157"/>
  <c r="CE23" i="157" s="1"/>
  <c r="BX9" i="157"/>
  <c r="Q23" i="157"/>
  <c r="BX23" i="157" s="1"/>
  <c r="Q16" i="157"/>
  <c r="BX16" i="157" s="1"/>
  <c r="CK10" i="148"/>
  <c r="CE10" i="157"/>
  <c r="CF10" i="157" s="1"/>
  <c r="CG10" i="157" s="1"/>
  <c r="CH10" i="157" s="1"/>
  <c r="CI10" i="157" s="1"/>
  <c r="CJ10" i="157" s="1"/>
  <c r="CK10" i="157" s="1"/>
  <c r="R24" i="157"/>
  <c r="CE24" i="157" s="1"/>
  <c r="R17" i="157"/>
  <c r="CE17" i="157" s="1"/>
  <c r="Q17" i="157"/>
  <c r="BX17" i="157" s="1"/>
  <c r="BX10" i="157"/>
  <c r="BY10" i="157" s="1"/>
  <c r="BZ10" i="157" s="1"/>
  <c r="CA10" i="157" s="1"/>
  <c r="CB10" i="157" s="1"/>
  <c r="CC10" i="157" s="1"/>
  <c r="CD10" i="157" s="1"/>
  <c r="Q24" i="157"/>
  <c r="BX24" i="157" s="1"/>
  <c r="EJ24" i="157"/>
  <c r="CN24" i="157"/>
  <c r="EW34" i="159"/>
  <c r="EW14" i="159"/>
  <c r="DC22" i="157"/>
  <c r="DX18" i="157"/>
  <c r="CV19" i="159"/>
  <c r="BT7" i="159"/>
  <c r="BU6" i="159"/>
  <c r="BN9" i="159"/>
  <c r="BT11" i="159"/>
  <c r="BT20" i="159"/>
  <c r="CI11" i="159"/>
  <c r="CV23" i="159"/>
  <c r="CO8" i="159"/>
  <c r="CV20" i="159"/>
  <c r="CH7" i="159"/>
  <c r="EW24" i="159"/>
  <c r="EP6" i="158"/>
  <c r="ER8" i="158"/>
  <c r="EP8" i="158"/>
  <c r="CQ25" i="157"/>
  <c r="EN25" i="157" s="1"/>
  <c r="EV13" i="157"/>
  <c r="EI10" i="157"/>
  <c r="CL10" i="148"/>
  <c r="BX15" i="157"/>
  <c r="BX14" i="157"/>
  <c r="BH24" i="157"/>
  <c r="BI24" i="157" s="1"/>
  <c r="DF24" i="157" s="1"/>
  <c r="CE21" i="157"/>
  <c r="CE14" i="157"/>
  <c r="BX21" i="157"/>
  <c r="EJ22" i="157"/>
  <c r="CN22" i="157"/>
  <c r="CE15" i="157"/>
  <c r="CE22" i="157"/>
  <c r="BX22" i="157"/>
  <c r="EJ10" i="157"/>
  <c r="CN21" i="157"/>
  <c r="EJ21" i="157"/>
  <c r="ES21" i="157"/>
  <c r="EQ17" i="157"/>
  <c r="EQ22" i="157"/>
  <c r="EQ20" i="157"/>
  <c r="CU15" i="157"/>
  <c r="BA15" i="157"/>
  <c r="CX15" i="157" s="1"/>
  <c r="BH14" i="157"/>
  <c r="DD14" i="157"/>
  <c r="CU21" i="157"/>
  <c r="BA21" i="157"/>
  <c r="CX21" i="157" s="1"/>
  <c r="DC18" i="157"/>
  <c r="BG18" i="157"/>
  <c r="DC6" i="157"/>
  <c r="BG26" i="159"/>
  <c r="CX9" i="159"/>
  <c r="CV18" i="159"/>
  <c r="CV31" i="159"/>
  <c r="CH31" i="159"/>
  <c r="BV10" i="159"/>
  <c r="BG22" i="159"/>
  <c r="CH24" i="159"/>
  <c r="ED24" i="159"/>
  <c r="CP10" i="159"/>
  <c r="CV29" i="159"/>
  <c r="BT32" i="159"/>
  <c r="BU28" i="159"/>
  <c r="BU31" i="159"/>
  <c r="CO11" i="159"/>
  <c r="CW6" i="159"/>
  <c r="BG18" i="159"/>
  <c r="CJ8" i="159"/>
  <c r="ER14" i="159"/>
  <c r="CV14" i="159"/>
  <c r="BM23" i="159"/>
  <c r="BM32" i="159"/>
  <c r="EL24" i="159"/>
  <c r="CP24" i="159"/>
  <c r="BO29" i="159"/>
  <c r="CO31" i="159"/>
  <c r="CJ26" i="159"/>
  <c r="BU18" i="159"/>
  <c r="EK34" i="159"/>
  <c r="CO34" i="159"/>
  <c r="BM28" i="159"/>
  <c r="BM22" i="159"/>
  <c r="CO6" i="159"/>
  <c r="BN17" i="159"/>
  <c r="BT22" i="159"/>
  <c r="CV17" i="159"/>
  <c r="CV22" i="159"/>
  <c r="CI27" i="159"/>
  <c r="CP19" i="159"/>
  <c r="CQ28" i="159"/>
  <c r="CW13" i="159"/>
  <c r="BO13" i="159"/>
  <c r="BM31" i="159"/>
  <c r="CI33" i="159"/>
  <c r="BG9" i="159"/>
  <c r="DJ34" i="159"/>
  <c r="BN34" i="159"/>
  <c r="CI23" i="159"/>
  <c r="CH10" i="159"/>
  <c r="BU9" i="159"/>
  <c r="CO18" i="159"/>
  <c r="BV21" i="159"/>
  <c r="CO21" i="159"/>
  <c r="BG19" i="159"/>
  <c r="CO23" i="159"/>
  <c r="CX10" i="159"/>
  <c r="BN12" i="159"/>
  <c r="CI28" i="159"/>
  <c r="BT27" i="159"/>
  <c r="BM18" i="159"/>
  <c r="CH17" i="159"/>
  <c r="BU13" i="159"/>
  <c r="CW11" i="159"/>
  <c r="BV17" i="159"/>
  <c r="CV28" i="159"/>
  <c r="BT23" i="159"/>
  <c r="CP33" i="159"/>
  <c r="BT19" i="159"/>
  <c r="CH6" i="159"/>
  <c r="CH19" i="159"/>
  <c r="CH20" i="159"/>
  <c r="CI13" i="159"/>
  <c r="BG33" i="159"/>
  <c r="BV12" i="159"/>
  <c r="BU8" i="159"/>
  <c r="BM27" i="159"/>
  <c r="ED14" i="159"/>
  <c r="CH14" i="159"/>
  <c r="CW7" i="159"/>
  <c r="BO16" i="159"/>
  <c r="CV32" i="159"/>
  <c r="CP9" i="159"/>
  <c r="CI22" i="159"/>
  <c r="CH30" i="159"/>
  <c r="CH18" i="159"/>
  <c r="CH21" i="159"/>
  <c r="CW30" i="159"/>
  <c r="CO13" i="159"/>
  <c r="CP20" i="159"/>
  <c r="CV12" i="159"/>
  <c r="BN21" i="159"/>
  <c r="BM33" i="159"/>
  <c r="CO32" i="159"/>
  <c r="BT33" i="159"/>
  <c r="CH34" i="159"/>
  <c r="ED34" i="159"/>
  <c r="DI14" i="159"/>
  <c r="BM14" i="159"/>
  <c r="BM19" i="159"/>
  <c r="CH9" i="159"/>
  <c r="BV24" i="159"/>
  <c r="DS24" i="159" s="1"/>
  <c r="DR24" i="159"/>
  <c r="BO6" i="159"/>
  <c r="CP17" i="159"/>
  <c r="BN20" i="159"/>
  <c r="BM30" i="159"/>
  <c r="ER24" i="159"/>
  <c r="CV24" i="159"/>
  <c r="CV27" i="159"/>
  <c r="DQ14" i="159"/>
  <c r="BU14" i="159"/>
  <c r="DR34" i="159"/>
  <c r="BV34" i="159"/>
  <c r="DS34" i="159" s="1"/>
  <c r="BN10" i="159"/>
  <c r="BM8" i="159"/>
  <c r="CV21" i="159"/>
  <c r="BG28" i="159"/>
  <c r="BN11" i="159"/>
  <c r="CV8" i="159"/>
  <c r="CP12" i="159"/>
  <c r="BM7" i="159"/>
  <c r="EL14" i="159"/>
  <c r="CP14" i="159"/>
  <c r="CP30" i="159"/>
  <c r="BT30" i="159"/>
  <c r="ES34" i="159"/>
  <c r="CW34" i="159"/>
  <c r="CI29" i="159"/>
  <c r="BT29" i="159"/>
  <c r="CO29" i="159"/>
  <c r="CO7" i="159"/>
  <c r="CI32" i="159"/>
  <c r="CO27" i="159"/>
  <c r="DI24" i="159"/>
  <c r="BM24" i="159"/>
  <c r="CO22" i="159"/>
  <c r="CH12" i="159"/>
  <c r="CV33" i="159"/>
  <c r="CQ26" i="159"/>
  <c r="CO6" i="158"/>
  <c r="EK6" i="158"/>
  <c r="DJ6" i="158"/>
  <c r="DD8" i="158"/>
  <c r="BH8" i="158"/>
  <c r="DE8" i="158" s="1"/>
  <c r="DX6" i="158"/>
  <c r="CB6" i="158"/>
  <c r="EP10" i="158"/>
  <c r="CH6" i="158"/>
  <c r="ED6" i="158"/>
  <c r="BG6" i="158"/>
  <c r="DC6" i="158"/>
  <c r="DC17" i="157"/>
  <c r="BG17" i="157"/>
  <c r="BA24" i="157"/>
  <c r="CX24" i="157" s="1"/>
  <c r="CU24" i="157"/>
  <c r="BN23" i="157"/>
  <c r="DJ23" i="157"/>
  <c r="DJ14" i="157"/>
  <c r="BN14" i="157"/>
  <c r="DD15" i="157"/>
  <c r="BH15" i="157"/>
  <c r="DC23" i="157"/>
  <c r="BG23" i="157"/>
  <c r="BN24" i="157"/>
  <c r="DJ24" i="157"/>
  <c r="BA13" i="157"/>
  <c r="CX13" i="157" s="1"/>
  <c r="CU13" i="157"/>
  <c r="BA25" i="157"/>
  <c r="CX25" i="157" s="1"/>
  <c r="CU25" i="157"/>
  <c r="CK18" i="157"/>
  <c r="EH18" i="157" s="1"/>
  <c r="EG18" i="157"/>
  <c r="DY6" i="157"/>
  <c r="CC6" i="157"/>
  <c r="BH25" i="157"/>
  <c r="DD25" i="157"/>
  <c r="BH21" i="157"/>
  <c r="DD21" i="157"/>
  <c r="EQ16" i="157"/>
  <c r="BH22" i="157"/>
  <c r="DD22" i="157"/>
  <c r="BN13" i="157"/>
  <c r="DJ13" i="157"/>
  <c r="EL16" i="157"/>
  <c r="CP16" i="157"/>
  <c r="BO16" i="157"/>
  <c r="DK16" i="157"/>
  <c r="DJ25" i="157"/>
  <c r="BN25" i="157"/>
  <c r="CP14" i="157"/>
  <c r="EL14" i="157"/>
  <c r="CU18" i="157"/>
  <c r="BA18" i="157"/>
  <c r="CX18" i="157" s="1"/>
  <c r="EG6" i="157"/>
  <c r="EH6" i="157"/>
  <c r="BI20" i="157"/>
  <c r="DF20" i="157" s="1"/>
  <c r="DE20" i="157"/>
  <c r="CB20" i="157"/>
  <c r="DX20" i="157"/>
  <c r="DJ18" i="157"/>
  <c r="BN18" i="157"/>
  <c r="EL6" i="157"/>
  <c r="DY18" i="157"/>
  <c r="CC18" i="157"/>
  <c r="CU14" i="157"/>
  <c r="BA14" i="157"/>
  <c r="CX14" i="157" s="1"/>
  <c r="DJ6" i="157"/>
  <c r="BO22" i="157"/>
  <c r="DK22" i="157"/>
  <c r="DK17" i="157"/>
  <c r="BO17" i="157"/>
  <c r="EL18" i="157"/>
  <c r="CP18" i="157"/>
  <c r="EM15" i="157"/>
  <c r="CQ15" i="157"/>
  <c r="CJ25" i="157"/>
  <c r="EF25" i="157"/>
  <c r="BA23" i="157"/>
  <c r="CX23" i="157" s="1"/>
  <c r="CU23" i="157"/>
  <c r="CP23" i="157"/>
  <c r="EL23" i="157"/>
  <c r="DX25" i="157"/>
  <c r="CB25" i="157"/>
  <c r="DC16" i="157"/>
  <c r="BG16" i="157"/>
  <c r="CP17" i="157"/>
  <c r="EL17" i="157"/>
  <c r="CU6" i="157"/>
  <c r="CX6" i="157"/>
  <c r="BO15" i="157"/>
  <c r="DK15" i="157"/>
  <c r="FF14" i="159" l="1"/>
  <c r="EK24" i="157"/>
  <c r="CO24" i="157"/>
  <c r="DU16" i="157"/>
  <c r="BY16" i="157"/>
  <c r="DU24" i="157"/>
  <c r="BY24" i="157"/>
  <c r="BY23" i="157"/>
  <c r="DU23" i="157"/>
  <c r="BY9" i="157"/>
  <c r="DU9" i="157"/>
  <c r="DU17" i="157"/>
  <c r="BY17" i="157"/>
  <c r="EB23" i="157"/>
  <c r="CF23" i="157"/>
  <c r="EB17" i="157"/>
  <c r="CF17" i="157"/>
  <c r="CF9" i="157"/>
  <c r="EB9" i="157"/>
  <c r="EB24" i="157"/>
  <c r="CF24" i="157"/>
  <c r="CF16" i="157"/>
  <c r="EB16" i="157"/>
  <c r="CR25" i="157"/>
  <c r="EO25" i="157" s="1"/>
  <c r="EW25" i="157" s="1"/>
  <c r="DE24" i="157"/>
  <c r="ER24" i="157" s="1"/>
  <c r="EQ8" i="158"/>
  <c r="EY6" i="158"/>
  <c r="CW20" i="159"/>
  <c r="BU20" i="159"/>
  <c r="BV6" i="159"/>
  <c r="CP8" i="159"/>
  <c r="CW23" i="159"/>
  <c r="BU11" i="159"/>
  <c r="BU7" i="159"/>
  <c r="CW19" i="159"/>
  <c r="CI7" i="159"/>
  <c r="CJ11" i="159"/>
  <c r="BO9" i="159"/>
  <c r="CM10" i="148"/>
  <c r="EK10" i="157"/>
  <c r="EK22" i="157"/>
  <c r="CO22" i="157"/>
  <c r="BY22" i="157"/>
  <c r="DU22" i="157"/>
  <c r="DU15" i="157"/>
  <c r="BY15" i="157"/>
  <c r="DU21" i="157"/>
  <c r="BY21" i="157"/>
  <c r="DU10" i="157"/>
  <c r="BY14" i="157"/>
  <c r="DU14" i="157"/>
  <c r="EB22" i="157"/>
  <c r="CF22" i="157"/>
  <c r="EB14" i="157"/>
  <c r="CF14" i="157"/>
  <c r="EK21" i="157"/>
  <c r="CO21" i="157"/>
  <c r="CF15" i="157"/>
  <c r="EB15" i="157"/>
  <c r="EB21" i="157"/>
  <c r="CF21" i="157"/>
  <c r="EB10" i="157"/>
  <c r="EQ18" i="157"/>
  <c r="EQ15" i="157"/>
  <c r="EZ8" i="157" s="1"/>
  <c r="EQ23" i="157"/>
  <c r="EZ9" i="157" s="1"/>
  <c r="ER20" i="157"/>
  <c r="EQ13" i="157"/>
  <c r="EQ21" i="157"/>
  <c r="EV6" i="157"/>
  <c r="FE6" i="157" s="1"/>
  <c r="EQ6" i="157"/>
  <c r="DE14" i="157"/>
  <c r="BI14" i="157"/>
  <c r="DF14" i="157" s="1"/>
  <c r="EQ25" i="157"/>
  <c r="EQ24" i="157"/>
  <c r="EZ10" i="157" s="1"/>
  <c r="BH18" i="157"/>
  <c r="DD18" i="157"/>
  <c r="DD6" i="157"/>
  <c r="CW32" i="159"/>
  <c r="CP21" i="159"/>
  <c r="CJ32" i="159"/>
  <c r="CJ29" i="159"/>
  <c r="CW21" i="159"/>
  <c r="BV14" i="159"/>
  <c r="DS14" i="159" s="1"/>
  <c r="DR14" i="159"/>
  <c r="BN30" i="159"/>
  <c r="BN19" i="159"/>
  <c r="CP32" i="159"/>
  <c r="CP13" i="159"/>
  <c r="CI19" i="159"/>
  <c r="CJ33" i="159"/>
  <c r="CX13" i="159"/>
  <c r="CP31" i="159"/>
  <c r="BN32" i="159"/>
  <c r="CQ17" i="159"/>
  <c r="CI10" i="159"/>
  <c r="CW33" i="159"/>
  <c r="CP7" i="159"/>
  <c r="CI30" i="159"/>
  <c r="BN27" i="159"/>
  <c r="CQ33" i="159"/>
  <c r="CX11" i="159"/>
  <c r="CW22" i="159"/>
  <c r="BO17" i="159"/>
  <c r="EL34" i="159"/>
  <c r="CP34" i="159"/>
  <c r="CX6" i="159"/>
  <c r="BV28" i="159"/>
  <c r="CI18" i="159"/>
  <c r="BN8" i="159"/>
  <c r="BN14" i="159"/>
  <c r="DJ14" i="159"/>
  <c r="BN33" i="159"/>
  <c r="CP23" i="159"/>
  <c r="BN31" i="159"/>
  <c r="ES14" i="159"/>
  <c r="CW14" i="159"/>
  <c r="CQ10" i="159"/>
  <c r="CP22" i="159"/>
  <c r="BU19" i="159"/>
  <c r="CJ27" i="159"/>
  <c r="BN28" i="159"/>
  <c r="BV31" i="159"/>
  <c r="CW29" i="159"/>
  <c r="CW18" i="159"/>
  <c r="BN24" i="159"/>
  <c r="DJ24" i="159"/>
  <c r="CP29" i="159"/>
  <c r="CX34" i="159"/>
  <c r="EU34" i="159" s="1"/>
  <c r="ET34" i="159"/>
  <c r="EM14" i="159"/>
  <c r="CQ14" i="159"/>
  <c r="EN14" i="159" s="1"/>
  <c r="CW8" i="159"/>
  <c r="CW27" i="159"/>
  <c r="CX30" i="159"/>
  <c r="CJ22" i="159"/>
  <c r="CX7" i="159"/>
  <c r="BU23" i="159"/>
  <c r="BV13" i="159"/>
  <c r="BU27" i="159"/>
  <c r="CP18" i="159"/>
  <c r="CJ23" i="159"/>
  <c r="CW17" i="159"/>
  <c r="CP6" i="159"/>
  <c r="CI31" i="159"/>
  <c r="CQ30" i="159"/>
  <c r="BN18" i="159"/>
  <c r="BO11" i="159"/>
  <c r="BO20" i="159"/>
  <c r="EY24" i="159"/>
  <c r="BO21" i="159"/>
  <c r="CQ20" i="159"/>
  <c r="CJ28" i="159"/>
  <c r="DK34" i="159"/>
  <c r="BO34" i="159"/>
  <c r="DL34" i="159" s="1"/>
  <c r="CQ19" i="159"/>
  <c r="BN23" i="159"/>
  <c r="CP27" i="159"/>
  <c r="BU30" i="159"/>
  <c r="BN7" i="159"/>
  <c r="BO10" i="159"/>
  <c r="ES24" i="159"/>
  <c r="CW24" i="159"/>
  <c r="EE34" i="159"/>
  <c r="CI34" i="159"/>
  <c r="CI21" i="159"/>
  <c r="CQ9" i="159"/>
  <c r="EE14" i="159"/>
  <c r="CI14" i="159"/>
  <c r="BV8" i="159"/>
  <c r="CJ13" i="159"/>
  <c r="CI6" i="159"/>
  <c r="CI17" i="159"/>
  <c r="BV9" i="159"/>
  <c r="BU22" i="159"/>
  <c r="BN22" i="159"/>
  <c r="BV18" i="159"/>
  <c r="CP11" i="159"/>
  <c r="CW31" i="159"/>
  <c r="CQ12" i="159"/>
  <c r="BO12" i="159"/>
  <c r="CI12" i="159"/>
  <c r="BU29" i="159"/>
  <c r="EY34" i="159"/>
  <c r="CI9" i="159"/>
  <c r="BU33" i="159"/>
  <c r="CW12" i="159"/>
  <c r="CI20" i="159"/>
  <c r="CW28" i="159"/>
  <c r="EM24" i="159"/>
  <c r="CQ24" i="159"/>
  <c r="EN24" i="159" s="1"/>
  <c r="BU32" i="159"/>
  <c r="EE24" i="159"/>
  <c r="CI24" i="159"/>
  <c r="CP6" i="158"/>
  <c r="EL6" i="158"/>
  <c r="DY6" i="158"/>
  <c r="CC6" i="158"/>
  <c r="DZ6" i="158" s="1"/>
  <c r="BH6" i="158"/>
  <c r="DE6" i="158" s="1"/>
  <c r="DD6" i="158"/>
  <c r="EE6" i="158"/>
  <c r="CI6" i="158"/>
  <c r="DK6" i="158"/>
  <c r="DL6" i="158"/>
  <c r="DY25" i="157"/>
  <c r="CC25" i="157"/>
  <c r="CR15" i="157"/>
  <c r="EO15" i="157" s="1"/>
  <c r="EN15" i="157"/>
  <c r="BP22" i="157"/>
  <c r="DM22" i="157" s="1"/>
  <c r="DL22" i="157"/>
  <c r="EQ14" i="157"/>
  <c r="DZ18" i="157"/>
  <c r="CD18" i="157"/>
  <c r="EA18" i="157" s="1"/>
  <c r="CC20" i="157"/>
  <c r="DY20" i="157"/>
  <c r="EM14" i="157"/>
  <c r="CQ14" i="157"/>
  <c r="CQ16" i="157"/>
  <c r="EM16" i="157"/>
  <c r="EM6" i="157"/>
  <c r="BO13" i="157"/>
  <c r="DK13" i="157"/>
  <c r="BP15" i="157"/>
  <c r="DM15" i="157" s="1"/>
  <c r="DL15" i="157"/>
  <c r="EM17" i="157"/>
  <c r="CQ17" i="157"/>
  <c r="EG25" i="157"/>
  <c r="CK25" i="157"/>
  <c r="EH25" i="157" s="1"/>
  <c r="DK14" i="157"/>
  <c r="BO14" i="157"/>
  <c r="DD16" i="157"/>
  <c r="BH16" i="157"/>
  <c r="BO25" i="157"/>
  <c r="DK25" i="157"/>
  <c r="DE21" i="157"/>
  <c r="BI21" i="157"/>
  <c r="DF21" i="157" s="1"/>
  <c r="DE22" i="157"/>
  <c r="BI22" i="157"/>
  <c r="DF22" i="157" s="1"/>
  <c r="DK23" i="157"/>
  <c r="BO23" i="157"/>
  <c r="DD17" i="157"/>
  <c r="BH17" i="157"/>
  <c r="EM23" i="157"/>
  <c r="CQ23" i="157"/>
  <c r="DL17" i="157"/>
  <c r="BP17" i="157"/>
  <c r="DM17" i="157" s="1"/>
  <c r="EV18" i="157"/>
  <c r="DK24" i="157"/>
  <c r="BO24" i="157"/>
  <c r="DE15" i="157"/>
  <c r="BI15" i="157"/>
  <c r="DF15" i="157" s="1"/>
  <c r="BP16" i="157"/>
  <c r="DM16" i="157" s="1"/>
  <c r="DL16" i="157"/>
  <c r="DK18" i="157"/>
  <c r="BO18" i="157"/>
  <c r="DE25" i="157"/>
  <c r="BI25" i="157"/>
  <c r="DF25" i="157" s="1"/>
  <c r="DZ6" i="157"/>
  <c r="CD6" i="157"/>
  <c r="EA6" i="157" s="1"/>
  <c r="DD23" i="157"/>
  <c r="BH23" i="157"/>
  <c r="EM18" i="157"/>
  <c r="CQ18" i="157"/>
  <c r="DK6" i="157"/>
  <c r="BZ23" i="157" l="1"/>
  <c r="DV23" i="157"/>
  <c r="EC23" i="157"/>
  <c r="CG23" i="157"/>
  <c r="DV24" i="157"/>
  <c r="BZ24" i="157"/>
  <c r="EC17" i="157"/>
  <c r="CG17" i="157"/>
  <c r="EC16" i="157"/>
  <c r="CG16" i="157"/>
  <c r="EC24" i="157"/>
  <c r="CG24" i="157"/>
  <c r="DV17" i="157"/>
  <c r="BZ17" i="157"/>
  <c r="DV16" i="157"/>
  <c r="BZ16" i="157"/>
  <c r="EZ6" i="157"/>
  <c r="EL24" i="157"/>
  <c r="CP24" i="157"/>
  <c r="CG9" i="157"/>
  <c r="EC9" i="157"/>
  <c r="BZ9" i="157"/>
  <c r="DV9" i="157"/>
  <c r="EZ7" i="157"/>
  <c r="EZ11" i="157"/>
  <c r="EX34" i="159"/>
  <c r="FB14" i="159"/>
  <c r="EY14" i="159"/>
  <c r="FH14" i="159" s="1"/>
  <c r="ER6" i="158"/>
  <c r="EQ6" i="158"/>
  <c r="FB24" i="159"/>
  <c r="BV11" i="159"/>
  <c r="CX20" i="159"/>
  <c r="CX23" i="159"/>
  <c r="CQ8" i="159"/>
  <c r="CX19" i="159"/>
  <c r="BV20" i="159"/>
  <c r="CJ7" i="159"/>
  <c r="BV7" i="159"/>
  <c r="CN10" i="148"/>
  <c r="EL21" i="157"/>
  <c r="CP21" i="157"/>
  <c r="DV15" i="157"/>
  <c r="BZ15" i="157"/>
  <c r="EC14" i="157"/>
  <c r="CG14" i="157"/>
  <c r="EC10" i="157"/>
  <c r="DV14" i="157"/>
  <c r="BZ14" i="157"/>
  <c r="DV22" i="157"/>
  <c r="BZ22" i="157"/>
  <c r="EC21" i="157"/>
  <c r="CG21" i="157"/>
  <c r="EC22" i="157"/>
  <c r="CG22" i="157"/>
  <c r="EL22" i="157"/>
  <c r="CP22" i="157"/>
  <c r="DV10" i="157"/>
  <c r="DV21" i="157"/>
  <c r="BZ21" i="157"/>
  <c r="EL10" i="157"/>
  <c r="EC15" i="157"/>
  <c r="CG15" i="157"/>
  <c r="EU18" i="157"/>
  <c r="ER25" i="157"/>
  <c r="ES22" i="157"/>
  <c r="EW15" i="157"/>
  <c r="EV25" i="157"/>
  <c r="FE11" i="157" s="1"/>
  <c r="ER15" i="157"/>
  <c r="BI18" i="157"/>
  <c r="DF18" i="157" s="1"/>
  <c r="DE18" i="157"/>
  <c r="ES16" i="157"/>
  <c r="EU6" i="157"/>
  <c r="ER14" i="157"/>
  <c r="DF6" i="157"/>
  <c r="DE6" i="157"/>
  <c r="CQ18" i="159"/>
  <c r="DK14" i="159"/>
  <c r="BO14" i="159"/>
  <c r="DL14" i="159" s="1"/>
  <c r="EF34" i="159"/>
  <c r="CJ34" i="159"/>
  <c r="EG34" i="159" s="1"/>
  <c r="BO18" i="159"/>
  <c r="CQ6" i="159"/>
  <c r="CX27" i="159"/>
  <c r="CQ29" i="159"/>
  <c r="BO27" i="159"/>
  <c r="CJ10" i="159"/>
  <c r="BO32" i="159"/>
  <c r="CQ21" i="159"/>
  <c r="CJ20" i="159"/>
  <c r="CX29" i="159"/>
  <c r="BV19" i="159"/>
  <c r="CQ23" i="159"/>
  <c r="CX33" i="159"/>
  <c r="CX21" i="159"/>
  <c r="CX12" i="159"/>
  <c r="CJ17" i="159"/>
  <c r="EF14" i="159"/>
  <c r="CJ14" i="159"/>
  <c r="EG14" i="159" s="1"/>
  <c r="BV27" i="159"/>
  <c r="CQ22" i="159"/>
  <c r="CX22" i="159"/>
  <c r="FC34" i="159"/>
  <c r="CQ32" i="159"/>
  <c r="BV29" i="159"/>
  <c r="BO22" i="159"/>
  <c r="CX24" i="159"/>
  <c r="EU24" i="159" s="1"/>
  <c r="ET24" i="159"/>
  <c r="BV30" i="159"/>
  <c r="CX8" i="159"/>
  <c r="BO28" i="159"/>
  <c r="BO8" i="159"/>
  <c r="CJ30" i="159"/>
  <c r="CQ7" i="159"/>
  <c r="CQ31" i="159"/>
  <c r="BO19" i="159"/>
  <c r="CX32" i="159"/>
  <c r="BO23" i="159"/>
  <c r="BO7" i="159"/>
  <c r="EF24" i="159"/>
  <c r="CJ24" i="159"/>
  <c r="EG24" i="159" s="1"/>
  <c r="BV33" i="159"/>
  <c r="CX31" i="159"/>
  <c r="CJ6" i="159"/>
  <c r="CQ27" i="159"/>
  <c r="CX17" i="159"/>
  <c r="DK24" i="159"/>
  <c r="BO24" i="159"/>
  <c r="DL24" i="159" s="1"/>
  <c r="BO31" i="159"/>
  <c r="CQ13" i="159"/>
  <c r="BO30" i="159"/>
  <c r="CJ12" i="159"/>
  <c r="CQ11" i="159"/>
  <c r="BV22" i="159"/>
  <c r="CJ31" i="159"/>
  <c r="CX18" i="159"/>
  <c r="CJ19" i="159"/>
  <c r="BV32" i="159"/>
  <c r="CX28" i="159"/>
  <c r="CJ9" i="159"/>
  <c r="CJ21" i="159"/>
  <c r="BV23" i="159"/>
  <c r="ET14" i="159"/>
  <c r="CX14" i="159"/>
  <c r="EU14" i="159" s="1"/>
  <c r="BO33" i="159"/>
  <c r="CJ18" i="159"/>
  <c r="EM34" i="159"/>
  <c r="CQ34" i="159"/>
  <c r="EN34" i="159" s="1"/>
  <c r="EF6" i="158"/>
  <c r="CJ6" i="158"/>
  <c r="EG6" i="158" s="1"/>
  <c r="EM6" i="158"/>
  <c r="CQ6" i="158"/>
  <c r="EN6" i="158" s="1"/>
  <c r="DE16" i="157"/>
  <c r="BI16" i="157"/>
  <c r="DF16" i="157" s="1"/>
  <c r="DM6" i="157"/>
  <c r="DL6" i="157"/>
  <c r="EN6" i="157"/>
  <c r="EO6" i="157"/>
  <c r="ES15" i="157"/>
  <c r="BI23" i="157"/>
  <c r="DF23" i="157" s="1"/>
  <c r="DE23" i="157"/>
  <c r="ES17" i="157"/>
  <c r="BI17" i="157"/>
  <c r="DF17" i="157" s="1"/>
  <c r="DE17" i="157"/>
  <c r="ER22" i="157"/>
  <c r="ER21" i="157"/>
  <c r="BP13" i="157"/>
  <c r="DM13" i="157" s="1"/>
  <c r="DL13" i="157"/>
  <c r="CD20" i="157"/>
  <c r="EA20" i="157" s="1"/>
  <c r="DZ20" i="157"/>
  <c r="EN16" i="157"/>
  <c r="CR16" i="157"/>
  <c r="EO16" i="157" s="1"/>
  <c r="EN18" i="157"/>
  <c r="CR18" i="157"/>
  <c r="EO18" i="157" s="1"/>
  <c r="BP18" i="157"/>
  <c r="DM18" i="157" s="1"/>
  <c r="DL18" i="157"/>
  <c r="DL24" i="157"/>
  <c r="BP24" i="157"/>
  <c r="DM24" i="157" s="1"/>
  <c r="BP25" i="157"/>
  <c r="DM25" i="157" s="1"/>
  <c r="DL25" i="157"/>
  <c r="BP14" i="157"/>
  <c r="DM14" i="157" s="1"/>
  <c r="DL14" i="157"/>
  <c r="EN17" i="157"/>
  <c r="CR17" i="157"/>
  <c r="EO17" i="157" s="1"/>
  <c r="EN14" i="157"/>
  <c r="CR14" i="157"/>
  <c r="EO14" i="157" s="1"/>
  <c r="EN23" i="157"/>
  <c r="CR23" i="157"/>
  <c r="EO23" i="157" s="1"/>
  <c r="DL23" i="157"/>
  <c r="BP23" i="157"/>
  <c r="DM23" i="157" s="1"/>
  <c r="DZ25" i="157"/>
  <c r="CD25" i="157"/>
  <c r="EA25" i="157" s="1"/>
  <c r="CA9" i="157" l="1"/>
  <c r="DW9" i="157"/>
  <c r="DW17" i="157"/>
  <c r="CA17" i="157"/>
  <c r="DW24" i="157"/>
  <c r="CA24" i="157"/>
  <c r="CH9" i="157"/>
  <c r="ED9" i="157"/>
  <c r="ED24" i="157"/>
  <c r="CH24" i="157"/>
  <c r="ED23" i="157"/>
  <c r="CH23" i="157"/>
  <c r="DW16" i="157"/>
  <c r="CA16" i="157"/>
  <c r="CQ24" i="157"/>
  <c r="EM24" i="157"/>
  <c r="ED17" i="157"/>
  <c r="CH17" i="157"/>
  <c r="CH16" i="157"/>
  <c r="ED16" i="157"/>
  <c r="DW23" i="157"/>
  <c r="CA23" i="157"/>
  <c r="FD6" i="157"/>
  <c r="FB8" i="157"/>
  <c r="FA7" i="157"/>
  <c r="FA8" i="157"/>
  <c r="FC6" i="158"/>
  <c r="EZ6" i="158"/>
  <c r="FC14" i="159"/>
  <c r="FA6" i="158"/>
  <c r="FA24" i="159"/>
  <c r="FB34" i="159"/>
  <c r="FK14" i="159" s="1"/>
  <c r="FC24" i="159"/>
  <c r="EX14" i="159"/>
  <c r="EX24" i="159"/>
  <c r="FA34" i="159"/>
  <c r="CO10" i="148"/>
  <c r="ED15" i="157"/>
  <c r="CH15" i="157"/>
  <c r="CQ22" i="157"/>
  <c r="EM22" i="157"/>
  <c r="DW14" i="157"/>
  <c r="CA14" i="157"/>
  <c r="EM10" i="157"/>
  <c r="ED22" i="157"/>
  <c r="CH22" i="157"/>
  <c r="DW15" i="157"/>
  <c r="CA15" i="157"/>
  <c r="CA21" i="157"/>
  <c r="DW21" i="157"/>
  <c r="ED10" i="157"/>
  <c r="ED21" i="157"/>
  <c r="CH21" i="157"/>
  <c r="CH14" i="157"/>
  <c r="ED14" i="157"/>
  <c r="EM21" i="157"/>
  <c r="CQ21" i="157"/>
  <c r="DW10" i="157"/>
  <c r="DW22" i="157"/>
  <c r="CA22" i="157"/>
  <c r="ES24" i="157"/>
  <c r="FB10" i="157" s="1"/>
  <c r="EW18" i="157"/>
  <c r="FF11" i="157" s="1"/>
  <c r="ES25" i="157"/>
  <c r="ES18" i="157"/>
  <c r="EW23" i="157"/>
  <c r="ER23" i="157"/>
  <c r="ER16" i="157"/>
  <c r="ER18" i="157"/>
  <c r="FA11" i="157" s="1"/>
  <c r="EU20" i="157"/>
  <c r="ES13" i="157"/>
  <c r="FB6" i="157"/>
  <c r="EW6" i="157"/>
  <c r="FF6" i="157" s="1"/>
  <c r="EU25" i="157"/>
  <c r="FD11" i="157" s="1"/>
  <c r="EW14" i="157"/>
  <c r="ER6" i="157"/>
  <c r="FA6" i="157" s="1"/>
  <c r="FA14" i="159"/>
  <c r="EV6" i="158"/>
  <c r="ER17" i="157"/>
  <c r="FA10" i="157" s="1"/>
  <c r="EW17" i="157"/>
  <c r="EW16" i="157"/>
  <c r="ES23" i="157"/>
  <c r="FB9" i="157" s="1"/>
  <c r="ES14" i="157"/>
  <c r="FB7" i="157" s="1"/>
  <c r="FJ14" i="159" l="1"/>
  <c r="FG14" i="159"/>
  <c r="FL14" i="159"/>
  <c r="CR24" i="157"/>
  <c r="EO24" i="157" s="1"/>
  <c r="EN24" i="157"/>
  <c r="EW24" i="157" s="1"/>
  <c r="CI9" i="157"/>
  <c r="EE9" i="157"/>
  <c r="DX23" i="157"/>
  <c r="CB23" i="157"/>
  <c r="DX16" i="157"/>
  <c r="CB16" i="157"/>
  <c r="DX24" i="157"/>
  <c r="CB24" i="157"/>
  <c r="EE23" i="157"/>
  <c r="CI23" i="157"/>
  <c r="CB17" i="157"/>
  <c r="DX17" i="157"/>
  <c r="EE16" i="157"/>
  <c r="CI16" i="157"/>
  <c r="EE17" i="157"/>
  <c r="CI17" i="157"/>
  <c r="EE24" i="157"/>
  <c r="CI24" i="157"/>
  <c r="CB9" i="157"/>
  <c r="DX9" i="157"/>
  <c r="FB11" i="157"/>
  <c r="FA9" i="157"/>
  <c r="FF9" i="157"/>
  <c r="FE6" i="158"/>
  <c r="FD6" i="158"/>
  <c r="CP10" i="148"/>
  <c r="EE10" i="157"/>
  <c r="EN21" i="157"/>
  <c r="CR21" i="157"/>
  <c r="EO21" i="157" s="1"/>
  <c r="EN22" i="157"/>
  <c r="CR22" i="157"/>
  <c r="EO22" i="157" s="1"/>
  <c r="DX21" i="157"/>
  <c r="CB21" i="157"/>
  <c r="EO10" i="157"/>
  <c r="EN10" i="157"/>
  <c r="EE15" i="157"/>
  <c r="CI15" i="157"/>
  <c r="CB22" i="157"/>
  <c r="DX22" i="157"/>
  <c r="DX15" i="157"/>
  <c r="CB15" i="157"/>
  <c r="DX14" i="157"/>
  <c r="CB14" i="157"/>
  <c r="EE14" i="157"/>
  <c r="CI14" i="157"/>
  <c r="DX10" i="157"/>
  <c r="EE21" i="157"/>
  <c r="CI21" i="157"/>
  <c r="CI22" i="157"/>
  <c r="EE22" i="157"/>
  <c r="Q18" i="145"/>
  <c r="Q13" i="145"/>
  <c r="Q8" i="145" s="1"/>
  <c r="V51" i="145"/>
  <c r="V50" i="145"/>
  <c r="W22" i="145"/>
  <c r="W18" i="145" s="1"/>
  <c r="J60" i="145"/>
  <c r="C44" i="145"/>
  <c r="G8" i="145" s="1"/>
  <c r="DY23" i="157" l="1"/>
  <c r="CC23" i="157"/>
  <c r="CJ9" i="157"/>
  <c r="EF9" i="157"/>
  <c r="EF23" i="157"/>
  <c r="CJ23" i="157"/>
  <c r="EF17" i="157"/>
  <c r="CJ17" i="157"/>
  <c r="DY24" i="157"/>
  <c r="CC24" i="157"/>
  <c r="EF16" i="157"/>
  <c r="CJ16" i="157"/>
  <c r="CC9" i="157"/>
  <c r="DY9" i="157"/>
  <c r="CJ24" i="157"/>
  <c r="EF24" i="157"/>
  <c r="DY17" i="157"/>
  <c r="CC17" i="157"/>
  <c r="DY16" i="157"/>
  <c r="CC16" i="157"/>
  <c r="J61" i="145"/>
  <c r="J63" i="145"/>
  <c r="EW10" i="157"/>
  <c r="FF10" i="157" s="1"/>
  <c r="G13" i="145"/>
  <c r="G18" i="145"/>
  <c r="V52" i="145"/>
  <c r="G14" i="145"/>
  <c r="G19" i="145"/>
  <c r="CQ10" i="148"/>
  <c r="EW22" i="157"/>
  <c r="FF8" i="157" s="1"/>
  <c r="DY10" i="157"/>
  <c r="EF10" i="157"/>
  <c r="DY22" i="157"/>
  <c r="CC22" i="157"/>
  <c r="EF14" i="157"/>
  <c r="CJ14" i="157"/>
  <c r="CJ15" i="157"/>
  <c r="EF15" i="157"/>
  <c r="EW21" i="157"/>
  <c r="FF7" i="157" s="1"/>
  <c r="EF22" i="157"/>
  <c r="CJ22" i="157"/>
  <c r="DY14" i="157"/>
  <c r="CC14" i="157"/>
  <c r="EF21" i="157"/>
  <c r="CJ21" i="157"/>
  <c r="DY15" i="157"/>
  <c r="CC15" i="157"/>
  <c r="CC21" i="157"/>
  <c r="DY21" i="157"/>
  <c r="W17" i="145"/>
  <c r="W12" i="145"/>
  <c r="X8" i="145"/>
  <c r="W13" i="145"/>
  <c r="J62" i="145"/>
  <c r="CD17" i="157" l="1"/>
  <c r="EA17" i="157" s="1"/>
  <c r="DZ17" i="157"/>
  <c r="EG16" i="157"/>
  <c r="EV16" i="157" s="1"/>
  <c r="CK16" i="157"/>
  <c r="EH16" i="157" s="1"/>
  <c r="CK9" i="157"/>
  <c r="EH9" i="157" s="1"/>
  <c r="EV9" i="157" s="1"/>
  <c r="EG9" i="157"/>
  <c r="DZ24" i="157"/>
  <c r="CD24" i="157"/>
  <c r="EA24" i="157" s="1"/>
  <c r="CK24" i="157"/>
  <c r="EH24" i="157" s="1"/>
  <c r="EG24" i="157"/>
  <c r="EV24" i="157" s="1"/>
  <c r="EU24" i="157"/>
  <c r="DZ23" i="157"/>
  <c r="EU23" i="157" s="1"/>
  <c r="CD23" i="157"/>
  <c r="EA23" i="157" s="1"/>
  <c r="CD9" i="157"/>
  <c r="EA9" i="157" s="1"/>
  <c r="DZ9" i="157"/>
  <c r="EG17" i="157"/>
  <c r="CK17" i="157"/>
  <c r="EH17" i="157" s="1"/>
  <c r="EU17" i="157"/>
  <c r="DZ16" i="157"/>
  <c r="EU16" i="157" s="1"/>
  <c r="CD16" i="157"/>
  <c r="EA16" i="157" s="1"/>
  <c r="EG23" i="157"/>
  <c r="EV23" i="157" s="1"/>
  <c r="FE9" i="157" s="1"/>
  <c r="CK23" i="157"/>
  <c r="EH23" i="157" s="1"/>
  <c r="W14" i="145"/>
  <c r="W19" i="145"/>
  <c r="X9" i="145"/>
  <c r="EG21" i="157"/>
  <c r="CK21" i="157"/>
  <c r="EH21" i="157" s="1"/>
  <c r="EG14" i="157"/>
  <c r="CK14" i="157"/>
  <c r="EH14" i="157" s="1"/>
  <c r="EG10" i="157"/>
  <c r="EH10" i="157"/>
  <c r="CD14" i="157"/>
  <c r="EA14" i="157" s="1"/>
  <c r="DZ14" i="157"/>
  <c r="CD21" i="157"/>
  <c r="EA21" i="157" s="1"/>
  <c r="DZ21" i="157"/>
  <c r="DZ15" i="157"/>
  <c r="CD15" i="157"/>
  <c r="EA15" i="157" s="1"/>
  <c r="EG22" i="157"/>
  <c r="CK22" i="157"/>
  <c r="EH22" i="157" s="1"/>
  <c r="EA10" i="157"/>
  <c r="DZ10" i="157"/>
  <c r="CK15" i="157"/>
  <c r="EH15" i="157" s="1"/>
  <c r="EG15" i="157"/>
  <c r="DZ22" i="157"/>
  <c r="CD22" i="157"/>
  <c r="EA22" i="157" s="1"/>
  <c r="X18" i="145"/>
  <c r="Y8" i="145"/>
  <c r="X13" i="145"/>
  <c r="Y7" i="145"/>
  <c r="X12" i="145"/>
  <c r="X17" i="145"/>
  <c r="EV17" i="157" l="1"/>
  <c r="EU9" i="157"/>
  <c r="FD9" i="157" s="1"/>
  <c r="EV10" i="157"/>
  <c r="FE10" i="157" s="1"/>
  <c r="EU10" i="157"/>
  <c r="FD10" i="157" s="1"/>
  <c r="X19" i="145"/>
  <c r="X14" i="145"/>
  <c r="EU14" i="157"/>
  <c r="EU15" i="157"/>
  <c r="EV21" i="157"/>
  <c r="EV15" i="157"/>
  <c r="EV22" i="157"/>
  <c r="EU21" i="157"/>
  <c r="EV14" i="157"/>
  <c r="EU22" i="157"/>
  <c r="Y19" i="145"/>
  <c r="Y14" i="145"/>
  <c r="Z8" i="145"/>
  <c r="Y18" i="145"/>
  <c r="Y13" i="145"/>
  <c r="Z7" i="145"/>
  <c r="Y12" i="145"/>
  <c r="Y17" i="145"/>
  <c r="FD8" i="157" l="1"/>
  <c r="FD7" i="157"/>
  <c r="FE7" i="157"/>
  <c r="FE8" i="157"/>
  <c r="AA8" i="145"/>
  <c r="Z13" i="145"/>
  <c r="Z18" i="145"/>
  <c r="Z19" i="145"/>
  <c r="Z14" i="145"/>
  <c r="Z17" i="145"/>
  <c r="Z12" i="145"/>
  <c r="EO6" i="145"/>
  <c r="CK19" i="145"/>
  <c r="CL19" i="145" s="1"/>
  <c r="CM19" i="145" s="1"/>
  <c r="CN19" i="145" s="1"/>
  <c r="CO19" i="145" s="1"/>
  <c r="CP19" i="145" s="1"/>
  <c r="CQ19" i="145" s="1"/>
  <c r="CK18" i="145"/>
  <c r="CL18" i="145" s="1"/>
  <c r="CM18" i="145" s="1"/>
  <c r="CN18" i="145" s="1"/>
  <c r="CO18" i="145" s="1"/>
  <c r="CP18" i="145" s="1"/>
  <c r="CQ18" i="145" s="1"/>
  <c r="CK16" i="145"/>
  <c r="CL16" i="145" s="1"/>
  <c r="CM16" i="145" s="1"/>
  <c r="CN16" i="145" s="1"/>
  <c r="CO16" i="145" s="1"/>
  <c r="CP16" i="145" s="1"/>
  <c r="CQ16" i="145" s="1"/>
  <c r="CK14" i="145"/>
  <c r="CL14" i="145" s="1"/>
  <c r="CM14" i="145" s="1"/>
  <c r="CN14" i="145" s="1"/>
  <c r="CO14" i="145" s="1"/>
  <c r="CP14" i="145" s="1"/>
  <c r="CQ14" i="145" s="1"/>
  <c r="CK13" i="145"/>
  <c r="CL13" i="145" s="1"/>
  <c r="CM13" i="145" s="1"/>
  <c r="CN13" i="145" s="1"/>
  <c r="CO13" i="145" s="1"/>
  <c r="CP13" i="145" s="1"/>
  <c r="CQ13" i="145" s="1"/>
  <c r="CK11" i="145"/>
  <c r="CL11" i="145" s="1"/>
  <c r="CM11" i="145" s="1"/>
  <c r="CN11" i="145" s="1"/>
  <c r="CO11" i="145" s="1"/>
  <c r="CP11" i="145" s="1"/>
  <c r="CQ11" i="145" s="1"/>
  <c r="CK8" i="145"/>
  <c r="CL8" i="145" s="1"/>
  <c r="CM8" i="145" s="1"/>
  <c r="CN8" i="145" s="1"/>
  <c r="CO8" i="145" s="1"/>
  <c r="CP8" i="145" s="1"/>
  <c r="CQ8" i="145" s="1"/>
  <c r="CK9" i="145"/>
  <c r="CL9" i="145" s="1"/>
  <c r="CM9" i="145" s="1"/>
  <c r="CN9" i="145" s="1"/>
  <c r="CO9" i="145" s="1"/>
  <c r="CP9" i="145" s="1"/>
  <c r="CQ9" i="145" s="1"/>
  <c r="CK6" i="145"/>
  <c r="EH6" i="145" s="1"/>
  <c r="CD19" i="145"/>
  <c r="CE19" i="145" s="1"/>
  <c r="CF19" i="145" s="1"/>
  <c r="CG19" i="145" s="1"/>
  <c r="CH19" i="145" s="1"/>
  <c r="CI19" i="145" s="1"/>
  <c r="CJ19" i="145" s="1"/>
  <c r="CD18" i="145"/>
  <c r="CE18" i="145" s="1"/>
  <c r="CF18" i="145" s="1"/>
  <c r="CG18" i="145" s="1"/>
  <c r="CH18" i="145" s="1"/>
  <c r="CI18" i="145" s="1"/>
  <c r="CJ18" i="145" s="1"/>
  <c r="CD17" i="145"/>
  <c r="CE17" i="145" s="1"/>
  <c r="CF17" i="145" s="1"/>
  <c r="CG17" i="145" s="1"/>
  <c r="CH17" i="145" s="1"/>
  <c r="CI17" i="145" s="1"/>
  <c r="CJ17" i="145" s="1"/>
  <c r="CD16" i="145"/>
  <c r="CE16" i="145" s="1"/>
  <c r="CF16" i="145" s="1"/>
  <c r="CG16" i="145" s="1"/>
  <c r="CH16" i="145" s="1"/>
  <c r="CI16" i="145" s="1"/>
  <c r="CJ16" i="145" s="1"/>
  <c r="CD14" i="145"/>
  <c r="CE14" i="145" s="1"/>
  <c r="CF14" i="145" s="1"/>
  <c r="CG14" i="145" s="1"/>
  <c r="CH14" i="145" s="1"/>
  <c r="CI14" i="145" s="1"/>
  <c r="CJ14" i="145" s="1"/>
  <c r="CD13" i="145"/>
  <c r="CE13" i="145" s="1"/>
  <c r="CF13" i="145" s="1"/>
  <c r="CG13" i="145" s="1"/>
  <c r="CH13" i="145" s="1"/>
  <c r="CI13" i="145" s="1"/>
  <c r="CJ13" i="145" s="1"/>
  <c r="CD12" i="145"/>
  <c r="CE12" i="145" s="1"/>
  <c r="CF12" i="145" s="1"/>
  <c r="CG12" i="145" s="1"/>
  <c r="CH12" i="145" s="1"/>
  <c r="CI12" i="145" s="1"/>
  <c r="CJ12" i="145" s="1"/>
  <c r="CD11" i="145"/>
  <c r="CE11" i="145" s="1"/>
  <c r="CF11" i="145" s="1"/>
  <c r="CG11" i="145" s="1"/>
  <c r="CH11" i="145" s="1"/>
  <c r="CI11" i="145" s="1"/>
  <c r="CJ11" i="145" s="1"/>
  <c r="CD7" i="145"/>
  <c r="CE7" i="145" s="1"/>
  <c r="CF7" i="145" s="1"/>
  <c r="CG7" i="145" s="1"/>
  <c r="CH7" i="145" s="1"/>
  <c r="CI7" i="145" s="1"/>
  <c r="CJ7" i="145" s="1"/>
  <c r="CD8" i="145"/>
  <c r="CE8" i="145" s="1"/>
  <c r="CF8" i="145" s="1"/>
  <c r="CG8" i="145" s="1"/>
  <c r="CH8" i="145" s="1"/>
  <c r="CI8" i="145" s="1"/>
  <c r="CJ8" i="145" s="1"/>
  <c r="CD9" i="145"/>
  <c r="CE9" i="145" s="1"/>
  <c r="CF9" i="145" s="1"/>
  <c r="CG9" i="145" s="1"/>
  <c r="CH9" i="145" s="1"/>
  <c r="CI9" i="145" s="1"/>
  <c r="CJ9" i="145" s="1"/>
  <c r="CD6" i="145"/>
  <c r="BW19" i="145"/>
  <c r="BX19" i="145" s="1"/>
  <c r="BY19" i="145" s="1"/>
  <c r="BZ19" i="145" s="1"/>
  <c r="CA19" i="145" s="1"/>
  <c r="CB19" i="145" s="1"/>
  <c r="CC19" i="145" s="1"/>
  <c r="BW18" i="145"/>
  <c r="BX18" i="145" s="1"/>
  <c r="BY18" i="145" s="1"/>
  <c r="BZ18" i="145" s="1"/>
  <c r="CA18" i="145" s="1"/>
  <c r="CB18" i="145" s="1"/>
  <c r="CC18" i="145" s="1"/>
  <c r="BW16" i="145"/>
  <c r="BX16" i="145" s="1"/>
  <c r="BY16" i="145" s="1"/>
  <c r="BZ16" i="145" s="1"/>
  <c r="CA16" i="145" s="1"/>
  <c r="CB16" i="145" s="1"/>
  <c r="CC16" i="145" s="1"/>
  <c r="BW14" i="145"/>
  <c r="BX14" i="145" s="1"/>
  <c r="BY14" i="145" s="1"/>
  <c r="BZ14" i="145" s="1"/>
  <c r="CA14" i="145" s="1"/>
  <c r="CB14" i="145" s="1"/>
  <c r="CC14" i="145" s="1"/>
  <c r="BW13" i="145"/>
  <c r="BX13" i="145" s="1"/>
  <c r="BY13" i="145" s="1"/>
  <c r="BZ13" i="145" s="1"/>
  <c r="CA13" i="145" s="1"/>
  <c r="CB13" i="145" s="1"/>
  <c r="CC13" i="145" s="1"/>
  <c r="BW11" i="145"/>
  <c r="BX11" i="145" s="1"/>
  <c r="BY11" i="145" s="1"/>
  <c r="BZ11" i="145" s="1"/>
  <c r="CA11" i="145" s="1"/>
  <c r="CB11" i="145" s="1"/>
  <c r="CC11" i="145" s="1"/>
  <c r="BW8" i="145"/>
  <c r="BX8" i="145" s="1"/>
  <c r="BY8" i="145" s="1"/>
  <c r="BZ8" i="145" s="1"/>
  <c r="CA8" i="145" s="1"/>
  <c r="CB8" i="145" s="1"/>
  <c r="CC8" i="145" s="1"/>
  <c r="BW9" i="145"/>
  <c r="BX9" i="145" s="1"/>
  <c r="BY9" i="145" s="1"/>
  <c r="BZ9" i="145" s="1"/>
  <c r="CA9" i="145" s="1"/>
  <c r="CB9" i="145" s="1"/>
  <c r="CC9" i="145" s="1"/>
  <c r="BW6" i="145"/>
  <c r="DT6" i="145" s="1"/>
  <c r="BV19" i="145"/>
  <c r="BU19" i="145"/>
  <c r="BT19" i="145"/>
  <c r="BS19" i="145"/>
  <c r="BR19" i="145"/>
  <c r="DO19" i="145" s="1"/>
  <c r="BQ19" i="145"/>
  <c r="DN19" i="145" s="1"/>
  <c r="BP19" i="145"/>
  <c r="DM19" i="145" s="1"/>
  <c r="BV18" i="145"/>
  <c r="BU18" i="145"/>
  <c r="BT18" i="145"/>
  <c r="BS18" i="145"/>
  <c r="BR18" i="145"/>
  <c r="DO18" i="145" s="1"/>
  <c r="BQ18" i="145"/>
  <c r="DN18" i="145" s="1"/>
  <c r="BP18" i="145"/>
  <c r="DM18" i="145" s="1"/>
  <c r="BV17" i="145"/>
  <c r="BU17" i="145"/>
  <c r="BT17" i="145"/>
  <c r="BS17" i="145"/>
  <c r="BR17" i="145"/>
  <c r="DO17" i="145" s="1"/>
  <c r="BQ17" i="145"/>
  <c r="DN17" i="145" s="1"/>
  <c r="BP17" i="145"/>
  <c r="DM17" i="145" s="1"/>
  <c r="BV16" i="145"/>
  <c r="BU16" i="145"/>
  <c r="BT16" i="145"/>
  <c r="BS16" i="145"/>
  <c r="BR16" i="145"/>
  <c r="BQ16" i="145"/>
  <c r="BP16" i="145"/>
  <c r="BV14" i="145"/>
  <c r="BU14" i="145"/>
  <c r="BT14" i="145"/>
  <c r="BS14" i="145"/>
  <c r="BR14" i="145"/>
  <c r="DO14" i="145" s="1"/>
  <c r="BQ14" i="145"/>
  <c r="DN14" i="145" s="1"/>
  <c r="BP14" i="145"/>
  <c r="DM14" i="145" s="1"/>
  <c r="BV13" i="145"/>
  <c r="BU13" i="145"/>
  <c r="BT13" i="145"/>
  <c r="BS13" i="145"/>
  <c r="BR13" i="145"/>
  <c r="DO13" i="145" s="1"/>
  <c r="BQ13" i="145"/>
  <c r="DN13" i="145" s="1"/>
  <c r="BP13" i="145"/>
  <c r="DM13" i="145" s="1"/>
  <c r="BV12" i="145"/>
  <c r="BU12" i="145"/>
  <c r="BT12" i="145"/>
  <c r="BS12" i="145"/>
  <c r="BR12" i="145"/>
  <c r="DO12" i="145" s="1"/>
  <c r="BQ12" i="145"/>
  <c r="DN12" i="145" s="1"/>
  <c r="BP12" i="145"/>
  <c r="DM12" i="145" s="1"/>
  <c r="BV11" i="145"/>
  <c r="BU11" i="145"/>
  <c r="BT11" i="145"/>
  <c r="BS11" i="145"/>
  <c r="BR11" i="145"/>
  <c r="BQ11" i="145"/>
  <c r="BP11" i="145"/>
  <c r="BP7" i="145"/>
  <c r="DM7" i="145" s="1"/>
  <c r="BQ7" i="145"/>
  <c r="DN7" i="145" s="1"/>
  <c r="BR7" i="145"/>
  <c r="DO7" i="145" s="1"/>
  <c r="BS7" i="145"/>
  <c r="DP7" i="145" s="1"/>
  <c r="BT7" i="145"/>
  <c r="BU7" i="145"/>
  <c r="BV7" i="145"/>
  <c r="BP8" i="145"/>
  <c r="DM8" i="145" s="1"/>
  <c r="BQ8" i="145"/>
  <c r="DN8" i="145" s="1"/>
  <c r="BR8" i="145"/>
  <c r="DO8" i="145" s="1"/>
  <c r="BS8" i="145"/>
  <c r="DP8" i="145" s="1"/>
  <c r="BT8" i="145"/>
  <c r="BU8" i="145"/>
  <c r="BV8" i="145"/>
  <c r="BP9" i="145"/>
  <c r="DM9" i="145" s="1"/>
  <c r="BQ9" i="145"/>
  <c r="DN9" i="145" s="1"/>
  <c r="BR9" i="145"/>
  <c r="DO9" i="145" s="1"/>
  <c r="BS9" i="145"/>
  <c r="DP9" i="145" s="1"/>
  <c r="BT9" i="145"/>
  <c r="BU9" i="145"/>
  <c r="BV9" i="145"/>
  <c r="BP6" i="145"/>
  <c r="DM6" i="145" s="1"/>
  <c r="BI11" i="145"/>
  <c r="BJ11" i="145" s="1"/>
  <c r="BK11" i="145" s="1"/>
  <c r="BL11" i="145" s="1"/>
  <c r="BM11" i="145" s="1"/>
  <c r="BN11" i="145" s="1"/>
  <c r="BO11" i="145" s="1"/>
  <c r="BI6" i="145"/>
  <c r="DF6" i="145" s="1"/>
  <c r="BB17" i="145"/>
  <c r="BC17" i="145" s="1"/>
  <c r="BD17" i="145" s="1"/>
  <c r="BE17" i="145" s="1"/>
  <c r="BF17" i="145" s="1"/>
  <c r="BG17" i="145" s="1"/>
  <c r="BH17" i="145" s="1"/>
  <c r="BB18" i="145"/>
  <c r="BC18" i="145" s="1"/>
  <c r="BD18" i="145" s="1"/>
  <c r="BE18" i="145" s="1"/>
  <c r="BF18" i="145" s="1"/>
  <c r="BG18" i="145" s="1"/>
  <c r="BH18" i="145" s="1"/>
  <c r="BB19" i="145"/>
  <c r="BC19" i="145" s="1"/>
  <c r="BD19" i="145" s="1"/>
  <c r="BE19" i="145" s="1"/>
  <c r="BF19" i="145" s="1"/>
  <c r="BG19" i="145" s="1"/>
  <c r="BH19" i="145" s="1"/>
  <c r="BB14" i="145"/>
  <c r="BC14" i="145" s="1"/>
  <c r="BD14" i="145" s="1"/>
  <c r="BE14" i="145" s="1"/>
  <c r="BF14" i="145" s="1"/>
  <c r="BG14" i="145" s="1"/>
  <c r="BH14" i="145" s="1"/>
  <c r="BB12" i="145"/>
  <c r="BC12" i="145" s="1"/>
  <c r="BD12" i="145" s="1"/>
  <c r="BE12" i="145" s="1"/>
  <c r="BF12" i="145" s="1"/>
  <c r="BG12" i="145" s="1"/>
  <c r="BH12" i="145" s="1"/>
  <c r="BB13" i="145"/>
  <c r="BC13" i="145" s="1"/>
  <c r="BD13" i="145" s="1"/>
  <c r="BE13" i="145" s="1"/>
  <c r="BF13" i="145" s="1"/>
  <c r="BG13" i="145" s="1"/>
  <c r="BH13" i="145" s="1"/>
  <c r="BB7" i="145"/>
  <c r="BC7" i="145" s="1"/>
  <c r="BD7" i="145" s="1"/>
  <c r="BE7" i="145" s="1"/>
  <c r="BF7" i="145" s="1"/>
  <c r="BG7" i="145" s="1"/>
  <c r="BH7" i="145" s="1"/>
  <c r="BB8" i="145"/>
  <c r="BC8" i="145" s="1"/>
  <c r="BD8" i="145" s="1"/>
  <c r="BE8" i="145" s="1"/>
  <c r="BF8" i="145" s="1"/>
  <c r="BG8" i="145" s="1"/>
  <c r="BH8" i="145" s="1"/>
  <c r="BB9" i="145"/>
  <c r="BC9" i="145" s="1"/>
  <c r="BD9" i="145" s="1"/>
  <c r="BE9" i="145" s="1"/>
  <c r="BF9" i="145" s="1"/>
  <c r="BG9" i="145" s="1"/>
  <c r="BH9" i="145" s="1"/>
  <c r="BB6" i="145"/>
  <c r="BB16" i="145"/>
  <c r="BB11" i="145"/>
  <c r="S12" i="145"/>
  <c r="CK12" i="145" s="1"/>
  <c r="CL12" i="145" s="1"/>
  <c r="CM12" i="145" s="1"/>
  <c r="CN12" i="145" s="1"/>
  <c r="CO12" i="145" s="1"/>
  <c r="CP12" i="145" s="1"/>
  <c r="CQ12" i="145" s="1"/>
  <c r="C167" i="145"/>
  <c r="C166" i="145"/>
  <c r="C162" i="145"/>
  <c r="C151" i="145"/>
  <c r="C163" i="145" s="1"/>
  <c r="C149" i="145"/>
  <c r="C161" i="145" s="1"/>
  <c r="C178" i="145" s="1"/>
  <c r="S17" i="145" s="1"/>
  <c r="CK17" i="145" s="1"/>
  <c r="CL17" i="145" s="1"/>
  <c r="CM17" i="145" s="1"/>
  <c r="CN17" i="145" s="1"/>
  <c r="CO17" i="145" s="1"/>
  <c r="CP17" i="145" s="1"/>
  <c r="CQ17" i="145" s="1"/>
  <c r="G146" i="145"/>
  <c r="I146" i="145" s="1"/>
  <c r="G142" i="145"/>
  <c r="G144" i="145" s="1"/>
  <c r="DP18" i="145" l="1"/>
  <c r="DQ7" i="145"/>
  <c r="DP13" i="145"/>
  <c r="DP12" i="145"/>
  <c r="DQ8" i="145"/>
  <c r="DQ9" i="145"/>
  <c r="DP19" i="145"/>
  <c r="AA17" i="145"/>
  <c r="EL17" i="145" s="1"/>
  <c r="AA12" i="145"/>
  <c r="EL12" i="145" s="1"/>
  <c r="EF9" i="145"/>
  <c r="AA14" i="145"/>
  <c r="EL14" i="145" s="1"/>
  <c r="AA19" i="145"/>
  <c r="DP17" i="145"/>
  <c r="DP14" i="145"/>
  <c r="AB8" i="145"/>
  <c r="EF8" i="145" s="1"/>
  <c r="AA13" i="145"/>
  <c r="AA18" i="145"/>
  <c r="DC18" i="145" s="1"/>
  <c r="EJ13" i="145"/>
  <c r="EI18" i="145"/>
  <c r="EC12" i="145"/>
  <c r="EH17" i="145"/>
  <c r="EK18" i="145"/>
  <c r="EL8" i="145"/>
  <c r="EI17" i="145"/>
  <c r="EJ19" i="145"/>
  <c r="EI8" i="145"/>
  <c r="EK12" i="145"/>
  <c r="EJ17" i="145"/>
  <c r="EB12" i="145"/>
  <c r="EH8" i="145"/>
  <c r="EK17" i="145"/>
  <c r="EC13" i="145"/>
  <c r="EK14" i="145"/>
  <c r="EI9" i="145"/>
  <c r="EJ18" i="145"/>
  <c r="EK19" i="145"/>
  <c r="DT18" i="145"/>
  <c r="EA19" i="145"/>
  <c r="EH19" i="145"/>
  <c r="EH18" i="145"/>
  <c r="EI19" i="145"/>
  <c r="EK13" i="145"/>
  <c r="EL13" i="145"/>
  <c r="ED13" i="145"/>
  <c r="EH14" i="145"/>
  <c r="EH13" i="145"/>
  <c r="EI14" i="145"/>
  <c r="EI13" i="145"/>
  <c r="EJ14" i="145"/>
  <c r="EK8" i="145"/>
  <c r="EA8" i="145"/>
  <c r="EJ8" i="145"/>
  <c r="EH12" i="145"/>
  <c r="EI12" i="145"/>
  <c r="EJ12" i="145"/>
  <c r="EH9" i="145"/>
  <c r="EL9" i="145"/>
  <c r="EB9" i="145"/>
  <c r="EK9" i="145"/>
  <c r="EA9" i="145"/>
  <c r="EJ9" i="145"/>
  <c r="DU19" i="145"/>
  <c r="ED12" i="145"/>
  <c r="EE13" i="145"/>
  <c r="EA18" i="145"/>
  <c r="EB19" i="145"/>
  <c r="DU9" i="145"/>
  <c r="EE7" i="145"/>
  <c r="EA17" i="145"/>
  <c r="EB18" i="145"/>
  <c r="EC19" i="145"/>
  <c r="EE8" i="145"/>
  <c r="ED7" i="145"/>
  <c r="EB17" i="145"/>
  <c r="EC18" i="145"/>
  <c r="ED19" i="145"/>
  <c r="DT8" i="145"/>
  <c r="EE9" i="145"/>
  <c r="ED8" i="145"/>
  <c r="EC7" i="145"/>
  <c r="EA14" i="145"/>
  <c r="EC17" i="145"/>
  <c r="ED18" i="145"/>
  <c r="ED14" i="145"/>
  <c r="CZ12" i="145"/>
  <c r="DW14" i="145"/>
  <c r="ED9" i="145"/>
  <c r="EC8" i="145"/>
  <c r="EB7" i="145"/>
  <c r="EA13" i="145"/>
  <c r="EB14" i="145"/>
  <c r="ED17" i="145"/>
  <c r="EC9" i="145"/>
  <c r="EB8" i="145"/>
  <c r="EA7" i="145"/>
  <c r="EA12" i="145"/>
  <c r="EB13" i="145"/>
  <c r="EC14" i="145"/>
  <c r="DT9" i="145"/>
  <c r="DW13" i="145"/>
  <c r="DT19" i="145"/>
  <c r="DU18" i="145"/>
  <c r="DV19" i="145"/>
  <c r="DX13" i="145"/>
  <c r="DX8" i="145"/>
  <c r="DV18" i="145"/>
  <c r="DW19" i="145"/>
  <c r="DV13" i="145"/>
  <c r="DX9" i="145"/>
  <c r="DW8" i="145"/>
  <c r="DT14" i="145"/>
  <c r="DW18" i="145"/>
  <c r="DW9" i="145"/>
  <c r="DV8" i="145"/>
  <c r="DT13" i="145"/>
  <c r="DU14" i="145"/>
  <c r="DV9" i="145"/>
  <c r="DU8" i="145"/>
  <c r="DU13" i="145"/>
  <c r="DV14" i="145"/>
  <c r="DB19" i="145"/>
  <c r="CZ9" i="145"/>
  <c r="DB17" i="145"/>
  <c r="DB9" i="145"/>
  <c r="CZ17" i="145"/>
  <c r="DA8" i="145"/>
  <c r="CY8" i="145"/>
  <c r="DA18" i="145"/>
  <c r="DB7" i="145"/>
  <c r="CZ7" i="145"/>
  <c r="CY9" i="145"/>
  <c r="DA12" i="145"/>
  <c r="DB13" i="145"/>
  <c r="CY19" i="145"/>
  <c r="DA13" i="145"/>
  <c r="DB12" i="145"/>
  <c r="DC13" i="145"/>
  <c r="CY18" i="145"/>
  <c r="CZ19" i="145"/>
  <c r="DC7" i="145"/>
  <c r="CY17" i="145"/>
  <c r="CZ18" i="145"/>
  <c r="DA19" i="145"/>
  <c r="DB14" i="145"/>
  <c r="DC8" i="145"/>
  <c r="DC9" i="145"/>
  <c r="DB8" i="145"/>
  <c r="DA7" i="145"/>
  <c r="CY14" i="145"/>
  <c r="DA17" i="145"/>
  <c r="DB18" i="145"/>
  <c r="CY13" i="145"/>
  <c r="CZ14" i="145"/>
  <c r="DA9" i="145"/>
  <c r="CZ8" i="145"/>
  <c r="CY7" i="145"/>
  <c r="CY12" i="145"/>
  <c r="CZ13" i="145"/>
  <c r="DA14" i="145"/>
  <c r="S7" i="145"/>
  <c r="CK7" i="145" s="1"/>
  <c r="E177" i="145"/>
  <c r="C177" i="145"/>
  <c r="Q17" i="145" s="1"/>
  <c r="BW17" i="145" s="1"/>
  <c r="J144" i="145"/>
  <c r="K144" i="145" s="1"/>
  <c r="L144" i="145" s="1"/>
  <c r="M144" i="145" s="1"/>
  <c r="N144" i="145" s="1"/>
  <c r="O144" i="145" s="1"/>
  <c r="P144" i="145" s="1"/>
  <c r="I144" i="145"/>
  <c r="J146" i="145"/>
  <c r="G148" i="145"/>
  <c r="I142" i="145"/>
  <c r="G143" i="145"/>
  <c r="J142" i="145"/>
  <c r="K142" i="145" s="1"/>
  <c r="L142" i="145" s="1"/>
  <c r="M142" i="145" s="1"/>
  <c r="N142" i="145" s="1"/>
  <c r="O142" i="145" s="1"/>
  <c r="P142" i="145" s="1"/>
  <c r="G147" i="145"/>
  <c r="Q12" i="145" l="1"/>
  <c r="BW12" i="145" s="1"/>
  <c r="EL18" i="145"/>
  <c r="DR7" i="145"/>
  <c r="DQ17" i="145"/>
  <c r="DC17" i="145"/>
  <c r="DX14" i="145"/>
  <c r="EE18" i="145"/>
  <c r="DD7" i="145"/>
  <c r="EE12" i="145"/>
  <c r="DC14" i="145"/>
  <c r="DC19" i="145"/>
  <c r="DQ14" i="145"/>
  <c r="EE14" i="145"/>
  <c r="DR9" i="145"/>
  <c r="DX18" i="145"/>
  <c r="DQ12" i="145"/>
  <c r="DC12" i="145"/>
  <c r="EE17" i="145"/>
  <c r="DR8" i="145"/>
  <c r="DD8" i="145"/>
  <c r="EM8" i="145"/>
  <c r="DY8" i="145"/>
  <c r="EE19" i="145"/>
  <c r="DX19" i="145"/>
  <c r="AB14" i="145"/>
  <c r="AB19" i="145"/>
  <c r="DY9" i="145"/>
  <c r="DQ13" i="145"/>
  <c r="DD9" i="145"/>
  <c r="EF7" i="145"/>
  <c r="EM9" i="145"/>
  <c r="AC8" i="145"/>
  <c r="EO8" i="145" s="1"/>
  <c r="AB13" i="145"/>
  <c r="AB18" i="145"/>
  <c r="DQ18" i="145"/>
  <c r="DQ19" i="145"/>
  <c r="AB17" i="145"/>
  <c r="AB12" i="145"/>
  <c r="EL19" i="145"/>
  <c r="CL7" i="145"/>
  <c r="EH7" i="145"/>
  <c r="BX17" i="145"/>
  <c r="DT17" i="145"/>
  <c r="J150" i="145"/>
  <c r="K146" i="145"/>
  <c r="J147" i="145"/>
  <c r="K147" i="145" s="1"/>
  <c r="L147" i="145" s="1"/>
  <c r="M147" i="145" s="1"/>
  <c r="N147" i="145" s="1"/>
  <c r="O147" i="145" s="1"/>
  <c r="P147" i="145" s="1"/>
  <c r="I147" i="145"/>
  <c r="J143" i="145"/>
  <c r="K143" i="145" s="1"/>
  <c r="L143" i="145" s="1"/>
  <c r="M143" i="145" s="1"/>
  <c r="N143" i="145" s="1"/>
  <c r="O143" i="145" s="1"/>
  <c r="P143" i="145" s="1"/>
  <c r="I143" i="145"/>
  <c r="J148" i="145"/>
  <c r="K148" i="145" s="1"/>
  <c r="L148" i="145" s="1"/>
  <c r="M148" i="145" s="1"/>
  <c r="N148" i="145" s="1"/>
  <c r="O148" i="145" s="1"/>
  <c r="P148" i="145" s="1"/>
  <c r="I148" i="145"/>
  <c r="Q7" i="145" l="1"/>
  <c r="BW7" i="145" s="1"/>
  <c r="BX7" i="145" s="1"/>
  <c r="BX12" i="145"/>
  <c r="DU12" i="145" s="1"/>
  <c r="DT12" i="145"/>
  <c r="EO7" i="145"/>
  <c r="DY13" i="145"/>
  <c r="DR13" i="145"/>
  <c r="DD13" i="145"/>
  <c r="EM13" i="145"/>
  <c r="EF13" i="145"/>
  <c r="DR12" i="145"/>
  <c r="EM12" i="145"/>
  <c r="EF12" i="145"/>
  <c r="DD12" i="145"/>
  <c r="AC18" i="145"/>
  <c r="AC13" i="145"/>
  <c r="EO13" i="145" s="1"/>
  <c r="DS8" i="145"/>
  <c r="ES8" i="145" s="1"/>
  <c r="EG8" i="145"/>
  <c r="EU8" i="145" s="1"/>
  <c r="DE8" i="145"/>
  <c r="EQ8" i="145" s="1"/>
  <c r="DZ8" i="145"/>
  <c r="ET8" i="145" s="1"/>
  <c r="EN8" i="145"/>
  <c r="EV8" i="145" s="1"/>
  <c r="AC14" i="145"/>
  <c r="AC19" i="145"/>
  <c r="DS9" i="145"/>
  <c r="ES9" i="145" s="1"/>
  <c r="EN9" i="145"/>
  <c r="EV9" i="145" s="1"/>
  <c r="DZ9" i="145"/>
  <c r="ET9" i="145" s="1"/>
  <c r="EG9" i="145"/>
  <c r="EU9" i="145" s="1"/>
  <c r="DE9" i="145"/>
  <c r="EQ9" i="145" s="1"/>
  <c r="DD17" i="145"/>
  <c r="EM17" i="145"/>
  <c r="EF17" i="145"/>
  <c r="DR17" i="145"/>
  <c r="AC17" i="145"/>
  <c r="AC12" i="145"/>
  <c r="DE7" i="145"/>
  <c r="EQ7" i="145" s="1"/>
  <c r="DS7" i="145"/>
  <c r="ES7" i="145" s="1"/>
  <c r="EG7" i="145"/>
  <c r="EU7" i="145" s="1"/>
  <c r="EO9" i="145"/>
  <c r="DY18" i="145"/>
  <c r="DR18" i="145"/>
  <c r="EM18" i="145"/>
  <c r="EF18" i="145"/>
  <c r="DD18" i="145"/>
  <c r="EF19" i="145"/>
  <c r="DR19" i="145"/>
  <c r="DY19" i="145"/>
  <c r="EM19" i="145"/>
  <c r="DD19" i="145"/>
  <c r="DD14" i="145"/>
  <c r="EM14" i="145"/>
  <c r="DY14" i="145"/>
  <c r="DR14" i="145"/>
  <c r="EF14" i="145"/>
  <c r="CM7" i="145"/>
  <c r="EI7" i="145"/>
  <c r="BY17" i="145"/>
  <c r="DU17" i="145"/>
  <c r="DT7" i="145"/>
  <c r="K150" i="145"/>
  <c r="J151" i="145" s="1"/>
  <c r="K151" i="145" s="1"/>
  <c r="L151" i="145" s="1"/>
  <c r="M151" i="145" s="1"/>
  <c r="N151" i="145" s="1"/>
  <c r="O151" i="145" s="1"/>
  <c r="P151" i="145" s="1"/>
  <c r="L146" i="145"/>
  <c r="BY12" i="145" l="1"/>
  <c r="EO14" i="145"/>
  <c r="EN17" i="145"/>
  <c r="EV17" i="145" s="1"/>
  <c r="DE17" i="145"/>
  <c r="EQ17" i="145" s="1"/>
  <c r="DS17" i="145"/>
  <c r="EG17" i="145"/>
  <c r="EU17" i="145" s="1"/>
  <c r="EN14" i="145"/>
  <c r="EV14" i="145" s="1"/>
  <c r="DE14" i="145"/>
  <c r="EG14" i="145"/>
  <c r="DZ14" i="145"/>
  <c r="DS14" i="145"/>
  <c r="DE18" i="145"/>
  <c r="DS18" i="145"/>
  <c r="DZ18" i="145"/>
  <c r="EG18" i="145"/>
  <c r="EN18" i="145"/>
  <c r="EV18" i="145" s="1"/>
  <c r="EO17" i="145"/>
  <c r="DE19" i="145"/>
  <c r="DZ19" i="145"/>
  <c r="DS19" i="145"/>
  <c r="EN19" i="145"/>
  <c r="EG19" i="145"/>
  <c r="DE13" i="145"/>
  <c r="EN13" i="145"/>
  <c r="DS13" i="145"/>
  <c r="DZ13" i="145"/>
  <c r="EG13" i="145"/>
  <c r="EO19" i="145"/>
  <c r="DS12" i="145"/>
  <c r="DE12" i="145"/>
  <c r="EQ12" i="145" s="1"/>
  <c r="EG12" i="145"/>
  <c r="EU12" i="145" s="1"/>
  <c r="EN12" i="145"/>
  <c r="EV12" i="145" s="1"/>
  <c r="EO12" i="145"/>
  <c r="EX7" i="145" s="1"/>
  <c r="EO18" i="145"/>
  <c r="EX8" i="145" s="1"/>
  <c r="CN7" i="145"/>
  <c r="EJ7" i="145"/>
  <c r="BZ12" i="145"/>
  <c r="DV12" i="145"/>
  <c r="BY7" i="145"/>
  <c r="DU7" i="145"/>
  <c r="BZ17" i="145"/>
  <c r="DV17" i="145"/>
  <c r="M146" i="145"/>
  <c r="L150" i="145"/>
  <c r="EX9" i="145" l="1"/>
  <c r="ES14" i="145"/>
  <c r="ES19" i="145"/>
  <c r="ES18" i="145"/>
  <c r="ES13" i="145"/>
  <c r="FB8" i="145" s="1"/>
  <c r="FD7" i="145"/>
  <c r="EZ7" i="145"/>
  <c r="ES12" i="145"/>
  <c r="ES17" i="145"/>
  <c r="EV13" i="145"/>
  <c r="FE8" i="145" s="1"/>
  <c r="EQ13" i="145"/>
  <c r="ET14" i="145"/>
  <c r="EU19" i="145"/>
  <c r="EU14" i="145"/>
  <c r="EQ18" i="145"/>
  <c r="EV19" i="145"/>
  <c r="FE9" i="145" s="1"/>
  <c r="EQ14" i="145"/>
  <c r="EU18" i="145"/>
  <c r="EU13" i="145"/>
  <c r="ET19" i="145"/>
  <c r="ET18" i="145"/>
  <c r="ET13" i="145"/>
  <c r="EQ19" i="145"/>
  <c r="CO7" i="145"/>
  <c r="EK7" i="145"/>
  <c r="CA17" i="145"/>
  <c r="DW17" i="145"/>
  <c r="BZ7" i="145"/>
  <c r="DV7" i="145"/>
  <c r="CA12" i="145"/>
  <c r="DW12" i="145"/>
  <c r="M150" i="145"/>
  <c r="N146" i="145"/>
  <c r="FD9" i="145" l="1"/>
  <c r="FD8" i="145"/>
  <c r="EZ8" i="145"/>
  <c r="EZ9" i="145"/>
  <c r="FC9" i="145"/>
  <c r="FB9" i="145"/>
  <c r="FC8" i="145"/>
  <c r="FB7" i="145"/>
  <c r="CP7" i="145"/>
  <c r="EL7" i="145"/>
  <c r="CB12" i="145"/>
  <c r="DX12" i="145"/>
  <c r="CA7" i="145"/>
  <c r="DW7" i="145"/>
  <c r="CB17" i="145"/>
  <c r="DX17" i="145"/>
  <c r="N150" i="145"/>
  <c r="O146" i="145"/>
  <c r="CQ7" i="145" l="1"/>
  <c r="EN7" i="145" s="1"/>
  <c r="EM7" i="145"/>
  <c r="CC17" i="145"/>
  <c r="DZ17" i="145" s="1"/>
  <c r="DY17" i="145"/>
  <c r="CB7" i="145"/>
  <c r="DX7" i="145"/>
  <c r="CC12" i="145"/>
  <c r="DZ12" i="145" s="1"/>
  <c r="DY12" i="145"/>
  <c r="O150" i="145"/>
  <c r="P146" i="145"/>
  <c r="P150" i="145" s="1"/>
  <c r="F12" i="145"/>
  <c r="F17" i="145" s="1"/>
  <c r="E12" i="145"/>
  <c r="E17" i="145" s="1"/>
  <c r="D12" i="145"/>
  <c r="D17" i="145" s="1"/>
  <c r="H17" i="145"/>
  <c r="G17" i="145"/>
  <c r="H12" i="145"/>
  <c r="G12" i="145"/>
  <c r="I18" i="145"/>
  <c r="I19" i="145"/>
  <c r="I13" i="145"/>
  <c r="K13" i="145" s="1"/>
  <c r="I14" i="145"/>
  <c r="I7" i="145"/>
  <c r="AU7" i="145" s="1"/>
  <c r="I8" i="145"/>
  <c r="ET17" i="145" l="1"/>
  <c r="ET12" i="145"/>
  <c r="EV7" i="145"/>
  <c r="FE7" i="145" s="1"/>
  <c r="CC7" i="145"/>
  <c r="DZ7" i="145" s="1"/>
  <c r="DY7" i="145"/>
  <c r="K8" i="145"/>
  <c r="BI8" i="145" s="1"/>
  <c r="AU8" i="145"/>
  <c r="CR8" i="145" s="1"/>
  <c r="BI9" i="145"/>
  <c r="AU9" i="145"/>
  <c r="CR9" i="145" s="1"/>
  <c r="K14" i="145"/>
  <c r="BI14" i="145" s="1"/>
  <c r="AU14" i="145"/>
  <c r="CR14" i="145" s="1"/>
  <c r="K18" i="145"/>
  <c r="BI18" i="145" s="1"/>
  <c r="AU18" i="145"/>
  <c r="CR18" i="145" s="1"/>
  <c r="K7" i="145"/>
  <c r="BI7" i="145" s="1"/>
  <c r="CR7" i="145"/>
  <c r="BI13" i="145"/>
  <c r="AU13" i="145"/>
  <c r="CR13" i="145" s="1"/>
  <c r="K19" i="145"/>
  <c r="BI19" i="145" s="1"/>
  <c r="AU19" i="145"/>
  <c r="CR19" i="145" s="1"/>
  <c r="I17" i="145"/>
  <c r="I12" i="145"/>
  <c r="CR19" i="134"/>
  <c r="CR18" i="134"/>
  <c r="CR17" i="134"/>
  <c r="CR16" i="134"/>
  <c r="CR14" i="134"/>
  <c r="CR13" i="134"/>
  <c r="CR12" i="134"/>
  <c r="CR11" i="134"/>
  <c r="CR7" i="134"/>
  <c r="CR8" i="134"/>
  <c r="CR9" i="134"/>
  <c r="CR6" i="134"/>
  <c r="CK17" i="134"/>
  <c r="CK16" i="134"/>
  <c r="CK12" i="134"/>
  <c r="CK11" i="134"/>
  <c r="CK7" i="134"/>
  <c r="CK6" i="134"/>
  <c r="CD17" i="134"/>
  <c r="CD16" i="134"/>
  <c r="CD12" i="134"/>
  <c r="CD11" i="134"/>
  <c r="CD7" i="134"/>
  <c r="CD6" i="134"/>
  <c r="BP19" i="134"/>
  <c r="BP18" i="134"/>
  <c r="BP17" i="134"/>
  <c r="BP16" i="134"/>
  <c r="BP14" i="134"/>
  <c r="BP13" i="134"/>
  <c r="BP12" i="134"/>
  <c r="BP11" i="134"/>
  <c r="BP7" i="134"/>
  <c r="BP8" i="134"/>
  <c r="BP9" i="134"/>
  <c r="BP6" i="134"/>
  <c r="BI19" i="134"/>
  <c r="BI18" i="134"/>
  <c r="BI17" i="134"/>
  <c r="BI16" i="134"/>
  <c r="BI14" i="134"/>
  <c r="BI13" i="134"/>
  <c r="BI12" i="134"/>
  <c r="BI11" i="134"/>
  <c r="BI7" i="134"/>
  <c r="BI8" i="134"/>
  <c r="BI9" i="134"/>
  <c r="BI6" i="134"/>
  <c r="CD6" i="132"/>
  <c r="ET7" i="145" l="1"/>
  <c r="FC7" i="145" s="1"/>
  <c r="BJ18" i="145"/>
  <c r="DF18" i="145"/>
  <c r="BJ19" i="145"/>
  <c r="DF19" i="145"/>
  <c r="BJ14" i="145"/>
  <c r="DF14" i="145"/>
  <c r="BJ13" i="145"/>
  <c r="DF13" i="145"/>
  <c r="BJ9" i="145"/>
  <c r="DF9" i="145"/>
  <c r="BJ7" i="145"/>
  <c r="DF7" i="145"/>
  <c r="BJ8" i="145"/>
  <c r="DF8" i="145"/>
  <c r="AX18" i="145"/>
  <c r="AV18" i="145"/>
  <c r="CS18" i="145" s="1"/>
  <c r="K17" i="145"/>
  <c r="BI17" i="145" s="1"/>
  <c r="AU17" i="145"/>
  <c r="CR17" i="145" s="1"/>
  <c r="AV19" i="145"/>
  <c r="CS19" i="145" s="1"/>
  <c r="AX19" i="145"/>
  <c r="AV14" i="145"/>
  <c r="CS14" i="145" s="1"/>
  <c r="AX14" i="145"/>
  <c r="AX13" i="145"/>
  <c r="AV13" i="145"/>
  <c r="CS13" i="145" s="1"/>
  <c r="AV9" i="145"/>
  <c r="CS9" i="145" s="1"/>
  <c r="AX9" i="145"/>
  <c r="K12" i="145"/>
  <c r="BI12" i="145" s="1"/>
  <c r="AU12" i="145"/>
  <c r="CR12" i="145" s="1"/>
  <c r="AV7" i="145"/>
  <c r="CS7" i="145" s="1"/>
  <c r="AX7" i="145"/>
  <c r="AV8" i="145"/>
  <c r="CS8" i="145" s="1"/>
  <c r="AX8" i="145"/>
  <c r="BK13" i="145" l="1"/>
  <c r="DG13" i="145"/>
  <c r="BK8" i="145"/>
  <c r="DG8" i="145"/>
  <c r="BK14" i="145"/>
  <c r="DG14" i="145"/>
  <c r="BJ12" i="145"/>
  <c r="DF12" i="145"/>
  <c r="BK7" i="145"/>
  <c r="DG7" i="145"/>
  <c r="BK19" i="145"/>
  <c r="DG19" i="145"/>
  <c r="BJ17" i="145"/>
  <c r="DF17" i="145"/>
  <c r="BK9" i="145"/>
  <c r="DG9" i="145"/>
  <c r="BK18" i="145"/>
  <c r="DG18" i="145"/>
  <c r="BA7" i="145"/>
  <c r="CX7" i="145" s="1"/>
  <c r="CU7" i="145"/>
  <c r="BA14" i="145"/>
  <c r="CX14" i="145" s="1"/>
  <c r="CU14" i="145"/>
  <c r="BA9" i="145"/>
  <c r="CX9" i="145" s="1"/>
  <c r="CU9" i="145"/>
  <c r="BA19" i="145"/>
  <c r="CX19" i="145" s="1"/>
  <c r="CU19" i="145"/>
  <c r="BA8" i="145"/>
  <c r="CX8" i="145" s="1"/>
  <c r="CU8" i="145"/>
  <c r="BA13" i="145"/>
  <c r="CX13" i="145" s="1"/>
  <c r="CU13" i="145"/>
  <c r="BA18" i="145"/>
  <c r="CX18" i="145" s="1"/>
  <c r="CU18" i="145"/>
  <c r="AY7" i="145"/>
  <c r="CV7" i="145" s="1"/>
  <c r="AW7" i="145"/>
  <c r="AW14" i="145"/>
  <c r="AY14" i="145"/>
  <c r="CV14" i="145" s="1"/>
  <c r="AV12" i="145"/>
  <c r="CS12" i="145" s="1"/>
  <c r="AX12" i="145"/>
  <c r="AW19" i="145"/>
  <c r="AY19" i="145"/>
  <c r="CV19" i="145" s="1"/>
  <c r="AV17" i="145"/>
  <c r="CS17" i="145" s="1"/>
  <c r="AX17" i="145"/>
  <c r="AW9" i="145"/>
  <c r="AY9" i="145"/>
  <c r="CV9" i="145" s="1"/>
  <c r="AY13" i="145"/>
  <c r="CV13" i="145" s="1"/>
  <c r="AW13" i="145"/>
  <c r="AY18" i="145"/>
  <c r="CV18" i="145" s="1"/>
  <c r="AW18" i="145"/>
  <c r="AW8" i="145"/>
  <c r="AY8" i="145"/>
  <c r="CV8" i="145" s="1"/>
  <c r="BL9" i="145" l="1"/>
  <c r="DH9" i="145"/>
  <c r="BK12" i="145"/>
  <c r="DG12" i="145"/>
  <c r="BK17" i="145"/>
  <c r="DG17" i="145"/>
  <c r="BL14" i="145"/>
  <c r="DH14" i="145"/>
  <c r="BL19" i="145"/>
  <c r="DH19" i="145"/>
  <c r="BL8" i="145"/>
  <c r="DH8" i="145"/>
  <c r="BL18" i="145"/>
  <c r="DH18" i="145"/>
  <c r="BL7" i="145"/>
  <c r="DH7" i="145"/>
  <c r="BL13" i="145"/>
  <c r="DH13" i="145"/>
  <c r="BA17" i="145"/>
  <c r="CX17" i="145" s="1"/>
  <c r="CU17" i="145"/>
  <c r="AZ7" i="145"/>
  <c r="CW7" i="145" s="1"/>
  <c r="CT7" i="145"/>
  <c r="EP7" i="145" s="1"/>
  <c r="AZ18" i="145"/>
  <c r="CW18" i="145" s="1"/>
  <c r="CT18" i="145"/>
  <c r="AZ19" i="145"/>
  <c r="CW19" i="145" s="1"/>
  <c r="CT19" i="145"/>
  <c r="BA12" i="145"/>
  <c r="CX12" i="145" s="1"/>
  <c r="CU12" i="145"/>
  <c r="AZ13" i="145"/>
  <c r="CW13" i="145" s="1"/>
  <c r="CT13" i="145"/>
  <c r="AZ8" i="145"/>
  <c r="CW8" i="145" s="1"/>
  <c r="CT8" i="145"/>
  <c r="AZ9" i="145"/>
  <c r="CW9" i="145" s="1"/>
  <c r="CT9" i="145"/>
  <c r="AZ14" i="145"/>
  <c r="CW14" i="145" s="1"/>
  <c r="CT14" i="145"/>
  <c r="AW12" i="145"/>
  <c r="AY12" i="145"/>
  <c r="CV12" i="145" s="1"/>
  <c r="AW17" i="145"/>
  <c r="AY17" i="145"/>
  <c r="CV17" i="145" s="1"/>
  <c r="EP13" i="145" l="1"/>
  <c r="EP19" i="145"/>
  <c r="EP9" i="145"/>
  <c r="EP8" i="145"/>
  <c r="EP18" i="145"/>
  <c r="EP14" i="145"/>
  <c r="BM7" i="145"/>
  <c r="DI7" i="145"/>
  <c r="BM18" i="145"/>
  <c r="DI18" i="145"/>
  <c r="BL17" i="145"/>
  <c r="DH17" i="145"/>
  <c r="BM8" i="145"/>
  <c r="DI8" i="145"/>
  <c r="BL12" i="145"/>
  <c r="DH12" i="145"/>
  <c r="BM14" i="145"/>
  <c r="DI14" i="145"/>
  <c r="BM13" i="145"/>
  <c r="DI13" i="145"/>
  <c r="BM19" i="145"/>
  <c r="DI19" i="145"/>
  <c r="BM9" i="145"/>
  <c r="DI9" i="145"/>
  <c r="AZ17" i="145"/>
  <c r="CW17" i="145" s="1"/>
  <c r="CT17" i="145"/>
  <c r="AZ12" i="145"/>
  <c r="CW12" i="145" s="1"/>
  <c r="CT12" i="145"/>
  <c r="EY9" i="145" l="1"/>
  <c r="EY8" i="145"/>
  <c r="EP12" i="145"/>
  <c r="EP17" i="145"/>
  <c r="BN19" i="145"/>
  <c r="DJ19" i="145"/>
  <c r="BN13" i="145"/>
  <c r="DJ13" i="145"/>
  <c r="BM17" i="145"/>
  <c r="DI17" i="145"/>
  <c r="BN8" i="145"/>
  <c r="DJ8" i="145"/>
  <c r="BN14" i="145"/>
  <c r="DJ14" i="145"/>
  <c r="BN18" i="145"/>
  <c r="DJ18" i="145"/>
  <c r="BN9" i="145"/>
  <c r="DJ9" i="145"/>
  <c r="BM12" i="145"/>
  <c r="DI12" i="145"/>
  <c r="BN7" i="145"/>
  <c r="DJ7" i="145"/>
  <c r="EY7" i="145" l="1"/>
  <c r="BN17" i="145"/>
  <c r="DJ17" i="145"/>
  <c r="BN12" i="145"/>
  <c r="DJ12" i="145"/>
  <c r="BO8" i="145"/>
  <c r="DL8" i="145" s="1"/>
  <c r="DK8" i="145"/>
  <c r="BO9" i="145"/>
  <c r="DL9" i="145" s="1"/>
  <c r="DK9" i="145"/>
  <c r="BO18" i="145"/>
  <c r="DL18" i="145" s="1"/>
  <c r="DK18" i="145"/>
  <c r="BO13" i="145"/>
  <c r="DL13" i="145" s="1"/>
  <c r="DK13" i="145"/>
  <c r="BO7" i="145"/>
  <c r="DL7" i="145" s="1"/>
  <c r="DK7" i="145"/>
  <c r="BO14" i="145"/>
  <c r="DL14" i="145" s="1"/>
  <c r="DK14" i="145"/>
  <c r="BO19" i="145"/>
  <c r="DL19" i="145" s="1"/>
  <c r="DK19" i="145"/>
  <c r="ER19" i="145" l="1"/>
  <c r="ER18" i="145"/>
  <c r="ER7" i="145"/>
  <c r="ER8" i="145"/>
  <c r="ER14" i="145"/>
  <c r="ER13" i="145"/>
  <c r="ER9" i="145"/>
  <c r="BO12" i="145"/>
  <c r="DL12" i="145" s="1"/>
  <c r="DK12" i="145"/>
  <c r="BO17" i="145"/>
  <c r="DL17" i="145" s="1"/>
  <c r="DK17" i="145"/>
  <c r="FA9" i="145" l="1"/>
  <c r="FA8" i="145"/>
  <c r="ER17" i="145"/>
  <c r="ER12" i="145"/>
  <c r="FA7" i="145" l="1"/>
  <c r="EU1" i="146"/>
  <c r="EN1" i="146"/>
  <c r="EG1" i="146"/>
  <c r="DZ1" i="146"/>
  <c r="DS1" i="146"/>
  <c r="DL1" i="146"/>
  <c r="DE1" i="146"/>
  <c r="CX1" i="146"/>
  <c r="CQ1" i="146"/>
  <c r="CJ1" i="146"/>
  <c r="CC10" i="146"/>
  <c r="CC8" i="146"/>
  <c r="CC6" i="146"/>
  <c r="DZ6" i="146" s="1"/>
  <c r="CC1" i="146"/>
  <c r="BV1" i="146"/>
  <c r="BO1" i="146"/>
  <c r="BH1" i="146"/>
  <c r="AJ10" i="146"/>
  <c r="AJ8" i="146"/>
  <c r="AJ1" i="146"/>
  <c r="H243" i="113"/>
  <c r="BJ204" i="113"/>
  <c r="BI245" i="113"/>
  <c r="AS107" i="64"/>
  <c r="BY199" i="113"/>
  <c r="D123" i="64"/>
  <c r="O208" i="113"/>
  <c r="P104" i="64"/>
  <c r="F246" i="113"/>
  <c r="BG104" i="64"/>
  <c r="AW104" i="64"/>
  <c r="S104" i="64"/>
  <c r="BJ210" i="113"/>
  <c r="U108" i="64"/>
  <c r="V208" i="113"/>
  <c r="G251" i="113"/>
  <c r="Y106" i="64"/>
  <c r="AT104" i="64"/>
  <c r="G249" i="113"/>
  <c r="AU200" i="113"/>
  <c r="AD129" i="64"/>
  <c r="F128" i="64"/>
  <c r="BI249" i="113"/>
  <c r="Y208" i="113"/>
  <c r="BE201" i="113"/>
  <c r="AT208" i="113"/>
  <c r="U104" i="64"/>
  <c r="BN206" i="113"/>
  <c r="I209" i="113"/>
  <c r="BW203" i="113"/>
  <c r="AS208" i="113"/>
  <c r="J105" i="64"/>
  <c r="M204" i="113"/>
  <c r="BI108" i="64"/>
  <c r="BA129" i="64"/>
  <c r="V203" i="113"/>
  <c r="BU243" i="113"/>
  <c r="AK107" i="64"/>
  <c r="AV105" i="64"/>
  <c r="BJ239" i="113"/>
  <c r="U200" i="113"/>
  <c r="AM243" i="113"/>
  <c r="BQ199" i="113"/>
  <c r="BQ210" i="113"/>
  <c r="G245" i="113"/>
  <c r="AQ104" i="64"/>
  <c r="AH207" i="113"/>
  <c r="AQ206" i="113"/>
  <c r="BE120" i="64"/>
  <c r="R210" i="113"/>
  <c r="BT208" i="113"/>
  <c r="BJ237" i="113"/>
  <c r="AS103" i="64"/>
  <c r="AJ129" i="64"/>
  <c r="X108" i="64"/>
  <c r="BK252" i="113"/>
  <c r="AQ204" i="113"/>
  <c r="BE129" i="64"/>
  <c r="F203" i="113"/>
  <c r="F105" i="64"/>
  <c r="BU252" i="113"/>
  <c r="BF249" i="113"/>
  <c r="P206" i="113"/>
  <c r="BB107" i="64"/>
  <c r="BE240" i="113"/>
  <c r="X206" i="113"/>
  <c r="AY243" i="113"/>
  <c r="AS205" i="113"/>
  <c r="O108" i="64"/>
  <c r="BA120" i="64"/>
  <c r="E245" i="113"/>
  <c r="F207" i="113"/>
  <c r="BY202" i="113"/>
  <c r="G242" i="113"/>
  <c r="BJ129" i="64"/>
  <c r="F103" i="64"/>
  <c r="BE204" i="113"/>
  <c r="BH236" i="113"/>
  <c r="BJ199" i="113"/>
  <c r="AY206" i="113"/>
  <c r="AW207" i="113"/>
  <c r="BC210" i="113"/>
  <c r="BJ205" i="113"/>
  <c r="AV207" i="113"/>
  <c r="BB104" i="64"/>
  <c r="F126" i="64"/>
  <c r="AL120" i="64"/>
  <c r="Y209" i="113"/>
  <c r="AT202" i="113"/>
  <c r="AI202" i="113"/>
  <c r="BT207" i="113"/>
  <c r="Y210" i="113"/>
  <c r="E202" i="113"/>
  <c r="AT252" i="113"/>
  <c r="AI106" i="64"/>
  <c r="H108" i="64"/>
  <c r="AT199" i="113"/>
  <c r="O252" i="113"/>
  <c r="BH103" i="64"/>
  <c r="W252" i="113"/>
  <c r="AM201" i="113"/>
  <c r="BK129" i="64"/>
  <c r="AC243" i="113"/>
  <c r="K106" i="64"/>
  <c r="AP206" i="113"/>
  <c r="AF209" i="113"/>
  <c r="M106" i="64"/>
  <c r="BG108" i="64"/>
  <c r="W201" i="113"/>
  <c r="BI243" i="113"/>
  <c r="J107" i="64"/>
  <c r="BJ238" i="113"/>
  <c r="AC120" i="64"/>
  <c r="W206" i="113"/>
  <c r="G205" i="113"/>
  <c r="BP234" i="113"/>
  <c r="AW210" i="113"/>
  <c r="BE209" i="113"/>
  <c r="BT200" i="113"/>
  <c r="BI251" i="113"/>
  <c r="BG252" i="113"/>
  <c r="AV129" i="64"/>
  <c r="AY103" i="64"/>
  <c r="AO206" i="113"/>
  <c r="AZ204" i="113"/>
  <c r="I200" i="113"/>
  <c r="AV205" i="113"/>
  <c r="BG103" i="64"/>
  <c r="AX252" i="113"/>
  <c r="BP199" i="113"/>
  <c r="AW108" i="64"/>
  <c r="BO203" i="113"/>
  <c r="W199" i="113"/>
  <c r="G238" i="113"/>
  <c r="Q129" i="64"/>
  <c r="BC209" i="113"/>
  <c r="BA203" i="113"/>
  <c r="AT209" i="113"/>
  <c r="AQ208" i="113"/>
  <c r="P103" i="64"/>
  <c r="BD208" i="113"/>
  <c r="BL204" i="113"/>
  <c r="D105" i="64"/>
  <c r="O107" i="64"/>
  <c r="AH252" i="113"/>
  <c r="I252" i="113"/>
  <c r="AH106" i="64"/>
  <c r="AM209" i="113"/>
  <c r="G248" i="113"/>
  <c r="G104" i="64"/>
  <c r="BC104" i="64"/>
  <c r="W200" i="113"/>
  <c r="BI240" i="113"/>
  <c r="V106" i="64"/>
  <c r="S207" i="113"/>
  <c r="AF200" i="113"/>
  <c r="BK104" i="64"/>
  <c r="AF206" i="113"/>
  <c r="Z208" i="113"/>
  <c r="BH242" i="113"/>
  <c r="AL104" i="64"/>
  <c r="S103" i="64"/>
  <c r="BK210" i="113"/>
  <c r="AA252" i="113"/>
  <c r="AT108" i="64"/>
  <c r="BI104" i="64"/>
  <c r="BG242" i="113"/>
  <c r="BF105" i="64"/>
  <c r="L129" i="64"/>
  <c r="S209" i="113"/>
  <c r="AD203" i="113"/>
  <c r="V204" i="113"/>
  <c r="AQ201" i="113"/>
  <c r="W107" i="64"/>
  <c r="X129" i="64"/>
  <c r="AP205" i="113"/>
  <c r="V206" i="113"/>
  <c r="BF247" i="113"/>
  <c r="AS202" i="113"/>
  <c r="BF202" i="113"/>
  <c r="S208" i="113"/>
  <c r="BC120" i="64"/>
  <c r="BA210" i="113"/>
  <c r="G208" i="113"/>
  <c r="BE104" i="64"/>
  <c r="AW202" i="113"/>
  <c r="BS201" i="113"/>
  <c r="BJ247" i="113"/>
  <c r="AL199" i="113"/>
  <c r="BP201" i="113"/>
  <c r="BE200" i="113"/>
  <c r="AV120" i="64"/>
  <c r="AY104" i="64"/>
  <c r="L209" i="113"/>
  <c r="G240" i="113"/>
  <c r="BG199" i="113"/>
  <c r="BK200" i="113"/>
  <c r="W108" i="64"/>
  <c r="AB129" i="64"/>
  <c r="AE129" i="64"/>
  <c r="F208" i="113"/>
  <c r="F127" i="64"/>
  <c r="AQ209" i="113"/>
  <c r="AB103" i="64"/>
  <c r="AK204" i="113"/>
  <c r="AB202" i="113"/>
  <c r="AL105" i="64"/>
  <c r="P107" i="64"/>
  <c r="K208" i="113"/>
  <c r="BF250" i="113"/>
  <c r="E239" i="113"/>
  <c r="N203" i="113"/>
  <c r="S252" i="113"/>
  <c r="AT106" i="64"/>
  <c r="AO205" i="113"/>
  <c r="BI236" i="113"/>
  <c r="BF208" i="113"/>
  <c r="Z207" i="113"/>
  <c r="AZ200" i="113"/>
  <c r="Y203" i="113"/>
  <c r="BP202" i="113"/>
  <c r="AM203" i="113"/>
  <c r="AM205" i="113"/>
  <c r="BI237" i="113"/>
  <c r="BU199" i="113"/>
  <c r="T200" i="113"/>
  <c r="AF108" i="64"/>
  <c r="O103" i="64"/>
  <c r="BF199" i="113"/>
  <c r="AS108" i="64"/>
  <c r="BT205" i="113"/>
  <c r="I205" i="113"/>
  <c r="N209" i="113"/>
  <c r="D124" i="64"/>
  <c r="W210" i="113"/>
  <c r="G246" i="113"/>
  <c r="BY201" i="113"/>
  <c r="BA252" i="113"/>
  <c r="AW201" i="113"/>
  <c r="W120" i="64"/>
  <c r="AJ201" i="113"/>
  <c r="AI107" i="64"/>
  <c r="AK252" i="113"/>
  <c r="AL103" i="64"/>
  <c r="AH129" i="64"/>
  <c r="I210" i="113"/>
  <c r="AJ205" i="113"/>
  <c r="O205" i="113"/>
  <c r="F251" i="113"/>
  <c r="L200" i="113"/>
  <c r="BF103" i="64"/>
  <c r="AO243" i="113"/>
  <c r="BL252" i="113"/>
  <c r="O209" i="113"/>
  <c r="Y201" i="113"/>
  <c r="AH104" i="64"/>
  <c r="AI105" i="64"/>
  <c r="X103" i="64"/>
  <c r="W209" i="113"/>
  <c r="P106" i="64"/>
  <c r="AD209" i="113"/>
  <c r="AB206" i="113"/>
  <c r="E240" i="113"/>
  <c r="Y104" i="64"/>
  <c r="Z104" i="64"/>
  <c r="AK208" i="113"/>
  <c r="H204" i="113"/>
  <c r="BW199" i="113"/>
  <c r="AF120" i="64"/>
  <c r="G243" i="113"/>
  <c r="AU206" i="113"/>
  <c r="Z200" i="113"/>
  <c r="J103" i="64"/>
  <c r="J104" i="64"/>
  <c r="AP210" i="113"/>
  <c r="BS202" i="113"/>
  <c r="BB204" i="113"/>
  <c r="X203" i="113"/>
  <c r="N200" i="113"/>
  <c r="BW205" i="113"/>
  <c r="BH238" i="113"/>
  <c r="AN200" i="113"/>
  <c r="K204" i="113"/>
  <c r="E242" i="113"/>
  <c r="BJ106" i="64"/>
  <c r="Q243" i="113"/>
  <c r="AS200" i="113"/>
  <c r="BN252" i="113"/>
  <c r="BH200" i="113"/>
  <c r="AR204" i="113"/>
  <c r="AG206" i="113"/>
  <c r="BU203" i="113"/>
  <c r="AY202" i="113"/>
  <c r="AP107" i="64"/>
  <c r="N208" i="113"/>
  <c r="E128" i="64"/>
  <c r="AS206" i="113"/>
  <c r="AO108" i="64"/>
  <c r="X208" i="113"/>
  <c r="BA205" i="113"/>
  <c r="BG204" i="113"/>
  <c r="N210" i="113"/>
  <c r="BU206" i="113"/>
  <c r="AF203" i="113"/>
  <c r="BH199" i="113"/>
  <c r="F239" i="113"/>
  <c r="K206" i="113"/>
  <c r="AX207" i="113"/>
  <c r="F210" i="113"/>
  <c r="BL203" i="113"/>
  <c r="BJ200" i="113"/>
  <c r="AF252" i="113"/>
  <c r="E241" i="113"/>
  <c r="F241" i="113"/>
  <c r="H252" i="113"/>
  <c r="BF237" i="113"/>
  <c r="AY204" i="113"/>
  <c r="AF202" i="113"/>
  <c r="AI207" i="113"/>
  <c r="E199" i="113"/>
  <c r="AN108" i="64"/>
  <c r="Y243" i="113"/>
  <c r="BY204" i="113"/>
  <c r="AV107" i="64"/>
  <c r="BH248" i="113"/>
  <c r="L208" i="113"/>
  <c r="BI238" i="113"/>
  <c r="AZ106" i="64"/>
  <c r="K202" i="113"/>
  <c r="BY200" i="113"/>
  <c r="V103" i="64"/>
  <c r="E246" i="113"/>
  <c r="E247" i="113"/>
  <c r="AW206" i="113"/>
  <c r="Y205" i="113"/>
  <c r="BG239" i="113"/>
  <c r="AX203" i="113"/>
  <c r="BS206" i="113"/>
  <c r="BG210" i="113"/>
  <c r="BO204" i="113"/>
  <c r="AM129" i="64"/>
  <c r="BI242" i="113"/>
  <c r="BY207" i="113"/>
  <c r="J243" i="113"/>
  <c r="O199" i="113"/>
  <c r="AF205" i="113"/>
  <c r="AD104" i="64"/>
  <c r="AX243" i="113"/>
  <c r="Q206" i="113"/>
  <c r="BK234" i="113"/>
  <c r="AN106" i="64"/>
  <c r="BB206" i="113"/>
  <c r="J252" i="113"/>
  <c r="F199" i="113"/>
  <c r="U209" i="113"/>
  <c r="BI120" i="64"/>
  <c r="BD206" i="113"/>
  <c r="BF238" i="113"/>
  <c r="BS252" i="113"/>
  <c r="AW209" i="113"/>
  <c r="BY252" i="113"/>
  <c r="AS252" i="113"/>
  <c r="G210" i="113"/>
  <c r="K209" i="113"/>
  <c r="X201" i="113"/>
  <c r="AU210" i="113"/>
  <c r="AL210" i="113"/>
  <c r="AY200" i="113"/>
  <c r="BJ251" i="113"/>
  <c r="BU209" i="113"/>
  <c r="AE204" i="113"/>
  <c r="BL199" i="113"/>
  <c r="BV243" i="113"/>
  <c r="BL206" i="113"/>
  <c r="AR106" i="64"/>
  <c r="Y202" i="113"/>
  <c r="BM210" i="113"/>
  <c r="O210" i="113"/>
  <c r="K107" i="64"/>
  <c r="P207" i="113"/>
  <c r="BM203" i="113"/>
  <c r="E125" i="64"/>
  <c r="R207" i="113"/>
  <c r="BN202" i="113"/>
  <c r="AD108" i="64"/>
  <c r="BJ248" i="113"/>
  <c r="AC108" i="64"/>
  <c r="BO207" i="113"/>
  <c r="AL108" i="64"/>
  <c r="BG207" i="113"/>
  <c r="AH202" i="113"/>
  <c r="BW206" i="113"/>
  <c r="BH120" i="64"/>
  <c r="E121" i="64"/>
  <c r="AU203" i="113"/>
  <c r="S206" i="113"/>
  <c r="F240" i="113"/>
  <c r="J106" i="64"/>
  <c r="BA107" i="64"/>
  <c r="AH243" i="113"/>
  <c r="G103" i="64"/>
  <c r="BD204" i="113"/>
  <c r="BX207" i="113"/>
  <c r="D125" i="64"/>
  <c r="Q106" i="64"/>
  <c r="AL107" i="64"/>
  <c r="F242" i="113"/>
  <c r="BM201" i="113"/>
  <c r="O106" i="64"/>
  <c r="BA206" i="113"/>
  <c r="BX209" i="113"/>
  <c r="Q208" i="113"/>
  <c r="AO199" i="113"/>
  <c r="BH237" i="113"/>
  <c r="BJ240" i="113"/>
  <c r="I103" i="64"/>
  <c r="AN208" i="113"/>
  <c r="BA200" i="113"/>
  <c r="AG204" i="113"/>
  <c r="BL201" i="113"/>
  <c r="O105" i="64"/>
  <c r="AH210" i="113"/>
  <c r="BJ203" i="113"/>
  <c r="E203" i="113"/>
  <c r="T108" i="64"/>
  <c r="BK105" i="64"/>
  <c r="V105" i="64"/>
  <c r="BH108" i="64"/>
  <c r="AG252" i="113"/>
  <c r="AX200" i="113"/>
  <c r="BO243" i="113"/>
  <c r="AA200" i="113"/>
  <c r="T105" i="64"/>
  <c r="Z206" i="113"/>
  <c r="Z203" i="113"/>
  <c r="O243" i="113"/>
  <c r="AB120" i="64"/>
  <c r="AP252" i="113"/>
  <c r="AS210" i="113"/>
  <c r="AN105" i="64"/>
  <c r="O206" i="113"/>
  <c r="BS208" i="113"/>
  <c r="AE200" i="113"/>
  <c r="BX200" i="113"/>
  <c r="G206" i="113"/>
  <c r="X209" i="113"/>
  <c r="BG201" i="113"/>
  <c r="BH203" i="113"/>
  <c r="AL207" i="113"/>
  <c r="BY206" i="113"/>
  <c r="AN205" i="113"/>
  <c r="AH203" i="113"/>
  <c r="AW103" i="64"/>
  <c r="AY129" i="64"/>
  <c r="BH247" i="113"/>
  <c r="AF210" i="113"/>
  <c r="P208" i="113"/>
  <c r="AJ202" i="113"/>
  <c r="BV207" i="113"/>
  <c r="BB203" i="113"/>
  <c r="AZ202" i="113"/>
  <c r="AR103" i="64"/>
  <c r="F237" i="113"/>
  <c r="L201" i="113"/>
  <c r="BH209" i="113"/>
  <c r="F249" i="113"/>
  <c r="AS209" i="113"/>
  <c r="BX206" i="113"/>
  <c r="BH207" i="113"/>
  <c r="AD243" i="113"/>
  <c r="BQ208" i="113"/>
  <c r="I208" i="113"/>
  <c r="R203" i="113"/>
  <c r="AN209" i="113"/>
  <c r="AV199" i="113"/>
  <c r="BH252" i="113"/>
  <c r="BO200" i="113"/>
  <c r="AU201" i="113"/>
  <c r="V243" i="113"/>
  <c r="R204" i="113"/>
  <c r="AY209" i="113"/>
  <c r="BK103" i="64"/>
  <c r="I204" i="113"/>
  <c r="D103" i="64"/>
  <c r="K205" i="113"/>
  <c r="AQ108" i="64"/>
  <c r="G105" i="64"/>
  <c r="BU200" i="113"/>
  <c r="BJ246" i="113"/>
  <c r="AU208" i="113"/>
  <c r="T201" i="113"/>
  <c r="AZ104" i="64"/>
  <c r="BE249" i="113"/>
  <c r="L206" i="113"/>
  <c r="BK108" i="64"/>
  <c r="K199" i="113"/>
  <c r="AK243" i="113"/>
  <c r="BB106" i="64"/>
  <c r="BN203" i="113"/>
  <c r="AJ107" i="64"/>
  <c r="D122" i="64"/>
  <c r="Q105" i="64"/>
  <c r="AV200" i="113"/>
  <c r="M206" i="113"/>
  <c r="AF103" i="64"/>
  <c r="R200" i="113"/>
  <c r="AZ108" i="64"/>
  <c r="AB107" i="64"/>
  <c r="AN199" i="113"/>
  <c r="AI203" i="113"/>
  <c r="K201" i="113"/>
  <c r="N107" i="64"/>
  <c r="BV201" i="113"/>
  <c r="BI202" i="113"/>
  <c r="H207" i="113"/>
  <c r="AB204" i="113"/>
  <c r="R104" i="64"/>
  <c r="R120" i="64"/>
  <c r="F252" i="113"/>
  <c r="BN201" i="113"/>
  <c r="AC103" i="64"/>
  <c r="BG120" i="64"/>
  <c r="AZ206" i="113"/>
  <c r="BU207" i="113"/>
  <c r="AC252" i="113"/>
  <c r="V104" i="64"/>
  <c r="U107" i="64"/>
  <c r="V120" i="64"/>
  <c r="BL209" i="113"/>
  <c r="L210" i="113"/>
  <c r="AN104" i="64"/>
  <c r="AS120" i="64"/>
  <c r="AV106" i="64"/>
  <c r="T207" i="113"/>
  <c r="BH202" i="113"/>
  <c r="AF201" i="113"/>
  <c r="Z202" i="113"/>
  <c r="BA202" i="113"/>
  <c r="P120" i="64"/>
  <c r="H199" i="113"/>
  <c r="I203" i="113"/>
  <c r="AG205" i="113"/>
  <c r="W208" i="113"/>
  <c r="BB207" i="113"/>
  <c r="AY208" i="113"/>
  <c r="BF203" i="113"/>
  <c r="H200" i="113"/>
  <c r="E205" i="113"/>
  <c r="AU243" i="113"/>
  <c r="AD206" i="113"/>
  <c r="U205" i="113"/>
  <c r="BM233" i="113"/>
  <c r="L252" i="113"/>
  <c r="AT103" i="64"/>
  <c r="BO201" i="113"/>
  <c r="AB243" i="113"/>
  <c r="AP201" i="113"/>
  <c r="BF209" i="113"/>
  <c r="U204" i="113"/>
  <c r="BE247" i="113"/>
  <c r="BM207" i="113"/>
  <c r="F202" i="113"/>
  <c r="AO104" i="64"/>
  <c r="K207" i="113"/>
  <c r="Y120" i="64"/>
  <c r="BJ236" i="113"/>
  <c r="AE103" i="64"/>
  <c r="BE108" i="64"/>
  <c r="BH210" i="113"/>
  <c r="AU129" i="64"/>
  <c r="I108" i="64"/>
  <c r="AL201" i="113"/>
  <c r="S129" i="64"/>
  <c r="BF236" i="113"/>
  <c r="AM204" i="113"/>
  <c r="AN206" i="113"/>
  <c r="BH240" i="113"/>
  <c r="V200" i="113"/>
  <c r="BF206" i="113"/>
  <c r="AD205" i="113"/>
  <c r="Z201" i="113"/>
  <c r="AC107" i="64"/>
  <c r="AK129" i="64"/>
  <c r="AT200" i="113"/>
  <c r="BM205" i="113"/>
  <c r="AV108" i="64"/>
  <c r="BN209" i="113"/>
  <c r="T208" i="113"/>
  <c r="AP202" i="113"/>
  <c r="BA207" i="113"/>
  <c r="BO202" i="113"/>
  <c r="BE199" i="113"/>
  <c r="I104" i="64"/>
  <c r="BJ209" i="113"/>
  <c r="AF106" i="64"/>
  <c r="BX210" i="113"/>
  <c r="AE201" i="113"/>
  <c r="AW208" i="113"/>
  <c r="AG202" i="113"/>
  <c r="BE251" i="113"/>
  <c r="BS199" i="113"/>
  <c r="AC208" i="113"/>
  <c r="M129" i="64"/>
  <c r="AF129" i="64"/>
  <c r="AV208" i="113"/>
  <c r="E126" i="64"/>
  <c r="AG201" i="113"/>
  <c r="BP207" i="113"/>
  <c r="BF251" i="113"/>
  <c r="S107" i="64"/>
  <c r="AK106" i="64"/>
  <c r="E106" i="64"/>
  <c r="BJ206" i="113"/>
  <c r="AV252" i="113"/>
  <c r="AB252" i="113"/>
  <c r="Q205" i="113"/>
  <c r="BT243" i="113"/>
  <c r="X202" i="113"/>
  <c r="L107" i="64"/>
  <c r="BJ201" i="113"/>
  <c r="AP200" i="113"/>
  <c r="AP106" i="64"/>
  <c r="BH204" i="113"/>
  <c r="BA106" i="64"/>
  <c r="AB209" i="113"/>
  <c r="X106" i="64"/>
  <c r="AQ200" i="113"/>
  <c r="Y199" i="113"/>
  <c r="G200" i="113"/>
  <c r="AO200" i="113"/>
  <c r="AB108" i="64"/>
  <c r="AI103" i="64"/>
  <c r="R107" i="64"/>
  <c r="E204" i="113"/>
  <c r="AU202" i="113"/>
  <c r="AX106" i="64"/>
  <c r="BQ252" i="113"/>
  <c r="N108" i="64"/>
  <c r="BA201" i="113"/>
  <c r="Z103" i="64"/>
  <c r="AT210" i="113"/>
  <c r="AS129" i="64"/>
  <c r="M108" i="64"/>
  <c r="BL202" i="113"/>
  <c r="P199" i="113"/>
  <c r="AK209" i="113"/>
  <c r="BD209" i="113"/>
  <c r="AU252" i="113"/>
  <c r="AL202" i="113"/>
  <c r="P201" i="113"/>
  <c r="AG210" i="113"/>
  <c r="BG237" i="113"/>
  <c r="BV203" i="113"/>
  <c r="BI248" i="113"/>
  <c r="AN103" i="64"/>
  <c r="AY120" i="64"/>
  <c r="BJ242" i="113"/>
  <c r="AZ129" i="64"/>
  <c r="S199" i="113"/>
  <c r="BG240" i="113"/>
  <c r="BK206" i="113"/>
  <c r="BI106" i="64"/>
  <c r="AS203" i="113"/>
  <c r="BI208" i="113"/>
  <c r="BJ202" i="113"/>
  <c r="BT204" i="113"/>
  <c r="U252" i="113"/>
  <c r="AX210" i="113"/>
  <c r="Q120" i="64"/>
  <c r="BE203" i="113"/>
  <c r="D108" i="64"/>
  <c r="BK204" i="113"/>
  <c r="AD105" i="64"/>
  <c r="D106" i="64"/>
  <c r="AU207" i="113"/>
  <c r="BC208" i="113"/>
  <c r="J202" i="113"/>
  <c r="AO252" i="113"/>
  <c r="AX201" i="113"/>
  <c r="Q207" i="113"/>
  <c r="J208" i="113"/>
  <c r="N204" i="113"/>
  <c r="AF207" i="113"/>
  <c r="BW243" i="113"/>
  <c r="BG202" i="113"/>
  <c r="AQ210" i="113"/>
  <c r="U210" i="113"/>
  <c r="H103" i="64"/>
  <c r="V107" i="64"/>
  <c r="X205" i="113"/>
  <c r="R103" i="64"/>
  <c r="E201" i="113"/>
  <c r="BU204" i="113"/>
  <c r="AR105" i="64"/>
  <c r="AG129" i="64"/>
  <c r="AG106" i="64"/>
  <c r="AA209" i="113"/>
  <c r="AG199" i="113"/>
  <c r="F236" i="113"/>
  <c r="X199" i="113"/>
  <c r="BF241" i="113"/>
  <c r="L108" i="64"/>
  <c r="BW207" i="113"/>
  <c r="BE248" i="113"/>
  <c r="AZ203" i="113"/>
  <c r="X207" i="113"/>
  <c r="AJ106" i="64"/>
  <c r="BI252" i="113"/>
  <c r="J201" i="113"/>
  <c r="G204" i="113"/>
  <c r="BA209" i="113"/>
  <c r="BV202" i="113"/>
  <c r="AA204" i="113"/>
  <c r="BG247" i="113"/>
  <c r="Q104" i="64"/>
  <c r="Z252" i="113"/>
  <c r="BD210" i="113"/>
  <c r="AQ207" i="113"/>
  <c r="Q210" i="113"/>
  <c r="BU208" i="113"/>
  <c r="BB120" i="64"/>
  <c r="BX199" i="113"/>
  <c r="BH205" i="113"/>
  <c r="AZ208" i="113"/>
  <c r="M105" i="64"/>
  <c r="BK243" i="113"/>
  <c r="BV199" i="113"/>
  <c r="AY207" i="113"/>
  <c r="L243" i="113"/>
  <c r="AR243" i="113"/>
  <c r="AK203" i="113"/>
  <c r="AG208" i="113"/>
  <c r="J108" i="64"/>
  <c r="AB207" i="113"/>
  <c r="BD202" i="113"/>
  <c r="AG108" i="64"/>
  <c r="W243" i="113"/>
  <c r="BM234" i="113"/>
  <c r="AB200" i="113"/>
  <c r="BE235" i="113"/>
  <c r="Z129" i="64"/>
  <c r="BH246" i="113"/>
  <c r="AY108" i="64"/>
  <c r="BB209" i="113"/>
  <c r="BE210" i="113"/>
  <c r="U106" i="64"/>
  <c r="T204" i="113"/>
  <c r="BC203" i="113"/>
  <c r="BT206" i="113"/>
  <c r="AL252" i="113"/>
  <c r="I105" i="64"/>
  <c r="I206" i="113"/>
  <c r="BN243" i="113"/>
  <c r="H104" i="64"/>
  <c r="T243" i="113"/>
  <c r="BC201" i="113"/>
  <c r="BI207" i="113"/>
  <c r="D126" i="64"/>
  <c r="G201" i="113"/>
  <c r="BO199" i="113"/>
  <c r="BF245" i="113"/>
  <c r="AP204" i="113"/>
  <c r="G237" i="113"/>
  <c r="D121" i="64"/>
  <c r="N205" i="113"/>
  <c r="AS199" i="113"/>
  <c r="Y107" i="64"/>
  <c r="AJ210" i="113"/>
  <c r="BH243" i="113"/>
  <c r="I202" i="113"/>
  <c r="BX202" i="113"/>
  <c r="BJ120" i="64"/>
  <c r="F125" i="64"/>
  <c r="AE108" i="64"/>
  <c r="AT107" i="64"/>
  <c r="BH129" i="64"/>
  <c r="AL209" i="113"/>
  <c r="AR200" i="113"/>
  <c r="G239" i="113"/>
  <c r="AJ252" i="113"/>
  <c r="BX203" i="113"/>
  <c r="Z120" i="64"/>
  <c r="AF199" i="113"/>
  <c r="AW199" i="113"/>
  <c r="BE206" i="113"/>
  <c r="BC205" i="113"/>
  <c r="AX129" i="64"/>
  <c r="AW243" i="113"/>
  <c r="AV206" i="113"/>
  <c r="AF208" i="113"/>
  <c r="K103" i="64"/>
  <c r="BK120" i="64"/>
  <c r="I199" i="113"/>
  <c r="BN200" i="113"/>
  <c r="AZ105" i="64"/>
  <c r="P202" i="113"/>
  <c r="I243" i="113"/>
  <c r="AI252" i="113"/>
  <c r="AH204" i="113"/>
  <c r="AI200" i="113"/>
  <c r="G202" i="113"/>
  <c r="R206" i="113"/>
  <c r="BH251" i="113"/>
  <c r="E123" i="64"/>
  <c r="BE252" i="113"/>
  <c r="AP120" i="64"/>
  <c r="BI209" i="113"/>
  <c r="L106" i="64"/>
  <c r="H205" i="113"/>
  <c r="F106" i="64"/>
  <c r="AE206" i="113"/>
  <c r="AX108" i="64"/>
  <c r="AL204" i="113"/>
  <c r="Y206" i="113"/>
  <c r="BQ203" i="113"/>
  <c r="BJ244" i="113"/>
  <c r="AW105" i="64"/>
  <c r="AK108" i="64"/>
  <c r="U199" i="113"/>
  <c r="AI104" i="64"/>
  <c r="AQ205" i="113"/>
  <c r="W202" i="113"/>
  <c r="BN210" i="113"/>
  <c r="Q252" i="113"/>
  <c r="F247" i="113"/>
  <c r="BV200" i="113"/>
  <c r="BF235" i="113"/>
  <c r="BA104" i="64"/>
  <c r="AR104" i="64"/>
  <c r="BD200" i="113"/>
  <c r="BO233" i="113"/>
  <c r="BJ235" i="113"/>
  <c r="AG243" i="113"/>
  <c r="AU104" i="64"/>
  <c r="BK208" i="113"/>
  <c r="BF252" i="113"/>
  <c r="AO203" i="113"/>
  <c r="L199" i="113"/>
  <c r="BN207" i="113"/>
  <c r="BS209" i="113"/>
  <c r="BG248" i="113"/>
  <c r="AD107" i="64"/>
  <c r="BP204" i="113"/>
  <c r="AI204" i="113"/>
  <c r="BL233" i="113"/>
  <c r="BF243" i="113"/>
  <c r="BW200" i="113"/>
  <c r="AT204" i="113"/>
  <c r="BT201" i="113"/>
  <c r="G252" i="113"/>
  <c r="G199" i="113"/>
  <c r="AE106" i="64"/>
  <c r="N201" i="113"/>
  <c r="BG236" i="113"/>
  <c r="H106" i="64"/>
  <c r="M205" i="113"/>
  <c r="V201" i="113"/>
  <c r="BI239" i="113"/>
  <c r="AR201" i="113"/>
  <c r="T210" i="113"/>
  <c r="AV210" i="113"/>
  <c r="AK207" i="113"/>
  <c r="AO106" i="64"/>
  <c r="R208" i="113"/>
  <c r="S106" i="64"/>
  <c r="P129" i="64"/>
  <c r="AL200" i="113"/>
  <c r="BI103" i="64"/>
  <c r="AO209" i="113"/>
  <c r="Q203" i="113"/>
  <c r="V209" i="113"/>
  <c r="BG243" i="113"/>
  <c r="H208" i="113"/>
  <c r="AN129" i="64"/>
  <c r="AM252" i="113"/>
  <c r="E243" i="113"/>
  <c r="AH107" i="64"/>
  <c r="AJ203" i="113"/>
  <c r="S202" i="113"/>
  <c r="BY208" i="113"/>
  <c r="BF242" i="113"/>
  <c r="O203" i="113"/>
  <c r="AX208" i="113"/>
  <c r="AR252" i="113"/>
  <c r="BI204" i="113"/>
  <c r="AC129" i="64"/>
  <c r="J209" i="113"/>
  <c r="AP203" i="113"/>
  <c r="J207" i="113"/>
  <c r="BG245" i="113"/>
  <c r="AM120" i="64"/>
  <c r="L204" i="113"/>
  <c r="AX204" i="113"/>
  <c r="W203" i="113"/>
  <c r="BT203" i="113"/>
  <c r="Y108" i="64"/>
  <c r="AY252" i="113"/>
  <c r="AD201" i="113"/>
  <c r="Z106" i="64"/>
  <c r="BD243" i="113"/>
  <c r="BC243" i="113"/>
  <c r="BK106" i="64"/>
  <c r="BB210" i="113"/>
  <c r="BC129" i="64"/>
  <c r="P252" i="113"/>
  <c r="BT252" i="113"/>
  <c r="AM200" i="113"/>
  <c r="AB208" i="113"/>
  <c r="BE107" i="64"/>
  <c r="BG205" i="113"/>
  <c r="AL208" i="113"/>
  <c r="BY210" i="113"/>
  <c r="N206" i="113"/>
  <c r="O104" i="64"/>
  <c r="F250" i="113"/>
  <c r="BQ204" i="113"/>
  <c r="V108" i="64"/>
  <c r="AI205" i="113"/>
  <c r="BM202" i="113"/>
  <c r="AY201" i="113"/>
  <c r="BJ207" i="113"/>
  <c r="BF120" i="64"/>
  <c r="E108" i="64"/>
  <c r="M252" i="113"/>
  <c r="AC203" i="113"/>
  <c r="BG208" i="113"/>
  <c r="S201" i="113"/>
  <c r="F205" i="113"/>
  <c r="BH244" i="113"/>
  <c r="Q209" i="113"/>
  <c r="AN210" i="113"/>
  <c r="AG120" i="64"/>
  <c r="D107" i="64"/>
  <c r="K129" i="64"/>
  <c r="BK202" i="113"/>
  <c r="BM199" i="113"/>
  <c r="N243" i="113"/>
  <c r="AA129" i="64"/>
  <c r="AH201" i="113"/>
  <c r="BS207" i="113"/>
  <c r="BL234" i="113"/>
  <c r="BH235" i="113"/>
  <c r="BI203" i="113"/>
  <c r="H129" i="64"/>
  <c r="AV202" i="113"/>
  <c r="BC106" i="64"/>
  <c r="N129" i="64"/>
  <c r="AK206" i="113"/>
  <c r="BE207" i="113"/>
  <c r="AN202" i="113"/>
  <c r="BJ241" i="113"/>
  <c r="AO204" i="113"/>
  <c r="AE203" i="113"/>
  <c r="AO103" i="64"/>
  <c r="E124" i="64"/>
  <c r="BM200" i="113"/>
  <c r="V207" i="113"/>
  <c r="BP200" i="113"/>
  <c r="I107" i="64"/>
  <c r="AK205" i="113"/>
  <c r="AA207" i="113"/>
  <c r="BG107" i="64"/>
  <c r="AO129" i="64"/>
  <c r="BH105" i="64"/>
  <c r="E207" i="113"/>
  <c r="U202" i="113"/>
  <c r="BB252" i="113"/>
  <c r="R199" i="113"/>
  <c r="BF240" i="113"/>
  <c r="V210" i="113"/>
  <c r="AF204" i="113"/>
  <c r="AZ207" i="113"/>
  <c r="F209" i="113"/>
  <c r="BP208" i="113"/>
  <c r="BW204" i="113"/>
  <c r="AD208" i="113"/>
  <c r="AM108" i="64"/>
  <c r="D128" i="64"/>
  <c r="AP199" i="113"/>
  <c r="BE239" i="113"/>
  <c r="BN204" i="113"/>
  <c r="BX243" i="113"/>
  <c r="AC202" i="113"/>
  <c r="AM210" i="113"/>
  <c r="AD252" i="113"/>
  <c r="BV204" i="113"/>
  <c r="O200" i="113"/>
  <c r="M201" i="113"/>
  <c r="AJ243" i="113"/>
  <c r="AH205" i="113"/>
  <c r="BI241" i="113"/>
  <c r="BE243" i="113"/>
  <c r="T252" i="113"/>
  <c r="BE237" i="113"/>
  <c r="AX209" i="113"/>
  <c r="R205" i="113"/>
  <c r="AN207" i="113"/>
  <c r="AD202" i="113"/>
  <c r="AB205" i="113"/>
  <c r="AO107" i="64"/>
  <c r="AP105" i="64"/>
  <c r="BE244" i="113"/>
  <c r="AA103" i="64"/>
  <c r="Y207" i="113"/>
  <c r="BL208" i="113"/>
  <c r="W104" i="64"/>
  <c r="N120" i="64"/>
  <c r="AH103" i="64"/>
  <c r="AQ202" i="113"/>
  <c r="BF246" i="113"/>
  <c r="AA104" i="64"/>
  <c r="AX206" i="113"/>
  <c r="BB202" i="113"/>
  <c r="T106" i="64"/>
  <c r="BE105" i="64"/>
  <c r="BE246" i="113"/>
  <c r="BP205" i="113"/>
  <c r="AM202" i="113"/>
  <c r="W129" i="64"/>
  <c r="BJ208" i="113"/>
  <c r="AQ105" i="64"/>
  <c r="AE243" i="113"/>
  <c r="AR202" i="113"/>
  <c r="BF129" i="64"/>
  <c r="BI235" i="113"/>
  <c r="BJ107" i="64"/>
  <c r="AI243" i="113"/>
  <c r="BA199" i="113"/>
  <c r="Z210" i="113"/>
  <c r="AP103" i="64"/>
  <c r="AL106" i="64"/>
  <c r="AV204" i="113"/>
  <c r="R129" i="64"/>
  <c r="AV104" i="64"/>
  <c r="T104" i="64"/>
  <c r="BA108" i="64"/>
  <c r="BG203" i="113"/>
  <c r="AE210" i="113"/>
  <c r="Y252" i="113"/>
  <c r="AG105" i="64"/>
  <c r="E107" i="64"/>
  <c r="AQ129" i="64"/>
  <c r="BW252" i="113"/>
  <c r="AN120" i="64"/>
  <c r="AA201" i="113"/>
  <c r="BE250" i="113"/>
  <c r="E122" i="64"/>
  <c r="AY107" i="64"/>
  <c r="AS243" i="113"/>
  <c r="U208" i="113"/>
  <c r="BH250" i="113"/>
  <c r="BV205" i="113"/>
  <c r="BV252" i="113"/>
  <c r="Z199" i="113"/>
  <c r="AN107" i="64"/>
  <c r="O207" i="113"/>
  <c r="AQ120" i="64"/>
  <c r="AD204" i="113"/>
  <c r="AM208" i="113"/>
  <c r="BJ105" i="64"/>
  <c r="BB129" i="64"/>
  <c r="BK209" i="113"/>
  <c r="E251" i="113"/>
  <c r="N103" i="64"/>
  <c r="BC103" i="64"/>
  <c r="AW252" i="113"/>
  <c r="BX252" i="113"/>
  <c r="L104" i="64"/>
  <c r="AU105" i="64"/>
  <c r="AT243" i="113"/>
  <c r="BY209" i="113"/>
  <c r="AL206" i="113"/>
  <c r="M208" i="113"/>
  <c r="AU205" i="113"/>
  <c r="E104" i="64"/>
  <c r="BF239" i="113"/>
  <c r="BE245" i="113"/>
  <c r="AM103" i="64"/>
  <c r="BD203" i="113"/>
  <c r="M209" i="113"/>
  <c r="M207" i="113"/>
  <c r="H203" i="113"/>
  <c r="F129" i="64"/>
  <c r="T103" i="64"/>
  <c r="BP210" i="113"/>
  <c r="F108" i="64"/>
  <c r="K108" i="64"/>
  <c r="BM208" i="113"/>
  <c r="BJ250" i="113"/>
  <c r="F124" i="64"/>
  <c r="AR129" i="64"/>
  <c r="AI199" i="113"/>
  <c r="F238" i="113"/>
  <c r="W106" i="64"/>
  <c r="AT206" i="113"/>
  <c r="BG244" i="113"/>
  <c r="AS201" i="113"/>
  <c r="Q103" i="64"/>
  <c r="AE205" i="113"/>
  <c r="I207" i="113"/>
  <c r="T205" i="113"/>
  <c r="BP243" i="113"/>
  <c r="BO210" i="113"/>
  <c r="AL129" i="64"/>
  <c r="U120" i="64"/>
  <c r="BU210" i="113"/>
  <c r="BI206" i="113"/>
  <c r="AD200" i="113"/>
  <c r="BL207" i="113"/>
  <c r="BX201" i="113"/>
  <c r="BQ202" i="113"/>
  <c r="AI208" i="113"/>
  <c r="AC204" i="113"/>
  <c r="BA103" i="64"/>
  <c r="P203" i="113"/>
  <c r="N106" i="64"/>
  <c r="BA243" i="113"/>
  <c r="L202" i="113"/>
  <c r="BG246" i="113"/>
  <c r="S203" i="113"/>
  <c r="F121" i="64"/>
  <c r="K200" i="113"/>
  <c r="J204" i="113"/>
  <c r="S243" i="113"/>
  <c r="BY203" i="113"/>
  <c r="AE207" i="113"/>
  <c r="AI201" i="113"/>
  <c r="BJ245" i="113"/>
  <c r="AX105" i="64"/>
  <c r="AY203" i="113"/>
  <c r="BG250" i="113"/>
  <c r="AI129" i="64"/>
  <c r="N104" i="64"/>
  <c r="E127" i="64"/>
  <c r="V202" i="113"/>
  <c r="BT199" i="113"/>
  <c r="S205" i="113"/>
  <c r="BD201" i="113"/>
  <c r="BI107" i="64"/>
  <c r="H202" i="113"/>
  <c r="U201" i="113"/>
  <c r="BO209" i="113"/>
  <c r="BI200" i="113"/>
  <c r="V205" i="113"/>
  <c r="E236" i="113"/>
  <c r="BO208" i="113"/>
  <c r="U129" i="64"/>
  <c r="AN203" i="113"/>
  <c r="Y129" i="64"/>
  <c r="AB105" i="64"/>
  <c r="BV208" i="113"/>
  <c r="D129" i="64"/>
  <c r="BL200" i="113"/>
  <c r="BI129" i="64"/>
  <c r="BF108" i="64"/>
  <c r="BN199" i="113"/>
  <c r="AT203" i="113"/>
  <c r="BB200" i="113"/>
  <c r="BB201" i="113"/>
  <c r="AA108" i="64"/>
  <c r="BE242" i="113"/>
  <c r="AR107" i="64"/>
  <c r="BA105" i="64"/>
  <c r="BP209" i="113"/>
  <c r="BL210" i="113"/>
  <c r="AN204" i="113"/>
  <c r="L103" i="64"/>
  <c r="BG238" i="113"/>
  <c r="AX120" i="64"/>
  <c r="AJ206" i="113"/>
  <c r="E208" i="113"/>
  <c r="Q202" i="113"/>
  <c r="AC201" i="113"/>
  <c r="AV201" i="113"/>
  <c r="BO252" i="113"/>
  <c r="I201" i="113"/>
  <c r="AJ209" i="113"/>
  <c r="W207" i="113"/>
  <c r="BJ249" i="113"/>
  <c r="BD252" i="113"/>
  <c r="V199" i="113"/>
  <c r="AA203" i="113"/>
  <c r="AK202" i="113"/>
  <c r="V129" i="64"/>
  <c r="G129" i="64"/>
  <c r="AM107" i="64"/>
  <c r="R108" i="64"/>
  <c r="Y105" i="64"/>
  <c r="AE107" i="64"/>
  <c r="T202" i="113"/>
  <c r="AZ201" i="113"/>
  <c r="AJ108" i="64"/>
  <c r="AF243" i="113"/>
  <c r="AZ103" i="64"/>
  <c r="AW106" i="64"/>
  <c r="BG106" i="64"/>
  <c r="E105" i="64"/>
  <c r="BH206" i="113"/>
  <c r="BB243" i="113"/>
  <c r="AJ204" i="113"/>
  <c r="BC202" i="113"/>
  <c r="AH206" i="113"/>
  <c r="AK201" i="113"/>
  <c r="AJ120" i="64"/>
  <c r="Z243" i="113"/>
  <c r="BN205" i="113"/>
  <c r="BE106" i="64"/>
  <c r="X243" i="113"/>
  <c r="AR203" i="113"/>
  <c r="AS207" i="113"/>
  <c r="BS243" i="113"/>
  <c r="AC105" i="64"/>
  <c r="AW120" i="64"/>
  <c r="T209" i="113"/>
  <c r="BP233" i="113"/>
  <c r="AY199" i="113"/>
  <c r="AA107" i="64"/>
  <c r="J199" i="113"/>
  <c r="J129" i="64"/>
  <c r="X104" i="64"/>
  <c r="BS200" i="113"/>
  <c r="P209" i="113"/>
  <c r="M199" i="113"/>
  <c r="F104" i="64"/>
  <c r="BS210" i="113"/>
  <c r="AP108" i="64"/>
  <c r="E237" i="113"/>
  <c r="BI105" i="64"/>
  <c r="AK105" i="64"/>
  <c r="H105" i="64"/>
  <c r="BC207" i="113"/>
  <c r="AZ243" i="113"/>
  <c r="H107" i="64"/>
  <c r="E250" i="113"/>
  <c r="Q200" i="113"/>
  <c r="BV206" i="113"/>
  <c r="AU120" i="64"/>
  <c r="BP206" i="113"/>
  <c r="BW201" i="113"/>
  <c r="AP129" i="64"/>
  <c r="T206" i="113"/>
  <c r="AC199" i="113"/>
  <c r="BG209" i="113"/>
  <c r="AI108" i="64"/>
  <c r="AC207" i="113"/>
  <c r="AA208" i="113"/>
  <c r="AX103" i="64"/>
  <c r="I106" i="64"/>
  <c r="AM207" i="113"/>
  <c r="U243" i="113"/>
  <c r="AD199" i="113"/>
  <c r="BI250" i="113"/>
  <c r="AQ243" i="113"/>
  <c r="P210" i="113"/>
  <c r="BT210" i="113"/>
  <c r="BG241" i="113"/>
  <c r="AQ203" i="113"/>
  <c r="P204" i="113"/>
  <c r="O202" i="113"/>
  <c r="BC252" i="113"/>
  <c r="BY243" i="113"/>
  <c r="O120" i="64"/>
  <c r="BH201" i="113"/>
  <c r="AE105" i="64"/>
  <c r="BV210" i="113"/>
  <c r="AU103" i="64"/>
  <c r="E17" i="64"/>
  <c r="BJ103" i="64"/>
  <c r="AJ199" i="113"/>
  <c r="N202" i="113"/>
  <c r="T107" i="64"/>
  <c r="AC200" i="113"/>
  <c r="AH199" i="113"/>
  <c r="BP203" i="113"/>
  <c r="AY106" i="64"/>
  <c r="BB103" i="64"/>
  <c r="AB104" i="64"/>
  <c r="BD207" i="113"/>
  <c r="AV203" i="113"/>
  <c r="AK199" i="113"/>
  <c r="J203" i="113"/>
  <c r="R105" i="64"/>
  <c r="S105" i="64"/>
  <c r="AK103" i="64"/>
  <c r="BJ108" i="64"/>
  <c r="AA210" i="113"/>
  <c r="F107" i="64"/>
  <c r="U207" i="113"/>
  <c r="AD106" i="64"/>
  <c r="BN233" i="113"/>
  <c r="BV209" i="113"/>
  <c r="AT105" i="64"/>
  <c r="F245" i="113"/>
  <c r="BH239" i="113"/>
  <c r="AC206" i="113"/>
  <c r="S108" i="64"/>
  <c r="BM204" i="113"/>
  <c r="BQ243" i="113"/>
  <c r="S204" i="113"/>
  <c r="AG107" i="64"/>
  <c r="F248" i="113"/>
  <c r="AU199" i="113"/>
  <c r="Z108" i="64"/>
  <c r="BO206" i="113"/>
  <c r="BX205" i="113"/>
  <c r="AH108" i="64"/>
  <c r="AK104" i="64"/>
  <c r="AG203" i="113"/>
  <c r="AO202" i="113"/>
  <c r="BU205" i="113"/>
  <c r="BF104" i="64"/>
  <c r="AR108" i="64"/>
  <c r="AK210" i="113"/>
  <c r="Z205" i="113"/>
  <c r="AM105" i="64"/>
  <c r="V252" i="113"/>
  <c r="AF104" i="64"/>
  <c r="AQ103" i="64"/>
  <c r="AB106" i="64"/>
  <c r="AH105" i="64"/>
  <c r="BA208" i="113"/>
  <c r="AD120" i="64"/>
  <c r="BC199" i="113"/>
  <c r="BC204" i="113"/>
  <c r="AJ105" i="64"/>
  <c r="T129" i="64"/>
  <c r="W105" i="64"/>
  <c r="AS204" i="113"/>
  <c r="AB203" i="113"/>
  <c r="U103" i="64"/>
  <c r="BQ205" i="113"/>
  <c r="R202" i="113"/>
  <c r="AR207" i="113"/>
  <c r="AX107" i="64"/>
  <c r="AS106" i="64"/>
  <c r="E209" i="113"/>
  <c r="E103" i="64"/>
  <c r="O129" i="64"/>
  <c r="AO210" i="113"/>
  <c r="BH208" i="113"/>
  <c r="M200" i="113"/>
  <c r="BE205" i="113"/>
  <c r="G106" i="64"/>
  <c r="N199" i="113"/>
  <c r="D104" i="64"/>
  <c r="AZ120" i="64"/>
  <c r="G207" i="113"/>
  <c r="BS204" i="113"/>
  <c r="P108" i="64"/>
  <c r="BJ243" i="113"/>
  <c r="AH200" i="113"/>
  <c r="BK233" i="113"/>
  <c r="AB210" i="113"/>
  <c r="BB208" i="113"/>
  <c r="S210" i="113"/>
  <c r="AX202" i="113"/>
  <c r="AG207" i="113"/>
  <c r="K252" i="113"/>
  <c r="BI210" i="113"/>
  <c r="BK205" i="113"/>
  <c r="BP252" i="113"/>
  <c r="AE252" i="113"/>
  <c r="AZ210" i="113"/>
  <c r="BI247" i="113"/>
  <c r="AK120" i="64"/>
  <c r="BN234" i="113"/>
  <c r="BC108" i="64"/>
  <c r="Z105" i="64"/>
  <c r="AJ207" i="113"/>
  <c r="AA105" i="64"/>
  <c r="AE208" i="113"/>
  <c r="AW205" i="113"/>
  <c r="AT201" i="113"/>
  <c r="X200" i="113"/>
  <c r="G241" i="113"/>
  <c r="U105" i="64"/>
  <c r="AF107" i="64"/>
  <c r="AD207" i="113"/>
  <c r="BC206" i="113"/>
  <c r="BQ206" i="113"/>
  <c r="AO105" i="64"/>
  <c r="J200" i="113"/>
  <c r="AC210" i="113"/>
  <c r="N207" i="113"/>
  <c r="BE236" i="113"/>
  <c r="U203" i="113"/>
  <c r="BJ252" i="113"/>
  <c r="M103" i="64"/>
  <c r="AF105" i="64"/>
  <c r="BK201" i="113"/>
  <c r="AH120" i="64"/>
  <c r="AN252" i="113"/>
  <c r="BM209" i="113"/>
  <c r="AE202" i="113"/>
  <c r="AQ107" i="64"/>
  <c r="E129" i="64"/>
  <c r="F243" i="113"/>
  <c r="BM243" i="113"/>
  <c r="BF210" i="113"/>
  <c r="BK207" i="113"/>
  <c r="AL205" i="113"/>
  <c r="K203" i="113"/>
  <c r="AX205" i="113"/>
  <c r="AO120" i="64"/>
  <c r="BB108" i="64"/>
  <c r="M210" i="113"/>
  <c r="X210" i="113"/>
  <c r="AT205" i="113"/>
  <c r="AR209" i="113"/>
  <c r="J210" i="113"/>
  <c r="Z204" i="113"/>
  <c r="Q204" i="113"/>
  <c r="W103" i="64"/>
  <c r="AJ103" i="64"/>
  <c r="G203" i="113"/>
  <c r="AR210" i="113"/>
  <c r="P200" i="113"/>
  <c r="BI244" i="113"/>
  <c r="AI209" i="113"/>
  <c r="AV243" i="113"/>
  <c r="H206" i="113"/>
  <c r="BT202" i="113"/>
  <c r="Y200" i="113"/>
  <c r="AC104" i="64"/>
  <c r="AE120" i="64"/>
  <c r="G108" i="64"/>
  <c r="AQ252" i="113"/>
  <c r="BA204" i="113"/>
  <c r="BO234" i="113"/>
  <c r="H210" i="113"/>
  <c r="Q107" i="64"/>
  <c r="R209" i="113"/>
  <c r="AP243" i="113"/>
  <c r="L207" i="113"/>
  <c r="AP104" i="64"/>
  <c r="BF201" i="113"/>
  <c r="BI205" i="113"/>
  <c r="BI246" i="113"/>
  <c r="U206" i="113"/>
  <c r="BX208" i="113"/>
  <c r="E200" i="113"/>
  <c r="BG206" i="113"/>
  <c r="BF244" i="113"/>
  <c r="AU107" i="64"/>
  <c r="AU108" i="64"/>
  <c r="AO208" i="113"/>
  <c r="BB199" i="113"/>
  <c r="AS105" i="64"/>
  <c r="AY205" i="113"/>
  <c r="AX104" i="64"/>
  <c r="X105" i="64"/>
  <c r="BW210" i="113"/>
  <c r="M107" i="64"/>
  <c r="F123" i="64"/>
  <c r="AT120" i="64"/>
  <c r="BE103" i="64"/>
  <c r="K243" i="113"/>
  <c r="AW200" i="113"/>
  <c r="Z107" i="64"/>
  <c r="BG235" i="113"/>
  <c r="O204" i="113"/>
  <c r="E252" i="113"/>
  <c r="J206" i="113"/>
  <c r="M243" i="113"/>
  <c r="BT209" i="113"/>
  <c r="AO207" i="113"/>
  <c r="R243" i="113"/>
  <c r="BI201" i="113"/>
  <c r="AL243" i="113"/>
  <c r="F200" i="113"/>
  <c r="BY205" i="113"/>
  <c r="AS104" i="64"/>
  <c r="AI206" i="113"/>
  <c r="AC205" i="113"/>
  <c r="BQ207" i="113"/>
  <c r="BU202" i="113"/>
  <c r="M202" i="113"/>
  <c r="BS205" i="113"/>
  <c r="BW202" i="113"/>
  <c r="AA243" i="113"/>
  <c r="BK203" i="113"/>
  <c r="BL205" i="113"/>
  <c r="Q108" i="64"/>
  <c r="BD205" i="113"/>
  <c r="BL243" i="113"/>
  <c r="AA120" i="64"/>
  <c r="G107" i="64"/>
  <c r="BM206" i="113"/>
  <c r="BG200" i="113"/>
  <c r="P243" i="113"/>
  <c r="AC106" i="64"/>
  <c r="BN208" i="113"/>
  <c r="Z209" i="113"/>
  <c r="AT207" i="113"/>
  <c r="J205" i="113"/>
  <c r="AB199" i="113"/>
  <c r="X120" i="64"/>
  <c r="E248" i="113"/>
  <c r="AW107" i="64"/>
  <c r="W204" i="113"/>
  <c r="AQ106" i="64"/>
  <c r="AB201" i="113"/>
  <c r="AU204" i="113"/>
  <c r="AJ208" i="113"/>
  <c r="BQ209" i="113"/>
  <c r="AM199" i="113"/>
  <c r="BW208" i="113"/>
  <c r="AX199" i="113"/>
  <c r="BE208" i="113"/>
  <c r="G247" i="113"/>
  <c r="X252" i="113"/>
  <c r="E238" i="113"/>
  <c r="BE238" i="113"/>
  <c r="AL203" i="113"/>
  <c r="BG105" i="64"/>
  <c r="X107" i="64"/>
  <c r="BX204" i="113"/>
  <c r="BD199" i="113"/>
  <c r="P205" i="113"/>
  <c r="BH107" i="64"/>
  <c r="AA205" i="113"/>
  <c r="BF205" i="113"/>
  <c r="AA202" i="113"/>
  <c r="BQ200" i="113"/>
  <c r="AA206" i="113"/>
  <c r="K104" i="64"/>
  <c r="AP209" i="113"/>
  <c r="K105" i="64"/>
  <c r="T203" i="113"/>
  <c r="X204" i="113"/>
  <c r="F122" i="64"/>
  <c r="BB105" i="64"/>
  <c r="Q199" i="113"/>
  <c r="K210" i="113"/>
  <c r="E206" i="113"/>
  <c r="AE199" i="113"/>
  <c r="AE209" i="113"/>
  <c r="AM104" i="64"/>
  <c r="AY105" i="64"/>
  <c r="AR206" i="113"/>
  <c r="AZ252" i="113"/>
  <c r="BI199" i="113"/>
  <c r="AD103" i="64"/>
  <c r="BK199" i="113"/>
  <c r="BC200" i="113"/>
  <c r="AM206" i="113"/>
  <c r="R106" i="64"/>
  <c r="BW209" i="113"/>
  <c r="BH245" i="113"/>
  <c r="Y204" i="113"/>
  <c r="BM252" i="113"/>
  <c r="AZ107" i="64"/>
  <c r="BH106" i="64"/>
  <c r="BQ233" i="113"/>
  <c r="AR208" i="113"/>
  <c r="AA106" i="64"/>
  <c r="AJ104" i="64"/>
  <c r="AG209" i="113"/>
  <c r="BJ104" i="64"/>
  <c r="D127" i="64"/>
  <c r="G209" i="113"/>
  <c r="H201" i="113"/>
  <c r="AR199" i="113"/>
  <c r="BG251" i="113"/>
  <c r="BE241" i="113"/>
  <c r="AN201" i="113"/>
  <c r="L105" i="64"/>
  <c r="F206" i="113"/>
  <c r="AP208" i="113"/>
  <c r="BF107" i="64"/>
  <c r="BQ234" i="113"/>
  <c r="Y103" i="64"/>
  <c r="BF207" i="113"/>
  <c r="P105" i="64"/>
  <c r="M203" i="113"/>
  <c r="BG129" i="64"/>
  <c r="AC209" i="113"/>
  <c r="AQ199" i="113"/>
  <c r="AY210" i="113"/>
  <c r="AO201" i="113"/>
  <c r="AW204" i="113"/>
  <c r="N252" i="113"/>
  <c r="L203" i="113"/>
  <c r="AG200" i="113"/>
  <c r="G250" i="113"/>
  <c r="AH208" i="113"/>
  <c r="AG103" i="64"/>
  <c r="BH104" i="64"/>
  <c r="I129" i="64"/>
  <c r="BC107" i="64"/>
  <c r="G236" i="113"/>
  <c r="T120" i="64"/>
  <c r="BH241" i="113"/>
  <c r="F204" i="113"/>
  <c r="AZ199" i="113"/>
  <c r="AM106" i="64"/>
  <c r="BF200" i="113"/>
  <c r="AR120" i="64"/>
  <c r="BB205" i="113"/>
  <c r="AN243" i="113"/>
  <c r="BF248" i="113"/>
  <c r="AZ209" i="113"/>
  <c r="BF106" i="64"/>
  <c r="O201" i="113"/>
  <c r="AP207" i="113"/>
  <c r="AV209" i="113"/>
  <c r="BH249" i="113"/>
  <c r="BC105" i="64"/>
  <c r="F201" i="113"/>
  <c r="AT129" i="64"/>
  <c r="BG249" i="113"/>
  <c r="BQ201" i="113"/>
  <c r="R252" i="113"/>
  <c r="AZ205" i="113"/>
  <c r="AU209" i="113"/>
  <c r="AW203" i="113"/>
  <c r="BK107" i="64"/>
  <c r="AJ200" i="113"/>
  <c r="AR205" i="113"/>
  <c r="AW129" i="64"/>
  <c r="AU106" i="64"/>
  <c r="Q201" i="113"/>
  <c r="E249" i="113"/>
  <c r="BO205" i="113"/>
  <c r="AI210" i="113"/>
  <c r="BU201" i="113"/>
  <c r="S120" i="64"/>
  <c r="M104" i="64"/>
  <c r="AI120" i="64"/>
  <c r="L205" i="113"/>
  <c r="S200" i="113"/>
  <c r="AD210" i="113"/>
  <c r="W205" i="113"/>
  <c r="E210" i="113"/>
  <c r="N105" i="64"/>
  <c r="BE202" i="113"/>
  <c r="AG104" i="64"/>
  <c r="AK200" i="113"/>
  <c r="H209" i="113"/>
  <c r="AA199" i="113"/>
  <c r="BS203" i="113"/>
  <c r="AH209" i="113"/>
  <c r="T199" i="113"/>
  <c r="R201" i="113"/>
  <c r="AV103" i="64"/>
  <c r="BF204" i="113"/>
  <c r="AE104" i="64"/>
  <c r="AH143" i="64" l="1"/>
  <c r="N147" i="64"/>
  <c r="A199" i="113"/>
  <c r="BA143" i="64"/>
  <c r="AV13" i="71" s="1"/>
  <c r="AK147" i="64"/>
  <c r="AF17" i="71" s="1"/>
  <c r="AW143" i="64"/>
  <c r="AR13" i="71" s="1"/>
  <c r="A236" i="113"/>
  <c r="Q143" i="64"/>
  <c r="AA143" i="64"/>
  <c r="BR252" i="113"/>
  <c r="A248" i="113"/>
  <c r="X147" i="64"/>
  <c r="AG147" i="64"/>
  <c r="A241" i="113"/>
  <c r="AB147" i="64"/>
  <c r="AZ147" i="64"/>
  <c r="AU17" i="71" s="1"/>
  <c r="BF147" i="64"/>
  <c r="A200" i="113"/>
  <c r="AY147" i="64"/>
  <c r="AT17" i="71" s="1"/>
  <c r="U147" i="64"/>
  <c r="AN143" i="64"/>
  <c r="AI13" i="71" s="1"/>
  <c r="AT143" i="64"/>
  <c r="AO13" i="71" s="1"/>
  <c r="AK143" i="64"/>
  <c r="AF13" i="71" s="1"/>
  <c r="AW147" i="64"/>
  <c r="AR17" i="71" s="1"/>
  <c r="AR147" i="64"/>
  <c r="AM17" i="71" s="1"/>
  <c r="AD143" i="64"/>
  <c r="A203" i="113"/>
  <c r="AJ147" i="64"/>
  <c r="AE17" i="71" s="1"/>
  <c r="AH147" i="64"/>
  <c r="A205" i="113"/>
  <c r="AB143" i="64"/>
  <c r="T143" i="64"/>
  <c r="BR200" i="113"/>
  <c r="BR209" i="113"/>
  <c r="AM147" i="64"/>
  <c r="AH17" i="71" s="1"/>
  <c r="BD107" i="64"/>
  <c r="AI147" i="64"/>
  <c r="AD17" i="71" s="1"/>
  <c r="BR203" i="113"/>
  <c r="I143" i="64"/>
  <c r="K13" i="71" s="1"/>
  <c r="T147" i="64"/>
  <c r="AA147" i="64"/>
  <c r="Z143" i="64"/>
  <c r="BB143" i="64"/>
  <c r="AW13" i="71" s="1"/>
  <c r="BR199" i="113"/>
  <c r="BR210" i="113"/>
  <c r="P147" i="64"/>
  <c r="AM143" i="64"/>
  <c r="AH13" i="71" s="1"/>
  <c r="A237" i="113"/>
  <c r="A242" i="113"/>
  <c r="AV147" i="64"/>
  <c r="AQ17" i="71" s="1"/>
  <c r="A204" i="113"/>
  <c r="BR202" i="113"/>
  <c r="AI143" i="64"/>
  <c r="AD13" i="71" s="1"/>
  <c r="AG143" i="64"/>
  <c r="A238" i="113"/>
  <c r="BD108" i="64"/>
  <c r="AS147" i="64"/>
  <c r="AN17" i="71" s="1"/>
  <c r="BD106" i="64"/>
  <c r="AZ143" i="64"/>
  <c r="AU13" i="71" s="1"/>
  <c r="AE147" i="64"/>
  <c r="V147" i="64"/>
  <c r="G143" i="64"/>
  <c r="I13" i="71" s="1"/>
  <c r="BD103" i="64"/>
  <c r="AN147" i="64"/>
  <c r="AI17" i="71" s="1"/>
  <c r="A210" i="113"/>
  <c r="BJ143" i="64"/>
  <c r="BC147" i="64"/>
  <c r="AX17" i="71" s="1"/>
  <c r="AP143" i="64"/>
  <c r="AK13" i="71" s="1"/>
  <c r="J143" i="64"/>
  <c r="L13" i="71" s="1"/>
  <c r="BR206" i="113"/>
  <c r="AU143" i="64"/>
  <c r="AP13" i="71" s="1"/>
  <c r="BG147" i="64"/>
  <c r="AC143" i="64"/>
  <c r="AF147" i="64"/>
  <c r="BH147" i="64"/>
  <c r="A243" i="113"/>
  <c r="BR204" i="113"/>
  <c r="BB147" i="64"/>
  <c r="AW17" i="71" s="1"/>
  <c r="R147" i="64"/>
  <c r="AU147" i="64"/>
  <c r="AP17" i="71" s="1"/>
  <c r="O147" i="64"/>
  <c r="BR207" i="113"/>
  <c r="A240" i="113"/>
  <c r="BD129" i="64"/>
  <c r="AV143" i="64"/>
  <c r="AU156" i="64" s="1"/>
  <c r="M143" i="64"/>
  <c r="O13" i="71" s="1"/>
  <c r="A209" i="113"/>
  <c r="BC143" i="64"/>
  <c r="AX13" i="71" s="1"/>
  <c r="BR208" i="113"/>
  <c r="BR205" i="113"/>
  <c r="N143" i="64"/>
  <c r="X143" i="64"/>
  <c r="AJ143" i="64"/>
  <c r="AE13" i="71" s="1"/>
  <c r="AP147" i="64"/>
  <c r="AK17" i="71" s="1"/>
  <c r="A251" i="113"/>
  <c r="W143" i="64"/>
  <c r="S143" i="64"/>
  <c r="BH143" i="64"/>
  <c r="AF143" i="64"/>
  <c r="BE147" i="64"/>
  <c r="BF143" i="64"/>
  <c r="Y143" i="64"/>
  <c r="S147" i="64"/>
  <c r="A202" i="113"/>
  <c r="A207" i="113"/>
  <c r="BI143" i="64"/>
  <c r="U143" i="64"/>
  <c r="A250" i="113"/>
  <c r="AL143" i="64"/>
  <c r="AG13" i="71" s="1"/>
  <c r="BD104" i="64"/>
  <c r="AL147" i="64"/>
  <c r="AG17" i="71" s="1"/>
  <c r="BK147" i="64"/>
  <c r="K143" i="64"/>
  <c r="M13" i="71" s="1"/>
  <c r="W147" i="64"/>
  <c r="AQ147" i="64"/>
  <c r="AL17" i="71" s="1"/>
  <c r="A201" i="113"/>
  <c r="R143" i="64"/>
  <c r="BD105" i="64"/>
  <c r="A252" i="113"/>
  <c r="H143" i="64"/>
  <c r="J13" i="71" s="1"/>
  <c r="P143" i="64"/>
  <c r="Z147" i="64"/>
  <c r="BI147" i="64"/>
  <c r="BK143" i="64"/>
  <c r="O143" i="64"/>
  <c r="AO147" i="64"/>
  <c r="AJ17" i="71" s="1"/>
  <c r="A245" i="113"/>
  <c r="BA147" i="64"/>
  <c r="AV17" i="71" s="1"/>
  <c r="A208" i="113"/>
  <c r="BJ147" i="64"/>
  <c r="BG143" i="64"/>
  <c r="AD147" i="64"/>
  <c r="AX143" i="64"/>
  <c r="AS13" i="71" s="1"/>
  <c r="BR201" i="113"/>
  <c r="AE143" i="64"/>
  <c r="AX147" i="64"/>
  <c r="AS17" i="71" s="1"/>
  <c r="AY143" i="64"/>
  <c r="AT13" i="71" s="1"/>
  <c r="Q147" i="64"/>
  <c r="Y147" i="64"/>
  <c r="BE143" i="64"/>
  <c r="AO143" i="64"/>
  <c r="AJ13" i="71" s="1"/>
  <c r="A239" i="113"/>
  <c r="A206" i="113"/>
  <c r="AT147" i="64"/>
  <c r="AO17" i="71" s="1"/>
  <c r="AR143" i="64"/>
  <c r="AM13" i="71" s="1"/>
  <c r="A249" i="113"/>
  <c r="L143" i="64"/>
  <c r="N13" i="71" s="1"/>
  <c r="A247" i="113"/>
  <c r="AS143" i="64"/>
  <c r="AN13" i="71" s="1"/>
  <c r="A246" i="113"/>
  <c r="V143" i="64"/>
  <c r="AQ143" i="64"/>
  <c r="AL13" i="71" s="1"/>
  <c r="AC147" i="64"/>
  <c r="BR243" i="113"/>
  <c r="DZ8" i="146"/>
  <c r="DZ10" i="146"/>
  <c r="H13" i="71" l="1"/>
  <c r="BP143" i="64"/>
  <c r="BQ143" i="64"/>
  <c r="H17" i="71"/>
  <c r="BL147" i="64"/>
  <c r="BQ147" i="64"/>
  <c r="BP147" i="64"/>
  <c r="BM143" i="64"/>
  <c r="BN147" i="64"/>
  <c r="G17" i="71"/>
  <c r="BS147" i="64"/>
  <c r="BT147" i="64"/>
  <c r="BN143" i="64"/>
  <c r="BS143" i="64"/>
  <c r="F13" i="71"/>
  <c r="BD143" i="64"/>
  <c r="F17" i="71"/>
  <c r="C13" i="71"/>
  <c r="BO143" i="64"/>
  <c r="AQ13" i="71"/>
  <c r="G13" i="71" s="1"/>
  <c r="BR143" i="64"/>
  <c r="BT143" i="64"/>
  <c r="BL143" i="64"/>
  <c r="BO147" i="64"/>
  <c r="AV156" i="64"/>
  <c r="BM147" i="64"/>
  <c r="BR147" i="64"/>
  <c r="EO1" i="128"/>
  <c r="EH1" i="128"/>
  <c r="EA1" i="128"/>
  <c r="DT1" i="128"/>
  <c r="DM1" i="128"/>
  <c r="DF1" i="128"/>
  <c r="CY1" i="128"/>
  <c r="CR1" i="128"/>
  <c r="CK1" i="128"/>
  <c r="CD1" i="128"/>
  <c r="BW10" i="128"/>
  <c r="BW8" i="128"/>
  <c r="BW6" i="128"/>
  <c r="BW1" i="128"/>
  <c r="BP1" i="128"/>
  <c r="BI1" i="128" l="1"/>
  <c r="BB1" i="128"/>
  <c r="AD1" i="128"/>
  <c r="EN1" i="132"/>
  <c r="EG1" i="132"/>
  <c r="DZ1" i="132"/>
  <c r="DS1" i="132"/>
  <c r="DL1" i="132"/>
  <c r="DE1" i="132"/>
  <c r="CX1" i="132"/>
  <c r="CQ1" i="132"/>
  <c r="CJ1" i="132"/>
  <c r="CC1" i="132"/>
  <c r="BV27" i="132"/>
  <c r="BV26" i="132"/>
  <c r="BV17" i="132"/>
  <c r="BV16" i="132"/>
  <c r="BV7" i="132"/>
  <c r="BV6" i="132"/>
  <c r="BV1" i="132"/>
  <c r="BO1" i="132"/>
  <c r="BH1" i="132"/>
  <c r="BA1" i="132"/>
  <c r="EU1" i="135"/>
  <c r="EN1" i="135"/>
  <c r="EG1" i="135"/>
  <c r="DZ1" i="135"/>
  <c r="DS1" i="135"/>
  <c r="DL1" i="135"/>
  <c r="DE1" i="135"/>
  <c r="CX1" i="135"/>
  <c r="CQ1" i="135"/>
  <c r="CJ1" i="135"/>
  <c r="CC36" i="135"/>
  <c r="CC21" i="135"/>
  <c r="CC6" i="135"/>
  <c r="CC1" i="135"/>
  <c r="BV1" i="135"/>
  <c r="BO1" i="135"/>
  <c r="BH1" i="135"/>
  <c r="AJ1" i="135"/>
  <c r="EU1" i="134"/>
  <c r="EN1" i="134"/>
  <c r="EG1" i="134"/>
  <c r="DZ1" i="134"/>
  <c r="DS1" i="134"/>
  <c r="DL1" i="134"/>
  <c r="DE1" i="134"/>
  <c r="CX1" i="134"/>
  <c r="CQ1" i="134"/>
  <c r="CJ1" i="134"/>
  <c r="CC19" i="134"/>
  <c r="CC18" i="134"/>
  <c r="CC17" i="134"/>
  <c r="CC16" i="134"/>
  <c r="CC14" i="134"/>
  <c r="CC13" i="134"/>
  <c r="CC12" i="134"/>
  <c r="CC11" i="134"/>
  <c r="CC9" i="134"/>
  <c r="CC8" i="134"/>
  <c r="CC7" i="134"/>
  <c r="CC6" i="134"/>
  <c r="CC1" i="134"/>
  <c r="BV1" i="134"/>
  <c r="BO1" i="134"/>
  <c r="BH1" i="134"/>
  <c r="AJ7" i="134"/>
  <c r="AJ6" i="134"/>
  <c r="AJ16" i="134" s="1"/>
  <c r="AJ1" i="134"/>
  <c r="EN1" i="145"/>
  <c r="EG1" i="145"/>
  <c r="DZ1" i="145"/>
  <c r="DS1" i="145"/>
  <c r="DL1" i="145"/>
  <c r="DE1" i="145"/>
  <c r="CX1" i="145"/>
  <c r="CQ1" i="145"/>
  <c r="CJ1" i="145"/>
  <c r="CC1" i="145"/>
  <c r="BV6" i="145"/>
  <c r="DS6" i="145" s="1"/>
  <c r="BV1" i="145"/>
  <c r="BO1" i="145"/>
  <c r="BH1" i="145"/>
  <c r="BA1" i="145"/>
  <c r="AC16" i="145"/>
  <c r="AC11" i="145"/>
  <c r="EN11" i="145" s="1"/>
  <c r="AC1" i="145"/>
  <c r="AD1" i="145"/>
  <c r="N29" i="113"/>
  <c r="EG16" i="145" l="1"/>
  <c r="EN16" i="145"/>
  <c r="DZ11" i="145"/>
  <c r="EG11" i="145"/>
  <c r="DS16" i="145"/>
  <c r="DZ16" i="145"/>
  <c r="DL11" i="145"/>
  <c r="DS11" i="145"/>
  <c r="DT6" i="128"/>
  <c r="AD8" i="128"/>
  <c r="AD10" i="128"/>
  <c r="DZ6" i="134"/>
  <c r="DZ7" i="134"/>
  <c r="DZ16" i="134"/>
  <c r="AJ8" i="134"/>
  <c r="AJ11" i="134"/>
  <c r="AJ17" i="134"/>
  <c r="AJ9" i="134"/>
  <c r="AJ12" i="134"/>
  <c r="N25" i="113"/>
  <c r="BQ29" i="113"/>
  <c r="N26" i="113"/>
  <c r="N30" i="113"/>
  <c r="DT10" i="128" l="1"/>
  <c r="DT8" i="128"/>
  <c r="DZ8" i="134"/>
  <c r="DZ11" i="134"/>
  <c r="DZ12" i="134"/>
  <c r="DZ17" i="134"/>
  <c r="DZ9" i="134"/>
  <c r="AJ13" i="134"/>
  <c r="AJ18" i="134"/>
  <c r="AJ14" i="134"/>
  <c r="AJ19" i="134"/>
  <c r="N28" i="113"/>
  <c r="N27" i="113"/>
  <c r="N32" i="113"/>
  <c r="BQ231" i="113"/>
  <c r="BQ25" i="113"/>
  <c r="BQ232" i="113"/>
  <c r="BQ26" i="113"/>
  <c r="N31" i="113"/>
  <c r="BQ30" i="113"/>
  <c r="DZ18" i="134" l="1"/>
  <c r="DZ13" i="134"/>
  <c r="DZ19" i="134"/>
  <c r="DZ14" i="134"/>
  <c r="BQ31" i="113"/>
  <c r="BQ32" i="113"/>
  <c r="BQ27" i="113"/>
  <c r="BQ28" i="113"/>
  <c r="EO1" i="89" l="1"/>
  <c r="EH1" i="89"/>
  <c r="EA1" i="89"/>
  <c r="DT1" i="89"/>
  <c r="DM1" i="89"/>
  <c r="DF1" i="89"/>
  <c r="CY1" i="89"/>
  <c r="CR1" i="89"/>
  <c r="CK1" i="89"/>
  <c r="CD1" i="89"/>
  <c r="BW12" i="89"/>
  <c r="BW9" i="89"/>
  <c r="BW6" i="89"/>
  <c r="BW1" i="89"/>
  <c r="BP1" i="89"/>
  <c r="BI1" i="89"/>
  <c r="BB1" i="89"/>
  <c r="AD1" i="89" l="1"/>
  <c r="EN1" i="78"/>
  <c r="EG1" i="78"/>
  <c r="DZ1" i="78"/>
  <c r="DS1" i="78"/>
  <c r="DL1" i="78"/>
  <c r="DE1" i="78"/>
  <c r="CX1" i="78"/>
  <c r="CQ1" i="78"/>
  <c r="CJ1" i="78"/>
  <c r="CC1" i="78"/>
  <c r="BV31" i="78"/>
  <c r="BV30" i="78"/>
  <c r="BV29" i="78"/>
  <c r="BV28" i="78"/>
  <c r="BV27" i="78"/>
  <c r="BV26" i="78"/>
  <c r="BV25" i="78"/>
  <c r="BV24" i="78"/>
  <c r="BV22" i="78"/>
  <c r="BV21" i="78"/>
  <c r="BV20" i="78"/>
  <c r="BV19" i="78"/>
  <c r="BV18" i="78"/>
  <c r="BV17" i="78"/>
  <c r="BV16" i="78"/>
  <c r="BV15" i="78"/>
  <c r="BV13" i="78"/>
  <c r="BV12" i="78"/>
  <c r="BV11" i="78"/>
  <c r="BV10" i="78"/>
  <c r="BV9" i="78"/>
  <c r="BV8" i="78"/>
  <c r="BV7" i="78"/>
  <c r="BV6" i="78"/>
  <c r="BV1" i="78"/>
  <c r="BO1" i="78"/>
  <c r="BH1" i="78"/>
  <c r="BA1" i="78"/>
  <c r="AC1" i="78"/>
  <c r="AJ1" i="148"/>
  <c r="AT233" i="113"/>
  <c r="BA234" i="113"/>
  <c r="AC233" i="113"/>
  <c r="AU233" i="113"/>
  <c r="BU233" i="113"/>
  <c r="M17" i="64"/>
  <c r="BT234" i="113"/>
  <c r="K234" i="113"/>
  <c r="J234" i="113"/>
  <c r="AU234" i="113"/>
  <c r="BY234" i="113"/>
  <c r="L233" i="113"/>
  <c r="BD234" i="113"/>
  <c r="BX233" i="113"/>
  <c r="AQ233" i="113"/>
  <c r="BV234" i="113"/>
  <c r="AF233" i="113"/>
  <c r="P233" i="113"/>
  <c r="AM233" i="113"/>
  <c r="AA233" i="113"/>
  <c r="BC233" i="113"/>
  <c r="AX233" i="113"/>
  <c r="T234" i="113"/>
  <c r="AV233" i="113"/>
  <c r="M18" i="64"/>
  <c r="M19" i="64"/>
  <c r="AK233" i="113"/>
  <c r="Z233" i="113"/>
  <c r="AP234" i="113"/>
  <c r="X234" i="113"/>
  <c r="H234" i="113"/>
  <c r="AP233" i="113"/>
  <c r="BW234" i="113"/>
  <c r="AV234" i="113"/>
  <c r="Q233" i="113"/>
  <c r="S233" i="113"/>
  <c r="J233" i="113"/>
  <c r="AA234" i="113"/>
  <c r="BW233" i="113"/>
  <c r="AS233" i="113"/>
  <c r="AQ234" i="113"/>
  <c r="W234" i="113"/>
  <c r="S234" i="113"/>
  <c r="AB234" i="113"/>
  <c r="AO233" i="113"/>
  <c r="X233" i="113"/>
  <c r="AE234" i="113"/>
  <c r="AD233" i="113"/>
  <c r="BU234" i="113"/>
  <c r="AJ234" i="113"/>
  <c r="AN233" i="113"/>
  <c r="R233" i="113"/>
  <c r="AZ233" i="113"/>
  <c r="U233" i="113"/>
  <c r="P234" i="113"/>
  <c r="AG233" i="113"/>
  <c r="AO234" i="113"/>
  <c r="BA233" i="113"/>
  <c r="AH233" i="113"/>
  <c r="K233" i="113"/>
  <c r="AR233" i="113"/>
  <c r="M233" i="113"/>
  <c r="O234" i="113"/>
  <c r="AB233" i="113"/>
  <c r="BX234" i="113"/>
  <c r="AH234" i="113"/>
  <c r="BY233" i="113"/>
  <c r="AT234" i="113"/>
  <c r="AE233" i="113"/>
  <c r="AI233" i="113"/>
  <c r="AY233" i="113"/>
  <c r="L234" i="113"/>
  <c r="Y233" i="113"/>
  <c r="G16" i="64"/>
  <c r="AN234" i="113"/>
  <c r="AW233" i="113"/>
  <c r="M234" i="113"/>
  <c r="AC234" i="113"/>
  <c r="AW234" i="113"/>
  <c r="AD234" i="113"/>
  <c r="BV233" i="113"/>
  <c r="V234" i="113"/>
  <c r="Z234" i="113"/>
  <c r="AI234" i="113"/>
  <c r="BB233" i="113"/>
  <c r="T233" i="113"/>
  <c r="M16" i="64"/>
  <c r="AK234" i="113"/>
  <c r="BC234" i="113"/>
  <c r="BB234" i="113"/>
  <c r="V233" i="113"/>
  <c r="AS234" i="113"/>
  <c r="W233" i="113"/>
  <c r="Q234" i="113"/>
  <c r="H233" i="113"/>
  <c r="Y234" i="113"/>
  <c r="AF234" i="113"/>
  <c r="O233" i="113"/>
  <c r="BS233" i="113"/>
  <c r="AR234" i="113"/>
  <c r="AG234" i="113"/>
  <c r="N234" i="113"/>
  <c r="R234" i="113"/>
  <c r="I233" i="113"/>
  <c r="U234" i="113"/>
  <c r="N233" i="113"/>
  <c r="AL234" i="113"/>
  <c r="AZ234" i="113"/>
  <c r="BS234" i="113"/>
  <c r="AJ233" i="113"/>
  <c r="AM234" i="113"/>
  <c r="AX234" i="113"/>
  <c r="BT233" i="113"/>
  <c r="BD233" i="113"/>
  <c r="I234" i="113"/>
  <c r="AY234" i="113"/>
  <c r="AL233" i="113"/>
  <c r="BR234" i="113" l="1"/>
  <c r="BR233" i="113"/>
  <c r="M138" i="64"/>
  <c r="O8" i="71" l="1"/>
  <c r="A6" i="71" l="1"/>
  <c r="B19" i="113" l="1"/>
  <c r="E277" i="113"/>
  <c r="E261" i="113"/>
  <c r="A7" i="71"/>
  <c r="B20" i="113"/>
  <c r="B87" i="113"/>
  <c r="B88" i="113" l="1"/>
  <c r="B14" i="113" l="1"/>
  <c r="B13" i="113"/>
  <c r="BI29" i="78" l="1"/>
  <c r="M29" i="78"/>
  <c r="BI28" i="78"/>
  <c r="M28" i="78"/>
  <c r="M27" i="78"/>
  <c r="BI26" i="78"/>
  <c r="BI25" i="78"/>
  <c r="BI20" i="78"/>
  <c r="M20" i="78"/>
  <c r="BI19" i="78"/>
  <c r="M19" i="78"/>
  <c r="M18" i="78"/>
  <c r="BI17" i="78"/>
  <c r="BI16" i="78"/>
  <c r="BI11" i="78"/>
  <c r="M11" i="78"/>
  <c r="BI10" i="78"/>
  <c r="M10" i="78"/>
  <c r="M9" i="78"/>
  <c r="BI8" i="78"/>
  <c r="BI7" i="78"/>
  <c r="M22" i="78" l="1"/>
  <c r="Y11" i="78"/>
  <c r="BI13" i="78" l="1"/>
  <c r="M31" i="78"/>
  <c r="BI31" i="78" s="1"/>
  <c r="BI22" i="78"/>
  <c r="Z11" i="78"/>
  <c r="AA11" i="78" l="1"/>
  <c r="AC21" i="148"/>
  <c r="AC20" i="148"/>
  <c r="AC14" i="148"/>
  <c r="AC13" i="148"/>
  <c r="D70" i="148"/>
  <c r="E71" i="148"/>
  <c r="P6" i="148" s="1"/>
  <c r="P7" i="148" s="1"/>
  <c r="AB11" i="78" l="1"/>
  <c r="F71" i="148"/>
  <c r="AC6" i="148"/>
  <c r="AD21" i="148"/>
  <c r="AD13" i="148"/>
  <c r="AD14" i="148"/>
  <c r="AD20" i="148"/>
  <c r="W8" i="132" l="1"/>
  <c r="AC11" i="78"/>
  <c r="EO11" i="78" s="1"/>
  <c r="AD6" i="148"/>
  <c r="CY13" i="148"/>
  <c r="BX6" i="148"/>
  <c r="BW6" i="148"/>
  <c r="DM8" i="148"/>
  <c r="AE13" i="148"/>
  <c r="AE20" i="148"/>
  <c r="AE14" i="148"/>
  <c r="AE21" i="148"/>
  <c r="S23" i="110"/>
  <c r="E13" i="110" s="1"/>
  <c r="E14" i="110"/>
  <c r="C54" i="148"/>
  <c r="B54" i="148"/>
  <c r="C53" i="148"/>
  <c r="BI8" i="132" l="1"/>
  <c r="DF8" i="132" s="1"/>
  <c r="BI6" i="132"/>
  <c r="DM8" i="132"/>
  <c r="EA8" i="132"/>
  <c r="CY8" i="132"/>
  <c r="DT8" i="132"/>
  <c r="EH8" i="132"/>
  <c r="W28" i="132"/>
  <c r="CR28" i="132" s="1"/>
  <c r="W18" i="132"/>
  <c r="CR8" i="132"/>
  <c r="DM10" i="148"/>
  <c r="DS11" i="78"/>
  <c r="AC20" i="78"/>
  <c r="DS20" i="78" s="1"/>
  <c r="AC29" i="78"/>
  <c r="DS29" i="78" s="1"/>
  <c r="DT6" i="148"/>
  <c r="EA24" i="148"/>
  <c r="EH24" i="148"/>
  <c r="EO24" i="148"/>
  <c r="EH17" i="148"/>
  <c r="EA17" i="148"/>
  <c r="EA15" i="148"/>
  <c r="EH15" i="148"/>
  <c r="EH16" i="148"/>
  <c r="EA16" i="148"/>
  <c r="EO22" i="148"/>
  <c r="EA22" i="148"/>
  <c r="EH22" i="148"/>
  <c r="DM9" i="148"/>
  <c r="EO23" i="148"/>
  <c r="EA23" i="148"/>
  <c r="EH23" i="148"/>
  <c r="DM24" i="148"/>
  <c r="CY24" i="148"/>
  <c r="DF24" i="148"/>
  <c r="DT24" i="148"/>
  <c r="DF16" i="148"/>
  <c r="DM16" i="148"/>
  <c r="CY16" i="148"/>
  <c r="DT16" i="148"/>
  <c r="DF8" i="148"/>
  <c r="CY8" i="148"/>
  <c r="DF22" i="148"/>
  <c r="CY22" i="148"/>
  <c r="DM22" i="148"/>
  <c r="DT22" i="148"/>
  <c r="CY17" i="148"/>
  <c r="DF17" i="148"/>
  <c r="DM17" i="148"/>
  <c r="DT17" i="148"/>
  <c r="DM15" i="148"/>
  <c r="CY15" i="148"/>
  <c r="DF15" i="148"/>
  <c r="DT15" i="148"/>
  <c r="CY23" i="148"/>
  <c r="DF23" i="148"/>
  <c r="DM23" i="148"/>
  <c r="DT23" i="148"/>
  <c r="EH8" i="148"/>
  <c r="EA8" i="148"/>
  <c r="DT8" i="148"/>
  <c r="AF13" i="148"/>
  <c r="AF21" i="148"/>
  <c r="AF14" i="148"/>
  <c r="AF20" i="148"/>
  <c r="H33" i="104"/>
  <c r="J33" i="104" s="1"/>
  <c r="L33" i="104" s="1"/>
  <c r="BK23" i="113"/>
  <c r="BK22" i="113"/>
  <c r="AJ15" i="113"/>
  <c r="BK17" i="113"/>
  <c r="BK16" i="113"/>
  <c r="BK15" i="113"/>
  <c r="BK21" i="113"/>
  <c r="DT28" i="132" l="1"/>
  <c r="DM28" i="132"/>
  <c r="CY28" i="132"/>
  <c r="BI18" i="132"/>
  <c r="DF18" i="132" s="1"/>
  <c r="EH28" i="132"/>
  <c r="BI28" i="132"/>
  <c r="DF28" i="132" s="1"/>
  <c r="EH10" i="148"/>
  <c r="CY9" i="148"/>
  <c r="DT9" i="148"/>
  <c r="EA10" i="148"/>
  <c r="DF9" i="148"/>
  <c r="EA9" i="148"/>
  <c r="CR17" i="148"/>
  <c r="DT10" i="148"/>
  <c r="CY10" i="148"/>
  <c r="CR9" i="148"/>
  <c r="EH9" i="148"/>
  <c r="EA28" i="132"/>
  <c r="CR10" i="148"/>
  <c r="CR8" i="148"/>
  <c r="CR15" i="148"/>
  <c r="CR18" i="132"/>
  <c r="EH6" i="132"/>
  <c r="W16" i="132"/>
  <c r="BI16" i="132" s="1"/>
  <c r="DT6" i="132"/>
  <c r="W26" i="132"/>
  <c r="BI26" i="132" s="1"/>
  <c r="DM6" i="132"/>
  <c r="CY6" i="132"/>
  <c r="EA6" i="132"/>
  <c r="EH18" i="132"/>
  <c r="EA18" i="132"/>
  <c r="DT18" i="132"/>
  <c r="DM18" i="132"/>
  <c r="CY18" i="132"/>
  <c r="DF10" i="148"/>
  <c r="BB33" i="104"/>
  <c r="EP24" i="148"/>
  <c r="EB24" i="148"/>
  <c r="EI24" i="148"/>
  <c r="EP22" i="148"/>
  <c r="EI22" i="148"/>
  <c r="EB22" i="148"/>
  <c r="EI17" i="148"/>
  <c r="EB17" i="148"/>
  <c r="EB15" i="148"/>
  <c r="EI15" i="148"/>
  <c r="EB16" i="148"/>
  <c r="EI16" i="148"/>
  <c r="EP23" i="148"/>
  <c r="EB23" i="148"/>
  <c r="EI23" i="148"/>
  <c r="DG15" i="148"/>
  <c r="DN15" i="148"/>
  <c r="CZ15" i="148"/>
  <c r="DU15" i="148"/>
  <c r="DG22" i="148"/>
  <c r="DN22" i="148"/>
  <c r="CZ22" i="148"/>
  <c r="DU22" i="148"/>
  <c r="DG16" i="148"/>
  <c r="DN16" i="148"/>
  <c r="CZ16" i="148"/>
  <c r="DU16" i="148"/>
  <c r="DN23" i="148"/>
  <c r="CZ23" i="148"/>
  <c r="DG23" i="148"/>
  <c r="DU23" i="148"/>
  <c r="DG17" i="148"/>
  <c r="CZ17" i="148"/>
  <c r="DN17" i="148"/>
  <c r="DU17" i="148"/>
  <c r="CZ24" i="148"/>
  <c r="DG24" i="148"/>
  <c r="DN24" i="148"/>
  <c r="DU24" i="148"/>
  <c r="AG21" i="148"/>
  <c r="AG13" i="148"/>
  <c r="AG20" i="148"/>
  <c r="AG14" i="148"/>
  <c r="D37" i="148"/>
  <c r="BL15" i="113"/>
  <c r="BL17" i="113"/>
  <c r="BL21" i="113"/>
  <c r="BL22" i="113"/>
  <c r="BL23" i="113"/>
  <c r="BL16" i="113"/>
  <c r="CR16" i="148" l="1"/>
  <c r="EO16" i="148" s="1"/>
  <c r="CS15" i="148"/>
  <c r="EO15" i="148"/>
  <c r="CS8" i="148"/>
  <c r="CT8" i="148" s="1"/>
  <c r="CU8" i="148" s="1"/>
  <c r="CV8" i="148" s="1"/>
  <c r="CW8" i="148" s="1"/>
  <c r="CX8" i="148" s="1"/>
  <c r="EO8" i="148"/>
  <c r="CS10" i="148"/>
  <c r="CT10" i="148" s="1"/>
  <c r="CU10" i="148" s="1"/>
  <c r="CV10" i="148" s="1"/>
  <c r="CW10" i="148" s="1"/>
  <c r="CX10" i="148" s="1"/>
  <c r="EO10" i="148"/>
  <c r="CS17" i="148"/>
  <c r="EO17" i="148"/>
  <c r="CS9" i="148"/>
  <c r="CT9" i="148" s="1"/>
  <c r="CU9" i="148" s="1"/>
  <c r="CV9" i="148" s="1"/>
  <c r="CW9" i="148" s="1"/>
  <c r="CX9" i="148" s="1"/>
  <c r="EO9" i="148"/>
  <c r="EH26" i="132"/>
  <c r="DT26" i="132"/>
  <c r="DF26" i="132"/>
  <c r="CR26" i="132"/>
  <c r="EA26" i="132"/>
  <c r="CY26" i="132"/>
  <c r="EH16" i="132"/>
  <c r="DF16" i="132"/>
  <c r="CR16" i="132"/>
  <c r="CY16" i="132"/>
  <c r="DT16" i="132"/>
  <c r="EA16" i="132"/>
  <c r="EC17" i="148"/>
  <c r="EJ17" i="148"/>
  <c r="EJ22" i="148"/>
  <c r="EQ22" i="148"/>
  <c r="EC22" i="148"/>
  <c r="EC15" i="148"/>
  <c r="EJ15" i="148"/>
  <c r="EJ23" i="148"/>
  <c r="EQ23" i="148"/>
  <c r="EC23" i="148"/>
  <c r="EC16" i="148"/>
  <c r="EJ16" i="148"/>
  <c r="EQ24" i="148"/>
  <c r="EC24" i="148"/>
  <c r="EJ24" i="148"/>
  <c r="DA15" i="148"/>
  <c r="DH15" i="148"/>
  <c r="DO15" i="148"/>
  <c r="DV15" i="148"/>
  <c r="DH16" i="148"/>
  <c r="DO16" i="148"/>
  <c r="DA16" i="148"/>
  <c r="DV16" i="148"/>
  <c r="DH23" i="148"/>
  <c r="DO23" i="148"/>
  <c r="DA23" i="148"/>
  <c r="DV23" i="148"/>
  <c r="DH17" i="148"/>
  <c r="DA17" i="148"/>
  <c r="DO17" i="148"/>
  <c r="DV17" i="148"/>
  <c r="DO24" i="148"/>
  <c r="DA24" i="148"/>
  <c r="DH24" i="148"/>
  <c r="DV24" i="148"/>
  <c r="DH22" i="148"/>
  <c r="DO22" i="148"/>
  <c r="DA22" i="148"/>
  <c r="DV22" i="148"/>
  <c r="AH20" i="148"/>
  <c r="AH13" i="148"/>
  <c r="AH21" i="148"/>
  <c r="AH14" i="148"/>
  <c r="F299" i="148"/>
  <c r="D299" i="148"/>
  <c r="H298" i="148"/>
  <c r="H299" i="148" s="1"/>
  <c r="E298" i="148"/>
  <c r="C298" i="148"/>
  <c r="C299" i="148" s="1"/>
  <c r="C295" i="148"/>
  <c r="C294" i="148"/>
  <c r="C293" i="148"/>
  <c r="E103" i="148"/>
  <c r="E101" i="148"/>
  <c r="BP21" i="148"/>
  <c r="BB21" i="148"/>
  <c r="AW21" i="148"/>
  <c r="BB20" i="148"/>
  <c r="AW20" i="148"/>
  <c r="AA35" i="148"/>
  <c r="N20" i="148"/>
  <c r="BP20" i="148" s="1"/>
  <c r="BP14" i="148"/>
  <c r="BB14" i="148"/>
  <c r="AW14" i="148"/>
  <c r="Z37" i="148"/>
  <c r="BP13" i="148"/>
  <c r="BC13" i="148"/>
  <c r="AW13" i="148"/>
  <c r="Z35" i="148"/>
  <c r="BP7" i="148"/>
  <c r="BQ7" i="148" s="1"/>
  <c r="BR7" i="148" s="1"/>
  <c r="BS7" i="148" s="1"/>
  <c r="BT7" i="148" s="1"/>
  <c r="BU7" i="148" s="1"/>
  <c r="BV7" i="148" s="1"/>
  <c r="AW7" i="148"/>
  <c r="BB7" i="148"/>
  <c r="BC7" i="148" s="1"/>
  <c r="BZ6" i="148"/>
  <c r="BP6" i="148"/>
  <c r="DM6" i="148" s="1"/>
  <c r="AW6" i="148"/>
  <c r="BB6" i="148"/>
  <c r="BC6" i="148" s="1"/>
  <c r="FC1" i="148"/>
  <c r="FB1" i="148"/>
  <c r="FA1" i="148"/>
  <c r="EZ1" i="148"/>
  <c r="EY1" i="148"/>
  <c r="EX1" i="148"/>
  <c r="EW1" i="148"/>
  <c r="EV1" i="148"/>
  <c r="EU1" i="148"/>
  <c r="ET1" i="148"/>
  <c r="ES1" i="148"/>
  <c r="ER1" i="148"/>
  <c r="EQ1" i="148"/>
  <c r="EP1" i="148"/>
  <c r="EO1" i="148"/>
  <c r="EN1" i="148"/>
  <c r="EM1" i="148"/>
  <c r="EL1" i="148"/>
  <c r="EK1" i="148"/>
  <c r="EJ1" i="148"/>
  <c r="EI1" i="148"/>
  <c r="EH1" i="148"/>
  <c r="EG1" i="148"/>
  <c r="EF1" i="148"/>
  <c r="EE1" i="148"/>
  <c r="ED1" i="148"/>
  <c r="EC1" i="148"/>
  <c r="EB1" i="148"/>
  <c r="EA1" i="148"/>
  <c r="DZ1" i="148"/>
  <c r="DY1" i="148"/>
  <c r="DX1" i="148"/>
  <c r="DW1" i="148"/>
  <c r="DV1" i="148"/>
  <c r="DU1" i="148"/>
  <c r="DT1" i="148"/>
  <c r="DS1" i="148"/>
  <c r="DR1" i="148"/>
  <c r="DQ1" i="148"/>
  <c r="DP1" i="148"/>
  <c r="DO1" i="148"/>
  <c r="DN1" i="148"/>
  <c r="DM1" i="148"/>
  <c r="DL1" i="148"/>
  <c r="DK1" i="148"/>
  <c r="DJ1" i="148"/>
  <c r="DI1" i="148"/>
  <c r="DH1" i="148"/>
  <c r="DG1" i="148"/>
  <c r="DF1" i="148"/>
  <c r="DE1" i="148"/>
  <c r="DD1" i="148"/>
  <c r="DC1" i="148"/>
  <c r="DB1" i="148"/>
  <c r="DA1" i="148"/>
  <c r="CZ1" i="148"/>
  <c r="CY1" i="148"/>
  <c r="CX1" i="148"/>
  <c r="CW1" i="148"/>
  <c r="CV1" i="148"/>
  <c r="CU1" i="148"/>
  <c r="CT1" i="148"/>
  <c r="CS1" i="148"/>
  <c r="CR1" i="148"/>
  <c r="CQ1" i="148"/>
  <c r="CP1" i="148"/>
  <c r="CO1" i="148"/>
  <c r="CN1" i="148"/>
  <c r="CM1" i="148"/>
  <c r="CL1" i="148"/>
  <c r="CK1" i="148"/>
  <c r="CJ1" i="148"/>
  <c r="CI1" i="148"/>
  <c r="CH1" i="148"/>
  <c r="CG1" i="148"/>
  <c r="CF1" i="148"/>
  <c r="CE1" i="148"/>
  <c r="CD1" i="148"/>
  <c r="CC1" i="148"/>
  <c r="CB1" i="148"/>
  <c r="CA1" i="148"/>
  <c r="BZ1" i="148"/>
  <c r="BY1" i="148"/>
  <c r="BX1" i="148"/>
  <c r="BW1" i="148"/>
  <c r="BV1" i="148"/>
  <c r="BU1" i="148"/>
  <c r="BT1" i="148"/>
  <c r="BS1" i="148"/>
  <c r="BR1" i="148"/>
  <c r="BQ1" i="148"/>
  <c r="BP1" i="148"/>
  <c r="BO1" i="148"/>
  <c r="BN1" i="148"/>
  <c r="BM1" i="148"/>
  <c r="BL1" i="148"/>
  <c r="BK1" i="148"/>
  <c r="BJ1" i="148"/>
  <c r="BI1" i="148"/>
  <c r="BH1" i="148"/>
  <c r="BG1" i="148"/>
  <c r="BF1" i="148"/>
  <c r="BE1" i="148"/>
  <c r="BD1" i="148"/>
  <c r="BC1" i="148"/>
  <c r="BB1" i="148"/>
  <c r="BA1" i="148"/>
  <c r="AZ1" i="148"/>
  <c r="AY1" i="148"/>
  <c r="AX1" i="148"/>
  <c r="AW1" i="148"/>
  <c r="AV1" i="148"/>
  <c r="AU1" i="148"/>
  <c r="AT1" i="148"/>
  <c r="AS1" i="148"/>
  <c r="AR1" i="148"/>
  <c r="AQ1" i="148"/>
  <c r="AP1" i="148"/>
  <c r="AO1" i="148"/>
  <c r="AN1" i="148"/>
  <c r="AM1" i="148"/>
  <c r="AK1" i="148"/>
  <c r="AI1" i="148"/>
  <c r="AH1" i="148"/>
  <c r="AG1" i="148"/>
  <c r="AF1" i="148"/>
  <c r="AE1" i="148"/>
  <c r="AD1" i="148"/>
  <c r="AC1" i="148"/>
  <c r="AB1" i="148"/>
  <c r="AA1" i="148"/>
  <c r="Z1" i="148"/>
  <c r="Y1" i="148"/>
  <c r="X1" i="148"/>
  <c r="W1" i="148"/>
  <c r="V1" i="148"/>
  <c r="U1" i="148"/>
  <c r="T1" i="148"/>
  <c r="S1" i="148"/>
  <c r="R1" i="148"/>
  <c r="Q1" i="148"/>
  <c r="P1" i="148"/>
  <c r="O1" i="148"/>
  <c r="N1" i="148"/>
  <c r="M1" i="148"/>
  <c r="L1" i="148"/>
  <c r="K1" i="148"/>
  <c r="J1" i="148"/>
  <c r="I1" i="148"/>
  <c r="H1" i="148"/>
  <c r="G1" i="148"/>
  <c r="F1" i="148"/>
  <c r="E1" i="148"/>
  <c r="D1" i="148"/>
  <c r="C1" i="148"/>
  <c r="B1" i="148"/>
  <c r="A1" i="148"/>
  <c r="K28" i="104"/>
  <c r="P22" i="113"/>
  <c r="W15" i="113"/>
  <c r="O21" i="113"/>
  <c r="E16" i="113"/>
  <c r="AS16" i="113"/>
  <c r="AY22" i="113"/>
  <c r="E15" i="113"/>
  <c r="H17" i="113"/>
  <c r="AK22" i="113"/>
  <c r="F20" i="113"/>
  <c r="L20" i="113"/>
  <c r="AK16" i="113"/>
  <c r="BM15" i="113"/>
  <c r="K14" i="113"/>
  <c r="G14" i="64"/>
  <c r="V22" i="113"/>
  <c r="AK21" i="113"/>
  <c r="AZ23" i="113"/>
  <c r="AE23" i="113"/>
  <c r="AZ21" i="113"/>
  <c r="J20" i="113"/>
  <c r="W17" i="113"/>
  <c r="AR22" i="113"/>
  <c r="AQ17" i="113"/>
  <c r="AY21" i="113"/>
  <c r="K15" i="113"/>
  <c r="E19" i="113"/>
  <c r="AE16" i="113"/>
  <c r="K13" i="113"/>
  <c r="AQ15" i="113"/>
  <c r="F16" i="113"/>
  <c r="AQ21" i="113"/>
  <c r="W16" i="113"/>
  <c r="AQ22" i="113"/>
  <c r="F14" i="113"/>
  <c r="AD21" i="113"/>
  <c r="K19" i="113"/>
  <c r="J23" i="113"/>
  <c r="G17" i="113"/>
  <c r="E21" i="113"/>
  <c r="I19" i="113"/>
  <c r="V17" i="113"/>
  <c r="G21" i="113"/>
  <c r="X21" i="113"/>
  <c r="Q21" i="113"/>
  <c r="AQ16" i="113"/>
  <c r="AE17" i="113"/>
  <c r="E23" i="113"/>
  <c r="L19" i="113"/>
  <c r="AX15" i="113"/>
  <c r="W22" i="113"/>
  <c r="Q15" i="113"/>
  <c r="O17" i="113"/>
  <c r="F19" i="113"/>
  <c r="BM16" i="113"/>
  <c r="AR16" i="113"/>
  <c r="AE15" i="113"/>
  <c r="O16" i="113"/>
  <c r="G20" i="113"/>
  <c r="AJ17" i="113"/>
  <c r="J13" i="113"/>
  <c r="G14" i="113"/>
  <c r="J15" i="113"/>
  <c r="V16" i="113"/>
  <c r="J21" i="113"/>
  <c r="AX22" i="113"/>
  <c r="K23" i="113"/>
  <c r="AC17" i="113"/>
  <c r="AK23" i="113"/>
  <c r="E17" i="113"/>
  <c r="AL15" i="113"/>
  <c r="K16" i="113"/>
  <c r="I21" i="113"/>
  <c r="I14" i="113"/>
  <c r="E20" i="113"/>
  <c r="AC22" i="113"/>
  <c r="J19" i="113"/>
  <c r="P17" i="113"/>
  <c r="I17" i="113"/>
  <c r="E13" i="113"/>
  <c r="V15" i="113"/>
  <c r="I16" i="113"/>
  <c r="BM22" i="113"/>
  <c r="AD17" i="113"/>
  <c r="O23" i="113"/>
  <c r="G13" i="113"/>
  <c r="I15" i="113"/>
  <c r="O22" i="113"/>
  <c r="G13" i="64"/>
  <c r="K17" i="113"/>
  <c r="E14" i="113"/>
  <c r="AC21" i="113"/>
  <c r="I20" i="113"/>
  <c r="L14" i="113"/>
  <c r="AX21" i="113"/>
  <c r="AK17" i="113"/>
  <c r="H14" i="113"/>
  <c r="AY23" i="113"/>
  <c r="F13" i="113"/>
  <c r="W23" i="113"/>
  <c r="AX17" i="113"/>
  <c r="F17" i="113"/>
  <c r="AC15" i="113"/>
  <c r="V21" i="113"/>
  <c r="K20" i="113"/>
  <c r="K22" i="113"/>
  <c r="Q16" i="113"/>
  <c r="AS15" i="113"/>
  <c r="P15" i="113"/>
  <c r="AL17" i="113"/>
  <c r="BM23" i="113"/>
  <c r="I22" i="113"/>
  <c r="AJ16" i="113"/>
  <c r="AD16" i="113"/>
  <c r="X17" i="113"/>
  <c r="AB10" i="64"/>
  <c r="AL22" i="113"/>
  <c r="AZ22" i="113"/>
  <c r="AJ21" i="113"/>
  <c r="E22" i="113"/>
  <c r="AS21" i="113"/>
  <c r="AJ23" i="113"/>
  <c r="AE22" i="113"/>
  <c r="X23" i="113"/>
  <c r="AS23" i="113"/>
  <c r="H21" i="113"/>
  <c r="K21" i="113"/>
  <c r="AC16" i="113"/>
  <c r="W21" i="113"/>
  <c r="AR21" i="113"/>
  <c r="G23" i="113"/>
  <c r="AL21" i="113"/>
  <c r="P23" i="113"/>
  <c r="AD15" i="113"/>
  <c r="F23" i="113"/>
  <c r="P16" i="113"/>
  <c r="H16" i="113"/>
  <c r="I13" i="113"/>
  <c r="G15" i="113"/>
  <c r="H23" i="113"/>
  <c r="X16" i="113"/>
  <c r="Q23" i="113"/>
  <c r="AS17" i="113"/>
  <c r="AJ22" i="113"/>
  <c r="H20" i="113"/>
  <c r="AR15" i="113"/>
  <c r="G16" i="113"/>
  <c r="G22" i="113"/>
  <c r="AL16" i="113"/>
  <c r="Q17" i="113"/>
  <c r="AE21" i="113"/>
  <c r="G10" i="64"/>
  <c r="J16" i="113"/>
  <c r="O15" i="113"/>
  <c r="AK15" i="113"/>
  <c r="AQ23" i="113"/>
  <c r="P21" i="113"/>
  <c r="L13" i="113"/>
  <c r="BM17" i="113"/>
  <c r="H19" i="113"/>
  <c r="AD22" i="113"/>
  <c r="F22" i="113"/>
  <c r="F21" i="113"/>
  <c r="AC23" i="113"/>
  <c r="G19" i="113"/>
  <c r="AR23" i="113"/>
  <c r="Q22" i="113"/>
  <c r="H22" i="113"/>
  <c r="I23" i="113"/>
  <c r="BM21" i="113"/>
  <c r="V23" i="113"/>
  <c r="J22" i="113"/>
  <c r="AX16" i="113"/>
  <c r="J14" i="113"/>
  <c r="AL23" i="113"/>
  <c r="J17" i="113"/>
  <c r="F15" i="113"/>
  <c r="H13" i="113"/>
  <c r="AX23" i="113"/>
  <c r="H15" i="113"/>
  <c r="X15" i="113"/>
  <c r="AD23" i="113"/>
  <c r="AS22" i="113"/>
  <c r="AR17" i="113"/>
  <c r="X22" i="113"/>
  <c r="CS16" i="148" l="1"/>
  <c r="EP16" i="148" s="1"/>
  <c r="CT17" i="148"/>
  <c r="EP17" i="148"/>
  <c r="CT15" i="148"/>
  <c r="EP15" i="148"/>
  <c r="A20" i="113"/>
  <c r="A14" i="113"/>
  <c r="A17" i="113"/>
  <c r="A21" i="113"/>
  <c r="A16" i="113"/>
  <c r="A23" i="113"/>
  <c r="A13" i="113"/>
  <c r="A22" i="113"/>
  <c r="A15" i="113"/>
  <c r="A19" i="113"/>
  <c r="ED16" i="148"/>
  <c r="EK16" i="148"/>
  <c r="ED15" i="148"/>
  <c r="EK15" i="148"/>
  <c r="ED17" i="148"/>
  <c r="EK17" i="148"/>
  <c r="EK22" i="148"/>
  <c r="ED22" i="148"/>
  <c r="ER22" i="148"/>
  <c r="EK23" i="148"/>
  <c r="ER23" i="148"/>
  <c r="ED23" i="148"/>
  <c r="ER24" i="148"/>
  <c r="EK24" i="148"/>
  <c r="ED24" i="148"/>
  <c r="BQ13" i="148"/>
  <c r="DM13" i="148"/>
  <c r="BQ20" i="148"/>
  <c r="DM20" i="148"/>
  <c r="DI22" i="148"/>
  <c r="DP22" i="148"/>
  <c r="DB22" i="148"/>
  <c r="DW22" i="148"/>
  <c r="DB16" i="148"/>
  <c r="DI16" i="148"/>
  <c r="DP16" i="148"/>
  <c r="DW16" i="148"/>
  <c r="DI23" i="148"/>
  <c r="DP23" i="148"/>
  <c r="DB23" i="148"/>
  <c r="DW23" i="148"/>
  <c r="DP15" i="148"/>
  <c r="DB15" i="148"/>
  <c r="DI15" i="148"/>
  <c r="DW15" i="148"/>
  <c r="BC21" i="148"/>
  <c r="CZ21" i="148" s="1"/>
  <c r="CY21" i="148"/>
  <c r="DI17" i="148"/>
  <c r="DB17" i="148"/>
  <c r="DP17" i="148"/>
  <c r="DW17" i="148"/>
  <c r="DP24" i="148"/>
  <c r="DB24" i="148"/>
  <c r="DI24" i="148"/>
  <c r="DW24" i="148"/>
  <c r="BQ21" i="148"/>
  <c r="DM21" i="148"/>
  <c r="BC14" i="148"/>
  <c r="BF14" i="148" s="1"/>
  <c r="DC14" i="148" s="1"/>
  <c r="CY14" i="148"/>
  <c r="BC20" i="148"/>
  <c r="CY20" i="148"/>
  <c r="BD13" i="148"/>
  <c r="DA13" i="148" s="1"/>
  <c r="CZ13" i="148"/>
  <c r="BQ14" i="148"/>
  <c r="DM14" i="148"/>
  <c r="BF6" i="148"/>
  <c r="BD6" i="148"/>
  <c r="CY6" i="148"/>
  <c r="BQ6" i="148"/>
  <c r="BR6" i="148" s="1"/>
  <c r="BS6" i="148" s="1"/>
  <c r="BT6" i="148" s="1"/>
  <c r="BU6" i="148" s="1"/>
  <c r="BV6" i="148" s="1"/>
  <c r="W6" i="148"/>
  <c r="Z6" i="148"/>
  <c r="E307" i="148"/>
  <c r="AB35" i="148"/>
  <c r="AA6" i="148" s="1"/>
  <c r="W7" i="148"/>
  <c r="AI13" i="148"/>
  <c r="AI20" i="148"/>
  <c r="AI14" i="148"/>
  <c r="AI21" i="148"/>
  <c r="X7" i="148"/>
  <c r="Y7" i="148"/>
  <c r="G298" i="148"/>
  <c r="X6" i="148"/>
  <c r="Y6" i="148"/>
  <c r="K71" i="148"/>
  <c r="BF20" i="148"/>
  <c r="DC20" i="148" s="1"/>
  <c r="BD7" i="148"/>
  <c r="BF7" i="148"/>
  <c r="BY6" i="148"/>
  <c r="P13" i="148"/>
  <c r="CA6" i="148"/>
  <c r="CB6" i="148"/>
  <c r="AA37" i="148"/>
  <c r="AB37" i="148" s="1"/>
  <c r="AA7" i="148" s="1"/>
  <c r="Z7" i="148"/>
  <c r="I71" i="148"/>
  <c r="CC6" i="148"/>
  <c r="P20" i="148"/>
  <c r="J71" i="148"/>
  <c r="BF13" i="148"/>
  <c r="DC13" i="148" s="1"/>
  <c r="H71" i="148"/>
  <c r="S13" i="148" s="1"/>
  <c r="E72" i="148"/>
  <c r="E304" i="148"/>
  <c r="E299" i="148"/>
  <c r="E305" i="148"/>
  <c r="G299" i="148"/>
  <c r="H301" i="148" s="1"/>
  <c r="E306" i="148"/>
  <c r="CS10" i="146"/>
  <c r="CT10" i="146" s="1"/>
  <c r="CU10" i="146" s="1"/>
  <c r="CL10" i="146"/>
  <c r="CM10" i="146" s="1"/>
  <c r="CE10" i="146"/>
  <c r="CB10" i="146"/>
  <c r="CA10" i="146"/>
  <c r="BZ10" i="146"/>
  <c r="BY10" i="146"/>
  <c r="BX10" i="146"/>
  <c r="BW10" i="146"/>
  <c r="AI10" i="146"/>
  <c r="AH10" i="146"/>
  <c r="AG10" i="146"/>
  <c r="AF10" i="146"/>
  <c r="AE10" i="146"/>
  <c r="AD10" i="146"/>
  <c r="AC10" i="146"/>
  <c r="N10" i="146"/>
  <c r="BP10" i="146" s="1"/>
  <c r="I10" i="146"/>
  <c r="BB10" i="146" s="1"/>
  <c r="CB8" i="146"/>
  <c r="CA8" i="146"/>
  <c r="BZ8" i="146"/>
  <c r="BY8" i="146"/>
  <c r="BX8" i="146"/>
  <c r="BW8" i="146"/>
  <c r="BQ8" i="146"/>
  <c r="BR8" i="146" s="1"/>
  <c r="BS8" i="146" s="1"/>
  <c r="BJ8" i="146"/>
  <c r="BK8" i="146" s="1"/>
  <c r="BL8" i="146" s="1"/>
  <c r="AI8" i="146"/>
  <c r="AH8" i="146"/>
  <c r="AG8" i="146"/>
  <c r="AF8" i="146"/>
  <c r="AE8" i="146"/>
  <c r="AD8" i="146"/>
  <c r="AC8" i="146"/>
  <c r="I8" i="146"/>
  <c r="BB8" i="146" s="1"/>
  <c r="CB6" i="146"/>
  <c r="DY6" i="146" s="1"/>
  <c r="CA6" i="146"/>
  <c r="DX6" i="146" s="1"/>
  <c r="BZ6" i="146"/>
  <c r="DW6" i="146" s="1"/>
  <c r="BY6" i="146"/>
  <c r="DV6" i="146" s="1"/>
  <c r="BX6" i="146"/>
  <c r="DU6" i="146" s="1"/>
  <c r="BW6" i="146"/>
  <c r="DT6" i="146" s="1"/>
  <c r="AW6" i="146"/>
  <c r="I6" i="146"/>
  <c r="BB6" i="146" s="1"/>
  <c r="FC1" i="146"/>
  <c r="FB1" i="146"/>
  <c r="FA1" i="146"/>
  <c r="EZ1" i="146"/>
  <c r="EY1" i="146"/>
  <c r="EX1" i="146"/>
  <c r="EW1" i="146"/>
  <c r="EV1" i="146"/>
  <c r="ET1" i="146"/>
  <c r="ES1" i="146"/>
  <c r="ER1" i="146"/>
  <c r="EQ1" i="146"/>
  <c r="EP1" i="146"/>
  <c r="EO1" i="146"/>
  <c r="EM1" i="146"/>
  <c r="EL1" i="146"/>
  <c r="EK1" i="146"/>
  <c r="EJ1" i="146"/>
  <c r="EI1" i="146"/>
  <c r="EH1" i="146"/>
  <c r="EF1" i="146"/>
  <c r="EE1" i="146"/>
  <c r="ED1" i="146"/>
  <c r="EC1" i="146"/>
  <c r="EB1" i="146"/>
  <c r="EA1" i="146"/>
  <c r="DY1" i="146"/>
  <c r="DX1" i="146"/>
  <c r="DW1" i="146"/>
  <c r="DV1" i="146"/>
  <c r="DU1" i="146"/>
  <c r="DT1" i="146"/>
  <c r="DR1" i="146"/>
  <c r="DQ1" i="146"/>
  <c r="DP1" i="146"/>
  <c r="DO1" i="146"/>
  <c r="DN1" i="146"/>
  <c r="DM1" i="146"/>
  <c r="DK1" i="146"/>
  <c r="DJ1" i="146"/>
  <c r="DI1" i="146"/>
  <c r="DH1" i="146"/>
  <c r="DG1" i="146"/>
  <c r="DF1" i="146"/>
  <c r="DD1" i="146"/>
  <c r="DC1" i="146"/>
  <c r="DB1" i="146"/>
  <c r="DA1" i="146"/>
  <c r="CZ1" i="146"/>
  <c r="CY1" i="146"/>
  <c r="CW1" i="146"/>
  <c r="CV1" i="146"/>
  <c r="CU1" i="146"/>
  <c r="CT1" i="146"/>
  <c r="CS1" i="146"/>
  <c r="CR1" i="146"/>
  <c r="CP1" i="146"/>
  <c r="CO1" i="146"/>
  <c r="CN1" i="146"/>
  <c r="CM1" i="146"/>
  <c r="CL1" i="146"/>
  <c r="CK1" i="146"/>
  <c r="CI1" i="146"/>
  <c r="CH1" i="146"/>
  <c r="CG1" i="146"/>
  <c r="CF1" i="146"/>
  <c r="CE1" i="146"/>
  <c r="CD1" i="146"/>
  <c r="CB1" i="146"/>
  <c r="CA1" i="146"/>
  <c r="BZ1" i="146"/>
  <c r="BY1" i="146"/>
  <c r="BX1" i="146"/>
  <c r="BW1" i="146"/>
  <c r="BU1" i="146"/>
  <c r="BT1" i="146"/>
  <c r="BS1" i="146"/>
  <c r="BR1" i="146"/>
  <c r="BQ1" i="146"/>
  <c r="BP1" i="146"/>
  <c r="BN1" i="146"/>
  <c r="BM1" i="146"/>
  <c r="BL1" i="146"/>
  <c r="BK1" i="146"/>
  <c r="BJ1" i="146"/>
  <c r="BI1" i="146"/>
  <c r="BG1" i="146"/>
  <c r="BF1" i="146"/>
  <c r="BE1" i="146"/>
  <c r="BD1" i="146"/>
  <c r="BC1" i="146"/>
  <c r="BB1" i="146"/>
  <c r="BA1" i="146"/>
  <c r="AZ1" i="146"/>
  <c r="AY1" i="146"/>
  <c r="AX1" i="146"/>
  <c r="AW1" i="146"/>
  <c r="AV1" i="146"/>
  <c r="AU1" i="146"/>
  <c r="AT1" i="146"/>
  <c r="AS1" i="146"/>
  <c r="AR1" i="146"/>
  <c r="AQ1" i="146"/>
  <c r="AP1" i="146"/>
  <c r="AO1" i="146"/>
  <c r="AN1" i="146"/>
  <c r="AM1" i="146"/>
  <c r="AL1" i="146"/>
  <c r="AK1" i="146"/>
  <c r="AI1" i="146"/>
  <c r="AH1" i="146"/>
  <c r="AG1" i="146"/>
  <c r="AF1" i="146"/>
  <c r="AE1" i="146"/>
  <c r="AD1" i="146"/>
  <c r="AC1" i="146"/>
  <c r="AB1" i="146"/>
  <c r="AA1" i="146"/>
  <c r="Z1" i="146"/>
  <c r="Y1" i="146"/>
  <c r="X1" i="146"/>
  <c r="W1" i="146"/>
  <c r="V1" i="146"/>
  <c r="U1" i="146"/>
  <c r="T1" i="146"/>
  <c r="S1" i="146"/>
  <c r="R1" i="146"/>
  <c r="Q1" i="146"/>
  <c r="P1" i="146"/>
  <c r="O1" i="146"/>
  <c r="N1" i="146"/>
  <c r="M1" i="146"/>
  <c r="L1" i="146"/>
  <c r="K1" i="146"/>
  <c r="J1" i="146"/>
  <c r="I1" i="146"/>
  <c r="H1" i="146"/>
  <c r="G1" i="146"/>
  <c r="F1" i="146"/>
  <c r="E1" i="146"/>
  <c r="D1" i="146"/>
  <c r="C1" i="146"/>
  <c r="B1" i="146"/>
  <c r="A1" i="146"/>
  <c r="BC16" i="145"/>
  <c r="BD16" i="145" s="1"/>
  <c r="BE16" i="145" s="1"/>
  <c r="BF16" i="145" s="1"/>
  <c r="BG16" i="145" s="1"/>
  <c r="BH16" i="145" s="1"/>
  <c r="DE16" i="145" s="1"/>
  <c r="X16" i="145"/>
  <c r="N16" i="145"/>
  <c r="BC11" i="145"/>
  <c r="BD11" i="145" s="1"/>
  <c r="BE11" i="145" s="1"/>
  <c r="BF11" i="145" s="1"/>
  <c r="BG11" i="145" s="1"/>
  <c r="BH11" i="145" s="1"/>
  <c r="DE11" i="145" s="1"/>
  <c r="CL6" i="145"/>
  <c r="BU6" i="145"/>
  <c r="BT6" i="145"/>
  <c r="BS6" i="145"/>
  <c r="BR6" i="145"/>
  <c r="BQ6" i="145"/>
  <c r="BJ6" i="145"/>
  <c r="BK6" i="145" s="1"/>
  <c r="BL6" i="145" s="1"/>
  <c r="BC6" i="145"/>
  <c r="BD6" i="145" s="1"/>
  <c r="BE6" i="145" s="1"/>
  <c r="BF6" i="145" s="1"/>
  <c r="BG6" i="145" s="1"/>
  <c r="BH6" i="145" s="1"/>
  <c r="DE6" i="145" s="1"/>
  <c r="AP6" i="145"/>
  <c r="Y11" i="145"/>
  <c r="X11" i="145"/>
  <c r="BX6" i="145"/>
  <c r="BY6" i="145" s="1"/>
  <c r="BZ6" i="145" s="1"/>
  <c r="CA6" i="145" s="1"/>
  <c r="CB6" i="145" s="1"/>
  <c r="CC6" i="145" s="1"/>
  <c r="DZ6" i="145" s="1"/>
  <c r="EV1" i="145"/>
  <c r="EU1" i="145"/>
  <c r="ET1" i="145"/>
  <c r="ES1" i="145"/>
  <c r="ER1" i="145"/>
  <c r="EQ1" i="145"/>
  <c r="EP1" i="145"/>
  <c r="EO1" i="145"/>
  <c r="EM1" i="145"/>
  <c r="EL1" i="145"/>
  <c r="EK1" i="145"/>
  <c r="EJ1" i="145"/>
  <c r="EI1" i="145"/>
  <c r="EH1" i="145"/>
  <c r="EF1" i="145"/>
  <c r="EE1" i="145"/>
  <c r="ED1" i="145"/>
  <c r="EC1" i="145"/>
  <c r="EB1" i="145"/>
  <c r="EA1" i="145"/>
  <c r="DY1" i="145"/>
  <c r="DX1" i="145"/>
  <c r="DW1" i="145"/>
  <c r="DV1" i="145"/>
  <c r="DU1" i="145"/>
  <c r="DT1" i="145"/>
  <c r="DR1" i="145"/>
  <c r="DQ1" i="145"/>
  <c r="DP1" i="145"/>
  <c r="DO1" i="145"/>
  <c r="DN1" i="145"/>
  <c r="DM1" i="145"/>
  <c r="DK1" i="145"/>
  <c r="DJ1" i="145"/>
  <c r="DI1" i="145"/>
  <c r="DH1" i="145"/>
  <c r="DG1" i="145"/>
  <c r="DF1" i="145"/>
  <c r="DD1" i="145"/>
  <c r="DC1" i="145"/>
  <c r="DB1" i="145"/>
  <c r="DA1" i="145"/>
  <c r="CZ1" i="145"/>
  <c r="CY1" i="145"/>
  <c r="CW1" i="145"/>
  <c r="CV1" i="145"/>
  <c r="CU1" i="145"/>
  <c r="CT1" i="145"/>
  <c r="CS1" i="145"/>
  <c r="CR1" i="145"/>
  <c r="CP1" i="145"/>
  <c r="CO1" i="145"/>
  <c r="CN1" i="145"/>
  <c r="CM1" i="145"/>
  <c r="CL1" i="145"/>
  <c r="CK1" i="145"/>
  <c r="CI1" i="145"/>
  <c r="CH1" i="145"/>
  <c r="CG1" i="145"/>
  <c r="CF1" i="145"/>
  <c r="CE1" i="145"/>
  <c r="CD1" i="145"/>
  <c r="CB1" i="145"/>
  <c r="CA1" i="145"/>
  <c r="BZ1" i="145"/>
  <c r="BY1" i="145"/>
  <c r="BX1" i="145"/>
  <c r="BW1" i="145"/>
  <c r="BU1" i="145"/>
  <c r="BT1" i="145"/>
  <c r="BS1" i="145"/>
  <c r="BR1" i="145"/>
  <c r="BQ1" i="145"/>
  <c r="BP1" i="145"/>
  <c r="BN1" i="145"/>
  <c r="BM1" i="145"/>
  <c r="BL1" i="145"/>
  <c r="BK1" i="145"/>
  <c r="BJ1" i="145"/>
  <c r="BI1" i="145"/>
  <c r="BG1" i="145"/>
  <c r="BF1" i="145"/>
  <c r="BE1" i="145"/>
  <c r="BD1" i="145"/>
  <c r="BC1" i="145"/>
  <c r="BB1" i="145"/>
  <c r="AZ1" i="145"/>
  <c r="AY1" i="145"/>
  <c r="AX1" i="145"/>
  <c r="AW1" i="145"/>
  <c r="AV1" i="145"/>
  <c r="AU1" i="145"/>
  <c r="AT1" i="145"/>
  <c r="AS1" i="145"/>
  <c r="AR1" i="145"/>
  <c r="AQ1" i="145"/>
  <c r="AP1" i="145"/>
  <c r="AO1" i="145"/>
  <c r="AN1" i="145"/>
  <c r="AM1" i="145"/>
  <c r="AL1" i="145"/>
  <c r="AK1" i="145"/>
  <c r="AJ1" i="145"/>
  <c r="AI1" i="145"/>
  <c r="AH1" i="145"/>
  <c r="AG1" i="145"/>
  <c r="AF1" i="145"/>
  <c r="AE1" i="145"/>
  <c r="AB1" i="145"/>
  <c r="AA1" i="145"/>
  <c r="Z1" i="145"/>
  <c r="Y1" i="145"/>
  <c r="X1" i="145"/>
  <c r="W1" i="145"/>
  <c r="V1" i="145"/>
  <c r="U1" i="145"/>
  <c r="T1" i="145"/>
  <c r="S1" i="145"/>
  <c r="R1" i="145"/>
  <c r="Q1" i="145"/>
  <c r="P1" i="145"/>
  <c r="O1" i="145"/>
  <c r="N1" i="145"/>
  <c r="M1" i="145"/>
  <c r="L1" i="145"/>
  <c r="K1" i="145"/>
  <c r="J1" i="145"/>
  <c r="I1" i="145"/>
  <c r="H1" i="145"/>
  <c r="G1" i="145"/>
  <c r="F1" i="145"/>
  <c r="E1" i="145"/>
  <c r="D1" i="145"/>
  <c r="C1" i="145"/>
  <c r="B1" i="145"/>
  <c r="A1" i="145"/>
  <c r="BA116" i="104"/>
  <c r="AZ116" i="104"/>
  <c r="AY116" i="104"/>
  <c r="AW116" i="104"/>
  <c r="AS116" i="104"/>
  <c r="AR116" i="104"/>
  <c r="AQ116" i="104"/>
  <c r="AP116" i="104"/>
  <c r="AO116" i="104"/>
  <c r="AN116" i="104"/>
  <c r="AM116" i="104"/>
  <c r="AL116" i="104"/>
  <c r="AK116" i="104"/>
  <c r="AJ116" i="104"/>
  <c r="AI116" i="104"/>
  <c r="AH116" i="104"/>
  <c r="AG116" i="104"/>
  <c r="AF116" i="104"/>
  <c r="AE116" i="104"/>
  <c r="AD116" i="104"/>
  <c r="AC116" i="104"/>
  <c r="AB116" i="104"/>
  <c r="AA116" i="104"/>
  <c r="Z116" i="104"/>
  <c r="Y116" i="104"/>
  <c r="X116" i="104"/>
  <c r="W116" i="104"/>
  <c r="V116" i="104"/>
  <c r="U116" i="104"/>
  <c r="T116" i="104"/>
  <c r="S116" i="104"/>
  <c r="R116" i="104"/>
  <c r="Q116" i="104"/>
  <c r="P116" i="104"/>
  <c r="P173" i="104" s="1"/>
  <c r="O116" i="104"/>
  <c r="N116" i="104"/>
  <c r="M116" i="104"/>
  <c r="K116" i="104"/>
  <c r="BI116" i="104" s="1"/>
  <c r="I116" i="104"/>
  <c r="H116" i="104"/>
  <c r="G116" i="104"/>
  <c r="F116" i="104"/>
  <c r="E116" i="104"/>
  <c r="D116" i="104"/>
  <c r="C116" i="104"/>
  <c r="BA173" i="104"/>
  <c r="AZ173" i="104"/>
  <c r="AY173" i="104"/>
  <c r="AW173" i="104"/>
  <c r="AU173" i="104"/>
  <c r="AS173" i="104"/>
  <c r="AR173" i="104"/>
  <c r="AQ173" i="104"/>
  <c r="AP173" i="104"/>
  <c r="AO173" i="104"/>
  <c r="AN173" i="104"/>
  <c r="AM173" i="104"/>
  <c r="AL173" i="104"/>
  <c r="AK173" i="104"/>
  <c r="AJ173" i="104"/>
  <c r="AI173" i="104"/>
  <c r="AH173" i="104"/>
  <c r="AG173" i="104"/>
  <c r="AF173" i="104"/>
  <c r="AE173" i="104"/>
  <c r="AD173" i="104"/>
  <c r="AC173" i="104"/>
  <c r="AB173" i="104"/>
  <c r="AA173" i="104"/>
  <c r="Z173" i="104"/>
  <c r="Y173" i="104"/>
  <c r="X173" i="104"/>
  <c r="W173" i="104"/>
  <c r="V173" i="104"/>
  <c r="U173" i="104"/>
  <c r="T173" i="104"/>
  <c r="S173" i="104"/>
  <c r="R173" i="104"/>
  <c r="O173" i="104"/>
  <c r="N173" i="104"/>
  <c r="M173" i="104"/>
  <c r="K173" i="104"/>
  <c r="BI173" i="104" s="1"/>
  <c r="I173" i="104"/>
  <c r="H173" i="104"/>
  <c r="G173" i="104"/>
  <c r="F173" i="104"/>
  <c r="E173" i="104"/>
  <c r="D173" i="104"/>
  <c r="C173" i="104"/>
  <c r="CR59" i="104"/>
  <c r="EO59" i="104" s="1"/>
  <c r="CK59" i="104"/>
  <c r="EH59" i="104" s="1"/>
  <c r="CD59" i="104"/>
  <c r="EA59" i="104" s="1"/>
  <c r="CC59" i="104"/>
  <c r="DZ59" i="104" s="1"/>
  <c r="CB59" i="104"/>
  <c r="DY59" i="104" s="1"/>
  <c r="CA59" i="104"/>
  <c r="DX59" i="104" s="1"/>
  <c r="BZ59" i="104"/>
  <c r="DW59" i="104" s="1"/>
  <c r="BY59" i="104"/>
  <c r="DV59" i="104" s="1"/>
  <c r="BX59" i="104"/>
  <c r="DU59" i="104" s="1"/>
  <c r="BW59" i="104"/>
  <c r="DT59" i="104" s="1"/>
  <c r="BP59" i="104"/>
  <c r="DM59" i="104" s="1"/>
  <c r="BI59" i="104"/>
  <c r="DF59" i="104" s="1"/>
  <c r="AV116" i="104"/>
  <c r="J59" i="104"/>
  <c r="J173" i="104" s="1"/>
  <c r="BB173" i="104" s="1"/>
  <c r="G15" i="131"/>
  <c r="S7" i="104"/>
  <c r="R7" i="104"/>
  <c r="R8" i="104"/>
  <c r="S8" i="104"/>
  <c r="S28" i="104"/>
  <c r="R28" i="104"/>
  <c r="W83" i="141"/>
  <c r="W82" i="141"/>
  <c r="BI40" i="113"/>
  <c r="BI37" i="113"/>
  <c r="J20" i="64"/>
  <c r="BN36" i="113"/>
  <c r="AY17" i="113"/>
  <c r="BL34" i="113"/>
  <c r="BI33" i="113"/>
  <c r="BP38" i="113"/>
  <c r="BM38" i="113"/>
  <c r="AY15" i="113"/>
  <c r="BI38" i="113"/>
  <c r="BH38" i="113"/>
  <c r="M21" i="64"/>
  <c r="J23" i="64"/>
  <c r="BG37" i="113"/>
  <c r="K23" i="64"/>
  <c r="L20" i="64"/>
  <c r="M22" i="64"/>
  <c r="L23" i="64"/>
  <c r="BF39" i="113"/>
  <c r="BN22" i="113"/>
  <c r="BE33" i="113"/>
  <c r="BN40" i="113"/>
  <c r="BG33" i="113"/>
  <c r="BQ33" i="113"/>
  <c r="BF37" i="113"/>
  <c r="BE40" i="113"/>
  <c r="BN39" i="113"/>
  <c r="BN15" i="113"/>
  <c r="BG39" i="113"/>
  <c r="I21" i="64"/>
  <c r="BE38" i="113"/>
  <c r="BQ34" i="113"/>
  <c r="D21" i="64"/>
  <c r="BE35" i="113"/>
  <c r="BE37" i="113"/>
  <c r="BK39" i="113"/>
  <c r="BI39" i="113"/>
  <c r="BH40" i="113"/>
  <c r="AY16" i="113"/>
  <c r="BN38" i="113"/>
  <c r="I23" i="64"/>
  <c r="H22" i="64"/>
  <c r="BN16" i="113"/>
  <c r="BH33" i="113"/>
  <c r="BF35" i="113"/>
  <c r="BL36" i="113"/>
  <c r="BG34" i="113"/>
  <c r="BI36" i="113"/>
  <c r="BO36" i="113"/>
  <c r="BE36" i="113"/>
  <c r="BF34" i="113"/>
  <c r="BP35" i="113"/>
  <c r="BP36" i="113"/>
  <c r="BN17" i="113"/>
  <c r="G23" i="64"/>
  <c r="G22" i="64"/>
  <c r="E23" i="64"/>
  <c r="BQ40" i="113"/>
  <c r="BG38" i="113"/>
  <c r="K20" i="64"/>
  <c r="BO39" i="113"/>
  <c r="BG40" i="113"/>
  <c r="BQ37" i="113"/>
  <c r="BI35" i="113"/>
  <c r="D22" i="64"/>
  <c r="BF36" i="113"/>
  <c r="BJ38" i="113"/>
  <c r="BM35" i="113"/>
  <c r="BJ33" i="113"/>
  <c r="BK34" i="113"/>
  <c r="BO38" i="113"/>
  <c r="BH39" i="113"/>
  <c r="BM40" i="113"/>
  <c r="J22" i="64"/>
  <c r="BJ36" i="113"/>
  <c r="BK35" i="113"/>
  <c r="L21" i="64"/>
  <c r="K22" i="64"/>
  <c r="BH35" i="113"/>
  <c r="BP34" i="113"/>
  <c r="BJ39" i="113"/>
  <c r="D20" i="64"/>
  <c r="H21" i="64"/>
  <c r="BK36" i="113"/>
  <c r="BO35" i="113"/>
  <c r="BM36" i="113"/>
  <c r="D23" i="64"/>
  <c r="I22" i="64"/>
  <c r="BG36" i="113"/>
  <c r="H23" i="64"/>
  <c r="BQ38" i="113"/>
  <c r="BM39" i="113"/>
  <c r="L22" i="64"/>
  <c r="BE39" i="113"/>
  <c r="BP40" i="113"/>
  <c r="BK38" i="113"/>
  <c r="BF33" i="113"/>
  <c r="BH36" i="113"/>
  <c r="BQ39" i="113"/>
  <c r="M20" i="64"/>
  <c r="BO34" i="113"/>
  <c r="BK22" i="64"/>
  <c r="BQ35" i="113"/>
  <c r="BL38" i="113"/>
  <c r="G20" i="64"/>
  <c r="K21" i="64"/>
  <c r="BF40" i="113"/>
  <c r="BQ36" i="113"/>
  <c r="I20" i="64"/>
  <c r="BN21" i="113"/>
  <c r="BJ40" i="113"/>
  <c r="M23" i="64"/>
  <c r="BJ34" i="113"/>
  <c r="BN35" i="113"/>
  <c r="BP39" i="113"/>
  <c r="BL40" i="113"/>
  <c r="BH34" i="113"/>
  <c r="BL35" i="113"/>
  <c r="BM34" i="113"/>
  <c r="BL39" i="113"/>
  <c r="BN23" i="113"/>
  <c r="BE34" i="113"/>
  <c r="BI34" i="113"/>
  <c r="BK23" i="64"/>
  <c r="BH37" i="113"/>
  <c r="BJ37" i="113"/>
  <c r="BJ35" i="113"/>
  <c r="BN34" i="113"/>
  <c r="H20" i="64"/>
  <c r="BG35" i="113"/>
  <c r="BF38" i="113"/>
  <c r="BO40" i="113"/>
  <c r="J21" i="64"/>
  <c r="G21" i="64"/>
  <c r="BK40" i="113"/>
  <c r="CD173" i="104" l="1"/>
  <c r="CT16" i="148"/>
  <c r="K139" i="64"/>
  <c r="H139" i="64"/>
  <c r="BD21" i="64"/>
  <c r="J139" i="64"/>
  <c r="BD20" i="64"/>
  <c r="G139" i="64"/>
  <c r="BD22" i="64"/>
  <c r="BD23" i="64"/>
  <c r="L139" i="64"/>
  <c r="M139" i="64"/>
  <c r="I139" i="64"/>
  <c r="CU15" i="148"/>
  <c r="EQ15" i="148"/>
  <c r="CU17" i="148"/>
  <c r="EQ17" i="148"/>
  <c r="CU16" i="148"/>
  <c r="EQ16" i="148"/>
  <c r="EV116" i="104"/>
  <c r="CY8" i="146"/>
  <c r="EV8" i="146"/>
  <c r="EV10" i="146"/>
  <c r="EZ59" i="104"/>
  <c r="EV173" i="104"/>
  <c r="CD116" i="104"/>
  <c r="CE116" i="104" s="1"/>
  <c r="EB116" i="104" s="1"/>
  <c r="BF21" i="148"/>
  <c r="DC21" i="148" s="1"/>
  <c r="BE13" i="148"/>
  <c r="BH13" i="148" s="1"/>
  <c r="BG13" i="148"/>
  <c r="EA173" i="104"/>
  <c r="DF173" i="104"/>
  <c r="CY173" i="104"/>
  <c r="DF116" i="104"/>
  <c r="BQ59" i="104"/>
  <c r="DN59" i="104" s="1"/>
  <c r="EL23" i="148"/>
  <c r="ES23" i="148"/>
  <c r="EE23" i="148"/>
  <c r="EE17" i="148"/>
  <c r="EL17" i="148"/>
  <c r="EE15" i="148"/>
  <c r="EL15" i="148"/>
  <c r="EE16" i="148"/>
  <c r="EL16" i="148"/>
  <c r="EL24" i="148"/>
  <c r="ES24" i="148"/>
  <c r="EE24" i="148"/>
  <c r="EE22" i="148"/>
  <c r="EL22" i="148"/>
  <c r="ES22" i="148"/>
  <c r="DJ23" i="148"/>
  <c r="DQ23" i="148"/>
  <c r="DC23" i="148"/>
  <c r="DX23" i="148"/>
  <c r="DQ15" i="148"/>
  <c r="DC15" i="148"/>
  <c r="DJ15" i="148"/>
  <c r="DX15" i="148"/>
  <c r="BD20" i="148"/>
  <c r="CZ20" i="148"/>
  <c r="DC16" i="148"/>
  <c r="DJ16" i="148"/>
  <c r="DQ16" i="148"/>
  <c r="DX16" i="148"/>
  <c r="BD21" i="148"/>
  <c r="DA21" i="148" s="1"/>
  <c r="DD13" i="148"/>
  <c r="BD14" i="148"/>
  <c r="CZ14" i="148"/>
  <c r="BR21" i="148"/>
  <c r="DN21" i="148"/>
  <c r="BR20" i="148"/>
  <c r="DN20" i="148"/>
  <c r="DB13" i="148"/>
  <c r="DJ24" i="148"/>
  <c r="DQ24" i="148"/>
  <c r="DC24" i="148"/>
  <c r="DX24" i="148"/>
  <c r="DJ17" i="148"/>
  <c r="DC17" i="148"/>
  <c r="DQ17" i="148"/>
  <c r="DX17" i="148"/>
  <c r="BR14" i="148"/>
  <c r="DN14" i="148"/>
  <c r="DC22" i="148"/>
  <c r="DJ22" i="148"/>
  <c r="DQ22" i="148"/>
  <c r="DX22" i="148"/>
  <c r="BR13" i="148"/>
  <c r="DN13" i="148"/>
  <c r="BE6" i="148"/>
  <c r="BH6" i="148" s="1"/>
  <c r="BG6" i="148"/>
  <c r="AJ13" i="148"/>
  <c r="AJ21" i="148"/>
  <c r="AJ14" i="148"/>
  <c r="AJ20" i="148"/>
  <c r="Q13" i="148"/>
  <c r="Q14" i="148" s="1"/>
  <c r="CD14" i="148" s="1"/>
  <c r="EA14" i="148" s="1"/>
  <c r="F72" i="148"/>
  <c r="EB11" i="145"/>
  <c r="EI11" i="145"/>
  <c r="EC11" i="145"/>
  <c r="EJ11" i="145"/>
  <c r="EB16" i="145"/>
  <c r="EI16" i="145"/>
  <c r="DN16" i="145"/>
  <c r="DU16" i="145"/>
  <c r="DN11" i="145"/>
  <c r="DU11" i="145"/>
  <c r="DO11" i="145"/>
  <c r="DV11" i="145"/>
  <c r="CZ16" i="145"/>
  <c r="CZ11" i="145"/>
  <c r="DG11" i="145"/>
  <c r="DA11" i="145"/>
  <c r="DH11" i="145"/>
  <c r="BI16" i="145"/>
  <c r="BJ16" i="145" s="1"/>
  <c r="BK16" i="145" s="1"/>
  <c r="BL16" i="145" s="1"/>
  <c r="BM16" i="145" s="1"/>
  <c r="BN16" i="145" s="1"/>
  <c r="BO16" i="145" s="1"/>
  <c r="DL16" i="145" s="1"/>
  <c r="DW10" i="146"/>
  <c r="DT8" i="146"/>
  <c r="DU8" i="146"/>
  <c r="EO8" i="146"/>
  <c r="DV8" i="146"/>
  <c r="DU10" i="146"/>
  <c r="K6" i="146"/>
  <c r="DW8" i="146"/>
  <c r="DV10" i="146"/>
  <c r="DY8" i="146"/>
  <c r="K10" i="146"/>
  <c r="DX10" i="146"/>
  <c r="DY10" i="146"/>
  <c r="BM6" i="145"/>
  <c r="BN6" i="145" s="1"/>
  <c r="BO6" i="145" s="1"/>
  <c r="DL6" i="145" s="1"/>
  <c r="DI6" i="145"/>
  <c r="BZ116" i="104"/>
  <c r="DW116" i="104" s="1"/>
  <c r="CK116" i="104"/>
  <c r="CL116" i="104" s="1"/>
  <c r="CM116" i="104" s="1"/>
  <c r="EJ116" i="104" s="1"/>
  <c r="CK173" i="104"/>
  <c r="CL173" i="104" s="1"/>
  <c r="CM173" i="104" s="1"/>
  <c r="EJ173" i="104" s="1"/>
  <c r="CR116" i="104"/>
  <c r="EO116" i="104" s="1"/>
  <c r="BP173" i="104"/>
  <c r="DM173" i="104" s="1"/>
  <c r="S14" i="148"/>
  <c r="CR14" i="148" s="1"/>
  <c r="CR13" i="148"/>
  <c r="I72" i="148"/>
  <c r="Q20" i="148"/>
  <c r="Q21" i="148" s="1"/>
  <c r="CD21" i="148" s="1"/>
  <c r="J72" i="148"/>
  <c r="R20" i="148"/>
  <c r="R21" i="148" s="1"/>
  <c r="CK21" i="148" s="1"/>
  <c r="K72" i="148"/>
  <c r="S20" i="148"/>
  <c r="S21" i="148" s="1"/>
  <c r="BP116" i="104"/>
  <c r="DM116" i="104" s="1"/>
  <c r="G71" i="148"/>
  <c r="AV173" i="104"/>
  <c r="AX173" i="104"/>
  <c r="AA13" i="148"/>
  <c r="AA20" i="148"/>
  <c r="BW13" i="148"/>
  <c r="DT13" i="148" s="1"/>
  <c r="CC13" i="148"/>
  <c r="CB13" i="148"/>
  <c r="DY13" i="148" s="1"/>
  <c r="CA13" i="148"/>
  <c r="DX13" i="148" s="1"/>
  <c r="BY13" i="148"/>
  <c r="DV13" i="148" s="1"/>
  <c r="BX13" i="148"/>
  <c r="DU13" i="148" s="1"/>
  <c r="BZ13" i="148"/>
  <c r="DW13" i="148" s="1"/>
  <c r="AA21" i="148"/>
  <c r="AA14" i="148"/>
  <c r="CC20" i="148"/>
  <c r="CA20" i="148"/>
  <c r="DX20" i="148" s="1"/>
  <c r="BZ20" i="148"/>
  <c r="DW20" i="148" s="1"/>
  <c r="BY20" i="148"/>
  <c r="DV20" i="148" s="1"/>
  <c r="CB20" i="148"/>
  <c r="DY20" i="148" s="1"/>
  <c r="BX20" i="148"/>
  <c r="DU20" i="148" s="1"/>
  <c r="BW20" i="148"/>
  <c r="DT20" i="148" s="1"/>
  <c r="H72" i="148"/>
  <c r="BE21" i="148"/>
  <c r="P21" i="148"/>
  <c r="CA7" i="148"/>
  <c r="P14" i="148"/>
  <c r="BY7" i="148"/>
  <c r="BX7" i="148"/>
  <c r="BW7" i="148"/>
  <c r="CC7" i="148"/>
  <c r="CB7" i="148"/>
  <c r="BZ7" i="148"/>
  <c r="BG7" i="148"/>
  <c r="BE7" i="148"/>
  <c r="BH7" i="148" s="1"/>
  <c r="Q173" i="104"/>
  <c r="BY173" i="104" s="1"/>
  <c r="DV173" i="104" s="1"/>
  <c r="BW116" i="104"/>
  <c r="DT116" i="104" s="1"/>
  <c r="CR173" i="104"/>
  <c r="EO173" i="104" s="1"/>
  <c r="CA116" i="104"/>
  <c r="DX116" i="104" s="1"/>
  <c r="CS59" i="104"/>
  <c r="EP59" i="104" s="1"/>
  <c r="BJ59" i="104"/>
  <c r="DG59" i="104" s="1"/>
  <c r="EJ10" i="146"/>
  <c r="CN10" i="146"/>
  <c r="ER10" i="146"/>
  <c r="CV10" i="146"/>
  <c r="EQ10" i="146"/>
  <c r="DI8" i="146"/>
  <c r="BM8" i="146"/>
  <c r="BN8" i="146" s="1"/>
  <c r="DP8" i="146"/>
  <c r="BT8" i="146"/>
  <c r="BU8" i="146" s="1"/>
  <c r="EA8" i="146"/>
  <c r="CE8" i="146"/>
  <c r="CF8" i="146" s="1"/>
  <c r="CG8" i="146" s="1"/>
  <c r="CH8" i="146" s="1"/>
  <c r="CI8" i="146" s="1"/>
  <c r="BQ10" i="146"/>
  <c r="BR10" i="146" s="1"/>
  <c r="EB10" i="146"/>
  <c r="CF10" i="146"/>
  <c r="K8" i="146"/>
  <c r="DM8" i="146"/>
  <c r="EO10" i="146"/>
  <c r="DF8" i="146"/>
  <c r="DN8" i="146"/>
  <c r="EH10" i="146"/>
  <c r="EP10" i="146"/>
  <c r="DG8" i="146"/>
  <c r="DO8" i="146"/>
  <c r="EA10" i="146"/>
  <c r="EI10" i="146"/>
  <c r="DH8" i="146"/>
  <c r="DX8" i="146"/>
  <c r="DT10" i="146"/>
  <c r="CL8" i="146"/>
  <c r="BJ10" i="146"/>
  <c r="DN6" i="145"/>
  <c r="DO6" i="145"/>
  <c r="Z11" i="145"/>
  <c r="DB6" i="145"/>
  <c r="DP6" i="145"/>
  <c r="DW6" i="145"/>
  <c r="Z16" i="145"/>
  <c r="Y16" i="145"/>
  <c r="DH6" i="145"/>
  <c r="DV6" i="145"/>
  <c r="EI6" i="145"/>
  <c r="CM6" i="145"/>
  <c r="CN6" i="145" s="1"/>
  <c r="CO6" i="145" s="1"/>
  <c r="CP6" i="145" s="1"/>
  <c r="CQ6" i="145" s="1"/>
  <c r="EN6" i="145" s="1"/>
  <c r="DA6" i="145"/>
  <c r="DU6" i="145"/>
  <c r="DG6" i="145"/>
  <c r="CZ6" i="145"/>
  <c r="CB116" i="104"/>
  <c r="DY116" i="104" s="1"/>
  <c r="CC116" i="104"/>
  <c r="DZ116" i="104" s="1"/>
  <c r="BX116" i="104"/>
  <c r="DU116" i="104" s="1"/>
  <c r="BY116" i="104"/>
  <c r="DV116" i="104" s="1"/>
  <c r="BB59" i="104"/>
  <c r="CY59" i="104" s="1"/>
  <c r="J116" i="104"/>
  <c r="BB116" i="104" s="1"/>
  <c r="CY116" i="104" s="1"/>
  <c r="L59" i="104"/>
  <c r="BJ116" i="104"/>
  <c r="DG116" i="104" s="1"/>
  <c r="CE173" i="104"/>
  <c r="EB173" i="104" s="1"/>
  <c r="BJ173" i="104"/>
  <c r="DG173" i="104" s="1"/>
  <c r="BC173" i="104"/>
  <c r="CZ173" i="104" s="1"/>
  <c r="CL59" i="104"/>
  <c r="EI59" i="104" s="1"/>
  <c r="CE59" i="104"/>
  <c r="EB59" i="104" s="1"/>
  <c r="BL37" i="113"/>
  <c r="BL33" i="113"/>
  <c r="AZ17" i="113"/>
  <c r="AZ16" i="113"/>
  <c r="BM33" i="113"/>
  <c r="AZ15" i="113"/>
  <c r="BD139" i="64" l="1"/>
  <c r="O9" i="71"/>
  <c r="M9" i="71"/>
  <c r="N9" i="71"/>
  <c r="I9" i="71"/>
  <c r="J9" i="71"/>
  <c r="L9" i="71"/>
  <c r="K9" i="71"/>
  <c r="CV17" i="148"/>
  <c r="ER17" i="148"/>
  <c r="CV16" i="148"/>
  <c r="ER16" i="148"/>
  <c r="CV15" i="148"/>
  <c r="ER15" i="148"/>
  <c r="CY10" i="146"/>
  <c r="BE10" i="146"/>
  <c r="DB10" i="146" s="1"/>
  <c r="BC10" i="146"/>
  <c r="BF10" i="146" s="1"/>
  <c r="DC10" i="146" s="1"/>
  <c r="BC8" i="146"/>
  <c r="CZ8" i="146" s="1"/>
  <c r="EW8" i="146" s="1"/>
  <c r="BE8" i="146"/>
  <c r="DB8" i="146" s="1"/>
  <c r="EI173" i="104"/>
  <c r="EI116" i="104"/>
  <c r="EA116" i="104"/>
  <c r="EH116" i="104"/>
  <c r="EZ116" i="104"/>
  <c r="EH173" i="104"/>
  <c r="BQ173" i="104"/>
  <c r="DN173" i="104" s="1"/>
  <c r="BQ116" i="104"/>
  <c r="DN116" i="104" s="1"/>
  <c r="DZ20" i="148"/>
  <c r="EZ20" i="148" s="1"/>
  <c r="DZ13" i="148"/>
  <c r="CE14" i="148"/>
  <c r="CF14" i="148" s="1"/>
  <c r="EV20" i="148"/>
  <c r="EF15" i="148"/>
  <c r="EM15" i="148"/>
  <c r="EV14" i="148"/>
  <c r="EF22" i="148"/>
  <c r="EM22" i="148"/>
  <c r="ET22" i="148"/>
  <c r="CL21" i="148"/>
  <c r="EH21" i="148"/>
  <c r="EV21" i="148"/>
  <c r="EF23" i="148"/>
  <c r="EM23" i="148"/>
  <c r="ET23" i="148"/>
  <c r="EV13" i="148"/>
  <c r="EM24" i="148"/>
  <c r="ET24" i="148"/>
  <c r="EF24" i="148"/>
  <c r="CE21" i="148"/>
  <c r="EA21" i="148"/>
  <c r="CS13" i="148"/>
  <c r="EO13" i="148"/>
  <c r="EF17" i="148"/>
  <c r="EM17" i="148"/>
  <c r="CS14" i="148"/>
  <c r="EO14" i="148"/>
  <c r="EF16" i="148"/>
  <c r="EM16" i="148"/>
  <c r="BS14" i="148"/>
  <c r="DO14" i="148"/>
  <c r="DA14" i="148"/>
  <c r="BG14" i="148"/>
  <c r="DD14" i="148" s="1"/>
  <c r="BE14" i="148"/>
  <c r="DK17" i="148"/>
  <c r="DD17" i="148"/>
  <c r="DR17" i="148"/>
  <c r="DY17" i="148"/>
  <c r="DK24" i="148"/>
  <c r="DR24" i="148"/>
  <c r="DD24" i="148"/>
  <c r="DY24" i="148"/>
  <c r="BG21" i="148"/>
  <c r="DD21" i="148" s="1"/>
  <c r="BS13" i="148"/>
  <c r="DO13" i="148"/>
  <c r="DR16" i="148"/>
  <c r="DD16" i="148"/>
  <c r="DK16" i="148"/>
  <c r="DY16" i="148"/>
  <c r="BH21" i="148"/>
  <c r="DE21" i="148" s="1"/>
  <c r="DB21" i="148"/>
  <c r="EV22" i="148"/>
  <c r="BS20" i="148"/>
  <c r="DO20" i="148"/>
  <c r="DK15" i="148"/>
  <c r="DR15" i="148"/>
  <c r="DD15" i="148"/>
  <c r="DY15" i="148"/>
  <c r="DA20" i="148"/>
  <c r="BG20" i="148"/>
  <c r="DD20" i="148" s="1"/>
  <c r="BE20" i="148"/>
  <c r="DE13" i="148"/>
  <c r="EW13" i="148" s="1"/>
  <c r="BS21" i="148"/>
  <c r="DO21" i="148"/>
  <c r="DD22" i="148"/>
  <c r="DK22" i="148"/>
  <c r="DR22" i="148"/>
  <c r="DY22" i="148"/>
  <c r="DD23" i="148"/>
  <c r="DK23" i="148"/>
  <c r="DR23" i="148"/>
  <c r="DY23" i="148"/>
  <c r="EC16" i="145"/>
  <c r="EJ16" i="145"/>
  <c r="ED16" i="145"/>
  <c r="EK16" i="145"/>
  <c r="ED11" i="145"/>
  <c r="EK11" i="145"/>
  <c r="DP16" i="145"/>
  <c r="DW16" i="145"/>
  <c r="DP11" i="145"/>
  <c r="DW11" i="145"/>
  <c r="DO16" i="145"/>
  <c r="DV16" i="145"/>
  <c r="DG16" i="145"/>
  <c r="DA16" i="145"/>
  <c r="DH16" i="145"/>
  <c r="DB11" i="145"/>
  <c r="DI11" i="145"/>
  <c r="DB16" i="145"/>
  <c r="DI16" i="145"/>
  <c r="EE8" i="146"/>
  <c r="CS8" i="146"/>
  <c r="CT8" i="146" s="1"/>
  <c r="CU8" i="146" s="1"/>
  <c r="FE6" i="146"/>
  <c r="EF8" i="146"/>
  <c r="CJ8" i="146"/>
  <c r="EG8" i="146" s="1"/>
  <c r="DR8" i="146"/>
  <c r="BV8" i="146"/>
  <c r="DS8" i="146" s="1"/>
  <c r="DK8" i="146"/>
  <c r="BO8" i="146"/>
  <c r="DL8" i="146" s="1"/>
  <c r="BH8" i="146"/>
  <c r="DE8" i="146" s="1"/>
  <c r="DF10" i="146"/>
  <c r="EH8" i="146"/>
  <c r="DM10" i="146"/>
  <c r="CN116" i="104"/>
  <c r="EK116" i="104" s="1"/>
  <c r="FE59" i="104"/>
  <c r="CC173" i="104"/>
  <c r="DZ173" i="104" s="1"/>
  <c r="CS116" i="104"/>
  <c r="EP116" i="104" s="1"/>
  <c r="CA173" i="104"/>
  <c r="DX173" i="104" s="1"/>
  <c r="BZ173" i="104"/>
  <c r="DW173" i="104" s="1"/>
  <c r="BX173" i="104"/>
  <c r="DU173" i="104" s="1"/>
  <c r="BW173" i="104"/>
  <c r="DT173" i="104" s="1"/>
  <c r="CB173" i="104"/>
  <c r="DY173" i="104" s="1"/>
  <c r="G72" i="148"/>
  <c r="R13" i="148"/>
  <c r="R14" i="148" s="1"/>
  <c r="CK14" i="148" s="1"/>
  <c r="CT59" i="104"/>
  <c r="EQ59" i="104" s="1"/>
  <c r="CD20" i="148"/>
  <c r="CA14" i="148"/>
  <c r="DX14" i="148" s="1"/>
  <c r="BY14" i="148"/>
  <c r="DV14" i="148" s="1"/>
  <c r="BX14" i="148"/>
  <c r="DU14" i="148" s="1"/>
  <c r="BW14" i="148"/>
  <c r="DT14" i="148" s="1"/>
  <c r="CC14" i="148"/>
  <c r="DZ14" i="148" s="1"/>
  <c r="CB14" i="148"/>
  <c r="DY14" i="148" s="1"/>
  <c r="BZ14" i="148"/>
  <c r="DW14" i="148" s="1"/>
  <c r="BX21" i="148"/>
  <c r="DU21" i="148" s="1"/>
  <c r="CC21" i="148"/>
  <c r="DZ21" i="148" s="1"/>
  <c r="CB21" i="148"/>
  <c r="DY21" i="148" s="1"/>
  <c r="CA21" i="148"/>
  <c r="DX21" i="148" s="1"/>
  <c r="BZ21" i="148"/>
  <c r="DW21" i="148" s="1"/>
  <c r="BY21" i="148"/>
  <c r="DV21" i="148" s="1"/>
  <c r="BW21" i="148"/>
  <c r="DT21" i="148" s="1"/>
  <c r="AC7" i="148"/>
  <c r="BK59" i="104"/>
  <c r="DH59" i="104" s="1"/>
  <c r="CS173" i="104"/>
  <c r="EP173" i="104" s="1"/>
  <c r="ES10" i="146"/>
  <c r="CW10" i="146"/>
  <c r="ED8" i="146"/>
  <c r="EO6" i="146"/>
  <c r="CS6" i="146"/>
  <c r="EB8" i="146"/>
  <c r="DG10" i="146"/>
  <c r="BK10" i="146"/>
  <c r="DN10" i="146"/>
  <c r="DQ8" i="146"/>
  <c r="DF6" i="146"/>
  <c r="BJ6" i="146"/>
  <c r="EA6" i="146"/>
  <c r="CE6" i="146"/>
  <c r="EI8" i="146"/>
  <c r="CM8" i="146"/>
  <c r="EH6" i="146"/>
  <c r="CL6" i="146"/>
  <c r="EC8" i="146"/>
  <c r="EC10" i="146"/>
  <c r="CG10" i="146"/>
  <c r="DJ8" i="146"/>
  <c r="EK10" i="146"/>
  <c r="CO10" i="146"/>
  <c r="DM6" i="146"/>
  <c r="BQ6" i="146"/>
  <c r="DO10" i="146"/>
  <c r="BS10" i="146"/>
  <c r="BE6" i="146"/>
  <c r="CY6" i="146"/>
  <c r="BC6" i="146"/>
  <c r="EK6" i="145"/>
  <c r="EJ6" i="145"/>
  <c r="EM6" i="145"/>
  <c r="AB16" i="145"/>
  <c r="AB11" i="145"/>
  <c r="DD6" i="145"/>
  <c r="DK6" i="145"/>
  <c r="DY6" i="145"/>
  <c r="DR6" i="145"/>
  <c r="CE6" i="145"/>
  <c r="DJ6" i="145"/>
  <c r="DX6" i="145"/>
  <c r="EL6" i="145"/>
  <c r="AA16" i="145"/>
  <c r="AA11" i="145"/>
  <c r="DC6" i="145"/>
  <c r="DQ6" i="145"/>
  <c r="ES6" i="145" s="1"/>
  <c r="I16" i="145"/>
  <c r="AU16" i="145" s="1"/>
  <c r="I11" i="145"/>
  <c r="AU11" i="145" s="1"/>
  <c r="I6" i="145"/>
  <c r="AU6" i="145" s="1"/>
  <c r="CR6" i="145" s="1"/>
  <c r="W16" i="145"/>
  <c r="W11" i="145"/>
  <c r="CY6" i="145"/>
  <c r="BC59" i="104"/>
  <c r="CZ59" i="104" s="1"/>
  <c r="BC116" i="104"/>
  <c r="CZ116" i="104" s="1"/>
  <c r="L116" i="104"/>
  <c r="L173" i="104"/>
  <c r="BK116" i="104"/>
  <c r="DH116" i="104" s="1"/>
  <c r="CF116" i="104"/>
  <c r="EC116" i="104" s="1"/>
  <c r="CN173" i="104"/>
  <c r="EK173" i="104" s="1"/>
  <c r="CF173" i="104"/>
  <c r="EC173" i="104" s="1"/>
  <c r="BF173" i="104"/>
  <c r="DC173" i="104" s="1"/>
  <c r="BD173" i="104"/>
  <c r="DA173" i="104" s="1"/>
  <c r="BK173" i="104"/>
  <c r="DH173" i="104" s="1"/>
  <c r="CM59" i="104"/>
  <c r="EJ59" i="104" s="1"/>
  <c r="CF59" i="104"/>
  <c r="EC59" i="104" s="1"/>
  <c r="BR59" i="104"/>
  <c r="DO59" i="104" s="1"/>
  <c r="BN37" i="113"/>
  <c r="BM37" i="113"/>
  <c r="BN33" i="113"/>
  <c r="C9" i="71" l="1"/>
  <c r="CW15" i="148"/>
  <c r="ES15" i="148"/>
  <c r="CW16" i="148"/>
  <c r="ES16" i="148"/>
  <c r="CW17" i="148"/>
  <c r="ES17" i="148"/>
  <c r="EZ13" i="148"/>
  <c r="BF8" i="146"/>
  <c r="DC8" i="146" s="1"/>
  <c r="EP8" i="146"/>
  <c r="EQ8" i="146"/>
  <c r="BD8" i="146"/>
  <c r="DA8" i="146" s="1"/>
  <c r="FI6" i="146"/>
  <c r="CZ10" i="146"/>
  <c r="BD10" i="146"/>
  <c r="BG10" i="146" s="1"/>
  <c r="DD10" i="146" s="1"/>
  <c r="BH10" i="146"/>
  <c r="DE10" i="146" s="1"/>
  <c r="EZ173" i="104"/>
  <c r="EW21" i="148"/>
  <c r="EB14" i="148"/>
  <c r="CL14" i="148"/>
  <c r="EH14" i="148"/>
  <c r="EN15" i="148"/>
  <c r="EG15" i="148"/>
  <c r="EZ14" i="148"/>
  <c r="EG16" i="148"/>
  <c r="EN16" i="148"/>
  <c r="EV16" i="148"/>
  <c r="EG17" i="148"/>
  <c r="EN17" i="148"/>
  <c r="EV17" i="148"/>
  <c r="CG14" i="148"/>
  <c r="EC14" i="148"/>
  <c r="CT13" i="148"/>
  <c r="EP13" i="148"/>
  <c r="CT14" i="148"/>
  <c r="EP14" i="148"/>
  <c r="CE20" i="148"/>
  <c r="EA20" i="148"/>
  <c r="EG22" i="148"/>
  <c r="EN22" i="148"/>
  <c r="EU22" i="148"/>
  <c r="EV15" i="148"/>
  <c r="EG23" i="148"/>
  <c r="EN23" i="148"/>
  <c r="EU23" i="148"/>
  <c r="EV23" i="148"/>
  <c r="CF21" i="148"/>
  <c r="EB21" i="148"/>
  <c r="EZ21" i="148"/>
  <c r="EG24" i="148"/>
  <c r="EN24" i="148"/>
  <c r="EU24" i="148"/>
  <c r="EV24" i="148"/>
  <c r="CM21" i="148"/>
  <c r="EI21" i="148"/>
  <c r="BT13" i="148"/>
  <c r="DP13" i="148"/>
  <c r="BH20" i="148"/>
  <c r="DE20" i="148" s="1"/>
  <c r="DB20" i="148"/>
  <c r="DE23" i="148"/>
  <c r="DL23" i="148"/>
  <c r="DS23" i="148"/>
  <c r="DZ23" i="148"/>
  <c r="BT21" i="148"/>
  <c r="DP21" i="148"/>
  <c r="DE24" i="148"/>
  <c r="DL24" i="148"/>
  <c r="DS24" i="148"/>
  <c r="DZ24" i="148"/>
  <c r="BT14" i="148"/>
  <c r="DP14" i="148"/>
  <c r="DL15" i="148"/>
  <c r="DS15" i="148"/>
  <c r="DE15" i="148"/>
  <c r="DZ15" i="148"/>
  <c r="BT20" i="148"/>
  <c r="DP20" i="148"/>
  <c r="DS16" i="148"/>
  <c r="DE16" i="148"/>
  <c r="DL16" i="148"/>
  <c r="DZ16" i="148"/>
  <c r="DL17" i="148"/>
  <c r="DE17" i="148"/>
  <c r="DS17" i="148"/>
  <c r="DZ17" i="148"/>
  <c r="BH14" i="148"/>
  <c r="DE14" i="148" s="1"/>
  <c r="DB14" i="148"/>
  <c r="DS22" i="148"/>
  <c r="DE22" i="148"/>
  <c r="DL22" i="148"/>
  <c r="DZ22" i="148"/>
  <c r="ET6" i="145"/>
  <c r="ER6" i="145"/>
  <c r="EV6" i="145"/>
  <c r="EA11" i="145"/>
  <c r="EH11" i="145"/>
  <c r="EO11" i="145"/>
  <c r="EE16" i="145"/>
  <c r="EL16" i="145"/>
  <c r="EO16" i="145"/>
  <c r="EH16" i="145"/>
  <c r="EF11" i="145"/>
  <c r="EM11" i="145"/>
  <c r="EF16" i="145"/>
  <c r="EM16" i="145"/>
  <c r="EQ6" i="145"/>
  <c r="EE11" i="145"/>
  <c r="EL11" i="145"/>
  <c r="DT16" i="145"/>
  <c r="EA16" i="145"/>
  <c r="DR11" i="145"/>
  <c r="DY11" i="145"/>
  <c r="DM11" i="145"/>
  <c r="DT11" i="145"/>
  <c r="DR16" i="145"/>
  <c r="DY16" i="145"/>
  <c r="DQ11" i="145"/>
  <c r="DX11" i="145"/>
  <c r="DQ16" i="145"/>
  <c r="DX16" i="145"/>
  <c r="DF16" i="145"/>
  <c r="DM16" i="145"/>
  <c r="DC11" i="145"/>
  <c r="DJ11" i="145"/>
  <c r="DC16" i="145"/>
  <c r="DJ16" i="145"/>
  <c r="DD11" i="145"/>
  <c r="DK11" i="145"/>
  <c r="DD16" i="145"/>
  <c r="DK16" i="145"/>
  <c r="CY11" i="145"/>
  <c r="DF11" i="145"/>
  <c r="CR16" i="145"/>
  <c r="CY16" i="145"/>
  <c r="CR11" i="145"/>
  <c r="EA6" i="145"/>
  <c r="ET10" i="146"/>
  <c r="CX10" i="146"/>
  <c r="EU10" i="146" s="1"/>
  <c r="DB6" i="146"/>
  <c r="BH6" i="146"/>
  <c r="DE6" i="146" s="1"/>
  <c r="CO116" i="104"/>
  <c r="EL116" i="104" s="1"/>
  <c r="BR173" i="104"/>
  <c r="DO173" i="104" s="1"/>
  <c r="CT173" i="104"/>
  <c r="EQ173" i="104" s="1"/>
  <c r="CU59" i="104"/>
  <c r="ER59" i="104" s="1"/>
  <c r="BR116" i="104"/>
  <c r="DO116" i="104" s="1"/>
  <c r="CT116" i="104"/>
  <c r="EQ116" i="104" s="1"/>
  <c r="CK13" i="148"/>
  <c r="CD13" i="148"/>
  <c r="AD7" i="148"/>
  <c r="BL59" i="104"/>
  <c r="DI59" i="104" s="1"/>
  <c r="CP10" i="146"/>
  <c r="EL10" i="146"/>
  <c r="CV8" i="146"/>
  <c r="ER8" i="146"/>
  <c r="EP6" i="146"/>
  <c r="CT6" i="146"/>
  <c r="CH10" i="146"/>
  <c r="ED10" i="146"/>
  <c r="EI6" i="146"/>
  <c r="FK6" i="146" s="1"/>
  <c r="CM6" i="146"/>
  <c r="EB6" i="146"/>
  <c r="FJ6" i="146" s="1"/>
  <c r="CF6" i="146"/>
  <c r="BG8" i="146"/>
  <c r="DD8" i="146" s="1"/>
  <c r="BF6" i="146"/>
  <c r="DC6" i="146" s="1"/>
  <c r="CZ6" i="146"/>
  <c r="BD6" i="146"/>
  <c r="CN8" i="146"/>
  <c r="EJ8" i="146"/>
  <c r="DG6" i="146"/>
  <c r="BK6" i="146"/>
  <c r="BL10" i="146"/>
  <c r="DH10" i="146"/>
  <c r="BT10" i="146"/>
  <c r="DP10" i="146"/>
  <c r="DN6" i="146"/>
  <c r="BR6" i="146"/>
  <c r="K6" i="145"/>
  <c r="K11" i="145"/>
  <c r="K16" i="145"/>
  <c r="CF6" i="145"/>
  <c r="EB6" i="145"/>
  <c r="BD116" i="104"/>
  <c r="DA116" i="104" s="1"/>
  <c r="BF116" i="104"/>
  <c r="DC116" i="104" s="1"/>
  <c r="BD59" i="104"/>
  <c r="DA59" i="104" s="1"/>
  <c r="BF59" i="104"/>
  <c r="DC59" i="104" s="1"/>
  <c r="CG116" i="104"/>
  <c r="ED116" i="104" s="1"/>
  <c r="BL116" i="104"/>
  <c r="DI116" i="104" s="1"/>
  <c r="CG173" i="104"/>
  <c r="ED173" i="104" s="1"/>
  <c r="BG173" i="104"/>
  <c r="DD173" i="104" s="1"/>
  <c r="BE173" i="104"/>
  <c r="DB173" i="104" s="1"/>
  <c r="CO173" i="104"/>
  <c r="EL173" i="104" s="1"/>
  <c r="BL173" i="104"/>
  <c r="DI173" i="104" s="1"/>
  <c r="BS59" i="104"/>
  <c r="DP59" i="104" s="1"/>
  <c r="CG59" i="104"/>
  <c r="ED59" i="104" s="1"/>
  <c r="CN59" i="104"/>
  <c r="EK59" i="104" s="1"/>
  <c r="A6" i="114"/>
  <c r="A7" i="114"/>
  <c r="A14" i="114"/>
  <c r="A16" i="114"/>
  <c r="A17" i="114"/>
  <c r="A19" i="114"/>
  <c r="A20" i="114"/>
  <c r="A22" i="114"/>
  <c r="A23" i="114"/>
  <c r="A24" i="114"/>
  <c r="A25" i="114"/>
  <c r="A26" i="114"/>
  <c r="A27" i="114"/>
  <c r="A35" i="114"/>
  <c r="A36" i="114"/>
  <c r="A37" i="114"/>
  <c r="A38" i="114"/>
  <c r="A39" i="114"/>
  <c r="A40" i="114"/>
  <c r="A41" i="114"/>
  <c r="A42" i="114"/>
  <c r="A50" i="114"/>
  <c r="A8" i="71"/>
  <c r="A9" i="71"/>
  <c r="A10" i="71"/>
  <c r="A11" i="71"/>
  <c r="B244" i="113"/>
  <c r="B235" i="113"/>
  <c r="B234" i="113"/>
  <c r="B233" i="113"/>
  <c r="B232" i="113"/>
  <c r="B231" i="113"/>
  <c r="B229" i="113"/>
  <c r="B227" i="113"/>
  <c r="B226" i="113"/>
  <c r="B225" i="113"/>
  <c r="B224" i="113"/>
  <c r="B223" i="113"/>
  <c r="B222" i="113"/>
  <c r="B221" i="113"/>
  <c r="B220" i="113"/>
  <c r="B219" i="113"/>
  <c r="B218" i="113"/>
  <c r="B217" i="113"/>
  <c r="B216" i="113"/>
  <c r="B215" i="113"/>
  <c r="B214" i="113"/>
  <c r="B213" i="113"/>
  <c r="B212" i="113"/>
  <c r="B211" i="113"/>
  <c r="B197" i="113"/>
  <c r="B196" i="113"/>
  <c r="B195" i="113"/>
  <c r="B194" i="113"/>
  <c r="B193" i="113"/>
  <c r="B192" i="113"/>
  <c r="B191" i="113"/>
  <c r="B190" i="113"/>
  <c r="B189" i="113"/>
  <c r="B188" i="113"/>
  <c r="B187" i="113"/>
  <c r="B186" i="113"/>
  <c r="B185" i="113"/>
  <c r="B184" i="113"/>
  <c r="B183" i="113"/>
  <c r="B182" i="113"/>
  <c r="B181" i="113"/>
  <c r="B180" i="113"/>
  <c r="B179" i="113"/>
  <c r="B178" i="113"/>
  <c r="B177" i="113"/>
  <c r="B176" i="113"/>
  <c r="B175" i="113"/>
  <c r="B174" i="113"/>
  <c r="B173" i="113"/>
  <c r="B172" i="113"/>
  <c r="B171" i="113"/>
  <c r="B170" i="113"/>
  <c r="B169" i="113"/>
  <c r="B168" i="113"/>
  <c r="B167" i="113"/>
  <c r="B166" i="113"/>
  <c r="B165" i="113"/>
  <c r="B164" i="113"/>
  <c r="B163" i="113"/>
  <c r="B162" i="113"/>
  <c r="B161" i="113"/>
  <c r="B160" i="113"/>
  <c r="B159" i="113"/>
  <c r="B158" i="113"/>
  <c r="B157" i="113"/>
  <c r="B156" i="113"/>
  <c r="B155" i="113"/>
  <c r="B154" i="113"/>
  <c r="B153" i="113"/>
  <c r="B152" i="113"/>
  <c r="B151" i="113"/>
  <c r="B150" i="113"/>
  <c r="B149" i="113"/>
  <c r="B148" i="113"/>
  <c r="B147" i="113"/>
  <c r="B146" i="113"/>
  <c r="B145" i="113"/>
  <c r="B144" i="113"/>
  <c r="B143" i="113"/>
  <c r="B141" i="113"/>
  <c r="B140" i="113"/>
  <c r="B139" i="113"/>
  <c r="B138" i="113"/>
  <c r="B137" i="113"/>
  <c r="B136" i="113"/>
  <c r="B135" i="113"/>
  <c r="B134" i="113"/>
  <c r="B133" i="113"/>
  <c r="B132" i="113"/>
  <c r="B131" i="113"/>
  <c r="B130" i="113"/>
  <c r="B129" i="113"/>
  <c r="B128" i="113"/>
  <c r="B127" i="113"/>
  <c r="B126" i="113"/>
  <c r="B125" i="113"/>
  <c r="B124" i="113"/>
  <c r="B123" i="113"/>
  <c r="B122" i="113"/>
  <c r="B121" i="113"/>
  <c r="B120" i="113"/>
  <c r="B119" i="113"/>
  <c r="B118" i="113"/>
  <c r="B117" i="113"/>
  <c r="B116" i="113"/>
  <c r="B115" i="113"/>
  <c r="B114" i="113"/>
  <c r="B113" i="113"/>
  <c r="B112" i="113"/>
  <c r="B111" i="113"/>
  <c r="B110" i="113"/>
  <c r="B109" i="113"/>
  <c r="B108" i="113"/>
  <c r="B107" i="113"/>
  <c r="B106" i="113"/>
  <c r="B105" i="113"/>
  <c r="B104" i="113"/>
  <c r="B103" i="113"/>
  <c r="B102" i="113"/>
  <c r="B101" i="113"/>
  <c r="B100" i="113"/>
  <c r="B99" i="113"/>
  <c r="B98" i="113"/>
  <c r="B97" i="113"/>
  <c r="B96" i="113"/>
  <c r="B95" i="113"/>
  <c r="B94" i="113"/>
  <c r="B93" i="113"/>
  <c r="B92" i="113"/>
  <c r="B91" i="113"/>
  <c r="B90" i="113"/>
  <c r="B89" i="113"/>
  <c r="B11" i="113"/>
  <c r="B7" i="113"/>
  <c r="F1" i="104"/>
  <c r="FC1" i="104"/>
  <c r="BP33" i="113"/>
  <c r="BK33" i="113"/>
  <c r="BO33" i="113"/>
  <c r="BP37" i="113"/>
  <c r="BO37" i="113"/>
  <c r="BK37" i="113"/>
  <c r="DM7" i="148" l="1"/>
  <c r="CX15" i="148"/>
  <c r="EU15" i="148" s="1"/>
  <c r="ET15" i="148"/>
  <c r="CX17" i="148"/>
  <c r="EU17" i="148" s="1"/>
  <c r="ET17" i="148"/>
  <c r="CX16" i="148"/>
  <c r="EU16" i="148" s="1"/>
  <c r="ET16" i="148"/>
  <c r="EZ22" i="148"/>
  <c r="EZ15" i="148"/>
  <c r="EZ16" i="148"/>
  <c r="EZ23" i="148"/>
  <c r="EZ17" i="148"/>
  <c r="EZ24" i="148"/>
  <c r="FL6" i="146"/>
  <c r="DA10" i="146"/>
  <c r="EW10" i="146"/>
  <c r="FH6" i="146"/>
  <c r="EW20" i="148"/>
  <c r="EW14" i="148"/>
  <c r="EW16" i="148"/>
  <c r="CL13" i="148"/>
  <c r="EH13" i="148"/>
  <c r="EY16" i="148"/>
  <c r="EY23" i="148"/>
  <c r="CN21" i="148"/>
  <c r="EJ21" i="148"/>
  <c r="CG21" i="148"/>
  <c r="EC21" i="148"/>
  <c r="CU14" i="148"/>
  <c r="EQ14" i="148"/>
  <c r="FB17" i="148"/>
  <c r="FA15" i="148"/>
  <c r="EX23" i="148"/>
  <c r="FA17" i="148"/>
  <c r="EY17" i="148"/>
  <c r="EY24" i="148"/>
  <c r="EW23" i="148"/>
  <c r="FC24" i="148"/>
  <c r="FC23" i="148"/>
  <c r="FC22" i="148"/>
  <c r="CU13" i="148"/>
  <c r="EQ13" i="148"/>
  <c r="FB15" i="148"/>
  <c r="EW17" i="148"/>
  <c r="EX24" i="148"/>
  <c r="FB24" i="148"/>
  <c r="FB23" i="148"/>
  <c r="FB22" i="148"/>
  <c r="EX22" i="148"/>
  <c r="EX17" i="148"/>
  <c r="EW15" i="148"/>
  <c r="EW24" i="148"/>
  <c r="FA24" i="148"/>
  <c r="FA23" i="148"/>
  <c r="FA22" i="148"/>
  <c r="FB16" i="148"/>
  <c r="CM14" i="148"/>
  <c r="EI14" i="148"/>
  <c r="EW22" i="148"/>
  <c r="EY15" i="148"/>
  <c r="CH14" i="148"/>
  <c r="ED14" i="148"/>
  <c r="FA16" i="148"/>
  <c r="CE13" i="148"/>
  <c r="EA13" i="148"/>
  <c r="EY22" i="148"/>
  <c r="EX16" i="148"/>
  <c r="EX15" i="148"/>
  <c r="CF20" i="148"/>
  <c r="EB20" i="148"/>
  <c r="CY7" i="148"/>
  <c r="BU14" i="148"/>
  <c r="DQ14" i="148"/>
  <c r="BU20" i="148"/>
  <c r="DQ20" i="148"/>
  <c r="BU21" i="148"/>
  <c r="DQ21" i="148"/>
  <c r="BU13" i="148"/>
  <c r="DQ13" i="148"/>
  <c r="BW283" i="113"/>
  <c r="BA283" i="113"/>
  <c r="AU53" i="71" s="1"/>
  <c r="AS283" i="113"/>
  <c r="AM53" i="71" s="1"/>
  <c r="AK283" i="113"/>
  <c r="AE53" i="71" s="1"/>
  <c r="AC283" i="113"/>
  <c r="U283" i="113"/>
  <c r="M283" i="113"/>
  <c r="L283" i="113"/>
  <c r="BU283" i="113"/>
  <c r="AZ283" i="113"/>
  <c r="AT53" i="71" s="1"/>
  <c r="AR283" i="113"/>
  <c r="AL53" i="71" s="1"/>
  <c r="AJ283" i="113"/>
  <c r="AD53" i="71" s="1"/>
  <c r="AB283" i="113"/>
  <c r="T283" i="113"/>
  <c r="BT283" i="113"/>
  <c r="AY283" i="113"/>
  <c r="AS53" i="71" s="1"/>
  <c r="AQ283" i="113"/>
  <c r="AK53" i="71" s="1"/>
  <c r="AI283" i="113"/>
  <c r="AA283" i="113"/>
  <c r="S283" i="113"/>
  <c r="K283" i="113"/>
  <c r="BS283" i="113"/>
  <c r="AX283" i="113"/>
  <c r="AR53" i="71" s="1"/>
  <c r="AP283" i="113"/>
  <c r="AJ53" i="71" s="1"/>
  <c r="AH283" i="113"/>
  <c r="Z283" i="113"/>
  <c r="R283" i="113"/>
  <c r="J283" i="113"/>
  <c r="AW287" i="113"/>
  <c r="AQ57" i="71" s="1"/>
  <c r="I287" i="113"/>
  <c r="J57" i="71" s="1"/>
  <c r="BB283" i="113"/>
  <c r="AV53" i="71" s="1"/>
  <c r="V283" i="113"/>
  <c r="AW283" i="113"/>
  <c r="AQ53" i="71" s="1"/>
  <c r="AO283" i="113"/>
  <c r="AI53" i="71" s="1"/>
  <c r="AG283" i="113"/>
  <c r="Y283" i="113"/>
  <c r="Q283" i="113"/>
  <c r="I283" i="113"/>
  <c r="Y287" i="113"/>
  <c r="BD283" i="113"/>
  <c r="AX53" i="71" s="1"/>
  <c r="AV283" i="113"/>
  <c r="AP53" i="71" s="1"/>
  <c r="AN283" i="113"/>
  <c r="AH53" i="71" s="1"/>
  <c r="AF283" i="113"/>
  <c r="X283" i="113"/>
  <c r="P283" i="113"/>
  <c r="H283" i="113"/>
  <c r="AG287" i="113"/>
  <c r="BX283" i="113"/>
  <c r="AL283" i="113"/>
  <c r="AF53" i="71" s="1"/>
  <c r="N283" i="113"/>
  <c r="BR287" i="113"/>
  <c r="AO287" i="113"/>
  <c r="AI57" i="71" s="1"/>
  <c r="Q287" i="113"/>
  <c r="AT283" i="113"/>
  <c r="AN53" i="71" s="1"/>
  <c r="AD283" i="113"/>
  <c r="BD287" i="113"/>
  <c r="AX57" i="71" s="1"/>
  <c r="BY283" i="113"/>
  <c r="AH287" i="113"/>
  <c r="S287" i="113"/>
  <c r="AB287" i="113"/>
  <c r="BW287" i="113"/>
  <c r="AD287" i="113"/>
  <c r="W287" i="113"/>
  <c r="X287" i="113"/>
  <c r="AP287" i="113"/>
  <c r="AJ57" i="71" s="1"/>
  <c r="AA287" i="113"/>
  <c r="AJ287" i="113"/>
  <c r="AD57" i="71" s="1"/>
  <c r="AL287" i="113"/>
  <c r="AF57" i="71" s="1"/>
  <c r="AE287" i="113"/>
  <c r="AF287" i="113"/>
  <c r="BR283" i="113"/>
  <c r="O283" i="113"/>
  <c r="AX287" i="113"/>
  <c r="AR57" i="71" s="1"/>
  <c r="AI287" i="113"/>
  <c r="AR287" i="113"/>
  <c r="AL57" i="71" s="1"/>
  <c r="M287" i="113"/>
  <c r="N57" i="71" s="1"/>
  <c r="AT287" i="113"/>
  <c r="AN57" i="71" s="1"/>
  <c r="AM287" i="113"/>
  <c r="AG57" i="71" s="1"/>
  <c r="AN287" i="113"/>
  <c r="AH57" i="71" s="1"/>
  <c r="W283" i="113"/>
  <c r="BS287" i="113"/>
  <c r="AQ287" i="113"/>
  <c r="AK57" i="71" s="1"/>
  <c r="AZ287" i="113"/>
  <c r="AT57" i="71" s="1"/>
  <c r="U287" i="113"/>
  <c r="BB287" i="113"/>
  <c r="AV57" i="71" s="1"/>
  <c r="AU287" i="113"/>
  <c r="AO57" i="71" s="1"/>
  <c r="AV287" i="113"/>
  <c r="AP57" i="71" s="1"/>
  <c r="AE283" i="113"/>
  <c r="AY287" i="113"/>
  <c r="AS57" i="71" s="1"/>
  <c r="BU287" i="113"/>
  <c r="AC287" i="113"/>
  <c r="BX287" i="113"/>
  <c r="BC287" i="113"/>
  <c r="AW57" i="71" s="1"/>
  <c r="AM283" i="113"/>
  <c r="AG53" i="71" s="1"/>
  <c r="J287" i="113"/>
  <c r="K57" i="71" s="1"/>
  <c r="BT287" i="113"/>
  <c r="AK287" i="113"/>
  <c r="AE57" i="71" s="1"/>
  <c r="BY287" i="113"/>
  <c r="AU283" i="113"/>
  <c r="AO53" i="71" s="1"/>
  <c r="R287" i="113"/>
  <c r="L287" i="113"/>
  <c r="M57" i="71" s="1"/>
  <c r="AS287" i="113"/>
  <c r="AM57" i="71" s="1"/>
  <c r="N287" i="113"/>
  <c r="O57" i="71" s="1"/>
  <c r="H287" i="113"/>
  <c r="BC283" i="113"/>
  <c r="AW53" i="71" s="1"/>
  <c r="Z287" i="113"/>
  <c r="K287" i="113"/>
  <c r="L57" i="71" s="1"/>
  <c r="T287" i="113"/>
  <c r="BA287" i="113"/>
  <c r="AU57" i="71" s="1"/>
  <c r="V287" i="113"/>
  <c r="O287" i="113"/>
  <c r="P287" i="113"/>
  <c r="DT7" i="148"/>
  <c r="AU271" i="113"/>
  <c r="AO37" i="71" s="1"/>
  <c r="AF271" i="113"/>
  <c r="AG271" i="113"/>
  <c r="AX271" i="113"/>
  <c r="AR37" i="71" s="1"/>
  <c r="AY271" i="113"/>
  <c r="AS37" i="71" s="1"/>
  <c r="U271" i="113"/>
  <c r="AL271" i="113"/>
  <c r="AF37" i="71" s="1"/>
  <c r="BW271" i="113"/>
  <c r="AN271" i="113"/>
  <c r="AH37" i="71" s="1"/>
  <c r="AO271" i="113"/>
  <c r="AI37" i="71" s="1"/>
  <c r="BS271" i="113"/>
  <c r="BT271" i="113"/>
  <c r="L271" i="113"/>
  <c r="M37" i="71" s="1"/>
  <c r="AC271" i="113"/>
  <c r="AT271" i="113"/>
  <c r="AN37" i="71" s="1"/>
  <c r="O271" i="113"/>
  <c r="AV271" i="113"/>
  <c r="AP37" i="71" s="1"/>
  <c r="AW271" i="113"/>
  <c r="AQ37" i="71" s="1"/>
  <c r="T271" i="113"/>
  <c r="AK271" i="113"/>
  <c r="AE37" i="71" s="1"/>
  <c r="BB271" i="113"/>
  <c r="AV37" i="71" s="1"/>
  <c r="W271" i="113"/>
  <c r="BD271" i="113"/>
  <c r="AX37" i="71" s="1"/>
  <c r="BR271" i="113"/>
  <c r="J271" i="113"/>
  <c r="K37" i="71" s="1"/>
  <c r="BC271" i="113"/>
  <c r="AW37" i="71" s="1"/>
  <c r="K271" i="113"/>
  <c r="L37" i="71" s="1"/>
  <c r="AB271" i="113"/>
  <c r="AS271" i="113"/>
  <c r="AM37" i="71" s="1"/>
  <c r="AM271" i="113"/>
  <c r="AG37" i="71" s="1"/>
  <c r="BY271" i="113"/>
  <c r="R271" i="113"/>
  <c r="S271" i="113"/>
  <c r="AJ271" i="113"/>
  <c r="AD37" i="71" s="1"/>
  <c r="BA271" i="113"/>
  <c r="AU37" i="71" s="1"/>
  <c r="BX271" i="113"/>
  <c r="H271" i="113"/>
  <c r="I37" i="71" s="1"/>
  <c r="AE271" i="113"/>
  <c r="I271" i="113"/>
  <c r="J37" i="71" s="1"/>
  <c r="Z271" i="113"/>
  <c r="AA271" i="113"/>
  <c r="AR271" i="113"/>
  <c r="AL37" i="71" s="1"/>
  <c r="BV271" i="113"/>
  <c r="N271" i="113"/>
  <c r="O37" i="71" s="1"/>
  <c r="P271" i="113"/>
  <c r="Q271" i="113"/>
  <c r="AH271" i="113"/>
  <c r="AI271" i="113"/>
  <c r="AZ271" i="113"/>
  <c r="AT37" i="71" s="1"/>
  <c r="V271" i="113"/>
  <c r="X271" i="113"/>
  <c r="Y271" i="113"/>
  <c r="AP271" i="113"/>
  <c r="AJ37" i="71" s="1"/>
  <c r="AQ271" i="113"/>
  <c r="AK37" i="71" s="1"/>
  <c r="BU271" i="113"/>
  <c r="M271" i="113"/>
  <c r="N37" i="71" s="1"/>
  <c r="AD271" i="113"/>
  <c r="AL267" i="113"/>
  <c r="AF33" i="71" s="1"/>
  <c r="AC267" i="113"/>
  <c r="BR267" i="113"/>
  <c r="AW267" i="113"/>
  <c r="AQ33" i="71" s="1"/>
  <c r="AO267" i="113"/>
  <c r="AI33" i="71" s="1"/>
  <c r="AG267" i="113"/>
  <c r="Y267" i="113"/>
  <c r="Q267" i="113"/>
  <c r="I267" i="113"/>
  <c r="BW267" i="113"/>
  <c r="AD267" i="113"/>
  <c r="AS267" i="113"/>
  <c r="AM33" i="71" s="1"/>
  <c r="M267" i="113"/>
  <c r="AT267" i="113"/>
  <c r="AN33" i="71" s="1"/>
  <c r="N267" i="113"/>
  <c r="BA267" i="113"/>
  <c r="AU33" i="71" s="1"/>
  <c r="AK267" i="113"/>
  <c r="AE33" i="71" s="1"/>
  <c r="BB267" i="113"/>
  <c r="AV33" i="71" s="1"/>
  <c r="V267" i="113"/>
  <c r="BV267" i="113"/>
  <c r="U267" i="113"/>
  <c r="BT267" i="113"/>
  <c r="AY267" i="113"/>
  <c r="AS33" i="71" s="1"/>
  <c r="AQ267" i="113"/>
  <c r="AK33" i="71" s="1"/>
  <c r="AI267" i="113"/>
  <c r="AA267" i="113"/>
  <c r="S267" i="113"/>
  <c r="K267" i="113"/>
  <c r="BS267" i="113"/>
  <c r="BU267" i="113"/>
  <c r="O267" i="113"/>
  <c r="X267" i="113"/>
  <c r="AP267" i="113"/>
  <c r="AJ33" i="71" s="1"/>
  <c r="W267" i="113"/>
  <c r="AF267" i="113"/>
  <c r="AX267" i="113"/>
  <c r="AR33" i="71" s="1"/>
  <c r="L267" i="113"/>
  <c r="AE267" i="113"/>
  <c r="AN267" i="113"/>
  <c r="AH33" i="71" s="1"/>
  <c r="T267" i="113"/>
  <c r="AM267" i="113"/>
  <c r="AG33" i="71" s="1"/>
  <c r="AV267" i="113"/>
  <c r="AP33" i="71" s="1"/>
  <c r="AB267" i="113"/>
  <c r="AU267" i="113"/>
  <c r="AO33" i="71" s="1"/>
  <c r="BD267" i="113"/>
  <c r="AX33" i="71" s="1"/>
  <c r="J267" i="113"/>
  <c r="AJ267" i="113"/>
  <c r="AD33" i="71" s="1"/>
  <c r="BC267" i="113"/>
  <c r="AW33" i="71" s="1"/>
  <c r="BY267" i="113"/>
  <c r="R267" i="113"/>
  <c r="AR267" i="113"/>
  <c r="AL33" i="71" s="1"/>
  <c r="BX267" i="113"/>
  <c r="H267" i="113"/>
  <c r="Z267" i="113"/>
  <c r="AZ267" i="113"/>
  <c r="AT33" i="71" s="1"/>
  <c r="P267" i="113"/>
  <c r="AH267" i="113"/>
  <c r="N262" i="113"/>
  <c r="FI59" i="104"/>
  <c r="ER11" i="145"/>
  <c r="EV16" i="145"/>
  <c r="EQ16" i="145"/>
  <c r="EV11" i="145"/>
  <c r="EU16" i="145"/>
  <c r="EU11" i="145"/>
  <c r="ET16" i="145"/>
  <c r="EQ11" i="145"/>
  <c r="ES16" i="145"/>
  <c r="ET11" i="145"/>
  <c r="ER16" i="145"/>
  <c r="ES11" i="145"/>
  <c r="FG6" i="146"/>
  <c r="EM10" i="146"/>
  <c r="CQ10" i="146"/>
  <c r="EN10" i="146" s="1"/>
  <c r="CP116" i="104"/>
  <c r="EM116" i="104" s="1"/>
  <c r="CU173" i="104"/>
  <c r="ER173" i="104" s="1"/>
  <c r="BS173" i="104"/>
  <c r="DP173" i="104" s="1"/>
  <c r="BS116" i="104"/>
  <c r="DP116" i="104" s="1"/>
  <c r="CV59" i="104"/>
  <c r="ES59" i="104" s="1"/>
  <c r="CU116" i="104"/>
  <c r="ER116" i="104" s="1"/>
  <c r="H277" i="113"/>
  <c r="I47" i="71" s="1"/>
  <c r="K277" i="113"/>
  <c r="L47" i="71" s="1"/>
  <c r="I277" i="113"/>
  <c r="J47" i="71" s="1"/>
  <c r="J277" i="113"/>
  <c r="K47" i="71" s="1"/>
  <c r="I261" i="113"/>
  <c r="J27" i="71" s="1"/>
  <c r="K261" i="113"/>
  <c r="L27" i="71" s="1"/>
  <c r="H261" i="113"/>
  <c r="I27" i="71" s="1"/>
  <c r="J261" i="113"/>
  <c r="K27" i="71" s="1"/>
  <c r="CR21" i="148"/>
  <c r="EO21" i="148" s="1"/>
  <c r="CR20" i="148"/>
  <c r="AE6" i="148"/>
  <c r="AE7" i="148"/>
  <c r="DN7" i="148" s="1"/>
  <c r="BM59" i="104"/>
  <c r="DJ59" i="104" s="1"/>
  <c r="CI10" i="146"/>
  <c r="EE10" i="146"/>
  <c r="DH6" i="146"/>
  <c r="BL6" i="146"/>
  <c r="BU10" i="146"/>
  <c r="DQ10" i="146"/>
  <c r="EC6" i="146"/>
  <c r="CG6" i="146"/>
  <c r="CO8" i="146"/>
  <c r="EK8" i="146"/>
  <c r="EJ6" i="146"/>
  <c r="CN6" i="146"/>
  <c r="CW8" i="146"/>
  <c r="ES8" i="146"/>
  <c r="BG6" i="146"/>
  <c r="DD6" i="146" s="1"/>
  <c r="DA6" i="146"/>
  <c r="DO6" i="146"/>
  <c r="BS6" i="146"/>
  <c r="BM10" i="146"/>
  <c r="DI10" i="146"/>
  <c r="EQ6" i="146"/>
  <c r="CU6" i="146"/>
  <c r="EX6" i="145"/>
  <c r="CG6" i="145"/>
  <c r="EC6" i="145"/>
  <c r="AX16" i="145"/>
  <c r="CU16" i="145" s="1"/>
  <c r="AV16" i="145"/>
  <c r="CS16" i="145" s="1"/>
  <c r="AX11" i="145"/>
  <c r="CU11" i="145" s="1"/>
  <c r="AV11" i="145"/>
  <c r="CS11" i="145" s="1"/>
  <c r="BE59" i="104"/>
  <c r="DB59" i="104" s="1"/>
  <c r="BG59" i="104"/>
  <c r="DD59" i="104" s="1"/>
  <c r="BG116" i="104"/>
  <c r="DD116" i="104" s="1"/>
  <c r="BE116" i="104"/>
  <c r="DB116" i="104" s="1"/>
  <c r="CH116" i="104"/>
  <c r="EE116" i="104" s="1"/>
  <c r="BM116" i="104"/>
  <c r="DJ116" i="104" s="1"/>
  <c r="BH173" i="104"/>
  <c r="DE173" i="104" s="1"/>
  <c r="EW173" i="104" s="1"/>
  <c r="BM173" i="104"/>
  <c r="DJ173" i="104" s="1"/>
  <c r="CP173" i="104"/>
  <c r="EM173" i="104" s="1"/>
  <c r="CH173" i="104"/>
  <c r="EE173" i="104" s="1"/>
  <c r="CO59" i="104"/>
  <c r="EL59" i="104" s="1"/>
  <c r="BT59" i="104"/>
  <c r="DQ59" i="104" s="1"/>
  <c r="CH59" i="104"/>
  <c r="EE59" i="104" s="1"/>
  <c r="K61" i="104"/>
  <c r="G5" i="131"/>
  <c r="G7" i="131"/>
  <c r="H11" i="104"/>
  <c r="J11" i="104" s="1"/>
  <c r="L11" i="104" s="1"/>
  <c r="H12" i="104"/>
  <c r="J12" i="104" s="1"/>
  <c r="L12" i="104" s="1"/>
  <c r="J13" i="104"/>
  <c r="L13" i="104" s="1"/>
  <c r="H14" i="104"/>
  <c r="J14" i="104" s="1"/>
  <c r="L14" i="104" s="1"/>
  <c r="H15" i="104"/>
  <c r="J15" i="104" s="1"/>
  <c r="L15" i="104" s="1"/>
  <c r="J16" i="104"/>
  <c r="L16" i="104" s="1"/>
  <c r="H17" i="104"/>
  <c r="J17" i="104" s="1"/>
  <c r="L17" i="104" s="1"/>
  <c r="H18" i="104"/>
  <c r="J18" i="104" s="1"/>
  <c r="L18" i="104" s="1"/>
  <c r="Q53" i="141"/>
  <c r="R53" i="141"/>
  <c r="P54" i="141"/>
  <c r="Q54" i="141"/>
  <c r="R54" i="141"/>
  <c r="AB54" i="141"/>
  <c r="Q55" i="141"/>
  <c r="R55" i="141"/>
  <c r="AB55" i="141"/>
  <c r="AC53" i="141" s="1"/>
  <c r="P56" i="141"/>
  <c r="Q56" i="141"/>
  <c r="R56" i="141"/>
  <c r="Q57" i="141"/>
  <c r="R57" i="141"/>
  <c r="AB57" i="141"/>
  <c r="Q58" i="141"/>
  <c r="R58" i="141"/>
  <c r="AB58" i="141"/>
  <c r="P59" i="141"/>
  <c r="Q59" i="141"/>
  <c r="R59" i="141"/>
  <c r="AB59" i="141"/>
  <c r="P60" i="141"/>
  <c r="Q60" i="141"/>
  <c r="R60" i="141"/>
  <c r="AB60" i="141"/>
  <c r="Q61" i="141"/>
  <c r="R61" i="141"/>
  <c r="P62" i="141"/>
  <c r="Q62" i="141"/>
  <c r="R62" i="141"/>
  <c r="O63" i="141"/>
  <c r="P63" i="141"/>
  <c r="P39" i="141"/>
  <c r="R39" i="141" s="1"/>
  <c r="AC39" i="141" s="1"/>
  <c r="Q39" i="141"/>
  <c r="S39" i="141"/>
  <c r="U39" i="141"/>
  <c r="AF39" i="141"/>
  <c r="K17" i="141" s="1"/>
  <c r="K29" i="141" s="1"/>
  <c r="AG39" i="141"/>
  <c r="M17" i="141" s="1"/>
  <c r="M29" i="141" s="1"/>
  <c r="P40" i="141"/>
  <c r="R40" i="141" s="1"/>
  <c r="Q40" i="141"/>
  <c r="S40" i="141"/>
  <c r="U40" i="141"/>
  <c r="AF40" i="141"/>
  <c r="AG40" i="141"/>
  <c r="R41" i="141"/>
  <c r="S41" i="141"/>
  <c r="U41" i="141"/>
  <c r="AD41" i="141"/>
  <c r="AF41" i="141"/>
  <c r="AG41" i="141"/>
  <c r="R42" i="141"/>
  <c r="S42" i="141"/>
  <c r="U42" i="141"/>
  <c r="AD42" i="141"/>
  <c r="AF42" i="141"/>
  <c r="AG42" i="141"/>
  <c r="R43" i="141"/>
  <c r="S43" i="141"/>
  <c r="U43" i="141"/>
  <c r="AD43" i="141"/>
  <c r="G18" i="141" s="1"/>
  <c r="AF43" i="141"/>
  <c r="AG43" i="141"/>
  <c r="R44" i="141"/>
  <c r="AC46" i="141" s="1"/>
  <c r="J19" i="141" s="1"/>
  <c r="S44" i="141"/>
  <c r="U44" i="141"/>
  <c r="AF44" i="141"/>
  <c r="L17" i="141" s="1"/>
  <c r="L29" i="141" s="1"/>
  <c r="AG44" i="141"/>
  <c r="R45" i="141"/>
  <c r="S45" i="141"/>
  <c r="AD45" i="141"/>
  <c r="AF45" i="141"/>
  <c r="AG45" i="141"/>
  <c r="R46" i="141"/>
  <c r="S46" i="141"/>
  <c r="AD46" i="141"/>
  <c r="J18" i="141" s="1"/>
  <c r="AF46" i="141"/>
  <c r="AG46" i="141"/>
  <c r="R47" i="141"/>
  <c r="S47" i="141"/>
  <c r="F29" i="141"/>
  <c r="G29" i="141"/>
  <c r="J29" i="141"/>
  <c r="C17" i="141"/>
  <c r="C29" i="141" s="1"/>
  <c r="D17" i="141"/>
  <c r="D29" i="141" s="1"/>
  <c r="E17" i="141"/>
  <c r="E29" i="141" s="1"/>
  <c r="F17" i="141"/>
  <c r="G17" i="141"/>
  <c r="H17" i="141"/>
  <c r="H29" i="141" s="1"/>
  <c r="I17" i="141"/>
  <c r="I29" i="141" s="1"/>
  <c r="J17" i="141"/>
  <c r="E18" i="141"/>
  <c r="F18" i="141"/>
  <c r="H18" i="141"/>
  <c r="I18" i="141"/>
  <c r="C19" i="141"/>
  <c r="H19" i="141"/>
  <c r="V82" i="141"/>
  <c r="Y82" i="141"/>
  <c r="X82" i="141"/>
  <c r="X80" i="141"/>
  <c r="W80" i="141"/>
  <c r="V80" i="141"/>
  <c r="FC17" i="148" l="1"/>
  <c r="M33" i="71"/>
  <c r="N33" i="71"/>
  <c r="N53" i="71"/>
  <c r="L33" i="71"/>
  <c r="J53" i="71"/>
  <c r="L53" i="71"/>
  <c r="K53" i="71"/>
  <c r="J33" i="71"/>
  <c r="O53" i="71"/>
  <c r="O33" i="71"/>
  <c r="K33" i="71"/>
  <c r="M53" i="71"/>
  <c r="I33" i="71"/>
  <c r="FC15" i="148"/>
  <c r="DN6" i="148"/>
  <c r="FC16" i="148"/>
  <c r="O28" i="71"/>
  <c r="G37" i="71"/>
  <c r="G33" i="71"/>
  <c r="G57" i="71"/>
  <c r="G53" i="71"/>
  <c r="C37" i="71"/>
  <c r="F57" i="71"/>
  <c r="H57" i="71"/>
  <c r="H53" i="71"/>
  <c r="F53" i="71"/>
  <c r="H33" i="71"/>
  <c r="H37" i="71"/>
  <c r="F37" i="71"/>
  <c r="F33" i="71"/>
  <c r="I57" i="71"/>
  <c r="C57" i="71" s="1"/>
  <c r="I53" i="71"/>
  <c r="FF6" i="146"/>
  <c r="CV14" i="148"/>
  <c r="ER14" i="148"/>
  <c r="CM13" i="148"/>
  <c r="EI13" i="148"/>
  <c r="CG20" i="148"/>
  <c r="EC20" i="148"/>
  <c r="CI14" i="148"/>
  <c r="EE14" i="148"/>
  <c r="CV13" i="148"/>
  <c r="ER13" i="148"/>
  <c r="CH21" i="148"/>
  <c r="ED21" i="148"/>
  <c r="CO21" i="148"/>
  <c r="EK21" i="148"/>
  <c r="CF13" i="148"/>
  <c r="EB13" i="148"/>
  <c r="CS20" i="148"/>
  <c r="EO20" i="148"/>
  <c r="CN14" i="148"/>
  <c r="EJ14" i="148"/>
  <c r="CZ7" i="148"/>
  <c r="BV21" i="148"/>
  <c r="DS21" i="148" s="1"/>
  <c r="DR21" i="148"/>
  <c r="CZ6" i="148"/>
  <c r="BV20" i="148"/>
  <c r="DS20" i="148" s="1"/>
  <c r="DR20" i="148"/>
  <c r="BV14" i="148"/>
  <c r="DS14" i="148" s="1"/>
  <c r="DR14" i="148"/>
  <c r="BV13" i="148"/>
  <c r="DS13" i="148" s="1"/>
  <c r="DR13" i="148"/>
  <c r="DU6" i="148"/>
  <c r="DU7" i="148"/>
  <c r="DN10" i="148"/>
  <c r="DN9" i="148"/>
  <c r="DN8" i="148"/>
  <c r="BT173" i="104"/>
  <c r="DQ173" i="104" s="1"/>
  <c r="CV173" i="104"/>
  <c r="ES173" i="104" s="1"/>
  <c r="CQ116" i="104"/>
  <c r="EN116" i="104" s="1"/>
  <c r="FB116" i="104" s="1"/>
  <c r="FA6" i="145"/>
  <c r="ET8" i="146"/>
  <c r="CX8" i="146"/>
  <c r="EU8" i="146" s="1"/>
  <c r="EF10" i="146"/>
  <c r="CJ10" i="146"/>
  <c r="EG10" i="146" s="1"/>
  <c r="DR10" i="146"/>
  <c r="BV10" i="146"/>
  <c r="DS10" i="146" s="1"/>
  <c r="BA11" i="145"/>
  <c r="CX11" i="145" s="1"/>
  <c r="BA16" i="145"/>
  <c r="CX16" i="145" s="1"/>
  <c r="EZ6" i="145"/>
  <c r="FC6" i="145"/>
  <c r="BT116" i="104"/>
  <c r="DQ116" i="104" s="1"/>
  <c r="CW59" i="104"/>
  <c r="ET59" i="104" s="1"/>
  <c r="CV116" i="104"/>
  <c r="ES116" i="104" s="1"/>
  <c r="CS21" i="148"/>
  <c r="AF7" i="148"/>
  <c r="DO7" i="148" s="1"/>
  <c r="AF6" i="148"/>
  <c r="BN59" i="104"/>
  <c r="DK59" i="104" s="1"/>
  <c r="CH6" i="146"/>
  <c r="ED6" i="146"/>
  <c r="DP6" i="146"/>
  <c r="BT6" i="146"/>
  <c r="EK6" i="146"/>
  <c r="CO6" i="146"/>
  <c r="DI6" i="146"/>
  <c r="BM6" i="146"/>
  <c r="ER6" i="146"/>
  <c r="CV6" i="146"/>
  <c r="BN10" i="146"/>
  <c r="DJ10" i="146"/>
  <c r="CP8" i="146"/>
  <c r="EL8" i="146"/>
  <c r="FB6" i="145"/>
  <c r="AW16" i="145"/>
  <c r="CT16" i="145" s="1"/>
  <c r="AY16" i="145"/>
  <c r="CV16" i="145" s="1"/>
  <c r="FE6" i="145"/>
  <c r="AX6" i="145"/>
  <c r="CU6" i="145" s="1"/>
  <c r="AV6" i="145"/>
  <c r="CS6" i="145" s="1"/>
  <c r="AY11" i="145"/>
  <c r="CV11" i="145" s="1"/>
  <c r="AW11" i="145"/>
  <c r="CT11" i="145" s="1"/>
  <c r="CH6" i="145"/>
  <c r="ED6" i="145"/>
  <c r="BH116" i="104"/>
  <c r="DE116" i="104" s="1"/>
  <c r="EW116" i="104" s="1"/>
  <c r="BH59" i="104"/>
  <c r="DE59" i="104" s="1"/>
  <c r="BN116" i="104"/>
  <c r="DK116" i="104" s="1"/>
  <c r="CI116" i="104"/>
  <c r="EF116" i="104" s="1"/>
  <c r="BN173" i="104"/>
  <c r="DK173" i="104" s="1"/>
  <c r="CI173" i="104"/>
  <c r="EF173" i="104" s="1"/>
  <c r="CQ173" i="104"/>
  <c r="EN173" i="104" s="1"/>
  <c r="FB173" i="104" s="1"/>
  <c r="CI59" i="104"/>
  <c r="EF59" i="104" s="1"/>
  <c r="CP59" i="104"/>
  <c r="EM59" i="104" s="1"/>
  <c r="BU59" i="104"/>
  <c r="DR59" i="104" s="1"/>
  <c r="AC41" i="141"/>
  <c r="E19" i="141" s="1"/>
  <c r="AC42" i="141"/>
  <c r="F19" i="141" s="1"/>
  <c r="AC43" i="141"/>
  <c r="G19" i="141" s="1"/>
  <c r="Z82" i="141"/>
  <c r="Y80" i="141"/>
  <c r="AD39" i="141"/>
  <c r="C18" i="141" s="1"/>
  <c r="P55" i="141"/>
  <c r="P53" i="141"/>
  <c r="P57" i="141"/>
  <c r="P61" i="141"/>
  <c r="P58" i="141"/>
  <c r="Z80" i="141"/>
  <c r="AC45" i="141"/>
  <c r="I19" i="141" s="1"/>
  <c r="AC56" i="141"/>
  <c r="K58" i="104"/>
  <c r="K57" i="104"/>
  <c r="C33" i="71" l="1"/>
  <c r="C53" i="71"/>
  <c r="DO6" i="148"/>
  <c r="EW59" i="104"/>
  <c r="FF59" i="104" s="1"/>
  <c r="EY20" i="148"/>
  <c r="EH33" i="104"/>
  <c r="CY33" i="104"/>
  <c r="EY13" i="148"/>
  <c r="CW14" i="148"/>
  <c r="ES14" i="148"/>
  <c r="CI21" i="148"/>
  <c r="EE21" i="148"/>
  <c r="CH20" i="148"/>
  <c r="ED20" i="148"/>
  <c r="EY14" i="148"/>
  <c r="CW13" i="148"/>
  <c r="ES13" i="148"/>
  <c r="CN13" i="148"/>
  <c r="EJ13" i="148"/>
  <c r="CO14" i="148"/>
  <c r="EK14" i="148"/>
  <c r="CT20" i="148"/>
  <c r="EP20" i="148"/>
  <c r="CP21" i="148"/>
  <c r="EL21" i="148"/>
  <c r="CT21" i="148"/>
  <c r="EP21" i="148"/>
  <c r="CJ14" i="148"/>
  <c r="EG14" i="148" s="1"/>
  <c r="EF14" i="148"/>
  <c r="EY21" i="148"/>
  <c r="CG13" i="148"/>
  <c r="EC13" i="148"/>
  <c r="DA6" i="148"/>
  <c r="DG10" i="148"/>
  <c r="CZ10" i="148"/>
  <c r="DG8" i="148"/>
  <c r="CZ8" i="148"/>
  <c r="DG9" i="148"/>
  <c r="CZ9" i="148"/>
  <c r="DA7" i="148"/>
  <c r="EI8" i="148"/>
  <c r="EP8" i="148"/>
  <c r="EB8" i="148"/>
  <c r="DU8" i="148"/>
  <c r="EB9" i="148"/>
  <c r="EI9" i="148"/>
  <c r="EP9" i="148"/>
  <c r="DU9" i="148"/>
  <c r="EB10" i="148"/>
  <c r="EP10" i="148"/>
  <c r="EI10" i="148"/>
  <c r="DU10" i="148"/>
  <c r="DV7" i="148"/>
  <c r="DV6" i="148"/>
  <c r="DO10" i="148"/>
  <c r="DO9" i="148"/>
  <c r="DO8" i="148"/>
  <c r="X20" i="132"/>
  <c r="BJ20" i="132" s="1"/>
  <c r="X30" i="132"/>
  <c r="BJ30" i="132" s="1"/>
  <c r="DU10" i="132"/>
  <c r="DN10" i="132"/>
  <c r="CS10" i="132"/>
  <c r="DG10" i="132"/>
  <c r="EI10" i="132"/>
  <c r="CZ10" i="132"/>
  <c r="EB10" i="132"/>
  <c r="CW116" i="104"/>
  <c r="ET116" i="104" s="1"/>
  <c r="CW173" i="104"/>
  <c r="ET173" i="104" s="1"/>
  <c r="BU173" i="104"/>
  <c r="DR173" i="104" s="1"/>
  <c r="AE7" i="104"/>
  <c r="EM8" i="146"/>
  <c r="CQ8" i="146"/>
  <c r="EN8" i="146" s="1"/>
  <c r="DK10" i="146"/>
  <c r="BO10" i="146"/>
  <c r="DL10" i="146" s="1"/>
  <c r="BA6" i="145"/>
  <c r="CX6" i="145" s="1"/>
  <c r="CX59" i="104"/>
  <c r="EU59" i="104" s="1"/>
  <c r="FC59" i="104" s="1"/>
  <c r="BU116" i="104"/>
  <c r="DR116" i="104" s="1"/>
  <c r="AG7" i="148"/>
  <c r="DP7" i="148" s="1"/>
  <c r="AG6" i="148"/>
  <c r="BO59" i="104"/>
  <c r="DL59" i="104" s="1"/>
  <c r="EX59" i="104" s="1"/>
  <c r="ES6" i="146"/>
  <c r="CW6" i="146"/>
  <c r="EE6" i="146"/>
  <c r="CI6" i="146"/>
  <c r="DJ6" i="146"/>
  <c r="BN6" i="146"/>
  <c r="EL6" i="146"/>
  <c r="CP6" i="146"/>
  <c r="DQ6" i="146"/>
  <c r="BU6" i="146"/>
  <c r="AZ16" i="145"/>
  <c r="CW16" i="145" s="1"/>
  <c r="CI6" i="145"/>
  <c r="EE6" i="145"/>
  <c r="AY6" i="145"/>
  <c r="CV6" i="145" s="1"/>
  <c r="AW6" i="145"/>
  <c r="CT6" i="145" s="1"/>
  <c r="AZ11" i="145"/>
  <c r="CW11" i="145" s="1"/>
  <c r="CJ116" i="104"/>
  <c r="EG116" i="104" s="1"/>
  <c r="FA116" i="104" s="1"/>
  <c r="BO116" i="104"/>
  <c r="DL116" i="104" s="1"/>
  <c r="EX116" i="104" s="1"/>
  <c r="CJ173" i="104"/>
  <c r="EG173" i="104" s="1"/>
  <c r="FA173" i="104" s="1"/>
  <c r="BO173" i="104"/>
  <c r="DL173" i="104" s="1"/>
  <c r="EX173" i="104" s="1"/>
  <c r="BV59" i="104"/>
  <c r="DS59" i="104" s="1"/>
  <c r="EY59" i="104" s="1"/>
  <c r="CQ59" i="104"/>
  <c r="EN59" i="104" s="1"/>
  <c r="FB59" i="104" s="1"/>
  <c r="FK59" i="104" s="1"/>
  <c r="CJ59" i="104"/>
  <c r="EG59" i="104" s="1"/>
  <c r="FA59" i="104" s="1"/>
  <c r="EP6" i="128"/>
  <c r="Q63" i="141"/>
  <c r="R63" i="141"/>
  <c r="DP6" i="148" l="1"/>
  <c r="FJ59" i="104"/>
  <c r="EV33" i="104"/>
  <c r="AF7" i="104"/>
  <c r="EV7" i="104" s="1"/>
  <c r="FG59" i="104"/>
  <c r="CX116" i="104"/>
  <c r="EU116" i="104" s="1"/>
  <c r="FC116" i="104" s="1"/>
  <c r="CX173" i="104"/>
  <c r="EU173" i="104" s="1"/>
  <c r="FC173" i="104" s="1"/>
  <c r="EP16" i="145"/>
  <c r="EP11" i="145"/>
  <c r="FA14" i="148"/>
  <c r="CJ21" i="148"/>
  <c r="EG21" i="148" s="1"/>
  <c r="EF21" i="148"/>
  <c r="CP14" i="148"/>
  <c r="EL14" i="148"/>
  <c r="CU21" i="148"/>
  <c r="EQ21" i="148"/>
  <c r="CX14" i="148"/>
  <c r="EU14" i="148" s="1"/>
  <c r="ET14" i="148"/>
  <c r="CH13" i="148"/>
  <c r="ED13" i="148"/>
  <c r="CQ21" i="148"/>
  <c r="EN21" i="148" s="1"/>
  <c r="EM21" i="148"/>
  <c r="CO13" i="148"/>
  <c r="EK13" i="148"/>
  <c r="CI20" i="148"/>
  <c r="EE20" i="148"/>
  <c r="CU20" i="148"/>
  <c r="EQ20" i="148"/>
  <c r="CX13" i="148"/>
  <c r="EU13" i="148" s="1"/>
  <c r="ET13" i="148"/>
  <c r="DB6" i="148"/>
  <c r="DB7" i="148"/>
  <c r="DH8" i="148"/>
  <c r="DA8" i="148"/>
  <c r="DH9" i="148"/>
  <c r="DA9" i="148"/>
  <c r="DH10" i="148"/>
  <c r="DA10" i="148"/>
  <c r="EC10" i="148"/>
  <c r="EJ10" i="148"/>
  <c r="EQ10" i="148"/>
  <c r="DV10" i="148"/>
  <c r="DW6" i="148"/>
  <c r="EJ8" i="148"/>
  <c r="EC8" i="148"/>
  <c r="EQ8" i="148"/>
  <c r="DV8" i="148"/>
  <c r="DW7" i="148"/>
  <c r="EJ9" i="148"/>
  <c r="EC9" i="148"/>
  <c r="EQ9" i="148"/>
  <c r="DV9" i="148"/>
  <c r="DP10" i="148"/>
  <c r="DP8" i="148"/>
  <c r="DP9" i="148"/>
  <c r="DU30" i="132"/>
  <c r="DN30" i="132"/>
  <c r="EI30" i="132"/>
  <c r="CZ30" i="132"/>
  <c r="CS30" i="132"/>
  <c r="DG30" i="132"/>
  <c r="EB30" i="132"/>
  <c r="DU20" i="132"/>
  <c r="DN20" i="132"/>
  <c r="CS20" i="132"/>
  <c r="DG20" i="132"/>
  <c r="EI20" i="132"/>
  <c r="CZ20" i="132"/>
  <c r="EB20" i="132"/>
  <c r="BV173" i="104"/>
  <c r="DS173" i="104" s="1"/>
  <c r="EY173" i="104" s="1"/>
  <c r="ET6" i="146"/>
  <c r="CX6" i="146"/>
  <c r="EU6" i="146" s="1"/>
  <c r="EM6" i="146"/>
  <c r="CQ6" i="146"/>
  <c r="EN6" i="146" s="1"/>
  <c r="EF6" i="146"/>
  <c r="CJ6" i="146"/>
  <c r="EG6" i="146" s="1"/>
  <c r="DR6" i="146"/>
  <c r="BV6" i="146"/>
  <c r="DS6" i="146" s="1"/>
  <c r="DK6" i="146"/>
  <c r="BO6" i="146"/>
  <c r="DL6" i="146" s="1"/>
  <c r="EF6" i="145"/>
  <c r="CJ6" i="145"/>
  <c r="EG6" i="145" s="1"/>
  <c r="BV116" i="104"/>
  <c r="DS116" i="104" s="1"/>
  <c r="EY116" i="104" s="1"/>
  <c r="AH6" i="148"/>
  <c r="AH7" i="148"/>
  <c r="DQ7" i="148" s="1"/>
  <c r="AZ6" i="145"/>
  <c r="CW6" i="145" s="1"/>
  <c r="EP6" i="145" s="1"/>
  <c r="E20" i="141"/>
  <c r="I20" i="141"/>
  <c r="M20" i="141"/>
  <c r="F20" i="141"/>
  <c r="K20" i="141"/>
  <c r="W44" i="141"/>
  <c r="G20" i="141"/>
  <c r="L20" i="141"/>
  <c r="C20" i="141"/>
  <c r="H20" i="141"/>
  <c r="D20" i="141"/>
  <c r="J20" i="141"/>
  <c r="W39" i="141"/>
  <c r="W40" i="141"/>
  <c r="W43" i="141"/>
  <c r="AD59" i="141" s="1"/>
  <c r="W42" i="141"/>
  <c r="AD58" i="141" s="1"/>
  <c r="W41" i="141"/>
  <c r="AD57" i="141" s="1"/>
  <c r="DQ6" i="148" l="1"/>
  <c r="FL59" i="104"/>
  <c r="FH59" i="104"/>
  <c r="AG7" i="104"/>
  <c r="AH7" i="104" s="1"/>
  <c r="FA21" i="148"/>
  <c r="EY6" i="145"/>
  <c r="CV20" i="148"/>
  <c r="ER20" i="148"/>
  <c r="CI13" i="148"/>
  <c r="EE13" i="148"/>
  <c r="FC14" i="148"/>
  <c r="CV21" i="148"/>
  <c r="ER21" i="148"/>
  <c r="CP13" i="148"/>
  <c r="EL13" i="148"/>
  <c r="FC13" i="148"/>
  <c r="CJ20" i="148"/>
  <c r="EG20" i="148" s="1"/>
  <c r="EF20" i="148"/>
  <c r="FB21" i="148"/>
  <c r="CQ14" i="148"/>
  <c r="EN14" i="148" s="1"/>
  <c r="EM14" i="148"/>
  <c r="DC6" i="148"/>
  <c r="DB9" i="148"/>
  <c r="DI9" i="148"/>
  <c r="DC7" i="148"/>
  <c r="DI8" i="148"/>
  <c r="DB8" i="148"/>
  <c r="DI10" i="148"/>
  <c r="DB10" i="148"/>
  <c r="DX7" i="148"/>
  <c r="EK9" i="148"/>
  <c r="ER9" i="148"/>
  <c r="ED9" i="148"/>
  <c r="DW9" i="148"/>
  <c r="EK8" i="148"/>
  <c r="ED8" i="148"/>
  <c r="ER8" i="148"/>
  <c r="DW8" i="148"/>
  <c r="EK10" i="148"/>
  <c r="ER10" i="148"/>
  <c r="ED10" i="148"/>
  <c r="DW10" i="148"/>
  <c r="DX6" i="148"/>
  <c r="DQ8" i="148"/>
  <c r="DQ9" i="148"/>
  <c r="DQ10" i="148"/>
  <c r="EU6" i="145"/>
  <c r="FD6" i="145" s="1"/>
  <c r="AI6" i="148"/>
  <c r="AI7" i="148"/>
  <c r="DR7" i="148" s="1"/>
  <c r="AD55" i="141"/>
  <c r="AI41" i="141"/>
  <c r="E21" i="141" s="1"/>
  <c r="E23" i="141" s="1"/>
  <c r="AI42" i="141"/>
  <c r="F21" i="141" s="1"/>
  <c r="F23" i="141" s="1"/>
  <c r="AI43" i="141"/>
  <c r="G21" i="141" s="1"/>
  <c r="G23" i="141" s="1"/>
  <c r="AI46" i="141"/>
  <c r="J21" i="141" s="1"/>
  <c r="J23" i="141" s="1"/>
  <c r="AI45" i="141"/>
  <c r="I21" i="141" s="1"/>
  <c r="I23" i="141" s="1"/>
  <c r="AD60" i="141"/>
  <c r="AD56" i="141"/>
  <c r="AI44" i="141" s="1"/>
  <c r="AI39" i="141"/>
  <c r="AD54" i="141"/>
  <c r="AD53" i="141" s="1"/>
  <c r="AI40" i="141" s="1"/>
  <c r="D21" i="141" s="1"/>
  <c r="D23" i="141" s="1"/>
  <c r="CR7" i="104"/>
  <c r="EO7" i="104" s="1"/>
  <c r="CR8" i="104"/>
  <c r="CR9" i="104"/>
  <c r="CR10" i="104"/>
  <c r="CR11" i="104"/>
  <c r="EO11" i="104" s="1"/>
  <c r="CR12" i="104"/>
  <c r="EO12" i="104" s="1"/>
  <c r="CR13" i="104"/>
  <c r="EO13" i="104" s="1"/>
  <c r="CR14" i="104"/>
  <c r="EO14" i="104" s="1"/>
  <c r="CR15" i="104"/>
  <c r="EO15" i="104" s="1"/>
  <c r="CR16" i="104"/>
  <c r="EO16" i="104" s="1"/>
  <c r="CR17" i="104"/>
  <c r="EO17" i="104" s="1"/>
  <c r="CR18" i="104"/>
  <c r="EO18" i="104" s="1"/>
  <c r="CR19" i="104"/>
  <c r="CS19" i="104" s="1"/>
  <c r="CT19" i="104" s="1"/>
  <c r="CU19" i="104" s="1"/>
  <c r="CV19" i="104" s="1"/>
  <c r="CW19" i="104" s="1"/>
  <c r="CX19" i="104" s="1"/>
  <c r="CR20" i="104"/>
  <c r="CS20" i="104" s="1"/>
  <c r="CT20" i="104" s="1"/>
  <c r="CU20" i="104" s="1"/>
  <c r="CV20" i="104" s="1"/>
  <c r="CW20" i="104" s="1"/>
  <c r="CX20" i="104" s="1"/>
  <c r="CR21" i="104"/>
  <c r="CS21" i="104" s="1"/>
  <c r="CT21" i="104" s="1"/>
  <c r="CU21" i="104" s="1"/>
  <c r="CV21" i="104" s="1"/>
  <c r="CW21" i="104" s="1"/>
  <c r="CX21" i="104" s="1"/>
  <c r="CR22" i="104"/>
  <c r="CS22" i="104" s="1"/>
  <c r="CT22" i="104" s="1"/>
  <c r="CU22" i="104" s="1"/>
  <c r="CV22" i="104" s="1"/>
  <c r="CW22" i="104" s="1"/>
  <c r="CX22" i="104" s="1"/>
  <c r="CR23" i="104"/>
  <c r="CS23" i="104" s="1"/>
  <c r="CT23" i="104" s="1"/>
  <c r="CU23" i="104" s="1"/>
  <c r="CV23" i="104" s="1"/>
  <c r="CW23" i="104" s="1"/>
  <c r="CX23" i="104" s="1"/>
  <c r="CR24" i="104"/>
  <c r="CS24" i="104" s="1"/>
  <c r="CT24" i="104" s="1"/>
  <c r="CU24" i="104" s="1"/>
  <c r="CV24" i="104" s="1"/>
  <c r="CW24" i="104" s="1"/>
  <c r="CX24" i="104" s="1"/>
  <c r="CR25" i="104"/>
  <c r="CS25" i="104" s="1"/>
  <c r="CT25" i="104" s="1"/>
  <c r="CU25" i="104" s="1"/>
  <c r="CV25" i="104" s="1"/>
  <c r="CW25" i="104" s="1"/>
  <c r="CX25" i="104" s="1"/>
  <c r="CR26" i="104"/>
  <c r="CS26" i="104" s="1"/>
  <c r="CT26" i="104" s="1"/>
  <c r="CU26" i="104" s="1"/>
  <c r="CV26" i="104" s="1"/>
  <c r="CW26" i="104" s="1"/>
  <c r="CX26" i="104" s="1"/>
  <c r="CR27" i="104"/>
  <c r="CS27" i="104" s="1"/>
  <c r="CT27" i="104" s="1"/>
  <c r="CU27" i="104" s="1"/>
  <c r="CV27" i="104" s="1"/>
  <c r="CW27" i="104" s="1"/>
  <c r="CX27" i="104" s="1"/>
  <c r="CR28" i="104"/>
  <c r="CS28" i="104" s="1"/>
  <c r="CT28" i="104" s="1"/>
  <c r="CU28" i="104" s="1"/>
  <c r="CV28" i="104" s="1"/>
  <c r="CW28" i="104" s="1"/>
  <c r="CX28" i="104" s="1"/>
  <c r="CR29" i="104"/>
  <c r="CS29" i="104" s="1"/>
  <c r="CT29" i="104" s="1"/>
  <c r="CU29" i="104" s="1"/>
  <c r="CV29" i="104" s="1"/>
  <c r="CW29" i="104" s="1"/>
  <c r="CX29" i="104" s="1"/>
  <c r="CR30" i="104"/>
  <c r="CS30" i="104" s="1"/>
  <c r="CT30" i="104" s="1"/>
  <c r="CU30" i="104" s="1"/>
  <c r="CV30" i="104" s="1"/>
  <c r="CW30" i="104" s="1"/>
  <c r="CX30" i="104" s="1"/>
  <c r="CR33" i="104"/>
  <c r="EO33" i="104" s="1"/>
  <c r="CR42" i="104"/>
  <c r="EO42" i="104" s="1"/>
  <c r="CR43" i="104"/>
  <c r="EO43" i="104" s="1"/>
  <c r="CR44" i="104"/>
  <c r="EO44" i="104" s="1"/>
  <c r="CR45" i="104"/>
  <c r="EO45" i="104" s="1"/>
  <c r="CR46" i="104"/>
  <c r="EO46" i="104" s="1"/>
  <c r="CR47" i="104"/>
  <c r="EO47" i="104" s="1"/>
  <c r="CR48" i="104"/>
  <c r="EO48" i="104" s="1"/>
  <c r="CR49" i="104"/>
  <c r="EO49" i="104" s="1"/>
  <c r="CR53" i="104"/>
  <c r="CS53" i="104" s="1"/>
  <c r="CT53" i="104" s="1"/>
  <c r="CU53" i="104" s="1"/>
  <c r="CV53" i="104" s="1"/>
  <c r="CW53" i="104" s="1"/>
  <c r="CX53" i="104" s="1"/>
  <c r="CR54" i="104"/>
  <c r="CS54" i="104" s="1"/>
  <c r="CT54" i="104" s="1"/>
  <c r="CU54" i="104" s="1"/>
  <c r="CV54" i="104" s="1"/>
  <c r="CW54" i="104" s="1"/>
  <c r="CX54" i="104" s="1"/>
  <c r="CR55" i="104"/>
  <c r="CS55" i="104" s="1"/>
  <c r="CT55" i="104" s="1"/>
  <c r="CU55" i="104" s="1"/>
  <c r="CV55" i="104" s="1"/>
  <c r="CW55" i="104" s="1"/>
  <c r="CX55" i="104" s="1"/>
  <c r="CR56" i="104"/>
  <c r="CS56" i="104" s="1"/>
  <c r="CT56" i="104" s="1"/>
  <c r="CU56" i="104" s="1"/>
  <c r="CV56" i="104" s="1"/>
  <c r="CW56" i="104" s="1"/>
  <c r="CX56" i="104" s="1"/>
  <c r="CR57" i="104"/>
  <c r="CS57" i="104" s="1"/>
  <c r="CT57" i="104" s="1"/>
  <c r="CU57" i="104" s="1"/>
  <c r="CV57" i="104" s="1"/>
  <c r="CW57" i="104" s="1"/>
  <c r="CX57" i="104" s="1"/>
  <c r="CR58" i="104"/>
  <c r="EO58" i="104" s="1"/>
  <c r="CR60" i="104"/>
  <c r="CS60" i="104" s="1"/>
  <c r="CT60" i="104" s="1"/>
  <c r="CU60" i="104" s="1"/>
  <c r="CV60" i="104" s="1"/>
  <c r="CW60" i="104" s="1"/>
  <c r="CX60" i="104" s="1"/>
  <c r="CR61" i="104"/>
  <c r="CS61" i="104" s="1"/>
  <c r="CT61" i="104" s="1"/>
  <c r="CU61" i="104" s="1"/>
  <c r="CV61" i="104" s="1"/>
  <c r="CW61" i="104" s="1"/>
  <c r="CX61" i="104" s="1"/>
  <c r="CK7" i="104"/>
  <c r="EH7" i="104" s="1"/>
  <c r="CK8" i="104"/>
  <c r="CK28" i="104"/>
  <c r="CK42" i="104"/>
  <c r="EH42" i="104" s="1"/>
  <c r="CK43" i="104"/>
  <c r="EH43" i="104" s="1"/>
  <c r="CK44" i="104"/>
  <c r="EH44" i="104" s="1"/>
  <c r="CK45" i="104"/>
  <c r="EH45" i="104" s="1"/>
  <c r="CK46" i="104"/>
  <c r="EH46" i="104" s="1"/>
  <c r="CK47" i="104"/>
  <c r="EH47" i="104" s="1"/>
  <c r="CK48" i="104"/>
  <c r="EH48" i="104" s="1"/>
  <c r="CK49" i="104"/>
  <c r="EH49" i="104" s="1"/>
  <c r="CK60" i="104"/>
  <c r="CL60" i="104" s="1"/>
  <c r="CK61" i="104"/>
  <c r="EA7" i="104"/>
  <c r="CD8" i="104"/>
  <c r="CD28" i="104"/>
  <c r="CD33" i="104"/>
  <c r="EA33" i="104" s="1"/>
  <c r="CD42" i="104"/>
  <c r="EA42" i="104" s="1"/>
  <c r="CD43" i="104"/>
  <c r="EA43" i="104" s="1"/>
  <c r="CD44" i="104"/>
  <c r="EA44" i="104" s="1"/>
  <c r="CD45" i="104"/>
  <c r="EA45" i="104" s="1"/>
  <c r="CD46" i="104"/>
  <c r="EA46" i="104" s="1"/>
  <c r="CD47" i="104"/>
  <c r="EA47" i="104" s="1"/>
  <c r="CD48" i="104"/>
  <c r="EA48" i="104" s="1"/>
  <c r="CD49" i="104"/>
  <c r="EA49" i="104" s="1"/>
  <c r="BB12" i="104"/>
  <c r="CY12" i="104" s="1"/>
  <c r="BI12" i="104"/>
  <c r="DF12" i="104" s="1"/>
  <c r="BP12" i="104"/>
  <c r="DM12" i="104" s="1"/>
  <c r="BW12" i="104"/>
  <c r="DT12" i="104" s="1"/>
  <c r="BX12" i="104"/>
  <c r="DU12" i="104" s="1"/>
  <c r="BY12" i="104"/>
  <c r="DV12" i="104" s="1"/>
  <c r="BZ12" i="104"/>
  <c r="DW12" i="104" s="1"/>
  <c r="CA12" i="104"/>
  <c r="DX12" i="104" s="1"/>
  <c r="CB12" i="104"/>
  <c r="DY12" i="104" s="1"/>
  <c r="CC12" i="104"/>
  <c r="DZ12" i="104" s="1"/>
  <c r="BB13" i="104"/>
  <c r="CY13" i="104" s="1"/>
  <c r="BI13" i="104"/>
  <c r="DF13" i="104" s="1"/>
  <c r="BP13" i="104"/>
  <c r="DM13" i="104" s="1"/>
  <c r="BW13" i="104"/>
  <c r="DT13" i="104" s="1"/>
  <c r="BX13" i="104"/>
  <c r="DU13" i="104" s="1"/>
  <c r="BY13" i="104"/>
  <c r="DV13" i="104" s="1"/>
  <c r="BZ13" i="104"/>
  <c r="DW13" i="104" s="1"/>
  <c r="CA13" i="104"/>
  <c r="DX13" i="104" s="1"/>
  <c r="CB13" i="104"/>
  <c r="DY13" i="104" s="1"/>
  <c r="CC13" i="104"/>
  <c r="DZ13" i="104" s="1"/>
  <c r="BB14" i="104"/>
  <c r="CY14" i="104" s="1"/>
  <c r="BI14" i="104"/>
  <c r="DF14" i="104" s="1"/>
  <c r="BP14" i="104"/>
  <c r="DM14" i="104" s="1"/>
  <c r="BW14" i="104"/>
  <c r="DT14" i="104" s="1"/>
  <c r="BX14" i="104"/>
  <c r="DU14" i="104" s="1"/>
  <c r="BY14" i="104"/>
  <c r="DV14" i="104" s="1"/>
  <c r="BZ14" i="104"/>
  <c r="DW14" i="104" s="1"/>
  <c r="CA14" i="104"/>
  <c r="DX14" i="104" s="1"/>
  <c r="CB14" i="104"/>
  <c r="DY14" i="104" s="1"/>
  <c r="CC14" i="104"/>
  <c r="DZ14" i="104" s="1"/>
  <c r="BB15" i="104"/>
  <c r="CY15" i="104" s="1"/>
  <c r="BI15" i="104"/>
  <c r="DF15" i="104" s="1"/>
  <c r="BP15" i="104"/>
  <c r="DM15" i="104" s="1"/>
  <c r="BW15" i="104"/>
  <c r="DT15" i="104" s="1"/>
  <c r="BX15" i="104"/>
  <c r="DU15" i="104" s="1"/>
  <c r="BY15" i="104"/>
  <c r="DV15" i="104" s="1"/>
  <c r="BZ15" i="104"/>
  <c r="DW15" i="104" s="1"/>
  <c r="CA15" i="104"/>
  <c r="DX15" i="104" s="1"/>
  <c r="CB15" i="104"/>
  <c r="DY15" i="104" s="1"/>
  <c r="CC15" i="104"/>
  <c r="DZ15" i="104" s="1"/>
  <c r="BB16" i="104"/>
  <c r="CY16" i="104" s="1"/>
  <c r="BI16" i="104"/>
  <c r="DF16" i="104" s="1"/>
  <c r="BP16" i="104"/>
  <c r="DM16" i="104" s="1"/>
  <c r="BW16" i="104"/>
  <c r="DT16" i="104" s="1"/>
  <c r="BX16" i="104"/>
  <c r="DU16" i="104" s="1"/>
  <c r="BY16" i="104"/>
  <c r="DV16" i="104" s="1"/>
  <c r="BZ16" i="104"/>
  <c r="DW16" i="104" s="1"/>
  <c r="CA16" i="104"/>
  <c r="DX16" i="104" s="1"/>
  <c r="CB16" i="104"/>
  <c r="DY16" i="104" s="1"/>
  <c r="CC16" i="104"/>
  <c r="DZ16" i="104" s="1"/>
  <c r="BB17" i="104"/>
  <c r="CY17" i="104" s="1"/>
  <c r="BI17" i="104"/>
  <c r="DF17" i="104" s="1"/>
  <c r="BP17" i="104"/>
  <c r="DM17" i="104" s="1"/>
  <c r="BW17" i="104"/>
  <c r="DT17" i="104" s="1"/>
  <c r="BX17" i="104"/>
  <c r="DU17" i="104" s="1"/>
  <c r="BY17" i="104"/>
  <c r="DV17" i="104" s="1"/>
  <c r="BZ17" i="104"/>
  <c r="DW17" i="104" s="1"/>
  <c r="CA17" i="104"/>
  <c r="DX17" i="104" s="1"/>
  <c r="CB17" i="104"/>
  <c r="DY17" i="104" s="1"/>
  <c r="CC17" i="104"/>
  <c r="DZ17" i="104" s="1"/>
  <c r="BB18" i="104"/>
  <c r="CY18" i="104" s="1"/>
  <c r="BI18" i="104"/>
  <c r="DF18" i="104" s="1"/>
  <c r="BP18" i="104"/>
  <c r="DM18" i="104" s="1"/>
  <c r="BW18" i="104"/>
  <c r="DT18" i="104" s="1"/>
  <c r="BX18" i="104"/>
  <c r="DU18" i="104" s="1"/>
  <c r="BY18" i="104"/>
  <c r="DV18" i="104" s="1"/>
  <c r="BZ18" i="104"/>
  <c r="DW18" i="104" s="1"/>
  <c r="CA18" i="104"/>
  <c r="DX18" i="104" s="1"/>
  <c r="CB18" i="104"/>
  <c r="DY18" i="104" s="1"/>
  <c r="CC18" i="104"/>
  <c r="DZ18" i="104" s="1"/>
  <c r="BI19" i="104"/>
  <c r="BJ19" i="104" s="1"/>
  <c r="BK19" i="104" s="1"/>
  <c r="BL19" i="104" s="1"/>
  <c r="BM19" i="104" s="1"/>
  <c r="BN19" i="104" s="1"/>
  <c r="BO19" i="104" s="1"/>
  <c r="BP19" i="104"/>
  <c r="BW19" i="104"/>
  <c r="BX19" i="104"/>
  <c r="BY19" i="104"/>
  <c r="BZ19" i="104"/>
  <c r="CA19" i="104"/>
  <c r="CB19" i="104"/>
  <c r="CC19" i="104"/>
  <c r="BI20" i="104"/>
  <c r="BJ20" i="104" s="1"/>
  <c r="BK20" i="104" s="1"/>
  <c r="BL20" i="104" s="1"/>
  <c r="BM20" i="104" s="1"/>
  <c r="BN20" i="104" s="1"/>
  <c r="BO20" i="104" s="1"/>
  <c r="BP20" i="104"/>
  <c r="BW20" i="104"/>
  <c r="BX20" i="104"/>
  <c r="BY20" i="104"/>
  <c r="BZ20" i="104"/>
  <c r="CA20" i="104"/>
  <c r="CB20" i="104"/>
  <c r="CC20" i="104"/>
  <c r="BI21" i="104"/>
  <c r="BJ21" i="104" s="1"/>
  <c r="BK21" i="104" s="1"/>
  <c r="BL21" i="104" s="1"/>
  <c r="BM21" i="104" s="1"/>
  <c r="BN21" i="104" s="1"/>
  <c r="BO21" i="104" s="1"/>
  <c r="BP21" i="104"/>
  <c r="BW21" i="104"/>
  <c r="BX21" i="104"/>
  <c r="BY21" i="104"/>
  <c r="BZ21" i="104"/>
  <c r="CA21" i="104"/>
  <c r="CB21" i="104"/>
  <c r="CC21" i="104"/>
  <c r="BI22" i="104"/>
  <c r="BJ22" i="104" s="1"/>
  <c r="BK22" i="104" s="1"/>
  <c r="BL22" i="104" s="1"/>
  <c r="BM22" i="104" s="1"/>
  <c r="BN22" i="104" s="1"/>
  <c r="BO22" i="104" s="1"/>
  <c r="BP22" i="104"/>
  <c r="BW22" i="104"/>
  <c r="BX22" i="104"/>
  <c r="BY22" i="104"/>
  <c r="BZ22" i="104"/>
  <c r="CA22" i="104"/>
  <c r="CB22" i="104"/>
  <c r="CC22" i="104"/>
  <c r="BI23" i="104"/>
  <c r="BJ23" i="104" s="1"/>
  <c r="BK23" i="104" s="1"/>
  <c r="BL23" i="104" s="1"/>
  <c r="BM23" i="104" s="1"/>
  <c r="BN23" i="104" s="1"/>
  <c r="BO23" i="104" s="1"/>
  <c r="BP23" i="104"/>
  <c r="BW23" i="104"/>
  <c r="BX23" i="104"/>
  <c r="BY23" i="104"/>
  <c r="BZ23" i="104"/>
  <c r="CA23" i="104"/>
  <c r="CB23" i="104"/>
  <c r="CC23" i="104"/>
  <c r="BI24" i="104"/>
  <c r="BJ24" i="104" s="1"/>
  <c r="BK24" i="104" s="1"/>
  <c r="BL24" i="104" s="1"/>
  <c r="BM24" i="104" s="1"/>
  <c r="BN24" i="104" s="1"/>
  <c r="BO24" i="104" s="1"/>
  <c r="BP24" i="104"/>
  <c r="BW24" i="104"/>
  <c r="BX24" i="104"/>
  <c r="BY24" i="104"/>
  <c r="BZ24" i="104"/>
  <c r="CA24" i="104"/>
  <c r="CB24" i="104"/>
  <c r="CC24" i="104"/>
  <c r="BI25" i="104"/>
  <c r="BJ25" i="104" s="1"/>
  <c r="BK25" i="104" s="1"/>
  <c r="BL25" i="104" s="1"/>
  <c r="BM25" i="104" s="1"/>
  <c r="BN25" i="104" s="1"/>
  <c r="BO25" i="104" s="1"/>
  <c r="BP25" i="104"/>
  <c r="BW25" i="104"/>
  <c r="BX25" i="104"/>
  <c r="BY25" i="104"/>
  <c r="BZ25" i="104"/>
  <c r="CA25" i="104"/>
  <c r="CB25" i="104"/>
  <c r="CC25" i="104"/>
  <c r="BI26" i="104"/>
  <c r="BJ26" i="104" s="1"/>
  <c r="BK26" i="104" s="1"/>
  <c r="BL26" i="104" s="1"/>
  <c r="BM26" i="104" s="1"/>
  <c r="BN26" i="104" s="1"/>
  <c r="BO26" i="104" s="1"/>
  <c r="BP26" i="104"/>
  <c r="BW26" i="104"/>
  <c r="BX26" i="104"/>
  <c r="BY26" i="104"/>
  <c r="BZ26" i="104"/>
  <c r="CA26" i="104"/>
  <c r="CB26" i="104"/>
  <c r="CC26" i="104"/>
  <c r="BI27" i="104"/>
  <c r="BJ27" i="104" s="1"/>
  <c r="BK27" i="104" s="1"/>
  <c r="BL27" i="104" s="1"/>
  <c r="BM27" i="104" s="1"/>
  <c r="BN27" i="104" s="1"/>
  <c r="BO27" i="104" s="1"/>
  <c r="BP27" i="104"/>
  <c r="BW27" i="104"/>
  <c r="BX27" i="104"/>
  <c r="BY27" i="104"/>
  <c r="BZ27" i="104"/>
  <c r="CA27" i="104"/>
  <c r="CB27" i="104"/>
  <c r="CC27" i="104"/>
  <c r="BP28" i="104"/>
  <c r="BW28" i="104"/>
  <c r="BX28" i="104"/>
  <c r="BY28" i="104"/>
  <c r="BZ28" i="104"/>
  <c r="CA28" i="104"/>
  <c r="CB28" i="104"/>
  <c r="CC28" i="104"/>
  <c r="BP29" i="104"/>
  <c r="BW29" i="104"/>
  <c r="BX29" i="104"/>
  <c r="BY29" i="104"/>
  <c r="BZ29" i="104"/>
  <c r="CA29" i="104"/>
  <c r="CB29" i="104"/>
  <c r="CC29" i="104"/>
  <c r="BI30" i="104"/>
  <c r="BJ30" i="104" s="1"/>
  <c r="BK30" i="104" s="1"/>
  <c r="BL30" i="104" s="1"/>
  <c r="BM30" i="104" s="1"/>
  <c r="BN30" i="104" s="1"/>
  <c r="BO30" i="104" s="1"/>
  <c r="BP30" i="104"/>
  <c r="BW30" i="104"/>
  <c r="BX30" i="104"/>
  <c r="BY30" i="104"/>
  <c r="BZ30" i="104"/>
  <c r="CA30" i="104"/>
  <c r="CB30" i="104"/>
  <c r="CC30" i="104"/>
  <c r="BI31" i="104"/>
  <c r="DF31" i="104" s="1"/>
  <c r="BP31" i="104"/>
  <c r="DM31" i="104" s="1"/>
  <c r="BW31" i="104"/>
  <c r="DT31" i="104" s="1"/>
  <c r="BX31" i="104"/>
  <c r="DU31" i="104" s="1"/>
  <c r="BY31" i="104"/>
  <c r="DV31" i="104" s="1"/>
  <c r="BZ31" i="104"/>
  <c r="DW31" i="104" s="1"/>
  <c r="CA31" i="104"/>
  <c r="DX31" i="104" s="1"/>
  <c r="CB31" i="104"/>
  <c r="DY31" i="104" s="1"/>
  <c r="CC31" i="104"/>
  <c r="DZ31" i="104" s="1"/>
  <c r="BI32" i="104"/>
  <c r="DF32" i="104" s="1"/>
  <c r="BP32" i="104"/>
  <c r="DM32" i="104" s="1"/>
  <c r="BW32" i="104"/>
  <c r="DT32" i="104" s="1"/>
  <c r="BX32" i="104"/>
  <c r="DU32" i="104" s="1"/>
  <c r="BY32" i="104"/>
  <c r="DV32" i="104" s="1"/>
  <c r="BZ32" i="104"/>
  <c r="DW32" i="104" s="1"/>
  <c r="CA32" i="104"/>
  <c r="DX32" i="104" s="1"/>
  <c r="CB32" i="104"/>
  <c r="DY32" i="104" s="1"/>
  <c r="CC32" i="104"/>
  <c r="DZ32" i="104" s="1"/>
  <c r="BI33" i="104"/>
  <c r="DF33" i="104" s="1"/>
  <c r="BP33" i="104"/>
  <c r="DM33" i="104" s="1"/>
  <c r="BW33" i="104"/>
  <c r="DT33" i="104" s="1"/>
  <c r="BX33" i="104"/>
  <c r="DU33" i="104" s="1"/>
  <c r="BY33" i="104"/>
  <c r="DV33" i="104" s="1"/>
  <c r="BZ33" i="104"/>
  <c r="CA33" i="104"/>
  <c r="CB33" i="104"/>
  <c r="CC33" i="104"/>
  <c r="BI34" i="104"/>
  <c r="DF34" i="104" s="1"/>
  <c r="BP34" i="104"/>
  <c r="DM34" i="104" s="1"/>
  <c r="BW34" i="104"/>
  <c r="DT34" i="104" s="1"/>
  <c r="BX34" i="104"/>
  <c r="DU34" i="104" s="1"/>
  <c r="BY34" i="104"/>
  <c r="DV34" i="104" s="1"/>
  <c r="BZ34" i="104"/>
  <c r="DW34" i="104" s="1"/>
  <c r="CA34" i="104"/>
  <c r="DX34" i="104" s="1"/>
  <c r="CB34" i="104"/>
  <c r="DY34" i="104" s="1"/>
  <c r="CC34" i="104"/>
  <c r="DZ34" i="104" s="1"/>
  <c r="BI35" i="104"/>
  <c r="DF35" i="104" s="1"/>
  <c r="BP35" i="104"/>
  <c r="DM35" i="104" s="1"/>
  <c r="BW35" i="104"/>
  <c r="DT35" i="104" s="1"/>
  <c r="BX35" i="104"/>
  <c r="DU35" i="104" s="1"/>
  <c r="BY35" i="104"/>
  <c r="DV35" i="104" s="1"/>
  <c r="BZ35" i="104"/>
  <c r="DW35" i="104" s="1"/>
  <c r="CA35" i="104"/>
  <c r="DX35" i="104" s="1"/>
  <c r="CB35" i="104"/>
  <c r="DY35" i="104" s="1"/>
  <c r="CC35" i="104"/>
  <c r="DZ35" i="104" s="1"/>
  <c r="BI36" i="104"/>
  <c r="DF36" i="104" s="1"/>
  <c r="BP36" i="104"/>
  <c r="DM36" i="104" s="1"/>
  <c r="BW36" i="104"/>
  <c r="DT36" i="104" s="1"/>
  <c r="BX36" i="104"/>
  <c r="DU36" i="104" s="1"/>
  <c r="BY36" i="104"/>
  <c r="DV36" i="104" s="1"/>
  <c r="BZ36" i="104"/>
  <c r="DW36" i="104" s="1"/>
  <c r="CA36" i="104"/>
  <c r="DX36" i="104" s="1"/>
  <c r="CB36" i="104"/>
  <c r="DY36" i="104" s="1"/>
  <c r="CC36" i="104"/>
  <c r="DZ36" i="104" s="1"/>
  <c r="BI37" i="104"/>
  <c r="BJ37" i="104" s="1"/>
  <c r="BK37" i="104" s="1"/>
  <c r="BL37" i="104" s="1"/>
  <c r="BM37" i="104" s="1"/>
  <c r="BN37" i="104" s="1"/>
  <c r="BO37" i="104" s="1"/>
  <c r="BP37" i="104"/>
  <c r="BW37" i="104"/>
  <c r="BX37" i="104"/>
  <c r="BY37" i="104"/>
  <c r="BZ37" i="104"/>
  <c r="CA37" i="104"/>
  <c r="CB37" i="104"/>
  <c r="CC37" i="104"/>
  <c r="BI38" i="104"/>
  <c r="DF38" i="104" s="1"/>
  <c r="BP38" i="104"/>
  <c r="DM38" i="104" s="1"/>
  <c r="BW38" i="104"/>
  <c r="DT38" i="104" s="1"/>
  <c r="BX38" i="104"/>
  <c r="DU38" i="104" s="1"/>
  <c r="BY38" i="104"/>
  <c r="DV38" i="104" s="1"/>
  <c r="BZ38" i="104"/>
  <c r="DW38" i="104" s="1"/>
  <c r="CA38" i="104"/>
  <c r="DX38" i="104" s="1"/>
  <c r="CB38" i="104"/>
  <c r="DY38" i="104" s="1"/>
  <c r="CC38" i="104"/>
  <c r="DZ38" i="104" s="1"/>
  <c r="BI39" i="104"/>
  <c r="DF39" i="104" s="1"/>
  <c r="BP39" i="104"/>
  <c r="DM39" i="104" s="1"/>
  <c r="BW39" i="104"/>
  <c r="DT39" i="104" s="1"/>
  <c r="BX39" i="104"/>
  <c r="DU39" i="104" s="1"/>
  <c r="BY39" i="104"/>
  <c r="DV39" i="104" s="1"/>
  <c r="BZ39" i="104"/>
  <c r="DW39" i="104" s="1"/>
  <c r="CA39" i="104"/>
  <c r="DX39" i="104" s="1"/>
  <c r="CB39" i="104"/>
  <c r="DY39" i="104" s="1"/>
  <c r="CC39" i="104"/>
  <c r="DZ39" i="104" s="1"/>
  <c r="BI40" i="104"/>
  <c r="DF40" i="104" s="1"/>
  <c r="BP40" i="104"/>
  <c r="DM40" i="104" s="1"/>
  <c r="BW40" i="104"/>
  <c r="DT40" i="104" s="1"/>
  <c r="BX40" i="104"/>
  <c r="DU40" i="104" s="1"/>
  <c r="BY40" i="104"/>
  <c r="DV40" i="104" s="1"/>
  <c r="BZ40" i="104"/>
  <c r="DW40" i="104" s="1"/>
  <c r="CA40" i="104"/>
  <c r="DX40" i="104" s="1"/>
  <c r="CB40" i="104"/>
  <c r="DY40" i="104" s="1"/>
  <c r="CC40" i="104"/>
  <c r="DZ40" i="104" s="1"/>
  <c r="BI41" i="104"/>
  <c r="BJ41" i="104" s="1"/>
  <c r="BK41" i="104" s="1"/>
  <c r="BL41" i="104" s="1"/>
  <c r="BM41" i="104" s="1"/>
  <c r="BN41" i="104" s="1"/>
  <c r="BO41" i="104" s="1"/>
  <c r="BP41" i="104"/>
  <c r="BW41" i="104"/>
  <c r="BX41" i="104"/>
  <c r="BY41" i="104"/>
  <c r="BZ41" i="104"/>
  <c r="CA41" i="104"/>
  <c r="CB41" i="104"/>
  <c r="CC41" i="104"/>
  <c r="BI42" i="104"/>
  <c r="DF42" i="104" s="1"/>
  <c r="BP42" i="104"/>
  <c r="DM42" i="104" s="1"/>
  <c r="BW42" i="104"/>
  <c r="DT42" i="104" s="1"/>
  <c r="BX42" i="104"/>
  <c r="DU42" i="104" s="1"/>
  <c r="BY42" i="104"/>
  <c r="DV42" i="104" s="1"/>
  <c r="BZ42" i="104"/>
  <c r="DW42" i="104" s="1"/>
  <c r="CA42" i="104"/>
  <c r="DX42" i="104" s="1"/>
  <c r="CB42" i="104"/>
  <c r="DY42" i="104" s="1"/>
  <c r="CC42" i="104"/>
  <c r="DZ42" i="104" s="1"/>
  <c r="BI43" i="104"/>
  <c r="DF43" i="104" s="1"/>
  <c r="BP43" i="104"/>
  <c r="DM43" i="104" s="1"/>
  <c r="BW43" i="104"/>
  <c r="DT43" i="104" s="1"/>
  <c r="BX43" i="104"/>
  <c r="DU43" i="104" s="1"/>
  <c r="BY43" i="104"/>
  <c r="DV43" i="104" s="1"/>
  <c r="BZ43" i="104"/>
  <c r="DW43" i="104" s="1"/>
  <c r="CA43" i="104"/>
  <c r="DX43" i="104" s="1"/>
  <c r="CB43" i="104"/>
  <c r="DY43" i="104" s="1"/>
  <c r="CC43" i="104"/>
  <c r="DZ43" i="104" s="1"/>
  <c r="BI44" i="104"/>
  <c r="DF44" i="104" s="1"/>
  <c r="BP44" i="104"/>
  <c r="DM44" i="104" s="1"/>
  <c r="BW44" i="104"/>
  <c r="DT44" i="104" s="1"/>
  <c r="BX44" i="104"/>
  <c r="DU44" i="104" s="1"/>
  <c r="BY44" i="104"/>
  <c r="DV44" i="104" s="1"/>
  <c r="BZ44" i="104"/>
  <c r="DW44" i="104" s="1"/>
  <c r="CA44" i="104"/>
  <c r="DX44" i="104" s="1"/>
  <c r="CB44" i="104"/>
  <c r="DY44" i="104" s="1"/>
  <c r="CC44" i="104"/>
  <c r="DZ44" i="104" s="1"/>
  <c r="BI45" i="104"/>
  <c r="DF45" i="104" s="1"/>
  <c r="BP45" i="104"/>
  <c r="DM45" i="104" s="1"/>
  <c r="BW45" i="104"/>
  <c r="DT45" i="104" s="1"/>
  <c r="BX45" i="104"/>
  <c r="DU45" i="104" s="1"/>
  <c r="BY45" i="104"/>
  <c r="DV45" i="104" s="1"/>
  <c r="BZ45" i="104"/>
  <c r="DW45" i="104" s="1"/>
  <c r="CA45" i="104"/>
  <c r="DX45" i="104" s="1"/>
  <c r="CB45" i="104"/>
  <c r="DY45" i="104" s="1"/>
  <c r="CC45" i="104"/>
  <c r="DZ45" i="104" s="1"/>
  <c r="BI46" i="104"/>
  <c r="DF46" i="104" s="1"/>
  <c r="BP46" i="104"/>
  <c r="DM46" i="104" s="1"/>
  <c r="BW46" i="104"/>
  <c r="DT46" i="104" s="1"/>
  <c r="BX46" i="104"/>
  <c r="DU46" i="104" s="1"/>
  <c r="BY46" i="104"/>
  <c r="DV46" i="104" s="1"/>
  <c r="BZ46" i="104"/>
  <c r="DW46" i="104" s="1"/>
  <c r="CA46" i="104"/>
  <c r="DX46" i="104" s="1"/>
  <c r="CB46" i="104"/>
  <c r="DY46" i="104" s="1"/>
  <c r="CC46" i="104"/>
  <c r="DZ46" i="104" s="1"/>
  <c r="BI47" i="104"/>
  <c r="DF47" i="104" s="1"/>
  <c r="BP47" i="104"/>
  <c r="DM47" i="104" s="1"/>
  <c r="BW47" i="104"/>
  <c r="DT47" i="104" s="1"/>
  <c r="BX47" i="104"/>
  <c r="DU47" i="104" s="1"/>
  <c r="BY47" i="104"/>
  <c r="DV47" i="104" s="1"/>
  <c r="BZ47" i="104"/>
  <c r="DW47" i="104" s="1"/>
  <c r="CA47" i="104"/>
  <c r="DX47" i="104" s="1"/>
  <c r="CB47" i="104"/>
  <c r="DY47" i="104" s="1"/>
  <c r="CC47" i="104"/>
  <c r="DZ47" i="104" s="1"/>
  <c r="BI48" i="104"/>
  <c r="DF48" i="104" s="1"/>
  <c r="BP48" i="104"/>
  <c r="DM48" i="104" s="1"/>
  <c r="BW48" i="104"/>
  <c r="DT48" i="104" s="1"/>
  <c r="BX48" i="104"/>
  <c r="DU48" i="104" s="1"/>
  <c r="BY48" i="104"/>
  <c r="DV48" i="104" s="1"/>
  <c r="BZ48" i="104"/>
  <c r="DW48" i="104" s="1"/>
  <c r="CA48" i="104"/>
  <c r="DX48" i="104" s="1"/>
  <c r="CB48" i="104"/>
  <c r="DY48" i="104" s="1"/>
  <c r="CC48" i="104"/>
  <c r="DZ48" i="104" s="1"/>
  <c r="BI49" i="104"/>
  <c r="DF49" i="104" s="1"/>
  <c r="BP49" i="104"/>
  <c r="DM49" i="104" s="1"/>
  <c r="BW49" i="104"/>
  <c r="DT49" i="104" s="1"/>
  <c r="BX49" i="104"/>
  <c r="DU49" i="104" s="1"/>
  <c r="BY49" i="104"/>
  <c r="DV49" i="104" s="1"/>
  <c r="BZ49" i="104"/>
  <c r="DW49" i="104" s="1"/>
  <c r="CA49" i="104"/>
  <c r="DX49" i="104" s="1"/>
  <c r="CB49" i="104"/>
  <c r="DY49" i="104" s="1"/>
  <c r="CC49" i="104"/>
  <c r="DZ49" i="104" s="1"/>
  <c r="BI50" i="104"/>
  <c r="BJ50" i="104" s="1"/>
  <c r="BK50" i="104" s="1"/>
  <c r="BL50" i="104" s="1"/>
  <c r="BM50" i="104" s="1"/>
  <c r="BN50" i="104" s="1"/>
  <c r="BO50" i="104" s="1"/>
  <c r="BP50" i="104"/>
  <c r="BW50" i="104"/>
  <c r="BX50" i="104"/>
  <c r="BY50" i="104"/>
  <c r="BZ50" i="104"/>
  <c r="CA50" i="104"/>
  <c r="CB50" i="104"/>
  <c r="CC50" i="104"/>
  <c r="BI51" i="104"/>
  <c r="BP51" i="104"/>
  <c r="BW51" i="104"/>
  <c r="BX51" i="104"/>
  <c r="BY51" i="104"/>
  <c r="BZ51" i="104"/>
  <c r="CA51" i="104"/>
  <c r="CB51" i="104"/>
  <c r="CC51" i="104"/>
  <c r="BI52" i="104"/>
  <c r="BJ52" i="104" s="1"/>
  <c r="BK52" i="104" s="1"/>
  <c r="BL52" i="104" s="1"/>
  <c r="BM52" i="104" s="1"/>
  <c r="BN52" i="104" s="1"/>
  <c r="BO52" i="104" s="1"/>
  <c r="BP52" i="104"/>
  <c r="BW52" i="104"/>
  <c r="BX52" i="104"/>
  <c r="BY52" i="104"/>
  <c r="BZ52" i="104"/>
  <c r="CA52" i="104"/>
  <c r="CB52" i="104"/>
  <c r="CC52" i="104"/>
  <c r="BI53" i="104"/>
  <c r="BJ53" i="104" s="1"/>
  <c r="BK53" i="104" s="1"/>
  <c r="BL53" i="104" s="1"/>
  <c r="BM53" i="104" s="1"/>
  <c r="BN53" i="104" s="1"/>
  <c r="BO53" i="104" s="1"/>
  <c r="BP53" i="104"/>
  <c r="BW53" i="104"/>
  <c r="BX53" i="104"/>
  <c r="BY53" i="104"/>
  <c r="BZ53" i="104"/>
  <c r="CA53" i="104"/>
  <c r="CB53" i="104"/>
  <c r="CC53" i="104"/>
  <c r="BI54" i="104"/>
  <c r="BJ54" i="104" s="1"/>
  <c r="BK54" i="104" s="1"/>
  <c r="BL54" i="104" s="1"/>
  <c r="BM54" i="104" s="1"/>
  <c r="BN54" i="104" s="1"/>
  <c r="BO54" i="104" s="1"/>
  <c r="BP54" i="104"/>
  <c r="BW54" i="104"/>
  <c r="BX54" i="104"/>
  <c r="BY54" i="104"/>
  <c r="BZ54" i="104"/>
  <c r="CA54" i="104"/>
  <c r="CB54" i="104"/>
  <c r="CC54" i="104"/>
  <c r="BI55" i="104"/>
  <c r="BJ55" i="104" s="1"/>
  <c r="BK55" i="104" s="1"/>
  <c r="BL55" i="104" s="1"/>
  <c r="BM55" i="104" s="1"/>
  <c r="BN55" i="104" s="1"/>
  <c r="BO55" i="104" s="1"/>
  <c r="BP55" i="104"/>
  <c r="BW55" i="104"/>
  <c r="BX55" i="104"/>
  <c r="BY55" i="104"/>
  <c r="BZ55" i="104"/>
  <c r="CA55" i="104"/>
  <c r="CB55" i="104"/>
  <c r="CC55" i="104"/>
  <c r="BI56" i="104"/>
  <c r="BJ56" i="104" s="1"/>
  <c r="BK56" i="104" s="1"/>
  <c r="BL56" i="104" s="1"/>
  <c r="BM56" i="104" s="1"/>
  <c r="BN56" i="104" s="1"/>
  <c r="BO56" i="104" s="1"/>
  <c r="BP56" i="104"/>
  <c r="BW56" i="104"/>
  <c r="BX56" i="104"/>
  <c r="BY56" i="104"/>
  <c r="BZ56" i="104"/>
  <c r="CA56" i="104"/>
  <c r="CB56" i="104"/>
  <c r="CC56" i="104"/>
  <c r="BI57" i="104"/>
  <c r="BP57" i="104"/>
  <c r="BW57" i="104"/>
  <c r="BX57" i="104"/>
  <c r="BY57" i="104"/>
  <c r="BZ57" i="104"/>
  <c r="CA57" i="104"/>
  <c r="CB57" i="104"/>
  <c r="CC57" i="104"/>
  <c r="BI58" i="104"/>
  <c r="DF58" i="104" s="1"/>
  <c r="BP58" i="104"/>
  <c r="DM58" i="104" s="1"/>
  <c r="BW58" i="104"/>
  <c r="DT58" i="104" s="1"/>
  <c r="BX58" i="104"/>
  <c r="DU58" i="104" s="1"/>
  <c r="BY58" i="104"/>
  <c r="DV58" i="104" s="1"/>
  <c r="BZ58" i="104"/>
  <c r="DW58" i="104" s="1"/>
  <c r="CA58" i="104"/>
  <c r="DX58" i="104" s="1"/>
  <c r="CB58" i="104"/>
  <c r="DY58" i="104" s="1"/>
  <c r="CC58" i="104"/>
  <c r="DZ58" i="104" s="1"/>
  <c r="BI60" i="104"/>
  <c r="BP60" i="104"/>
  <c r="BW60" i="104"/>
  <c r="BX60" i="104"/>
  <c r="BY60" i="104"/>
  <c r="BZ60" i="104"/>
  <c r="CA60" i="104"/>
  <c r="CB60" i="104"/>
  <c r="CC60" i="104"/>
  <c r="BI61" i="104"/>
  <c r="BP61" i="104"/>
  <c r="BW61" i="104"/>
  <c r="BX61" i="104"/>
  <c r="BY61" i="104"/>
  <c r="BZ61" i="104"/>
  <c r="CA61" i="104"/>
  <c r="CB61" i="104"/>
  <c r="CC61" i="104"/>
  <c r="BI7" i="104"/>
  <c r="DF7" i="104" s="1"/>
  <c r="BP7" i="104"/>
  <c r="DM7" i="104" s="1"/>
  <c r="BW7" i="104"/>
  <c r="DT7" i="104" s="1"/>
  <c r="BX7" i="104"/>
  <c r="DU7" i="104" s="1"/>
  <c r="BY7" i="104"/>
  <c r="DV7" i="104" s="1"/>
  <c r="BZ7" i="104"/>
  <c r="CA7" i="104"/>
  <c r="CB7" i="104"/>
  <c r="CC7" i="104"/>
  <c r="BI8" i="104"/>
  <c r="BP8" i="104"/>
  <c r="BW8" i="104"/>
  <c r="BX8" i="104"/>
  <c r="BY8" i="104"/>
  <c r="DV8" i="104" s="1"/>
  <c r="BZ8" i="104"/>
  <c r="CA8" i="104"/>
  <c r="CB8" i="104"/>
  <c r="CC8" i="104"/>
  <c r="BI9" i="104"/>
  <c r="BP9" i="104"/>
  <c r="BW9" i="104"/>
  <c r="BX9" i="104"/>
  <c r="DU9" i="104" s="1"/>
  <c r="BY9" i="104"/>
  <c r="DV9" i="104" s="1"/>
  <c r="BZ9" i="104"/>
  <c r="DW9" i="104" s="1"/>
  <c r="CA9" i="104"/>
  <c r="DX9" i="104" s="1"/>
  <c r="CB9" i="104"/>
  <c r="CC9" i="104"/>
  <c r="BI10" i="104"/>
  <c r="DF10" i="104" s="1"/>
  <c r="BP10" i="104"/>
  <c r="DM10" i="104" s="1"/>
  <c r="BW10" i="104"/>
  <c r="DT10" i="104" s="1"/>
  <c r="BX10" i="104"/>
  <c r="DU10" i="104" s="1"/>
  <c r="BY10" i="104"/>
  <c r="DV10" i="104" s="1"/>
  <c r="BZ10" i="104"/>
  <c r="DW10" i="104" s="1"/>
  <c r="CA10" i="104"/>
  <c r="DX10" i="104" s="1"/>
  <c r="CB10" i="104"/>
  <c r="DY10" i="104" s="1"/>
  <c r="CC10" i="104"/>
  <c r="DZ10" i="104" s="1"/>
  <c r="BB11" i="104"/>
  <c r="CY11" i="104" s="1"/>
  <c r="BI11" i="104"/>
  <c r="DF11" i="104" s="1"/>
  <c r="BP11" i="104"/>
  <c r="DM11" i="104" s="1"/>
  <c r="BW11" i="104"/>
  <c r="DT11" i="104" s="1"/>
  <c r="BX11" i="104"/>
  <c r="DU11" i="104" s="1"/>
  <c r="BY11" i="104"/>
  <c r="DV11" i="104" s="1"/>
  <c r="BZ11" i="104"/>
  <c r="DW11" i="104" s="1"/>
  <c r="CA11" i="104"/>
  <c r="DX11" i="104" s="1"/>
  <c r="CB11" i="104"/>
  <c r="DY11" i="104" s="1"/>
  <c r="CC11" i="104"/>
  <c r="DZ11" i="104" s="1"/>
  <c r="AK121" i="104"/>
  <c r="AL121" i="104"/>
  <c r="AM121" i="104"/>
  <c r="AN121" i="104"/>
  <c r="AO121" i="104"/>
  <c r="AP121" i="104"/>
  <c r="AQ121" i="104"/>
  <c r="AR121" i="104"/>
  <c r="AS121" i="104"/>
  <c r="AU121" i="104"/>
  <c r="AV121" i="104"/>
  <c r="AW121" i="104"/>
  <c r="AX121" i="104"/>
  <c r="AY121" i="104"/>
  <c r="AZ121" i="104"/>
  <c r="BA121" i="104"/>
  <c r="AK122" i="104"/>
  <c r="AL122" i="104"/>
  <c r="AM122" i="104"/>
  <c r="AN122" i="104"/>
  <c r="AO122" i="104"/>
  <c r="AP122" i="104"/>
  <c r="AQ122" i="104"/>
  <c r="AR122" i="104"/>
  <c r="AS122" i="104"/>
  <c r="AU122" i="104"/>
  <c r="AY122" i="104"/>
  <c r="AZ122" i="104"/>
  <c r="BA122" i="104"/>
  <c r="AK123" i="104"/>
  <c r="AL123" i="104"/>
  <c r="AM123" i="104"/>
  <c r="AN123" i="104"/>
  <c r="AO123" i="104"/>
  <c r="AP123" i="104"/>
  <c r="AQ123" i="104"/>
  <c r="AR123" i="104"/>
  <c r="AS123" i="104"/>
  <c r="AU123" i="104"/>
  <c r="AY123" i="104"/>
  <c r="AZ123" i="104"/>
  <c r="BA123" i="104"/>
  <c r="AK124" i="104"/>
  <c r="AL124" i="104"/>
  <c r="AM124" i="104"/>
  <c r="AN124" i="104"/>
  <c r="AO124" i="104"/>
  <c r="AP124" i="104"/>
  <c r="AQ124" i="104"/>
  <c r="AR124" i="104"/>
  <c r="AS124" i="104"/>
  <c r="AU124" i="104"/>
  <c r="AY124" i="104"/>
  <c r="AZ124" i="104"/>
  <c r="BA124" i="104"/>
  <c r="AK125" i="104"/>
  <c r="AL125" i="104"/>
  <c r="AM125" i="104"/>
  <c r="AN125" i="104"/>
  <c r="AO125" i="104"/>
  <c r="AP125" i="104"/>
  <c r="AQ125" i="104"/>
  <c r="AR125" i="104"/>
  <c r="AS125" i="104"/>
  <c r="AU125" i="104"/>
  <c r="AY125" i="104"/>
  <c r="AZ125" i="104"/>
  <c r="BA125" i="104"/>
  <c r="AK126" i="104"/>
  <c r="AL126" i="104"/>
  <c r="AM126" i="104"/>
  <c r="AN126" i="104"/>
  <c r="AO126" i="104"/>
  <c r="AP126" i="104"/>
  <c r="AQ126" i="104"/>
  <c r="AR126" i="104"/>
  <c r="AS126" i="104"/>
  <c r="AU126" i="104"/>
  <c r="AY126" i="104"/>
  <c r="AZ126" i="104"/>
  <c r="BA126" i="104"/>
  <c r="AK127" i="104"/>
  <c r="AL127" i="104"/>
  <c r="AM127" i="104"/>
  <c r="AN127" i="104"/>
  <c r="AO127" i="104"/>
  <c r="AP127" i="104"/>
  <c r="AQ127" i="104"/>
  <c r="AR127" i="104"/>
  <c r="AS127" i="104"/>
  <c r="AU127" i="104"/>
  <c r="AY127" i="104"/>
  <c r="AZ127" i="104"/>
  <c r="BA127" i="104"/>
  <c r="AK128" i="104"/>
  <c r="AL128" i="104"/>
  <c r="AM128" i="104"/>
  <c r="AN128" i="104"/>
  <c r="AO128" i="104"/>
  <c r="AP128" i="104"/>
  <c r="AQ128" i="104"/>
  <c r="AR128" i="104"/>
  <c r="AS128" i="104"/>
  <c r="AU128" i="104"/>
  <c r="AY128" i="104"/>
  <c r="AZ128" i="104"/>
  <c r="BA128" i="104"/>
  <c r="AK129" i="104"/>
  <c r="AL129" i="104"/>
  <c r="AM129" i="104"/>
  <c r="AN129" i="104"/>
  <c r="AO129" i="104"/>
  <c r="AP129" i="104"/>
  <c r="AQ129" i="104"/>
  <c r="AR129" i="104"/>
  <c r="AS129" i="104"/>
  <c r="AU129" i="104"/>
  <c r="AY129" i="104"/>
  <c r="AZ129" i="104"/>
  <c r="BA129" i="104"/>
  <c r="AK130" i="104"/>
  <c r="AL130" i="104"/>
  <c r="AM130" i="104"/>
  <c r="AN130" i="104"/>
  <c r="AO130" i="104"/>
  <c r="AP130" i="104"/>
  <c r="AQ130" i="104"/>
  <c r="AR130" i="104"/>
  <c r="AS130" i="104"/>
  <c r="AU130" i="104"/>
  <c r="AY130" i="104"/>
  <c r="AZ130" i="104"/>
  <c r="BA130" i="104"/>
  <c r="AK131" i="104"/>
  <c r="AL131" i="104"/>
  <c r="AM131" i="104"/>
  <c r="AN131" i="104"/>
  <c r="AO131" i="104"/>
  <c r="AP131" i="104"/>
  <c r="AQ131" i="104"/>
  <c r="AR131" i="104"/>
  <c r="AS131" i="104"/>
  <c r="AU131" i="104"/>
  <c r="AY131" i="104"/>
  <c r="AZ131" i="104"/>
  <c r="BA131" i="104"/>
  <c r="AK132" i="104"/>
  <c r="AL132" i="104"/>
  <c r="AM132" i="104"/>
  <c r="AN132" i="104"/>
  <c r="AO132" i="104"/>
  <c r="AP132" i="104"/>
  <c r="AQ132" i="104"/>
  <c r="AR132" i="104"/>
  <c r="AS132" i="104"/>
  <c r="AU132" i="104"/>
  <c r="AY132" i="104"/>
  <c r="AZ132" i="104"/>
  <c r="BA132" i="104"/>
  <c r="AK133" i="104"/>
  <c r="AL133" i="104"/>
  <c r="AM133" i="104"/>
  <c r="AN133" i="104"/>
  <c r="AO133" i="104"/>
  <c r="AP133" i="104"/>
  <c r="AQ133" i="104"/>
  <c r="AR133" i="104"/>
  <c r="AS133" i="104"/>
  <c r="AU133" i="104"/>
  <c r="AY133" i="104"/>
  <c r="AZ133" i="104"/>
  <c r="BA133" i="104"/>
  <c r="AK134" i="104"/>
  <c r="AL134" i="104"/>
  <c r="AM134" i="104"/>
  <c r="AN134" i="104"/>
  <c r="AO134" i="104"/>
  <c r="AP134" i="104"/>
  <c r="AQ134" i="104"/>
  <c r="AR134" i="104"/>
  <c r="AS134" i="104"/>
  <c r="AU134" i="104"/>
  <c r="AY134" i="104"/>
  <c r="AZ134" i="104"/>
  <c r="BA134" i="104"/>
  <c r="AK135" i="104"/>
  <c r="AL135" i="104"/>
  <c r="AM135" i="104"/>
  <c r="AN135" i="104"/>
  <c r="AO135" i="104"/>
  <c r="AP135" i="104"/>
  <c r="AQ135" i="104"/>
  <c r="AR135" i="104"/>
  <c r="AS135" i="104"/>
  <c r="AU135" i="104"/>
  <c r="AY135" i="104"/>
  <c r="AZ135" i="104"/>
  <c r="BA135" i="104"/>
  <c r="AK136" i="104"/>
  <c r="AL136" i="104"/>
  <c r="AM136" i="104"/>
  <c r="AN136" i="104"/>
  <c r="AO136" i="104"/>
  <c r="AP136" i="104"/>
  <c r="AQ136" i="104"/>
  <c r="AR136" i="104"/>
  <c r="AS136" i="104"/>
  <c r="AU136" i="104"/>
  <c r="AY136" i="104"/>
  <c r="AZ136" i="104"/>
  <c r="BA136" i="104"/>
  <c r="AK137" i="104"/>
  <c r="AL137" i="104"/>
  <c r="AM137" i="104"/>
  <c r="AN137" i="104"/>
  <c r="AO137" i="104"/>
  <c r="AP137" i="104"/>
  <c r="AQ137" i="104"/>
  <c r="AR137" i="104"/>
  <c r="AS137" i="104"/>
  <c r="AU137" i="104"/>
  <c r="AY137" i="104"/>
  <c r="AZ137" i="104"/>
  <c r="BA137" i="104"/>
  <c r="AK138" i="104"/>
  <c r="AL138" i="104"/>
  <c r="AM138" i="104"/>
  <c r="AN138" i="104"/>
  <c r="AO138" i="104"/>
  <c r="AP138" i="104"/>
  <c r="AQ138" i="104"/>
  <c r="AR138" i="104"/>
  <c r="AS138" i="104"/>
  <c r="AU138" i="104"/>
  <c r="AY138" i="104"/>
  <c r="AZ138" i="104"/>
  <c r="BA138" i="104"/>
  <c r="AK139" i="104"/>
  <c r="AL139" i="104"/>
  <c r="AM139" i="104"/>
  <c r="AN139" i="104"/>
  <c r="AO139" i="104"/>
  <c r="AP139" i="104"/>
  <c r="AQ139" i="104"/>
  <c r="AR139" i="104"/>
  <c r="AS139" i="104"/>
  <c r="AU139" i="104"/>
  <c r="AY139" i="104"/>
  <c r="AZ139" i="104"/>
  <c r="BA139" i="104"/>
  <c r="AK140" i="104"/>
  <c r="AL140" i="104"/>
  <c r="AM140" i="104"/>
  <c r="AN140" i="104"/>
  <c r="AO140" i="104"/>
  <c r="AP140" i="104"/>
  <c r="AQ140" i="104"/>
  <c r="AR140" i="104"/>
  <c r="AS140" i="104"/>
  <c r="AU140" i="104"/>
  <c r="AY140" i="104"/>
  <c r="AZ140" i="104"/>
  <c r="BA140" i="104"/>
  <c r="AK141" i="104"/>
  <c r="AL141" i="104"/>
  <c r="AM141" i="104"/>
  <c r="AN141" i="104"/>
  <c r="AO141" i="104"/>
  <c r="AP141" i="104"/>
  <c r="AQ141" i="104"/>
  <c r="AR141" i="104"/>
  <c r="AS141" i="104"/>
  <c r="AU141" i="104"/>
  <c r="AY141" i="104"/>
  <c r="AZ141" i="104"/>
  <c r="BA141" i="104"/>
  <c r="AK142" i="104"/>
  <c r="AL142" i="104"/>
  <c r="AM142" i="104"/>
  <c r="AN142" i="104"/>
  <c r="AO142" i="104"/>
  <c r="AP142" i="104"/>
  <c r="AQ142" i="104"/>
  <c r="AR142" i="104"/>
  <c r="AS142" i="104"/>
  <c r="AU142" i="104"/>
  <c r="AY142" i="104"/>
  <c r="AZ142" i="104"/>
  <c r="BA142" i="104"/>
  <c r="AK143" i="104"/>
  <c r="AL143" i="104"/>
  <c r="AM143" i="104"/>
  <c r="AN143" i="104"/>
  <c r="AO143" i="104"/>
  <c r="AP143" i="104"/>
  <c r="AQ143" i="104"/>
  <c r="AR143" i="104"/>
  <c r="AS143" i="104"/>
  <c r="AU143" i="104"/>
  <c r="AY143" i="104"/>
  <c r="AZ143" i="104"/>
  <c r="BA143" i="104"/>
  <c r="AK144" i="104"/>
  <c r="AL144" i="104"/>
  <c r="AM144" i="104"/>
  <c r="AN144" i="104"/>
  <c r="AO144" i="104"/>
  <c r="AP144" i="104"/>
  <c r="AQ144" i="104"/>
  <c r="AR144" i="104"/>
  <c r="AS144" i="104"/>
  <c r="AU144" i="104"/>
  <c r="AY144" i="104"/>
  <c r="AZ144" i="104"/>
  <c r="BA144" i="104"/>
  <c r="AK145" i="104"/>
  <c r="AL145" i="104"/>
  <c r="AM145" i="104"/>
  <c r="AN145" i="104"/>
  <c r="AO145" i="104"/>
  <c r="AP145" i="104"/>
  <c r="AQ145" i="104"/>
  <c r="AR145" i="104"/>
  <c r="AS145" i="104"/>
  <c r="AU145" i="104"/>
  <c r="AY145" i="104"/>
  <c r="AZ145" i="104"/>
  <c r="BA145" i="104"/>
  <c r="AK146" i="104"/>
  <c r="AL146" i="104"/>
  <c r="AM146" i="104"/>
  <c r="AN146" i="104"/>
  <c r="AO146" i="104"/>
  <c r="AP146" i="104"/>
  <c r="AQ146" i="104"/>
  <c r="AR146" i="104"/>
  <c r="AS146" i="104"/>
  <c r="AU146" i="104"/>
  <c r="AV146" i="104"/>
  <c r="AW146" i="104"/>
  <c r="AY146" i="104"/>
  <c r="AZ146" i="104"/>
  <c r="BA146" i="104"/>
  <c r="AK147" i="104"/>
  <c r="AL147" i="104"/>
  <c r="AM147" i="104"/>
  <c r="AN147" i="104"/>
  <c r="AO147" i="104"/>
  <c r="AP147" i="104"/>
  <c r="AQ147" i="104"/>
  <c r="AR147" i="104"/>
  <c r="AS147" i="104"/>
  <c r="AU147" i="104"/>
  <c r="AV147" i="104"/>
  <c r="AW147" i="104"/>
  <c r="AX147" i="104"/>
  <c r="AY147" i="104"/>
  <c r="AZ147" i="104"/>
  <c r="BA147" i="104"/>
  <c r="AK148" i="104"/>
  <c r="AL148" i="104"/>
  <c r="AM148" i="104"/>
  <c r="AN148" i="104"/>
  <c r="AO148" i="104"/>
  <c r="AP148" i="104"/>
  <c r="AQ148" i="104"/>
  <c r="AR148" i="104"/>
  <c r="AS148" i="104"/>
  <c r="AU148" i="104"/>
  <c r="AV148" i="104"/>
  <c r="AW148" i="104"/>
  <c r="AX148" i="104"/>
  <c r="AY148" i="104"/>
  <c r="AZ148" i="104"/>
  <c r="BA148" i="104"/>
  <c r="AK149" i="104"/>
  <c r="AL149" i="104"/>
  <c r="AM149" i="104"/>
  <c r="AN149" i="104"/>
  <c r="AO149" i="104"/>
  <c r="AP149" i="104"/>
  <c r="AQ149" i="104"/>
  <c r="AR149" i="104"/>
  <c r="AS149" i="104"/>
  <c r="AU149" i="104"/>
  <c r="AV149" i="104"/>
  <c r="AW149" i="104"/>
  <c r="AX149" i="104"/>
  <c r="AY149" i="104"/>
  <c r="AZ149" i="104"/>
  <c r="BA149" i="104"/>
  <c r="AK150" i="104"/>
  <c r="AL150" i="104"/>
  <c r="AM150" i="104"/>
  <c r="AN150" i="104"/>
  <c r="AO150" i="104"/>
  <c r="AP150" i="104"/>
  <c r="AQ150" i="104"/>
  <c r="AR150" i="104"/>
  <c r="AS150" i="104"/>
  <c r="AU150" i="104"/>
  <c r="AV150" i="104"/>
  <c r="AW150" i="104"/>
  <c r="AX150" i="104"/>
  <c r="AY150" i="104"/>
  <c r="AZ150" i="104"/>
  <c r="BA150" i="104"/>
  <c r="AK151" i="104"/>
  <c r="AL151" i="104"/>
  <c r="AM151" i="104"/>
  <c r="AN151" i="104"/>
  <c r="AO151" i="104"/>
  <c r="AP151" i="104"/>
  <c r="AQ151" i="104"/>
  <c r="AR151" i="104"/>
  <c r="AS151" i="104"/>
  <c r="AU151" i="104"/>
  <c r="AV151" i="104"/>
  <c r="AW151" i="104"/>
  <c r="AX151" i="104"/>
  <c r="AY151" i="104"/>
  <c r="AZ151" i="104"/>
  <c r="BA151" i="104"/>
  <c r="AK152" i="104"/>
  <c r="AL152" i="104"/>
  <c r="AM152" i="104"/>
  <c r="AN152" i="104"/>
  <c r="AO152" i="104"/>
  <c r="AP152" i="104"/>
  <c r="AQ152" i="104"/>
  <c r="AR152" i="104"/>
  <c r="AS152" i="104"/>
  <c r="AU152" i="104"/>
  <c r="AV152" i="104"/>
  <c r="AW152" i="104"/>
  <c r="AX152" i="104"/>
  <c r="AY152" i="104"/>
  <c r="AZ152" i="104"/>
  <c r="BA152" i="104"/>
  <c r="AK153" i="104"/>
  <c r="AL153" i="104"/>
  <c r="AM153" i="104"/>
  <c r="AN153" i="104"/>
  <c r="AO153" i="104"/>
  <c r="AP153" i="104"/>
  <c r="AQ153" i="104"/>
  <c r="AR153" i="104"/>
  <c r="AS153" i="104"/>
  <c r="AU153" i="104"/>
  <c r="AV153" i="104"/>
  <c r="AW153" i="104"/>
  <c r="AX153" i="104"/>
  <c r="AY153" i="104"/>
  <c r="AZ153" i="104"/>
  <c r="BA153" i="104"/>
  <c r="AK154" i="104"/>
  <c r="AL154" i="104"/>
  <c r="AM154" i="104"/>
  <c r="AN154" i="104"/>
  <c r="AO154" i="104"/>
  <c r="AP154" i="104"/>
  <c r="AQ154" i="104"/>
  <c r="AR154" i="104"/>
  <c r="AS154" i="104"/>
  <c r="AU154" i="104"/>
  <c r="AV154" i="104"/>
  <c r="AW154" i="104"/>
  <c r="AX154" i="104"/>
  <c r="AY154" i="104"/>
  <c r="AZ154" i="104"/>
  <c r="BA154" i="104"/>
  <c r="AK155" i="104"/>
  <c r="AL155" i="104"/>
  <c r="AM155" i="104"/>
  <c r="AN155" i="104"/>
  <c r="AO155" i="104"/>
  <c r="AP155" i="104"/>
  <c r="AQ155" i="104"/>
  <c r="AR155" i="104"/>
  <c r="AS155" i="104"/>
  <c r="AU155" i="104"/>
  <c r="AV155" i="104"/>
  <c r="AW155" i="104"/>
  <c r="AX155" i="104"/>
  <c r="AY155" i="104"/>
  <c r="AZ155" i="104"/>
  <c r="BA155" i="104"/>
  <c r="AK156" i="104"/>
  <c r="AL156" i="104"/>
  <c r="AM156" i="104"/>
  <c r="AN156" i="104"/>
  <c r="AO156" i="104"/>
  <c r="AP156" i="104"/>
  <c r="AQ156" i="104"/>
  <c r="AR156" i="104"/>
  <c r="AS156" i="104"/>
  <c r="AU156" i="104"/>
  <c r="AV156" i="104"/>
  <c r="AW156" i="104"/>
  <c r="AX156" i="104"/>
  <c r="AY156" i="104"/>
  <c r="AZ156" i="104"/>
  <c r="BA156" i="104"/>
  <c r="AK157" i="104"/>
  <c r="AL157" i="104"/>
  <c r="AM157" i="104"/>
  <c r="AN157" i="104"/>
  <c r="AO157" i="104"/>
  <c r="AP157" i="104"/>
  <c r="AQ157" i="104"/>
  <c r="AR157" i="104"/>
  <c r="AS157" i="104"/>
  <c r="AU157" i="104"/>
  <c r="AV157" i="104"/>
  <c r="AW157" i="104"/>
  <c r="AX157" i="104"/>
  <c r="AY157" i="104"/>
  <c r="AZ157" i="104"/>
  <c r="BA157" i="104"/>
  <c r="AK158" i="104"/>
  <c r="AL158" i="104"/>
  <c r="AM158" i="104"/>
  <c r="AN158" i="104"/>
  <c r="AO158" i="104"/>
  <c r="AP158" i="104"/>
  <c r="AQ158" i="104"/>
  <c r="AR158" i="104"/>
  <c r="AS158" i="104"/>
  <c r="AU158" i="104"/>
  <c r="AV158" i="104"/>
  <c r="AW158" i="104"/>
  <c r="AX158" i="104"/>
  <c r="AY158" i="104"/>
  <c r="AZ158" i="104"/>
  <c r="BA158" i="104"/>
  <c r="AK159" i="104"/>
  <c r="AL159" i="104"/>
  <c r="AM159" i="104"/>
  <c r="AN159" i="104"/>
  <c r="AO159" i="104"/>
  <c r="AP159" i="104"/>
  <c r="AQ159" i="104"/>
  <c r="AR159" i="104"/>
  <c r="AS159" i="104"/>
  <c r="AU159" i="104"/>
  <c r="AV159" i="104"/>
  <c r="AW159" i="104"/>
  <c r="AX159" i="104"/>
  <c r="AY159" i="104"/>
  <c r="AZ159" i="104"/>
  <c r="BA159" i="104"/>
  <c r="AK160" i="104"/>
  <c r="AL160" i="104"/>
  <c r="AM160" i="104"/>
  <c r="AN160" i="104"/>
  <c r="AO160" i="104"/>
  <c r="AP160" i="104"/>
  <c r="AQ160" i="104"/>
  <c r="AR160" i="104"/>
  <c r="AS160" i="104"/>
  <c r="AU160" i="104"/>
  <c r="AV160" i="104"/>
  <c r="AW160" i="104"/>
  <c r="AX160" i="104"/>
  <c r="AY160" i="104"/>
  <c r="AZ160" i="104"/>
  <c r="BA160" i="104"/>
  <c r="AK161" i="104"/>
  <c r="AL161" i="104"/>
  <c r="AM161" i="104"/>
  <c r="AN161" i="104"/>
  <c r="AO161" i="104"/>
  <c r="AP161" i="104"/>
  <c r="AQ161" i="104"/>
  <c r="AR161" i="104"/>
  <c r="AS161" i="104"/>
  <c r="AU161" i="104"/>
  <c r="AV161" i="104"/>
  <c r="AW161" i="104"/>
  <c r="AX161" i="104"/>
  <c r="AY161" i="104"/>
  <c r="AZ161" i="104"/>
  <c r="BA161" i="104"/>
  <c r="AK162" i="104"/>
  <c r="AL162" i="104"/>
  <c r="AM162" i="104"/>
  <c r="AN162" i="104"/>
  <c r="AO162" i="104"/>
  <c r="AP162" i="104"/>
  <c r="AQ162" i="104"/>
  <c r="AR162" i="104"/>
  <c r="AS162" i="104"/>
  <c r="AU162" i="104"/>
  <c r="AV162" i="104"/>
  <c r="AW162" i="104"/>
  <c r="AX162" i="104"/>
  <c r="AY162" i="104"/>
  <c r="AZ162" i="104"/>
  <c r="BA162" i="104"/>
  <c r="AK163" i="104"/>
  <c r="AL163" i="104"/>
  <c r="AM163" i="104"/>
  <c r="AN163" i="104"/>
  <c r="AO163" i="104"/>
  <c r="AP163" i="104"/>
  <c r="AQ163" i="104"/>
  <c r="AR163" i="104"/>
  <c r="AS163" i="104"/>
  <c r="AU163" i="104"/>
  <c r="AV163" i="104"/>
  <c r="AW163" i="104"/>
  <c r="AX163" i="104"/>
  <c r="AY163" i="104"/>
  <c r="AZ163" i="104"/>
  <c r="BA163" i="104"/>
  <c r="AK164" i="104"/>
  <c r="AL164" i="104"/>
  <c r="AM164" i="104"/>
  <c r="AN164" i="104"/>
  <c r="AO164" i="104"/>
  <c r="AP164" i="104"/>
  <c r="AQ164" i="104"/>
  <c r="AR164" i="104"/>
  <c r="AS164" i="104"/>
  <c r="AU164" i="104"/>
  <c r="AY164" i="104"/>
  <c r="AZ164" i="104"/>
  <c r="BA164" i="104"/>
  <c r="AK165" i="104"/>
  <c r="AL165" i="104"/>
  <c r="AM165" i="104"/>
  <c r="AN165" i="104"/>
  <c r="AO165" i="104"/>
  <c r="AP165" i="104"/>
  <c r="AQ165" i="104"/>
  <c r="AR165" i="104"/>
  <c r="AS165" i="104"/>
  <c r="AU165" i="104"/>
  <c r="AY165" i="104"/>
  <c r="AZ165" i="104"/>
  <c r="BA165" i="104"/>
  <c r="AK166" i="104"/>
  <c r="AL166" i="104"/>
  <c r="AM166" i="104"/>
  <c r="AN166" i="104"/>
  <c r="AO166" i="104"/>
  <c r="AP166" i="104"/>
  <c r="AQ166" i="104"/>
  <c r="AR166" i="104"/>
  <c r="AS166" i="104"/>
  <c r="AU166" i="104"/>
  <c r="AY166" i="104"/>
  <c r="AZ166" i="104"/>
  <c r="BA166" i="104"/>
  <c r="AK167" i="104"/>
  <c r="AL167" i="104"/>
  <c r="AM167" i="104"/>
  <c r="AN167" i="104"/>
  <c r="AO167" i="104"/>
  <c r="AP167" i="104"/>
  <c r="AQ167" i="104"/>
  <c r="AR167" i="104"/>
  <c r="AS167" i="104"/>
  <c r="AU167" i="104"/>
  <c r="AY167" i="104"/>
  <c r="AZ167" i="104"/>
  <c r="BA167" i="104"/>
  <c r="AK168" i="104"/>
  <c r="AL168" i="104"/>
  <c r="AM168" i="104"/>
  <c r="AN168" i="104"/>
  <c r="AO168" i="104"/>
  <c r="AP168" i="104"/>
  <c r="AQ168" i="104"/>
  <c r="AR168" i="104"/>
  <c r="AS168" i="104"/>
  <c r="AU168" i="104"/>
  <c r="AY168" i="104"/>
  <c r="AZ168" i="104"/>
  <c r="BA168" i="104"/>
  <c r="AK169" i="104"/>
  <c r="AL169" i="104"/>
  <c r="AM169" i="104"/>
  <c r="AN169" i="104"/>
  <c r="AO169" i="104"/>
  <c r="AP169" i="104"/>
  <c r="AQ169" i="104"/>
  <c r="AR169" i="104"/>
  <c r="AS169" i="104"/>
  <c r="AU169" i="104"/>
  <c r="AY169" i="104"/>
  <c r="AZ169" i="104"/>
  <c r="BA169" i="104"/>
  <c r="AK170" i="104"/>
  <c r="AL170" i="104"/>
  <c r="AM170" i="104"/>
  <c r="AN170" i="104"/>
  <c r="AO170" i="104"/>
  <c r="AP170" i="104"/>
  <c r="AQ170" i="104"/>
  <c r="AR170" i="104"/>
  <c r="AS170" i="104"/>
  <c r="AU170" i="104"/>
  <c r="AW170" i="104"/>
  <c r="AY170" i="104"/>
  <c r="AZ170" i="104"/>
  <c r="BA170" i="104"/>
  <c r="AK171" i="104"/>
  <c r="AL171" i="104"/>
  <c r="AM171" i="104"/>
  <c r="AN171" i="104"/>
  <c r="AO171" i="104"/>
  <c r="AP171" i="104"/>
  <c r="AQ171" i="104"/>
  <c r="AR171" i="104"/>
  <c r="AS171" i="104"/>
  <c r="AU171" i="104"/>
  <c r="AW171" i="104"/>
  <c r="AY171" i="104"/>
  <c r="AZ171" i="104"/>
  <c r="BA171" i="104"/>
  <c r="AK172" i="104"/>
  <c r="AL172" i="104"/>
  <c r="AM172" i="104"/>
  <c r="AN172" i="104"/>
  <c r="AO172" i="104"/>
  <c r="AP172" i="104"/>
  <c r="AQ172" i="104"/>
  <c r="AR172" i="104"/>
  <c r="AS172" i="104"/>
  <c r="AU172" i="104"/>
  <c r="AW172" i="104"/>
  <c r="AY172" i="104"/>
  <c r="AZ172" i="104"/>
  <c r="BA172" i="104"/>
  <c r="AK174" i="104"/>
  <c r="AL174" i="104"/>
  <c r="AM174" i="104"/>
  <c r="AN174" i="104"/>
  <c r="AO174" i="104"/>
  <c r="AP174" i="104"/>
  <c r="AQ174" i="104"/>
  <c r="AR174" i="104"/>
  <c r="AS174" i="104"/>
  <c r="AU174" i="104"/>
  <c r="AW174" i="104"/>
  <c r="AY174" i="104"/>
  <c r="AZ174" i="104"/>
  <c r="BA174" i="104"/>
  <c r="AK175" i="104"/>
  <c r="AL175" i="104"/>
  <c r="AM175" i="104"/>
  <c r="AN175" i="104"/>
  <c r="AO175" i="104"/>
  <c r="AP175" i="104"/>
  <c r="AQ175" i="104"/>
  <c r="AR175" i="104"/>
  <c r="AS175" i="104"/>
  <c r="AU175" i="104"/>
  <c r="AW175" i="104"/>
  <c r="AY175" i="104"/>
  <c r="AZ175" i="104"/>
  <c r="BA175" i="104"/>
  <c r="AK64" i="104"/>
  <c r="AL64" i="104"/>
  <c r="AM64" i="104"/>
  <c r="AN64" i="104"/>
  <c r="AO64" i="104"/>
  <c r="AP64" i="104"/>
  <c r="AQ64" i="104"/>
  <c r="AR64" i="104"/>
  <c r="AS64" i="104"/>
  <c r="AV64" i="104"/>
  <c r="AW64" i="104"/>
  <c r="AY64" i="104"/>
  <c r="AZ64" i="104"/>
  <c r="BA64" i="104"/>
  <c r="AK65" i="104"/>
  <c r="AL65" i="104"/>
  <c r="AM65" i="104"/>
  <c r="AN65" i="104"/>
  <c r="AO65" i="104"/>
  <c r="AP65" i="104"/>
  <c r="AQ65" i="104"/>
  <c r="AR65" i="104"/>
  <c r="AS65" i="104"/>
  <c r="AY65" i="104"/>
  <c r="AZ65" i="104"/>
  <c r="BA65" i="104"/>
  <c r="AK66" i="104"/>
  <c r="AL66" i="104"/>
  <c r="AM66" i="104"/>
  <c r="AN66" i="104"/>
  <c r="AO66" i="104"/>
  <c r="AP66" i="104"/>
  <c r="AQ66" i="104"/>
  <c r="AR66" i="104"/>
  <c r="AS66" i="104"/>
  <c r="AY66" i="104"/>
  <c r="AZ66" i="104"/>
  <c r="BA66" i="104"/>
  <c r="AK67" i="104"/>
  <c r="AL67" i="104"/>
  <c r="AM67" i="104"/>
  <c r="AN67" i="104"/>
  <c r="AO67" i="104"/>
  <c r="AP67" i="104"/>
  <c r="AQ67" i="104"/>
  <c r="AR67" i="104"/>
  <c r="AS67" i="104"/>
  <c r="AY67" i="104"/>
  <c r="AZ67" i="104"/>
  <c r="BA67" i="104"/>
  <c r="AK68" i="104"/>
  <c r="AL68" i="104"/>
  <c r="AM68" i="104"/>
  <c r="AN68" i="104"/>
  <c r="AO68" i="104"/>
  <c r="AP68" i="104"/>
  <c r="AQ68" i="104"/>
  <c r="AR68" i="104"/>
  <c r="AS68" i="104"/>
  <c r="AY68" i="104"/>
  <c r="AZ68" i="104"/>
  <c r="BA68" i="104"/>
  <c r="AK69" i="104"/>
  <c r="AL69" i="104"/>
  <c r="AM69" i="104"/>
  <c r="AN69" i="104"/>
  <c r="AO69" i="104"/>
  <c r="AP69" i="104"/>
  <c r="AQ69" i="104"/>
  <c r="AR69" i="104"/>
  <c r="AS69" i="104"/>
  <c r="AY69" i="104"/>
  <c r="AZ69" i="104"/>
  <c r="BA69" i="104"/>
  <c r="AK70" i="104"/>
  <c r="AL70" i="104"/>
  <c r="AM70" i="104"/>
  <c r="AN70" i="104"/>
  <c r="AO70" i="104"/>
  <c r="AP70" i="104"/>
  <c r="AQ70" i="104"/>
  <c r="AR70" i="104"/>
  <c r="AS70" i="104"/>
  <c r="AY70" i="104"/>
  <c r="AZ70" i="104"/>
  <c r="BA70" i="104"/>
  <c r="AK71" i="104"/>
  <c r="AL71" i="104"/>
  <c r="AM71" i="104"/>
  <c r="AN71" i="104"/>
  <c r="AO71" i="104"/>
  <c r="AP71" i="104"/>
  <c r="AQ71" i="104"/>
  <c r="AR71" i="104"/>
  <c r="AS71" i="104"/>
  <c r="AY71" i="104"/>
  <c r="AZ71" i="104"/>
  <c r="BA71" i="104"/>
  <c r="AK72" i="104"/>
  <c r="AL72" i="104"/>
  <c r="AM72" i="104"/>
  <c r="AN72" i="104"/>
  <c r="AO72" i="104"/>
  <c r="AP72" i="104"/>
  <c r="AQ72" i="104"/>
  <c r="AR72" i="104"/>
  <c r="AS72" i="104"/>
  <c r="AY72" i="104"/>
  <c r="AZ72" i="104"/>
  <c r="BA72" i="104"/>
  <c r="AK73" i="104"/>
  <c r="AL73" i="104"/>
  <c r="AM73" i="104"/>
  <c r="AN73" i="104"/>
  <c r="AO73" i="104"/>
  <c r="AP73" i="104"/>
  <c r="AQ73" i="104"/>
  <c r="AR73" i="104"/>
  <c r="AS73" i="104"/>
  <c r="AY73" i="104"/>
  <c r="AZ73" i="104"/>
  <c r="BA73" i="104"/>
  <c r="AK74" i="104"/>
  <c r="AL74" i="104"/>
  <c r="AM74" i="104"/>
  <c r="AN74" i="104"/>
  <c r="AO74" i="104"/>
  <c r="AP74" i="104"/>
  <c r="AQ74" i="104"/>
  <c r="AR74" i="104"/>
  <c r="AS74" i="104"/>
  <c r="AY74" i="104"/>
  <c r="AZ74" i="104"/>
  <c r="BA74" i="104"/>
  <c r="AK75" i="104"/>
  <c r="AL75" i="104"/>
  <c r="AM75" i="104"/>
  <c r="AN75" i="104"/>
  <c r="AO75" i="104"/>
  <c r="AP75" i="104"/>
  <c r="AQ75" i="104"/>
  <c r="AR75" i="104"/>
  <c r="AS75" i="104"/>
  <c r="AY75" i="104"/>
  <c r="AZ75" i="104"/>
  <c r="BA75" i="104"/>
  <c r="AK76" i="104"/>
  <c r="AL76" i="104"/>
  <c r="AM76" i="104"/>
  <c r="AN76" i="104"/>
  <c r="AO76" i="104"/>
  <c r="AP76" i="104"/>
  <c r="AQ76" i="104"/>
  <c r="AR76" i="104"/>
  <c r="AS76" i="104"/>
  <c r="AY76" i="104"/>
  <c r="AZ76" i="104"/>
  <c r="BA76" i="104"/>
  <c r="AK77" i="104"/>
  <c r="AL77" i="104"/>
  <c r="AM77" i="104"/>
  <c r="AN77" i="104"/>
  <c r="AO77" i="104"/>
  <c r="AP77" i="104"/>
  <c r="AQ77" i="104"/>
  <c r="AR77" i="104"/>
  <c r="AS77" i="104"/>
  <c r="AY77" i="104"/>
  <c r="AZ77" i="104"/>
  <c r="BA77" i="104"/>
  <c r="AK78" i="104"/>
  <c r="AL78" i="104"/>
  <c r="AM78" i="104"/>
  <c r="AN78" i="104"/>
  <c r="AO78" i="104"/>
  <c r="AP78" i="104"/>
  <c r="AQ78" i="104"/>
  <c r="AR78" i="104"/>
  <c r="AS78" i="104"/>
  <c r="AY78" i="104"/>
  <c r="AZ78" i="104"/>
  <c r="BA78" i="104"/>
  <c r="AK79" i="104"/>
  <c r="AL79" i="104"/>
  <c r="AM79" i="104"/>
  <c r="AN79" i="104"/>
  <c r="AO79" i="104"/>
  <c r="AP79" i="104"/>
  <c r="AQ79" i="104"/>
  <c r="AR79" i="104"/>
  <c r="AS79" i="104"/>
  <c r="AY79" i="104"/>
  <c r="AZ79" i="104"/>
  <c r="BA79" i="104"/>
  <c r="AK80" i="104"/>
  <c r="AL80" i="104"/>
  <c r="AM80" i="104"/>
  <c r="AN80" i="104"/>
  <c r="AO80" i="104"/>
  <c r="AP80" i="104"/>
  <c r="AQ80" i="104"/>
  <c r="AR80" i="104"/>
  <c r="AS80" i="104"/>
  <c r="AY80" i="104"/>
  <c r="AZ80" i="104"/>
  <c r="BA80" i="104"/>
  <c r="AK81" i="104"/>
  <c r="AL81" i="104"/>
  <c r="AM81" i="104"/>
  <c r="AN81" i="104"/>
  <c r="AO81" i="104"/>
  <c r="AP81" i="104"/>
  <c r="AQ81" i="104"/>
  <c r="AR81" i="104"/>
  <c r="AS81" i="104"/>
  <c r="AY81" i="104"/>
  <c r="AZ81" i="104"/>
  <c r="BA81" i="104"/>
  <c r="AK82" i="104"/>
  <c r="AL82" i="104"/>
  <c r="AM82" i="104"/>
  <c r="AN82" i="104"/>
  <c r="AO82" i="104"/>
  <c r="AP82" i="104"/>
  <c r="AQ82" i="104"/>
  <c r="AR82" i="104"/>
  <c r="AS82" i="104"/>
  <c r="AY82" i="104"/>
  <c r="AZ82" i="104"/>
  <c r="BA82" i="104"/>
  <c r="AK83" i="104"/>
  <c r="AL83" i="104"/>
  <c r="AM83" i="104"/>
  <c r="AN83" i="104"/>
  <c r="AO83" i="104"/>
  <c r="AP83" i="104"/>
  <c r="AQ83" i="104"/>
  <c r="AR83" i="104"/>
  <c r="AS83" i="104"/>
  <c r="AY83" i="104"/>
  <c r="AZ83" i="104"/>
  <c r="BA83" i="104"/>
  <c r="AK84" i="104"/>
  <c r="AL84" i="104"/>
  <c r="AM84" i="104"/>
  <c r="AN84" i="104"/>
  <c r="AO84" i="104"/>
  <c r="AP84" i="104"/>
  <c r="AQ84" i="104"/>
  <c r="AR84" i="104"/>
  <c r="AS84" i="104"/>
  <c r="AY84" i="104"/>
  <c r="AZ84" i="104"/>
  <c r="BA84" i="104"/>
  <c r="AK85" i="104"/>
  <c r="AL85" i="104"/>
  <c r="AM85" i="104"/>
  <c r="AN85" i="104"/>
  <c r="AO85" i="104"/>
  <c r="AP85" i="104"/>
  <c r="AQ85" i="104"/>
  <c r="AR85" i="104"/>
  <c r="AS85" i="104"/>
  <c r="AY85" i="104"/>
  <c r="AZ85" i="104"/>
  <c r="BA85" i="104"/>
  <c r="AK86" i="104"/>
  <c r="AL86" i="104"/>
  <c r="AM86" i="104"/>
  <c r="AN86" i="104"/>
  <c r="AO86" i="104"/>
  <c r="AP86" i="104"/>
  <c r="AQ86" i="104"/>
  <c r="AR86" i="104"/>
  <c r="AS86" i="104"/>
  <c r="AY86" i="104"/>
  <c r="AZ86" i="104"/>
  <c r="BA86" i="104"/>
  <c r="AK87" i="104"/>
  <c r="AL87" i="104"/>
  <c r="AM87" i="104"/>
  <c r="AN87" i="104"/>
  <c r="AO87" i="104"/>
  <c r="AP87" i="104"/>
  <c r="AQ87" i="104"/>
  <c r="AR87" i="104"/>
  <c r="AS87" i="104"/>
  <c r="AY87" i="104"/>
  <c r="AZ87" i="104"/>
  <c r="BA87" i="104"/>
  <c r="AK88" i="104"/>
  <c r="AL88" i="104"/>
  <c r="AM88" i="104"/>
  <c r="AN88" i="104"/>
  <c r="AO88" i="104"/>
  <c r="AP88" i="104"/>
  <c r="AQ88" i="104"/>
  <c r="AR88" i="104"/>
  <c r="AS88" i="104"/>
  <c r="AY88" i="104"/>
  <c r="AZ88" i="104"/>
  <c r="BA88" i="104"/>
  <c r="AK89" i="104"/>
  <c r="AL89" i="104"/>
  <c r="AM89" i="104"/>
  <c r="AN89" i="104"/>
  <c r="AO89" i="104"/>
  <c r="AP89" i="104"/>
  <c r="AQ89" i="104"/>
  <c r="AR89" i="104"/>
  <c r="AS89" i="104"/>
  <c r="AV89" i="104"/>
  <c r="AW89" i="104"/>
  <c r="AY89" i="104"/>
  <c r="AZ89" i="104"/>
  <c r="BA89" i="104"/>
  <c r="AK90" i="104"/>
  <c r="AL90" i="104"/>
  <c r="AM90" i="104"/>
  <c r="AN90" i="104"/>
  <c r="AO90" i="104"/>
  <c r="AP90" i="104"/>
  <c r="AQ90" i="104"/>
  <c r="AR90" i="104"/>
  <c r="AS90" i="104"/>
  <c r="AV90" i="104"/>
  <c r="AW90" i="104"/>
  <c r="AY90" i="104"/>
  <c r="AZ90" i="104"/>
  <c r="BA90" i="104"/>
  <c r="AK91" i="104"/>
  <c r="AL91" i="104"/>
  <c r="AM91" i="104"/>
  <c r="AN91" i="104"/>
  <c r="AO91" i="104"/>
  <c r="AP91" i="104"/>
  <c r="AQ91" i="104"/>
  <c r="AR91" i="104"/>
  <c r="AS91" i="104"/>
  <c r="AV91" i="104"/>
  <c r="AW91" i="104"/>
  <c r="AY91" i="104"/>
  <c r="AZ91" i="104"/>
  <c r="AK92" i="104"/>
  <c r="AL92" i="104"/>
  <c r="AM92" i="104"/>
  <c r="AN92" i="104"/>
  <c r="AO92" i="104"/>
  <c r="AP92" i="104"/>
  <c r="AQ92" i="104"/>
  <c r="AR92" i="104"/>
  <c r="AS92" i="104"/>
  <c r="AV92" i="104"/>
  <c r="AW92" i="104"/>
  <c r="AY92" i="104"/>
  <c r="AZ92" i="104"/>
  <c r="AK93" i="104"/>
  <c r="AL93" i="104"/>
  <c r="AM93" i="104"/>
  <c r="AN93" i="104"/>
  <c r="AO93" i="104"/>
  <c r="AP93" i="104"/>
  <c r="AQ93" i="104"/>
  <c r="AR93" i="104"/>
  <c r="AS93" i="104"/>
  <c r="AV93" i="104"/>
  <c r="AW93" i="104"/>
  <c r="AY93" i="104"/>
  <c r="AZ93" i="104"/>
  <c r="AK94" i="104"/>
  <c r="AL94" i="104"/>
  <c r="AM94" i="104"/>
  <c r="AN94" i="104"/>
  <c r="AO94" i="104"/>
  <c r="AP94" i="104"/>
  <c r="AQ94" i="104"/>
  <c r="AR94" i="104"/>
  <c r="AS94" i="104"/>
  <c r="AV94" i="104"/>
  <c r="AW94" i="104"/>
  <c r="AY94" i="104"/>
  <c r="AZ94" i="104"/>
  <c r="AK95" i="104"/>
  <c r="AL95" i="104"/>
  <c r="AM95" i="104"/>
  <c r="AN95" i="104"/>
  <c r="AO95" i="104"/>
  <c r="AP95" i="104"/>
  <c r="AQ95" i="104"/>
  <c r="AR95" i="104"/>
  <c r="AS95" i="104"/>
  <c r="AV95" i="104"/>
  <c r="AW95" i="104"/>
  <c r="AY95" i="104"/>
  <c r="AZ95" i="104"/>
  <c r="AK96" i="104"/>
  <c r="AL96" i="104"/>
  <c r="AM96" i="104"/>
  <c r="AN96" i="104"/>
  <c r="AO96" i="104"/>
  <c r="AP96" i="104"/>
  <c r="AQ96" i="104"/>
  <c r="AR96" i="104"/>
  <c r="AS96" i="104"/>
  <c r="AV96" i="104"/>
  <c r="AW96" i="104"/>
  <c r="AY96" i="104"/>
  <c r="AZ96" i="104"/>
  <c r="AK97" i="104"/>
  <c r="AL97" i="104"/>
  <c r="AM97" i="104"/>
  <c r="AN97" i="104"/>
  <c r="AO97" i="104"/>
  <c r="AP97" i="104"/>
  <c r="AQ97" i="104"/>
  <c r="AR97" i="104"/>
  <c r="AS97" i="104"/>
  <c r="AV97" i="104"/>
  <c r="AW97" i="104"/>
  <c r="AY97" i="104"/>
  <c r="AZ97" i="104"/>
  <c r="AK98" i="104"/>
  <c r="AL98" i="104"/>
  <c r="AM98" i="104"/>
  <c r="AN98" i="104"/>
  <c r="AO98" i="104"/>
  <c r="AP98" i="104"/>
  <c r="AQ98" i="104"/>
  <c r="AR98" i="104"/>
  <c r="AS98" i="104"/>
  <c r="AV98" i="104"/>
  <c r="AW98" i="104"/>
  <c r="AY98" i="104"/>
  <c r="AZ98" i="104"/>
  <c r="AK99" i="104"/>
  <c r="AL99" i="104"/>
  <c r="AM99" i="104"/>
  <c r="AN99" i="104"/>
  <c r="AO99" i="104"/>
  <c r="AP99" i="104"/>
  <c r="AQ99" i="104"/>
  <c r="AR99" i="104"/>
  <c r="AS99" i="104"/>
  <c r="AV99" i="104"/>
  <c r="AW99" i="104"/>
  <c r="AY99" i="104"/>
  <c r="AZ99" i="104"/>
  <c r="BA99" i="104"/>
  <c r="AK100" i="104"/>
  <c r="AL100" i="104"/>
  <c r="AM100" i="104"/>
  <c r="AN100" i="104"/>
  <c r="AO100" i="104"/>
  <c r="AP100" i="104"/>
  <c r="AQ100" i="104"/>
  <c r="AR100" i="104"/>
  <c r="AS100" i="104"/>
  <c r="AV100" i="104"/>
  <c r="AW100" i="104"/>
  <c r="AY100" i="104"/>
  <c r="AZ100" i="104"/>
  <c r="BA100" i="104"/>
  <c r="AK101" i="104"/>
  <c r="AL101" i="104"/>
  <c r="AM101" i="104"/>
  <c r="AN101" i="104"/>
  <c r="AO101" i="104"/>
  <c r="AP101" i="104"/>
  <c r="AQ101" i="104"/>
  <c r="AR101" i="104"/>
  <c r="AS101" i="104"/>
  <c r="AV101" i="104"/>
  <c r="AW101" i="104"/>
  <c r="AY101" i="104"/>
  <c r="AZ101" i="104"/>
  <c r="BA101" i="104"/>
  <c r="AK102" i="104"/>
  <c r="AL102" i="104"/>
  <c r="AM102" i="104"/>
  <c r="AN102" i="104"/>
  <c r="AO102" i="104"/>
  <c r="AP102" i="104"/>
  <c r="AQ102" i="104"/>
  <c r="AR102" i="104"/>
  <c r="AS102" i="104"/>
  <c r="AV102" i="104"/>
  <c r="AW102" i="104"/>
  <c r="AY102" i="104"/>
  <c r="AZ102" i="104"/>
  <c r="BA102" i="104"/>
  <c r="AK103" i="104"/>
  <c r="AL103" i="104"/>
  <c r="AM103" i="104"/>
  <c r="AN103" i="104"/>
  <c r="AO103" i="104"/>
  <c r="AP103" i="104"/>
  <c r="AQ103" i="104"/>
  <c r="AR103" i="104"/>
  <c r="AS103" i="104"/>
  <c r="AV103" i="104"/>
  <c r="AW103" i="104"/>
  <c r="AY103" i="104"/>
  <c r="AZ103" i="104"/>
  <c r="BA103" i="104"/>
  <c r="AK104" i="104"/>
  <c r="AL104" i="104"/>
  <c r="AM104" i="104"/>
  <c r="AN104" i="104"/>
  <c r="AO104" i="104"/>
  <c r="AP104" i="104"/>
  <c r="AQ104" i="104"/>
  <c r="AR104" i="104"/>
  <c r="AS104" i="104"/>
  <c r="AV104" i="104"/>
  <c r="AW104" i="104"/>
  <c r="AY104" i="104"/>
  <c r="AZ104" i="104"/>
  <c r="BA104" i="104"/>
  <c r="AK105" i="104"/>
  <c r="AL105" i="104"/>
  <c r="AM105" i="104"/>
  <c r="AN105" i="104"/>
  <c r="AO105" i="104"/>
  <c r="AP105" i="104"/>
  <c r="AQ105" i="104"/>
  <c r="AR105" i="104"/>
  <c r="AS105" i="104"/>
  <c r="AV105" i="104"/>
  <c r="AW105" i="104"/>
  <c r="AY105" i="104"/>
  <c r="AZ105" i="104"/>
  <c r="BA105" i="104"/>
  <c r="AK106" i="104"/>
  <c r="AL106" i="104"/>
  <c r="AM106" i="104"/>
  <c r="AN106" i="104"/>
  <c r="AO106" i="104"/>
  <c r="AP106" i="104"/>
  <c r="AQ106" i="104"/>
  <c r="AR106" i="104"/>
  <c r="AS106" i="104"/>
  <c r="AV106" i="104"/>
  <c r="AW106" i="104"/>
  <c r="AY106" i="104"/>
  <c r="AZ106" i="104"/>
  <c r="BA106" i="104"/>
  <c r="AK107" i="104"/>
  <c r="AL107" i="104"/>
  <c r="AM107" i="104"/>
  <c r="AN107" i="104"/>
  <c r="AO107" i="104"/>
  <c r="AP107" i="104"/>
  <c r="AQ107" i="104"/>
  <c r="AR107" i="104"/>
  <c r="AS107" i="104"/>
  <c r="AY107" i="104"/>
  <c r="AZ107" i="104"/>
  <c r="BA107" i="104"/>
  <c r="AK108" i="104"/>
  <c r="AL108" i="104"/>
  <c r="AM108" i="104"/>
  <c r="AN108" i="104"/>
  <c r="AO108" i="104"/>
  <c r="AP108" i="104"/>
  <c r="AQ108" i="104"/>
  <c r="AR108" i="104"/>
  <c r="AS108" i="104"/>
  <c r="AY108" i="104"/>
  <c r="AZ108" i="104"/>
  <c r="BA108" i="104"/>
  <c r="AK109" i="104"/>
  <c r="AL109" i="104"/>
  <c r="AM109" i="104"/>
  <c r="AN109" i="104"/>
  <c r="AO109" i="104"/>
  <c r="AP109" i="104"/>
  <c r="AQ109" i="104"/>
  <c r="AR109" i="104"/>
  <c r="AS109" i="104"/>
  <c r="AY109" i="104"/>
  <c r="AZ109" i="104"/>
  <c r="BA109" i="104"/>
  <c r="AK110" i="104"/>
  <c r="AL110" i="104"/>
  <c r="AM110" i="104"/>
  <c r="AN110" i="104"/>
  <c r="AO110" i="104"/>
  <c r="AP110" i="104"/>
  <c r="AQ110" i="104"/>
  <c r="AR110" i="104"/>
  <c r="AS110" i="104"/>
  <c r="AY110" i="104"/>
  <c r="AZ110" i="104"/>
  <c r="BA110" i="104"/>
  <c r="AK111" i="104"/>
  <c r="AL111" i="104"/>
  <c r="AM111" i="104"/>
  <c r="AN111" i="104"/>
  <c r="AO111" i="104"/>
  <c r="AP111" i="104"/>
  <c r="AQ111" i="104"/>
  <c r="AR111" i="104"/>
  <c r="AS111" i="104"/>
  <c r="AY111" i="104"/>
  <c r="AZ111" i="104"/>
  <c r="BA111" i="104"/>
  <c r="AK112" i="104"/>
  <c r="AL112" i="104"/>
  <c r="AM112" i="104"/>
  <c r="AN112" i="104"/>
  <c r="AO112" i="104"/>
  <c r="AP112" i="104"/>
  <c r="AQ112" i="104"/>
  <c r="AR112" i="104"/>
  <c r="AS112" i="104"/>
  <c r="AY112" i="104"/>
  <c r="AZ112" i="104"/>
  <c r="BA112" i="104"/>
  <c r="AK113" i="104"/>
  <c r="AL113" i="104"/>
  <c r="AM113" i="104"/>
  <c r="AN113" i="104"/>
  <c r="AO113" i="104"/>
  <c r="AP113" i="104"/>
  <c r="AQ113" i="104"/>
  <c r="AR113" i="104"/>
  <c r="AS113" i="104"/>
  <c r="AW113" i="104"/>
  <c r="AY113" i="104"/>
  <c r="AZ113" i="104"/>
  <c r="BA113" i="104"/>
  <c r="AK114" i="104"/>
  <c r="AL114" i="104"/>
  <c r="AM114" i="104"/>
  <c r="AN114" i="104"/>
  <c r="AO114" i="104"/>
  <c r="AP114" i="104"/>
  <c r="AQ114" i="104"/>
  <c r="AR114" i="104"/>
  <c r="AS114" i="104"/>
  <c r="AW114" i="104"/>
  <c r="AY114" i="104"/>
  <c r="AZ114" i="104"/>
  <c r="BA114" i="104"/>
  <c r="AK115" i="104"/>
  <c r="AL115" i="104"/>
  <c r="AM115" i="104"/>
  <c r="AN115" i="104"/>
  <c r="AO115" i="104"/>
  <c r="AP115" i="104"/>
  <c r="AQ115" i="104"/>
  <c r="AR115" i="104"/>
  <c r="AS115" i="104"/>
  <c r="AW115" i="104"/>
  <c r="AY115" i="104"/>
  <c r="AZ115" i="104"/>
  <c r="BA115" i="104"/>
  <c r="AK117" i="104"/>
  <c r="AL117" i="104"/>
  <c r="AM117" i="104"/>
  <c r="AN117" i="104"/>
  <c r="AO117" i="104"/>
  <c r="AP117" i="104"/>
  <c r="AQ117" i="104"/>
  <c r="AR117" i="104"/>
  <c r="AS117" i="104"/>
  <c r="AW117" i="104"/>
  <c r="AY117" i="104"/>
  <c r="AZ117" i="104"/>
  <c r="BA117" i="104"/>
  <c r="AK118" i="104"/>
  <c r="AL118" i="104"/>
  <c r="AM118" i="104"/>
  <c r="AN118" i="104"/>
  <c r="AO118" i="104"/>
  <c r="AP118" i="104"/>
  <c r="AQ118" i="104"/>
  <c r="AR118" i="104"/>
  <c r="AS118" i="104"/>
  <c r="AW118" i="104"/>
  <c r="AY118" i="104"/>
  <c r="AZ118" i="104"/>
  <c r="BA118" i="104"/>
  <c r="AX175" i="104"/>
  <c r="AX174" i="104"/>
  <c r="AX171" i="104"/>
  <c r="AV118" i="104"/>
  <c r="AV172" i="104"/>
  <c r="AV171" i="104"/>
  <c r="AX170" i="104"/>
  <c r="AX169" i="104"/>
  <c r="AX168" i="104"/>
  <c r="AW169" i="104"/>
  <c r="AW111" i="104"/>
  <c r="AW110" i="104"/>
  <c r="AV112" i="104"/>
  <c r="AV168" i="104"/>
  <c r="AV167" i="104"/>
  <c r="AX166" i="104"/>
  <c r="AX165" i="104"/>
  <c r="AX146" i="104"/>
  <c r="AX140" i="104"/>
  <c r="AX139" i="104"/>
  <c r="AX138" i="104"/>
  <c r="AX137" i="104"/>
  <c r="AX136" i="104"/>
  <c r="AX135" i="104"/>
  <c r="AX132" i="104"/>
  <c r="AX131" i="104"/>
  <c r="AW132" i="104"/>
  <c r="AW131" i="104"/>
  <c r="AX129" i="104"/>
  <c r="AX128" i="104"/>
  <c r="AX126" i="104"/>
  <c r="AW129" i="104"/>
  <c r="AW71" i="104"/>
  <c r="AW127" i="104"/>
  <c r="AW126" i="104"/>
  <c r="AV174" i="104"/>
  <c r="AV170" i="104"/>
  <c r="AW166" i="104"/>
  <c r="AV109" i="104"/>
  <c r="AW108" i="104"/>
  <c r="AW164" i="104"/>
  <c r="AV164" i="104"/>
  <c r="AV165" i="104"/>
  <c r="AW83" i="104"/>
  <c r="AV139" i="104"/>
  <c r="AV138" i="104"/>
  <c r="AV137" i="104"/>
  <c r="AV136" i="104"/>
  <c r="AV135" i="104"/>
  <c r="AV75" i="104"/>
  <c r="AV74" i="104"/>
  <c r="AV72" i="104"/>
  <c r="AV128" i="104"/>
  <c r="AV127" i="104"/>
  <c r="AV126" i="104"/>
  <c r="DR6" i="148" l="1"/>
  <c r="EZ44" i="104"/>
  <c r="EZ36" i="104"/>
  <c r="EZ18" i="104"/>
  <c r="EZ14" i="104"/>
  <c r="EZ58" i="104"/>
  <c r="EZ47" i="104"/>
  <c r="EZ39" i="104"/>
  <c r="EZ31" i="104"/>
  <c r="EZ46" i="104"/>
  <c r="EZ38" i="104"/>
  <c r="EZ15" i="104"/>
  <c r="EZ45" i="104"/>
  <c r="EZ43" i="104"/>
  <c r="EZ35" i="104"/>
  <c r="EZ17" i="104"/>
  <c r="EZ13" i="104"/>
  <c r="DX7" i="104"/>
  <c r="EZ49" i="104"/>
  <c r="EZ11" i="104"/>
  <c r="EZ42" i="104"/>
  <c r="EZ34" i="104"/>
  <c r="EZ10" i="104"/>
  <c r="DW7" i="104"/>
  <c r="EZ48" i="104"/>
  <c r="EZ40" i="104"/>
  <c r="EZ32" i="104"/>
  <c r="EZ16" i="104"/>
  <c r="EZ12" i="104"/>
  <c r="DT9" i="104"/>
  <c r="DU8" i="104"/>
  <c r="DX33" i="104"/>
  <c r="DM9" i="104"/>
  <c r="DT8" i="104"/>
  <c r="EO10" i="104"/>
  <c r="DZ9" i="104"/>
  <c r="DF9" i="104"/>
  <c r="DM8" i="104"/>
  <c r="EH8" i="104"/>
  <c r="EO9" i="104"/>
  <c r="DY9" i="104"/>
  <c r="DZ8" i="104"/>
  <c r="DF8" i="104"/>
  <c r="DW33" i="104"/>
  <c r="EO8" i="104"/>
  <c r="DY8" i="104"/>
  <c r="DX8" i="104"/>
  <c r="EA8" i="104"/>
  <c r="DW8" i="104"/>
  <c r="BQ10" i="104"/>
  <c r="DN10" i="104" s="1"/>
  <c r="BQ9" i="104"/>
  <c r="DN9" i="104" s="1"/>
  <c r="BQ61" i="104"/>
  <c r="BR61" i="104" s="1"/>
  <c r="BS61" i="104" s="1"/>
  <c r="BT61" i="104" s="1"/>
  <c r="BU61" i="104" s="1"/>
  <c r="BV61" i="104" s="1"/>
  <c r="BQ52" i="104"/>
  <c r="BR52" i="104" s="1"/>
  <c r="BS52" i="104" s="1"/>
  <c r="BT52" i="104" s="1"/>
  <c r="BU52" i="104" s="1"/>
  <c r="BV52" i="104" s="1"/>
  <c r="BQ44" i="104"/>
  <c r="DN44" i="104" s="1"/>
  <c r="BQ36" i="104"/>
  <c r="DN36" i="104" s="1"/>
  <c r="BQ26" i="104"/>
  <c r="BR26" i="104" s="1"/>
  <c r="BS26" i="104" s="1"/>
  <c r="BT26" i="104" s="1"/>
  <c r="BU26" i="104" s="1"/>
  <c r="BV26" i="104" s="1"/>
  <c r="BQ18" i="104"/>
  <c r="DN18" i="104" s="1"/>
  <c r="BQ14" i="104"/>
  <c r="DN14" i="104" s="1"/>
  <c r="BQ60" i="104"/>
  <c r="BR60" i="104" s="1"/>
  <c r="BS60" i="104" s="1"/>
  <c r="BT60" i="104" s="1"/>
  <c r="BU60" i="104" s="1"/>
  <c r="BV60" i="104" s="1"/>
  <c r="BQ51" i="104"/>
  <c r="BR51" i="104" s="1"/>
  <c r="BS51" i="104" s="1"/>
  <c r="BT51" i="104" s="1"/>
  <c r="BU51" i="104" s="1"/>
  <c r="BV51" i="104" s="1"/>
  <c r="BQ43" i="104"/>
  <c r="DN43" i="104" s="1"/>
  <c r="BQ35" i="104"/>
  <c r="DN35" i="104" s="1"/>
  <c r="BQ25" i="104"/>
  <c r="BR25" i="104" s="1"/>
  <c r="BS25" i="104" s="1"/>
  <c r="BT25" i="104" s="1"/>
  <c r="BU25" i="104" s="1"/>
  <c r="BV25" i="104" s="1"/>
  <c r="BQ11" i="104"/>
  <c r="DN11" i="104" s="1"/>
  <c r="BQ58" i="104"/>
  <c r="DN58" i="104" s="1"/>
  <c r="BQ50" i="104"/>
  <c r="BR50" i="104" s="1"/>
  <c r="BS50" i="104" s="1"/>
  <c r="BT50" i="104" s="1"/>
  <c r="BU50" i="104" s="1"/>
  <c r="BV50" i="104" s="1"/>
  <c r="BQ42" i="104"/>
  <c r="DN42" i="104" s="1"/>
  <c r="BQ34" i="104"/>
  <c r="DN34" i="104" s="1"/>
  <c r="BQ24" i="104"/>
  <c r="BR24" i="104" s="1"/>
  <c r="BS24" i="104" s="1"/>
  <c r="BT24" i="104" s="1"/>
  <c r="BU24" i="104" s="1"/>
  <c r="BV24" i="104" s="1"/>
  <c r="BQ17" i="104"/>
  <c r="DN17" i="104" s="1"/>
  <c r="BQ13" i="104"/>
  <c r="DN13" i="104" s="1"/>
  <c r="BQ57" i="104"/>
  <c r="BR57" i="104" s="1"/>
  <c r="BS57" i="104" s="1"/>
  <c r="BT57" i="104" s="1"/>
  <c r="BU57" i="104" s="1"/>
  <c r="BV57" i="104" s="1"/>
  <c r="BQ49" i="104"/>
  <c r="DN49" i="104" s="1"/>
  <c r="BQ41" i="104"/>
  <c r="BR41" i="104" s="1"/>
  <c r="BS41" i="104" s="1"/>
  <c r="BT41" i="104" s="1"/>
  <c r="BU41" i="104" s="1"/>
  <c r="BV41" i="104" s="1"/>
  <c r="BQ33" i="104"/>
  <c r="DN33" i="104" s="1"/>
  <c r="BQ23" i="104"/>
  <c r="BR23" i="104" s="1"/>
  <c r="BS23" i="104" s="1"/>
  <c r="BT23" i="104" s="1"/>
  <c r="BU23" i="104" s="1"/>
  <c r="BV23" i="104" s="1"/>
  <c r="BQ56" i="104"/>
  <c r="BR56" i="104" s="1"/>
  <c r="BS56" i="104" s="1"/>
  <c r="BT56" i="104" s="1"/>
  <c r="BU56" i="104" s="1"/>
  <c r="BV56" i="104" s="1"/>
  <c r="BQ48" i="104"/>
  <c r="DN48" i="104" s="1"/>
  <c r="BQ40" i="104"/>
  <c r="DN40" i="104" s="1"/>
  <c r="BQ32" i="104"/>
  <c r="DN32" i="104" s="1"/>
  <c r="BQ22" i="104"/>
  <c r="BR22" i="104" s="1"/>
  <c r="BS22" i="104" s="1"/>
  <c r="BT22" i="104" s="1"/>
  <c r="BU22" i="104" s="1"/>
  <c r="BV22" i="104" s="1"/>
  <c r="BQ16" i="104"/>
  <c r="DN16" i="104" s="1"/>
  <c r="BQ12" i="104"/>
  <c r="DN12" i="104" s="1"/>
  <c r="BQ55" i="104"/>
  <c r="BR55" i="104" s="1"/>
  <c r="BS55" i="104" s="1"/>
  <c r="BT55" i="104" s="1"/>
  <c r="BU55" i="104" s="1"/>
  <c r="BV55" i="104" s="1"/>
  <c r="BQ47" i="104"/>
  <c r="DN47" i="104" s="1"/>
  <c r="BQ39" i="104"/>
  <c r="DN39" i="104" s="1"/>
  <c r="BQ31" i="104"/>
  <c r="DN31" i="104" s="1"/>
  <c r="BQ21" i="104"/>
  <c r="BR21" i="104" s="1"/>
  <c r="BS21" i="104" s="1"/>
  <c r="BT21" i="104" s="1"/>
  <c r="BU21" i="104" s="1"/>
  <c r="BV21" i="104" s="1"/>
  <c r="BQ8" i="104"/>
  <c r="DN8" i="104" s="1"/>
  <c r="BQ54" i="104"/>
  <c r="BR54" i="104" s="1"/>
  <c r="BS54" i="104" s="1"/>
  <c r="BT54" i="104" s="1"/>
  <c r="BU54" i="104" s="1"/>
  <c r="BV54" i="104" s="1"/>
  <c r="BQ46" i="104"/>
  <c r="DN46" i="104" s="1"/>
  <c r="BQ38" i="104"/>
  <c r="DN38" i="104" s="1"/>
  <c r="BQ30" i="104"/>
  <c r="BR30" i="104" s="1"/>
  <c r="BS30" i="104" s="1"/>
  <c r="BT30" i="104" s="1"/>
  <c r="BU30" i="104" s="1"/>
  <c r="BV30" i="104" s="1"/>
  <c r="BQ20" i="104"/>
  <c r="BR20" i="104" s="1"/>
  <c r="BS20" i="104" s="1"/>
  <c r="BT20" i="104" s="1"/>
  <c r="BU20" i="104" s="1"/>
  <c r="BV20" i="104" s="1"/>
  <c r="BQ15" i="104"/>
  <c r="DN15" i="104" s="1"/>
  <c r="BQ7" i="104"/>
  <c r="DN7" i="104" s="1"/>
  <c r="BQ53" i="104"/>
  <c r="BR53" i="104" s="1"/>
  <c r="BS53" i="104" s="1"/>
  <c r="BT53" i="104" s="1"/>
  <c r="BU53" i="104" s="1"/>
  <c r="BV53" i="104" s="1"/>
  <c r="BQ45" i="104"/>
  <c r="DN45" i="104" s="1"/>
  <c r="BQ37" i="104"/>
  <c r="BR37" i="104" s="1"/>
  <c r="BS37" i="104" s="1"/>
  <c r="BT37" i="104" s="1"/>
  <c r="BU37" i="104" s="1"/>
  <c r="BV37" i="104" s="1"/>
  <c r="BQ29" i="104"/>
  <c r="BR29" i="104" s="1"/>
  <c r="BS29" i="104" s="1"/>
  <c r="BT29" i="104" s="1"/>
  <c r="BU29" i="104" s="1"/>
  <c r="BV29" i="104" s="1"/>
  <c r="BQ28" i="104"/>
  <c r="BR28" i="104" s="1"/>
  <c r="BS28" i="104" s="1"/>
  <c r="BT28" i="104" s="1"/>
  <c r="BU28" i="104" s="1"/>
  <c r="BV28" i="104" s="1"/>
  <c r="BQ27" i="104"/>
  <c r="BR27" i="104" s="1"/>
  <c r="BS27" i="104" s="1"/>
  <c r="BT27" i="104" s="1"/>
  <c r="BU27" i="104" s="1"/>
  <c r="BV27" i="104" s="1"/>
  <c r="BQ19" i="104"/>
  <c r="BR19" i="104" s="1"/>
  <c r="BS19" i="104" s="1"/>
  <c r="BT19" i="104" s="1"/>
  <c r="BU19" i="104" s="1"/>
  <c r="BV19" i="104" s="1"/>
  <c r="FA20" i="148"/>
  <c r="FB14" i="148"/>
  <c r="CQ13" i="148"/>
  <c r="EN13" i="148" s="1"/>
  <c r="EM13" i="148"/>
  <c r="CJ13" i="148"/>
  <c r="EG13" i="148" s="1"/>
  <c r="EF13" i="148"/>
  <c r="CW20" i="148"/>
  <c r="ES20" i="148"/>
  <c r="CW21" i="148"/>
  <c r="ES21" i="148"/>
  <c r="DD7" i="148"/>
  <c r="DD6" i="148"/>
  <c r="DJ10" i="148"/>
  <c r="DC10" i="148"/>
  <c r="DJ9" i="148"/>
  <c r="DC9" i="148"/>
  <c r="DJ8" i="148"/>
  <c r="DC8" i="148"/>
  <c r="AJ7" i="148"/>
  <c r="DY7" i="148"/>
  <c r="DY6" i="148"/>
  <c r="EL10" i="148"/>
  <c r="ES10" i="148"/>
  <c r="EE10" i="148"/>
  <c r="DX10" i="148"/>
  <c r="ES9" i="148"/>
  <c r="EL9" i="148"/>
  <c r="EE9" i="148"/>
  <c r="DX9" i="148"/>
  <c r="ES8" i="148"/>
  <c r="EL8" i="148"/>
  <c r="EE8" i="148"/>
  <c r="DX8" i="148"/>
  <c r="AJ6" i="148"/>
  <c r="DR8" i="148"/>
  <c r="DR9" i="148"/>
  <c r="DR10" i="148"/>
  <c r="BC11" i="104"/>
  <c r="CZ11" i="104" s="1"/>
  <c r="CE44" i="104"/>
  <c r="EB44" i="104" s="1"/>
  <c r="BC12" i="104"/>
  <c r="CZ12" i="104" s="1"/>
  <c r="AI7" i="104"/>
  <c r="DY7" i="104" s="1"/>
  <c r="BJ9" i="104"/>
  <c r="DG9" i="104" s="1"/>
  <c r="AV111" i="104"/>
  <c r="BJ18" i="104"/>
  <c r="DG18" i="104" s="1"/>
  <c r="AX167" i="104"/>
  <c r="AV132" i="104"/>
  <c r="AW168" i="104"/>
  <c r="AV169" i="104"/>
  <c r="AW82" i="104"/>
  <c r="AV117" i="104"/>
  <c r="AV108" i="104"/>
  <c r="AW107" i="104"/>
  <c r="AV71" i="104"/>
  <c r="AW70" i="104"/>
  <c r="AV175" i="104"/>
  <c r="AX172" i="104"/>
  <c r="AV166" i="104"/>
  <c r="AW165" i="104"/>
  <c r="AX164" i="104"/>
  <c r="AV129" i="104"/>
  <c r="AW128" i="104"/>
  <c r="AX127" i="104"/>
  <c r="BJ47" i="104"/>
  <c r="DG47" i="104" s="1"/>
  <c r="AW78" i="104"/>
  <c r="AV115" i="104"/>
  <c r="AV107" i="104"/>
  <c r="AV70" i="104"/>
  <c r="AW69" i="104"/>
  <c r="AW79" i="104"/>
  <c r="AV114" i="104"/>
  <c r="AV69" i="104"/>
  <c r="BJ46" i="104"/>
  <c r="DG46" i="104" s="1"/>
  <c r="AW80" i="104"/>
  <c r="AV113" i="104"/>
  <c r="AW112" i="104"/>
  <c r="AV83" i="104"/>
  <c r="AV82" i="104"/>
  <c r="AV81" i="104"/>
  <c r="AV80" i="104"/>
  <c r="AV79" i="104"/>
  <c r="AV78" i="104"/>
  <c r="AW75" i="104"/>
  <c r="AW81" i="104"/>
  <c r="AW74" i="104"/>
  <c r="AV140" i="104"/>
  <c r="BJ45" i="104"/>
  <c r="DG45" i="104" s="1"/>
  <c r="CS49" i="104"/>
  <c r="EP49" i="104" s="1"/>
  <c r="AV110" i="104"/>
  <c r="AW109" i="104"/>
  <c r="AW72" i="104"/>
  <c r="AW167" i="104"/>
  <c r="AV131" i="104"/>
  <c r="BJ49" i="104"/>
  <c r="DG49" i="104" s="1"/>
  <c r="BJ33" i="104"/>
  <c r="DG33" i="104" s="1"/>
  <c r="CL43" i="104"/>
  <c r="EI43" i="104" s="1"/>
  <c r="CS9" i="104"/>
  <c r="EP9" i="104" s="1"/>
  <c r="BJ58" i="104"/>
  <c r="DG58" i="104" s="1"/>
  <c r="BJ42" i="104"/>
  <c r="DG42" i="104" s="1"/>
  <c r="BJ14" i="104"/>
  <c r="DG14" i="104" s="1"/>
  <c r="BJ35" i="104"/>
  <c r="DG35" i="104" s="1"/>
  <c r="BJ16" i="104"/>
  <c r="DG16" i="104" s="1"/>
  <c r="CS58" i="104"/>
  <c r="EP58" i="104" s="1"/>
  <c r="AW140" i="104"/>
  <c r="BJ7" i="104"/>
  <c r="DG7" i="104" s="1"/>
  <c r="BJ48" i="104"/>
  <c r="DG48" i="104" s="1"/>
  <c r="BJ31" i="104"/>
  <c r="DG31" i="104" s="1"/>
  <c r="CS44" i="104"/>
  <c r="EP44" i="104" s="1"/>
  <c r="BJ43" i="104"/>
  <c r="DG43" i="104" s="1"/>
  <c r="BJ40" i="104"/>
  <c r="DG40" i="104" s="1"/>
  <c r="BC18" i="104"/>
  <c r="CZ18" i="104" s="1"/>
  <c r="BC16" i="104"/>
  <c r="CZ16" i="104" s="1"/>
  <c r="BJ8" i="104"/>
  <c r="DG8" i="104" s="1"/>
  <c r="BJ38" i="104"/>
  <c r="DG38" i="104" s="1"/>
  <c r="BJ32" i="104"/>
  <c r="DG32" i="104" s="1"/>
  <c r="BJ13" i="104"/>
  <c r="DG13" i="104" s="1"/>
  <c r="BJ10" i="104"/>
  <c r="DG10" i="104" s="1"/>
  <c r="BJ36" i="104"/>
  <c r="DG36" i="104" s="1"/>
  <c r="BJ44" i="104"/>
  <c r="DG44" i="104" s="1"/>
  <c r="BJ39" i="104"/>
  <c r="DG39" i="104" s="1"/>
  <c r="BJ34" i="104"/>
  <c r="DG34" i="104" s="1"/>
  <c r="BJ17" i="104"/>
  <c r="DG17" i="104" s="1"/>
  <c r="BJ15" i="104"/>
  <c r="DG15" i="104" s="1"/>
  <c r="CE47" i="104"/>
  <c r="EB47" i="104" s="1"/>
  <c r="CE46" i="104"/>
  <c r="EB46" i="104" s="1"/>
  <c r="CE7" i="104"/>
  <c r="EB7" i="104" s="1"/>
  <c r="CS46" i="104"/>
  <c r="EP46" i="104" s="1"/>
  <c r="CS8" i="104"/>
  <c r="EP8" i="104" s="1"/>
  <c r="CS43" i="104"/>
  <c r="EP43" i="104" s="1"/>
  <c r="CS7" i="104"/>
  <c r="EP7" i="104" s="1"/>
  <c r="CS48" i="104"/>
  <c r="EP48" i="104" s="1"/>
  <c r="CS42" i="104"/>
  <c r="EP42" i="104" s="1"/>
  <c r="CS18" i="104"/>
  <c r="EP18" i="104" s="1"/>
  <c r="CL33" i="104"/>
  <c r="EI33" i="104" s="1"/>
  <c r="CS45" i="104"/>
  <c r="EP45" i="104" s="1"/>
  <c r="CS47" i="104"/>
  <c r="EP47" i="104" s="1"/>
  <c r="CS33" i="104"/>
  <c r="EP33" i="104" s="1"/>
  <c r="CS10" i="104"/>
  <c r="EP10" i="104" s="1"/>
  <c r="BJ11" i="104"/>
  <c r="DG11" i="104" s="1"/>
  <c r="BJ60" i="104"/>
  <c r="BJ57" i="104"/>
  <c r="BJ61" i="104"/>
  <c r="BC15" i="104"/>
  <c r="CZ15" i="104" s="1"/>
  <c r="BC14" i="104"/>
  <c r="CZ14" i="104" s="1"/>
  <c r="BJ12" i="104"/>
  <c r="DG12" i="104" s="1"/>
  <c r="BJ51" i="104"/>
  <c r="BC17" i="104"/>
  <c r="CZ17" i="104" s="1"/>
  <c r="CL8" i="104"/>
  <c r="EI8" i="104" s="1"/>
  <c r="CE43" i="104"/>
  <c r="EB43" i="104" s="1"/>
  <c r="CM60" i="104"/>
  <c r="CS17" i="104"/>
  <c r="EP17" i="104" s="1"/>
  <c r="CL48" i="104"/>
  <c r="EI48" i="104" s="1"/>
  <c r="BC13" i="104"/>
  <c r="CZ13" i="104" s="1"/>
  <c r="CE49" i="104"/>
  <c r="EB49" i="104" s="1"/>
  <c r="CL44" i="104"/>
  <c r="EI44" i="104" s="1"/>
  <c r="CE42" i="104"/>
  <c r="EB42" i="104" s="1"/>
  <c r="CE8" i="104"/>
  <c r="EB8" i="104" s="1"/>
  <c r="CL49" i="104"/>
  <c r="EI49" i="104" s="1"/>
  <c r="CL47" i="104"/>
  <c r="EI47" i="104" s="1"/>
  <c r="CL45" i="104"/>
  <c r="EI45" i="104" s="1"/>
  <c r="CL7" i="104"/>
  <c r="EI7" i="104" s="1"/>
  <c r="CS14" i="104"/>
  <c r="EP14" i="104" s="1"/>
  <c r="CS11" i="104"/>
  <c r="EP11" i="104" s="1"/>
  <c r="CE45" i="104"/>
  <c r="EB45" i="104" s="1"/>
  <c r="CE28" i="104"/>
  <c r="CL61" i="104"/>
  <c r="CL42" i="104"/>
  <c r="EI42" i="104" s="1"/>
  <c r="CS15" i="104"/>
  <c r="EP15" i="104" s="1"/>
  <c r="CS12" i="104"/>
  <c r="EP12" i="104" s="1"/>
  <c r="CE48" i="104"/>
  <c r="EB48" i="104" s="1"/>
  <c r="CE33" i="104"/>
  <c r="EB33" i="104" s="1"/>
  <c r="CL46" i="104"/>
  <c r="EI46" i="104" s="1"/>
  <c r="CL28" i="104"/>
  <c r="CS16" i="104"/>
  <c r="EP16" i="104" s="1"/>
  <c r="CS13" i="104"/>
  <c r="EP13" i="104" s="1"/>
  <c r="H21" i="141"/>
  <c r="H23" i="141" s="1"/>
  <c r="AJ44" i="141"/>
  <c r="L21" i="141" s="1"/>
  <c r="L23" i="141" s="1"/>
  <c r="L30" i="141" s="1"/>
  <c r="R15" i="104"/>
  <c r="G30" i="141"/>
  <c r="R14" i="104"/>
  <c r="F30" i="141"/>
  <c r="R12" i="104"/>
  <c r="D30" i="141"/>
  <c r="R17" i="104"/>
  <c r="I30" i="141"/>
  <c r="R13" i="104"/>
  <c r="E30" i="141"/>
  <c r="AJ39" i="141"/>
  <c r="K21" i="141" s="1"/>
  <c r="K23" i="141" s="1"/>
  <c r="K30" i="141" s="1"/>
  <c r="AK39" i="141"/>
  <c r="M21" i="141" s="1"/>
  <c r="M23" i="141" s="1"/>
  <c r="M30" i="141" s="1"/>
  <c r="C21" i="141"/>
  <c r="C23" i="141" s="1"/>
  <c r="R18" i="104"/>
  <c r="J30" i="141"/>
  <c r="DS6" i="148" l="1"/>
  <c r="EY6" i="148" s="1"/>
  <c r="EV7" i="148"/>
  <c r="FE7" i="148" s="1"/>
  <c r="DS7" i="148"/>
  <c r="EY7" i="148" s="1"/>
  <c r="FH7" i="148" s="1"/>
  <c r="EZ8" i="104"/>
  <c r="EZ9" i="104"/>
  <c r="EV6" i="148"/>
  <c r="FE6" i="148" s="1"/>
  <c r="CX21" i="148"/>
  <c r="EU21" i="148" s="1"/>
  <c r="ET21" i="148"/>
  <c r="FA13" i="148"/>
  <c r="FB13" i="148"/>
  <c r="CX20" i="148"/>
  <c r="EU20" i="148" s="1"/>
  <c r="ET20" i="148"/>
  <c r="DE6" i="148"/>
  <c r="DE7" i="148"/>
  <c r="EW7" i="148" s="1"/>
  <c r="DK10" i="148"/>
  <c r="DD10" i="148"/>
  <c r="DK9" i="148"/>
  <c r="DD9" i="148"/>
  <c r="DK8" i="148"/>
  <c r="DD8" i="148"/>
  <c r="EM10" i="148"/>
  <c r="EF10" i="148"/>
  <c r="ET10" i="148"/>
  <c r="DY10" i="148"/>
  <c r="ET9" i="148"/>
  <c r="EM9" i="148"/>
  <c r="EF9" i="148"/>
  <c r="DY9" i="148"/>
  <c r="ET8" i="148"/>
  <c r="EF8" i="148"/>
  <c r="EM8" i="148"/>
  <c r="DY8" i="148"/>
  <c r="DZ6" i="148"/>
  <c r="DZ7" i="148"/>
  <c r="EZ7" i="148" s="1"/>
  <c r="DS9" i="148"/>
  <c r="EY9" i="148" s="1"/>
  <c r="DS10" i="148"/>
  <c r="EY10" i="148" s="1"/>
  <c r="BF11" i="104"/>
  <c r="DC11" i="104" s="1"/>
  <c r="BD11" i="104"/>
  <c r="CF44" i="104"/>
  <c r="EC44" i="104" s="1"/>
  <c r="BK9" i="104"/>
  <c r="DH9" i="104" s="1"/>
  <c r="BF12" i="104"/>
  <c r="DC12" i="104" s="1"/>
  <c r="BD12" i="104"/>
  <c r="DA12" i="104" s="1"/>
  <c r="AW138" i="104"/>
  <c r="BD18" i="104"/>
  <c r="DA18" i="104" s="1"/>
  <c r="BK15" i="104"/>
  <c r="DH15" i="104" s="1"/>
  <c r="BK45" i="104"/>
  <c r="DH45" i="104" s="1"/>
  <c r="BK17" i="104"/>
  <c r="DH17" i="104" s="1"/>
  <c r="CT9" i="104"/>
  <c r="EQ9" i="104" s="1"/>
  <c r="BK46" i="104"/>
  <c r="DH46" i="104" s="1"/>
  <c r="BF15" i="104"/>
  <c r="DC15" i="104" s="1"/>
  <c r="BK16" i="104"/>
  <c r="DH16" i="104" s="1"/>
  <c r="CM43" i="104"/>
  <c r="EJ43" i="104" s="1"/>
  <c r="BK49" i="104"/>
  <c r="DH49" i="104" s="1"/>
  <c r="BD16" i="104"/>
  <c r="DA16" i="104" s="1"/>
  <c r="AJ7" i="104"/>
  <c r="BK42" i="104"/>
  <c r="DH42" i="104" s="1"/>
  <c r="CT49" i="104"/>
  <c r="EQ49" i="104" s="1"/>
  <c r="BK47" i="104"/>
  <c r="DH47" i="104" s="1"/>
  <c r="BK18" i="104"/>
  <c r="DH18" i="104" s="1"/>
  <c r="BR8" i="104"/>
  <c r="DO8" i="104" s="1"/>
  <c r="CT58" i="104"/>
  <c r="EQ58" i="104" s="1"/>
  <c r="CM33" i="104"/>
  <c r="EJ33" i="104" s="1"/>
  <c r="AW136" i="104"/>
  <c r="BK14" i="104"/>
  <c r="DH14" i="104" s="1"/>
  <c r="AW135" i="104"/>
  <c r="CF46" i="104"/>
  <c r="EC46" i="104" s="1"/>
  <c r="BK13" i="104"/>
  <c r="DH13" i="104" s="1"/>
  <c r="CF47" i="104"/>
  <c r="EC47" i="104" s="1"/>
  <c r="BF16" i="104"/>
  <c r="DC16" i="104" s="1"/>
  <c r="BK58" i="104"/>
  <c r="DH58" i="104" s="1"/>
  <c r="AW139" i="104"/>
  <c r="AW137" i="104"/>
  <c r="CF7" i="104"/>
  <c r="EC7" i="104" s="1"/>
  <c r="BK33" i="104"/>
  <c r="DH33" i="104" s="1"/>
  <c r="BF18" i="104"/>
  <c r="DC18" i="104" s="1"/>
  <c r="BF14" i="104"/>
  <c r="DC14" i="104" s="1"/>
  <c r="BK35" i="104"/>
  <c r="DH35" i="104" s="1"/>
  <c r="BR39" i="104"/>
  <c r="DO39" i="104" s="1"/>
  <c r="CT10" i="104"/>
  <c r="EQ10" i="104" s="1"/>
  <c r="CT42" i="104"/>
  <c r="EQ42" i="104" s="1"/>
  <c r="BR12" i="104"/>
  <c r="DO12" i="104" s="1"/>
  <c r="BR49" i="104"/>
  <c r="DO49" i="104" s="1"/>
  <c r="BR48" i="104"/>
  <c r="DO48" i="104" s="1"/>
  <c r="BK8" i="104"/>
  <c r="DH8" i="104" s="1"/>
  <c r="BK40" i="104"/>
  <c r="DH40" i="104" s="1"/>
  <c r="BR10" i="104"/>
  <c r="DO10" i="104" s="1"/>
  <c r="CT44" i="104"/>
  <c r="EQ44" i="104" s="1"/>
  <c r="BR16" i="104"/>
  <c r="DO16" i="104" s="1"/>
  <c r="BK31" i="104"/>
  <c r="DH31" i="104" s="1"/>
  <c r="BR42" i="104"/>
  <c r="DO42" i="104" s="1"/>
  <c r="BK34" i="104"/>
  <c r="DH34" i="104" s="1"/>
  <c r="BR45" i="104"/>
  <c r="DO45" i="104" s="1"/>
  <c r="BK10" i="104"/>
  <c r="DH10" i="104" s="1"/>
  <c r="BR43" i="104"/>
  <c r="DO43" i="104" s="1"/>
  <c r="CT7" i="104"/>
  <c r="EQ7" i="104" s="1"/>
  <c r="BR35" i="104"/>
  <c r="DO35" i="104" s="1"/>
  <c r="BR58" i="104"/>
  <c r="DO58" i="104" s="1"/>
  <c r="BK48" i="104"/>
  <c r="DH48" i="104" s="1"/>
  <c r="CT48" i="104"/>
  <c r="EQ48" i="104" s="1"/>
  <c r="CT46" i="104"/>
  <c r="EQ46" i="104" s="1"/>
  <c r="BR32" i="104"/>
  <c r="DO32" i="104" s="1"/>
  <c r="BR38" i="104"/>
  <c r="DO38" i="104" s="1"/>
  <c r="BR33" i="104"/>
  <c r="DO33" i="104" s="1"/>
  <c r="CT33" i="104"/>
  <c r="EQ33" i="104" s="1"/>
  <c r="CT45" i="104"/>
  <c r="EQ45" i="104" s="1"/>
  <c r="CT43" i="104"/>
  <c r="EQ43" i="104" s="1"/>
  <c r="CT8" i="104"/>
  <c r="EQ8" i="104" s="1"/>
  <c r="BR7" i="104"/>
  <c r="DO7" i="104" s="1"/>
  <c r="BK36" i="104"/>
  <c r="DH36" i="104" s="1"/>
  <c r="BK32" i="104"/>
  <c r="DH32" i="104" s="1"/>
  <c r="BR44" i="104"/>
  <c r="DO44" i="104" s="1"/>
  <c r="BR13" i="104"/>
  <c r="DO13" i="104" s="1"/>
  <c r="BK43" i="104"/>
  <c r="DH43" i="104" s="1"/>
  <c r="BR18" i="104"/>
  <c r="DO18" i="104" s="1"/>
  <c r="BK7" i="104"/>
  <c r="DH7" i="104" s="1"/>
  <c r="CT18" i="104"/>
  <c r="EQ18" i="104" s="1"/>
  <c r="BK39" i="104"/>
  <c r="DH39" i="104" s="1"/>
  <c r="BR9" i="104"/>
  <c r="DO9" i="104" s="1"/>
  <c r="BR15" i="104"/>
  <c r="DO15" i="104" s="1"/>
  <c r="BR47" i="104"/>
  <c r="DO47" i="104" s="1"/>
  <c r="BR36" i="104"/>
  <c r="DO36" i="104" s="1"/>
  <c r="BR40" i="104"/>
  <c r="DO40" i="104" s="1"/>
  <c r="CT47" i="104"/>
  <c r="EQ47" i="104" s="1"/>
  <c r="BR11" i="104"/>
  <c r="DO11" i="104" s="1"/>
  <c r="BK38" i="104"/>
  <c r="DH38" i="104" s="1"/>
  <c r="BR46" i="104"/>
  <c r="DO46" i="104" s="1"/>
  <c r="BR34" i="104"/>
  <c r="DO34" i="104" s="1"/>
  <c r="BR31" i="104"/>
  <c r="DO31" i="104" s="1"/>
  <c r="BR14" i="104"/>
  <c r="DO14" i="104" s="1"/>
  <c r="BK44" i="104"/>
  <c r="DH44" i="104" s="1"/>
  <c r="BR17" i="104"/>
  <c r="DO17" i="104" s="1"/>
  <c r="CF43" i="104"/>
  <c r="EC43" i="104" s="1"/>
  <c r="CM8" i="104"/>
  <c r="EJ8" i="104" s="1"/>
  <c r="BD17" i="104"/>
  <c r="DA17" i="104" s="1"/>
  <c r="S18" i="104"/>
  <c r="CD18" i="104"/>
  <c r="EA18" i="104" s="1"/>
  <c r="S15" i="104"/>
  <c r="CD15" i="104"/>
  <c r="EA15" i="104" s="1"/>
  <c r="CT16" i="104"/>
  <c r="EQ16" i="104" s="1"/>
  <c r="CF45" i="104"/>
  <c r="EC45" i="104" s="1"/>
  <c r="CM7" i="104"/>
  <c r="EJ7" i="104" s="1"/>
  <c r="CM47" i="104"/>
  <c r="EJ47" i="104" s="1"/>
  <c r="CM44" i="104"/>
  <c r="EJ44" i="104" s="1"/>
  <c r="CT17" i="104"/>
  <c r="EQ17" i="104" s="1"/>
  <c r="CN60" i="104"/>
  <c r="BK51" i="104"/>
  <c r="BD15" i="104"/>
  <c r="DA15" i="104" s="1"/>
  <c r="BK61" i="104"/>
  <c r="BK60" i="104"/>
  <c r="S14" i="104"/>
  <c r="CD14" i="104"/>
  <c r="EA14" i="104" s="1"/>
  <c r="CM61" i="104"/>
  <c r="BF13" i="104"/>
  <c r="DC13" i="104" s="1"/>
  <c r="R11" i="104"/>
  <c r="C30" i="141"/>
  <c r="S13" i="104"/>
  <c r="CD13" i="104"/>
  <c r="EA13" i="104" s="1"/>
  <c r="S12" i="104"/>
  <c r="CD12" i="104"/>
  <c r="EA12" i="104" s="1"/>
  <c r="CM28" i="104"/>
  <c r="CF33" i="104"/>
  <c r="EC33" i="104" s="1"/>
  <c r="CT15" i="104"/>
  <c r="EQ15" i="104" s="1"/>
  <c r="CM42" i="104"/>
  <c r="EJ42" i="104" s="1"/>
  <c r="CT11" i="104"/>
  <c r="EQ11" i="104" s="1"/>
  <c r="CM49" i="104"/>
  <c r="EJ49" i="104" s="1"/>
  <c r="CF42" i="104"/>
  <c r="EC42" i="104" s="1"/>
  <c r="CM48" i="104"/>
  <c r="EJ48" i="104" s="1"/>
  <c r="BK12" i="104"/>
  <c r="DH12" i="104" s="1"/>
  <c r="S17" i="104"/>
  <c r="CD17" i="104"/>
  <c r="EA17" i="104" s="1"/>
  <c r="CM45" i="104"/>
  <c r="EJ45" i="104" s="1"/>
  <c r="CF49" i="104"/>
  <c r="EC49" i="104" s="1"/>
  <c r="BF17" i="104"/>
  <c r="DC17" i="104" s="1"/>
  <c r="BD14" i="104"/>
  <c r="DA14" i="104" s="1"/>
  <c r="BD13" i="104"/>
  <c r="DA13" i="104" s="1"/>
  <c r="R16" i="104"/>
  <c r="H30" i="141"/>
  <c r="CT13" i="104"/>
  <c r="EQ13" i="104" s="1"/>
  <c r="CM46" i="104"/>
  <c r="EJ46" i="104" s="1"/>
  <c r="CF48" i="104"/>
  <c r="EC48" i="104" s="1"/>
  <c r="CT12" i="104"/>
  <c r="EQ12" i="104" s="1"/>
  <c r="CF28" i="104"/>
  <c r="CT14" i="104"/>
  <c r="EQ14" i="104" s="1"/>
  <c r="CF8" i="104"/>
  <c r="EC8" i="104" s="1"/>
  <c r="BK57" i="104"/>
  <c r="BK11" i="104"/>
  <c r="DH11" i="104" s="1"/>
  <c r="EV8" i="148" l="1"/>
  <c r="DS8" i="148"/>
  <c r="EY8" i="148" s="1"/>
  <c r="FH6" i="148"/>
  <c r="EZ6" i="148"/>
  <c r="EZ60" i="148" s="1"/>
  <c r="EV10" i="148"/>
  <c r="EW6" i="148"/>
  <c r="EV9" i="148"/>
  <c r="BE11" i="104"/>
  <c r="DB11" i="104" s="1"/>
  <c r="DA11" i="104"/>
  <c r="DZ7" i="104"/>
  <c r="EZ7" i="104" s="1"/>
  <c r="DY33" i="104"/>
  <c r="EZ61" i="148"/>
  <c r="FI7" i="148"/>
  <c r="FC21" i="148"/>
  <c r="FF7" i="148"/>
  <c r="FC20" i="148"/>
  <c r="DL10" i="148"/>
  <c r="EX10" i="148" s="1"/>
  <c r="DE10" i="148"/>
  <c r="EW10" i="148" s="1"/>
  <c r="DL8" i="148"/>
  <c r="EX8" i="148" s="1"/>
  <c r="DE8" i="148"/>
  <c r="EW8" i="148" s="1"/>
  <c r="DL9" i="148"/>
  <c r="EX9" i="148" s="1"/>
  <c r="DE9" i="148"/>
  <c r="EW9" i="148" s="1"/>
  <c r="EU10" i="148"/>
  <c r="FC10" i="148" s="1"/>
  <c r="EN10" i="148"/>
  <c r="FB10" i="148" s="1"/>
  <c r="EG10" i="148"/>
  <c r="FA10" i="148" s="1"/>
  <c r="DZ10" i="148"/>
  <c r="EZ10" i="148" s="1"/>
  <c r="EG8" i="148"/>
  <c r="FA8" i="148" s="1"/>
  <c r="EU8" i="148"/>
  <c r="FC8" i="148" s="1"/>
  <c r="EN8" i="148"/>
  <c r="FB8" i="148" s="1"/>
  <c r="DZ8" i="148"/>
  <c r="EU9" i="148"/>
  <c r="FC9" i="148" s="1"/>
  <c r="EG9" i="148"/>
  <c r="FA9" i="148" s="1"/>
  <c r="EN9" i="148"/>
  <c r="FB9" i="148" s="1"/>
  <c r="DZ9" i="148"/>
  <c r="EZ9" i="148" s="1"/>
  <c r="BL46" i="104"/>
  <c r="DI46" i="104" s="1"/>
  <c r="BL45" i="104"/>
  <c r="DI45" i="104" s="1"/>
  <c r="BL49" i="104"/>
  <c r="DI49" i="104" s="1"/>
  <c r="BG11" i="104"/>
  <c r="DD11" i="104" s="1"/>
  <c r="BE12" i="104"/>
  <c r="DB12" i="104" s="1"/>
  <c r="BL16" i="104"/>
  <c r="DI16" i="104" s="1"/>
  <c r="BL47" i="104"/>
  <c r="DI47" i="104" s="1"/>
  <c r="BG12" i="104"/>
  <c r="DD12" i="104" s="1"/>
  <c r="BG18" i="104"/>
  <c r="DD18" i="104" s="1"/>
  <c r="BL42" i="104"/>
  <c r="DI42" i="104" s="1"/>
  <c r="BL18" i="104"/>
  <c r="DI18" i="104" s="1"/>
  <c r="BL17" i="104"/>
  <c r="DI17" i="104" s="1"/>
  <c r="CG44" i="104"/>
  <c r="ED44" i="104" s="1"/>
  <c r="BE18" i="104"/>
  <c r="DB18" i="104" s="1"/>
  <c r="BG16" i="104"/>
  <c r="DD16" i="104" s="1"/>
  <c r="CU9" i="104"/>
  <c r="ER9" i="104" s="1"/>
  <c r="BE16" i="104"/>
  <c r="DB16" i="104" s="1"/>
  <c r="BL9" i="104"/>
  <c r="DI9" i="104" s="1"/>
  <c r="CN43" i="104"/>
  <c r="EK43" i="104" s="1"/>
  <c r="CU49" i="104"/>
  <c r="ER49" i="104" s="1"/>
  <c r="BL15" i="104"/>
  <c r="DI15" i="104" s="1"/>
  <c r="CG47" i="104"/>
  <c r="ED47" i="104" s="1"/>
  <c r="BS8" i="104"/>
  <c r="DP8" i="104" s="1"/>
  <c r="BL13" i="104"/>
  <c r="DI13" i="104" s="1"/>
  <c r="CG46" i="104"/>
  <c r="ED46" i="104" s="1"/>
  <c r="BL58" i="104"/>
  <c r="DI58" i="104" s="1"/>
  <c r="CU58" i="104"/>
  <c r="ER58" i="104" s="1"/>
  <c r="CN33" i="104"/>
  <c r="EK33" i="104" s="1"/>
  <c r="CU18" i="104"/>
  <c r="ER18" i="104" s="1"/>
  <c r="BL14" i="104"/>
  <c r="DI14" i="104" s="1"/>
  <c r="BG14" i="104"/>
  <c r="DD14" i="104" s="1"/>
  <c r="CK13" i="104"/>
  <c r="EH13" i="104" s="1"/>
  <c r="CK14" i="104"/>
  <c r="EH14" i="104" s="1"/>
  <c r="CK17" i="104"/>
  <c r="EH17" i="104" s="1"/>
  <c r="CK15" i="104"/>
  <c r="EH15" i="104" s="1"/>
  <c r="CK12" i="104"/>
  <c r="EH12" i="104" s="1"/>
  <c r="CK18" i="104"/>
  <c r="EH18" i="104" s="1"/>
  <c r="BL35" i="104"/>
  <c r="DI35" i="104" s="1"/>
  <c r="CG7" i="104"/>
  <c r="ED7" i="104" s="1"/>
  <c r="BL33" i="104"/>
  <c r="DI33" i="104" s="1"/>
  <c r="BG13" i="104"/>
  <c r="DD13" i="104" s="1"/>
  <c r="BE14" i="104"/>
  <c r="DB14" i="104" s="1"/>
  <c r="BL44" i="104"/>
  <c r="DI44" i="104" s="1"/>
  <c r="BL36" i="104"/>
  <c r="DI36" i="104" s="1"/>
  <c r="CU8" i="104"/>
  <c r="ER8" i="104" s="1"/>
  <c r="CU48" i="104"/>
  <c r="ER48" i="104" s="1"/>
  <c r="CU7" i="104"/>
  <c r="ER7" i="104" s="1"/>
  <c r="BS42" i="104"/>
  <c r="DP42" i="104" s="1"/>
  <c r="BS48" i="104"/>
  <c r="DP48" i="104" s="1"/>
  <c r="BS11" i="104"/>
  <c r="DP11" i="104" s="1"/>
  <c r="BL7" i="104"/>
  <c r="DI7" i="104" s="1"/>
  <c r="BL43" i="104"/>
  <c r="DI43" i="104" s="1"/>
  <c r="CU43" i="104"/>
  <c r="ER43" i="104" s="1"/>
  <c r="BS58" i="104"/>
  <c r="DP58" i="104" s="1"/>
  <c r="CU42" i="104"/>
  <c r="ER42" i="104" s="1"/>
  <c r="BS34" i="104"/>
  <c r="DP34" i="104" s="1"/>
  <c r="BS40" i="104"/>
  <c r="DP40" i="104" s="1"/>
  <c r="BL39" i="104"/>
  <c r="DI39" i="104" s="1"/>
  <c r="BS38" i="104"/>
  <c r="DP38" i="104" s="1"/>
  <c r="BL10" i="104"/>
  <c r="DI10" i="104" s="1"/>
  <c r="BS10" i="104"/>
  <c r="DP10" i="104" s="1"/>
  <c r="BS49" i="104"/>
  <c r="DP49" i="104" s="1"/>
  <c r="BS14" i="104"/>
  <c r="DP14" i="104" s="1"/>
  <c r="BS46" i="104"/>
  <c r="DP46" i="104" s="1"/>
  <c r="BS13" i="104"/>
  <c r="DP13" i="104" s="1"/>
  <c r="CU46" i="104"/>
  <c r="ER46" i="104" s="1"/>
  <c r="BS35" i="104"/>
  <c r="DP35" i="104" s="1"/>
  <c r="BS45" i="104"/>
  <c r="DP45" i="104" s="1"/>
  <c r="BL31" i="104"/>
  <c r="DI31" i="104" s="1"/>
  <c r="CU10" i="104"/>
  <c r="ER10" i="104" s="1"/>
  <c r="BS39" i="104"/>
  <c r="DP39" i="104" s="1"/>
  <c r="BE13" i="104"/>
  <c r="DB13" i="104" s="1"/>
  <c r="CU47" i="104"/>
  <c r="ER47" i="104" s="1"/>
  <c r="BS44" i="104"/>
  <c r="DP44" i="104" s="1"/>
  <c r="BS7" i="104"/>
  <c r="DP7" i="104" s="1"/>
  <c r="CU45" i="104"/>
  <c r="ER45" i="104" s="1"/>
  <c r="BL48" i="104"/>
  <c r="DI48" i="104" s="1"/>
  <c r="BS43" i="104"/>
  <c r="DP43" i="104" s="1"/>
  <c r="BS36" i="104"/>
  <c r="DP36" i="104" s="1"/>
  <c r="BS18" i="104"/>
  <c r="DP18" i="104" s="1"/>
  <c r="BL34" i="104"/>
  <c r="DI34" i="104" s="1"/>
  <c r="BS16" i="104"/>
  <c r="DP16" i="104" s="1"/>
  <c r="BL40" i="104"/>
  <c r="DI40" i="104" s="1"/>
  <c r="BS17" i="104"/>
  <c r="DP17" i="104" s="1"/>
  <c r="BS15" i="104"/>
  <c r="DP15" i="104" s="1"/>
  <c r="CU33" i="104"/>
  <c r="ER33" i="104" s="1"/>
  <c r="BS33" i="104"/>
  <c r="DP33" i="104" s="1"/>
  <c r="BS32" i="104"/>
  <c r="DP32" i="104" s="1"/>
  <c r="BS12" i="104"/>
  <c r="DP12" i="104" s="1"/>
  <c r="BL38" i="104"/>
  <c r="DI38" i="104" s="1"/>
  <c r="BS31" i="104"/>
  <c r="DP31" i="104" s="1"/>
  <c r="BS47" i="104"/>
  <c r="DP47" i="104" s="1"/>
  <c r="BS9" i="104"/>
  <c r="DP9" i="104" s="1"/>
  <c r="BL32" i="104"/>
  <c r="DI32" i="104" s="1"/>
  <c r="CU44" i="104"/>
  <c r="ER44" i="104" s="1"/>
  <c r="BL8" i="104"/>
  <c r="DI8" i="104" s="1"/>
  <c r="BL57" i="104"/>
  <c r="CG28" i="104"/>
  <c r="CG48" i="104"/>
  <c r="ED48" i="104" s="1"/>
  <c r="CG49" i="104"/>
  <c r="ED49" i="104" s="1"/>
  <c r="CE17" i="104"/>
  <c r="EB17" i="104" s="1"/>
  <c r="CU11" i="104"/>
  <c r="ER11" i="104" s="1"/>
  <c r="CG33" i="104"/>
  <c r="ED33" i="104" s="1"/>
  <c r="S11" i="104"/>
  <c r="CD11" i="104"/>
  <c r="EA11" i="104" s="1"/>
  <c r="CO60" i="104"/>
  <c r="CU17" i="104"/>
  <c r="ER17" i="104" s="1"/>
  <c r="CN47" i="104"/>
  <c r="EK47" i="104" s="1"/>
  <c r="CU16" i="104"/>
  <c r="ER16" i="104" s="1"/>
  <c r="BE17" i="104"/>
  <c r="DB17" i="104" s="1"/>
  <c r="BG17" i="104"/>
  <c r="DD17" i="104" s="1"/>
  <c r="CG43" i="104"/>
  <c r="ED43" i="104" s="1"/>
  <c r="CG8" i="104"/>
  <c r="ED8" i="104" s="1"/>
  <c r="CU14" i="104"/>
  <c r="ER14" i="104" s="1"/>
  <c r="CU12" i="104"/>
  <c r="ER12" i="104" s="1"/>
  <c r="S16" i="104"/>
  <c r="CD16" i="104"/>
  <c r="EA16" i="104" s="1"/>
  <c r="BL12" i="104"/>
  <c r="DI12" i="104" s="1"/>
  <c r="CN42" i="104"/>
  <c r="EK42" i="104" s="1"/>
  <c r="CE13" i="104"/>
  <c r="EB13" i="104" s="1"/>
  <c r="CN61" i="104"/>
  <c r="BE15" i="104"/>
  <c r="DB15" i="104" s="1"/>
  <c r="BG15" i="104"/>
  <c r="DD15" i="104" s="1"/>
  <c r="CN7" i="104"/>
  <c r="EK7" i="104" s="1"/>
  <c r="CG45" i="104"/>
  <c r="ED45" i="104" s="1"/>
  <c r="CE15" i="104"/>
  <c r="EB15" i="104" s="1"/>
  <c r="BL11" i="104"/>
  <c r="DI11" i="104" s="1"/>
  <c r="CN46" i="104"/>
  <c r="EK46" i="104" s="1"/>
  <c r="CN48" i="104"/>
  <c r="EK48" i="104" s="1"/>
  <c r="CG42" i="104"/>
  <c r="ED42" i="104" s="1"/>
  <c r="BL60" i="104"/>
  <c r="CU13" i="104"/>
  <c r="ER13" i="104" s="1"/>
  <c r="CN45" i="104"/>
  <c r="EK45" i="104" s="1"/>
  <c r="CN49" i="104"/>
  <c r="EK49" i="104" s="1"/>
  <c r="CU15" i="104"/>
  <c r="ER15" i="104" s="1"/>
  <c r="CN28" i="104"/>
  <c r="CE12" i="104"/>
  <c r="EB12" i="104" s="1"/>
  <c r="CE14" i="104"/>
  <c r="EB14" i="104" s="1"/>
  <c r="BL61" i="104"/>
  <c r="BL51" i="104"/>
  <c r="CN44" i="104"/>
  <c r="EK44" i="104" s="1"/>
  <c r="CE18" i="104"/>
  <c r="EB18" i="104" s="1"/>
  <c r="CN8" i="104"/>
  <c r="EK8" i="104" s="1"/>
  <c r="C120" i="132"/>
  <c r="C119" i="132"/>
  <c r="C115" i="132"/>
  <c r="C104" i="132"/>
  <c r="C116" i="132" s="1"/>
  <c r="C102" i="132"/>
  <c r="C114" i="132" s="1"/>
  <c r="C131" i="132" s="1"/>
  <c r="BP6" i="135"/>
  <c r="BQ6" i="135" s="1"/>
  <c r="BR6" i="135" s="1"/>
  <c r="BS6" i="135" s="1"/>
  <c r="BT6" i="135" s="1"/>
  <c r="BU6" i="135" s="1"/>
  <c r="BV6" i="135" s="1"/>
  <c r="H76" i="135"/>
  <c r="E124" i="135"/>
  <c r="G119" i="135" s="1"/>
  <c r="G114" i="135" s="1"/>
  <c r="I94" i="135" s="1"/>
  <c r="P94" i="135" s="1"/>
  <c r="AB121" i="104"/>
  <c r="AC121" i="104"/>
  <c r="AD121" i="104"/>
  <c r="AE121" i="104"/>
  <c r="AF121" i="104"/>
  <c r="AG121" i="104"/>
  <c r="AH121" i="104"/>
  <c r="AI121" i="104"/>
  <c r="AJ121" i="104"/>
  <c r="AC122" i="104"/>
  <c r="AD122" i="104"/>
  <c r="AE122" i="104"/>
  <c r="AF122" i="104"/>
  <c r="AG122" i="104"/>
  <c r="AH122" i="104"/>
  <c r="AI122" i="104"/>
  <c r="AJ122" i="104"/>
  <c r="AC123" i="104"/>
  <c r="AD123" i="104"/>
  <c r="AE123" i="104"/>
  <c r="AF123" i="104"/>
  <c r="AG123" i="104"/>
  <c r="AH123" i="104"/>
  <c r="AI123" i="104"/>
  <c r="AJ123" i="104"/>
  <c r="AC124" i="104"/>
  <c r="AD124" i="104"/>
  <c r="AE124" i="104"/>
  <c r="AF124" i="104"/>
  <c r="AG124" i="104"/>
  <c r="AH124" i="104"/>
  <c r="AI124" i="104"/>
  <c r="AJ124" i="104"/>
  <c r="AC125" i="104"/>
  <c r="AD125" i="104"/>
  <c r="AE125" i="104"/>
  <c r="AF125" i="104"/>
  <c r="AG125" i="104"/>
  <c r="AH125" i="104"/>
  <c r="AI125" i="104"/>
  <c r="AJ125" i="104"/>
  <c r="AC126" i="104"/>
  <c r="AD126" i="104"/>
  <c r="AE126" i="104"/>
  <c r="AF126" i="104"/>
  <c r="AG126" i="104"/>
  <c r="AH126" i="104"/>
  <c r="AI126" i="104"/>
  <c r="AJ126" i="104"/>
  <c r="AC127" i="104"/>
  <c r="AD127" i="104"/>
  <c r="AE127" i="104"/>
  <c r="AF127" i="104"/>
  <c r="AG127" i="104"/>
  <c r="AH127" i="104"/>
  <c r="AI127" i="104"/>
  <c r="AJ127" i="104"/>
  <c r="AC128" i="104"/>
  <c r="AD128" i="104"/>
  <c r="AE128" i="104"/>
  <c r="AF128" i="104"/>
  <c r="AG128" i="104"/>
  <c r="AH128" i="104"/>
  <c r="AI128" i="104"/>
  <c r="AJ128" i="104"/>
  <c r="AC129" i="104"/>
  <c r="AD129" i="104"/>
  <c r="AE129" i="104"/>
  <c r="AF129" i="104"/>
  <c r="AG129" i="104"/>
  <c r="AH129" i="104"/>
  <c r="AI129" i="104"/>
  <c r="AJ129" i="104"/>
  <c r="AC130" i="104"/>
  <c r="AD130" i="104"/>
  <c r="AE130" i="104"/>
  <c r="AF130" i="104"/>
  <c r="AG130" i="104"/>
  <c r="AH130" i="104"/>
  <c r="AI130" i="104"/>
  <c r="AJ130" i="104"/>
  <c r="AC131" i="104"/>
  <c r="AD131" i="104"/>
  <c r="AE131" i="104"/>
  <c r="AF131" i="104"/>
  <c r="AG131" i="104"/>
  <c r="AH131" i="104"/>
  <c r="AI131" i="104"/>
  <c r="AJ131" i="104"/>
  <c r="AC132" i="104"/>
  <c r="AD132" i="104"/>
  <c r="AE132" i="104"/>
  <c r="AF132" i="104"/>
  <c r="AG132" i="104"/>
  <c r="AH132" i="104"/>
  <c r="AI132" i="104"/>
  <c r="AJ132" i="104"/>
  <c r="AC145" i="104"/>
  <c r="AD145" i="104"/>
  <c r="AE145" i="104"/>
  <c r="AF145" i="104"/>
  <c r="AG145" i="104"/>
  <c r="AH145" i="104"/>
  <c r="AI145" i="104"/>
  <c r="AJ145" i="104"/>
  <c r="AC146" i="104"/>
  <c r="AD146" i="104"/>
  <c r="AE146" i="104"/>
  <c r="AF146" i="104"/>
  <c r="AG146" i="104"/>
  <c r="AH146" i="104"/>
  <c r="AI146" i="104"/>
  <c r="AJ146" i="104"/>
  <c r="AC147" i="104"/>
  <c r="AD147" i="104"/>
  <c r="AE147" i="104"/>
  <c r="AF147" i="104"/>
  <c r="AG147" i="104"/>
  <c r="AH147" i="104"/>
  <c r="AI147" i="104"/>
  <c r="AC148" i="104"/>
  <c r="AD148" i="104"/>
  <c r="AE148" i="104"/>
  <c r="AF148" i="104"/>
  <c r="AG148" i="104"/>
  <c r="AH148" i="104"/>
  <c r="AI148" i="104"/>
  <c r="AJ148" i="104"/>
  <c r="AC149" i="104"/>
  <c r="AD149" i="104"/>
  <c r="AE149" i="104"/>
  <c r="AF149" i="104"/>
  <c r="AG149" i="104"/>
  <c r="AH149" i="104"/>
  <c r="AI149" i="104"/>
  <c r="AJ149" i="104"/>
  <c r="AC150" i="104"/>
  <c r="AD150" i="104"/>
  <c r="AE150" i="104"/>
  <c r="AF150" i="104"/>
  <c r="AG150" i="104"/>
  <c r="AH150" i="104"/>
  <c r="AI150" i="104"/>
  <c r="AJ150" i="104"/>
  <c r="AC152" i="104"/>
  <c r="AD152" i="104"/>
  <c r="AE152" i="104"/>
  <c r="AF152" i="104"/>
  <c r="AG152" i="104"/>
  <c r="AH152" i="104"/>
  <c r="AI152" i="104"/>
  <c r="AJ152" i="104"/>
  <c r="AC153" i="104"/>
  <c r="AD153" i="104"/>
  <c r="AE153" i="104"/>
  <c r="AF153" i="104"/>
  <c r="AG153" i="104"/>
  <c r="AH153" i="104"/>
  <c r="AI153" i="104"/>
  <c r="AJ153" i="104"/>
  <c r="AC154" i="104"/>
  <c r="AD154" i="104"/>
  <c r="AE154" i="104"/>
  <c r="AF154" i="104"/>
  <c r="AG154" i="104"/>
  <c r="AH154" i="104"/>
  <c r="AI154" i="104"/>
  <c r="AJ154" i="104"/>
  <c r="AC156" i="104"/>
  <c r="AD156" i="104"/>
  <c r="AE156" i="104"/>
  <c r="AF156" i="104"/>
  <c r="AG156" i="104"/>
  <c r="AH156" i="104"/>
  <c r="AI156" i="104"/>
  <c r="AJ156" i="104"/>
  <c r="AC157" i="104"/>
  <c r="AD157" i="104"/>
  <c r="AE157" i="104"/>
  <c r="AF157" i="104"/>
  <c r="AG157" i="104"/>
  <c r="AH157" i="104"/>
  <c r="AI157" i="104"/>
  <c r="AJ157" i="104"/>
  <c r="AC158" i="104"/>
  <c r="AD158" i="104"/>
  <c r="AE158" i="104"/>
  <c r="AF158" i="104"/>
  <c r="AG158" i="104"/>
  <c r="AH158" i="104"/>
  <c r="AI158" i="104"/>
  <c r="AJ158" i="104"/>
  <c r="AC159" i="104"/>
  <c r="AD159" i="104"/>
  <c r="AE159" i="104"/>
  <c r="AF159" i="104"/>
  <c r="AG159" i="104"/>
  <c r="AH159" i="104"/>
  <c r="AI159" i="104"/>
  <c r="AJ159" i="104"/>
  <c r="AC160" i="104"/>
  <c r="AD160" i="104"/>
  <c r="AE160" i="104"/>
  <c r="AF160" i="104"/>
  <c r="AG160" i="104"/>
  <c r="AH160" i="104"/>
  <c r="AI160" i="104"/>
  <c r="AJ160" i="104"/>
  <c r="AC161" i="104"/>
  <c r="AD161" i="104"/>
  <c r="AE161" i="104"/>
  <c r="AF161" i="104"/>
  <c r="AG161" i="104"/>
  <c r="AH161" i="104"/>
  <c r="AI161" i="104"/>
  <c r="AJ161" i="104"/>
  <c r="AC162" i="104"/>
  <c r="AD162" i="104"/>
  <c r="AE162" i="104"/>
  <c r="AF162" i="104"/>
  <c r="AG162" i="104"/>
  <c r="AH162" i="104"/>
  <c r="AI162" i="104"/>
  <c r="AJ162" i="104"/>
  <c r="AC163" i="104"/>
  <c r="AD163" i="104"/>
  <c r="AE163" i="104"/>
  <c r="AF163" i="104"/>
  <c r="AG163" i="104"/>
  <c r="AH163" i="104"/>
  <c r="AI163" i="104"/>
  <c r="AJ163" i="104"/>
  <c r="AC172" i="104"/>
  <c r="AD172" i="104"/>
  <c r="AE172" i="104"/>
  <c r="AF172" i="104"/>
  <c r="AG172" i="104"/>
  <c r="AH172" i="104"/>
  <c r="AI172" i="104"/>
  <c r="AJ172" i="104"/>
  <c r="AB64" i="104"/>
  <c r="AD64" i="104"/>
  <c r="AE64" i="104"/>
  <c r="AF64" i="104"/>
  <c r="AG64" i="104"/>
  <c r="AH64" i="104"/>
  <c r="AI64" i="104"/>
  <c r="AJ64" i="104"/>
  <c r="AC65" i="104"/>
  <c r="AD65" i="104"/>
  <c r="AE65" i="104"/>
  <c r="AF65" i="104"/>
  <c r="AG65" i="104"/>
  <c r="AH65" i="104"/>
  <c r="AI65" i="104"/>
  <c r="AJ65" i="104"/>
  <c r="AC66" i="104"/>
  <c r="AD66" i="104"/>
  <c r="AE66" i="104"/>
  <c r="AF66" i="104"/>
  <c r="AG66" i="104"/>
  <c r="AH66" i="104"/>
  <c r="AI66" i="104"/>
  <c r="AJ66" i="104"/>
  <c r="AC67" i="104"/>
  <c r="AD67" i="104"/>
  <c r="AE67" i="104"/>
  <c r="AF67" i="104"/>
  <c r="AG67" i="104"/>
  <c r="AH67" i="104"/>
  <c r="AI67" i="104"/>
  <c r="AJ67" i="104"/>
  <c r="AC68" i="104"/>
  <c r="AD68" i="104"/>
  <c r="AE68" i="104"/>
  <c r="AF68" i="104"/>
  <c r="AG68" i="104"/>
  <c r="AH68" i="104"/>
  <c r="AI68" i="104"/>
  <c r="AJ68" i="104"/>
  <c r="AC69" i="104"/>
  <c r="AD69" i="104"/>
  <c r="AE69" i="104"/>
  <c r="AF69" i="104"/>
  <c r="AG69" i="104"/>
  <c r="AH69" i="104"/>
  <c r="AI69" i="104"/>
  <c r="AJ69" i="104"/>
  <c r="AC70" i="104"/>
  <c r="AD70" i="104"/>
  <c r="AE70" i="104"/>
  <c r="AF70" i="104"/>
  <c r="AG70" i="104"/>
  <c r="AH70" i="104"/>
  <c r="AI70" i="104"/>
  <c r="AJ70" i="104"/>
  <c r="AC71" i="104"/>
  <c r="AD71" i="104"/>
  <c r="AE71" i="104"/>
  <c r="AF71" i="104"/>
  <c r="AG71" i="104"/>
  <c r="AH71" i="104"/>
  <c r="AI71" i="104"/>
  <c r="AJ71" i="104"/>
  <c r="AC72" i="104"/>
  <c r="AD72" i="104"/>
  <c r="AE72" i="104"/>
  <c r="AF72" i="104"/>
  <c r="AG72" i="104"/>
  <c r="AH72" i="104"/>
  <c r="AI72" i="104"/>
  <c r="AJ72" i="104"/>
  <c r="AC73" i="104"/>
  <c r="AD73" i="104"/>
  <c r="AE73" i="104"/>
  <c r="AF73" i="104"/>
  <c r="AG73" i="104"/>
  <c r="AH73" i="104"/>
  <c r="AI73" i="104"/>
  <c r="AJ73" i="104"/>
  <c r="AC74" i="104"/>
  <c r="AD74" i="104"/>
  <c r="AE74" i="104"/>
  <c r="AF74" i="104"/>
  <c r="AG74" i="104"/>
  <c r="AH74" i="104"/>
  <c r="AI74" i="104"/>
  <c r="AJ74" i="104"/>
  <c r="AC75" i="104"/>
  <c r="AD75" i="104"/>
  <c r="AE75" i="104"/>
  <c r="AF75" i="104"/>
  <c r="AG75" i="104"/>
  <c r="AH75" i="104"/>
  <c r="AI75" i="104"/>
  <c r="AJ75" i="104"/>
  <c r="AC88" i="104"/>
  <c r="AD88" i="104"/>
  <c r="AE88" i="104"/>
  <c r="AF88" i="104"/>
  <c r="AG88" i="104"/>
  <c r="AH88" i="104"/>
  <c r="AI88" i="104"/>
  <c r="AJ88" i="104"/>
  <c r="AC89" i="104"/>
  <c r="AD89" i="104"/>
  <c r="AE89" i="104"/>
  <c r="AF89" i="104"/>
  <c r="AG89" i="104"/>
  <c r="AH89" i="104"/>
  <c r="AI89" i="104"/>
  <c r="AJ89" i="104"/>
  <c r="AC90" i="104"/>
  <c r="AD90" i="104"/>
  <c r="AE90" i="104"/>
  <c r="AF90" i="104"/>
  <c r="AG90" i="104"/>
  <c r="AH90" i="104"/>
  <c r="AI90" i="104"/>
  <c r="AC91" i="104"/>
  <c r="AD91" i="104"/>
  <c r="AE91" i="104"/>
  <c r="AF91" i="104"/>
  <c r="AG91" i="104"/>
  <c r="AH91" i="104"/>
  <c r="AI91" i="104"/>
  <c r="AJ91" i="104"/>
  <c r="AC92" i="104"/>
  <c r="AD92" i="104"/>
  <c r="AE92" i="104"/>
  <c r="AF92" i="104"/>
  <c r="AG92" i="104"/>
  <c r="AH92" i="104"/>
  <c r="AI92" i="104"/>
  <c r="AJ92" i="104"/>
  <c r="AC93" i="104"/>
  <c r="AD93" i="104"/>
  <c r="AE93" i="104"/>
  <c r="AF93" i="104"/>
  <c r="AG93" i="104"/>
  <c r="AH93" i="104"/>
  <c r="AI93" i="104"/>
  <c r="AJ93" i="104"/>
  <c r="AC95" i="104"/>
  <c r="AD95" i="104"/>
  <c r="AE95" i="104"/>
  <c r="AF95" i="104"/>
  <c r="AG95" i="104"/>
  <c r="AH95" i="104"/>
  <c r="AI95" i="104"/>
  <c r="AJ95" i="104"/>
  <c r="AC96" i="104"/>
  <c r="AD96" i="104"/>
  <c r="AE96" i="104"/>
  <c r="AF96" i="104"/>
  <c r="AG96" i="104"/>
  <c r="AH96" i="104"/>
  <c r="AI96" i="104"/>
  <c r="AJ96" i="104"/>
  <c r="AC97" i="104"/>
  <c r="AD97" i="104"/>
  <c r="AE97" i="104"/>
  <c r="AF97" i="104"/>
  <c r="AG97" i="104"/>
  <c r="AH97" i="104"/>
  <c r="AI97" i="104"/>
  <c r="AJ97" i="104"/>
  <c r="AC99" i="104"/>
  <c r="AD99" i="104"/>
  <c r="AE99" i="104"/>
  <c r="AF99" i="104"/>
  <c r="AG99" i="104"/>
  <c r="AH99" i="104"/>
  <c r="AI99" i="104"/>
  <c r="AJ99" i="104"/>
  <c r="AC100" i="104"/>
  <c r="AD100" i="104"/>
  <c r="AE100" i="104"/>
  <c r="AF100" i="104"/>
  <c r="AG100" i="104"/>
  <c r="AH100" i="104"/>
  <c r="AI100" i="104"/>
  <c r="AJ100" i="104"/>
  <c r="AC101" i="104"/>
  <c r="AD101" i="104"/>
  <c r="AE101" i="104"/>
  <c r="AF101" i="104"/>
  <c r="AG101" i="104"/>
  <c r="AH101" i="104"/>
  <c r="AI101" i="104"/>
  <c r="AJ101" i="104"/>
  <c r="AC102" i="104"/>
  <c r="AD102" i="104"/>
  <c r="AE102" i="104"/>
  <c r="AF102" i="104"/>
  <c r="AG102" i="104"/>
  <c r="AH102" i="104"/>
  <c r="AI102" i="104"/>
  <c r="AJ102" i="104"/>
  <c r="AC103" i="104"/>
  <c r="AD103" i="104"/>
  <c r="AE103" i="104"/>
  <c r="AF103" i="104"/>
  <c r="AG103" i="104"/>
  <c r="AH103" i="104"/>
  <c r="AI103" i="104"/>
  <c r="AJ103" i="104"/>
  <c r="AC104" i="104"/>
  <c r="AD104" i="104"/>
  <c r="AE104" i="104"/>
  <c r="AF104" i="104"/>
  <c r="AG104" i="104"/>
  <c r="AH104" i="104"/>
  <c r="AI104" i="104"/>
  <c r="AJ104" i="104"/>
  <c r="AC105" i="104"/>
  <c r="AD105" i="104"/>
  <c r="AE105" i="104"/>
  <c r="AF105" i="104"/>
  <c r="AG105" i="104"/>
  <c r="AH105" i="104"/>
  <c r="AI105" i="104"/>
  <c r="AJ105" i="104"/>
  <c r="AC106" i="104"/>
  <c r="AD106" i="104"/>
  <c r="AE106" i="104"/>
  <c r="AF106" i="104"/>
  <c r="AG106" i="104"/>
  <c r="AH106" i="104"/>
  <c r="AI106" i="104"/>
  <c r="AJ106" i="104"/>
  <c r="AC115" i="104"/>
  <c r="AD115" i="104"/>
  <c r="AE115" i="104"/>
  <c r="AF115" i="104"/>
  <c r="AG115" i="104"/>
  <c r="AH115" i="104"/>
  <c r="AI115" i="104"/>
  <c r="AJ115" i="104"/>
  <c r="AL120" i="104"/>
  <c r="AM120" i="104"/>
  <c r="AN120" i="104"/>
  <c r="AO120" i="104"/>
  <c r="AP120" i="104"/>
  <c r="AQ120" i="104"/>
  <c r="AR120" i="104"/>
  <c r="AS120" i="104"/>
  <c r="AU120" i="104"/>
  <c r="AV120" i="104"/>
  <c r="AW120" i="104"/>
  <c r="AX120" i="104"/>
  <c r="AY120" i="104"/>
  <c r="AZ120" i="104"/>
  <c r="BA120" i="104"/>
  <c r="AK120" i="104"/>
  <c r="E120" i="135"/>
  <c r="H115" i="135" s="1"/>
  <c r="E121" i="135"/>
  <c r="H116" i="135" s="1"/>
  <c r="E119" i="135"/>
  <c r="H114" i="135" s="1"/>
  <c r="AL63" i="104"/>
  <c r="AM63" i="104"/>
  <c r="AN63" i="104"/>
  <c r="AO63" i="104"/>
  <c r="AP63" i="104"/>
  <c r="AQ63" i="104"/>
  <c r="AR63" i="104"/>
  <c r="AS63" i="104"/>
  <c r="AV63" i="104"/>
  <c r="AW63" i="104"/>
  <c r="AY63" i="104"/>
  <c r="AZ63" i="104"/>
  <c r="BA63" i="104"/>
  <c r="AK63" i="104"/>
  <c r="W121" i="104"/>
  <c r="W122" i="104"/>
  <c r="W123" i="104"/>
  <c r="W124" i="104"/>
  <c r="W125" i="104"/>
  <c r="W126" i="104"/>
  <c r="W127" i="104"/>
  <c r="W128" i="104"/>
  <c r="W129" i="104"/>
  <c r="W130" i="104"/>
  <c r="W131" i="104"/>
  <c r="W132" i="104"/>
  <c r="W133" i="104"/>
  <c r="W134" i="104"/>
  <c r="W135" i="104"/>
  <c r="W136" i="104"/>
  <c r="W137" i="104"/>
  <c r="W138" i="104"/>
  <c r="W139" i="104"/>
  <c r="W140" i="104"/>
  <c r="W141" i="104"/>
  <c r="W142" i="104"/>
  <c r="W143" i="104"/>
  <c r="W145" i="104"/>
  <c r="W147" i="104"/>
  <c r="W148" i="104"/>
  <c r="W149" i="104"/>
  <c r="W150" i="104"/>
  <c r="W151" i="104"/>
  <c r="W152" i="104"/>
  <c r="W153" i="104"/>
  <c r="W154" i="104"/>
  <c r="W155" i="104"/>
  <c r="W156" i="104"/>
  <c r="W157" i="104"/>
  <c r="W158" i="104"/>
  <c r="W159" i="104"/>
  <c r="W160" i="104"/>
  <c r="W161" i="104"/>
  <c r="W162" i="104"/>
  <c r="W163" i="104"/>
  <c r="W164" i="104"/>
  <c r="W165" i="104"/>
  <c r="W166" i="104"/>
  <c r="W167" i="104"/>
  <c r="W168" i="104"/>
  <c r="W169" i="104"/>
  <c r="W170" i="104"/>
  <c r="W171" i="104"/>
  <c r="W172" i="104"/>
  <c r="W174" i="104"/>
  <c r="W175" i="104"/>
  <c r="W120" i="104"/>
  <c r="W144" i="104"/>
  <c r="W146" i="104"/>
  <c r="V121" i="104"/>
  <c r="V122" i="104"/>
  <c r="V123" i="104"/>
  <c r="V124" i="104"/>
  <c r="V125" i="104"/>
  <c r="V126" i="104"/>
  <c r="V127" i="104"/>
  <c r="V128" i="104"/>
  <c r="V129" i="104"/>
  <c r="V130" i="104"/>
  <c r="V131" i="104"/>
  <c r="V132" i="104"/>
  <c r="V133" i="104"/>
  <c r="V134" i="104"/>
  <c r="V135" i="104"/>
  <c r="V136" i="104"/>
  <c r="V137" i="104"/>
  <c r="V138" i="104"/>
  <c r="V139" i="104"/>
  <c r="V140" i="104"/>
  <c r="V141" i="104"/>
  <c r="V142" i="104"/>
  <c r="V143" i="104"/>
  <c r="V144" i="104"/>
  <c r="V145" i="104"/>
  <c r="V146" i="104"/>
  <c r="V147" i="104"/>
  <c r="V148" i="104"/>
  <c r="V149" i="104"/>
  <c r="V150" i="104"/>
  <c r="V151" i="104"/>
  <c r="V152" i="104"/>
  <c r="V153" i="104"/>
  <c r="V154" i="104"/>
  <c r="V155" i="104"/>
  <c r="V156" i="104"/>
  <c r="V157" i="104"/>
  <c r="V158" i="104"/>
  <c r="V159" i="104"/>
  <c r="V160" i="104"/>
  <c r="V161" i="104"/>
  <c r="V162" i="104"/>
  <c r="V163" i="104"/>
  <c r="V164" i="104"/>
  <c r="V165" i="104"/>
  <c r="V166" i="104"/>
  <c r="V167" i="104"/>
  <c r="V168" i="104"/>
  <c r="V169" i="104"/>
  <c r="V170" i="104"/>
  <c r="V171" i="104"/>
  <c r="V172" i="104"/>
  <c r="V174" i="104"/>
  <c r="V175" i="104"/>
  <c r="V69" i="104"/>
  <c r="W69" i="104"/>
  <c r="V70" i="104"/>
  <c r="W70" i="104"/>
  <c r="V71" i="104"/>
  <c r="W71" i="104"/>
  <c r="V72" i="104"/>
  <c r="W72" i="104"/>
  <c r="V73" i="104"/>
  <c r="W73" i="104"/>
  <c r="V74" i="104"/>
  <c r="W74" i="104"/>
  <c r="V75" i="104"/>
  <c r="W75" i="104"/>
  <c r="V76" i="104"/>
  <c r="W76" i="104"/>
  <c r="V77" i="104"/>
  <c r="W77" i="104"/>
  <c r="V78" i="104"/>
  <c r="W78" i="104"/>
  <c r="V79" i="104"/>
  <c r="W79" i="104"/>
  <c r="V80" i="104"/>
  <c r="W80" i="104"/>
  <c r="V81" i="104"/>
  <c r="W81" i="104"/>
  <c r="V82" i="104"/>
  <c r="W82" i="104"/>
  <c r="V83" i="104"/>
  <c r="W83" i="104"/>
  <c r="V84" i="104"/>
  <c r="W84" i="104"/>
  <c r="V85" i="104"/>
  <c r="W85" i="104"/>
  <c r="V86" i="104"/>
  <c r="W86" i="104"/>
  <c r="V87" i="104"/>
  <c r="W87" i="104"/>
  <c r="V88" i="104"/>
  <c r="W88" i="104"/>
  <c r="V89" i="104"/>
  <c r="W89" i="104"/>
  <c r="V90" i="104"/>
  <c r="W90" i="104"/>
  <c r="V91" i="104"/>
  <c r="W91" i="104"/>
  <c r="V92" i="104"/>
  <c r="W92" i="104"/>
  <c r="V93" i="104"/>
  <c r="W93" i="104"/>
  <c r="V94" i="104"/>
  <c r="W94" i="104"/>
  <c r="V95" i="104"/>
  <c r="W95" i="104"/>
  <c r="V96" i="104"/>
  <c r="W96" i="104"/>
  <c r="V97" i="104"/>
  <c r="W97" i="104"/>
  <c r="V98" i="104"/>
  <c r="W98" i="104"/>
  <c r="V99" i="104"/>
  <c r="W99" i="104"/>
  <c r="V100" i="104"/>
  <c r="W100" i="104"/>
  <c r="V101" i="104"/>
  <c r="W101" i="104"/>
  <c r="V102" i="104"/>
  <c r="W102" i="104"/>
  <c r="V103" i="104"/>
  <c r="W103" i="104"/>
  <c r="V104" i="104"/>
  <c r="W104" i="104"/>
  <c r="V105" i="104"/>
  <c r="W105" i="104"/>
  <c r="V106" i="104"/>
  <c r="W106" i="104"/>
  <c r="V107" i="104"/>
  <c r="W107" i="104"/>
  <c r="V108" i="104"/>
  <c r="W108" i="104"/>
  <c r="V109" i="104"/>
  <c r="W109" i="104"/>
  <c r="V110" i="104"/>
  <c r="W110" i="104"/>
  <c r="V111" i="104"/>
  <c r="W111" i="104"/>
  <c r="V112" i="104"/>
  <c r="W112" i="104"/>
  <c r="V113" i="104"/>
  <c r="W113" i="104"/>
  <c r="V114" i="104"/>
  <c r="W114" i="104"/>
  <c r="V115" i="104"/>
  <c r="W115" i="104"/>
  <c r="V117" i="104"/>
  <c r="W117" i="104"/>
  <c r="V118" i="104"/>
  <c r="W118" i="104"/>
  <c r="V64" i="104"/>
  <c r="W64" i="104"/>
  <c r="V65" i="104"/>
  <c r="W65" i="104"/>
  <c r="V66" i="104"/>
  <c r="W66" i="104"/>
  <c r="V67" i="104"/>
  <c r="W67" i="104"/>
  <c r="V68" i="104"/>
  <c r="W68" i="104"/>
  <c r="W63" i="104"/>
  <c r="R126" i="104"/>
  <c r="CD126" i="104" s="1"/>
  <c r="S126" i="104"/>
  <c r="CK126" i="104" s="1"/>
  <c r="T126" i="104"/>
  <c r="CR126" i="104" s="1"/>
  <c r="U126" i="104"/>
  <c r="R127" i="104"/>
  <c r="CD127" i="104" s="1"/>
  <c r="S127" i="104"/>
  <c r="CK127" i="104" s="1"/>
  <c r="T127" i="104"/>
  <c r="CR127" i="104" s="1"/>
  <c r="U127" i="104"/>
  <c r="R128" i="104"/>
  <c r="CD128" i="104" s="1"/>
  <c r="S128" i="104"/>
  <c r="CK128" i="104" s="1"/>
  <c r="T128" i="104"/>
  <c r="CR128" i="104" s="1"/>
  <c r="U128" i="104"/>
  <c r="R129" i="104"/>
  <c r="CD129" i="104" s="1"/>
  <c r="S129" i="104"/>
  <c r="CK129" i="104" s="1"/>
  <c r="T129" i="104"/>
  <c r="CR129" i="104" s="1"/>
  <c r="U129" i="104"/>
  <c r="T130" i="104"/>
  <c r="CR130" i="104" s="1"/>
  <c r="U130" i="104"/>
  <c r="R131" i="104"/>
  <c r="CD131" i="104" s="1"/>
  <c r="S131" i="104"/>
  <c r="CK131" i="104" s="1"/>
  <c r="T131" i="104"/>
  <c r="CR131" i="104" s="1"/>
  <c r="U131" i="104"/>
  <c r="R132" i="104"/>
  <c r="CD132" i="104" s="1"/>
  <c r="S132" i="104"/>
  <c r="CK132" i="104" s="1"/>
  <c r="T132" i="104"/>
  <c r="CR132" i="104" s="1"/>
  <c r="U132" i="104"/>
  <c r="T133" i="104"/>
  <c r="CR133" i="104" s="1"/>
  <c r="CS133" i="104" s="1"/>
  <c r="CT133" i="104" s="1"/>
  <c r="CU133" i="104" s="1"/>
  <c r="CV133" i="104" s="1"/>
  <c r="CW133" i="104" s="1"/>
  <c r="CX133" i="104" s="1"/>
  <c r="U133" i="104"/>
  <c r="T134" i="104"/>
  <c r="CR134" i="104" s="1"/>
  <c r="CS134" i="104" s="1"/>
  <c r="CT134" i="104" s="1"/>
  <c r="CU134" i="104" s="1"/>
  <c r="CV134" i="104" s="1"/>
  <c r="CW134" i="104" s="1"/>
  <c r="CX134" i="104" s="1"/>
  <c r="U134" i="104"/>
  <c r="T135" i="104"/>
  <c r="CR135" i="104" s="1"/>
  <c r="CS135" i="104" s="1"/>
  <c r="CT135" i="104" s="1"/>
  <c r="CU135" i="104" s="1"/>
  <c r="CV135" i="104" s="1"/>
  <c r="CW135" i="104" s="1"/>
  <c r="CX135" i="104" s="1"/>
  <c r="U135" i="104"/>
  <c r="T136" i="104"/>
  <c r="CR136" i="104" s="1"/>
  <c r="CS136" i="104" s="1"/>
  <c r="CT136" i="104" s="1"/>
  <c r="CU136" i="104" s="1"/>
  <c r="CV136" i="104" s="1"/>
  <c r="CW136" i="104" s="1"/>
  <c r="CX136" i="104" s="1"/>
  <c r="U136" i="104"/>
  <c r="T137" i="104"/>
  <c r="CR137" i="104" s="1"/>
  <c r="CS137" i="104" s="1"/>
  <c r="CT137" i="104" s="1"/>
  <c r="CU137" i="104" s="1"/>
  <c r="CV137" i="104" s="1"/>
  <c r="CW137" i="104" s="1"/>
  <c r="CX137" i="104" s="1"/>
  <c r="U137" i="104"/>
  <c r="T138" i="104"/>
  <c r="CR138" i="104" s="1"/>
  <c r="CS138" i="104" s="1"/>
  <c r="CT138" i="104" s="1"/>
  <c r="CU138" i="104" s="1"/>
  <c r="CV138" i="104" s="1"/>
  <c r="CW138" i="104" s="1"/>
  <c r="CX138" i="104" s="1"/>
  <c r="U138" i="104"/>
  <c r="T139" i="104"/>
  <c r="CR139" i="104" s="1"/>
  <c r="CS139" i="104" s="1"/>
  <c r="CT139" i="104" s="1"/>
  <c r="CU139" i="104" s="1"/>
  <c r="CV139" i="104" s="1"/>
  <c r="CW139" i="104" s="1"/>
  <c r="CX139" i="104" s="1"/>
  <c r="U139" i="104"/>
  <c r="T140" i="104"/>
  <c r="CR140" i="104" s="1"/>
  <c r="CS140" i="104" s="1"/>
  <c r="CT140" i="104" s="1"/>
  <c r="CU140" i="104" s="1"/>
  <c r="CV140" i="104" s="1"/>
  <c r="CW140" i="104" s="1"/>
  <c r="CX140" i="104" s="1"/>
  <c r="U140" i="104"/>
  <c r="T141" i="104"/>
  <c r="CR141" i="104" s="1"/>
  <c r="CS141" i="104" s="1"/>
  <c r="CT141" i="104" s="1"/>
  <c r="CU141" i="104" s="1"/>
  <c r="CV141" i="104" s="1"/>
  <c r="CW141" i="104" s="1"/>
  <c r="CX141" i="104" s="1"/>
  <c r="U141" i="104"/>
  <c r="T142" i="104"/>
  <c r="CR142" i="104" s="1"/>
  <c r="CS142" i="104" s="1"/>
  <c r="CT142" i="104" s="1"/>
  <c r="CU142" i="104" s="1"/>
  <c r="CV142" i="104" s="1"/>
  <c r="CW142" i="104" s="1"/>
  <c r="CX142" i="104" s="1"/>
  <c r="U142" i="104"/>
  <c r="T143" i="104"/>
  <c r="CR143" i="104" s="1"/>
  <c r="CS143" i="104" s="1"/>
  <c r="CT143" i="104" s="1"/>
  <c r="CU143" i="104" s="1"/>
  <c r="CV143" i="104" s="1"/>
  <c r="CW143" i="104" s="1"/>
  <c r="CX143" i="104" s="1"/>
  <c r="U143" i="104"/>
  <c r="T144" i="104"/>
  <c r="CR144" i="104" s="1"/>
  <c r="CS144" i="104" s="1"/>
  <c r="CT144" i="104" s="1"/>
  <c r="CU144" i="104" s="1"/>
  <c r="CV144" i="104" s="1"/>
  <c r="CW144" i="104" s="1"/>
  <c r="CX144" i="104" s="1"/>
  <c r="U144" i="104"/>
  <c r="U145" i="104"/>
  <c r="U146" i="104"/>
  <c r="T147" i="104"/>
  <c r="CR147" i="104" s="1"/>
  <c r="CS147" i="104" s="1"/>
  <c r="CT147" i="104" s="1"/>
  <c r="CU147" i="104" s="1"/>
  <c r="CV147" i="104" s="1"/>
  <c r="CW147" i="104" s="1"/>
  <c r="CX147" i="104" s="1"/>
  <c r="U147" i="104"/>
  <c r="U148" i="104"/>
  <c r="U149" i="104"/>
  <c r="U150" i="104"/>
  <c r="U151" i="104"/>
  <c r="U152" i="104"/>
  <c r="U153" i="104"/>
  <c r="U154" i="104"/>
  <c r="U155" i="104"/>
  <c r="R156" i="104"/>
  <c r="CD156" i="104" s="1"/>
  <c r="CE156" i="104" s="1"/>
  <c r="CF156" i="104" s="1"/>
  <c r="CG156" i="104" s="1"/>
  <c r="CH156" i="104" s="1"/>
  <c r="CI156" i="104" s="1"/>
  <c r="CJ156" i="104" s="1"/>
  <c r="S156" i="104"/>
  <c r="CK156" i="104" s="1"/>
  <c r="CL156" i="104" s="1"/>
  <c r="CM156" i="104" s="1"/>
  <c r="CN156" i="104" s="1"/>
  <c r="CO156" i="104" s="1"/>
  <c r="CP156" i="104" s="1"/>
  <c r="CQ156" i="104" s="1"/>
  <c r="T156" i="104"/>
  <c r="CR156" i="104" s="1"/>
  <c r="CS156" i="104" s="1"/>
  <c r="CT156" i="104" s="1"/>
  <c r="CU156" i="104" s="1"/>
  <c r="CV156" i="104" s="1"/>
  <c r="CW156" i="104" s="1"/>
  <c r="CX156" i="104" s="1"/>
  <c r="U156" i="104"/>
  <c r="R157" i="104"/>
  <c r="CD157" i="104" s="1"/>
  <c r="CE157" i="104" s="1"/>
  <c r="CF157" i="104" s="1"/>
  <c r="CG157" i="104" s="1"/>
  <c r="CH157" i="104" s="1"/>
  <c r="CI157" i="104" s="1"/>
  <c r="CJ157" i="104" s="1"/>
  <c r="S157" i="104"/>
  <c r="CK157" i="104" s="1"/>
  <c r="CL157" i="104" s="1"/>
  <c r="CM157" i="104" s="1"/>
  <c r="CN157" i="104" s="1"/>
  <c r="CO157" i="104" s="1"/>
  <c r="CP157" i="104" s="1"/>
  <c r="CQ157" i="104" s="1"/>
  <c r="T157" i="104"/>
  <c r="CR157" i="104" s="1"/>
  <c r="CS157" i="104" s="1"/>
  <c r="CT157" i="104" s="1"/>
  <c r="CU157" i="104" s="1"/>
  <c r="CV157" i="104" s="1"/>
  <c r="CW157" i="104" s="1"/>
  <c r="CX157" i="104" s="1"/>
  <c r="U157" i="104"/>
  <c r="R158" i="104"/>
  <c r="CD158" i="104" s="1"/>
  <c r="CE158" i="104" s="1"/>
  <c r="CF158" i="104" s="1"/>
  <c r="CG158" i="104" s="1"/>
  <c r="CH158" i="104" s="1"/>
  <c r="CI158" i="104" s="1"/>
  <c r="CJ158" i="104" s="1"/>
  <c r="S158" i="104"/>
  <c r="CK158" i="104" s="1"/>
  <c r="CL158" i="104" s="1"/>
  <c r="CM158" i="104" s="1"/>
  <c r="CN158" i="104" s="1"/>
  <c r="CO158" i="104" s="1"/>
  <c r="CP158" i="104" s="1"/>
  <c r="CQ158" i="104" s="1"/>
  <c r="T158" i="104"/>
  <c r="CR158" i="104" s="1"/>
  <c r="CS158" i="104" s="1"/>
  <c r="CT158" i="104" s="1"/>
  <c r="CU158" i="104" s="1"/>
  <c r="CV158" i="104" s="1"/>
  <c r="CW158" i="104" s="1"/>
  <c r="CX158" i="104" s="1"/>
  <c r="U158" i="104"/>
  <c r="R159" i="104"/>
  <c r="CD159" i="104" s="1"/>
  <c r="CE159" i="104" s="1"/>
  <c r="CF159" i="104" s="1"/>
  <c r="CG159" i="104" s="1"/>
  <c r="CH159" i="104" s="1"/>
  <c r="CI159" i="104" s="1"/>
  <c r="CJ159" i="104" s="1"/>
  <c r="S159" i="104"/>
  <c r="CK159" i="104" s="1"/>
  <c r="CL159" i="104" s="1"/>
  <c r="CM159" i="104" s="1"/>
  <c r="CN159" i="104" s="1"/>
  <c r="CO159" i="104" s="1"/>
  <c r="CP159" i="104" s="1"/>
  <c r="CQ159" i="104" s="1"/>
  <c r="T159" i="104"/>
  <c r="CR159" i="104" s="1"/>
  <c r="CS159" i="104" s="1"/>
  <c r="CT159" i="104" s="1"/>
  <c r="CU159" i="104" s="1"/>
  <c r="CV159" i="104" s="1"/>
  <c r="CW159" i="104" s="1"/>
  <c r="CX159" i="104" s="1"/>
  <c r="U159" i="104"/>
  <c r="R160" i="104"/>
  <c r="CD160" i="104" s="1"/>
  <c r="CE160" i="104" s="1"/>
  <c r="CF160" i="104" s="1"/>
  <c r="CG160" i="104" s="1"/>
  <c r="CH160" i="104" s="1"/>
  <c r="CI160" i="104" s="1"/>
  <c r="CJ160" i="104" s="1"/>
  <c r="S160" i="104"/>
  <c r="CK160" i="104" s="1"/>
  <c r="CL160" i="104" s="1"/>
  <c r="CM160" i="104" s="1"/>
  <c r="CN160" i="104" s="1"/>
  <c r="CO160" i="104" s="1"/>
  <c r="CP160" i="104" s="1"/>
  <c r="CQ160" i="104" s="1"/>
  <c r="T160" i="104"/>
  <c r="CR160" i="104" s="1"/>
  <c r="CS160" i="104" s="1"/>
  <c r="CT160" i="104" s="1"/>
  <c r="CU160" i="104" s="1"/>
  <c r="CV160" i="104" s="1"/>
  <c r="CW160" i="104" s="1"/>
  <c r="CX160" i="104" s="1"/>
  <c r="U160" i="104"/>
  <c r="R161" i="104"/>
  <c r="CD161" i="104" s="1"/>
  <c r="CE161" i="104" s="1"/>
  <c r="CF161" i="104" s="1"/>
  <c r="CG161" i="104" s="1"/>
  <c r="CH161" i="104" s="1"/>
  <c r="CI161" i="104" s="1"/>
  <c r="CJ161" i="104" s="1"/>
  <c r="S161" i="104"/>
  <c r="CK161" i="104" s="1"/>
  <c r="CL161" i="104" s="1"/>
  <c r="CM161" i="104" s="1"/>
  <c r="CN161" i="104" s="1"/>
  <c r="CO161" i="104" s="1"/>
  <c r="CP161" i="104" s="1"/>
  <c r="CQ161" i="104" s="1"/>
  <c r="T161" i="104"/>
  <c r="CR161" i="104" s="1"/>
  <c r="CS161" i="104" s="1"/>
  <c r="CT161" i="104" s="1"/>
  <c r="CU161" i="104" s="1"/>
  <c r="CV161" i="104" s="1"/>
  <c r="CW161" i="104" s="1"/>
  <c r="CX161" i="104" s="1"/>
  <c r="U161" i="104"/>
  <c r="R162" i="104"/>
  <c r="CD162" i="104" s="1"/>
  <c r="CE162" i="104" s="1"/>
  <c r="CF162" i="104" s="1"/>
  <c r="CG162" i="104" s="1"/>
  <c r="CH162" i="104" s="1"/>
  <c r="CI162" i="104" s="1"/>
  <c r="CJ162" i="104" s="1"/>
  <c r="S162" i="104"/>
  <c r="CK162" i="104" s="1"/>
  <c r="CL162" i="104" s="1"/>
  <c r="CM162" i="104" s="1"/>
  <c r="CN162" i="104" s="1"/>
  <c r="CO162" i="104" s="1"/>
  <c r="CP162" i="104" s="1"/>
  <c r="CQ162" i="104" s="1"/>
  <c r="T162" i="104"/>
  <c r="CR162" i="104" s="1"/>
  <c r="CS162" i="104" s="1"/>
  <c r="CT162" i="104" s="1"/>
  <c r="CU162" i="104" s="1"/>
  <c r="CV162" i="104" s="1"/>
  <c r="CW162" i="104" s="1"/>
  <c r="CX162" i="104" s="1"/>
  <c r="U162" i="104"/>
  <c r="R163" i="104"/>
  <c r="CD163" i="104" s="1"/>
  <c r="CE163" i="104" s="1"/>
  <c r="CF163" i="104" s="1"/>
  <c r="CG163" i="104" s="1"/>
  <c r="CH163" i="104" s="1"/>
  <c r="CI163" i="104" s="1"/>
  <c r="CJ163" i="104" s="1"/>
  <c r="S163" i="104"/>
  <c r="CK163" i="104" s="1"/>
  <c r="CL163" i="104" s="1"/>
  <c r="CM163" i="104" s="1"/>
  <c r="CN163" i="104" s="1"/>
  <c r="CO163" i="104" s="1"/>
  <c r="CP163" i="104" s="1"/>
  <c r="CQ163" i="104" s="1"/>
  <c r="T163" i="104"/>
  <c r="CR163" i="104" s="1"/>
  <c r="CS163" i="104" s="1"/>
  <c r="CT163" i="104" s="1"/>
  <c r="CU163" i="104" s="1"/>
  <c r="CV163" i="104" s="1"/>
  <c r="CW163" i="104" s="1"/>
  <c r="CX163" i="104" s="1"/>
  <c r="U163" i="104"/>
  <c r="U164" i="104"/>
  <c r="U165" i="104"/>
  <c r="U166" i="104"/>
  <c r="T167" i="104"/>
  <c r="CR167" i="104" s="1"/>
  <c r="CS167" i="104" s="1"/>
  <c r="CT167" i="104" s="1"/>
  <c r="CU167" i="104" s="1"/>
  <c r="CV167" i="104" s="1"/>
  <c r="CW167" i="104" s="1"/>
  <c r="CX167" i="104" s="1"/>
  <c r="U167" i="104"/>
  <c r="T168" i="104"/>
  <c r="CR168" i="104" s="1"/>
  <c r="CS168" i="104" s="1"/>
  <c r="CT168" i="104" s="1"/>
  <c r="CU168" i="104" s="1"/>
  <c r="CV168" i="104" s="1"/>
  <c r="CW168" i="104" s="1"/>
  <c r="CX168" i="104" s="1"/>
  <c r="U168" i="104"/>
  <c r="T169" i="104"/>
  <c r="CR169" i="104" s="1"/>
  <c r="CS169" i="104" s="1"/>
  <c r="CT169" i="104" s="1"/>
  <c r="CU169" i="104" s="1"/>
  <c r="CV169" i="104" s="1"/>
  <c r="CW169" i="104" s="1"/>
  <c r="CX169" i="104" s="1"/>
  <c r="U169" i="104"/>
  <c r="T170" i="104"/>
  <c r="CR170" i="104" s="1"/>
  <c r="CS170" i="104" s="1"/>
  <c r="CT170" i="104" s="1"/>
  <c r="CU170" i="104" s="1"/>
  <c r="CV170" i="104" s="1"/>
  <c r="CW170" i="104" s="1"/>
  <c r="CX170" i="104" s="1"/>
  <c r="U170" i="104"/>
  <c r="T171" i="104"/>
  <c r="CR171" i="104" s="1"/>
  <c r="CS171" i="104" s="1"/>
  <c r="CT171" i="104" s="1"/>
  <c r="CU171" i="104" s="1"/>
  <c r="CV171" i="104" s="1"/>
  <c r="CW171" i="104" s="1"/>
  <c r="CX171" i="104" s="1"/>
  <c r="U171" i="104"/>
  <c r="T172" i="104"/>
  <c r="CR172" i="104" s="1"/>
  <c r="CS172" i="104" s="1"/>
  <c r="CT172" i="104" s="1"/>
  <c r="CU172" i="104" s="1"/>
  <c r="CV172" i="104" s="1"/>
  <c r="CW172" i="104" s="1"/>
  <c r="CX172" i="104" s="1"/>
  <c r="U172" i="104"/>
  <c r="S174" i="104"/>
  <c r="CK174" i="104" s="1"/>
  <c r="CL174" i="104" s="1"/>
  <c r="CM174" i="104" s="1"/>
  <c r="CN174" i="104" s="1"/>
  <c r="CO174" i="104" s="1"/>
  <c r="CP174" i="104" s="1"/>
  <c r="CQ174" i="104" s="1"/>
  <c r="T174" i="104"/>
  <c r="CR174" i="104" s="1"/>
  <c r="CS174" i="104" s="1"/>
  <c r="CT174" i="104" s="1"/>
  <c r="CU174" i="104" s="1"/>
  <c r="CV174" i="104" s="1"/>
  <c r="CW174" i="104" s="1"/>
  <c r="CX174" i="104" s="1"/>
  <c r="U174" i="104"/>
  <c r="S175" i="104"/>
  <c r="CK175" i="104" s="1"/>
  <c r="CL175" i="104" s="1"/>
  <c r="CM175" i="104" s="1"/>
  <c r="CN175" i="104" s="1"/>
  <c r="CO175" i="104" s="1"/>
  <c r="CP175" i="104" s="1"/>
  <c r="CQ175" i="104" s="1"/>
  <c r="T175" i="104"/>
  <c r="CR175" i="104" s="1"/>
  <c r="CS175" i="104" s="1"/>
  <c r="CT175" i="104" s="1"/>
  <c r="CU175" i="104" s="1"/>
  <c r="CV175" i="104" s="1"/>
  <c r="CW175" i="104" s="1"/>
  <c r="CX175" i="104" s="1"/>
  <c r="U175" i="104"/>
  <c r="T121" i="104"/>
  <c r="CR121" i="104" s="1"/>
  <c r="CS121" i="104" s="1"/>
  <c r="CT121" i="104" s="1"/>
  <c r="CU121" i="104" s="1"/>
  <c r="CV121" i="104" s="1"/>
  <c r="CW121" i="104" s="1"/>
  <c r="CX121" i="104" s="1"/>
  <c r="U121" i="104"/>
  <c r="T122" i="104"/>
  <c r="CR122" i="104" s="1"/>
  <c r="CS122" i="104" s="1"/>
  <c r="CT122" i="104" s="1"/>
  <c r="CU122" i="104" s="1"/>
  <c r="CV122" i="104" s="1"/>
  <c r="CW122" i="104" s="1"/>
  <c r="CX122" i="104" s="1"/>
  <c r="U122" i="104"/>
  <c r="T123" i="104"/>
  <c r="CR123" i="104" s="1"/>
  <c r="CS123" i="104" s="1"/>
  <c r="CT123" i="104" s="1"/>
  <c r="CU123" i="104" s="1"/>
  <c r="CV123" i="104" s="1"/>
  <c r="CW123" i="104" s="1"/>
  <c r="CX123" i="104" s="1"/>
  <c r="U123" i="104"/>
  <c r="T124" i="104"/>
  <c r="CR124" i="104" s="1"/>
  <c r="CS124" i="104" s="1"/>
  <c r="CT124" i="104" s="1"/>
  <c r="CU124" i="104" s="1"/>
  <c r="CV124" i="104" s="1"/>
  <c r="CW124" i="104" s="1"/>
  <c r="CX124" i="104" s="1"/>
  <c r="U124" i="104"/>
  <c r="T125" i="104"/>
  <c r="CR125" i="104" s="1"/>
  <c r="U125" i="104"/>
  <c r="U64" i="104"/>
  <c r="U65" i="104"/>
  <c r="U66" i="104"/>
  <c r="U67" i="104"/>
  <c r="U68" i="104"/>
  <c r="U69" i="104"/>
  <c r="U70" i="104"/>
  <c r="U71" i="104"/>
  <c r="U72" i="104"/>
  <c r="U73" i="104"/>
  <c r="U74" i="104"/>
  <c r="U75" i="104"/>
  <c r="U76" i="104"/>
  <c r="U77" i="104"/>
  <c r="U78" i="104"/>
  <c r="U79" i="104"/>
  <c r="U80" i="104"/>
  <c r="U81" i="104"/>
  <c r="U82" i="104"/>
  <c r="U83" i="104"/>
  <c r="U84" i="104"/>
  <c r="U85" i="104"/>
  <c r="U86" i="104"/>
  <c r="U87" i="104"/>
  <c r="U88" i="104"/>
  <c r="U89" i="104"/>
  <c r="U90" i="104"/>
  <c r="U91" i="104"/>
  <c r="U92" i="104"/>
  <c r="U93" i="104"/>
  <c r="U94" i="104"/>
  <c r="U95" i="104"/>
  <c r="U96" i="104"/>
  <c r="U97" i="104"/>
  <c r="U98" i="104"/>
  <c r="U99" i="104"/>
  <c r="U100" i="104"/>
  <c r="U101" i="104"/>
  <c r="U102" i="104"/>
  <c r="U103" i="104"/>
  <c r="U104" i="104"/>
  <c r="U105" i="104"/>
  <c r="U106" i="104"/>
  <c r="U107" i="104"/>
  <c r="U108" i="104"/>
  <c r="U109" i="104"/>
  <c r="U110" i="104"/>
  <c r="U111" i="104"/>
  <c r="U112" i="104"/>
  <c r="U113" i="104"/>
  <c r="U114" i="104"/>
  <c r="U115" i="104"/>
  <c r="U117" i="104"/>
  <c r="U118" i="104"/>
  <c r="T64" i="104"/>
  <c r="CR64" i="104" s="1"/>
  <c r="CS64" i="104" s="1"/>
  <c r="CT64" i="104" s="1"/>
  <c r="CU64" i="104" s="1"/>
  <c r="CV64" i="104" s="1"/>
  <c r="CW64" i="104" s="1"/>
  <c r="CX64" i="104" s="1"/>
  <c r="T65" i="104"/>
  <c r="CR65" i="104" s="1"/>
  <c r="CS65" i="104" s="1"/>
  <c r="CT65" i="104" s="1"/>
  <c r="CU65" i="104" s="1"/>
  <c r="CV65" i="104" s="1"/>
  <c r="CW65" i="104" s="1"/>
  <c r="CX65" i="104" s="1"/>
  <c r="T66" i="104"/>
  <c r="CR66" i="104" s="1"/>
  <c r="CS66" i="104" s="1"/>
  <c r="CT66" i="104" s="1"/>
  <c r="CU66" i="104" s="1"/>
  <c r="CV66" i="104" s="1"/>
  <c r="CW66" i="104" s="1"/>
  <c r="CX66" i="104" s="1"/>
  <c r="T67" i="104"/>
  <c r="CR67" i="104" s="1"/>
  <c r="CS67" i="104" s="1"/>
  <c r="CT67" i="104" s="1"/>
  <c r="CU67" i="104" s="1"/>
  <c r="CV67" i="104" s="1"/>
  <c r="CW67" i="104" s="1"/>
  <c r="CX67" i="104" s="1"/>
  <c r="T68" i="104"/>
  <c r="CR68" i="104" s="1"/>
  <c r="R69" i="104"/>
  <c r="CD69" i="104" s="1"/>
  <c r="S69" i="104"/>
  <c r="CK69" i="104" s="1"/>
  <c r="T69" i="104"/>
  <c r="CR69" i="104" s="1"/>
  <c r="R70" i="104"/>
  <c r="CD70" i="104" s="1"/>
  <c r="S70" i="104"/>
  <c r="CK70" i="104" s="1"/>
  <c r="T70" i="104"/>
  <c r="CR70" i="104" s="1"/>
  <c r="R71" i="104"/>
  <c r="CD71" i="104" s="1"/>
  <c r="S71" i="104"/>
  <c r="CK71" i="104" s="1"/>
  <c r="T71" i="104"/>
  <c r="CR71" i="104" s="1"/>
  <c r="R72" i="104"/>
  <c r="CD72" i="104" s="1"/>
  <c r="S72" i="104"/>
  <c r="CK72" i="104" s="1"/>
  <c r="T72" i="104"/>
  <c r="CR72" i="104" s="1"/>
  <c r="T73" i="104"/>
  <c r="CR73" i="104" s="1"/>
  <c r="R74" i="104"/>
  <c r="CD74" i="104" s="1"/>
  <c r="S74" i="104"/>
  <c r="CK74" i="104" s="1"/>
  <c r="T74" i="104"/>
  <c r="CR74" i="104" s="1"/>
  <c r="R75" i="104"/>
  <c r="CD75" i="104" s="1"/>
  <c r="S75" i="104"/>
  <c r="CK75" i="104" s="1"/>
  <c r="T75" i="104"/>
  <c r="CR75" i="104" s="1"/>
  <c r="T76" i="104"/>
  <c r="CR76" i="104" s="1"/>
  <c r="CS76" i="104" s="1"/>
  <c r="CT76" i="104" s="1"/>
  <c r="CU76" i="104" s="1"/>
  <c r="CV76" i="104" s="1"/>
  <c r="CW76" i="104" s="1"/>
  <c r="CX76" i="104" s="1"/>
  <c r="T77" i="104"/>
  <c r="CR77" i="104" s="1"/>
  <c r="CS77" i="104" s="1"/>
  <c r="CT77" i="104" s="1"/>
  <c r="CU77" i="104" s="1"/>
  <c r="CV77" i="104" s="1"/>
  <c r="CW77" i="104" s="1"/>
  <c r="CX77" i="104" s="1"/>
  <c r="T78" i="104"/>
  <c r="CR78" i="104" s="1"/>
  <c r="CS78" i="104" s="1"/>
  <c r="CT78" i="104" s="1"/>
  <c r="CU78" i="104" s="1"/>
  <c r="CV78" i="104" s="1"/>
  <c r="CW78" i="104" s="1"/>
  <c r="CX78" i="104" s="1"/>
  <c r="T79" i="104"/>
  <c r="CR79" i="104" s="1"/>
  <c r="CS79" i="104" s="1"/>
  <c r="CT79" i="104" s="1"/>
  <c r="CU79" i="104" s="1"/>
  <c r="CV79" i="104" s="1"/>
  <c r="CW79" i="104" s="1"/>
  <c r="CX79" i="104" s="1"/>
  <c r="T80" i="104"/>
  <c r="CR80" i="104" s="1"/>
  <c r="CS80" i="104" s="1"/>
  <c r="CT80" i="104" s="1"/>
  <c r="CU80" i="104" s="1"/>
  <c r="CV80" i="104" s="1"/>
  <c r="CW80" i="104" s="1"/>
  <c r="CX80" i="104" s="1"/>
  <c r="T81" i="104"/>
  <c r="CR81" i="104" s="1"/>
  <c r="CS81" i="104" s="1"/>
  <c r="CT81" i="104" s="1"/>
  <c r="CU81" i="104" s="1"/>
  <c r="CV81" i="104" s="1"/>
  <c r="CW81" i="104" s="1"/>
  <c r="CX81" i="104" s="1"/>
  <c r="T82" i="104"/>
  <c r="CR82" i="104" s="1"/>
  <c r="CS82" i="104" s="1"/>
  <c r="CT82" i="104" s="1"/>
  <c r="CU82" i="104" s="1"/>
  <c r="CV82" i="104" s="1"/>
  <c r="CW82" i="104" s="1"/>
  <c r="CX82" i="104" s="1"/>
  <c r="T83" i="104"/>
  <c r="CR83" i="104" s="1"/>
  <c r="CS83" i="104" s="1"/>
  <c r="CT83" i="104" s="1"/>
  <c r="CU83" i="104" s="1"/>
  <c r="CV83" i="104" s="1"/>
  <c r="CW83" i="104" s="1"/>
  <c r="CX83" i="104" s="1"/>
  <c r="T84" i="104"/>
  <c r="CR84" i="104" s="1"/>
  <c r="CS84" i="104" s="1"/>
  <c r="CT84" i="104" s="1"/>
  <c r="CU84" i="104" s="1"/>
  <c r="CV84" i="104" s="1"/>
  <c r="CW84" i="104" s="1"/>
  <c r="CX84" i="104" s="1"/>
  <c r="T85" i="104"/>
  <c r="CR85" i="104" s="1"/>
  <c r="CS85" i="104" s="1"/>
  <c r="CT85" i="104" s="1"/>
  <c r="CU85" i="104" s="1"/>
  <c r="CV85" i="104" s="1"/>
  <c r="CW85" i="104" s="1"/>
  <c r="CX85" i="104" s="1"/>
  <c r="T86" i="104"/>
  <c r="CR86" i="104" s="1"/>
  <c r="CS86" i="104" s="1"/>
  <c r="CT86" i="104" s="1"/>
  <c r="CU86" i="104" s="1"/>
  <c r="CV86" i="104" s="1"/>
  <c r="CW86" i="104" s="1"/>
  <c r="CX86" i="104" s="1"/>
  <c r="T87" i="104"/>
  <c r="CR87" i="104" s="1"/>
  <c r="CS87" i="104" s="1"/>
  <c r="CT87" i="104" s="1"/>
  <c r="CU87" i="104" s="1"/>
  <c r="CV87" i="104" s="1"/>
  <c r="CW87" i="104" s="1"/>
  <c r="CX87" i="104" s="1"/>
  <c r="T90" i="104"/>
  <c r="CR90" i="104" s="1"/>
  <c r="CS90" i="104" s="1"/>
  <c r="CT90" i="104" s="1"/>
  <c r="CU90" i="104" s="1"/>
  <c r="CV90" i="104" s="1"/>
  <c r="CW90" i="104" s="1"/>
  <c r="CX90" i="104" s="1"/>
  <c r="R99" i="104"/>
  <c r="CD99" i="104" s="1"/>
  <c r="CE99" i="104" s="1"/>
  <c r="CF99" i="104" s="1"/>
  <c r="CG99" i="104" s="1"/>
  <c r="CH99" i="104" s="1"/>
  <c r="CI99" i="104" s="1"/>
  <c r="CJ99" i="104" s="1"/>
  <c r="S99" i="104"/>
  <c r="CK99" i="104" s="1"/>
  <c r="CL99" i="104" s="1"/>
  <c r="CM99" i="104" s="1"/>
  <c r="CN99" i="104" s="1"/>
  <c r="CO99" i="104" s="1"/>
  <c r="CP99" i="104" s="1"/>
  <c r="CQ99" i="104" s="1"/>
  <c r="T99" i="104"/>
  <c r="CR99" i="104" s="1"/>
  <c r="CS99" i="104" s="1"/>
  <c r="CT99" i="104" s="1"/>
  <c r="CU99" i="104" s="1"/>
  <c r="CV99" i="104" s="1"/>
  <c r="CW99" i="104" s="1"/>
  <c r="CX99" i="104" s="1"/>
  <c r="R100" i="104"/>
  <c r="CD100" i="104" s="1"/>
  <c r="CE100" i="104" s="1"/>
  <c r="CF100" i="104" s="1"/>
  <c r="CG100" i="104" s="1"/>
  <c r="CH100" i="104" s="1"/>
  <c r="CI100" i="104" s="1"/>
  <c r="CJ100" i="104" s="1"/>
  <c r="S100" i="104"/>
  <c r="CK100" i="104" s="1"/>
  <c r="CL100" i="104" s="1"/>
  <c r="CM100" i="104" s="1"/>
  <c r="CN100" i="104" s="1"/>
  <c r="CO100" i="104" s="1"/>
  <c r="CP100" i="104" s="1"/>
  <c r="CQ100" i="104" s="1"/>
  <c r="T100" i="104"/>
  <c r="CR100" i="104" s="1"/>
  <c r="CS100" i="104" s="1"/>
  <c r="CT100" i="104" s="1"/>
  <c r="CU100" i="104" s="1"/>
  <c r="CV100" i="104" s="1"/>
  <c r="CW100" i="104" s="1"/>
  <c r="CX100" i="104" s="1"/>
  <c r="R101" i="104"/>
  <c r="CD101" i="104" s="1"/>
  <c r="CE101" i="104" s="1"/>
  <c r="CF101" i="104" s="1"/>
  <c r="CG101" i="104" s="1"/>
  <c r="CH101" i="104" s="1"/>
  <c r="CI101" i="104" s="1"/>
  <c r="CJ101" i="104" s="1"/>
  <c r="S101" i="104"/>
  <c r="CK101" i="104" s="1"/>
  <c r="CL101" i="104" s="1"/>
  <c r="CM101" i="104" s="1"/>
  <c r="CN101" i="104" s="1"/>
  <c r="CO101" i="104" s="1"/>
  <c r="CP101" i="104" s="1"/>
  <c r="CQ101" i="104" s="1"/>
  <c r="T101" i="104"/>
  <c r="CR101" i="104" s="1"/>
  <c r="CS101" i="104" s="1"/>
  <c r="CT101" i="104" s="1"/>
  <c r="CU101" i="104" s="1"/>
  <c r="CV101" i="104" s="1"/>
  <c r="CW101" i="104" s="1"/>
  <c r="CX101" i="104" s="1"/>
  <c r="R102" i="104"/>
  <c r="CD102" i="104" s="1"/>
  <c r="CE102" i="104" s="1"/>
  <c r="CF102" i="104" s="1"/>
  <c r="CG102" i="104" s="1"/>
  <c r="CH102" i="104" s="1"/>
  <c r="CI102" i="104" s="1"/>
  <c r="CJ102" i="104" s="1"/>
  <c r="S102" i="104"/>
  <c r="CK102" i="104" s="1"/>
  <c r="CL102" i="104" s="1"/>
  <c r="CM102" i="104" s="1"/>
  <c r="CN102" i="104" s="1"/>
  <c r="CO102" i="104" s="1"/>
  <c r="CP102" i="104" s="1"/>
  <c r="CQ102" i="104" s="1"/>
  <c r="T102" i="104"/>
  <c r="CR102" i="104" s="1"/>
  <c r="CS102" i="104" s="1"/>
  <c r="CT102" i="104" s="1"/>
  <c r="CU102" i="104" s="1"/>
  <c r="CV102" i="104" s="1"/>
  <c r="CW102" i="104" s="1"/>
  <c r="CX102" i="104" s="1"/>
  <c r="R103" i="104"/>
  <c r="CD103" i="104" s="1"/>
  <c r="CE103" i="104" s="1"/>
  <c r="CF103" i="104" s="1"/>
  <c r="CG103" i="104" s="1"/>
  <c r="CH103" i="104" s="1"/>
  <c r="CI103" i="104" s="1"/>
  <c r="CJ103" i="104" s="1"/>
  <c r="S103" i="104"/>
  <c r="CK103" i="104" s="1"/>
  <c r="CL103" i="104" s="1"/>
  <c r="CM103" i="104" s="1"/>
  <c r="CN103" i="104" s="1"/>
  <c r="CO103" i="104" s="1"/>
  <c r="CP103" i="104" s="1"/>
  <c r="CQ103" i="104" s="1"/>
  <c r="T103" i="104"/>
  <c r="CR103" i="104" s="1"/>
  <c r="CS103" i="104" s="1"/>
  <c r="CT103" i="104" s="1"/>
  <c r="CU103" i="104" s="1"/>
  <c r="CV103" i="104" s="1"/>
  <c r="CW103" i="104" s="1"/>
  <c r="CX103" i="104" s="1"/>
  <c r="R104" i="104"/>
  <c r="CD104" i="104" s="1"/>
  <c r="CE104" i="104" s="1"/>
  <c r="CF104" i="104" s="1"/>
  <c r="CG104" i="104" s="1"/>
  <c r="CH104" i="104" s="1"/>
  <c r="CI104" i="104" s="1"/>
  <c r="CJ104" i="104" s="1"/>
  <c r="S104" i="104"/>
  <c r="CK104" i="104" s="1"/>
  <c r="CL104" i="104" s="1"/>
  <c r="CM104" i="104" s="1"/>
  <c r="CN104" i="104" s="1"/>
  <c r="CO104" i="104" s="1"/>
  <c r="CP104" i="104" s="1"/>
  <c r="CQ104" i="104" s="1"/>
  <c r="T104" i="104"/>
  <c r="CR104" i="104" s="1"/>
  <c r="CS104" i="104" s="1"/>
  <c r="CT104" i="104" s="1"/>
  <c r="CU104" i="104" s="1"/>
  <c r="CV104" i="104" s="1"/>
  <c r="CW104" i="104" s="1"/>
  <c r="CX104" i="104" s="1"/>
  <c r="R105" i="104"/>
  <c r="CD105" i="104" s="1"/>
  <c r="CE105" i="104" s="1"/>
  <c r="CF105" i="104" s="1"/>
  <c r="CG105" i="104" s="1"/>
  <c r="CH105" i="104" s="1"/>
  <c r="CI105" i="104" s="1"/>
  <c r="CJ105" i="104" s="1"/>
  <c r="S105" i="104"/>
  <c r="CK105" i="104" s="1"/>
  <c r="CL105" i="104" s="1"/>
  <c r="CM105" i="104" s="1"/>
  <c r="CN105" i="104" s="1"/>
  <c r="CO105" i="104" s="1"/>
  <c r="CP105" i="104" s="1"/>
  <c r="CQ105" i="104" s="1"/>
  <c r="T105" i="104"/>
  <c r="CR105" i="104" s="1"/>
  <c r="CS105" i="104" s="1"/>
  <c r="CT105" i="104" s="1"/>
  <c r="CU105" i="104" s="1"/>
  <c r="CV105" i="104" s="1"/>
  <c r="CW105" i="104" s="1"/>
  <c r="CX105" i="104" s="1"/>
  <c r="R106" i="104"/>
  <c r="CD106" i="104" s="1"/>
  <c r="CE106" i="104" s="1"/>
  <c r="CF106" i="104" s="1"/>
  <c r="CG106" i="104" s="1"/>
  <c r="CH106" i="104" s="1"/>
  <c r="CI106" i="104" s="1"/>
  <c r="CJ106" i="104" s="1"/>
  <c r="S106" i="104"/>
  <c r="CK106" i="104" s="1"/>
  <c r="CL106" i="104" s="1"/>
  <c r="CM106" i="104" s="1"/>
  <c r="CN106" i="104" s="1"/>
  <c r="CO106" i="104" s="1"/>
  <c r="CP106" i="104" s="1"/>
  <c r="CQ106" i="104" s="1"/>
  <c r="T106" i="104"/>
  <c r="CR106" i="104" s="1"/>
  <c r="CS106" i="104" s="1"/>
  <c r="CT106" i="104" s="1"/>
  <c r="CU106" i="104" s="1"/>
  <c r="CV106" i="104" s="1"/>
  <c r="CW106" i="104" s="1"/>
  <c r="CX106" i="104" s="1"/>
  <c r="T110" i="104"/>
  <c r="CR110" i="104" s="1"/>
  <c r="CS110" i="104" s="1"/>
  <c r="CT110" i="104" s="1"/>
  <c r="CU110" i="104" s="1"/>
  <c r="CV110" i="104" s="1"/>
  <c r="CW110" i="104" s="1"/>
  <c r="CX110" i="104" s="1"/>
  <c r="T111" i="104"/>
  <c r="CR111" i="104" s="1"/>
  <c r="CS111" i="104" s="1"/>
  <c r="CT111" i="104" s="1"/>
  <c r="CU111" i="104" s="1"/>
  <c r="CV111" i="104" s="1"/>
  <c r="CW111" i="104" s="1"/>
  <c r="CX111" i="104" s="1"/>
  <c r="T112" i="104"/>
  <c r="CR112" i="104" s="1"/>
  <c r="CS112" i="104" s="1"/>
  <c r="CT112" i="104" s="1"/>
  <c r="CU112" i="104" s="1"/>
  <c r="CV112" i="104" s="1"/>
  <c r="CW112" i="104" s="1"/>
  <c r="CX112" i="104" s="1"/>
  <c r="T113" i="104"/>
  <c r="CR113" i="104" s="1"/>
  <c r="CS113" i="104" s="1"/>
  <c r="CT113" i="104" s="1"/>
  <c r="CU113" i="104" s="1"/>
  <c r="CV113" i="104" s="1"/>
  <c r="CW113" i="104" s="1"/>
  <c r="CX113" i="104" s="1"/>
  <c r="T114" i="104"/>
  <c r="CR114" i="104" s="1"/>
  <c r="CS114" i="104" s="1"/>
  <c r="CT114" i="104" s="1"/>
  <c r="CU114" i="104" s="1"/>
  <c r="CV114" i="104" s="1"/>
  <c r="CW114" i="104" s="1"/>
  <c r="CX114" i="104" s="1"/>
  <c r="T115" i="104"/>
  <c r="CR115" i="104" s="1"/>
  <c r="CS115" i="104" s="1"/>
  <c r="CT115" i="104" s="1"/>
  <c r="CU115" i="104" s="1"/>
  <c r="CV115" i="104" s="1"/>
  <c r="CW115" i="104" s="1"/>
  <c r="CX115" i="104" s="1"/>
  <c r="S117" i="104"/>
  <c r="CK117" i="104" s="1"/>
  <c r="CL117" i="104" s="1"/>
  <c r="CM117" i="104" s="1"/>
  <c r="CN117" i="104" s="1"/>
  <c r="CO117" i="104" s="1"/>
  <c r="CP117" i="104" s="1"/>
  <c r="CQ117" i="104" s="1"/>
  <c r="T117" i="104"/>
  <c r="CR117" i="104" s="1"/>
  <c r="CS117" i="104" s="1"/>
  <c r="CT117" i="104" s="1"/>
  <c r="CU117" i="104" s="1"/>
  <c r="CV117" i="104" s="1"/>
  <c r="CW117" i="104" s="1"/>
  <c r="CX117" i="104" s="1"/>
  <c r="S118" i="104"/>
  <c r="CK118" i="104" s="1"/>
  <c r="CL118" i="104" s="1"/>
  <c r="CM118" i="104" s="1"/>
  <c r="CN118" i="104" s="1"/>
  <c r="CO118" i="104" s="1"/>
  <c r="CP118" i="104" s="1"/>
  <c r="CQ118" i="104" s="1"/>
  <c r="T118" i="104"/>
  <c r="CR118" i="104" s="1"/>
  <c r="CS118" i="104" s="1"/>
  <c r="CT118" i="104" s="1"/>
  <c r="CU118" i="104" s="1"/>
  <c r="CV118" i="104" s="1"/>
  <c r="CW118" i="104" s="1"/>
  <c r="CX118" i="104" s="1"/>
  <c r="P74" i="104"/>
  <c r="P131" i="104" s="1"/>
  <c r="Q74" i="104"/>
  <c r="P75" i="104"/>
  <c r="P132" i="104" s="1"/>
  <c r="Q75" i="104"/>
  <c r="P76" i="104"/>
  <c r="P133" i="104" s="1"/>
  <c r="Q76" i="104"/>
  <c r="P77" i="104"/>
  <c r="P134" i="104" s="1"/>
  <c r="Q77" i="104"/>
  <c r="P78" i="104"/>
  <c r="P135" i="104" s="1"/>
  <c r="Q78" i="104"/>
  <c r="P79" i="104"/>
  <c r="P136" i="104" s="1"/>
  <c r="Q79" i="104"/>
  <c r="P80" i="104"/>
  <c r="P137" i="104" s="1"/>
  <c r="Q80" i="104"/>
  <c r="P81" i="104"/>
  <c r="P138" i="104" s="1"/>
  <c r="Q81" i="104"/>
  <c r="P82" i="104"/>
  <c r="P139" i="104" s="1"/>
  <c r="Q82" i="104"/>
  <c r="P83" i="104"/>
  <c r="P140" i="104" s="1"/>
  <c r="Q83" i="104"/>
  <c r="P84" i="104"/>
  <c r="P141" i="104" s="1"/>
  <c r="Q84" i="104"/>
  <c r="P85" i="104"/>
  <c r="P142" i="104" s="1"/>
  <c r="Q85" i="104"/>
  <c r="P86" i="104"/>
  <c r="P143" i="104" s="1"/>
  <c r="Q86" i="104"/>
  <c r="P87" i="104"/>
  <c r="P144" i="104" s="1"/>
  <c r="Q87" i="104"/>
  <c r="P88" i="104"/>
  <c r="P145" i="104" s="1"/>
  <c r="Q88" i="104"/>
  <c r="P89" i="104"/>
  <c r="P146" i="104" s="1"/>
  <c r="Q89" i="104"/>
  <c r="P90" i="104"/>
  <c r="P147" i="104" s="1"/>
  <c r="Q90" i="104"/>
  <c r="P91" i="104"/>
  <c r="P148" i="104" s="1"/>
  <c r="Q91" i="104"/>
  <c r="P92" i="104"/>
  <c r="P149" i="104" s="1"/>
  <c r="Q92" i="104"/>
  <c r="P93" i="104"/>
  <c r="P150" i="104" s="1"/>
  <c r="Q93" i="104"/>
  <c r="P94" i="104"/>
  <c r="P151" i="104" s="1"/>
  <c r="Q94" i="104"/>
  <c r="P95" i="104"/>
  <c r="P152" i="104" s="1"/>
  <c r="Q95" i="104"/>
  <c r="P96" i="104"/>
  <c r="P153" i="104" s="1"/>
  <c r="Q96" i="104"/>
  <c r="P97" i="104"/>
  <c r="P154" i="104" s="1"/>
  <c r="Q97" i="104"/>
  <c r="P98" i="104"/>
  <c r="P155" i="104" s="1"/>
  <c r="Q98" i="104"/>
  <c r="P99" i="104"/>
  <c r="P156" i="104" s="1"/>
  <c r="Q99" i="104"/>
  <c r="P100" i="104"/>
  <c r="P157" i="104" s="1"/>
  <c r="Q100" i="104"/>
  <c r="P101" i="104"/>
  <c r="P158" i="104" s="1"/>
  <c r="Q101" i="104"/>
  <c r="P102" i="104"/>
  <c r="P159" i="104" s="1"/>
  <c r="Q102" i="104"/>
  <c r="P103" i="104"/>
  <c r="P160" i="104" s="1"/>
  <c r="Q103" i="104"/>
  <c r="P104" i="104"/>
  <c r="P161" i="104" s="1"/>
  <c r="Q104" i="104"/>
  <c r="P105" i="104"/>
  <c r="P162" i="104" s="1"/>
  <c r="Q105" i="104"/>
  <c r="P106" i="104"/>
  <c r="P163" i="104" s="1"/>
  <c r="Q106" i="104"/>
  <c r="P107" i="104"/>
  <c r="P164" i="104" s="1"/>
  <c r="Q107" i="104"/>
  <c r="P108" i="104"/>
  <c r="P165" i="104" s="1"/>
  <c r="Q108" i="104"/>
  <c r="P109" i="104"/>
  <c r="P166" i="104" s="1"/>
  <c r="Q109" i="104"/>
  <c r="P110" i="104"/>
  <c r="P167" i="104" s="1"/>
  <c r="Q110" i="104"/>
  <c r="P111" i="104"/>
  <c r="P168" i="104" s="1"/>
  <c r="Q111" i="104"/>
  <c r="P112" i="104"/>
  <c r="P169" i="104" s="1"/>
  <c r="Q112" i="104"/>
  <c r="P113" i="104"/>
  <c r="P170" i="104" s="1"/>
  <c r="Q113" i="104"/>
  <c r="P114" i="104"/>
  <c r="P171" i="104" s="1"/>
  <c r="Q114" i="104"/>
  <c r="P115" i="104"/>
  <c r="P172" i="104" s="1"/>
  <c r="Q115" i="104"/>
  <c r="P117" i="104"/>
  <c r="P174" i="104" s="1"/>
  <c r="Q117" i="104"/>
  <c r="P118" i="104"/>
  <c r="P175" i="104" s="1"/>
  <c r="Q118" i="104"/>
  <c r="P73" i="104"/>
  <c r="P130" i="104" s="1"/>
  <c r="Q73" i="104"/>
  <c r="P69" i="104"/>
  <c r="P126" i="104" s="1"/>
  <c r="Q69" i="104"/>
  <c r="P70" i="104"/>
  <c r="P127" i="104" s="1"/>
  <c r="Q70" i="104"/>
  <c r="P71" i="104"/>
  <c r="P128" i="104" s="1"/>
  <c r="Q71" i="104"/>
  <c r="P72" i="104"/>
  <c r="P129" i="104" s="1"/>
  <c r="Q72" i="104"/>
  <c r="P64" i="104"/>
  <c r="P121" i="104" s="1"/>
  <c r="Q64" i="104"/>
  <c r="P65" i="104"/>
  <c r="P122" i="104" s="1"/>
  <c r="Q65" i="104"/>
  <c r="P66" i="104"/>
  <c r="P123" i="104" s="1"/>
  <c r="Q66" i="104"/>
  <c r="P67" i="104"/>
  <c r="P124" i="104" s="1"/>
  <c r="Q67" i="104"/>
  <c r="P68" i="104"/>
  <c r="P125" i="104" s="1"/>
  <c r="Q68" i="104"/>
  <c r="M67" i="104"/>
  <c r="I121" i="104"/>
  <c r="K121" i="104"/>
  <c r="BI121" i="104" s="1"/>
  <c r="BJ121" i="104" s="1"/>
  <c r="BK121" i="104" s="1"/>
  <c r="BL121" i="104" s="1"/>
  <c r="BM121" i="104" s="1"/>
  <c r="BN121" i="104" s="1"/>
  <c r="BO121" i="104" s="1"/>
  <c r="H122" i="104"/>
  <c r="I122" i="104"/>
  <c r="K122" i="104"/>
  <c r="BI122" i="104" s="1"/>
  <c r="BJ122" i="104" s="1"/>
  <c r="BK122" i="104" s="1"/>
  <c r="BL122" i="104" s="1"/>
  <c r="BM122" i="104" s="1"/>
  <c r="BN122" i="104" s="1"/>
  <c r="BO122" i="104" s="1"/>
  <c r="H123" i="104"/>
  <c r="I123" i="104"/>
  <c r="K123" i="104"/>
  <c r="BI123" i="104" s="1"/>
  <c r="BJ123" i="104" s="1"/>
  <c r="BK123" i="104" s="1"/>
  <c r="BL123" i="104" s="1"/>
  <c r="BM123" i="104" s="1"/>
  <c r="BN123" i="104" s="1"/>
  <c r="BO123" i="104" s="1"/>
  <c r="I124" i="104"/>
  <c r="K124" i="104"/>
  <c r="BI124" i="104" s="1"/>
  <c r="BJ124" i="104" s="1"/>
  <c r="BK124" i="104" s="1"/>
  <c r="BL124" i="104" s="1"/>
  <c r="BM124" i="104" s="1"/>
  <c r="BN124" i="104" s="1"/>
  <c r="BO124" i="104" s="1"/>
  <c r="I125" i="104"/>
  <c r="K125" i="104"/>
  <c r="BI125" i="104" s="1"/>
  <c r="H126" i="104"/>
  <c r="I126" i="104"/>
  <c r="J126" i="104"/>
  <c r="BB126" i="104" s="1"/>
  <c r="K126" i="104"/>
  <c r="BI126" i="104" s="1"/>
  <c r="H127" i="104"/>
  <c r="I127" i="104"/>
  <c r="J127" i="104"/>
  <c r="BB127" i="104" s="1"/>
  <c r="K127" i="104"/>
  <c r="BI127" i="104" s="1"/>
  <c r="H128" i="104"/>
  <c r="I128" i="104"/>
  <c r="J128" i="104"/>
  <c r="BB128" i="104" s="1"/>
  <c r="K128" i="104"/>
  <c r="BI128" i="104" s="1"/>
  <c r="H129" i="104"/>
  <c r="I129" i="104"/>
  <c r="J129" i="104"/>
  <c r="BB129" i="104" s="1"/>
  <c r="K129" i="104"/>
  <c r="BI129" i="104" s="1"/>
  <c r="I130" i="104"/>
  <c r="K130" i="104"/>
  <c r="BI130" i="104" s="1"/>
  <c r="H131" i="104"/>
  <c r="I131" i="104"/>
  <c r="J131" i="104"/>
  <c r="BB131" i="104" s="1"/>
  <c r="K131" i="104"/>
  <c r="BI131" i="104" s="1"/>
  <c r="H132" i="104"/>
  <c r="I132" i="104"/>
  <c r="J132" i="104"/>
  <c r="BB132" i="104" s="1"/>
  <c r="K132" i="104"/>
  <c r="BI132" i="104" s="1"/>
  <c r="I133" i="104"/>
  <c r="K133" i="104"/>
  <c r="BI133" i="104" s="1"/>
  <c r="BJ133" i="104" s="1"/>
  <c r="BK133" i="104" s="1"/>
  <c r="BL133" i="104" s="1"/>
  <c r="BM133" i="104" s="1"/>
  <c r="BN133" i="104" s="1"/>
  <c r="BO133" i="104" s="1"/>
  <c r="I134" i="104"/>
  <c r="K134" i="104"/>
  <c r="BI134" i="104" s="1"/>
  <c r="BJ134" i="104" s="1"/>
  <c r="BK134" i="104" s="1"/>
  <c r="BL134" i="104" s="1"/>
  <c r="BM134" i="104" s="1"/>
  <c r="BN134" i="104" s="1"/>
  <c r="BO134" i="104" s="1"/>
  <c r="I135" i="104"/>
  <c r="K135" i="104"/>
  <c r="BI135" i="104" s="1"/>
  <c r="BJ135" i="104" s="1"/>
  <c r="BK135" i="104" s="1"/>
  <c r="BL135" i="104" s="1"/>
  <c r="BM135" i="104" s="1"/>
  <c r="BN135" i="104" s="1"/>
  <c r="BO135" i="104" s="1"/>
  <c r="I136" i="104"/>
  <c r="K136" i="104"/>
  <c r="BI136" i="104" s="1"/>
  <c r="BJ136" i="104" s="1"/>
  <c r="BK136" i="104" s="1"/>
  <c r="BL136" i="104" s="1"/>
  <c r="BM136" i="104" s="1"/>
  <c r="BN136" i="104" s="1"/>
  <c r="BO136" i="104" s="1"/>
  <c r="I137" i="104"/>
  <c r="K137" i="104"/>
  <c r="BI137" i="104" s="1"/>
  <c r="BJ137" i="104" s="1"/>
  <c r="BK137" i="104" s="1"/>
  <c r="BL137" i="104" s="1"/>
  <c r="BM137" i="104" s="1"/>
  <c r="BN137" i="104" s="1"/>
  <c r="BO137" i="104" s="1"/>
  <c r="I138" i="104"/>
  <c r="K138" i="104"/>
  <c r="BI138" i="104" s="1"/>
  <c r="BJ138" i="104" s="1"/>
  <c r="BK138" i="104" s="1"/>
  <c r="BL138" i="104" s="1"/>
  <c r="BM138" i="104" s="1"/>
  <c r="BN138" i="104" s="1"/>
  <c r="BO138" i="104" s="1"/>
  <c r="I139" i="104"/>
  <c r="K139" i="104"/>
  <c r="BI139" i="104" s="1"/>
  <c r="BJ139" i="104" s="1"/>
  <c r="BK139" i="104" s="1"/>
  <c r="BL139" i="104" s="1"/>
  <c r="BM139" i="104" s="1"/>
  <c r="BN139" i="104" s="1"/>
  <c r="BO139" i="104" s="1"/>
  <c r="I140" i="104"/>
  <c r="K140" i="104"/>
  <c r="BI140" i="104" s="1"/>
  <c r="BJ140" i="104" s="1"/>
  <c r="BK140" i="104" s="1"/>
  <c r="BL140" i="104" s="1"/>
  <c r="BM140" i="104" s="1"/>
  <c r="BN140" i="104" s="1"/>
  <c r="BO140" i="104" s="1"/>
  <c r="I141" i="104"/>
  <c r="K141" i="104"/>
  <c r="BI141" i="104" s="1"/>
  <c r="BJ141" i="104" s="1"/>
  <c r="BK141" i="104" s="1"/>
  <c r="BL141" i="104" s="1"/>
  <c r="BM141" i="104" s="1"/>
  <c r="BN141" i="104" s="1"/>
  <c r="BO141" i="104" s="1"/>
  <c r="I142" i="104"/>
  <c r="H143" i="104"/>
  <c r="I143" i="104"/>
  <c r="I144" i="104"/>
  <c r="K144" i="104"/>
  <c r="BI144" i="104" s="1"/>
  <c r="BJ144" i="104" s="1"/>
  <c r="BK144" i="104" s="1"/>
  <c r="BL144" i="104" s="1"/>
  <c r="BM144" i="104" s="1"/>
  <c r="BN144" i="104" s="1"/>
  <c r="BO144" i="104" s="1"/>
  <c r="I145" i="104"/>
  <c r="K145" i="104"/>
  <c r="BI145" i="104" s="1"/>
  <c r="BJ145" i="104" s="1"/>
  <c r="BK145" i="104" s="1"/>
  <c r="BL145" i="104" s="1"/>
  <c r="BM145" i="104" s="1"/>
  <c r="BN145" i="104" s="1"/>
  <c r="BO145" i="104" s="1"/>
  <c r="I146" i="104"/>
  <c r="K146" i="104"/>
  <c r="BI146" i="104" s="1"/>
  <c r="BJ146" i="104" s="1"/>
  <c r="BK146" i="104" s="1"/>
  <c r="BL146" i="104" s="1"/>
  <c r="BM146" i="104" s="1"/>
  <c r="BN146" i="104" s="1"/>
  <c r="BO146" i="104" s="1"/>
  <c r="I147" i="104"/>
  <c r="K147" i="104"/>
  <c r="BI147" i="104" s="1"/>
  <c r="BJ147" i="104" s="1"/>
  <c r="BK147" i="104" s="1"/>
  <c r="BL147" i="104" s="1"/>
  <c r="BM147" i="104" s="1"/>
  <c r="BN147" i="104" s="1"/>
  <c r="BO147" i="104" s="1"/>
  <c r="I148" i="104"/>
  <c r="K148" i="104"/>
  <c r="BI148" i="104" s="1"/>
  <c r="BJ148" i="104" s="1"/>
  <c r="BK148" i="104" s="1"/>
  <c r="BL148" i="104" s="1"/>
  <c r="BM148" i="104" s="1"/>
  <c r="BN148" i="104" s="1"/>
  <c r="BO148" i="104" s="1"/>
  <c r="I149" i="104"/>
  <c r="K149" i="104"/>
  <c r="BI149" i="104" s="1"/>
  <c r="BJ149" i="104" s="1"/>
  <c r="BK149" i="104" s="1"/>
  <c r="BL149" i="104" s="1"/>
  <c r="BM149" i="104" s="1"/>
  <c r="BN149" i="104" s="1"/>
  <c r="BO149" i="104" s="1"/>
  <c r="I150" i="104"/>
  <c r="K150" i="104"/>
  <c r="BI150" i="104" s="1"/>
  <c r="BJ150" i="104" s="1"/>
  <c r="BK150" i="104" s="1"/>
  <c r="BL150" i="104" s="1"/>
  <c r="BM150" i="104" s="1"/>
  <c r="BN150" i="104" s="1"/>
  <c r="BO150" i="104" s="1"/>
  <c r="I151" i="104"/>
  <c r="K151" i="104"/>
  <c r="BI151" i="104" s="1"/>
  <c r="BJ151" i="104" s="1"/>
  <c r="BK151" i="104" s="1"/>
  <c r="BL151" i="104" s="1"/>
  <c r="BM151" i="104" s="1"/>
  <c r="BN151" i="104" s="1"/>
  <c r="BO151" i="104" s="1"/>
  <c r="I152" i="104"/>
  <c r="K152" i="104"/>
  <c r="BI152" i="104" s="1"/>
  <c r="BJ152" i="104" s="1"/>
  <c r="BK152" i="104" s="1"/>
  <c r="BL152" i="104" s="1"/>
  <c r="BM152" i="104" s="1"/>
  <c r="BN152" i="104" s="1"/>
  <c r="BO152" i="104" s="1"/>
  <c r="I153" i="104"/>
  <c r="K153" i="104"/>
  <c r="BI153" i="104" s="1"/>
  <c r="BJ153" i="104" s="1"/>
  <c r="BK153" i="104" s="1"/>
  <c r="BL153" i="104" s="1"/>
  <c r="BM153" i="104" s="1"/>
  <c r="BN153" i="104" s="1"/>
  <c r="BO153" i="104" s="1"/>
  <c r="I154" i="104"/>
  <c r="K154" i="104"/>
  <c r="BI154" i="104" s="1"/>
  <c r="BJ154" i="104" s="1"/>
  <c r="BK154" i="104" s="1"/>
  <c r="BL154" i="104" s="1"/>
  <c r="BM154" i="104" s="1"/>
  <c r="BN154" i="104" s="1"/>
  <c r="BO154" i="104" s="1"/>
  <c r="I155" i="104"/>
  <c r="K155" i="104"/>
  <c r="BI155" i="104" s="1"/>
  <c r="BJ155" i="104" s="1"/>
  <c r="BK155" i="104" s="1"/>
  <c r="BL155" i="104" s="1"/>
  <c r="BM155" i="104" s="1"/>
  <c r="BN155" i="104" s="1"/>
  <c r="BO155" i="104" s="1"/>
  <c r="H156" i="104"/>
  <c r="I156" i="104"/>
  <c r="K156" i="104"/>
  <c r="BI156" i="104" s="1"/>
  <c r="BJ156" i="104" s="1"/>
  <c r="BK156" i="104" s="1"/>
  <c r="BL156" i="104" s="1"/>
  <c r="BM156" i="104" s="1"/>
  <c r="BN156" i="104" s="1"/>
  <c r="BO156" i="104" s="1"/>
  <c r="H157" i="104"/>
  <c r="I157" i="104"/>
  <c r="K157" i="104"/>
  <c r="BI157" i="104" s="1"/>
  <c r="BJ157" i="104" s="1"/>
  <c r="BK157" i="104" s="1"/>
  <c r="BL157" i="104" s="1"/>
  <c r="BM157" i="104" s="1"/>
  <c r="BN157" i="104" s="1"/>
  <c r="BO157" i="104" s="1"/>
  <c r="H158" i="104"/>
  <c r="I158" i="104"/>
  <c r="K158" i="104"/>
  <c r="BI158" i="104" s="1"/>
  <c r="BJ158" i="104" s="1"/>
  <c r="BK158" i="104" s="1"/>
  <c r="BL158" i="104" s="1"/>
  <c r="BM158" i="104" s="1"/>
  <c r="BN158" i="104" s="1"/>
  <c r="BO158" i="104" s="1"/>
  <c r="H159" i="104"/>
  <c r="I159" i="104"/>
  <c r="K159" i="104"/>
  <c r="BI159" i="104" s="1"/>
  <c r="BJ159" i="104" s="1"/>
  <c r="BK159" i="104" s="1"/>
  <c r="BL159" i="104" s="1"/>
  <c r="BM159" i="104" s="1"/>
  <c r="BN159" i="104" s="1"/>
  <c r="BO159" i="104" s="1"/>
  <c r="H160" i="104"/>
  <c r="I160" i="104"/>
  <c r="K160" i="104"/>
  <c r="BI160" i="104" s="1"/>
  <c r="BJ160" i="104" s="1"/>
  <c r="BK160" i="104" s="1"/>
  <c r="BL160" i="104" s="1"/>
  <c r="BM160" i="104" s="1"/>
  <c r="BN160" i="104" s="1"/>
  <c r="BO160" i="104" s="1"/>
  <c r="H161" i="104"/>
  <c r="I161" i="104"/>
  <c r="K161" i="104"/>
  <c r="BI161" i="104" s="1"/>
  <c r="BJ161" i="104" s="1"/>
  <c r="BK161" i="104" s="1"/>
  <c r="BL161" i="104" s="1"/>
  <c r="BM161" i="104" s="1"/>
  <c r="BN161" i="104" s="1"/>
  <c r="BO161" i="104" s="1"/>
  <c r="H162" i="104"/>
  <c r="I162" i="104"/>
  <c r="K162" i="104"/>
  <c r="BI162" i="104" s="1"/>
  <c r="BJ162" i="104" s="1"/>
  <c r="BK162" i="104" s="1"/>
  <c r="BL162" i="104" s="1"/>
  <c r="BM162" i="104" s="1"/>
  <c r="BN162" i="104" s="1"/>
  <c r="BO162" i="104" s="1"/>
  <c r="H163" i="104"/>
  <c r="I163" i="104"/>
  <c r="K163" i="104"/>
  <c r="BI163" i="104" s="1"/>
  <c r="BJ163" i="104" s="1"/>
  <c r="BK163" i="104" s="1"/>
  <c r="BL163" i="104" s="1"/>
  <c r="BM163" i="104" s="1"/>
  <c r="BN163" i="104" s="1"/>
  <c r="BO163" i="104" s="1"/>
  <c r="I164" i="104"/>
  <c r="K164" i="104"/>
  <c r="BI164" i="104" s="1"/>
  <c r="BJ164" i="104" s="1"/>
  <c r="BK164" i="104" s="1"/>
  <c r="BL164" i="104" s="1"/>
  <c r="BM164" i="104" s="1"/>
  <c r="BN164" i="104" s="1"/>
  <c r="BO164" i="104" s="1"/>
  <c r="I165" i="104"/>
  <c r="K165" i="104"/>
  <c r="BI165" i="104" s="1"/>
  <c r="BJ165" i="104" s="1"/>
  <c r="BK165" i="104" s="1"/>
  <c r="BL165" i="104" s="1"/>
  <c r="BM165" i="104" s="1"/>
  <c r="BN165" i="104" s="1"/>
  <c r="BO165" i="104" s="1"/>
  <c r="I166" i="104"/>
  <c r="K166" i="104"/>
  <c r="BI166" i="104" s="1"/>
  <c r="BJ166" i="104" s="1"/>
  <c r="BK166" i="104" s="1"/>
  <c r="BL166" i="104" s="1"/>
  <c r="BM166" i="104" s="1"/>
  <c r="BN166" i="104" s="1"/>
  <c r="BO166" i="104" s="1"/>
  <c r="I167" i="104"/>
  <c r="K167" i="104"/>
  <c r="BI167" i="104" s="1"/>
  <c r="BJ167" i="104" s="1"/>
  <c r="BK167" i="104" s="1"/>
  <c r="BL167" i="104" s="1"/>
  <c r="BM167" i="104" s="1"/>
  <c r="BN167" i="104" s="1"/>
  <c r="BO167" i="104" s="1"/>
  <c r="I168" i="104"/>
  <c r="K168" i="104"/>
  <c r="BI168" i="104" s="1"/>
  <c r="BJ168" i="104" s="1"/>
  <c r="BK168" i="104" s="1"/>
  <c r="BL168" i="104" s="1"/>
  <c r="BM168" i="104" s="1"/>
  <c r="BN168" i="104" s="1"/>
  <c r="BO168" i="104" s="1"/>
  <c r="I169" i="104"/>
  <c r="K169" i="104"/>
  <c r="BI169" i="104" s="1"/>
  <c r="BJ169" i="104" s="1"/>
  <c r="BK169" i="104" s="1"/>
  <c r="BL169" i="104" s="1"/>
  <c r="BM169" i="104" s="1"/>
  <c r="BN169" i="104" s="1"/>
  <c r="BO169" i="104" s="1"/>
  <c r="H170" i="104"/>
  <c r="I170" i="104"/>
  <c r="K170" i="104"/>
  <c r="BI170" i="104" s="1"/>
  <c r="BJ170" i="104" s="1"/>
  <c r="BK170" i="104" s="1"/>
  <c r="BL170" i="104" s="1"/>
  <c r="BM170" i="104" s="1"/>
  <c r="BN170" i="104" s="1"/>
  <c r="BO170" i="104" s="1"/>
  <c r="H171" i="104"/>
  <c r="I171" i="104"/>
  <c r="I172" i="104"/>
  <c r="H174" i="104"/>
  <c r="I174" i="104"/>
  <c r="K174" i="104"/>
  <c r="BI174" i="104" s="1"/>
  <c r="BJ174" i="104" s="1"/>
  <c r="BK174" i="104" s="1"/>
  <c r="BL174" i="104" s="1"/>
  <c r="BM174" i="104" s="1"/>
  <c r="BN174" i="104" s="1"/>
  <c r="BO174" i="104" s="1"/>
  <c r="H175" i="104"/>
  <c r="I175" i="104"/>
  <c r="K175" i="104"/>
  <c r="BI175" i="104" s="1"/>
  <c r="BJ175" i="104" s="1"/>
  <c r="BK175" i="104" s="1"/>
  <c r="BL175" i="104" s="1"/>
  <c r="BM175" i="104" s="1"/>
  <c r="BN175" i="104" s="1"/>
  <c r="BO175" i="104" s="1"/>
  <c r="I64" i="104"/>
  <c r="K64" i="104"/>
  <c r="BI64" i="104" s="1"/>
  <c r="BJ64" i="104" s="1"/>
  <c r="BK64" i="104" s="1"/>
  <c r="BL64" i="104" s="1"/>
  <c r="BM64" i="104" s="1"/>
  <c r="BN64" i="104" s="1"/>
  <c r="BO64" i="104" s="1"/>
  <c r="H65" i="104"/>
  <c r="I65" i="104"/>
  <c r="K65" i="104"/>
  <c r="BI65" i="104" s="1"/>
  <c r="BJ65" i="104" s="1"/>
  <c r="BK65" i="104" s="1"/>
  <c r="BL65" i="104" s="1"/>
  <c r="BM65" i="104" s="1"/>
  <c r="BN65" i="104" s="1"/>
  <c r="BO65" i="104" s="1"/>
  <c r="H66" i="104"/>
  <c r="I66" i="104"/>
  <c r="K66" i="104"/>
  <c r="BI66" i="104" s="1"/>
  <c r="BJ66" i="104" s="1"/>
  <c r="BK66" i="104" s="1"/>
  <c r="BL66" i="104" s="1"/>
  <c r="BM66" i="104" s="1"/>
  <c r="BN66" i="104" s="1"/>
  <c r="BO66" i="104" s="1"/>
  <c r="I67" i="104"/>
  <c r="K67" i="104"/>
  <c r="BI67" i="104" s="1"/>
  <c r="BJ67" i="104" s="1"/>
  <c r="BK67" i="104" s="1"/>
  <c r="BL67" i="104" s="1"/>
  <c r="BM67" i="104" s="1"/>
  <c r="BN67" i="104" s="1"/>
  <c r="BO67" i="104" s="1"/>
  <c r="I68" i="104"/>
  <c r="K68" i="104"/>
  <c r="BI68" i="104" s="1"/>
  <c r="H69" i="104"/>
  <c r="I69" i="104"/>
  <c r="J69" i="104"/>
  <c r="BB69" i="104" s="1"/>
  <c r="K69" i="104"/>
  <c r="BI69" i="104" s="1"/>
  <c r="H70" i="104"/>
  <c r="I70" i="104"/>
  <c r="J70" i="104"/>
  <c r="BB70" i="104" s="1"/>
  <c r="K70" i="104"/>
  <c r="BI70" i="104" s="1"/>
  <c r="H71" i="104"/>
  <c r="I71" i="104"/>
  <c r="J71" i="104"/>
  <c r="BB71" i="104" s="1"/>
  <c r="K71" i="104"/>
  <c r="BI71" i="104" s="1"/>
  <c r="H72" i="104"/>
  <c r="I72" i="104"/>
  <c r="J72" i="104"/>
  <c r="BB72" i="104" s="1"/>
  <c r="K72" i="104"/>
  <c r="BI72" i="104" s="1"/>
  <c r="I73" i="104"/>
  <c r="K73" i="104"/>
  <c r="BI73" i="104" s="1"/>
  <c r="H74" i="104"/>
  <c r="I74" i="104"/>
  <c r="J74" i="104"/>
  <c r="BB74" i="104" s="1"/>
  <c r="K74" i="104"/>
  <c r="BI74" i="104" s="1"/>
  <c r="H75" i="104"/>
  <c r="I75" i="104"/>
  <c r="J75" i="104"/>
  <c r="BB75" i="104" s="1"/>
  <c r="K75" i="104"/>
  <c r="BI75" i="104" s="1"/>
  <c r="I76" i="104"/>
  <c r="K76" i="104"/>
  <c r="BI76" i="104" s="1"/>
  <c r="BJ76" i="104" s="1"/>
  <c r="BK76" i="104" s="1"/>
  <c r="BL76" i="104" s="1"/>
  <c r="BM76" i="104" s="1"/>
  <c r="BN76" i="104" s="1"/>
  <c r="BO76" i="104" s="1"/>
  <c r="I77" i="104"/>
  <c r="K77" i="104"/>
  <c r="BI77" i="104" s="1"/>
  <c r="BJ77" i="104" s="1"/>
  <c r="BK77" i="104" s="1"/>
  <c r="BL77" i="104" s="1"/>
  <c r="BM77" i="104" s="1"/>
  <c r="BN77" i="104" s="1"/>
  <c r="BO77" i="104" s="1"/>
  <c r="I78" i="104"/>
  <c r="K78" i="104"/>
  <c r="BI78" i="104" s="1"/>
  <c r="BJ78" i="104" s="1"/>
  <c r="BK78" i="104" s="1"/>
  <c r="BL78" i="104" s="1"/>
  <c r="BM78" i="104" s="1"/>
  <c r="BN78" i="104" s="1"/>
  <c r="BO78" i="104" s="1"/>
  <c r="I79" i="104"/>
  <c r="K79" i="104"/>
  <c r="BI79" i="104" s="1"/>
  <c r="BJ79" i="104" s="1"/>
  <c r="BK79" i="104" s="1"/>
  <c r="BL79" i="104" s="1"/>
  <c r="BM79" i="104" s="1"/>
  <c r="BN79" i="104" s="1"/>
  <c r="BO79" i="104" s="1"/>
  <c r="I80" i="104"/>
  <c r="K80" i="104"/>
  <c r="BI80" i="104" s="1"/>
  <c r="BJ80" i="104" s="1"/>
  <c r="BK80" i="104" s="1"/>
  <c r="BL80" i="104" s="1"/>
  <c r="BM80" i="104" s="1"/>
  <c r="BN80" i="104" s="1"/>
  <c r="BO80" i="104" s="1"/>
  <c r="I81" i="104"/>
  <c r="K81" i="104"/>
  <c r="BI81" i="104" s="1"/>
  <c r="BJ81" i="104" s="1"/>
  <c r="BK81" i="104" s="1"/>
  <c r="BL81" i="104" s="1"/>
  <c r="BM81" i="104" s="1"/>
  <c r="BN81" i="104" s="1"/>
  <c r="BO81" i="104" s="1"/>
  <c r="I82" i="104"/>
  <c r="K82" i="104"/>
  <c r="BI82" i="104" s="1"/>
  <c r="BJ82" i="104" s="1"/>
  <c r="BK82" i="104" s="1"/>
  <c r="BL82" i="104" s="1"/>
  <c r="BM82" i="104" s="1"/>
  <c r="BN82" i="104" s="1"/>
  <c r="BO82" i="104" s="1"/>
  <c r="I83" i="104"/>
  <c r="K83" i="104"/>
  <c r="BI83" i="104" s="1"/>
  <c r="BJ83" i="104" s="1"/>
  <c r="BK83" i="104" s="1"/>
  <c r="BL83" i="104" s="1"/>
  <c r="BM83" i="104" s="1"/>
  <c r="BN83" i="104" s="1"/>
  <c r="BO83" i="104" s="1"/>
  <c r="I84" i="104"/>
  <c r="K84" i="104"/>
  <c r="BI84" i="104" s="1"/>
  <c r="BJ84" i="104" s="1"/>
  <c r="BK84" i="104" s="1"/>
  <c r="BL84" i="104" s="1"/>
  <c r="BM84" i="104" s="1"/>
  <c r="BN84" i="104" s="1"/>
  <c r="BO84" i="104" s="1"/>
  <c r="I85" i="104"/>
  <c r="H86" i="104"/>
  <c r="I86" i="104"/>
  <c r="I87" i="104"/>
  <c r="K87" i="104"/>
  <c r="BI87" i="104" s="1"/>
  <c r="BJ87" i="104" s="1"/>
  <c r="BK87" i="104" s="1"/>
  <c r="BL87" i="104" s="1"/>
  <c r="BM87" i="104" s="1"/>
  <c r="BN87" i="104" s="1"/>
  <c r="BO87" i="104" s="1"/>
  <c r="I88" i="104"/>
  <c r="K88" i="104"/>
  <c r="BI88" i="104" s="1"/>
  <c r="BJ88" i="104" s="1"/>
  <c r="BK88" i="104" s="1"/>
  <c r="BL88" i="104" s="1"/>
  <c r="BM88" i="104" s="1"/>
  <c r="BN88" i="104" s="1"/>
  <c r="BO88" i="104" s="1"/>
  <c r="I89" i="104"/>
  <c r="K89" i="104"/>
  <c r="BI89" i="104" s="1"/>
  <c r="BJ89" i="104" s="1"/>
  <c r="BK89" i="104" s="1"/>
  <c r="BL89" i="104" s="1"/>
  <c r="BM89" i="104" s="1"/>
  <c r="BN89" i="104" s="1"/>
  <c r="BO89" i="104" s="1"/>
  <c r="I90" i="104"/>
  <c r="K90" i="104"/>
  <c r="BI90" i="104" s="1"/>
  <c r="BJ90" i="104" s="1"/>
  <c r="BK90" i="104" s="1"/>
  <c r="BL90" i="104" s="1"/>
  <c r="BM90" i="104" s="1"/>
  <c r="BN90" i="104" s="1"/>
  <c r="BO90" i="104" s="1"/>
  <c r="I91" i="104"/>
  <c r="K91" i="104"/>
  <c r="BI91" i="104" s="1"/>
  <c r="BJ91" i="104" s="1"/>
  <c r="BK91" i="104" s="1"/>
  <c r="BL91" i="104" s="1"/>
  <c r="BM91" i="104" s="1"/>
  <c r="BN91" i="104" s="1"/>
  <c r="BO91" i="104" s="1"/>
  <c r="I92" i="104"/>
  <c r="K92" i="104"/>
  <c r="BI92" i="104" s="1"/>
  <c r="BJ92" i="104" s="1"/>
  <c r="BK92" i="104" s="1"/>
  <c r="BL92" i="104" s="1"/>
  <c r="BM92" i="104" s="1"/>
  <c r="BN92" i="104" s="1"/>
  <c r="BO92" i="104" s="1"/>
  <c r="I93" i="104"/>
  <c r="K93" i="104"/>
  <c r="BI93" i="104" s="1"/>
  <c r="BJ93" i="104" s="1"/>
  <c r="BK93" i="104" s="1"/>
  <c r="BL93" i="104" s="1"/>
  <c r="BM93" i="104" s="1"/>
  <c r="BN93" i="104" s="1"/>
  <c r="BO93" i="104" s="1"/>
  <c r="I94" i="104"/>
  <c r="K94" i="104"/>
  <c r="BI94" i="104" s="1"/>
  <c r="BJ94" i="104" s="1"/>
  <c r="BK94" i="104" s="1"/>
  <c r="BL94" i="104" s="1"/>
  <c r="BM94" i="104" s="1"/>
  <c r="BN94" i="104" s="1"/>
  <c r="BO94" i="104" s="1"/>
  <c r="I95" i="104"/>
  <c r="K95" i="104"/>
  <c r="BI95" i="104" s="1"/>
  <c r="BJ95" i="104" s="1"/>
  <c r="BK95" i="104" s="1"/>
  <c r="BL95" i="104" s="1"/>
  <c r="BM95" i="104" s="1"/>
  <c r="BN95" i="104" s="1"/>
  <c r="BO95" i="104" s="1"/>
  <c r="I96" i="104"/>
  <c r="K96" i="104"/>
  <c r="BI96" i="104" s="1"/>
  <c r="BJ96" i="104" s="1"/>
  <c r="BK96" i="104" s="1"/>
  <c r="BL96" i="104" s="1"/>
  <c r="BM96" i="104" s="1"/>
  <c r="BN96" i="104" s="1"/>
  <c r="BO96" i="104" s="1"/>
  <c r="I97" i="104"/>
  <c r="K97" i="104"/>
  <c r="BI97" i="104" s="1"/>
  <c r="BJ97" i="104" s="1"/>
  <c r="BK97" i="104" s="1"/>
  <c r="BL97" i="104" s="1"/>
  <c r="BM97" i="104" s="1"/>
  <c r="BN97" i="104" s="1"/>
  <c r="BO97" i="104" s="1"/>
  <c r="I98" i="104"/>
  <c r="K98" i="104"/>
  <c r="BI98" i="104" s="1"/>
  <c r="BJ98" i="104" s="1"/>
  <c r="BK98" i="104" s="1"/>
  <c r="BL98" i="104" s="1"/>
  <c r="BM98" i="104" s="1"/>
  <c r="BN98" i="104" s="1"/>
  <c r="BO98" i="104" s="1"/>
  <c r="H99" i="104"/>
  <c r="I99" i="104"/>
  <c r="K99" i="104"/>
  <c r="BI99" i="104" s="1"/>
  <c r="BJ99" i="104" s="1"/>
  <c r="BK99" i="104" s="1"/>
  <c r="BL99" i="104" s="1"/>
  <c r="BM99" i="104" s="1"/>
  <c r="BN99" i="104" s="1"/>
  <c r="BO99" i="104" s="1"/>
  <c r="H100" i="104"/>
  <c r="I100" i="104"/>
  <c r="K100" i="104"/>
  <c r="BI100" i="104" s="1"/>
  <c r="BJ100" i="104" s="1"/>
  <c r="BK100" i="104" s="1"/>
  <c r="BL100" i="104" s="1"/>
  <c r="BM100" i="104" s="1"/>
  <c r="BN100" i="104" s="1"/>
  <c r="BO100" i="104" s="1"/>
  <c r="H101" i="104"/>
  <c r="I101" i="104"/>
  <c r="K101" i="104"/>
  <c r="BI101" i="104" s="1"/>
  <c r="BJ101" i="104" s="1"/>
  <c r="BK101" i="104" s="1"/>
  <c r="BL101" i="104" s="1"/>
  <c r="BM101" i="104" s="1"/>
  <c r="BN101" i="104" s="1"/>
  <c r="BO101" i="104" s="1"/>
  <c r="H102" i="104"/>
  <c r="I102" i="104"/>
  <c r="K102" i="104"/>
  <c r="BI102" i="104" s="1"/>
  <c r="BJ102" i="104" s="1"/>
  <c r="BK102" i="104" s="1"/>
  <c r="BL102" i="104" s="1"/>
  <c r="BM102" i="104" s="1"/>
  <c r="BN102" i="104" s="1"/>
  <c r="BO102" i="104" s="1"/>
  <c r="H103" i="104"/>
  <c r="I103" i="104"/>
  <c r="K103" i="104"/>
  <c r="BI103" i="104" s="1"/>
  <c r="BJ103" i="104" s="1"/>
  <c r="BK103" i="104" s="1"/>
  <c r="BL103" i="104" s="1"/>
  <c r="BM103" i="104" s="1"/>
  <c r="BN103" i="104" s="1"/>
  <c r="BO103" i="104" s="1"/>
  <c r="H104" i="104"/>
  <c r="I104" i="104"/>
  <c r="K104" i="104"/>
  <c r="BI104" i="104" s="1"/>
  <c r="BJ104" i="104" s="1"/>
  <c r="BK104" i="104" s="1"/>
  <c r="BL104" i="104" s="1"/>
  <c r="BM104" i="104" s="1"/>
  <c r="BN104" i="104" s="1"/>
  <c r="BO104" i="104" s="1"/>
  <c r="H105" i="104"/>
  <c r="I105" i="104"/>
  <c r="K105" i="104"/>
  <c r="BI105" i="104" s="1"/>
  <c r="BJ105" i="104" s="1"/>
  <c r="BK105" i="104" s="1"/>
  <c r="BL105" i="104" s="1"/>
  <c r="BM105" i="104" s="1"/>
  <c r="BN105" i="104" s="1"/>
  <c r="BO105" i="104" s="1"/>
  <c r="H106" i="104"/>
  <c r="I106" i="104"/>
  <c r="K106" i="104"/>
  <c r="BI106" i="104" s="1"/>
  <c r="BJ106" i="104" s="1"/>
  <c r="BK106" i="104" s="1"/>
  <c r="BL106" i="104" s="1"/>
  <c r="BM106" i="104" s="1"/>
  <c r="BN106" i="104" s="1"/>
  <c r="BO106" i="104" s="1"/>
  <c r="I107" i="104"/>
  <c r="K107" i="104"/>
  <c r="BI107" i="104" s="1"/>
  <c r="BJ107" i="104" s="1"/>
  <c r="BK107" i="104" s="1"/>
  <c r="BL107" i="104" s="1"/>
  <c r="BM107" i="104" s="1"/>
  <c r="BN107" i="104" s="1"/>
  <c r="BO107" i="104" s="1"/>
  <c r="I108" i="104"/>
  <c r="K108" i="104"/>
  <c r="BI108" i="104" s="1"/>
  <c r="BJ108" i="104" s="1"/>
  <c r="BK108" i="104" s="1"/>
  <c r="BL108" i="104" s="1"/>
  <c r="BM108" i="104" s="1"/>
  <c r="BN108" i="104" s="1"/>
  <c r="BO108" i="104" s="1"/>
  <c r="I109" i="104"/>
  <c r="K109" i="104"/>
  <c r="BI109" i="104" s="1"/>
  <c r="BJ109" i="104" s="1"/>
  <c r="BK109" i="104" s="1"/>
  <c r="BL109" i="104" s="1"/>
  <c r="BM109" i="104" s="1"/>
  <c r="BN109" i="104" s="1"/>
  <c r="BO109" i="104" s="1"/>
  <c r="I110" i="104"/>
  <c r="K110" i="104"/>
  <c r="BI110" i="104" s="1"/>
  <c r="BJ110" i="104" s="1"/>
  <c r="BK110" i="104" s="1"/>
  <c r="BL110" i="104" s="1"/>
  <c r="BM110" i="104" s="1"/>
  <c r="BN110" i="104" s="1"/>
  <c r="BO110" i="104" s="1"/>
  <c r="I111" i="104"/>
  <c r="K111" i="104"/>
  <c r="BI111" i="104" s="1"/>
  <c r="BJ111" i="104" s="1"/>
  <c r="BK111" i="104" s="1"/>
  <c r="BL111" i="104" s="1"/>
  <c r="BM111" i="104" s="1"/>
  <c r="BN111" i="104" s="1"/>
  <c r="BO111" i="104" s="1"/>
  <c r="I112" i="104"/>
  <c r="K112" i="104"/>
  <c r="BI112" i="104" s="1"/>
  <c r="BJ112" i="104" s="1"/>
  <c r="BK112" i="104" s="1"/>
  <c r="BL112" i="104" s="1"/>
  <c r="BM112" i="104" s="1"/>
  <c r="BN112" i="104" s="1"/>
  <c r="BO112" i="104" s="1"/>
  <c r="H113" i="104"/>
  <c r="I113" i="104"/>
  <c r="K113" i="104"/>
  <c r="BI113" i="104" s="1"/>
  <c r="BJ113" i="104" s="1"/>
  <c r="BK113" i="104" s="1"/>
  <c r="BL113" i="104" s="1"/>
  <c r="BM113" i="104" s="1"/>
  <c r="BN113" i="104" s="1"/>
  <c r="BO113" i="104" s="1"/>
  <c r="H114" i="104"/>
  <c r="I114" i="104"/>
  <c r="I115" i="104"/>
  <c r="H117" i="104"/>
  <c r="I117" i="104"/>
  <c r="K117" i="104"/>
  <c r="BI117" i="104" s="1"/>
  <c r="BJ117" i="104" s="1"/>
  <c r="BK117" i="104" s="1"/>
  <c r="BL117" i="104" s="1"/>
  <c r="BM117" i="104" s="1"/>
  <c r="BN117" i="104" s="1"/>
  <c r="BO117" i="104" s="1"/>
  <c r="H118" i="104"/>
  <c r="I118" i="104"/>
  <c r="K118" i="104"/>
  <c r="BI118" i="104" s="1"/>
  <c r="BJ118" i="104" s="1"/>
  <c r="BK118" i="104" s="1"/>
  <c r="BL118" i="104" s="1"/>
  <c r="BM118" i="104" s="1"/>
  <c r="BN118" i="104" s="1"/>
  <c r="BO118" i="104" s="1"/>
  <c r="G64" i="104"/>
  <c r="G65" i="104"/>
  <c r="G66" i="104"/>
  <c r="G67" i="104"/>
  <c r="G68" i="104"/>
  <c r="G69" i="104"/>
  <c r="G70" i="104"/>
  <c r="G71" i="104"/>
  <c r="G72" i="104"/>
  <c r="G73" i="104"/>
  <c r="G74" i="104"/>
  <c r="G75" i="104"/>
  <c r="G76" i="104"/>
  <c r="G77" i="104"/>
  <c r="G78" i="104"/>
  <c r="G79" i="104"/>
  <c r="G80" i="104"/>
  <c r="G81" i="104"/>
  <c r="G82" i="104"/>
  <c r="G83" i="104"/>
  <c r="G84" i="104"/>
  <c r="G85" i="104"/>
  <c r="G86" i="104"/>
  <c r="G87" i="104"/>
  <c r="G88" i="104"/>
  <c r="G89" i="104"/>
  <c r="G90" i="104"/>
  <c r="G91" i="104"/>
  <c r="G92" i="104"/>
  <c r="G93" i="104"/>
  <c r="G94" i="104"/>
  <c r="G95" i="104"/>
  <c r="G96" i="104"/>
  <c r="G97" i="104"/>
  <c r="G98" i="104"/>
  <c r="G99" i="104"/>
  <c r="G100" i="104"/>
  <c r="G101" i="104"/>
  <c r="G102" i="104"/>
  <c r="G103" i="104"/>
  <c r="G104" i="104"/>
  <c r="G105" i="104"/>
  <c r="G106" i="104"/>
  <c r="G107" i="104"/>
  <c r="G108" i="104"/>
  <c r="G109" i="104"/>
  <c r="G110" i="104"/>
  <c r="G111" i="104"/>
  <c r="G112" i="104"/>
  <c r="G113" i="104"/>
  <c r="G114" i="104"/>
  <c r="G115" i="104"/>
  <c r="G117" i="104"/>
  <c r="G118"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7" i="104"/>
  <c r="F118" i="104"/>
  <c r="E64" i="104"/>
  <c r="E65" i="104"/>
  <c r="E66" i="104"/>
  <c r="E67" i="104"/>
  <c r="E68" i="104"/>
  <c r="E69" i="104"/>
  <c r="E70" i="104"/>
  <c r="E71" i="104"/>
  <c r="E72" i="104"/>
  <c r="E73" i="104"/>
  <c r="E74" i="104"/>
  <c r="E75" i="104"/>
  <c r="E76" i="104"/>
  <c r="E77" i="104"/>
  <c r="E78" i="104"/>
  <c r="E79" i="104"/>
  <c r="E80" i="104"/>
  <c r="E81" i="104"/>
  <c r="E82" i="104"/>
  <c r="E83" i="104"/>
  <c r="E84" i="104"/>
  <c r="E85" i="104"/>
  <c r="E86" i="104"/>
  <c r="E87" i="104"/>
  <c r="E88" i="104"/>
  <c r="E89" i="104"/>
  <c r="E90" i="104"/>
  <c r="E91" i="104"/>
  <c r="E92" i="104"/>
  <c r="E93" i="104"/>
  <c r="E94" i="104"/>
  <c r="E95" i="104"/>
  <c r="E96" i="104"/>
  <c r="E97" i="104"/>
  <c r="E98" i="104"/>
  <c r="E99" i="104"/>
  <c r="E100" i="104"/>
  <c r="E101" i="104"/>
  <c r="E102" i="104"/>
  <c r="E103" i="104"/>
  <c r="E104" i="104"/>
  <c r="E105" i="104"/>
  <c r="E106" i="104"/>
  <c r="E107" i="104"/>
  <c r="E108" i="104"/>
  <c r="E109" i="104"/>
  <c r="E110" i="104"/>
  <c r="E111" i="104"/>
  <c r="E112" i="104"/>
  <c r="E113" i="104"/>
  <c r="E114" i="104"/>
  <c r="E115" i="104"/>
  <c r="E117" i="104"/>
  <c r="E118" i="104"/>
  <c r="M146" i="104"/>
  <c r="D165" i="104"/>
  <c r="D166" i="104"/>
  <c r="D167" i="104"/>
  <c r="D168" i="104"/>
  <c r="D169" i="104"/>
  <c r="D170" i="104"/>
  <c r="D171" i="104"/>
  <c r="D172" i="104"/>
  <c r="D174" i="104"/>
  <c r="D175" i="104"/>
  <c r="D108" i="104"/>
  <c r="D109" i="104"/>
  <c r="D110" i="104"/>
  <c r="D111" i="104"/>
  <c r="D112" i="104"/>
  <c r="D113" i="104"/>
  <c r="D114" i="104"/>
  <c r="D115" i="104"/>
  <c r="D117" i="104"/>
  <c r="D118" i="104"/>
  <c r="I93" i="135"/>
  <c r="G93" i="135"/>
  <c r="H93" i="135" s="1"/>
  <c r="P81" i="135"/>
  <c r="P82" i="135"/>
  <c r="P83" i="135"/>
  <c r="I89" i="135"/>
  <c r="I90" i="135"/>
  <c r="M64" i="135"/>
  <c r="K64" i="135"/>
  <c r="K65" i="135" s="1"/>
  <c r="H89" i="135"/>
  <c r="G90" i="135"/>
  <c r="H90" i="135" s="1"/>
  <c r="F91" i="135"/>
  <c r="F94" i="135"/>
  <c r="G97" i="135"/>
  <c r="L98" i="135"/>
  <c r="P98" i="135" s="1"/>
  <c r="N98" i="135"/>
  <c r="O98" i="135"/>
  <c r="L85" i="135"/>
  <c r="P85" i="135" s="1"/>
  <c r="H26" i="104"/>
  <c r="H140" i="104" s="1"/>
  <c r="H25" i="104"/>
  <c r="H139" i="104" s="1"/>
  <c r="H24" i="104"/>
  <c r="H138" i="104" s="1"/>
  <c r="H23" i="104"/>
  <c r="H137" i="104" s="1"/>
  <c r="H136" i="104"/>
  <c r="H21" i="104"/>
  <c r="H135" i="104" s="1"/>
  <c r="H134" i="104"/>
  <c r="E71" i="135"/>
  <c r="G84" i="135"/>
  <c r="E69" i="135"/>
  <c r="E68" i="135"/>
  <c r="E67" i="135"/>
  <c r="E66" i="135"/>
  <c r="F67" i="135"/>
  <c r="F66" i="135"/>
  <c r="F65" i="135"/>
  <c r="F64" i="135"/>
  <c r="F81" i="135"/>
  <c r="F82" i="135"/>
  <c r="G80" i="135"/>
  <c r="H80" i="135" s="1"/>
  <c r="O85" i="135"/>
  <c r="J107" i="135"/>
  <c r="H79" i="135" s="1"/>
  <c r="I107" i="135"/>
  <c r="F71" i="135"/>
  <c r="F69" i="135"/>
  <c r="F68" i="135"/>
  <c r="FF6" i="148" l="1"/>
  <c r="BM46" i="104"/>
  <c r="DJ46" i="104" s="1"/>
  <c r="EV146" i="104"/>
  <c r="EV145" i="104"/>
  <c r="EV132" i="104"/>
  <c r="EV131" i="104"/>
  <c r="EV130" i="104"/>
  <c r="EV129" i="104"/>
  <c r="EV128" i="104"/>
  <c r="EV127" i="104"/>
  <c r="EV126" i="104"/>
  <c r="EV125" i="104"/>
  <c r="EV124" i="104"/>
  <c r="EV123" i="104"/>
  <c r="EV122" i="104"/>
  <c r="EV121" i="104"/>
  <c r="EV89" i="104"/>
  <c r="EV88" i="104"/>
  <c r="EV75" i="104"/>
  <c r="EV74" i="104"/>
  <c r="EV73" i="104"/>
  <c r="EV72" i="104"/>
  <c r="EV71" i="104"/>
  <c r="EV70" i="104"/>
  <c r="EV69" i="104"/>
  <c r="EV68" i="104"/>
  <c r="EV67" i="104"/>
  <c r="EV66" i="104"/>
  <c r="EV65" i="104"/>
  <c r="EV64" i="104"/>
  <c r="EV172" i="104"/>
  <c r="EV163" i="104"/>
  <c r="EV162" i="104"/>
  <c r="EV161" i="104"/>
  <c r="EV160" i="104"/>
  <c r="EV159" i="104"/>
  <c r="EV158" i="104"/>
  <c r="EV157" i="104"/>
  <c r="EV156" i="104"/>
  <c r="EV154" i="104"/>
  <c r="EV153" i="104"/>
  <c r="EV152" i="104"/>
  <c r="EV150" i="104"/>
  <c r="EV149" i="104"/>
  <c r="EV148" i="104"/>
  <c r="EV115" i="104"/>
  <c r="EV106" i="104"/>
  <c r="EV105" i="104"/>
  <c r="EV104" i="104"/>
  <c r="EV103" i="104"/>
  <c r="EV102" i="104"/>
  <c r="EV101" i="104"/>
  <c r="EV100" i="104"/>
  <c r="EV99" i="104"/>
  <c r="EV97" i="104"/>
  <c r="EV96" i="104"/>
  <c r="EV95" i="104"/>
  <c r="EV93" i="104"/>
  <c r="EV92" i="104"/>
  <c r="EV91" i="104"/>
  <c r="FI6" i="148"/>
  <c r="EZ8" i="148"/>
  <c r="EV147" i="104"/>
  <c r="EV90" i="104"/>
  <c r="EU115" i="104"/>
  <c r="EU100" i="104"/>
  <c r="EN100" i="104"/>
  <c r="EG100" i="104"/>
  <c r="DL100" i="104"/>
  <c r="DL92" i="104"/>
  <c r="DK88" i="104"/>
  <c r="ET66" i="104"/>
  <c r="DK66" i="104"/>
  <c r="ET162" i="104"/>
  <c r="EM162" i="104"/>
  <c r="EF162" i="104"/>
  <c r="DK162" i="104"/>
  <c r="ET156" i="104"/>
  <c r="EM156" i="104"/>
  <c r="EF156" i="104"/>
  <c r="DK156" i="104"/>
  <c r="DK149" i="104"/>
  <c r="ET115" i="104"/>
  <c r="ET106" i="104"/>
  <c r="EM106" i="104"/>
  <c r="EF106" i="104"/>
  <c r="DK106" i="104"/>
  <c r="ET105" i="104"/>
  <c r="EM105" i="104"/>
  <c r="EF105" i="104"/>
  <c r="DK105" i="104"/>
  <c r="ET104" i="104"/>
  <c r="EM104" i="104"/>
  <c r="EF104" i="104"/>
  <c r="DK104" i="104"/>
  <c r="ET103" i="104"/>
  <c r="EM103" i="104"/>
  <c r="EF103" i="104"/>
  <c r="DK103" i="104"/>
  <c r="ET102" i="104"/>
  <c r="EM102" i="104"/>
  <c r="EF102" i="104"/>
  <c r="DK102" i="104"/>
  <c r="ET101" i="104"/>
  <c r="EM101" i="104"/>
  <c r="EF101" i="104"/>
  <c r="DK101" i="104"/>
  <c r="ET100" i="104"/>
  <c r="EM100" i="104"/>
  <c r="EF100" i="104"/>
  <c r="DK100" i="104"/>
  <c r="ET99" i="104"/>
  <c r="EM99" i="104"/>
  <c r="EF99" i="104"/>
  <c r="DK99" i="104"/>
  <c r="DK97" i="104"/>
  <c r="DK96" i="104"/>
  <c r="DK95" i="104"/>
  <c r="DK93" i="104"/>
  <c r="DK92" i="104"/>
  <c r="DK91" i="104"/>
  <c r="ES90" i="104"/>
  <c r="DJ90" i="104"/>
  <c r="DJ89" i="104"/>
  <c r="DJ88" i="104"/>
  <c r="ES67" i="104"/>
  <c r="DJ67" i="104"/>
  <c r="ES66" i="104"/>
  <c r="DJ66" i="104"/>
  <c r="ES65" i="104"/>
  <c r="DJ65" i="104"/>
  <c r="ES64" i="104"/>
  <c r="DJ64" i="104"/>
  <c r="ES172" i="104"/>
  <c r="ES163" i="104"/>
  <c r="EL163" i="104"/>
  <c r="EE163" i="104"/>
  <c r="DJ163" i="104"/>
  <c r="ES162" i="104"/>
  <c r="EL162" i="104"/>
  <c r="EE162" i="104"/>
  <c r="DJ162" i="104"/>
  <c r="ES161" i="104"/>
  <c r="EL161" i="104"/>
  <c r="EE161" i="104"/>
  <c r="DJ161" i="104"/>
  <c r="ES160" i="104"/>
  <c r="EL160" i="104"/>
  <c r="EE160" i="104"/>
  <c r="DJ160" i="104"/>
  <c r="ES159" i="104"/>
  <c r="EL159" i="104"/>
  <c r="EE159" i="104"/>
  <c r="DJ159" i="104"/>
  <c r="ES158" i="104"/>
  <c r="EL158" i="104"/>
  <c r="EE158" i="104"/>
  <c r="DJ158" i="104"/>
  <c r="ES157" i="104"/>
  <c r="EL157" i="104"/>
  <c r="EE157" i="104"/>
  <c r="DJ157" i="104"/>
  <c r="ES156" i="104"/>
  <c r="EL156" i="104"/>
  <c r="EE156" i="104"/>
  <c r="DJ156" i="104"/>
  <c r="DJ154" i="104"/>
  <c r="DJ153" i="104"/>
  <c r="DJ152" i="104"/>
  <c r="DJ150" i="104"/>
  <c r="DJ149" i="104"/>
  <c r="DJ148" i="104"/>
  <c r="ER147" i="104"/>
  <c r="DI147" i="104"/>
  <c r="DI146" i="104"/>
  <c r="DI145" i="104"/>
  <c r="ER124" i="104"/>
  <c r="DI124" i="104"/>
  <c r="ER123" i="104"/>
  <c r="DI123" i="104"/>
  <c r="ER122" i="104"/>
  <c r="DI122" i="104"/>
  <c r="ER121" i="104"/>
  <c r="DI121" i="104"/>
  <c r="EU105" i="104"/>
  <c r="EN105" i="104"/>
  <c r="EG105" i="104"/>
  <c r="DL105" i="104"/>
  <c r="EU99" i="104"/>
  <c r="EN99" i="104"/>
  <c r="EG99" i="104"/>
  <c r="DL99" i="104"/>
  <c r="DL91" i="104"/>
  <c r="EM163" i="104"/>
  <c r="ET163" i="104"/>
  <c r="EF163" i="104"/>
  <c r="DK163" i="104"/>
  <c r="ET158" i="104"/>
  <c r="EM158" i="104"/>
  <c r="EF158" i="104"/>
  <c r="DK158" i="104"/>
  <c r="DK150" i="104"/>
  <c r="DJ145" i="104"/>
  <c r="ES115" i="104"/>
  <c r="ES106" i="104"/>
  <c r="EL106" i="104"/>
  <c r="EE106" i="104"/>
  <c r="DJ106" i="104"/>
  <c r="ES105" i="104"/>
  <c r="EL105" i="104"/>
  <c r="EE105" i="104"/>
  <c r="DJ105" i="104"/>
  <c r="ES104" i="104"/>
  <c r="EL104" i="104"/>
  <c r="EE104" i="104"/>
  <c r="DJ104" i="104"/>
  <c r="ES103" i="104"/>
  <c r="EL103" i="104"/>
  <c r="EE103" i="104"/>
  <c r="DJ103" i="104"/>
  <c r="ES102" i="104"/>
  <c r="EL102" i="104"/>
  <c r="EE102" i="104"/>
  <c r="DJ102" i="104"/>
  <c r="ES101" i="104"/>
  <c r="EL101" i="104"/>
  <c r="EE101" i="104"/>
  <c r="DJ101" i="104"/>
  <c r="ES100" i="104"/>
  <c r="EE100" i="104"/>
  <c r="EL100" i="104"/>
  <c r="DJ100" i="104"/>
  <c r="ES99" i="104"/>
  <c r="EL99" i="104"/>
  <c r="EE99" i="104"/>
  <c r="DJ99" i="104"/>
  <c r="DJ97" i="104"/>
  <c r="DJ96" i="104"/>
  <c r="DJ95" i="104"/>
  <c r="DJ93" i="104"/>
  <c r="DJ92" i="104"/>
  <c r="DJ91" i="104"/>
  <c r="ER90" i="104"/>
  <c r="DI90" i="104"/>
  <c r="DI89" i="104"/>
  <c r="DI88" i="104"/>
  <c r="ER67" i="104"/>
  <c r="DI67" i="104"/>
  <c r="ER66" i="104"/>
  <c r="DI66" i="104"/>
  <c r="ER65" i="104"/>
  <c r="DI65" i="104"/>
  <c r="ER64" i="104"/>
  <c r="DI64" i="104"/>
  <c r="ER172" i="104"/>
  <c r="ER163" i="104"/>
  <c r="EK163" i="104"/>
  <c r="ED163" i="104"/>
  <c r="DI163" i="104"/>
  <c r="EK162" i="104"/>
  <c r="ER162" i="104"/>
  <c r="ED162" i="104"/>
  <c r="DI162" i="104"/>
  <c r="ER161" i="104"/>
  <c r="EK161" i="104"/>
  <c r="ED161" i="104"/>
  <c r="DI161" i="104"/>
  <c r="ER160" i="104"/>
  <c r="EK160" i="104"/>
  <c r="ED160" i="104"/>
  <c r="DI160" i="104"/>
  <c r="ER159" i="104"/>
  <c r="EK159" i="104"/>
  <c r="ED159" i="104"/>
  <c r="DI159" i="104"/>
  <c r="ER158" i="104"/>
  <c r="EK158" i="104"/>
  <c r="ED158" i="104"/>
  <c r="DI158" i="104"/>
  <c r="ER157" i="104"/>
  <c r="EK157" i="104"/>
  <c r="ED157" i="104"/>
  <c r="DI157" i="104"/>
  <c r="ER156" i="104"/>
  <c r="EK156" i="104"/>
  <c r="ED156" i="104"/>
  <c r="DI156" i="104"/>
  <c r="DI154" i="104"/>
  <c r="DI153" i="104"/>
  <c r="DI152" i="104"/>
  <c r="DI150" i="104"/>
  <c r="DI149" i="104"/>
  <c r="DI148" i="104"/>
  <c r="EQ147" i="104"/>
  <c r="DH147" i="104"/>
  <c r="DH146" i="104"/>
  <c r="DH145" i="104"/>
  <c r="EQ124" i="104"/>
  <c r="DH124" i="104"/>
  <c r="EQ123" i="104"/>
  <c r="DH123" i="104"/>
  <c r="EQ122" i="104"/>
  <c r="DH122" i="104"/>
  <c r="EQ121" i="104"/>
  <c r="DH121" i="104"/>
  <c r="EU103" i="104"/>
  <c r="EN103" i="104"/>
  <c r="EG103" i="104"/>
  <c r="DL103" i="104"/>
  <c r="DL95" i="104"/>
  <c r="ET67" i="104"/>
  <c r="DK67" i="104"/>
  <c r="ET160" i="104"/>
  <c r="EM160" i="104"/>
  <c r="EF160" i="104"/>
  <c r="DK160" i="104"/>
  <c r="DK152" i="104"/>
  <c r="ES122" i="104"/>
  <c r="DJ122" i="104"/>
  <c r="ER115" i="104"/>
  <c r="ER106" i="104"/>
  <c r="EK106" i="104"/>
  <c r="ED106" i="104"/>
  <c r="DI106" i="104"/>
  <c r="ER105" i="104"/>
  <c r="EK105" i="104"/>
  <c r="ED105" i="104"/>
  <c r="DI105" i="104"/>
  <c r="ER104" i="104"/>
  <c r="EK104" i="104"/>
  <c r="ED104" i="104"/>
  <c r="DI104" i="104"/>
  <c r="ER103" i="104"/>
  <c r="EK103" i="104"/>
  <c r="ED103" i="104"/>
  <c r="DI103" i="104"/>
  <c r="ER102" i="104"/>
  <c r="EK102" i="104"/>
  <c r="ED102" i="104"/>
  <c r="DI102" i="104"/>
  <c r="ER101" i="104"/>
  <c r="EK101" i="104"/>
  <c r="ED101" i="104"/>
  <c r="DI101" i="104"/>
  <c r="ER100" i="104"/>
  <c r="EK100" i="104"/>
  <c r="ED100" i="104"/>
  <c r="DI100" i="104"/>
  <c r="ER99" i="104"/>
  <c r="EK99" i="104"/>
  <c r="ED99" i="104"/>
  <c r="DI99" i="104"/>
  <c r="DI97" i="104"/>
  <c r="DI96" i="104"/>
  <c r="DI95" i="104"/>
  <c r="DI93" i="104"/>
  <c r="DI92" i="104"/>
  <c r="DI91" i="104"/>
  <c r="EQ90" i="104"/>
  <c r="DH90" i="104"/>
  <c r="DH89" i="104"/>
  <c r="DH88" i="104"/>
  <c r="EQ67" i="104"/>
  <c r="DH67" i="104"/>
  <c r="EQ66" i="104"/>
  <c r="DH66" i="104"/>
  <c r="EQ65" i="104"/>
  <c r="DH65" i="104"/>
  <c r="EQ64" i="104"/>
  <c r="DH64" i="104"/>
  <c r="EQ172" i="104"/>
  <c r="EQ163" i="104"/>
  <c r="EJ163" i="104"/>
  <c r="EC163" i="104"/>
  <c r="DH163" i="104"/>
  <c r="EQ162" i="104"/>
  <c r="EJ162" i="104"/>
  <c r="EC162" i="104"/>
  <c r="DH162" i="104"/>
  <c r="EQ161" i="104"/>
  <c r="EJ161" i="104"/>
  <c r="EC161" i="104"/>
  <c r="DH161" i="104"/>
  <c r="EQ160" i="104"/>
  <c r="EJ160" i="104"/>
  <c r="EC160" i="104"/>
  <c r="DH160" i="104"/>
  <c r="EQ159" i="104"/>
  <c r="EJ159" i="104"/>
  <c r="EC159" i="104"/>
  <c r="DH159" i="104"/>
  <c r="EQ158" i="104"/>
  <c r="EJ158" i="104"/>
  <c r="EC158" i="104"/>
  <c r="DH158" i="104"/>
  <c r="EQ157" i="104"/>
  <c r="EJ157" i="104"/>
  <c r="EC157" i="104"/>
  <c r="DH157" i="104"/>
  <c r="EQ156" i="104"/>
  <c r="EJ156" i="104"/>
  <c r="EC156" i="104"/>
  <c r="DH156" i="104"/>
  <c r="DH154" i="104"/>
  <c r="DH153" i="104"/>
  <c r="DH152" i="104"/>
  <c r="DH150" i="104"/>
  <c r="DH149" i="104"/>
  <c r="DH148" i="104"/>
  <c r="EP147" i="104"/>
  <c r="DG147" i="104"/>
  <c r="DG146" i="104"/>
  <c r="DG145" i="104"/>
  <c r="EP124" i="104"/>
  <c r="DG124" i="104"/>
  <c r="EP123" i="104"/>
  <c r="DG123" i="104"/>
  <c r="EP122" i="104"/>
  <c r="DG122" i="104"/>
  <c r="EP121" i="104"/>
  <c r="DG121" i="104"/>
  <c r="EU106" i="104"/>
  <c r="EN106" i="104"/>
  <c r="EG106" i="104"/>
  <c r="DL106" i="104"/>
  <c r="EU101" i="104"/>
  <c r="EN101" i="104"/>
  <c r="EG101" i="104"/>
  <c r="DL101" i="104"/>
  <c r="DL97" i="104"/>
  <c r="ET90" i="104"/>
  <c r="DK90" i="104"/>
  <c r="ET172" i="104"/>
  <c r="ET159" i="104"/>
  <c r="EM159" i="104"/>
  <c r="EF159" i="104"/>
  <c r="DK159" i="104"/>
  <c r="DK153" i="104"/>
  <c r="DJ146" i="104"/>
  <c r="ES123" i="104"/>
  <c r="DJ123" i="104"/>
  <c r="EQ115" i="104"/>
  <c r="EQ106" i="104"/>
  <c r="EJ106" i="104"/>
  <c r="EC106" i="104"/>
  <c r="DH106" i="104"/>
  <c r="EQ105" i="104"/>
  <c r="EJ105" i="104"/>
  <c r="EC105" i="104"/>
  <c r="DH105" i="104"/>
  <c r="EQ104" i="104"/>
  <c r="EJ104" i="104"/>
  <c r="EC104" i="104"/>
  <c r="DH104" i="104"/>
  <c r="EQ103" i="104"/>
  <c r="EJ103" i="104"/>
  <c r="EC103" i="104"/>
  <c r="DH103" i="104"/>
  <c r="EQ102" i="104"/>
  <c r="EJ102" i="104"/>
  <c r="EC102" i="104"/>
  <c r="DH102" i="104"/>
  <c r="EQ101" i="104"/>
  <c r="EJ101" i="104"/>
  <c r="EC101" i="104"/>
  <c r="DH101" i="104"/>
  <c r="EQ100" i="104"/>
  <c r="EJ100" i="104"/>
  <c r="EC100" i="104"/>
  <c r="DH100" i="104"/>
  <c r="EQ99" i="104"/>
  <c r="EJ99" i="104"/>
  <c r="EC99" i="104"/>
  <c r="DH99" i="104"/>
  <c r="DH97" i="104"/>
  <c r="DH96" i="104"/>
  <c r="DH95" i="104"/>
  <c r="DH93" i="104"/>
  <c r="DH92" i="104"/>
  <c r="DH91" i="104"/>
  <c r="EP90" i="104"/>
  <c r="DG90" i="104"/>
  <c r="DG89" i="104"/>
  <c r="DG88" i="104"/>
  <c r="EP67" i="104"/>
  <c r="DG67" i="104"/>
  <c r="EP66" i="104"/>
  <c r="DG66" i="104"/>
  <c r="EP65" i="104"/>
  <c r="DG65" i="104"/>
  <c r="EP64" i="104"/>
  <c r="DG64" i="104"/>
  <c r="EP172" i="104"/>
  <c r="EP163" i="104"/>
  <c r="EI163" i="104"/>
  <c r="EB163" i="104"/>
  <c r="DG163" i="104"/>
  <c r="EP162" i="104"/>
  <c r="EI162" i="104"/>
  <c r="EB162" i="104"/>
  <c r="DG162" i="104"/>
  <c r="EP161" i="104"/>
  <c r="EI161" i="104"/>
  <c r="EB161" i="104"/>
  <c r="DG161" i="104"/>
  <c r="EI160" i="104"/>
  <c r="EP160" i="104"/>
  <c r="EB160" i="104"/>
  <c r="DG160" i="104"/>
  <c r="EP159" i="104"/>
  <c r="EI159" i="104"/>
  <c r="EB159" i="104"/>
  <c r="DG159" i="104"/>
  <c r="EP158" i="104"/>
  <c r="EI158" i="104"/>
  <c r="EB158" i="104"/>
  <c r="DG158" i="104"/>
  <c r="EP157" i="104"/>
  <c r="EI157" i="104"/>
  <c r="EB157" i="104"/>
  <c r="DG157" i="104"/>
  <c r="EP156" i="104"/>
  <c r="EI156" i="104"/>
  <c r="EB156" i="104"/>
  <c r="DG156" i="104"/>
  <c r="DG154" i="104"/>
  <c r="DG153" i="104"/>
  <c r="DG152" i="104"/>
  <c r="DG150" i="104"/>
  <c r="DG149" i="104"/>
  <c r="DG148" i="104"/>
  <c r="EO147" i="104"/>
  <c r="DF147" i="104"/>
  <c r="DF146" i="104"/>
  <c r="DF145" i="104"/>
  <c r="EO132" i="104"/>
  <c r="EH132" i="104"/>
  <c r="EA132" i="104"/>
  <c r="DF132" i="104"/>
  <c r="CY132" i="104"/>
  <c r="EO131" i="104"/>
  <c r="EH131" i="104"/>
  <c r="EA131" i="104"/>
  <c r="DF131" i="104"/>
  <c r="CY131" i="104"/>
  <c r="EO130" i="104"/>
  <c r="DF130" i="104"/>
  <c r="EO129" i="104"/>
  <c r="EH129" i="104"/>
  <c r="EA129" i="104"/>
  <c r="DF129" i="104"/>
  <c r="CY129" i="104"/>
  <c r="EO128" i="104"/>
  <c r="EH128" i="104"/>
  <c r="EA128" i="104"/>
  <c r="DF128" i="104"/>
  <c r="CY128" i="104"/>
  <c r="EO127" i="104"/>
  <c r="EH127" i="104"/>
  <c r="EA127" i="104"/>
  <c r="DF127" i="104"/>
  <c r="CY127" i="104"/>
  <c r="EO126" i="104"/>
  <c r="EH126" i="104"/>
  <c r="EA126" i="104"/>
  <c r="DF126" i="104"/>
  <c r="CY126" i="104"/>
  <c r="EO125" i="104"/>
  <c r="DF125" i="104"/>
  <c r="EO124" i="104"/>
  <c r="DF124" i="104"/>
  <c r="EO123" i="104"/>
  <c r="DF123" i="104"/>
  <c r="EO122" i="104"/>
  <c r="DF122" i="104"/>
  <c r="EO121" i="104"/>
  <c r="DF121" i="104"/>
  <c r="EU104" i="104"/>
  <c r="EN104" i="104"/>
  <c r="EG104" i="104"/>
  <c r="DL104" i="104"/>
  <c r="DL93" i="104"/>
  <c r="ET64" i="104"/>
  <c r="DK64" i="104"/>
  <c r="ET157" i="104"/>
  <c r="EM157" i="104"/>
  <c r="EF157" i="104"/>
  <c r="DK157" i="104"/>
  <c r="ES147" i="104"/>
  <c r="DJ147" i="104"/>
  <c r="ES121" i="104"/>
  <c r="DJ121" i="104"/>
  <c r="EP115" i="104"/>
  <c r="EP106" i="104"/>
  <c r="EI106" i="104"/>
  <c r="EB106" i="104"/>
  <c r="DG106" i="104"/>
  <c r="EP105" i="104"/>
  <c r="EI105" i="104"/>
  <c r="EB105" i="104"/>
  <c r="DG105" i="104"/>
  <c r="EP104" i="104"/>
  <c r="EI104" i="104"/>
  <c r="EB104" i="104"/>
  <c r="DG104" i="104"/>
  <c r="EP103" i="104"/>
  <c r="EI103" i="104"/>
  <c r="EB103" i="104"/>
  <c r="DG103" i="104"/>
  <c r="EP102" i="104"/>
  <c r="EI102" i="104"/>
  <c r="EB102" i="104"/>
  <c r="DG102" i="104"/>
  <c r="EP101" i="104"/>
  <c r="EI101" i="104"/>
  <c r="EB101" i="104"/>
  <c r="DG101" i="104"/>
  <c r="EP100" i="104"/>
  <c r="EI100" i="104"/>
  <c r="EB100" i="104"/>
  <c r="DG100" i="104"/>
  <c r="EP99" i="104"/>
  <c r="EI99" i="104"/>
  <c r="EB99" i="104"/>
  <c r="DG99" i="104"/>
  <c r="DG97" i="104"/>
  <c r="DG96" i="104"/>
  <c r="DG95" i="104"/>
  <c r="DG93" i="104"/>
  <c r="DG92" i="104"/>
  <c r="DG91" i="104"/>
  <c r="EO90" i="104"/>
  <c r="DF90" i="104"/>
  <c r="DF89" i="104"/>
  <c r="DF88" i="104"/>
  <c r="EO75" i="104"/>
  <c r="EH75" i="104"/>
  <c r="EA75" i="104"/>
  <c r="DF75" i="104"/>
  <c r="CY75" i="104"/>
  <c r="EO74" i="104"/>
  <c r="EA74" i="104"/>
  <c r="EH74" i="104"/>
  <c r="DF74" i="104"/>
  <c r="CY74" i="104"/>
  <c r="EO73" i="104"/>
  <c r="DF73" i="104"/>
  <c r="EO72" i="104"/>
  <c r="EH72" i="104"/>
  <c r="EA72" i="104"/>
  <c r="DF72" i="104"/>
  <c r="CY72" i="104"/>
  <c r="EH71" i="104"/>
  <c r="EO71" i="104"/>
  <c r="EA71" i="104"/>
  <c r="DF71" i="104"/>
  <c r="CY71" i="104"/>
  <c r="EO70" i="104"/>
  <c r="EH70" i="104"/>
  <c r="EA70" i="104"/>
  <c r="DF70" i="104"/>
  <c r="CY70" i="104"/>
  <c r="EO69" i="104"/>
  <c r="EA69" i="104"/>
  <c r="EH69" i="104"/>
  <c r="CY69" i="104"/>
  <c r="DF69" i="104"/>
  <c r="EO68" i="104"/>
  <c r="DF68" i="104"/>
  <c r="EO67" i="104"/>
  <c r="DF67" i="104"/>
  <c r="EO66" i="104"/>
  <c r="DF66" i="104"/>
  <c r="EO65" i="104"/>
  <c r="DF65" i="104"/>
  <c r="EO64" i="104"/>
  <c r="DF64" i="104"/>
  <c r="EO172" i="104"/>
  <c r="EO163" i="104"/>
  <c r="EH163" i="104"/>
  <c r="EA163" i="104"/>
  <c r="DF163" i="104"/>
  <c r="EO162" i="104"/>
  <c r="EH162" i="104"/>
  <c r="EA162" i="104"/>
  <c r="DF162" i="104"/>
  <c r="EO161" i="104"/>
  <c r="EH161" i="104"/>
  <c r="EA161" i="104"/>
  <c r="DF161" i="104"/>
  <c r="EO160" i="104"/>
  <c r="EH160" i="104"/>
  <c r="EA160" i="104"/>
  <c r="DF160" i="104"/>
  <c r="EO159" i="104"/>
  <c r="EH159" i="104"/>
  <c r="EA159" i="104"/>
  <c r="DF159" i="104"/>
  <c r="EO158" i="104"/>
  <c r="EH158" i="104"/>
  <c r="EA158" i="104"/>
  <c r="DF158" i="104"/>
  <c r="EO157" i="104"/>
  <c r="EA157" i="104"/>
  <c r="EH157" i="104"/>
  <c r="DF157" i="104"/>
  <c r="EO156" i="104"/>
  <c r="EH156" i="104"/>
  <c r="EA156" i="104"/>
  <c r="DF156" i="104"/>
  <c r="DF154" i="104"/>
  <c r="DF153" i="104"/>
  <c r="DF152" i="104"/>
  <c r="DF150" i="104"/>
  <c r="DF149" i="104"/>
  <c r="DF148" i="104"/>
  <c r="BH11" i="104"/>
  <c r="DE11" i="104" s="1"/>
  <c r="EW11" i="104" s="1"/>
  <c r="EO115" i="104"/>
  <c r="EO106" i="104"/>
  <c r="EH106" i="104"/>
  <c r="EA106" i="104"/>
  <c r="DF106" i="104"/>
  <c r="EO105" i="104"/>
  <c r="EH105" i="104"/>
  <c r="EA105" i="104"/>
  <c r="DF105" i="104"/>
  <c r="EO104" i="104"/>
  <c r="EH104" i="104"/>
  <c r="EA104" i="104"/>
  <c r="DF104" i="104"/>
  <c r="EO103" i="104"/>
  <c r="EH103" i="104"/>
  <c r="EA103" i="104"/>
  <c r="DF103" i="104"/>
  <c r="EO102" i="104"/>
  <c r="EH102" i="104"/>
  <c r="EA102" i="104"/>
  <c r="DF102" i="104"/>
  <c r="EO101" i="104"/>
  <c r="EH101" i="104"/>
  <c r="EA101" i="104"/>
  <c r="DF101" i="104"/>
  <c r="EO100" i="104"/>
  <c r="EH100" i="104"/>
  <c r="EA100" i="104"/>
  <c r="DF100" i="104"/>
  <c r="EO99" i="104"/>
  <c r="EA99" i="104"/>
  <c r="EH99" i="104"/>
  <c r="DF99" i="104"/>
  <c r="DF97" i="104"/>
  <c r="DF96" i="104"/>
  <c r="DF95" i="104"/>
  <c r="DF93" i="104"/>
  <c r="DF92" i="104"/>
  <c r="DF91" i="104"/>
  <c r="DL146" i="104"/>
  <c r="DL145" i="104"/>
  <c r="EU124" i="104"/>
  <c r="DL124" i="104"/>
  <c r="EU123" i="104"/>
  <c r="DL123" i="104"/>
  <c r="EU122" i="104"/>
  <c r="DL122" i="104"/>
  <c r="EU121" i="104"/>
  <c r="DL121" i="104"/>
  <c r="DZ33" i="104"/>
  <c r="EZ33" i="104" s="1"/>
  <c r="EU102" i="104"/>
  <c r="EN102" i="104"/>
  <c r="EG102" i="104"/>
  <c r="DL102" i="104"/>
  <c r="DL96" i="104"/>
  <c r="DK89" i="104"/>
  <c r="ET65" i="104"/>
  <c r="DK65" i="104"/>
  <c r="ET161" i="104"/>
  <c r="EM161" i="104"/>
  <c r="EF161" i="104"/>
  <c r="DK161" i="104"/>
  <c r="DK154" i="104"/>
  <c r="DK148" i="104"/>
  <c r="ES124" i="104"/>
  <c r="DJ124" i="104"/>
  <c r="DL89" i="104"/>
  <c r="DL88" i="104"/>
  <c r="EU67" i="104"/>
  <c r="DL67" i="104"/>
  <c r="EU66" i="104"/>
  <c r="DL66" i="104"/>
  <c r="EU65" i="104"/>
  <c r="DL65" i="104"/>
  <c r="EU64" i="104"/>
  <c r="DL64" i="104"/>
  <c r="EU172" i="104"/>
  <c r="EU163" i="104"/>
  <c r="EN163" i="104"/>
  <c r="EG163" i="104"/>
  <c r="DL163" i="104"/>
  <c r="EU162" i="104"/>
  <c r="EN162" i="104"/>
  <c r="EG162" i="104"/>
  <c r="DL162" i="104"/>
  <c r="EU161" i="104"/>
  <c r="EN161" i="104"/>
  <c r="EG161" i="104"/>
  <c r="DL161" i="104"/>
  <c r="EU160" i="104"/>
  <c r="EN160" i="104"/>
  <c r="EG160" i="104"/>
  <c r="DL160" i="104"/>
  <c r="EU159" i="104"/>
  <c r="EN159" i="104"/>
  <c r="EG159" i="104"/>
  <c r="DL159" i="104"/>
  <c r="EU158" i="104"/>
  <c r="EN158" i="104"/>
  <c r="EG158" i="104"/>
  <c r="DL158" i="104"/>
  <c r="EU157" i="104"/>
  <c r="EN157" i="104"/>
  <c r="EG157" i="104"/>
  <c r="DL157" i="104"/>
  <c r="EU156" i="104"/>
  <c r="EN156" i="104"/>
  <c r="EG156" i="104"/>
  <c r="DL156" i="104"/>
  <c r="DL154" i="104"/>
  <c r="DL153" i="104"/>
  <c r="DL152" i="104"/>
  <c r="DL150" i="104"/>
  <c r="DL149" i="104"/>
  <c r="DL148" i="104"/>
  <c r="ET147" i="104"/>
  <c r="DK147" i="104"/>
  <c r="DK146" i="104"/>
  <c r="DK145" i="104"/>
  <c r="ET124" i="104"/>
  <c r="DK124" i="104"/>
  <c r="ET123" i="104"/>
  <c r="DK123" i="104"/>
  <c r="ET122" i="104"/>
  <c r="DK122" i="104"/>
  <c r="ET121" i="104"/>
  <c r="DK121" i="104"/>
  <c r="K80" i="135"/>
  <c r="O80" i="135" s="1"/>
  <c r="K76" i="135"/>
  <c r="N76" i="135" s="1"/>
  <c r="K77" i="135"/>
  <c r="G91" i="135"/>
  <c r="N91" i="135" s="1"/>
  <c r="G78" i="135"/>
  <c r="BH16" i="104"/>
  <c r="DE16" i="104" s="1"/>
  <c r="EW16" i="104" s="1"/>
  <c r="BM49" i="104"/>
  <c r="DJ49" i="104" s="1"/>
  <c r="BM45" i="104"/>
  <c r="DJ45" i="104" s="1"/>
  <c r="BM17" i="104"/>
  <c r="DJ17" i="104" s="1"/>
  <c r="C130" i="132"/>
  <c r="E130" i="132"/>
  <c r="K93" i="135"/>
  <c r="O93" i="135" s="1"/>
  <c r="F72" i="135"/>
  <c r="F119" i="135"/>
  <c r="I114" i="135"/>
  <c r="K97" i="135"/>
  <c r="O97" i="135" s="1"/>
  <c r="I97" i="135"/>
  <c r="K89" i="135"/>
  <c r="O89" i="135" s="1"/>
  <c r="H91" i="135"/>
  <c r="O91" i="135" s="1"/>
  <c r="G121" i="135"/>
  <c r="AJ147" i="104"/>
  <c r="BM47" i="104"/>
  <c r="BM15" i="104"/>
  <c r="DJ15" i="104" s="1"/>
  <c r="AJ90" i="104"/>
  <c r="CV9" i="104"/>
  <c r="ES9" i="104" s="1"/>
  <c r="BH12" i="104"/>
  <c r="DE12" i="104" s="1"/>
  <c r="EW12" i="104" s="1"/>
  <c r="BM16" i="104"/>
  <c r="DJ16" i="104" s="1"/>
  <c r="CH44" i="104"/>
  <c r="EE44" i="104" s="1"/>
  <c r="Q128" i="104"/>
  <c r="BM13" i="104"/>
  <c r="CO43" i="104"/>
  <c r="EL43" i="104" s="1"/>
  <c r="BH18" i="104"/>
  <c r="DE18" i="104" s="1"/>
  <c r="EW18" i="104" s="1"/>
  <c r="BM58" i="104"/>
  <c r="DJ58" i="104" s="1"/>
  <c r="BM14" i="104"/>
  <c r="DJ14" i="104" s="1"/>
  <c r="BM9" i="104"/>
  <c r="DJ9" i="104" s="1"/>
  <c r="CO33" i="104"/>
  <c r="EL33" i="104" s="1"/>
  <c r="BT8" i="104"/>
  <c r="DQ8" i="104" s="1"/>
  <c r="BM18" i="104"/>
  <c r="BM42" i="104"/>
  <c r="DJ42" i="104" s="1"/>
  <c r="CH47" i="104"/>
  <c r="EE47" i="104" s="1"/>
  <c r="CH46" i="104"/>
  <c r="EE46" i="104" s="1"/>
  <c r="CV58" i="104"/>
  <c r="ES58" i="104" s="1"/>
  <c r="CV49" i="104"/>
  <c r="ES49" i="104" s="1"/>
  <c r="BM35" i="104"/>
  <c r="DJ35" i="104" s="1"/>
  <c r="CL18" i="104"/>
  <c r="EI18" i="104" s="1"/>
  <c r="BH14" i="104"/>
  <c r="DE14" i="104" s="1"/>
  <c r="EW14" i="104" s="1"/>
  <c r="CL12" i="104"/>
  <c r="EI12" i="104" s="1"/>
  <c r="CL17" i="104"/>
  <c r="EI17" i="104" s="1"/>
  <c r="BH13" i="104"/>
  <c r="DE13" i="104" s="1"/>
  <c r="EW13" i="104" s="1"/>
  <c r="CL13" i="104"/>
  <c r="EI13" i="104" s="1"/>
  <c r="CV18" i="104"/>
  <c r="ES18" i="104" s="1"/>
  <c r="CL14" i="104"/>
  <c r="EI14" i="104" s="1"/>
  <c r="H82" i="104"/>
  <c r="CL15" i="104"/>
  <c r="EI15" i="104" s="1"/>
  <c r="H78" i="104"/>
  <c r="H80" i="104"/>
  <c r="CH7" i="104"/>
  <c r="EE7" i="104" s="1"/>
  <c r="CK11" i="104"/>
  <c r="EH11" i="104" s="1"/>
  <c r="CK16" i="104"/>
  <c r="EH16" i="104" s="1"/>
  <c r="BM33" i="104"/>
  <c r="DJ33" i="104" s="1"/>
  <c r="Q122" i="104"/>
  <c r="BZ65" i="104"/>
  <c r="DW65" i="104" s="1"/>
  <c r="CA65" i="104"/>
  <c r="DX65" i="104" s="1"/>
  <c r="CB65" i="104"/>
  <c r="DY65" i="104" s="1"/>
  <c r="CC65" i="104"/>
  <c r="DZ65" i="104" s="1"/>
  <c r="BW65" i="104"/>
  <c r="DT65" i="104" s="1"/>
  <c r="BX65" i="104"/>
  <c r="DU65" i="104" s="1"/>
  <c r="BY65" i="104"/>
  <c r="DV65" i="104" s="1"/>
  <c r="Q174" i="104"/>
  <c r="BZ117" i="104"/>
  <c r="CA117" i="104"/>
  <c r="CB117" i="104"/>
  <c r="BW117" i="104"/>
  <c r="BX117" i="104"/>
  <c r="BY117" i="104"/>
  <c r="CC117" i="104"/>
  <c r="Q169" i="104"/>
  <c r="CC112" i="104"/>
  <c r="BW112" i="104"/>
  <c r="CA112" i="104"/>
  <c r="CB112" i="104"/>
  <c r="BZ112" i="104"/>
  <c r="BX112" i="104"/>
  <c r="BY112" i="104"/>
  <c r="Q165" i="104"/>
  <c r="BY108" i="104"/>
  <c r="BZ108" i="104"/>
  <c r="CA108" i="104"/>
  <c r="CC108" i="104"/>
  <c r="BW108" i="104"/>
  <c r="BX108" i="104"/>
  <c r="CB108" i="104"/>
  <c r="Q161" i="104"/>
  <c r="BX104" i="104"/>
  <c r="DU104" i="104" s="1"/>
  <c r="BY104" i="104"/>
  <c r="DV104" i="104" s="1"/>
  <c r="BZ104" i="104"/>
  <c r="DW104" i="104" s="1"/>
  <c r="BW104" i="104"/>
  <c r="DT104" i="104" s="1"/>
  <c r="CA104" i="104"/>
  <c r="DX104" i="104" s="1"/>
  <c r="CB104" i="104"/>
  <c r="DY104" i="104" s="1"/>
  <c r="CC104" i="104"/>
  <c r="DZ104" i="104" s="1"/>
  <c r="Q157" i="104"/>
  <c r="CB100" i="104"/>
  <c r="DY100" i="104" s="1"/>
  <c r="CC100" i="104"/>
  <c r="DZ100" i="104" s="1"/>
  <c r="BY100" i="104"/>
  <c r="DV100" i="104" s="1"/>
  <c r="BZ100" i="104"/>
  <c r="DW100" i="104" s="1"/>
  <c r="CA100" i="104"/>
  <c r="DX100" i="104" s="1"/>
  <c r="BW100" i="104"/>
  <c r="DT100" i="104" s="1"/>
  <c r="BX100" i="104"/>
  <c r="DU100" i="104" s="1"/>
  <c r="Q153" i="104"/>
  <c r="CC96" i="104"/>
  <c r="DZ96" i="104" s="1"/>
  <c r="BW96" i="104"/>
  <c r="DT96" i="104" s="1"/>
  <c r="BX96" i="104"/>
  <c r="DU96" i="104" s="1"/>
  <c r="BY96" i="104"/>
  <c r="DV96" i="104" s="1"/>
  <c r="BZ96" i="104"/>
  <c r="DW96" i="104" s="1"/>
  <c r="CA96" i="104"/>
  <c r="DX96" i="104" s="1"/>
  <c r="CB96" i="104"/>
  <c r="DY96" i="104" s="1"/>
  <c r="Q149" i="104"/>
  <c r="BW92" i="104"/>
  <c r="DT92" i="104" s="1"/>
  <c r="BY92" i="104"/>
  <c r="DV92" i="104" s="1"/>
  <c r="BZ92" i="104"/>
  <c r="DW92" i="104" s="1"/>
  <c r="CA92" i="104"/>
  <c r="DX92" i="104" s="1"/>
  <c r="CB92" i="104"/>
  <c r="DY92" i="104" s="1"/>
  <c r="BX92" i="104"/>
  <c r="DU92" i="104" s="1"/>
  <c r="CC92" i="104"/>
  <c r="DZ92" i="104" s="1"/>
  <c r="Q145" i="104"/>
  <c r="BW88" i="104"/>
  <c r="DT88" i="104" s="1"/>
  <c r="BX88" i="104"/>
  <c r="DU88" i="104" s="1"/>
  <c r="BY88" i="104"/>
  <c r="DV88" i="104" s="1"/>
  <c r="BZ88" i="104"/>
  <c r="DW88" i="104" s="1"/>
  <c r="CA88" i="104"/>
  <c r="DX88" i="104" s="1"/>
  <c r="CB88" i="104"/>
  <c r="DY88" i="104" s="1"/>
  <c r="CC88" i="104"/>
  <c r="DZ88" i="104" s="1"/>
  <c r="Q141" i="104"/>
  <c r="BZ84" i="104"/>
  <c r="CA84" i="104"/>
  <c r="CB84" i="104"/>
  <c r="CC84" i="104"/>
  <c r="BW84" i="104"/>
  <c r="BX84" i="104"/>
  <c r="BY84" i="104"/>
  <c r="Q137" i="104"/>
  <c r="CB80" i="104"/>
  <c r="CC80" i="104"/>
  <c r="BW80" i="104"/>
  <c r="BX80" i="104"/>
  <c r="BY80" i="104"/>
  <c r="BZ80" i="104"/>
  <c r="CA80" i="104"/>
  <c r="Q121" i="104"/>
  <c r="BX64" i="104"/>
  <c r="DU64" i="104" s="1"/>
  <c r="BY64" i="104"/>
  <c r="DV64" i="104" s="1"/>
  <c r="BZ64" i="104"/>
  <c r="DW64" i="104" s="1"/>
  <c r="CA64" i="104"/>
  <c r="DX64" i="104" s="1"/>
  <c r="CB64" i="104"/>
  <c r="DY64" i="104" s="1"/>
  <c r="CC64" i="104"/>
  <c r="DZ64" i="104" s="1"/>
  <c r="BW64" i="104"/>
  <c r="DT64" i="104" s="1"/>
  <c r="Q172" i="104"/>
  <c r="CB115" i="104"/>
  <c r="DY115" i="104" s="1"/>
  <c r="CC115" i="104"/>
  <c r="DZ115" i="104" s="1"/>
  <c r="BW115" i="104"/>
  <c r="DT115" i="104" s="1"/>
  <c r="BX115" i="104"/>
  <c r="DU115" i="104" s="1"/>
  <c r="BY115" i="104"/>
  <c r="DV115" i="104" s="1"/>
  <c r="BZ115" i="104"/>
  <c r="DW115" i="104" s="1"/>
  <c r="CA115" i="104"/>
  <c r="DX115" i="104" s="1"/>
  <c r="Q168" i="104"/>
  <c r="BZ111" i="104"/>
  <c r="CA111" i="104"/>
  <c r="CB111" i="104"/>
  <c r="CC111" i="104"/>
  <c r="BW111" i="104"/>
  <c r="BX111" i="104"/>
  <c r="BY111" i="104"/>
  <c r="Q164" i="104"/>
  <c r="CA107" i="104"/>
  <c r="CB107" i="104"/>
  <c r="CC107" i="104"/>
  <c r="BY107" i="104"/>
  <c r="BZ107" i="104"/>
  <c r="BW107" i="104"/>
  <c r="BX107" i="104"/>
  <c r="Q160" i="104"/>
  <c r="CC103" i="104"/>
  <c r="DZ103" i="104" s="1"/>
  <c r="BW103" i="104"/>
  <c r="DT103" i="104" s="1"/>
  <c r="BY103" i="104"/>
  <c r="DV103" i="104" s="1"/>
  <c r="BZ103" i="104"/>
  <c r="DW103" i="104" s="1"/>
  <c r="CA103" i="104"/>
  <c r="DX103" i="104" s="1"/>
  <c r="CB103" i="104"/>
  <c r="DY103" i="104" s="1"/>
  <c r="BX103" i="104"/>
  <c r="DU103" i="104" s="1"/>
  <c r="Q156" i="104"/>
  <c r="BY99" i="104"/>
  <c r="DV99" i="104" s="1"/>
  <c r="BZ99" i="104"/>
  <c r="DW99" i="104" s="1"/>
  <c r="CA99" i="104"/>
  <c r="DX99" i="104" s="1"/>
  <c r="BX99" i="104"/>
  <c r="DU99" i="104" s="1"/>
  <c r="CB99" i="104"/>
  <c r="DY99" i="104" s="1"/>
  <c r="CC99" i="104"/>
  <c r="DZ99" i="104" s="1"/>
  <c r="BW99" i="104"/>
  <c r="DT99" i="104" s="1"/>
  <c r="Q152" i="104"/>
  <c r="BX95" i="104"/>
  <c r="DU95" i="104" s="1"/>
  <c r="BY95" i="104"/>
  <c r="DV95" i="104" s="1"/>
  <c r="BZ95" i="104"/>
  <c r="DW95" i="104" s="1"/>
  <c r="BW95" i="104"/>
  <c r="DT95" i="104" s="1"/>
  <c r="CA95" i="104"/>
  <c r="DX95" i="104" s="1"/>
  <c r="CB95" i="104"/>
  <c r="DY95" i="104" s="1"/>
  <c r="CC95" i="104"/>
  <c r="DZ95" i="104" s="1"/>
  <c r="Q148" i="104"/>
  <c r="BZ91" i="104"/>
  <c r="DW91" i="104" s="1"/>
  <c r="CB91" i="104"/>
  <c r="DY91" i="104" s="1"/>
  <c r="CC91" i="104"/>
  <c r="DZ91" i="104" s="1"/>
  <c r="BW91" i="104"/>
  <c r="DT91" i="104" s="1"/>
  <c r="BY91" i="104"/>
  <c r="DV91" i="104" s="1"/>
  <c r="CA91" i="104"/>
  <c r="DX91" i="104" s="1"/>
  <c r="BX91" i="104"/>
  <c r="DU91" i="104" s="1"/>
  <c r="Q144" i="104"/>
  <c r="CC87" i="104"/>
  <c r="BW87" i="104"/>
  <c r="BX87" i="104"/>
  <c r="BY87" i="104"/>
  <c r="BZ87" i="104"/>
  <c r="CA87" i="104"/>
  <c r="CB87" i="104"/>
  <c r="Q140" i="104"/>
  <c r="BY83" i="104"/>
  <c r="BZ83" i="104"/>
  <c r="CA83" i="104"/>
  <c r="CB83" i="104"/>
  <c r="CC83" i="104"/>
  <c r="BW83" i="104"/>
  <c r="BX83" i="104"/>
  <c r="CA67" i="104"/>
  <c r="DX67" i="104" s="1"/>
  <c r="CB67" i="104"/>
  <c r="DY67" i="104" s="1"/>
  <c r="CC67" i="104"/>
  <c r="DZ67" i="104" s="1"/>
  <c r="BW67" i="104"/>
  <c r="DT67" i="104" s="1"/>
  <c r="BX67" i="104"/>
  <c r="DU67" i="104" s="1"/>
  <c r="BY67" i="104"/>
  <c r="DV67" i="104" s="1"/>
  <c r="BZ67" i="104"/>
  <c r="DW67" i="104" s="1"/>
  <c r="Q171" i="104"/>
  <c r="BW114" i="104"/>
  <c r="BX114" i="104"/>
  <c r="CC114" i="104"/>
  <c r="BY114" i="104"/>
  <c r="BZ114" i="104"/>
  <c r="CA114" i="104"/>
  <c r="CB114" i="104"/>
  <c r="Q167" i="104"/>
  <c r="BW110" i="104"/>
  <c r="BX110" i="104"/>
  <c r="BY110" i="104"/>
  <c r="CB110" i="104"/>
  <c r="CC110" i="104"/>
  <c r="BZ110" i="104"/>
  <c r="CA110" i="104"/>
  <c r="Q163" i="104"/>
  <c r="BW106" i="104"/>
  <c r="DT106" i="104" s="1"/>
  <c r="BX106" i="104"/>
  <c r="DU106" i="104" s="1"/>
  <c r="BY106" i="104"/>
  <c r="DV106" i="104" s="1"/>
  <c r="BZ106" i="104"/>
  <c r="DW106" i="104" s="1"/>
  <c r="CA106" i="104"/>
  <c r="DX106" i="104" s="1"/>
  <c r="CB106" i="104"/>
  <c r="DY106" i="104" s="1"/>
  <c r="CC106" i="104"/>
  <c r="DZ106" i="104" s="1"/>
  <c r="Q159" i="104"/>
  <c r="BZ102" i="104"/>
  <c r="DW102" i="104" s="1"/>
  <c r="CA102" i="104"/>
  <c r="DX102" i="104" s="1"/>
  <c r="CB102" i="104"/>
  <c r="DY102" i="104" s="1"/>
  <c r="BX102" i="104"/>
  <c r="DU102" i="104" s="1"/>
  <c r="BY102" i="104"/>
  <c r="DV102" i="104" s="1"/>
  <c r="CC102" i="104"/>
  <c r="DZ102" i="104" s="1"/>
  <c r="BW102" i="104"/>
  <c r="DT102" i="104" s="1"/>
  <c r="Q155" i="104"/>
  <c r="BW98" i="104"/>
  <c r="BX98" i="104"/>
  <c r="BY98" i="104"/>
  <c r="CA98" i="104"/>
  <c r="CB98" i="104"/>
  <c r="CC98" i="104"/>
  <c r="BZ98" i="104"/>
  <c r="Q151" i="104"/>
  <c r="BX94" i="104"/>
  <c r="BZ94" i="104"/>
  <c r="CA94" i="104"/>
  <c r="CB94" i="104"/>
  <c r="CC94" i="104"/>
  <c r="BW94" i="104"/>
  <c r="BY94" i="104"/>
  <c r="Q147" i="104"/>
  <c r="CC90" i="104"/>
  <c r="BW90" i="104"/>
  <c r="DT90" i="104" s="1"/>
  <c r="BX90" i="104"/>
  <c r="DU90" i="104" s="1"/>
  <c r="BY90" i="104"/>
  <c r="DV90" i="104" s="1"/>
  <c r="BZ90" i="104"/>
  <c r="DW90" i="104" s="1"/>
  <c r="CA90" i="104"/>
  <c r="DX90" i="104" s="1"/>
  <c r="CB90" i="104"/>
  <c r="DY90" i="104" s="1"/>
  <c r="Q143" i="104"/>
  <c r="CB86" i="104"/>
  <c r="CC86" i="104"/>
  <c r="BW86" i="104"/>
  <c r="BX86" i="104"/>
  <c r="BY86" i="104"/>
  <c r="BZ86" i="104"/>
  <c r="CA86" i="104"/>
  <c r="Q139" i="104"/>
  <c r="BX82" i="104"/>
  <c r="BY82" i="104"/>
  <c r="BZ82" i="104"/>
  <c r="CA82" i="104"/>
  <c r="CB82" i="104"/>
  <c r="CC82" i="104"/>
  <c r="BW82" i="104"/>
  <c r="Q124" i="104"/>
  <c r="Q123" i="104"/>
  <c r="BW66" i="104"/>
  <c r="DT66" i="104" s="1"/>
  <c r="BX66" i="104"/>
  <c r="DU66" i="104" s="1"/>
  <c r="BY66" i="104"/>
  <c r="DV66" i="104" s="1"/>
  <c r="BZ66" i="104"/>
  <c r="DW66" i="104" s="1"/>
  <c r="CA66" i="104"/>
  <c r="DX66" i="104" s="1"/>
  <c r="CB66" i="104"/>
  <c r="DY66" i="104" s="1"/>
  <c r="CC66" i="104"/>
  <c r="DZ66" i="104" s="1"/>
  <c r="Q175" i="104"/>
  <c r="BX118" i="104"/>
  <c r="BY118" i="104"/>
  <c r="BZ118" i="104"/>
  <c r="CA118" i="104"/>
  <c r="CB118" i="104"/>
  <c r="CC118" i="104"/>
  <c r="BW118" i="104"/>
  <c r="Q170" i="104"/>
  <c r="BX113" i="104"/>
  <c r="BY113" i="104"/>
  <c r="BZ113" i="104"/>
  <c r="CB113" i="104"/>
  <c r="CC113" i="104"/>
  <c r="BW113" i="104"/>
  <c r="CA113" i="104"/>
  <c r="Q166" i="104"/>
  <c r="CB109" i="104"/>
  <c r="CC109" i="104"/>
  <c r="CA109" i="104"/>
  <c r="BW109" i="104"/>
  <c r="BX109" i="104"/>
  <c r="BY109" i="104"/>
  <c r="BZ109" i="104"/>
  <c r="Q162" i="104"/>
  <c r="CA105" i="104"/>
  <c r="DX105" i="104" s="1"/>
  <c r="CB105" i="104"/>
  <c r="DY105" i="104" s="1"/>
  <c r="CC105" i="104"/>
  <c r="DZ105" i="104" s="1"/>
  <c r="BX105" i="104"/>
  <c r="DU105" i="104" s="1"/>
  <c r="BY105" i="104"/>
  <c r="DV105" i="104" s="1"/>
  <c r="BZ105" i="104"/>
  <c r="DW105" i="104" s="1"/>
  <c r="BW105" i="104"/>
  <c r="DT105" i="104" s="1"/>
  <c r="Q158" i="104"/>
  <c r="BW101" i="104"/>
  <c r="DT101" i="104" s="1"/>
  <c r="BX101" i="104"/>
  <c r="DU101" i="104" s="1"/>
  <c r="BY101" i="104"/>
  <c r="DV101" i="104" s="1"/>
  <c r="BZ101" i="104"/>
  <c r="DW101" i="104" s="1"/>
  <c r="CA101" i="104"/>
  <c r="DX101" i="104" s="1"/>
  <c r="CB101" i="104"/>
  <c r="DY101" i="104" s="1"/>
  <c r="CC101" i="104"/>
  <c r="DZ101" i="104" s="1"/>
  <c r="Q154" i="104"/>
  <c r="BZ97" i="104"/>
  <c r="DW97" i="104" s="1"/>
  <c r="CA97" i="104"/>
  <c r="DX97" i="104" s="1"/>
  <c r="CB97" i="104"/>
  <c r="DY97" i="104" s="1"/>
  <c r="BX97" i="104"/>
  <c r="DU97" i="104" s="1"/>
  <c r="BY97" i="104"/>
  <c r="DV97" i="104" s="1"/>
  <c r="CC97" i="104"/>
  <c r="DZ97" i="104" s="1"/>
  <c r="BW97" i="104"/>
  <c r="DT97" i="104" s="1"/>
  <c r="Q150" i="104"/>
  <c r="CB93" i="104"/>
  <c r="DY93" i="104" s="1"/>
  <c r="BW93" i="104"/>
  <c r="DT93" i="104" s="1"/>
  <c r="BX93" i="104"/>
  <c r="DU93" i="104" s="1"/>
  <c r="BY93" i="104"/>
  <c r="DV93" i="104" s="1"/>
  <c r="BZ93" i="104"/>
  <c r="DW93" i="104" s="1"/>
  <c r="CA93" i="104"/>
  <c r="DX93" i="104" s="1"/>
  <c r="CC93" i="104"/>
  <c r="DZ93" i="104" s="1"/>
  <c r="Q146" i="104"/>
  <c r="BW89" i="104"/>
  <c r="DT89" i="104" s="1"/>
  <c r="BX89" i="104"/>
  <c r="DU89" i="104" s="1"/>
  <c r="BY89" i="104"/>
  <c r="DV89" i="104" s="1"/>
  <c r="BZ89" i="104"/>
  <c r="DW89" i="104" s="1"/>
  <c r="CA89" i="104"/>
  <c r="DX89" i="104" s="1"/>
  <c r="CB89" i="104"/>
  <c r="DY89" i="104" s="1"/>
  <c r="CC89" i="104"/>
  <c r="DZ89" i="104" s="1"/>
  <c r="Q142" i="104"/>
  <c r="CA85" i="104"/>
  <c r="CB85" i="104"/>
  <c r="CC85" i="104"/>
  <c r="BW85" i="104"/>
  <c r="BX85" i="104"/>
  <c r="BY85" i="104"/>
  <c r="BZ85" i="104"/>
  <c r="Q138" i="104"/>
  <c r="BW81" i="104"/>
  <c r="BX81" i="104"/>
  <c r="BY81" i="104"/>
  <c r="BZ81" i="104"/>
  <c r="CA81" i="104"/>
  <c r="CB81" i="104"/>
  <c r="CC81" i="104"/>
  <c r="BT9" i="104"/>
  <c r="DQ9" i="104" s="1"/>
  <c r="CV46" i="104"/>
  <c r="ES46" i="104" s="1"/>
  <c r="BT46" i="104"/>
  <c r="DQ46" i="104" s="1"/>
  <c r="BT58" i="104"/>
  <c r="DQ58" i="104" s="1"/>
  <c r="BM43" i="104"/>
  <c r="DJ43" i="104" s="1"/>
  <c r="BM8" i="104"/>
  <c r="DJ8" i="104" s="1"/>
  <c r="BT17" i="104"/>
  <c r="DQ17" i="104" s="1"/>
  <c r="CW58" i="104"/>
  <c r="ET58" i="104" s="1"/>
  <c r="BM31" i="104"/>
  <c r="DJ31" i="104" s="1"/>
  <c r="BT10" i="104"/>
  <c r="DQ10" i="104" s="1"/>
  <c r="BT48" i="104"/>
  <c r="DQ48" i="104" s="1"/>
  <c r="CV44" i="104"/>
  <c r="ES44" i="104" s="1"/>
  <c r="BT47" i="104"/>
  <c r="DQ47" i="104" s="1"/>
  <c r="BM38" i="104"/>
  <c r="DJ38" i="104" s="1"/>
  <c r="BT32" i="104"/>
  <c r="DQ32" i="104" s="1"/>
  <c r="BM40" i="104"/>
  <c r="DJ40" i="104" s="1"/>
  <c r="BT14" i="104"/>
  <c r="DQ14" i="104" s="1"/>
  <c r="BT34" i="104"/>
  <c r="DQ34" i="104" s="1"/>
  <c r="BM7" i="104"/>
  <c r="DJ7" i="104" s="1"/>
  <c r="BT33" i="104"/>
  <c r="DQ33" i="104" s="1"/>
  <c r="BT15" i="104"/>
  <c r="DQ15" i="104" s="1"/>
  <c r="BT18" i="104"/>
  <c r="DQ18" i="104" s="1"/>
  <c r="CV45" i="104"/>
  <c r="ES45" i="104" s="1"/>
  <c r="CV47" i="104"/>
  <c r="ES47" i="104" s="1"/>
  <c r="BT39" i="104"/>
  <c r="DQ39" i="104" s="1"/>
  <c r="BT45" i="104"/>
  <c r="DQ45" i="104" s="1"/>
  <c r="BT13" i="104"/>
  <c r="DQ13" i="104" s="1"/>
  <c r="BM39" i="104"/>
  <c r="DJ39" i="104" s="1"/>
  <c r="CV42" i="104"/>
  <c r="ES42" i="104" s="1"/>
  <c r="BT42" i="104"/>
  <c r="DQ42" i="104" s="1"/>
  <c r="CV8" i="104"/>
  <c r="ES8" i="104" s="1"/>
  <c r="BM32" i="104"/>
  <c r="DJ32" i="104" s="1"/>
  <c r="BT16" i="104"/>
  <c r="DQ16" i="104" s="1"/>
  <c r="BT36" i="104"/>
  <c r="DQ36" i="104" s="1"/>
  <c r="BT43" i="104"/>
  <c r="DQ43" i="104" s="1"/>
  <c r="BM10" i="104"/>
  <c r="DJ10" i="104" s="1"/>
  <c r="CV43" i="104"/>
  <c r="ES43" i="104" s="1"/>
  <c r="BM44" i="104"/>
  <c r="DJ44" i="104" s="1"/>
  <c r="BT7" i="104"/>
  <c r="DQ7" i="104" s="1"/>
  <c r="CV10" i="104"/>
  <c r="ES10" i="104" s="1"/>
  <c r="BT11" i="104"/>
  <c r="DQ11" i="104" s="1"/>
  <c r="CV7" i="104"/>
  <c r="ES7" i="104" s="1"/>
  <c r="BM36" i="104"/>
  <c r="DJ36" i="104" s="1"/>
  <c r="BT31" i="104"/>
  <c r="DQ31" i="104" s="1"/>
  <c r="CV33" i="104"/>
  <c r="ES33" i="104" s="1"/>
  <c r="BM34" i="104"/>
  <c r="DJ34" i="104" s="1"/>
  <c r="BT35" i="104"/>
  <c r="DQ35" i="104" s="1"/>
  <c r="BT12" i="104"/>
  <c r="DQ12" i="104" s="1"/>
  <c r="BN46" i="104"/>
  <c r="DK46" i="104" s="1"/>
  <c r="BM48" i="104"/>
  <c r="DJ48" i="104" s="1"/>
  <c r="BT44" i="104"/>
  <c r="DQ44" i="104" s="1"/>
  <c r="BT49" i="104"/>
  <c r="DQ49" i="104" s="1"/>
  <c r="BT38" i="104"/>
  <c r="DQ38" i="104" s="1"/>
  <c r="BT40" i="104"/>
  <c r="DQ40" i="104" s="1"/>
  <c r="CV48" i="104"/>
  <c r="ES48" i="104" s="1"/>
  <c r="BJ75" i="104"/>
  <c r="DG75" i="104" s="1"/>
  <c r="BJ73" i="104"/>
  <c r="DG73" i="104" s="1"/>
  <c r="BC131" i="104"/>
  <c r="CZ131" i="104" s="1"/>
  <c r="Q129" i="104"/>
  <c r="BY72" i="104"/>
  <c r="DV72" i="104" s="1"/>
  <c r="CC72" i="104"/>
  <c r="DZ72" i="104" s="1"/>
  <c r="BZ72" i="104"/>
  <c r="DW72" i="104" s="1"/>
  <c r="BW72" i="104"/>
  <c r="DT72" i="104" s="1"/>
  <c r="CA72" i="104"/>
  <c r="DX72" i="104" s="1"/>
  <c r="BX72" i="104"/>
  <c r="DU72" i="104" s="1"/>
  <c r="CB72" i="104"/>
  <c r="DY72" i="104" s="1"/>
  <c r="Q127" i="104"/>
  <c r="BW70" i="104"/>
  <c r="DT70" i="104" s="1"/>
  <c r="CA70" i="104"/>
  <c r="DX70" i="104" s="1"/>
  <c r="BX70" i="104"/>
  <c r="DU70" i="104" s="1"/>
  <c r="CB70" i="104"/>
  <c r="DY70" i="104" s="1"/>
  <c r="BY70" i="104"/>
  <c r="DV70" i="104" s="1"/>
  <c r="CC70" i="104"/>
  <c r="DZ70" i="104" s="1"/>
  <c r="BZ70" i="104"/>
  <c r="DW70" i="104" s="1"/>
  <c r="Q135" i="104"/>
  <c r="BX78" i="104"/>
  <c r="CB78" i="104"/>
  <c r="BY78" i="104"/>
  <c r="CC78" i="104"/>
  <c r="CA78" i="104"/>
  <c r="BW78" i="104"/>
  <c r="BZ78" i="104"/>
  <c r="Q133" i="104"/>
  <c r="BW76" i="104"/>
  <c r="CA76" i="104"/>
  <c r="BX76" i="104"/>
  <c r="CB76" i="104"/>
  <c r="BZ76" i="104"/>
  <c r="CC76" i="104"/>
  <c r="BY76" i="104"/>
  <c r="Q131" i="104"/>
  <c r="BY74" i="104"/>
  <c r="DV74" i="104" s="1"/>
  <c r="CC74" i="104"/>
  <c r="DZ74" i="104" s="1"/>
  <c r="BZ74" i="104"/>
  <c r="DW74" i="104" s="1"/>
  <c r="BW74" i="104"/>
  <c r="DT74" i="104" s="1"/>
  <c r="CA74" i="104"/>
  <c r="DX74" i="104" s="1"/>
  <c r="BX74" i="104"/>
  <c r="DU74" i="104" s="1"/>
  <c r="CB74" i="104"/>
  <c r="DY74" i="104" s="1"/>
  <c r="CS74" i="104"/>
  <c r="EP74" i="104" s="1"/>
  <c r="CE70" i="104"/>
  <c r="EB70" i="104" s="1"/>
  <c r="CS125" i="104"/>
  <c r="EP125" i="104" s="1"/>
  <c r="CL132" i="104"/>
  <c r="EI132" i="104" s="1"/>
  <c r="BC75" i="104"/>
  <c r="CZ75" i="104" s="1"/>
  <c r="BC74" i="104"/>
  <c r="CZ74" i="104" s="1"/>
  <c r="BJ129" i="104"/>
  <c r="DG129" i="104" s="1"/>
  <c r="BJ128" i="104"/>
  <c r="DG128" i="104" s="1"/>
  <c r="BJ127" i="104"/>
  <c r="DG127" i="104" s="1"/>
  <c r="BJ126" i="104"/>
  <c r="DG126" i="104" s="1"/>
  <c r="BJ125" i="104"/>
  <c r="DG125" i="104" s="1"/>
  <c r="CS75" i="104"/>
  <c r="EP75" i="104" s="1"/>
  <c r="CL74" i="104"/>
  <c r="EI74" i="104" s="1"/>
  <c r="CL72" i="104"/>
  <c r="EI72" i="104" s="1"/>
  <c r="CE71" i="104"/>
  <c r="EB71" i="104" s="1"/>
  <c r="CS69" i="104"/>
  <c r="EP69" i="104" s="1"/>
  <c r="CE132" i="104"/>
  <c r="EB132" i="104" s="1"/>
  <c r="CE131" i="104"/>
  <c r="EB131" i="104" s="1"/>
  <c r="CS129" i="104"/>
  <c r="EP129" i="104" s="1"/>
  <c r="CS128" i="104"/>
  <c r="EP128" i="104" s="1"/>
  <c r="CS127" i="104"/>
  <c r="EP127" i="104" s="1"/>
  <c r="CS126" i="104"/>
  <c r="EP126" i="104" s="1"/>
  <c r="CF14" i="104"/>
  <c r="EC14" i="104" s="1"/>
  <c r="CV15" i="104"/>
  <c r="ES15" i="104" s="1"/>
  <c r="CF13" i="104"/>
  <c r="EC13" i="104" s="1"/>
  <c r="CO42" i="104"/>
  <c r="EL42" i="104" s="1"/>
  <c r="CE16" i="104"/>
  <c r="EB16" i="104" s="1"/>
  <c r="CV16" i="104"/>
  <c r="ES16" i="104" s="1"/>
  <c r="BM57" i="104"/>
  <c r="BJ74" i="104"/>
  <c r="DG74" i="104" s="1"/>
  <c r="BC132" i="104"/>
  <c r="CZ132" i="104" s="1"/>
  <c r="Q130" i="104"/>
  <c r="BW73" i="104"/>
  <c r="DT73" i="104" s="1"/>
  <c r="CA73" i="104"/>
  <c r="DX73" i="104" s="1"/>
  <c r="BX73" i="104"/>
  <c r="DU73" i="104" s="1"/>
  <c r="CB73" i="104"/>
  <c r="DY73" i="104" s="1"/>
  <c r="BY73" i="104"/>
  <c r="DV73" i="104" s="1"/>
  <c r="CC73" i="104"/>
  <c r="DZ73" i="104" s="1"/>
  <c r="BZ73" i="104"/>
  <c r="DW73" i="104" s="1"/>
  <c r="CS72" i="104"/>
  <c r="EP72" i="104" s="1"/>
  <c r="CS68" i="104"/>
  <c r="EP68" i="104" s="1"/>
  <c r="CL131" i="104"/>
  <c r="EI131" i="104" s="1"/>
  <c r="BJ72" i="104"/>
  <c r="DG72" i="104" s="1"/>
  <c r="BJ71" i="104"/>
  <c r="DG71" i="104" s="1"/>
  <c r="BJ70" i="104"/>
  <c r="DG70" i="104" s="1"/>
  <c r="BJ69" i="104"/>
  <c r="DG69" i="104" s="1"/>
  <c r="BJ68" i="104"/>
  <c r="DG68" i="104" s="1"/>
  <c r="BC129" i="104"/>
  <c r="CZ129" i="104" s="1"/>
  <c r="BC128" i="104"/>
  <c r="CZ128" i="104" s="1"/>
  <c r="BC127" i="104"/>
  <c r="CZ127" i="104" s="1"/>
  <c r="BC126" i="104"/>
  <c r="CZ126" i="104" s="1"/>
  <c r="Q125" i="104"/>
  <c r="BW68" i="104"/>
  <c r="DT68" i="104" s="1"/>
  <c r="CA68" i="104"/>
  <c r="DX68" i="104" s="1"/>
  <c r="BX68" i="104"/>
  <c r="DU68" i="104" s="1"/>
  <c r="CB68" i="104"/>
  <c r="DY68" i="104" s="1"/>
  <c r="BY68" i="104"/>
  <c r="DV68" i="104" s="1"/>
  <c r="CC68" i="104"/>
  <c r="DZ68" i="104" s="1"/>
  <c r="BZ68" i="104"/>
  <c r="DW68" i="104" s="1"/>
  <c r="BZ71" i="104"/>
  <c r="DW71" i="104" s="1"/>
  <c r="BW71" i="104"/>
  <c r="DT71" i="104" s="1"/>
  <c r="CA71" i="104"/>
  <c r="DX71" i="104" s="1"/>
  <c r="BX71" i="104"/>
  <c r="DU71" i="104" s="1"/>
  <c r="CB71" i="104"/>
  <c r="DY71" i="104" s="1"/>
  <c r="BY71" i="104"/>
  <c r="DV71" i="104" s="1"/>
  <c r="CC71" i="104"/>
  <c r="DZ71" i="104" s="1"/>
  <c r="Q126" i="104"/>
  <c r="BY69" i="104"/>
  <c r="DV69" i="104" s="1"/>
  <c r="CC69" i="104"/>
  <c r="DZ69" i="104" s="1"/>
  <c r="BZ69" i="104"/>
  <c r="DW69" i="104" s="1"/>
  <c r="BW69" i="104"/>
  <c r="DT69" i="104" s="1"/>
  <c r="CA69" i="104"/>
  <c r="DX69" i="104" s="1"/>
  <c r="CB69" i="104"/>
  <c r="DY69" i="104" s="1"/>
  <c r="BX69" i="104"/>
  <c r="DU69" i="104" s="1"/>
  <c r="Q136" i="104"/>
  <c r="BW79" i="104"/>
  <c r="CA79" i="104"/>
  <c r="BX79" i="104"/>
  <c r="CB79" i="104"/>
  <c r="BZ79" i="104"/>
  <c r="CC79" i="104"/>
  <c r="BY79" i="104"/>
  <c r="Q134" i="104"/>
  <c r="BY77" i="104"/>
  <c r="CC77" i="104"/>
  <c r="BZ77" i="104"/>
  <c r="CA77" i="104"/>
  <c r="CB77" i="104"/>
  <c r="BW77" i="104"/>
  <c r="BX77" i="104"/>
  <c r="Q132" i="104"/>
  <c r="BX75" i="104"/>
  <c r="DU75" i="104" s="1"/>
  <c r="CB75" i="104"/>
  <c r="DY75" i="104" s="1"/>
  <c r="BY75" i="104"/>
  <c r="DV75" i="104" s="1"/>
  <c r="CC75" i="104"/>
  <c r="DZ75" i="104" s="1"/>
  <c r="BZ75" i="104"/>
  <c r="DW75" i="104" s="1"/>
  <c r="CA75" i="104"/>
  <c r="DX75" i="104" s="1"/>
  <c r="BW75" i="104"/>
  <c r="DT75" i="104" s="1"/>
  <c r="CL75" i="104"/>
  <c r="EI75" i="104" s="1"/>
  <c r="CE74" i="104"/>
  <c r="EB74" i="104" s="1"/>
  <c r="CE72" i="104"/>
  <c r="EB72" i="104" s="1"/>
  <c r="CS70" i="104"/>
  <c r="EP70" i="104" s="1"/>
  <c r="CL69" i="104"/>
  <c r="EI69" i="104" s="1"/>
  <c r="CL129" i="104"/>
  <c r="EI129" i="104" s="1"/>
  <c r="CL128" i="104"/>
  <c r="EI128" i="104" s="1"/>
  <c r="CL127" i="104"/>
  <c r="EI127" i="104" s="1"/>
  <c r="CL126" i="104"/>
  <c r="EI126" i="104" s="1"/>
  <c r="CF18" i="104"/>
  <c r="EC18" i="104" s="1"/>
  <c r="CO44" i="104"/>
  <c r="EL44" i="104" s="1"/>
  <c r="BM61" i="104"/>
  <c r="CF12" i="104"/>
  <c r="EC12" i="104" s="1"/>
  <c r="CO49" i="104"/>
  <c r="EL49" i="104" s="1"/>
  <c r="BM60" i="104"/>
  <c r="CH42" i="104"/>
  <c r="EE42" i="104" s="1"/>
  <c r="BM11" i="104"/>
  <c r="DJ11" i="104" s="1"/>
  <c r="CO7" i="104"/>
  <c r="EL7" i="104" s="1"/>
  <c r="BH15" i="104"/>
  <c r="DE15" i="104" s="1"/>
  <c r="EW15" i="104" s="1"/>
  <c r="CV14" i="104"/>
  <c r="ES14" i="104" s="1"/>
  <c r="BN15" i="104"/>
  <c r="DK15" i="104" s="1"/>
  <c r="CP60" i="104"/>
  <c r="CE11" i="104"/>
  <c r="EB11" i="104" s="1"/>
  <c r="CF17" i="104"/>
  <c r="EC17" i="104" s="1"/>
  <c r="CH28" i="104"/>
  <c r="CL71" i="104"/>
  <c r="EI71" i="104" s="1"/>
  <c r="BC72" i="104"/>
  <c r="CZ72" i="104" s="1"/>
  <c r="BC71" i="104"/>
  <c r="CZ71" i="104" s="1"/>
  <c r="BC70" i="104"/>
  <c r="CZ70" i="104" s="1"/>
  <c r="BC69" i="104"/>
  <c r="CZ69" i="104" s="1"/>
  <c r="BJ132" i="104"/>
  <c r="DG132" i="104" s="1"/>
  <c r="BJ131" i="104"/>
  <c r="DG131" i="104" s="1"/>
  <c r="BJ130" i="104"/>
  <c r="DG130" i="104" s="1"/>
  <c r="CE75" i="104"/>
  <c r="EB75" i="104" s="1"/>
  <c r="CS73" i="104"/>
  <c r="EP73" i="104" s="1"/>
  <c r="CS71" i="104"/>
  <c r="EP71" i="104" s="1"/>
  <c r="CL70" i="104"/>
  <c r="EI70" i="104" s="1"/>
  <c r="CE69" i="104"/>
  <c r="EB69" i="104" s="1"/>
  <c r="CS132" i="104"/>
  <c r="EP132" i="104" s="1"/>
  <c r="CS131" i="104"/>
  <c r="EP131" i="104" s="1"/>
  <c r="CS130" i="104"/>
  <c r="EP130" i="104" s="1"/>
  <c r="CE129" i="104"/>
  <c r="EB129" i="104" s="1"/>
  <c r="CE128" i="104"/>
  <c r="EB128" i="104" s="1"/>
  <c r="CE127" i="104"/>
  <c r="EB127" i="104" s="1"/>
  <c r="CE126" i="104"/>
  <c r="EB126" i="104" s="1"/>
  <c r="CO8" i="104"/>
  <c r="EL8" i="104" s="1"/>
  <c r="CO46" i="104"/>
  <c r="EL46" i="104" s="1"/>
  <c r="CF15" i="104"/>
  <c r="EC15" i="104" s="1"/>
  <c r="CO61" i="104"/>
  <c r="BM12" i="104"/>
  <c r="DJ12" i="104" s="1"/>
  <c r="CV12" i="104"/>
  <c r="ES12" i="104" s="1"/>
  <c r="CO47" i="104"/>
  <c r="EL47" i="104" s="1"/>
  <c r="CH33" i="104"/>
  <c r="EE33" i="104" s="1"/>
  <c r="CH48" i="104"/>
  <c r="EE48" i="104" s="1"/>
  <c r="BM51" i="104"/>
  <c r="CO28" i="104"/>
  <c r="CO45" i="104"/>
  <c r="EL45" i="104" s="1"/>
  <c r="CV13" i="104"/>
  <c r="ES13" i="104" s="1"/>
  <c r="CO48" i="104"/>
  <c r="EL48" i="104" s="1"/>
  <c r="BN17" i="104"/>
  <c r="DK17" i="104" s="1"/>
  <c r="CH45" i="104"/>
  <c r="EE45" i="104" s="1"/>
  <c r="BN16" i="104"/>
  <c r="DK16" i="104" s="1"/>
  <c r="CH8" i="104"/>
  <c r="EE8" i="104" s="1"/>
  <c r="CH43" i="104"/>
  <c r="EE43" i="104" s="1"/>
  <c r="BH17" i="104"/>
  <c r="DE17" i="104" s="1"/>
  <c r="EW17" i="104" s="1"/>
  <c r="CV17" i="104"/>
  <c r="ES17" i="104" s="1"/>
  <c r="CV11" i="104"/>
  <c r="ES11" i="104" s="1"/>
  <c r="CH49" i="104"/>
  <c r="EE49" i="104" s="1"/>
  <c r="H83" i="104"/>
  <c r="H79" i="104"/>
  <c r="H81" i="104"/>
  <c r="H77" i="104"/>
  <c r="G120" i="135"/>
  <c r="H92" i="135"/>
  <c r="O92" i="135" s="1"/>
  <c r="G79" i="135"/>
  <c r="G92" i="135"/>
  <c r="N92" i="135" s="1"/>
  <c r="H78" i="135"/>
  <c r="L93" i="135"/>
  <c r="P93" i="135" s="1"/>
  <c r="L97" i="135"/>
  <c r="L90" i="135"/>
  <c r="P90" i="135" s="1"/>
  <c r="L89" i="135"/>
  <c r="P89" i="135" s="1"/>
  <c r="M65" i="135"/>
  <c r="K84" i="135"/>
  <c r="O84" i="135" s="1"/>
  <c r="L84" i="135"/>
  <c r="P84" i="135" s="1"/>
  <c r="K90" i="135"/>
  <c r="H77" i="135"/>
  <c r="BN14" i="104" l="1"/>
  <c r="DK14" i="104" s="1"/>
  <c r="BN45" i="104"/>
  <c r="DK45" i="104" s="1"/>
  <c r="CM13" i="104"/>
  <c r="EJ13" i="104" s="1"/>
  <c r="CM17" i="104"/>
  <c r="EJ17" i="104" s="1"/>
  <c r="EX91" i="104"/>
  <c r="FB103" i="104"/>
  <c r="FB105" i="104"/>
  <c r="EX92" i="104"/>
  <c r="FC99" i="104"/>
  <c r="FC101" i="104"/>
  <c r="FC103" i="104"/>
  <c r="FC105" i="104"/>
  <c r="FC162" i="104"/>
  <c r="FC121" i="104"/>
  <c r="EX88" i="104"/>
  <c r="EZ68" i="104"/>
  <c r="BN35" i="104"/>
  <c r="DK35" i="104" s="1"/>
  <c r="FA100" i="104"/>
  <c r="EX152" i="104"/>
  <c r="FA159" i="104"/>
  <c r="FA161" i="104"/>
  <c r="FA163" i="104"/>
  <c r="EX66" i="104"/>
  <c r="EX121" i="104"/>
  <c r="FC100" i="104"/>
  <c r="FC104" i="104"/>
  <c r="EZ64" i="104"/>
  <c r="EX99" i="104"/>
  <c r="EX101" i="104"/>
  <c r="EX103" i="104"/>
  <c r="EX105" i="104"/>
  <c r="FC115" i="104"/>
  <c r="EX64" i="104"/>
  <c r="FB101" i="104"/>
  <c r="FB160" i="104"/>
  <c r="FC64" i="104"/>
  <c r="EZ93" i="104"/>
  <c r="EZ103" i="104"/>
  <c r="EZ96" i="104"/>
  <c r="EX149" i="104"/>
  <c r="FC156" i="104"/>
  <c r="FC158" i="104"/>
  <c r="FC160" i="104"/>
  <c r="EX65" i="104"/>
  <c r="EX124" i="104"/>
  <c r="EZ71" i="104"/>
  <c r="CM14" i="104"/>
  <c r="EJ14" i="104" s="1"/>
  <c r="EZ89" i="104"/>
  <c r="EZ101" i="104"/>
  <c r="EZ66" i="104"/>
  <c r="EZ88" i="104"/>
  <c r="EZ92" i="104"/>
  <c r="EX93" i="104"/>
  <c r="EX100" i="104"/>
  <c r="EX102" i="104"/>
  <c r="EX104" i="104"/>
  <c r="EX106" i="104"/>
  <c r="EX150" i="104"/>
  <c r="EX157" i="104"/>
  <c r="EX159" i="104"/>
  <c r="EX161" i="104"/>
  <c r="EX163" i="104"/>
  <c r="FC65" i="104"/>
  <c r="EX89" i="104"/>
  <c r="FC124" i="104"/>
  <c r="EX95" i="104"/>
  <c r="FA102" i="104"/>
  <c r="FA104" i="104"/>
  <c r="FA106" i="104"/>
  <c r="FB157" i="104"/>
  <c r="EZ75" i="104"/>
  <c r="EZ97" i="104"/>
  <c r="EZ105" i="104"/>
  <c r="EZ99" i="104"/>
  <c r="EX96" i="104"/>
  <c r="FB100" i="104"/>
  <c r="FB102" i="104"/>
  <c r="FB104" i="104"/>
  <c r="FB106" i="104"/>
  <c r="EX153" i="104"/>
  <c r="FA157" i="104"/>
  <c r="FB159" i="104"/>
  <c r="FB161" i="104"/>
  <c r="FB163" i="104"/>
  <c r="FC66" i="104"/>
  <c r="EZ74" i="104"/>
  <c r="EZ72" i="104"/>
  <c r="EZ106" i="104"/>
  <c r="EZ73" i="104"/>
  <c r="EZ102" i="104"/>
  <c r="EZ100" i="104"/>
  <c r="EX97" i="104"/>
  <c r="FC102" i="104"/>
  <c r="FC106" i="104"/>
  <c r="EX154" i="104"/>
  <c r="FC157" i="104"/>
  <c r="FC159" i="104"/>
  <c r="FC161" i="104"/>
  <c r="FC163" i="104"/>
  <c r="EX67" i="104"/>
  <c r="EX122" i="104"/>
  <c r="EX145" i="104"/>
  <c r="EZ70" i="104"/>
  <c r="EZ65" i="104"/>
  <c r="EX156" i="104"/>
  <c r="EX158" i="104"/>
  <c r="EX160" i="104"/>
  <c r="EX162" i="104"/>
  <c r="FC172" i="104"/>
  <c r="FC67" i="104"/>
  <c r="FC122" i="104"/>
  <c r="EX146" i="104"/>
  <c r="EZ69" i="104"/>
  <c r="EZ91" i="104"/>
  <c r="EZ95" i="104"/>
  <c r="EZ104" i="104"/>
  <c r="FB99" i="104"/>
  <c r="FA101" i="104"/>
  <c r="FA103" i="104"/>
  <c r="FA105" i="104"/>
  <c r="FA156" i="104"/>
  <c r="FA158" i="104"/>
  <c r="FA160" i="104"/>
  <c r="FA162" i="104"/>
  <c r="EX123" i="104"/>
  <c r="EZ67" i="104"/>
  <c r="EZ115" i="104"/>
  <c r="FA99" i="104"/>
  <c r="EX148" i="104"/>
  <c r="FB156" i="104"/>
  <c r="FB158" i="104"/>
  <c r="FB162" i="104"/>
  <c r="FC123" i="104"/>
  <c r="P37" i="135"/>
  <c r="CC37" i="135" s="1"/>
  <c r="P7" i="135"/>
  <c r="P22" i="135" s="1"/>
  <c r="DZ90" i="104"/>
  <c r="EZ90" i="104" s="1"/>
  <c r="N80" i="135"/>
  <c r="N89" i="135"/>
  <c r="BX37" i="135"/>
  <c r="BW37" i="135"/>
  <c r="DJ18" i="104"/>
  <c r="BN18" i="104"/>
  <c r="DK18" i="104" s="1"/>
  <c r="G94" i="135"/>
  <c r="N94" i="135" s="1"/>
  <c r="G81" i="135"/>
  <c r="H81" i="135" s="1"/>
  <c r="O81" i="135" s="1"/>
  <c r="DJ13" i="104"/>
  <c r="BN13" i="104"/>
  <c r="DK13" i="104" s="1"/>
  <c r="DJ47" i="104"/>
  <c r="BN47" i="104"/>
  <c r="DK47" i="104" s="1"/>
  <c r="EU147" i="104"/>
  <c r="FC147" i="104" s="1"/>
  <c r="DL147" i="104"/>
  <c r="EX147" i="104" s="1"/>
  <c r="EU90" i="104"/>
  <c r="FC90" i="104" s="1"/>
  <c r="DL90" i="104"/>
  <c r="EX90" i="104" s="1"/>
  <c r="CL16" i="104"/>
  <c r="EI16" i="104" s="1"/>
  <c r="N93" i="135"/>
  <c r="CI44" i="104"/>
  <c r="EF44" i="104" s="1"/>
  <c r="BN9" i="104"/>
  <c r="DK9" i="104" s="1"/>
  <c r="CW49" i="104"/>
  <c r="ET49" i="104" s="1"/>
  <c r="BN49" i="104"/>
  <c r="DK49" i="104" s="1"/>
  <c r="CA128" i="104"/>
  <c r="DX128" i="104" s="1"/>
  <c r="CP43" i="104"/>
  <c r="EM43" i="104" s="1"/>
  <c r="BN42" i="104"/>
  <c r="DK42" i="104" s="1"/>
  <c r="H94" i="135"/>
  <c r="O94" i="135" s="1"/>
  <c r="N97" i="135"/>
  <c r="P97" i="135"/>
  <c r="G116" i="135"/>
  <c r="I96" i="135" s="1"/>
  <c r="P96" i="135" s="1"/>
  <c r="I116" i="135"/>
  <c r="BN58" i="104"/>
  <c r="DK58" i="104" s="1"/>
  <c r="CM18" i="104"/>
  <c r="EJ18" i="104" s="1"/>
  <c r="BW128" i="104"/>
  <c r="DT128" i="104" s="1"/>
  <c r="BZ128" i="104"/>
  <c r="DW128" i="104" s="1"/>
  <c r="CC128" i="104"/>
  <c r="DZ128" i="104" s="1"/>
  <c r="CP33" i="104"/>
  <c r="EM33" i="104" s="1"/>
  <c r="BY128" i="104"/>
  <c r="DV128" i="104" s="1"/>
  <c r="CB128" i="104"/>
  <c r="DY128" i="104" s="1"/>
  <c r="BX128" i="104"/>
  <c r="DU128" i="104" s="1"/>
  <c r="CW9" i="104"/>
  <c r="ET9" i="104" s="1"/>
  <c r="CW18" i="104"/>
  <c r="ET18" i="104" s="1"/>
  <c r="CI46" i="104"/>
  <c r="EF46" i="104" s="1"/>
  <c r="BU8" i="104"/>
  <c r="DR8" i="104" s="1"/>
  <c r="CM15" i="104"/>
  <c r="EJ15" i="104" s="1"/>
  <c r="CI47" i="104"/>
  <c r="EF47" i="104" s="1"/>
  <c r="CM12" i="104"/>
  <c r="EJ12" i="104" s="1"/>
  <c r="CI7" i="104"/>
  <c r="EF7" i="104" s="1"/>
  <c r="CL11" i="104"/>
  <c r="EI11" i="104" s="1"/>
  <c r="FE12" i="104"/>
  <c r="FE31" i="104"/>
  <c r="FE16" i="104"/>
  <c r="FE18" i="104"/>
  <c r="FE58" i="104"/>
  <c r="FE13" i="104"/>
  <c r="FE14" i="104"/>
  <c r="FE32" i="104"/>
  <c r="FE15" i="104"/>
  <c r="FE17" i="104"/>
  <c r="BN33" i="104"/>
  <c r="DK33" i="104" s="1"/>
  <c r="BU44" i="104"/>
  <c r="DR44" i="104" s="1"/>
  <c r="BU38" i="104"/>
  <c r="DR38" i="104" s="1"/>
  <c r="BO46" i="104"/>
  <c r="DL46" i="104" s="1"/>
  <c r="EX46" i="104" s="1"/>
  <c r="BU12" i="104"/>
  <c r="DR12" i="104" s="1"/>
  <c r="BU35" i="104"/>
  <c r="DR35" i="104" s="1"/>
  <c r="BN44" i="104"/>
  <c r="DK44" i="104" s="1"/>
  <c r="BN10" i="104"/>
  <c r="DK10" i="104" s="1"/>
  <c r="CW8" i="104"/>
  <c r="ET8" i="104" s="1"/>
  <c r="BN39" i="104"/>
  <c r="DK39" i="104" s="1"/>
  <c r="CW47" i="104"/>
  <c r="ET47" i="104" s="1"/>
  <c r="BU15" i="104"/>
  <c r="DR15" i="104" s="1"/>
  <c r="BU14" i="104"/>
  <c r="DR14" i="104" s="1"/>
  <c r="BU48" i="104"/>
  <c r="DR48" i="104" s="1"/>
  <c r="CX58" i="104"/>
  <c r="EU58" i="104" s="1"/>
  <c r="FC58" i="104" s="1"/>
  <c r="BU46" i="104"/>
  <c r="DR46" i="104" s="1"/>
  <c r="BU9" i="104"/>
  <c r="DR9" i="104" s="1"/>
  <c r="BU31" i="104"/>
  <c r="DR31" i="104" s="1"/>
  <c r="CW7" i="104"/>
  <c r="ET7" i="104" s="1"/>
  <c r="BU7" i="104"/>
  <c r="DR7" i="104" s="1"/>
  <c r="CW45" i="104"/>
  <c r="ET45" i="104" s="1"/>
  <c r="BU32" i="104"/>
  <c r="DR32" i="104" s="1"/>
  <c r="BW124" i="104"/>
  <c r="DT124" i="104" s="1"/>
  <c r="BY124" i="104"/>
  <c r="DV124" i="104" s="1"/>
  <c r="BZ124" i="104"/>
  <c r="DW124" i="104" s="1"/>
  <c r="CA124" i="104"/>
  <c r="DX124" i="104" s="1"/>
  <c r="CB124" i="104"/>
  <c r="DY124" i="104" s="1"/>
  <c r="CC124" i="104"/>
  <c r="DZ124" i="104" s="1"/>
  <c r="BX124" i="104"/>
  <c r="DU124" i="104" s="1"/>
  <c r="BW139" i="104"/>
  <c r="BY139" i="104"/>
  <c r="CB139" i="104"/>
  <c r="CC139" i="104"/>
  <c r="BX139" i="104"/>
  <c r="BZ139" i="104"/>
  <c r="CA139" i="104"/>
  <c r="CC143" i="104"/>
  <c r="BX143" i="104"/>
  <c r="BW143" i="104"/>
  <c r="BY143" i="104"/>
  <c r="BZ143" i="104"/>
  <c r="CA143" i="104"/>
  <c r="CB143" i="104"/>
  <c r="BW147" i="104"/>
  <c r="DT147" i="104" s="1"/>
  <c r="BY147" i="104"/>
  <c r="DV147" i="104" s="1"/>
  <c r="BX147" i="104"/>
  <c r="DU147" i="104" s="1"/>
  <c r="BZ147" i="104"/>
  <c r="DW147" i="104" s="1"/>
  <c r="CA147" i="104"/>
  <c r="DX147" i="104" s="1"/>
  <c r="CB147" i="104"/>
  <c r="DY147" i="104" s="1"/>
  <c r="CC147" i="104"/>
  <c r="DZ147" i="104" s="1"/>
  <c r="BZ151" i="104"/>
  <c r="CA151" i="104"/>
  <c r="CC151" i="104"/>
  <c r="BW151" i="104"/>
  <c r="BX151" i="104"/>
  <c r="BY151" i="104"/>
  <c r="CB151" i="104"/>
  <c r="BZ155" i="104"/>
  <c r="CA155" i="104"/>
  <c r="CB155" i="104"/>
  <c r="CC155" i="104"/>
  <c r="BW155" i="104"/>
  <c r="BX155" i="104"/>
  <c r="BY155" i="104"/>
  <c r="CA159" i="104"/>
  <c r="DX159" i="104" s="1"/>
  <c r="CB159" i="104"/>
  <c r="DY159" i="104" s="1"/>
  <c r="CC159" i="104"/>
  <c r="DZ159" i="104" s="1"/>
  <c r="BW159" i="104"/>
  <c r="DT159" i="104" s="1"/>
  <c r="BX159" i="104"/>
  <c r="DU159" i="104" s="1"/>
  <c r="BY159" i="104"/>
  <c r="DV159" i="104" s="1"/>
  <c r="BZ159" i="104"/>
  <c r="DW159" i="104" s="1"/>
  <c r="BW163" i="104"/>
  <c r="DT163" i="104" s="1"/>
  <c r="BX163" i="104"/>
  <c r="DU163" i="104" s="1"/>
  <c r="BY163" i="104"/>
  <c r="DV163" i="104" s="1"/>
  <c r="BZ163" i="104"/>
  <c r="DW163" i="104" s="1"/>
  <c r="CA163" i="104"/>
  <c r="DX163" i="104" s="1"/>
  <c r="CB163" i="104"/>
  <c r="DY163" i="104" s="1"/>
  <c r="CC163" i="104"/>
  <c r="DZ163" i="104" s="1"/>
  <c r="BW167" i="104"/>
  <c r="BX167" i="104"/>
  <c r="BY167" i="104"/>
  <c r="BZ167" i="104"/>
  <c r="CA167" i="104"/>
  <c r="CB167" i="104"/>
  <c r="CC167" i="104"/>
  <c r="CA171" i="104"/>
  <c r="CB171" i="104"/>
  <c r="CC171" i="104"/>
  <c r="BW171" i="104"/>
  <c r="BX171" i="104"/>
  <c r="BY171" i="104"/>
  <c r="BZ171" i="104"/>
  <c r="CW43" i="104"/>
  <c r="ET43" i="104" s="1"/>
  <c r="BN32" i="104"/>
  <c r="DK32" i="104" s="1"/>
  <c r="BU42" i="104"/>
  <c r="DR42" i="104" s="1"/>
  <c r="BU13" i="104"/>
  <c r="DR13" i="104" s="1"/>
  <c r="BU33" i="104"/>
  <c r="DR33" i="104" s="1"/>
  <c r="BN7" i="104"/>
  <c r="DK7" i="104" s="1"/>
  <c r="BU40" i="104"/>
  <c r="DR40" i="104" s="1"/>
  <c r="BN34" i="104"/>
  <c r="DK34" i="104" s="1"/>
  <c r="BO45" i="104"/>
  <c r="DL45" i="104" s="1"/>
  <c r="EX45" i="104" s="1"/>
  <c r="BU11" i="104"/>
  <c r="DR11" i="104" s="1"/>
  <c r="CX49" i="104"/>
  <c r="EU49" i="104" s="1"/>
  <c r="FC49" i="104" s="1"/>
  <c r="BU43" i="104"/>
  <c r="DR43" i="104" s="1"/>
  <c r="BU45" i="104"/>
  <c r="DR45" i="104" s="1"/>
  <c r="BN38" i="104"/>
  <c r="DK38" i="104" s="1"/>
  <c r="BU17" i="104"/>
  <c r="DR17" i="104" s="1"/>
  <c r="BN43" i="104"/>
  <c r="DK43" i="104" s="1"/>
  <c r="CW46" i="104"/>
  <c r="ET46" i="104" s="1"/>
  <c r="BW140" i="104"/>
  <c r="BX140" i="104"/>
  <c r="BZ140" i="104"/>
  <c r="CA140" i="104"/>
  <c r="CB140" i="104"/>
  <c r="CC140" i="104"/>
  <c r="BY140" i="104"/>
  <c r="BW144" i="104"/>
  <c r="BY144" i="104"/>
  <c r="BX144" i="104"/>
  <c r="BZ144" i="104"/>
  <c r="CA144" i="104"/>
  <c r="CB144" i="104"/>
  <c r="CC144" i="104"/>
  <c r="BY148" i="104"/>
  <c r="DV148" i="104" s="1"/>
  <c r="BZ148" i="104"/>
  <c r="DW148" i="104" s="1"/>
  <c r="CB148" i="104"/>
  <c r="DY148" i="104" s="1"/>
  <c r="BW148" i="104"/>
  <c r="DT148" i="104" s="1"/>
  <c r="BX148" i="104"/>
  <c r="DU148" i="104" s="1"/>
  <c r="CA148" i="104"/>
  <c r="DX148" i="104" s="1"/>
  <c r="CC148" i="104"/>
  <c r="DZ148" i="104" s="1"/>
  <c r="BW152" i="104"/>
  <c r="DT152" i="104" s="1"/>
  <c r="BY152" i="104"/>
  <c r="DV152" i="104" s="1"/>
  <c r="BX152" i="104"/>
  <c r="DU152" i="104" s="1"/>
  <c r="BZ152" i="104"/>
  <c r="DW152" i="104" s="1"/>
  <c r="CA152" i="104"/>
  <c r="DX152" i="104" s="1"/>
  <c r="CB152" i="104"/>
  <c r="DY152" i="104" s="1"/>
  <c r="CC152" i="104"/>
  <c r="DZ152" i="104" s="1"/>
  <c r="CC156" i="104"/>
  <c r="DZ156" i="104" s="1"/>
  <c r="BW156" i="104"/>
  <c r="DT156" i="104" s="1"/>
  <c r="BX156" i="104"/>
  <c r="DU156" i="104" s="1"/>
  <c r="BY156" i="104"/>
  <c r="DV156" i="104" s="1"/>
  <c r="BZ156" i="104"/>
  <c r="DW156" i="104" s="1"/>
  <c r="CA156" i="104"/>
  <c r="DX156" i="104" s="1"/>
  <c r="CB156" i="104"/>
  <c r="DY156" i="104" s="1"/>
  <c r="CA160" i="104"/>
  <c r="DX160" i="104" s="1"/>
  <c r="CB160" i="104"/>
  <c r="DY160" i="104" s="1"/>
  <c r="CC160" i="104"/>
  <c r="DZ160" i="104" s="1"/>
  <c r="BW160" i="104"/>
  <c r="DT160" i="104" s="1"/>
  <c r="BX160" i="104"/>
  <c r="DU160" i="104" s="1"/>
  <c r="BY160" i="104"/>
  <c r="DV160" i="104" s="1"/>
  <c r="BZ160" i="104"/>
  <c r="DW160" i="104" s="1"/>
  <c r="BW164" i="104"/>
  <c r="BX164" i="104"/>
  <c r="BY164" i="104"/>
  <c r="BZ164" i="104"/>
  <c r="CA164" i="104"/>
  <c r="CB164" i="104"/>
  <c r="CC164" i="104"/>
  <c r="CA168" i="104"/>
  <c r="CB168" i="104"/>
  <c r="CC168" i="104"/>
  <c r="BW168" i="104"/>
  <c r="BX168" i="104"/>
  <c r="BY168" i="104"/>
  <c r="BZ168" i="104"/>
  <c r="BY172" i="104"/>
  <c r="DV172" i="104" s="1"/>
  <c r="BZ172" i="104"/>
  <c r="DW172" i="104" s="1"/>
  <c r="CA172" i="104"/>
  <c r="DX172" i="104" s="1"/>
  <c r="CB172" i="104"/>
  <c r="DY172" i="104" s="1"/>
  <c r="CC172" i="104"/>
  <c r="DZ172" i="104" s="1"/>
  <c r="BW172" i="104"/>
  <c r="DT172" i="104" s="1"/>
  <c r="BX172" i="104"/>
  <c r="DU172" i="104" s="1"/>
  <c r="BY121" i="104"/>
  <c r="DV121" i="104" s="1"/>
  <c r="BZ121" i="104"/>
  <c r="DW121" i="104" s="1"/>
  <c r="CB121" i="104"/>
  <c r="DY121" i="104" s="1"/>
  <c r="BW121" i="104"/>
  <c r="DT121" i="104" s="1"/>
  <c r="BX121" i="104"/>
  <c r="DU121" i="104" s="1"/>
  <c r="CA121" i="104"/>
  <c r="DX121" i="104" s="1"/>
  <c r="CC121" i="104"/>
  <c r="DZ121" i="104" s="1"/>
  <c r="BN48" i="104"/>
  <c r="DK48" i="104" s="1"/>
  <c r="BO35" i="104"/>
  <c r="DL35" i="104" s="1"/>
  <c r="EX35" i="104" s="1"/>
  <c r="BU10" i="104"/>
  <c r="DR10" i="104" s="1"/>
  <c r="BU36" i="104"/>
  <c r="DR36" i="104" s="1"/>
  <c r="BU18" i="104"/>
  <c r="DR18" i="104" s="1"/>
  <c r="BU47" i="104"/>
  <c r="DR47" i="104" s="1"/>
  <c r="BN8" i="104"/>
  <c r="DK8" i="104" s="1"/>
  <c r="BU58" i="104"/>
  <c r="DR58" i="104" s="1"/>
  <c r="CA138" i="104"/>
  <c r="CB138" i="104"/>
  <c r="CC138" i="104"/>
  <c r="BW138" i="104"/>
  <c r="BX138" i="104"/>
  <c r="BY138" i="104"/>
  <c r="BZ138" i="104"/>
  <c r="BZ142" i="104"/>
  <c r="CA142" i="104"/>
  <c r="CC142" i="104"/>
  <c r="BW142" i="104"/>
  <c r="BX142" i="104"/>
  <c r="BY142" i="104"/>
  <c r="CB142" i="104"/>
  <c r="BY146" i="104"/>
  <c r="DV146" i="104" s="1"/>
  <c r="BZ146" i="104"/>
  <c r="DW146" i="104" s="1"/>
  <c r="CB146" i="104"/>
  <c r="DY146" i="104" s="1"/>
  <c r="BW146" i="104"/>
  <c r="DT146" i="104" s="1"/>
  <c r="BX146" i="104"/>
  <c r="DU146" i="104" s="1"/>
  <c r="CA146" i="104"/>
  <c r="DX146" i="104" s="1"/>
  <c r="CC146" i="104"/>
  <c r="DZ146" i="104" s="1"/>
  <c r="BW150" i="104"/>
  <c r="DT150" i="104" s="1"/>
  <c r="BY150" i="104"/>
  <c r="DV150" i="104" s="1"/>
  <c r="CC150" i="104"/>
  <c r="DZ150" i="104" s="1"/>
  <c r="BX150" i="104"/>
  <c r="DU150" i="104" s="1"/>
  <c r="BZ150" i="104"/>
  <c r="DW150" i="104" s="1"/>
  <c r="CA150" i="104"/>
  <c r="DX150" i="104" s="1"/>
  <c r="CB150" i="104"/>
  <c r="DY150" i="104" s="1"/>
  <c r="BX154" i="104"/>
  <c r="DU154" i="104" s="1"/>
  <c r="CA154" i="104"/>
  <c r="DX154" i="104" s="1"/>
  <c r="CB154" i="104"/>
  <c r="DY154" i="104" s="1"/>
  <c r="CC154" i="104"/>
  <c r="DZ154" i="104" s="1"/>
  <c r="BW154" i="104"/>
  <c r="DT154" i="104" s="1"/>
  <c r="BY154" i="104"/>
  <c r="DV154" i="104" s="1"/>
  <c r="BZ154" i="104"/>
  <c r="DW154" i="104" s="1"/>
  <c r="BZ158" i="104"/>
  <c r="DW158" i="104" s="1"/>
  <c r="CA158" i="104"/>
  <c r="DX158" i="104" s="1"/>
  <c r="CB158" i="104"/>
  <c r="DY158" i="104" s="1"/>
  <c r="CC158" i="104"/>
  <c r="DZ158" i="104" s="1"/>
  <c r="BW158" i="104"/>
  <c r="DT158" i="104" s="1"/>
  <c r="BX158" i="104"/>
  <c r="DU158" i="104" s="1"/>
  <c r="BY158" i="104"/>
  <c r="DV158" i="104" s="1"/>
  <c r="CC162" i="104"/>
  <c r="DZ162" i="104" s="1"/>
  <c r="BW162" i="104"/>
  <c r="DT162" i="104" s="1"/>
  <c r="BX162" i="104"/>
  <c r="DU162" i="104" s="1"/>
  <c r="BY162" i="104"/>
  <c r="DV162" i="104" s="1"/>
  <c r="BZ162" i="104"/>
  <c r="DW162" i="104" s="1"/>
  <c r="CA162" i="104"/>
  <c r="DX162" i="104" s="1"/>
  <c r="CB162" i="104"/>
  <c r="DY162" i="104" s="1"/>
  <c r="BY166" i="104"/>
  <c r="BZ166" i="104"/>
  <c r="CA166" i="104"/>
  <c r="CB166" i="104"/>
  <c r="CC166" i="104"/>
  <c r="BW166" i="104"/>
  <c r="BX166" i="104"/>
  <c r="CC170" i="104"/>
  <c r="BW170" i="104"/>
  <c r="BX170" i="104"/>
  <c r="BY170" i="104"/>
  <c r="BZ170" i="104"/>
  <c r="CA170" i="104"/>
  <c r="CB170" i="104"/>
  <c r="CC175" i="104"/>
  <c r="BW175" i="104"/>
  <c r="BX175" i="104"/>
  <c r="BY175" i="104"/>
  <c r="BZ175" i="104"/>
  <c r="CA175" i="104"/>
  <c r="CB175" i="104"/>
  <c r="BY123" i="104"/>
  <c r="DV123" i="104" s="1"/>
  <c r="BZ123" i="104"/>
  <c r="DW123" i="104" s="1"/>
  <c r="CB123" i="104"/>
  <c r="DY123" i="104" s="1"/>
  <c r="BW123" i="104"/>
  <c r="DT123" i="104" s="1"/>
  <c r="BX123" i="104"/>
  <c r="DU123" i="104" s="1"/>
  <c r="CA123" i="104"/>
  <c r="DX123" i="104" s="1"/>
  <c r="CC123" i="104"/>
  <c r="DZ123" i="104" s="1"/>
  <c r="BW137" i="104"/>
  <c r="BX137" i="104"/>
  <c r="BZ137" i="104"/>
  <c r="CB137" i="104"/>
  <c r="CC137" i="104"/>
  <c r="BY137" i="104"/>
  <c r="CA137" i="104"/>
  <c r="BW141" i="104"/>
  <c r="BY141" i="104"/>
  <c r="BX141" i="104"/>
  <c r="BZ141" i="104"/>
  <c r="CA141" i="104"/>
  <c r="CB141" i="104"/>
  <c r="CC141" i="104"/>
  <c r="CC145" i="104"/>
  <c r="DZ145" i="104" s="1"/>
  <c r="BX145" i="104"/>
  <c r="DU145" i="104" s="1"/>
  <c r="CB145" i="104"/>
  <c r="DY145" i="104" s="1"/>
  <c r="BW145" i="104"/>
  <c r="DT145" i="104" s="1"/>
  <c r="BY145" i="104"/>
  <c r="DV145" i="104" s="1"/>
  <c r="BZ145" i="104"/>
  <c r="DW145" i="104" s="1"/>
  <c r="CA145" i="104"/>
  <c r="DX145" i="104" s="1"/>
  <c r="BZ149" i="104"/>
  <c r="DW149" i="104" s="1"/>
  <c r="CA149" i="104"/>
  <c r="DX149" i="104" s="1"/>
  <c r="CC149" i="104"/>
  <c r="DZ149" i="104" s="1"/>
  <c r="BW149" i="104"/>
  <c r="DT149" i="104" s="1"/>
  <c r="BX149" i="104"/>
  <c r="DU149" i="104" s="1"/>
  <c r="BY149" i="104"/>
  <c r="DV149" i="104" s="1"/>
  <c r="CB149" i="104"/>
  <c r="DY149" i="104" s="1"/>
  <c r="BZ153" i="104"/>
  <c r="DW153" i="104" s="1"/>
  <c r="CC153" i="104"/>
  <c r="DZ153" i="104" s="1"/>
  <c r="BW153" i="104"/>
  <c r="DT153" i="104" s="1"/>
  <c r="BX153" i="104"/>
  <c r="DU153" i="104" s="1"/>
  <c r="BY153" i="104"/>
  <c r="DV153" i="104" s="1"/>
  <c r="CA153" i="104"/>
  <c r="DX153" i="104" s="1"/>
  <c r="CB153" i="104"/>
  <c r="DY153" i="104" s="1"/>
  <c r="BY157" i="104"/>
  <c r="DV157" i="104" s="1"/>
  <c r="BZ157" i="104"/>
  <c r="DW157" i="104" s="1"/>
  <c r="CA157" i="104"/>
  <c r="DX157" i="104" s="1"/>
  <c r="CB157" i="104"/>
  <c r="DY157" i="104" s="1"/>
  <c r="CC157" i="104"/>
  <c r="DZ157" i="104" s="1"/>
  <c r="BW157" i="104"/>
  <c r="DT157" i="104" s="1"/>
  <c r="BX157" i="104"/>
  <c r="DU157" i="104" s="1"/>
  <c r="CB161" i="104"/>
  <c r="DY161" i="104" s="1"/>
  <c r="CC161" i="104"/>
  <c r="DZ161" i="104" s="1"/>
  <c r="BW161" i="104"/>
  <c r="DT161" i="104" s="1"/>
  <c r="BX161" i="104"/>
  <c r="DU161" i="104" s="1"/>
  <c r="BY161" i="104"/>
  <c r="DV161" i="104" s="1"/>
  <c r="BZ161" i="104"/>
  <c r="DW161" i="104" s="1"/>
  <c r="CA161" i="104"/>
  <c r="DX161" i="104" s="1"/>
  <c r="CB165" i="104"/>
  <c r="CC165" i="104"/>
  <c r="BW165" i="104"/>
  <c r="BX165" i="104"/>
  <c r="BY165" i="104"/>
  <c r="BZ165" i="104"/>
  <c r="CA165" i="104"/>
  <c r="BX169" i="104"/>
  <c r="BY169" i="104"/>
  <c r="BZ169" i="104"/>
  <c r="CA169" i="104"/>
  <c r="CB169" i="104"/>
  <c r="CC169" i="104"/>
  <c r="BW169" i="104"/>
  <c r="BW174" i="104"/>
  <c r="BX174" i="104"/>
  <c r="BY174" i="104"/>
  <c r="BZ174" i="104"/>
  <c r="CA174" i="104"/>
  <c r="CB174" i="104"/>
  <c r="CC174" i="104"/>
  <c r="CB122" i="104"/>
  <c r="DY122" i="104" s="1"/>
  <c r="CC122" i="104"/>
  <c r="DZ122" i="104" s="1"/>
  <c r="BW122" i="104"/>
  <c r="DT122" i="104" s="1"/>
  <c r="BX122" i="104"/>
  <c r="DU122" i="104" s="1"/>
  <c r="BY122" i="104"/>
  <c r="DV122" i="104" s="1"/>
  <c r="BZ122" i="104"/>
  <c r="DW122" i="104" s="1"/>
  <c r="CA122" i="104"/>
  <c r="DX122" i="104" s="1"/>
  <c r="BO47" i="104"/>
  <c r="DL47" i="104" s="1"/>
  <c r="EX47" i="104" s="1"/>
  <c r="CW42" i="104"/>
  <c r="ET42" i="104" s="1"/>
  <c r="BU39" i="104"/>
  <c r="DR39" i="104" s="1"/>
  <c r="BU34" i="104"/>
  <c r="DR34" i="104" s="1"/>
  <c r="CW44" i="104"/>
  <c r="ET44" i="104" s="1"/>
  <c r="CW48" i="104"/>
  <c r="ET48" i="104" s="1"/>
  <c r="BU49" i="104"/>
  <c r="DR49" i="104" s="1"/>
  <c r="CW33" i="104"/>
  <c r="ET33" i="104" s="1"/>
  <c r="BN36" i="104"/>
  <c r="DK36" i="104" s="1"/>
  <c r="CW10" i="104"/>
  <c r="ET10" i="104" s="1"/>
  <c r="BU16" i="104"/>
  <c r="DR16" i="104" s="1"/>
  <c r="BN40" i="104"/>
  <c r="DK40" i="104" s="1"/>
  <c r="BN31" i="104"/>
  <c r="DK31" i="104" s="1"/>
  <c r="CI33" i="104"/>
  <c r="EF33" i="104" s="1"/>
  <c r="CP61" i="104"/>
  <c r="CW17" i="104"/>
  <c r="ET17" i="104" s="1"/>
  <c r="CI43" i="104"/>
  <c r="EF43" i="104" s="1"/>
  <c r="CI8" i="104"/>
  <c r="EF8" i="104" s="1"/>
  <c r="BO16" i="104"/>
  <c r="DL16" i="104" s="1"/>
  <c r="EX16" i="104" s="1"/>
  <c r="CP28" i="104"/>
  <c r="BN51" i="104"/>
  <c r="CP47" i="104"/>
  <c r="EM47" i="104" s="1"/>
  <c r="CW12" i="104"/>
  <c r="ET12" i="104" s="1"/>
  <c r="CP46" i="104"/>
  <c r="EM46" i="104" s="1"/>
  <c r="CN13" i="104"/>
  <c r="EK13" i="104" s="1"/>
  <c r="CP8" i="104"/>
  <c r="EM8" i="104" s="1"/>
  <c r="CF126" i="104"/>
  <c r="EC126" i="104" s="1"/>
  <c r="CT130" i="104"/>
  <c r="EQ130" i="104" s="1"/>
  <c r="CT132" i="104"/>
  <c r="EQ132" i="104" s="1"/>
  <c r="CT73" i="104"/>
  <c r="EQ73" i="104" s="1"/>
  <c r="BK131" i="104"/>
  <c r="DH131" i="104" s="1"/>
  <c r="CM71" i="104"/>
  <c r="EJ71" i="104" s="1"/>
  <c r="CN17" i="104"/>
  <c r="EK17" i="104" s="1"/>
  <c r="CI42" i="104"/>
  <c r="EF42" i="104" s="1"/>
  <c r="CG12" i="104"/>
  <c r="ED12" i="104" s="1"/>
  <c r="CP44" i="104"/>
  <c r="EM44" i="104" s="1"/>
  <c r="CM126" i="104"/>
  <c r="EJ126" i="104" s="1"/>
  <c r="CM128" i="104"/>
  <c r="EJ128" i="104" s="1"/>
  <c r="CM69" i="104"/>
  <c r="EJ69" i="104" s="1"/>
  <c r="CF72" i="104"/>
  <c r="EC72" i="104" s="1"/>
  <c r="CM75" i="104"/>
  <c r="EJ75" i="104" s="1"/>
  <c r="BZ132" i="104"/>
  <c r="DW132" i="104" s="1"/>
  <c r="BW132" i="104"/>
  <c r="DT132" i="104" s="1"/>
  <c r="CA132" i="104"/>
  <c r="DX132" i="104" s="1"/>
  <c r="BX132" i="104"/>
  <c r="DU132" i="104" s="1"/>
  <c r="CB132" i="104"/>
  <c r="DY132" i="104" s="1"/>
  <c r="BY132" i="104"/>
  <c r="DV132" i="104" s="1"/>
  <c r="CC132" i="104"/>
  <c r="DZ132" i="104" s="1"/>
  <c r="BX134" i="104"/>
  <c r="CB134" i="104"/>
  <c r="BY134" i="104"/>
  <c r="CC134" i="104"/>
  <c r="BZ134" i="104"/>
  <c r="BW134" i="104"/>
  <c r="CA134" i="104"/>
  <c r="BZ136" i="104"/>
  <c r="BW136" i="104"/>
  <c r="CA136" i="104"/>
  <c r="BX136" i="104"/>
  <c r="CB136" i="104"/>
  <c r="BY136" i="104"/>
  <c r="CC136" i="104"/>
  <c r="BX126" i="104"/>
  <c r="DU126" i="104" s="1"/>
  <c r="CB126" i="104"/>
  <c r="DY126" i="104" s="1"/>
  <c r="BY126" i="104"/>
  <c r="DV126" i="104" s="1"/>
  <c r="CC126" i="104"/>
  <c r="DZ126" i="104" s="1"/>
  <c r="BZ126" i="104"/>
  <c r="DW126" i="104" s="1"/>
  <c r="BW126" i="104"/>
  <c r="DT126" i="104" s="1"/>
  <c r="CA126" i="104"/>
  <c r="DX126" i="104" s="1"/>
  <c r="BF126" i="104"/>
  <c r="DC126" i="104" s="1"/>
  <c r="BD126" i="104"/>
  <c r="DA126" i="104" s="1"/>
  <c r="BF128" i="104"/>
  <c r="DC128" i="104" s="1"/>
  <c r="BD128" i="104"/>
  <c r="DA128" i="104" s="1"/>
  <c r="BF132" i="104"/>
  <c r="DC132" i="104" s="1"/>
  <c r="BD132" i="104"/>
  <c r="DA132" i="104" s="1"/>
  <c r="BN57" i="104"/>
  <c r="CP42" i="104"/>
  <c r="EM42" i="104" s="1"/>
  <c r="CW15" i="104"/>
  <c r="ET15" i="104" s="1"/>
  <c r="CT129" i="104"/>
  <c r="EQ129" i="104" s="1"/>
  <c r="BK126" i="104"/>
  <c r="DH126" i="104" s="1"/>
  <c r="BK128" i="104"/>
  <c r="DH128" i="104" s="1"/>
  <c r="CT74" i="104"/>
  <c r="EQ74" i="104" s="1"/>
  <c r="BW131" i="104"/>
  <c r="DT131" i="104" s="1"/>
  <c r="CA131" i="104"/>
  <c r="DX131" i="104" s="1"/>
  <c r="BX131" i="104"/>
  <c r="DU131" i="104" s="1"/>
  <c r="CB131" i="104"/>
  <c r="DY131" i="104" s="1"/>
  <c r="BY131" i="104"/>
  <c r="DV131" i="104" s="1"/>
  <c r="CC131" i="104"/>
  <c r="DZ131" i="104" s="1"/>
  <c r="BZ131" i="104"/>
  <c r="DW131" i="104" s="1"/>
  <c r="BY133" i="104"/>
  <c r="CC133" i="104"/>
  <c r="BZ133" i="104"/>
  <c r="BW133" i="104"/>
  <c r="CA133" i="104"/>
  <c r="BX133" i="104"/>
  <c r="CB133" i="104"/>
  <c r="BW135" i="104"/>
  <c r="CA135" i="104"/>
  <c r="BX135" i="104"/>
  <c r="CB135" i="104"/>
  <c r="BY135" i="104"/>
  <c r="CC135" i="104"/>
  <c r="BZ135" i="104"/>
  <c r="BW127" i="104"/>
  <c r="DT127" i="104" s="1"/>
  <c r="CA127" i="104"/>
  <c r="DX127" i="104" s="1"/>
  <c r="BX127" i="104"/>
  <c r="DU127" i="104" s="1"/>
  <c r="CB127" i="104"/>
  <c r="DY127" i="104" s="1"/>
  <c r="BY127" i="104"/>
  <c r="DV127" i="104" s="1"/>
  <c r="CC127" i="104"/>
  <c r="DZ127" i="104" s="1"/>
  <c r="BZ127" i="104"/>
  <c r="DW127" i="104" s="1"/>
  <c r="BY129" i="104"/>
  <c r="DV129" i="104" s="1"/>
  <c r="CC129" i="104"/>
  <c r="DZ129" i="104" s="1"/>
  <c r="BZ129" i="104"/>
  <c r="DW129" i="104" s="1"/>
  <c r="BW129" i="104"/>
  <c r="DT129" i="104" s="1"/>
  <c r="CA129" i="104"/>
  <c r="DX129" i="104" s="1"/>
  <c r="BX129" i="104"/>
  <c r="DU129" i="104" s="1"/>
  <c r="CB129" i="104"/>
  <c r="DY129" i="104" s="1"/>
  <c r="BK73" i="104"/>
  <c r="DH73" i="104" s="1"/>
  <c r="CI48" i="104"/>
  <c r="EF48" i="104" s="1"/>
  <c r="CW14" i="104"/>
  <c r="ET14" i="104" s="1"/>
  <c r="BO17" i="104"/>
  <c r="DL17" i="104" s="1"/>
  <c r="EX17" i="104" s="1"/>
  <c r="CW13" i="104"/>
  <c r="ET13" i="104" s="1"/>
  <c r="CG15" i="104"/>
  <c r="ED15" i="104" s="1"/>
  <c r="CF127" i="104"/>
  <c r="EC127" i="104" s="1"/>
  <c r="CT131" i="104"/>
  <c r="EQ131" i="104" s="1"/>
  <c r="BF70" i="104"/>
  <c r="DC70" i="104" s="1"/>
  <c r="BD70" i="104"/>
  <c r="DA70" i="104" s="1"/>
  <c r="BF72" i="104"/>
  <c r="DC72" i="104" s="1"/>
  <c r="BD72" i="104"/>
  <c r="DA72" i="104" s="1"/>
  <c r="CG17" i="104"/>
  <c r="ED17" i="104" s="1"/>
  <c r="CQ60" i="104"/>
  <c r="BO15" i="104"/>
  <c r="DL15" i="104" s="1"/>
  <c r="EX15" i="104" s="1"/>
  <c r="CP7" i="104"/>
  <c r="EM7" i="104" s="1"/>
  <c r="BN11" i="104"/>
  <c r="DK11" i="104" s="1"/>
  <c r="CX18" i="104"/>
  <c r="EU18" i="104" s="1"/>
  <c r="FC18" i="104" s="1"/>
  <c r="CM127" i="104"/>
  <c r="EJ127" i="104" s="1"/>
  <c r="CT70" i="104"/>
  <c r="EQ70" i="104" s="1"/>
  <c r="CF74" i="104"/>
  <c r="EC74" i="104" s="1"/>
  <c r="BK68" i="104"/>
  <c r="DH68" i="104" s="1"/>
  <c r="BK70" i="104"/>
  <c r="DH70" i="104" s="1"/>
  <c r="BK72" i="104"/>
  <c r="DH72" i="104" s="1"/>
  <c r="CM131" i="104"/>
  <c r="EJ131" i="104" s="1"/>
  <c r="CT72" i="104"/>
  <c r="EQ72" i="104" s="1"/>
  <c r="CW16" i="104"/>
  <c r="ET16" i="104" s="1"/>
  <c r="CF16" i="104"/>
  <c r="EC16" i="104" s="1"/>
  <c r="CF131" i="104"/>
  <c r="EC131" i="104" s="1"/>
  <c r="CM72" i="104"/>
  <c r="EJ72" i="104" s="1"/>
  <c r="BF75" i="104"/>
  <c r="DC75" i="104" s="1"/>
  <c r="BD75" i="104"/>
  <c r="DA75" i="104" s="1"/>
  <c r="CT125" i="104"/>
  <c r="EQ125" i="104" s="1"/>
  <c r="BF131" i="104"/>
  <c r="DC131" i="104" s="1"/>
  <c r="BD131" i="104"/>
  <c r="DA131" i="104" s="1"/>
  <c r="CI49" i="104"/>
  <c r="EF49" i="104" s="1"/>
  <c r="CI45" i="104"/>
  <c r="EF45" i="104" s="1"/>
  <c r="CP45" i="104"/>
  <c r="EM45" i="104" s="1"/>
  <c r="CP48" i="104"/>
  <c r="EM48" i="104" s="1"/>
  <c r="BN12" i="104"/>
  <c r="DK12" i="104" s="1"/>
  <c r="BO18" i="104"/>
  <c r="DL18" i="104" s="1"/>
  <c r="EX18" i="104" s="1"/>
  <c r="CF129" i="104"/>
  <c r="EC129" i="104" s="1"/>
  <c r="CF69" i="104"/>
  <c r="EC69" i="104" s="1"/>
  <c r="CT71" i="104"/>
  <c r="EQ71" i="104" s="1"/>
  <c r="CF75" i="104"/>
  <c r="EC75" i="104" s="1"/>
  <c r="BK130" i="104"/>
  <c r="DH130" i="104" s="1"/>
  <c r="BK132" i="104"/>
  <c r="DH132" i="104" s="1"/>
  <c r="CF11" i="104"/>
  <c r="EC11" i="104" s="1"/>
  <c r="CP49" i="104"/>
  <c r="EM49" i="104" s="1"/>
  <c r="CG18" i="104"/>
  <c r="ED18" i="104" s="1"/>
  <c r="CM129" i="104"/>
  <c r="EJ129" i="104" s="1"/>
  <c r="BF127" i="104"/>
  <c r="DC127" i="104" s="1"/>
  <c r="BD127" i="104"/>
  <c r="DA127" i="104" s="1"/>
  <c r="BF129" i="104"/>
  <c r="DC129" i="104" s="1"/>
  <c r="BD129" i="104"/>
  <c r="DA129" i="104" s="1"/>
  <c r="BX130" i="104"/>
  <c r="DU130" i="104" s="1"/>
  <c r="CB130" i="104"/>
  <c r="DY130" i="104" s="1"/>
  <c r="BY130" i="104"/>
  <c r="DV130" i="104" s="1"/>
  <c r="CC130" i="104"/>
  <c r="DZ130" i="104" s="1"/>
  <c r="BZ130" i="104"/>
  <c r="DW130" i="104" s="1"/>
  <c r="CA130" i="104"/>
  <c r="DX130" i="104" s="1"/>
  <c r="BW130" i="104"/>
  <c r="DT130" i="104" s="1"/>
  <c r="BK74" i="104"/>
  <c r="DH74" i="104" s="1"/>
  <c r="CG13" i="104"/>
  <c r="ED13" i="104" s="1"/>
  <c r="BO14" i="104"/>
  <c r="DL14" i="104" s="1"/>
  <c r="EX14" i="104" s="1"/>
  <c r="CT126" i="104"/>
  <c r="EQ126" i="104" s="1"/>
  <c r="CT128" i="104"/>
  <c r="EQ128" i="104" s="1"/>
  <c r="CT69" i="104"/>
  <c r="EQ69" i="104" s="1"/>
  <c r="CT75" i="104"/>
  <c r="EQ75" i="104" s="1"/>
  <c r="BK125" i="104"/>
  <c r="DH125" i="104" s="1"/>
  <c r="BK127" i="104"/>
  <c r="DH127" i="104" s="1"/>
  <c r="BK129" i="104"/>
  <c r="DH129" i="104" s="1"/>
  <c r="CF70" i="104"/>
  <c r="EC70" i="104" s="1"/>
  <c r="BK75" i="104"/>
  <c r="DH75" i="104" s="1"/>
  <c r="CW11" i="104"/>
  <c r="ET11" i="104" s="1"/>
  <c r="CF128" i="104"/>
  <c r="EC128" i="104" s="1"/>
  <c r="CM70" i="104"/>
  <c r="EJ70" i="104" s="1"/>
  <c r="BF69" i="104"/>
  <c r="DC69" i="104" s="1"/>
  <c r="BD69" i="104"/>
  <c r="DA69" i="104" s="1"/>
  <c r="BF71" i="104"/>
  <c r="DC71" i="104" s="1"/>
  <c r="BD71" i="104"/>
  <c r="DA71" i="104" s="1"/>
  <c r="CI28" i="104"/>
  <c r="BN60" i="104"/>
  <c r="BN61" i="104"/>
  <c r="BY125" i="104"/>
  <c r="DV125" i="104" s="1"/>
  <c r="CC125" i="104"/>
  <c r="DZ125" i="104" s="1"/>
  <c r="BZ125" i="104"/>
  <c r="DW125" i="104" s="1"/>
  <c r="BW125" i="104"/>
  <c r="DT125" i="104" s="1"/>
  <c r="CA125" i="104"/>
  <c r="DX125" i="104" s="1"/>
  <c r="BX125" i="104"/>
  <c r="DU125" i="104" s="1"/>
  <c r="CB125" i="104"/>
  <c r="DY125" i="104" s="1"/>
  <c r="BK69" i="104"/>
  <c r="DH69" i="104" s="1"/>
  <c r="BK71" i="104"/>
  <c r="DH71" i="104" s="1"/>
  <c r="CT68" i="104"/>
  <c r="EQ68" i="104" s="1"/>
  <c r="CG14" i="104"/>
  <c r="ED14" i="104" s="1"/>
  <c r="CT127" i="104"/>
  <c r="EQ127" i="104" s="1"/>
  <c r="CF132" i="104"/>
  <c r="EC132" i="104" s="1"/>
  <c r="CF71" i="104"/>
  <c r="EC71" i="104" s="1"/>
  <c r="CM74" i="104"/>
  <c r="EJ74" i="104" s="1"/>
  <c r="BF74" i="104"/>
  <c r="DC74" i="104" s="1"/>
  <c r="BD74" i="104"/>
  <c r="DA74" i="104" s="1"/>
  <c r="CM132" i="104"/>
  <c r="EJ132" i="104" s="1"/>
  <c r="N81" i="135"/>
  <c r="I115" i="135"/>
  <c r="G115" i="135"/>
  <c r="I95" i="135" s="1"/>
  <c r="P95" i="135" s="1"/>
  <c r="L80" i="135"/>
  <c r="P80" i="135" s="1"/>
  <c r="L77" i="135"/>
  <c r="P77" i="135" s="1"/>
  <c r="L76" i="135"/>
  <c r="P76" i="135" s="1"/>
  <c r="O77" i="135"/>
  <c r="O76" i="135"/>
  <c r="N90" i="135"/>
  <c r="O90" i="135"/>
  <c r="N84" i="135"/>
  <c r="AB1" i="104"/>
  <c r="BO9" i="104" l="1"/>
  <c r="DL9" i="104" s="1"/>
  <c r="EX9" i="104" s="1"/>
  <c r="CN14" i="104"/>
  <c r="EK14" i="104" s="1"/>
  <c r="CM16" i="104"/>
  <c r="EJ16" i="104" s="1"/>
  <c r="BO13" i="104"/>
  <c r="DL13" i="104" s="1"/>
  <c r="EX13" i="104" s="1"/>
  <c r="BO49" i="104"/>
  <c r="DL49" i="104" s="1"/>
  <c r="EX49" i="104" s="1"/>
  <c r="EZ124" i="104"/>
  <c r="EZ128" i="104"/>
  <c r="EZ161" i="104"/>
  <c r="EZ123" i="104"/>
  <c r="EZ146" i="104"/>
  <c r="EZ125" i="104"/>
  <c r="EZ121" i="104"/>
  <c r="EZ154" i="104"/>
  <c r="EZ160" i="104"/>
  <c r="EZ131" i="104"/>
  <c r="EZ132" i="104"/>
  <c r="EZ145" i="104"/>
  <c r="EZ158" i="104"/>
  <c r="EZ172" i="104"/>
  <c r="EZ156" i="104"/>
  <c r="EZ159" i="104"/>
  <c r="EZ129" i="104"/>
  <c r="EZ122" i="104"/>
  <c r="EZ157" i="104"/>
  <c r="EZ149" i="104"/>
  <c r="EZ150" i="104"/>
  <c r="EZ126" i="104"/>
  <c r="EZ130" i="104"/>
  <c r="EZ152" i="104"/>
  <c r="EZ127" i="104"/>
  <c r="EZ153" i="104"/>
  <c r="EZ162" i="104"/>
  <c r="EZ148" i="104"/>
  <c r="EZ163" i="104"/>
  <c r="BZ37" i="135"/>
  <c r="CA37" i="135"/>
  <c r="BY37" i="135"/>
  <c r="CB37" i="135"/>
  <c r="CB7" i="135"/>
  <c r="BZ7" i="135"/>
  <c r="BW7" i="135"/>
  <c r="DT7" i="135" s="1"/>
  <c r="BY7" i="135"/>
  <c r="BX7" i="135"/>
  <c r="CC7" i="135"/>
  <c r="CA7" i="135"/>
  <c r="EZ147" i="104"/>
  <c r="CQ43" i="104"/>
  <c r="EN43" i="104" s="1"/>
  <c r="FB43" i="104" s="1"/>
  <c r="CJ44" i="104"/>
  <c r="EG44" i="104" s="1"/>
  <c r="FA44" i="104" s="1"/>
  <c r="BO42" i="104"/>
  <c r="DL42" i="104" s="1"/>
  <c r="EX42" i="104" s="1"/>
  <c r="CN18" i="104"/>
  <c r="EK18" i="104" s="1"/>
  <c r="BO58" i="104"/>
  <c r="DL58" i="104" s="1"/>
  <c r="EX58" i="104" s="1"/>
  <c r="P99" i="135"/>
  <c r="S37" i="135" s="1"/>
  <c r="CR37" i="135" s="1"/>
  <c r="CS37" i="135" s="1"/>
  <c r="CT37" i="135" s="1"/>
  <c r="CU37" i="135" s="1"/>
  <c r="CV37" i="135" s="1"/>
  <c r="CW37" i="135" s="1"/>
  <c r="CX37" i="135" s="1"/>
  <c r="P86" i="135"/>
  <c r="S22" i="135" s="1"/>
  <c r="G83" i="135"/>
  <c r="G96" i="135"/>
  <c r="CQ33" i="104"/>
  <c r="EN33" i="104" s="1"/>
  <c r="FB33" i="104" s="1"/>
  <c r="CJ7" i="104"/>
  <c r="EG7" i="104" s="1"/>
  <c r="CN12" i="104"/>
  <c r="EK12" i="104" s="1"/>
  <c r="CX9" i="104"/>
  <c r="EU9" i="104" s="1"/>
  <c r="FC9" i="104" s="1"/>
  <c r="CJ46" i="104"/>
  <c r="EG46" i="104" s="1"/>
  <c r="FA46" i="104" s="1"/>
  <c r="CJ47" i="104"/>
  <c r="EG47" i="104" s="1"/>
  <c r="FA47" i="104" s="1"/>
  <c r="CN15" i="104"/>
  <c r="EK15" i="104" s="1"/>
  <c r="BV8" i="104"/>
  <c r="DS8" i="104" s="1"/>
  <c r="EY8" i="104" s="1"/>
  <c r="CM11" i="104"/>
  <c r="EJ11" i="104" s="1"/>
  <c r="FL58" i="104"/>
  <c r="BO33" i="104"/>
  <c r="DL33" i="104" s="1"/>
  <c r="EX33" i="104" s="1"/>
  <c r="BO36" i="104"/>
  <c r="DL36" i="104" s="1"/>
  <c r="EX36" i="104" s="1"/>
  <c r="BV58" i="104"/>
  <c r="DS58" i="104" s="1"/>
  <c r="EY58" i="104" s="1"/>
  <c r="CX46" i="104"/>
  <c r="EU46" i="104" s="1"/>
  <c r="FC46" i="104" s="1"/>
  <c r="BV11" i="104"/>
  <c r="DS11" i="104" s="1"/>
  <c r="EY11" i="104" s="1"/>
  <c r="BV33" i="104"/>
  <c r="DS33" i="104" s="1"/>
  <c r="EY33" i="104" s="1"/>
  <c r="CX45" i="104"/>
  <c r="EU45" i="104" s="1"/>
  <c r="FC45" i="104" s="1"/>
  <c r="CX7" i="104"/>
  <c r="EU7" i="104" s="1"/>
  <c r="FC7" i="104" s="1"/>
  <c r="BV9" i="104"/>
  <c r="DS9" i="104" s="1"/>
  <c r="EY9" i="104" s="1"/>
  <c r="BV14" i="104"/>
  <c r="DS14" i="104" s="1"/>
  <c r="EY14" i="104" s="1"/>
  <c r="BV12" i="104"/>
  <c r="DS12" i="104" s="1"/>
  <c r="EY12" i="104" s="1"/>
  <c r="BV44" i="104"/>
  <c r="DS44" i="104" s="1"/>
  <c r="EY44" i="104" s="1"/>
  <c r="BO8" i="104"/>
  <c r="DL8" i="104" s="1"/>
  <c r="EX8" i="104" s="1"/>
  <c r="BV10" i="104"/>
  <c r="DS10" i="104" s="1"/>
  <c r="EY10" i="104" s="1"/>
  <c r="BO48" i="104"/>
  <c r="DL48" i="104" s="1"/>
  <c r="EX48" i="104" s="1"/>
  <c r="BO43" i="104"/>
  <c r="DL43" i="104" s="1"/>
  <c r="EX43" i="104" s="1"/>
  <c r="BV43" i="104"/>
  <c r="DS43" i="104" s="1"/>
  <c r="EY43" i="104" s="1"/>
  <c r="BV13" i="104"/>
  <c r="DS13" i="104" s="1"/>
  <c r="EY13" i="104" s="1"/>
  <c r="BV31" i="104"/>
  <c r="DS31" i="104" s="1"/>
  <c r="EY31" i="104" s="1"/>
  <c r="BV46" i="104"/>
  <c r="DS46" i="104" s="1"/>
  <c r="EY46" i="104" s="1"/>
  <c r="CX8" i="104"/>
  <c r="EU8" i="104" s="1"/>
  <c r="FC8" i="104" s="1"/>
  <c r="CX33" i="104"/>
  <c r="EU33" i="104" s="1"/>
  <c r="FC33" i="104" s="1"/>
  <c r="BV45" i="104"/>
  <c r="DS45" i="104" s="1"/>
  <c r="EY45" i="104" s="1"/>
  <c r="BO34" i="104"/>
  <c r="DL34" i="104" s="1"/>
  <c r="EX34" i="104" s="1"/>
  <c r="BO10" i="104"/>
  <c r="DL10" i="104" s="1"/>
  <c r="EX10" i="104" s="1"/>
  <c r="BV39" i="104"/>
  <c r="DS39" i="104" s="1"/>
  <c r="EY39" i="104" s="1"/>
  <c r="BV47" i="104"/>
  <c r="DS47" i="104" s="1"/>
  <c r="EY47" i="104" s="1"/>
  <c r="BV42" i="104"/>
  <c r="DS42" i="104" s="1"/>
  <c r="EY42" i="104" s="1"/>
  <c r="BV15" i="104"/>
  <c r="DS15" i="104" s="1"/>
  <c r="EY15" i="104" s="1"/>
  <c r="BO44" i="104"/>
  <c r="DL44" i="104" s="1"/>
  <c r="EX44" i="104" s="1"/>
  <c r="BO31" i="104"/>
  <c r="DL31" i="104" s="1"/>
  <c r="EX31" i="104" s="1"/>
  <c r="FG31" i="104" s="1"/>
  <c r="BV16" i="104"/>
  <c r="DS16" i="104" s="1"/>
  <c r="EY16" i="104" s="1"/>
  <c r="BV49" i="104"/>
  <c r="DS49" i="104" s="1"/>
  <c r="EY49" i="104" s="1"/>
  <c r="CX44" i="104"/>
  <c r="EU44" i="104" s="1"/>
  <c r="FC44" i="104" s="1"/>
  <c r="CX42" i="104"/>
  <c r="EU42" i="104" s="1"/>
  <c r="FC42" i="104" s="1"/>
  <c r="BV36" i="104"/>
  <c r="DS36" i="104" s="1"/>
  <c r="EY36" i="104" s="1"/>
  <c r="BV17" i="104"/>
  <c r="DS17" i="104" s="1"/>
  <c r="EY17" i="104" s="1"/>
  <c r="BO7" i="104"/>
  <c r="DL7" i="104" s="1"/>
  <c r="EX7" i="104" s="1"/>
  <c r="BO32" i="104"/>
  <c r="DL32" i="104" s="1"/>
  <c r="BO40" i="104"/>
  <c r="DL40" i="104" s="1"/>
  <c r="EX40" i="104" s="1"/>
  <c r="CX10" i="104"/>
  <c r="EU10" i="104" s="1"/>
  <c r="FC10" i="104" s="1"/>
  <c r="BO38" i="104"/>
  <c r="DL38" i="104" s="1"/>
  <c r="EX38" i="104" s="1"/>
  <c r="BV40" i="104"/>
  <c r="DS40" i="104" s="1"/>
  <c r="EY40" i="104" s="1"/>
  <c r="BV32" i="104"/>
  <c r="DS32" i="104" s="1"/>
  <c r="EY32" i="104" s="1"/>
  <c r="BV7" i="104"/>
  <c r="DS7" i="104" s="1"/>
  <c r="EY7" i="104" s="1"/>
  <c r="BV48" i="104"/>
  <c r="DS48" i="104" s="1"/>
  <c r="EY48" i="104" s="1"/>
  <c r="CX47" i="104"/>
  <c r="EU47" i="104" s="1"/>
  <c r="FC47" i="104" s="1"/>
  <c r="BV38" i="104"/>
  <c r="DS38" i="104" s="1"/>
  <c r="EY38" i="104" s="1"/>
  <c r="CX48" i="104"/>
  <c r="EU48" i="104" s="1"/>
  <c r="FC48" i="104" s="1"/>
  <c r="BV34" i="104"/>
  <c r="DS34" i="104" s="1"/>
  <c r="EY34" i="104" s="1"/>
  <c r="BV18" i="104"/>
  <c r="DS18" i="104" s="1"/>
  <c r="EY18" i="104" s="1"/>
  <c r="CX43" i="104"/>
  <c r="EU43" i="104" s="1"/>
  <c r="FC43" i="104" s="1"/>
  <c r="BO39" i="104"/>
  <c r="DL39" i="104" s="1"/>
  <c r="EX39" i="104" s="1"/>
  <c r="BV35" i="104"/>
  <c r="DS35" i="104" s="1"/>
  <c r="EY35" i="104" s="1"/>
  <c r="CU127" i="104"/>
  <c r="ER127" i="104" s="1"/>
  <c r="BL127" i="104"/>
  <c r="DI127" i="104" s="1"/>
  <c r="CU69" i="104"/>
  <c r="ER69" i="104" s="1"/>
  <c r="CQ48" i="104"/>
  <c r="EN48" i="104" s="1"/>
  <c r="FB48" i="104" s="1"/>
  <c r="CG16" i="104"/>
  <c r="ED16" i="104" s="1"/>
  <c r="BL126" i="104"/>
  <c r="DI126" i="104" s="1"/>
  <c r="CQ42" i="104"/>
  <c r="EN42" i="104" s="1"/>
  <c r="FB42" i="104" s="1"/>
  <c r="BO57" i="104"/>
  <c r="BG128" i="104"/>
  <c r="DD128" i="104" s="1"/>
  <c r="BE128" i="104"/>
  <c r="DB128" i="104" s="1"/>
  <c r="CN75" i="104"/>
  <c r="EK75" i="104" s="1"/>
  <c r="CN69" i="104"/>
  <c r="EK69" i="104" s="1"/>
  <c r="CN126" i="104"/>
  <c r="EK126" i="104" s="1"/>
  <c r="CQ44" i="104"/>
  <c r="EN44" i="104" s="1"/>
  <c r="FB44" i="104" s="1"/>
  <c r="CO17" i="104"/>
  <c r="EL17" i="104" s="1"/>
  <c r="CQ28" i="104"/>
  <c r="CJ8" i="104"/>
  <c r="EG8" i="104" s="1"/>
  <c r="FA8" i="104" s="1"/>
  <c r="CX17" i="104"/>
  <c r="EU17" i="104" s="1"/>
  <c r="FC17" i="104" s="1"/>
  <c r="BG131" i="104"/>
  <c r="DD131" i="104" s="1"/>
  <c r="BE131" i="104"/>
  <c r="DB131" i="104" s="1"/>
  <c r="CN131" i="104"/>
  <c r="EK131" i="104" s="1"/>
  <c r="CG127" i="104"/>
  <c r="ED127" i="104" s="1"/>
  <c r="CU125" i="104"/>
  <c r="ER125" i="104" s="1"/>
  <c r="CU70" i="104"/>
  <c r="ER70" i="104" s="1"/>
  <c r="BG132" i="104"/>
  <c r="DD132" i="104" s="1"/>
  <c r="BE132" i="104"/>
  <c r="DB132" i="104" s="1"/>
  <c r="CN128" i="104"/>
  <c r="EK128" i="104" s="1"/>
  <c r="CU132" i="104"/>
  <c r="ER132" i="104" s="1"/>
  <c r="CQ8" i="104"/>
  <c r="EN8" i="104" s="1"/>
  <c r="FB8" i="104" s="1"/>
  <c r="CO13" i="104"/>
  <c r="EL13" i="104" s="1"/>
  <c r="CX12" i="104"/>
  <c r="EU12" i="104" s="1"/>
  <c r="FC12" i="104" s="1"/>
  <c r="CJ33" i="104"/>
  <c r="EG33" i="104" s="1"/>
  <c r="FA33" i="104" s="1"/>
  <c r="BO60" i="104"/>
  <c r="CX11" i="104"/>
  <c r="EU11" i="104" s="1"/>
  <c r="FC11" i="104" s="1"/>
  <c r="CU71" i="104"/>
  <c r="ER71" i="104" s="1"/>
  <c r="CN72" i="104"/>
  <c r="EK72" i="104" s="1"/>
  <c r="BL70" i="104"/>
  <c r="DI70" i="104" s="1"/>
  <c r="CN127" i="104"/>
  <c r="EK127" i="104" s="1"/>
  <c r="CN74" i="104"/>
  <c r="EK74" i="104" s="1"/>
  <c r="CU68" i="104"/>
  <c r="ER68" i="104" s="1"/>
  <c r="CJ28" i="104"/>
  <c r="BG71" i="104"/>
  <c r="DD71" i="104" s="1"/>
  <c r="BE71" i="104"/>
  <c r="DB71" i="104" s="1"/>
  <c r="BG127" i="104"/>
  <c r="DD127" i="104" s="1"/>
  <c r="BE127" i="104"/>
  <c r="DB127" i="104" s="1"/>
  <c r="BL132" i="104"/>
  <c r="DI132" i="104" s="1"/>
  <c r="CQ7" i="104"/>
  <c r="EN7" i="104" s="1"/>
  <c r="FB7" i="104" s="1"/>
  <c r="CU131" i="104"/>
  <c r="ER131" i="104" s="1"/>
  <c r="CN132" i="104"/>
  <c r="EK132" i="104" s="1"/>
  <c r="CG71" i="104"/>
  <c r="ED71" i="104" s="1"/>
  <c r="BO61" i="104"/>
  <c r="CN70" i="104"/>
  <c r="EK70" i="104" s="1"/>
  <c r="BL75" i="104"/>
  <c r="DI75" i="104" s="1"/>
  <c r="CG70" i="104"/>
  <c r="ED70" i="104" s="1"/>
  <c r="BL129" i="104"/>
  <c r="DI129" i="104" s="1"/>
  <c r="BL125" i="104"/>
  <c r="DI125" i="104" s="1"/>
  <c r="BL74" i="104"/>
  <c r="DI74" i="104" s="1"/>
  <c r="BG129" i="104"/>
  <c r="DD129" i="104" s="1"/>
  <c r="BE129" i="104"/>
  <c r="DB129" i="104" s="1"/>
  <c r="CN129" i="104"/>
  <c r="EK129" i="104" s="1"/>
  <c r="CH18" i="104"/>
  <c r="EE18" i="104" s="1"/>
  <c r="CG11" i="104"/>
  <c r="ED11" i="104" s="1"/>
  <c r="CG75" i="104"/>
  <c r="ED75" i="104" s="1"/>
  <c r="CG69" i="104"/>
  <c r="ED69" i="104" s="1"/>
  <c r="BO12" i="104"/>
  <c r="DL12" i="104" s="1"/>
  <c r="EX12" i="104" s="1"/>
  <c r="CJ45" i="104"/>
  <c r="EG45" i="104" s="1"/>
  <c r="FA45" i="104" s="1"/>
  <c r="CJ49" i="104"/>
  <c r="EG49" i="104" s="1"/>
  <c r="FA49" i="104" s="1"/>
  <c r="BG75" i="104"/>
  <c r="DD75" i="104" s="1"/>
  <c r="BE75" i="104"/>
  <c r="DB75" i="104" s="1"/>
  <c r="CX16" i="104"/>
  <c r="EU16" i="104" s="1"/>
  <c r="FC16" i="104" s="1"/>
  <c r="CU72" i="104"/>
  <c r="ER72" i="104" s="1"/>
  <c r="BL72" i="104"/>
  <c r="DI72" i="104" s="1"/>
  <c r="BL68" i="104"/>
  <c r="DI68" i="104" s="1"/>
  <c r="BG70" i="104"/>
  <c r="DD70" i="104" s="1"/>
  <c r="BE70" i="104"/>
  <c r="DB70" i="104" s="1"/>
  <c r="CX13" i="104"/>
  <c r="EU13" i="104" s="1"/>
  <c r="FC13" i="104" s="1"/>
  <c r="CJ48" i="104"/>
  <c r="EG48" i="104" s="1"/>
  <c r="FA48" i="104" s="1"/>
  <c r="CU74" i="104"/>
  <c r="ER74" i="104" s="1"/>
  <c r="BL128" i="104"/>
  <c r="DI128" i="104" s="1"/>
  <c r="CX15" i="104"/>
  <c r="EU15" i="104" s="1"/>
  <c r="FC15" i="104" s="1"/>
  <c r="CG72" i="104"/>
  <c r="ED72" i="104" s="1"/>
  <c r="CH12" i="104"/>
  <c r="EE12" i="104" s="1"/>
  <c r="CJ42" i="104"/>
  <c r="EG42" i="104" s="1"/>
  <c r="FA42" i="104" s="1"/>
  <c r="CN71" i="104"/>
  <c r="EK71" i="104" s="1"/>
  <c r="BL131" i="104"/>
  <c r="DI131" i="104" s="1"/>
  <c r="CU73" i="104"/>
  <c r="ER73" i="104" s="1"/>
  <c r="CG126" i="104"/>
  <c r="ED126" i="104" s="1"/>
  <c r="BO51" i="104"/>
  <c r="CJ43" i="104"/>
  <c r="EG43" i="104" s="1"/>
  <c r="FA43" i="104" s="1"/>
  <c r="CG132" i="104"/>
  <c r="ED132" i="104" s="1"/>
  <c r="CO14" i="104"/>
  <c r="EL14" i="104" s="1"/>
  <c r="BG69" i="104"/>
  <c r="DD69" i="104" s="1"/>
  <c r="BE69" i="104"/>
  <c r="DB69" i="104" s="1"/>
  <c r="BL69" i="104"/>
  <c r="DI69" i="104" s="1"/>
  <c r="CG128" i="104"/>
  <c r="ED128" i="104" s="1"/>
  <c r="CU75" i="104"/>
  <c r="ER75" i="104" s="1"/>
  <c r="CU126" i="104"/>
  <c r="ER126" i="104" s="1"/>
  <c r="CG129" i="104"/>
  <c r="ED129" i="104" s="1"/>
  <c r="BG74" i="104"/>
  <c r="DD74" i="104" s="1"/>
  <c r="BE74" i="104"/>
  <c r="DB74" i="104" s="1"/>
  <c r="CH14" i="104"/>
  <c r="EE14" i="104" s="1"/>
  <c r="BL71" i="104"/>
  <c r="DI71" i="104" s="1"/>
  <c r="CU128" i="104"/>
  <c r="ER128" i="104" s="1"/>
  <c r="CH13" i="104"/>
  <c r="EE13" i="104" s="1"/>
  <c r="CQ49" i="104"/>
  <c r="EN49" i="104" s="1"/>
  <c r="FB49" i="104" s="1"/>
  <c r="BL130" i="104"/>
  <c r="DI130" i="104" s="1"/>
  <c r="CQ45" i="104"/>
  <c r="EN45" i="104" s="1"/>
  <c r="FB45" i="104" s="1"/>
  <c r="CG131" i="104"/>
  <c r="ED131" i="104" s="1"/>
  <c r="CG74" i="104"/>
  <c r="ED74" i="104" s="1"/>
  <c r="BO11" i="104"/>
  <c r="DL11" i="104" s="1"/>
  <c r="EX11" i="104" s="1"/>
  <c r="CH17" i="104"/>
  <c r="EE17" i="104" s="1"/>
  <c r="BG72" i="104"/>
  <c r="DD72" i="104" s="1"/>
  <c r="BE72" i="104"/>
  <c r="DB72" i="104" s="1"/>
  <c r="CH15" i="104"/>
  <c r="EE15" i="104" s="1"/>
  <c r="CX14" i="104"/>
  <c r="EU14" i="104" s="1"/>
  <c r="FC14" i="104" s="1"/>
  <c r="BL73" i="104"/>
  <c r="DI73" i="104" s="1"/>
  <c r="CU129" i="104"/>
  <c r="ER129" i="104" s="1"/>
  <c r="BG126" i="104"/>
  <c r="DD126" i="104" s="1"/>
  <c r="BE126" i="104"/>
  <c r="DB126" i="104" s="1"/>
  <c r="CU130" i="104"/>
  <c r="ER130" i="104" s="1"/>
  <c r="CQ46" i="104"/>
  <c r="EN46" i="104" s="1"/>
  <c r="FB46" i="104" s="1"/>
  <c r="CQ47" i="104"/>
  <c r="EN47" i="104" s="1"/>
  <c r="FB47" i="104" s="1"/>
  <c r="CQ61" i="104"/>
  <c r="AA144" i="104"/>
  <c r="AA87" i="104"/>
  <c r="G82" i="135"/>
  <c r="G95" i="135"/>
  <c r="G108" i="133"/>
  <c r="FA7" i="104" l="1"/>
  <c r="CN16" i="104"/>
  <c r="EK16" i="104" s="1"/>
  <c r="EX32" i="104"/>
  <c r="FG32" i="104" s="1"/>
  <c r="CC22" i="135"/>
  <c r="CA22" i="135"/>
  <c r="CB22" i="135"/>
  <c r="BZ22" i="135"/>
  <c r="BW22" i="135"/>
  <c r="BY22" i="135"/>
  <c r="BX22" i="135"/>
  <c r="CO18" i="104"/>
  <c r="EL18" i="104" s="1"/>
  <c r="FI14" i="104"/>
  <c r="FI31" i="104"/>
  <c r="FI16" i="104"/>
  <c r="FI58" i="104"/>
  <c r="FI18" i="104"/>
  <c r="FI12" i="104"/>
  <c r="FI13" i="104"/>
  <c r="FI15" i="104"/>
  <c r="FI17" i="104"/>
  <c r="FI32" i="104"/>
  <c r="H96" i="135"/>
  <c r="O96" i="135" s="1"/>
  <c r="N96" i="135"/>
  <c r="H83" i="135"/>
  <c r="O83" i="135" s="1"/>
  <c r="N83" i="135"/>
  <c r="CO12" i="104"/>
  <c r="EL12" i="104" s="1"/>
  <c r="CO15" i="104"/>
  <c r="EL15" i="104" s="1"/>
  <c r="CN11" i="104"/>
  <c r="EK11" i="104" s="1"/>
  <c r="CV129" i="104"/>
  <c r="ES129" i="104" s="1"/>
  <c r="BH72" i="104"/>
  <c r="DE72" i="104" s="1"/>
  <c r="EW72" i="104" s="1"/>
  <c r="BM130" i="104"/>
  <c r="DJ130" i="104" s="1"/>
  <c r="BH126" i="104"/>
  <c r="DE126" i="104" s="1"/>
  <c r="EW126" i="104" s="1"/>
  <c r="CO16" i="104"/>
  <c r="EL16" i="104" s="1"/>
  <c r="CH74" i="104"/>
  <c r="EE74" i="104" s="1"/>
  <c r="CI13" i="104"/>
  <c r="EF13" i="104" s="1"/>
  <c r="CI14" i="104"/>
  <c r="EF14" i="104" s="1"/>
  <c r="CH129" i="104"/>
  <c r="EE129" i="104" s="1"/>
  <c r="CV75" i="104"/>
  <c r="ES75" i="104" s="1"/>
  <c r="CH128" i="104"/>
  <c r="EE128" i="104" s="1"/>
  <c r="CP14" i="104"/>
  <c r="EM14" i="104" s="1"/>
  <c r="CV74" i="104"/>
  <c r="ES74" i="104" s="1"/>
  <c r="CH75" i="104"/>
  <c r="EE75" i="104" s="1"/>
  <c r="CI18" i="104"/>
  <c r="EF18" i="104" s="1"/>
  <c r="BM129" i="104"/>
  <c r="DJ129" i="104" s="1"/>
  <c r="BM75" i="104"/>
  <c r="DJ75" i="104" s="1"/>
  <c r="CO70" i="104"/>
  <c r="EL70" i="104" s="1"/>
  <c r="CH71" i="104"/>
  <c r="EE71" i="104" s="1"/>
  <c r="CV131" i="104"/>
  <c r="ES131" i="104" s="1"/>
  <c r="CV68" i="104"/>
  <c r="ES68" i="104" s="1"/>
  <c r="CO127" i="104"/>
  <c r="EL127" i="104" s="1"/>
  <c r="CO72" i="104"/>
  <c r="EL72" i="104" s="1"/>
  <c r="CO128" i="104"/>
  <c r="EL128" i="104" s="1"/>
  <c r="CP17" i="104"/>
  <c r="EM17" i="104" s="1"/>
  <c r="CO126" i="104"/>
  <c r="EL126" i="104" s="1"/>
  <c r="CO75" i="104"/>
  <c r="EL75" i="104" s="1"/>
  <c r="BM126" i="104"/>
  <c r="DJ126" i="104" s="1"/>
  <c r="BM127" i="104"/>
  <c r="DJ127" i="104" s="1"/>
  <c r="CV127" i="104"/>
  <c r="ES127" i="104" s="1"/>
  <c r="BM73" i="104"/>
  <c r="DJ73" i="104" s="1"/>
  <c r="CI17" i="104"/>
  <c r="EF17" i="104" s="1"/>
  <c r="CV130" i="104"/>
  <c r="ES130" i="104" s="1"/>
  <c r="CI15" i="104"/>
  <c r="EF15" i="104" s="1"/>
  <c r="BM71" i="104"/>
  <c r="DJ71" i="104" s="1"/>
  <c r="CH126" i="104"/>
  <c r="EE126" i="104" s="1"/>
  <c r="BM131" i="104"/>
  <c r="DJ131" i="104" s="1"/>
  <c r="CH72" i="104"/>
  <c r="EE72" i="104" s="1"/>
  <c r="BM68" i="104"/>
  <c r="DJ68" i="104" s="1"/>
  <c r="CV72" i="104"/>
  <c r="ES72" i="104" s="1"/>
  <c r="CH11" i="104"/>
  <c r="EE11" i="104" s="1"/>
  <c r="BH127" i="104"/>
  <c r="DE127" i="104" s="1"/>
  <c r="EW127" i="104" s="1"/>
  <c r="CV70" i="104"/>
  <c r="ES70" i="104" s="1"/>
  <c r="CV125" i="104"/>
  <c r="ES125" i="104" s="1"/>
  <c r="CO131" i="104"/>
  <c r="EL131" i="104" s="1"/>
  <c r="BH128" i="104"/>
  <c r="DE128" i="104" s="1"/>
  <c r="EW128" i="104" s="1"/>
  <c r="CH16" i="104"/>
  <c r="EE16" i="104" s="1"/>
  <c r="CV128" i="104"/>
  <c r="ES128" i="104" s="1"/>
  <c r="CV126" i="104"/>
  <c r="ES126" i="104" s="1"/>
  <c r="BM69" i="104"/>
  <c r="DJ69" i="104" s="1"/>
  <c r="BH69" i="104"/>
  <c r="DE69" i="104" s="1"/>
  <c r="EW69" i="104" s="1"/>
  <c r="CH132" i="104"/>
  <c r="EE132" i="104" s="1"/>
  <c r="CI12" i="104"/>
  <c r="EF12" i="104" s="1"/>
  <c r="BM128" i="104"/>
  <c r="DJ128" i="104" s="1"/>
  <c r="BH75" i="104"/>
  <c r="DE75" i="104" s="1"/>
  <c r="EW75" i="104" s="1"/>
  <c r="CH69" i="104"/>
  <c r="EE69" i="104" s="1"/>
  <c r="CO129" i="104"/>
  <c r="EL129" i="104" s="1"/>
  <c r="BM125" i="104"/>
  <c r="DJ125" i="104" s="1"/>
  <c r="CH70" i="104"/>
  <c r="EE70" i="104" s="1"/>
  <c r="CO132" i="104"/>
  <c r="EL132" i="104" s="1"/>
  <c r="BH71" i="104"/>
  <c r="DE71" i="104" s="1"/>
  <c r="EW71" i="104" s="1"/>
  <c r="CO74" i="104"/>
  <c r="EL74" i="104" s="1"/>
  <c r="BM70" i="104"/>
  <c r="DJ70" i="104" s="1"/>
  <c r="CV71" i="104"/>
  <c r="ES71" i="104" s="1"/>
  <c r="CP13" i="104"/>
  <c r="EM13" i="104" s="1"/>
  <c r="CV132" i="104"/>
  <c r="ES132" i="104" s="1"/>
  <c r="BH132" i="104"/>
  <c r="DE132" i="104" s="1"/>
  <c r="EW132" i="104" s="1"/>
  <c r="CO69" i="104"/>
  <c r="EL69" i="104" s="1"/>
  <c r="CV69" i="104"/>
  <c r="ES69" i="104" s="1"/>
  <c r="CH131" i="104"/>
  <c r="EE131" i="104" s="1"/>
  <c r="BH74" i="104"/>
  <c r="DE74" i="104" s="1"/>
  <c r="EW74" i="104" s="1"/>
  <c r="CV73" i="104"/>
  <c r="ES73" i="104" s="1"/>
  <c r="CO71" i="104"/>
  <c r="EL71" i="104" s="1"/>
  <c r="BH70" i="104"/>
  <c r="DE70" i="104" s="1"/>
  <c r="EW70" i="104" s="1"/>
  <c r="BM72" i="104"/>
  <c r="DJ72" i="104" s="1"/>
  <c r="BH129" i="104"/>
  <c r="DE129" i="104" s="1"/>
  <c r="EW129" i="104" s="1"/>
  <c r="BM74" i="104"/>
  <c r="DJ74" i="104" s="1"/>
  <c r="BM132" i="104"/>
  <c r="DJ132" i="104" s="1"/>
  <c r="CH127" i="104"/>
  <c r="EE127" i="104" s="1"/>
  <c r="BH131" i="104"/>
  <c r="DE131" i="104" s="1"/>
  <c r="EW131" i="104" s="1"/>
  <c r="H95" i="135"/>
  <c r="O95" i="135" s="1"/>
  <c r="N95" i="135"/>
  <c r="H82" i="135"/>
  <c r="O82" i="135" s="1"/>
  <c r="N82" i="135"/>
  <c r="S9" i="104"/>
  <c r="CK9" i="104" s="1"/>
  <c r="EH9" i="104" s="1"/>
  <c r="R9" i="104"/>
  <c r="R10" i="104"/>
  <c r="CD10" i="104" s="1"/>
  <c r="EA10" i="104" s="1"/>
  <c r="R5" i="131"/>
  <c r="R61" i="104"/>
  <c r="R60" i="104"/>
  <c r="S58" i="104"/>
  <c r="S57" i="104"/>
  <c r="R58" i="104"/>
  <c r="CD58" i="104" s="1"/>
  <c r="EA58" i="104" s="1"/>
  <c r="R57" i="104"/>
  <c r="CD57" i="104" s="1"/>
  <c r="CE57" i="104" s="1"/>
  <c r="CF57" i="104" s="1"/>
  <c r="CG57" i="104" s="1"/>
  <c r="CH57" i="104" s="1"/>
  <c r="CI57" i="104" s="1"/>
  <c r="CJ57" i="104" s="1"/>
  <c r="C157" i="132"/>
  <c r="S52" i="104"/>
  <c r="R52" i="104"/>
  <c r="CD52" i="104" s="1"/>
  <c r="CE52" i="104" s="1"/>
  <c r="CF52" i="104" s="1"/>
  <c r="CG52" i="104" s="1"/>
  <c r="CH52" i="104" s="1"/>
  <c r="CI52" i="104" s="1"/>
  <c r="CJ52" i="104" s="1"/>
  <c r="FF12" i="104" l="1"/>
  <c r="CP12" i="104"/>
  <c r="EM12" i="104" s="1"/>
  <c r="CO11" i="104"/>
  <c r="EL11" i="104" s="1"/>
  <c r="CP18" i="104"/>
  <c r="EM18" i="104" s="1"/>
  <c r="FF17" i="104"/>
  <c r="FF13" i="104"/>
  <c r="FF14" i="104"/>
  <c r="O99" i="135"/>
  <c r="N99" i="135"/>
  <c r="S99" i="135" s="1"/>
  <c r="O86" i="135"/>
  <c r="CP15" i="104"/>
  <c r="EM15" i="104" s="1"/>
  <c r="CE58" i="104"/>
  <c r="EB58" i="104" s="1"/>
  <c r="CL9" i="104"/>
  <c r="EI9" i="104" s="1"/>
  <c r="CK52" i="104"/>
  <c r="CL52" i="104" s="1"/>
  <c r="CM52" i="104" s="1"/>
  <c r="CN52" i="104" s="1"/>
  <c r="CO52" i="104" s="1"/>
  <c r="CP52" i="104" s="1"/>
  <c r="CQ52" i="104" s="1"/>
  <c r="CK57" i="104"/>
  <c r="CL57" i="104" s="1"/>
  <c r="CM57" i="104" s="1"/>
  <c r="CN57" i="104" s="1"/>
  <c r="CO57" i="104" s="1"/>
  <c r="CP57" i="104" s="1"/>
  <c r="CQ57" i="104" s="1"/>
  <c r="CK58" i="104"/>
  <c r="EH58" i="104" s="1"/>
  <c r="CD60" i="104"/>
  <c r="CE60" i="104" s="1"/>
  <c r="CF60" i="104" s="1"/>
  <c r="CG60" i="104" s="1"/>
  <c r="CH60" i="104" s="1"/>
  <c r="CI60" i="104" s="1"/>
  <c r="CJ60" i="104" s="1"/>
  <c r="CD61" i="104"/>
  <c r="CE61" i="104" s="1"/>
  <c r="CF61" i="104" s="1"/>
  <c r="CG61" i="104" s="1"/>
  <c r="CH61" i="104" s="1"/>
  <c r="CI61" i="104" s="1"/>
  <c r="CJ61" i="104" s="1"/>
  <c r="FF15" i="104"/>
  <c r="CE10" i="104"/>
  <c r="EB10" i="104" s="1"/>
  <c r="FF18" i="104"/>
  <c r="CD9" i="104"/>
  <c r="EA9" i="104" s="1"/>
  <c r="CP71" i="104"/>
  <c r="EM71" i="104" s="1"/>
  <c r="CW69" i="104"/>
  <c r="ET69" i="104" s="1"/>
  <c r="CW132" i="104"/>
  <c r="ET132" i="104" s="1"/>
  <c r="CP74" i="104"/>
  <c r="EM74" i="104" s="1"/>
  <c r="BN69" i="104"/>
  <c r="DK69" i="104" s="1"/>
  <c r="CQ17" i="104"/>
  <c r="EN17" i="104" s="1"/>
  <c r="FB17" i="104" s="1"/>
  <c r="CJ18" i="104"/>
  <c r="EG18" i="104" s="1"/>
  <c r="FA18" i="104" s="1"/>
  <c r="CQ13" i="104"/>
  <c r="EN13" i="104" s="1"/>
  <c r="FB13" i="104" s="1"/>
  <c r="BN70" i="104"/>
  <c r="DK70" i="104" s="1"/>
  <c r="CI69" i="104"/>
  <c r="EF69" i="104" s="1"/>
  <c r="CQ12" i="104"/>
  <c r="EN12" i="104" s="1"/>
  <c r="FB12" i="104" s="1"/>
  <c r="CJ12" i="104"/>
  <c r="EG12" i="104" s="1"/>
  <c r="FA12" i="104" s="1"/>
  <c r="CW128" i="104"/>
  <c r="ET128" i="104" s="1"/>
  <c r="CP131" i="104"/>
  <c r="EM131" i="104" s="1"/>
  <c r="CW70" i="104"/>
  <c r="ET70" i="104" s="1"/>
  <c r="CI11" i="104"/>
  <c r="EF11" i="104" s="1"/>
  <c r="BN68" i="104"/>
  <c r="DK68" i="104" s="1"/>
  <c r="CJ15" i="104"/>
  <c r="EG15" i="104" s="1"/>
  <c r="FA15" i="104" s="1"/>
  <c r="CJ17" i="104"/>
  <c r="EG17" i="104" s="1"/>
  <c r="FA17" i="104" s="1"/>
  <c r="CP75" i="104"/>
  <c r="EM75" i="104" s="1"/>
  <c r="CI71" i="104"/>
  <c r="EF71" i="104" s="1"/>
  <c r="CI74" i="104"/>
  <c r="EF74" i="104" s="1"/>
  <c r="BN132" i="104"/>
  <c r="DK132" i="104" s="1"/>
  <c r="CW71" i="104"/>
  <c r="ET71" i="104" s="1"/>
  <c r="CP132" i="104"/>
  <c r="EM132" i="104" s="1"/>
  <c r="CI16" i="104"/>
  <c r="EF16" i="104" s="1"/>
  <c r="BN131" i="104"/>
  <c r="DK131" i="104" s="1"/>
  <c r="BN71" i="104"/>
  <c r="DK71" i="104" s="1"/>
  <c r="CW130" i="104"/>
  <c r="ET130" i="104" s="1"/>
  <c r="CP72" i="104"/>
  <c r="EM72" i="104" s="1"/>
  <c r="CW68" i="104"/>
  <c r="ET68" i="104" s="1"/>
  <c r="BN75" i="104"/>
  <c r="DK75" i="104" s="1"/>
  <c r="CI127" i="104"/>
  <c r="EF127" i="104" s="1"/>
  <c r="CW73" i="104"/>
  <c r="ET73" i="104" s="1"/>
  <c r="CI131" i="104"/>
  <c r="EF131" i="104" s="1"/>
  <c r="CI70" i="104"/>
  <c r="EF70" i="104" s="1"/>
  <c r="CP129" i="104"/>
  <c r="EM129" i="104" s="1"/>
  <c r="CI72" i="104"/>
  <c r="EF72" i="104" s="1"/>
  <c r="BN73" i="104"/>
  <c r="DK73" i="104" s="1"/>
  <c r="CW127" i="104"/>
  <c r="ET127" i="104" s="1"/>
  <c r="CP128" i="104"/>
  <c r="EM128" i="104" s="1"/>
  <c r="CP127" i="104"/>
  <c r="EM127" i="104" s="1"/>
  <c r="BN129" i="104"/>
  <c r="DK129" i="104" s="1"/>
  <c r="CQ18" i="104"/>
  <c r="EN18" i="104" s="1"/>
  <c r="FB18" i="104" s="1"/>
  <c r="CI128" i="104"/>
  <c r="EF128" i="104" s="1"/>
  <c r="CI129" i="104"/>
  <c r="EF129" i="104" s="1"/>
  <c r="CJ14" i="104"/>
  <c r="EG14" i="104" s="1"/>
  <c r="FA14" i="104" s="1"/>
  <c r="BN74" i="104"/>
  <c r="DK74" i="104" s="1"/>
  <c r="BN72" i="104"/>
  <c r="DK72" i="104" s="1"/>
  <c r="CP69" i="104"/>
  <c r="EM69" i="104" s="1"/>
  <c r="BN125" i="104"/>
  <c r="DK125" i="104" s="1"/>
  <c r="BN128" i="104"/>
  <c r="DK128" i="104" s="1"/>
  <c r="CI132" i="104"/>
  <c r="EF132" i="104" s="1"/>
  <c r="CW126" i="104"/>
  <c r="ET126" i="104" s="1"/>
  <c r="CW125" i="104"/>
  <c r="ET125" i="104" s="1"/>
  <c r="CW72" i="104"/>
  <c r="ET72" i="104" s="1"/>
  <c r="CI126" i="104"/>
  <c r="EF126" i="104" s="1"/>
  <c r="BN127" i="104"/>
  <c r="DK127" i="104" s="1"/>
  <c r="BN126" i="104"/>
  <c r="DK126" i="104" s="1"/>
  <c r="CP126" i="104"/>
  <c r="EM126" i="104" s="1"/>
  <c r="CW131" i="104"/>
  <c r="ET131" i="104" s="1"/>
  <c r="CP70" i="104"/>
  <c r="EM70" i="104" s="1"/>
  <c r="CI75" i="104"/>
  <c r="EF75" i="104" s="1"/>
  <c r="CW74" i="104"/>
  <c r="ET74" i="104" s="1"/>
  <c r="CQ14" i="104"/>
  <c r="EN14" i="104" s="1"/>
  <c r="FB14" i="104" s="1"/>
  <c r="CJ13" i="104"/>
  <c r="EG13" i="104" s="1"/>
  <c r="FA13" i="104" s="1"/>
  <c r="CP16" i="104"/>
  <c r="EM16" i="104" s="1"/>
  <c r="CW129" i="104"/>
  <c r="ET129" i="104" s="1"/>
  <c r="CW75" i="104"/>
  <c r="ET75" i="104" s="1"/>
  <c r="BN130" i="104"/>
  <c r="DK130" i="104" s="1"/>
  <c r="S115" i="104"/>
  <c r="CK115" i="104" s="1"/>
  <c r="EH115" i="104" s="1"/>
  <c r="S172" i="104"/>
  <c r="CK172" i="104" s="1"/>
  <c r="EH172" i="104" s="1"/>
  <c r="R123" i="104"/>
  <c r="CD123" i="104" s="1"/>
  <c r="EA123" i="104" s="1"/>
  <c r="R66" i="104"/>
  <c r="CD66" i="104" s="1"/>
  <c r="EA66" i="104" s="1"/>
  <c r="S123" i="104"/>
  <c r="CK123" i="104" s="1"/>
  <c r="EH123" i="104" s="1"/>
  <c r="S66" i="104"/>
  <c r="CK66" i="104" s="1"/>
  <c r="EH66" i="104" s="1"/>
  <c r="R171" i="104"/>
  <c r="CD171" i="104" s="1"/>
  <c r="CE171" i="104" s="1"/>
  <c r="CF171" i="104" s="1"/>
  <c r="CG171" i="104" s="1"/>
  <c r="CH171" i="104" s="1"/>
  <c r="CI171" i="104" s="1"/>
  <c r="CJ171" i="104" s="1"/>
  <c r="R114" i="104"/>
  <c r="CD114" i="104" s="1"/>
  <c r="CE114" i="104" s="1"/>
  <c r="CF114" i="104" s="1"/>
  <c r="CG114" i="104" s="1"/>
  <c r="CH114" i="104" s="1"/>
  <c r="CI114" i="104" s="1"/>
  <c r="CJ114" i="104" s="1"/>
  <c r="R122" i="104"/>
  <c r="CD122" i="104" s="1"/>
  <c r="EA122" i="104" s="1"/>
  <c r="R65" i="104"/>
  <c r="CD65" i="104" s="1"/>
  <c r="EA65" i="104" s="1"/>
  <c r="T52" i="104"/>
  <c r="CR52" i="104" s="1"/>
  <c r="CS52" i="104" s="1"/>
  <c r="CT52" i="104" s="1"/>
  <c r="CU52" i="104" s="1"/>
  <c r="CV52" i="104" s="1"/>
  <c r="CW52" i="104" s="1"/>
  <c r="CX52" i="104" s="1"/>
  <c r="R166" i="104"/>
  <c r="CD166" i="104" s="1"/>
  <c r="CE166" i="104" s="1"/>
  <c r="CF166" i="104" s="1"/>
  <c r="CG166" i="104" s="1"/>
  <c r="CH166" i="104" s="1"/>
  <c r="CI166" i="104" s="1"/>
  <c r="CJ166" i="104" s="1"/>
  <c r="R109" i="104"/>
  <c r="CD109" i="104" s="1"/>
  <c r="CE109" i="104" s="1"/>
  <c r="CF109" i="104" s="1"/>
  <c r="CG109" i="104" s="1"/>
  <c r="CH109" i="104" s="1"/>
  <c r="CI109" i="104" s="1"/>
  <c r="CJ109" i="104" s="1"/>
  <c r="S166" i="104"/>
  <c r="CK166" i="104" s="1"/>
  <c r="CL166" i="104" s="1"/>
  <c r="CM166" i="104" s="1"/>
  <c r="CN166" i="104" s="1"/>
  <c r="CO166" i="104" s="1"/>
  <c r="CP166" i="104" s="1"/>
  <c r="CQ166" i="104" s="1"/>
  <c r="S109" i="104"/>
  <c r="CK109" i="104" s="1"/>
  <c r="CL109" i="104" s="1"/>
  <c r="CM109" i="104" s="1"/>
  <c r="CN109" i="104" s="1"/>
  <c r="CO109" i="104" s="1"/>
  <c r="CP109" i="104" s="1"/>
  <c r="CQ109" i="104" s="1"/>
  <c r="R174" i="104"/>
  <c r="CD174" i="104" s="1"/>
  <c r="CE174" i="104" s="1"/>
  <c r="CF174" i="104" s="1"/>
  <c r="CG174" i="104" s="1"/>
  <c r="CH174" i="104" s="1"/>
  <c r="CI174" i="104" s="1"/>
  <c r="CJ174" i="104" s="1"/>
  <c r="R117" i="104"/>
  <c r="CD117" i="104" s="1"/>
  <c r="CE117" i="104" s="1"/>
  <c r="CF117" i="104" s="1"/>
  <c r="CG117" i="104" s="1"/>
  <c r="CH117" i="104" s="1"/>
  <c r="CI117" i="104" s="1"/>
  <c r="CJ117" i="104" s="1"/>
  <c r="R121" i="104"/>
  <c r="CD121" i="104" s="1"/>
  <c r="EA121" i="104" s="1"/>
  <c r="R64" i="104"/>
  <c r="CD64" i="104" s="1"/>
  <c r="EA64" i="104" s="1"/>
  <c r="S171" i="104"/>
  <c r="CK171" i="104" s="1"/>
  <c r="CL171" i="104" s="1"/>
  <c r="CM171" i="104" s="1"/>
  <c r="CN171" i="104" s="1"/>
  <c r="CO171" i="104" s="1"/>
  <c r="CP171" i="104" s="1"/>
  <c r="CQ171" i="104" s="1"/>
  <c r="S114" i="104"/>
  <c r="CK114" i="104" s="1"/>
  <c r="CL114" i="104" s="1"/>
  <c r="CM114" i="104" s="1"/>
  <c r="CN114" i="104" s="1"/>
  <c r="CO114" i="104" s="1"/>
  <c r="CP114" i="104" s="1"/>
  <c r="CQ114" i="104" s="1"/>
  <c r="S122" i="104"/>
  <c r="CK122" i="104" s="1"/>
  <c r="EH122" i="104" s="1"/>
  <c r="S65" i="104"/>
  <c r="CK65" i="104" s="1"/>
  <c r="EH65" i="104" s="1"/>
  <c r="R172" i="104"/>
  <c r="CD172" i="104" s="1"/>
  <c r="EA172" i="104" s="1"/>
  <c r="R115" i="104"/>
  <c r="CD115" i="104" s="1"/>
  <c r="EA115" i="104" s="1"/>
  <c r="R175" i="104"/>
  <c r="CD175" i="104" s="1"/>
  <c r="CE175" i="104" s="1"/>
  <c r="CF175" i="104" s="1"/>
  <c r="CG175" i="104" s="1"/>
  <c r="CH175" i="104" s="1"/>
  <c r="CI175" i="104" s="1"/>
  <c r="CJ175" i="104" s="1"/>
  <c r="R118" i="104"/>
  <c r="CD118" i="104" s="1"/>
  <c r="CE118" i="104" s="1"/>
  <c r="CF118" i="104" s="1"/>
  <c r="CG118" i="104" s="1"/>
  <c r="CH118" i="104" s="1"/>
  <c r="CI118" i="104" s="1"/>
  <c r="CJ118" i="104" s="1"/>
  <c r="R67" i="104"/>
  <c r="CD67" i="104" s="1"/>
  <c r="EA67" i="104" s="1"/>
  <c r="R124" i="104"/>
  <c r="CD124" i="104" s="1"/>
  <c r="EA124" i="104" s="1"/>
  <c r="S64" i="104"/>
  <c r="CK64" i="104" s="1"/>
  <c r="EH64" i="104" s="1"/>
  <c r="S121" i="104"/>
  <c r="CK121" i="104" s="1"/>
  <c r="EH121" i="104" s="1"/>
  <c r="S51" i="104"/>
  <c r="T32" i="104"/>
  <c r="CR32" i="104" s="1"/>
  <c r="EO32" i="104" s="1"/>
  <c r="T31" i="104"/>
  <c r="CR31" i="104" s="1"/>
  <c r="EO31" i="104" s="1"/>
  <c r="R32" i="104"/>
  <c r="CD32" i="104" s="1"/>
  <c r="EA32" i="104" s="1"/>
  <c r="R31" i="104"/>
  <c r="CD31" i="104" s="1"/>
  <c r="EA31" i="104" s="1"/>
  <c r="S32" i="104"/>
  <c r="T50" i="104"/>
  <c r="CR50" i="104" s="1"/>
  <c r="CS50" i="104" s="1"/>
  <c r="CT50" i="104" s="1"/>
  <c r="CU50" i="104" s="1"/>
  <c r="CV50" i="104" s="1"/>
  <c r="CW50" i="104" s="1"/>
  <c r="CX50" i="104" s="1"/>
  <c r="S50" i="104"/>
  <c r="CD50" i="104"/>
  <c r="CE50" i="104" s="1"/>
  <c r="CF50" i="104" s="1"/>
  <c r="CG50" i="104" s="1"/>
  <c r="CH50" i="104" s="1"/>
  <c r="CI50" i="104" s="1"/>
  <c r="CJ50" i="104" s="1"/>
  <c r="BI29" i="104"/>
  <c r="BJ29" i="104" s="1"/>
  <c r="BK29" i="104" s="1"/>
  <c r="BL29" i="104" s="1"/>
  <c r="BM29" i="104" s="1"/>
  <c r="BN29" i="104" s="1"/>
  <c r="BO29" i="104" s="1"/>
  <c r="DF6" i="132"/>
  <c r="M89" i="104"/>
  <c r="J29" i="104"/>
  <c r="BB29" i="104" s="1"/>
  <c r="BC29" i="104" s="1"/>
  <c r="J26" i="104"/>
  <c r="BB26" i="104" s="1"/>
  <c r="BC26" i="104" s="1"/>
  <c r="J25" i="104"/>
  <c r="BB25" i="104" s="1"/>
  <c r="BC25" i="104" s="1"/>
  <c r="J24" i="104"/>
  <c r="BB24" i="104" s="1"/>
  <c r="BC24" i="104" s="1"/>
  <c r="J23" i="104"/>
  <c r="BB23" i="104" s="1"/>
  <c r="BC23" i="104" s="1"/>
  <c r="J22" i="104"/>
  <c r="BB22" i="104" s="1"/>
  <c r="BC22" i="104" s="1"/>
  <c r="J21" i="104"/>
  <c r="BB21" i="104" s="1"/>
  <c r="BC21" i="104" s="1"/>
  <c r="BI28" i="104"/>
  <c r="BJ28" i="104" s="1"/>
  <c r="BK28" i="104" s="1"/>
  <c r="BL28" i="104" s="1"/>
  <c r="BM28" i="104" s="1"/>
  <c r="BN28" i="104" s="1"/>
  <c r="BO28" i="104" s="1"/>
  <c r="H53" i="104"/>
  <c r="H55" i="104"/>
  <c r="H54" i="104"/>
  <c r="G48" i="131"/>
  <c r="E47" i="131"/>
  <c r="E45" i="131"/>
  <c r="E46" i="131"/>
  <c r="E44" i="131"/>
  <c r="E43" i="131"/>
  <c r="E42" i="131"/>
  <c r="E41" i="131"/>
  <c r="E40" i="131"/>
  <c r="E39" i="131"/>
  <c r="E38" i="131"/>
  <c r="E37" i="131"/>
  <c r="E36" i="131"/>
  <c r="CD7" i="135" l="1"/>
  <c r="CE7" i="135" s="1"/>
  <c r="CF7" i="135" s="1"/>
  <c r="CG7" i="135" s="1"/>
  <c r="CH7" i="135" s="1"/>
  <c r="CI7" i="135" s="1"/>
  <c r="CJ7" i="135" s="1"/>
  <c r="S86" i="135"/>
  <c r="AV22" i="135" s="1"/>
  <c r="CP11" i="104"/>
  <c r="EM11" i="104" s="1"/>
  <c r="R7" i="135"/>
  <c r="AV7" i="135"/>
  <c r="AW7" i="135" s="1"/>
  <c r="AV37" i="135"/>
  <c r="AW37" i="135" s="1"/>
  <c r="CQ15" i="104"/>
  <c r="EN15" i="104" s="1"/>
  <c r="FB15" i="104" s="1"/>
  <c r="CK50" i="104"/>
  <c r="CL50" i="104" s="1"/>
  <c r="CM50" i="104" s="1"/>
  <c r="CN50" i="104" s="1"/>
  <c r="CO50" i="104" s="1"/>
  <c r="CP50" i="104" s="1"/>
  <c r="CQ50" i="104" s="1"/>
  <c r="T51" i="104"/>
  <c r="CR51" i="104" s="1"/>
  <c r="CS51" i="104" s="1"/>
  <c r="CT51" i="104" s="1"/>
  <c r="CU51" i="104" s="1"/>
  <c r="CV51" i="104" s="1"/>
  <c r="CW51" i="104" s="1"/>
  <c r="CX51" i="104" s="1"/>
  <c r="CD51" i="104"/>
  <c r="CE51" i="104" s="1"/>
  <c r="CF51" i="104" s="1"/>
  <c r="CG51" i="104" s="1"/>
  <c r="CH51" i="104" s="1"/>
  <c r="CI51" i="104" s="1"/>
  <c r="CJ51" i="104" s="1"/>
  <c r="CK51" i="104"/>
  <c r="CL51" i="104" s="1"/>
  <c r="CM51" i="104" s="1"/>
  <c r="CN51" i="104" s="1"/>
  <c r="CO51" i="104" s="1"/>
  <c r="CP51" i="104" s="1"/>
  <c r="CQ51" i="104" s="1"/>
  <c r="CL58" i="104"/>
  <c r="EI58" i="104" s="1"/>
  <c r="CF58" i="104"/>
  <c r="EC58" i="104" s="1"/>
  <c r="CK31" i="104"/>
  <c r="EH31" i="104" s="1"/>
  <c r="CK32" i="104"/>
  <c r="EH32" i="104" s="1"/>
  <c r="CE31" i="104"/>
  <c r="EB31" i="104" s="1"/>
  <c r="CE32" i="104"/>
  <c r="EB32" i="104" s="1"/>
  <c r="CS31" i="104"/>
  <c r="EP31" i="104" s="1"/>
  <c r="CS32" i="104"/>
  <c r="EP32" i="104" s="1"/>
  <c r="CM9" i="104"/>
  <c r="EJ9" i="104" s="1"/>
  <c r="CF10" i="104"/>
  <c r="EC10" i="104" s="1"/>
  <c r="CE9" i="104"/>
  <c r="EB9" i="104" s="1"/>
  <c r="BD24" i="104"/>
  <c r="BF24" i="104"/>
  <c r="CL66" i="104"/>
  <c r="EI66" i="104" s="1"/>
  <c r="CE124" i="104"/>
  <c r="EB124" i="104" s="1"/>
  <c r="CL123" i="104"/>
  <c r="EI123" i="104" s="1"/>
  <c r="BF26" i="104"/>
  <c r="BD26" i="104"/>
  <c r="CE67" i="104"/>
  <c r="EB67" i="104" s="1"/>
  <c r="CE66" i="104"/>
  <c r="EB66" i="104" s="1"/>
  <c r="BD29" i="104"/>
  <c r="BF29" i="104"/>
  <c r="CE64" i="104"/>
  <c r="EB64" i="104" s="1"/>
  <c r="CE123" i="104"/>
  <c r="EB123" i="104" s="1"/>
  <c r="CE65" i="104"/>
  <c r="EB65" i="104" s="1"/>
  <c r="CE121" i="104"/>
  <c r="EB121" i="104" s="1"/>
  <c r="CE115" i="104"/>
  <c r="EB115" i="104" s="1"/>
  <c r="CE122" i="104"/>
  <c r="EB122" i="104" s="1"/>
  <c r="CL172" i="104"/>
  <c r="EI172" i="104" s="1"/>
  <c r="BD21" i="104"/>
  <c r="BF21" i="104"/>
  <c r="CL115" i="104"/>
  <c r="EI115" i="104" s="1"/>
  <c r="BD22" i="104"/>
  <c r="BF22" i="104"/>
  <c r="CE172" i="104"/>
  <c r="EB172" i="104" s="1"/>
  <c r="BD23" i="104"/>
  <c r="BF23" i="104"/>
  <c r="CL121" i="104"/>
  <c r="EI121" i="104" s="1"/>
  <c r="CL65" i="104"/>
  <c r="EI65" i="104" s="1"/>
  <c r="CL64" i="104"/>
  <c r="EI64" i="104" s="1"/>
  <c r="CL122" i="104"/>
  <c r="EI122" i="104" s="1"/>
  <c r="BD25" i="104"/>
  <c r="BF25" i="104"/>
  <c r="BO130" i="104"/>
  <c r="DL130" i="104" s="1"/>
  <c r="EX130" i="104" s="1"/>
  <c r="BO126" i="104"/>
  <c r="DL126" i="104" s="1"/>
  <c r="EX126" i="104" s="1"/>
  <c r="CX69" i="104"/>
  <c r="EU69" i="104" s="1"/>
  <c r="FC69" i="104" s="1"/>
  <c r="CQ127" i="104"/>
  <c r="EN127" i="104" s="1"/>
  <c r="FB127" i="104" s="1"/>
  <c r="CJ72" i="104"/>
  <c r="EG72" i="104" s="1"/>
  <c r="FA72" i="104" s="1"/>
  <c r="CX68" i="104"/>
  <c r="EU68" i="104" s="1"/>
  <c r="FC68" i="104" s="1"/>
  <c r="BO131" i="104"/>
  <c r="DL131" i="104" s="1"/>
  <c r="EX131" i="104" s="1"/>
  <c r="CX74" i="104"/>
  <c r="EU74" i="104" s="1"/>
  <c r="FC74" i="104" s="1"/>
  <c r="CQ70" i="104"/>
  <c r="EN70" i="104" s="1"/>
  <c r="FB70" i="104" s="1"/>
  <c r="CQ126" i="104"/>
  <c r="EN126" i="104" s="1"/>
  <c r="FB126" i="104" s="1"/>
  <c r="BO127" i="104"/>
  <c r="DL127" i="104" s="1"/>
  <c r="EX127" i="104" s="1"/>
  <c r="CX72" i="104"/>
  <c r="EU72" i="104" s="1"/>
  <c r="FC72" i="104" s="1"/>
  <c r="CX125" i="104"/>
  <c r="EU125" i="104" s="1"/>
  <c r="FC125" i="104" s="1"/>
  <c r="CX126" i="104"/>
  <c r="EU126" i="104" s="1"/>
  <c r="FC126" i="104" s="1"/>
  <c r="CJ132" i="104"/>
  <c r="EG132" i="104" s="1"/>
  <c r="FA132" i="104" s="1"/>
  <c r="BO125" i="104"/>
  <c r="DL125" i="104" s="1"/>
  <c r="EX125" i="104" s="1"/>
  <c r="BO72" i="104"/>
  <c r="DL72" i="104" s="1"/>
  <c r="CJ128" i="104"/>
  <c r="EG128" i="104" s="1"/>
  <c r="FA128" i="104" s="1"/>
  <c r="CQ131" i="104"/>
  <c r="EN131" i="104" s="1"/>
  <c r="FB131" i="104" s="1"/>
  <c r="BO69" i="104"/>
  <c r="DL69" i="104" s="1"/>
  <c r="EX69" i="104" s="1"/>
  <c r="CX132" i="104"/>
  <c r="EU132" i="104" s="1"/>
  <c r="FC132" i="104" s="1"/>
  <c r="CQ71" i="104"/>
  <c r="EN71" i="104" s="1"/>
  <c r="FB71" i="104" s="1"/>
  <c r="CX75" i="104"/>
  <c r="EU75" i="104" s="1"/>
  <c r="FC75" i="104" s="1"/>
  <c r="CX129" i="104"/>
  <c r="EU129" i="104" s="1"/>
  <c r="FC129" i="104" s="1"/>
  <c r="CQ16" i="104"/>
  <c r="EN16" i="104" s="1"/>
  <c r="FB16" i="104" s="1"/>
  <c r="CX131" i="104"/>
  <c r="EU131" i="104" s="1"/>
  <c r="FC131" i="104" s="1"/>
  <c r="CJ126" i="104"/>
  <c r="EG126" i="104" s="1"/>
  <c r="FA126" i="104" s="1"/>
  <c r="BO128" i="104"/>
  <c r="DL128" i="104" s="1"/>
  <c r="EX128" i="104" s="1"/>
  <c r="CQ69" i="104"/>
  <c r="EN69" i="104" s="1"/>
  <c r="FB69" i="104" s="1"/>
  <c r="BO74" i="104"/>
  <c r="DL74" i="104" s="1"/>
  <c r="EX74" i="104" s="1"/>
  <c r="CJ129" i="104"/>
  <c r="EG129" i="104" s="1"/>
  <c r="FA129" i="104" s="1"/>
  <c r="CJ70" i="104"/>
  <c r="EG70" i="104" s="1"/>
  <c r="FA70" i="104" s="1"/>
  <c r="CQ74" i="104"/>
  <c r="EN74" i="104" s="1"/>
  <c r="FB74" i="104" s="1"/>
  <c r="CX127" i="104"/>
  <c r="EU127" i="104" s="1"/>
  <c r="FC127" i="104" s="1"/>
  <c r="CJ127" i="104"/>
  <c r="EG127" i="104" s="1"/>
  <c r="FA127" i="104" s="1"/>
  <c r="CX130" i="104"/>
  <c r="EU130" i="104" s="1"/>
  <c r="FC130" i="104" s="1"/>
  <c r="CQ132" i="104"/>
  <c r="EN132" i="104" s="1"/>
  <c r="FB132" i="104" s="1"/>
  <c r="BO132" i="104"/>
  <c r="DL132" i="104" s="1"/>
  <c r="EX132" i="104" s="1"/>
  <c r="CJ71" i="104"/>
  <c r="EG71" i="104" s="1"/>
  <c r="FA71" i="104" s="1"/>
  <c r="BO68" i="104"/>
  <c r="DL68" i="104" s="1"/>
  <c r="EX68" i="104" s="1"/>
  <c r="CX70" i="104"/>
  <c r="EU70" i="104" s="1"/>
  <c r="FC70" i="104" s="1"/>
  <c r="CX128" i="104"/>
  <c r="EU128" i="104" s="1"/>
  <c r="FC128" i="104" s="1"/>
  <c r="BO70" i="104"/>
  <c r="DL70" i="104" s="1"/>
  <c r="BO129" i="104"/>
  <c r="DL129" i="104" s="1"/>
  <c r="EX129" i="104" s="1"/>
  <c r="CQ128" i="104"/>
  <c r="EN128" i="104" s="1"/>
  <c r="FB128" i="104" s="1"/>
  <c r="BO73" i="104"/>
  <c r="DL73" i="104" s="1"/>
  <c r="CQ129" i="104"/>
  <c r="EN129" i="104" s="1"/>
  <c r="FB129" i="104" s="1"/>
  <c r="CJ131" i="104"/>
  <c r="EG131" i="104" s="1"/>
  <c r="FA131" i="104" s="1"/>
  <c r="CX73" i="104"/>
  <c r="EU73" i="104" s="1"/>
  <c r="FC73" i="104" s="1"/>
  <c r="BO75" i="104"/>
  <c r="DL75" i="104" s="1"/>
  <c r="CQ72" i="104"/>
  <c r="EN72" i="104" s="1"/>
  <c r="FB72" i="104" s="1"/>
  <c r="BO71" i="104"/>
  <c r="DL71" i="104" s="1"/>
  <c r="CJ16" i="104"/>
  <c r="EG16" i="104" s="1"/>
  <c r="FA16" i="104" s="1"/>
  <c r="CX71" i="104"/>
  <c r="EU71" i="104" s="1"/>
  <c r="FC71" i="104" s="1"/>
  <c r="CJ74" i="104"/>
  <c r="EG74" i="104" s="1"/>
  <c r="FA74" i="104" s="1"/>
  <c r="CQ75" i="104"/>
  <c r="EN75" i="104" s="1"/>
  <c r="FB75" i="104" s="1"/>
  <c r="CJ11" i="104"/>
  <c r="EG11" i="104" s="1"/>
  <c r="FA11" i="104" s="1"/>
  <c r="CJ69" i="104"/>
  <c r="EG69" i="104" s="1"/>
  <c r="FA69" i="104" s="1"/>
  <c r="CJ75" i="104"/>
  <c r="EG75" i="104" s="1"/>
  <c r="FA75" i="104" s="1"/>
  <c r="J138" i="104"/>
  <c r="BB138" i="104" s="1"/>
  <c r="BC138" i="104" s="1"/>
  <c r="J81" i="104"/>
  <c r="BB81" i="104" s="1"/>
  <c r="BC81" i="104" s="1"/>
  <c r="T107" i="104"/>
  <c r="CR107" i="104" s="1"/>
  <c r="CS107" i="104" s="1"/>
  <c r="CT107" i="104" s="1"/>
  <c r="CU107" i="104" s="1"/>
  <c r="CV107" i="104" s="1"/>
  <c r="CW107" i="104" s="1"/>
  <c r="CX107" i="104" s="1"/>
  <c r="T164" i="104"/>
  <c r="CR164" i="104" s="1"/>
  <c r="CS164" i="104" s="1"/>
  <c r="CT164" i="104" s="1"/>
  <c r="CU164" i="104" s="1"/>
  <c r="CV164" i="104" s="1"/>
  <c r="CW164" i="104" s="1"/>
  <c r="CX164" i="104" s="1"/>
  <c r="H168" i="104"/>
  <c r="H111" i="104"/>
  <c r="J135" i="104"/>
  <c r="BB135" i="104" s="1"/>
  <c r="BC135" i="104" s="1"/>
  <c r="J78" i="104"/>
  <c r="BB78" i="104" s="1"/>
  <c r="BC78" i="104" s="1"/>
  <c r="J82" i="104"/>
  <c r="BB82" i="104" s="1"/>
  <c r="BC82" i="104" s="1"/>
  <c r="J139" i="104"/>
  <c r="BB139" i="104" s="1"/>
  <c r="BC139" i="104" s="1"/>
  <c r="K143" i="104"/>
  <c r="BI143" i="104" s="1"/>
  <c r="BJ143" i="104" s="1"/>
  <c r="BK143" i="104" s="1"/>
  <c r="BL143" i="104" s="1"/>
  <c r="BM143" i="104" s="1"/>
  <c r="BN143" i="104" s="1"/>
  <c r="BO143" i="104" s="1"/>
  <c r="K86" i="104"/>
  <c r="BI86" i="104" s="1"/>
  <c r="BJ86" i="104" s="1"/>
  <c r="BK86" i="104" s="1"/>
  <c r="BL86" i="104" s="1"/>
  <c r="BM86" i="104" s="1"/>
  <c r="BN86" i="104" s="1"/>
  <c r="BO86" i="104" s="1"/>
  <c r="S145" i="104"/>
  <c r="CK145" i="104" s="1"/>
  <c r="EH145" i="104" s="1"/>
  <c r="S88" i="104"/>
  <c r="CK88" i="104" s="1"/>
  <c r="EH88" i="104" s="1"/>
  <c r="T88" i="104"/>
  <c r="CR88" i="104" s="1"/>
  <c r="EO88" i="104" s="1"/>
  <c r="T145" i="104"/>
  <c r="CR145" i="104" s="1"/>
  <c r="EO145" i="104" s="1"/>
  <c r="T166" i="104"/>
  <c r="CR166" i="104" s="1"/>
  <c r="CS166" i="104" s="1"/>
  <c r="CT166" i="104" s="1"/>
  <c r="CU166" i="104" s="1"/>
  <c r="CV166" i="104" s="1"/>
  <c r="CW166" i="104" s="1"/>
  <c r="CX166" i="104" s="1"/>
  <c r="T109" i="104"/>
  <c r="CR109" i="104" s="1"/>
  <c r="CS109" i="104" s="1"/>
  <c r="CT109" i="104" s="1"/>
  <c r="CU109" i="104" s="1"/>
  <c r="CV109" i="104" s="1"/>
  <c r="CW109" i="104" s="1"/>
  <c r="CX109" i="104" s="1"/>
  <c r="S142" i="104"/>
  <c r="CK142" i="104" s="1"/>
  <c r="CL142" i="104" s="1"/>
  <c r="CM142" i="104" s="1"/>
  <c r="CN142" i="104" s="1"/>
  <c r="CO142" i="104" s="1"/>
  <c r="CP142" i="104" s="1"/>
  <c r="CQ142" i="104" s="1"/>
  <c r="S85" i="104"/>
  <c r="CK85" i="104" s="1"/>
  <c r="CL85" i="104" s="1"/>
  <c r="CM85" i="104" s="1"/>
  <c r="CN85" i="104" s="1"/>
  <c r="CO85" i="104" s="1"/>
  <c r="CP85" i="104" s="1"/>
  <c r="CQ85" i="104" s="1"/>
  <c r="R146" i="104"/>
  <c r="CD146" i="104" s="1"/>
  <c r="EA146" i="104" s="1"/>
  <c r="R89" i="104"/>
  <c r="CD89" i="104" s="1"/>
  <c r="EA89" i="104" s="1"/>
  <c r="H169" i="104"/>
  <c r="H112" i="104"/>
  <c r="J136" i="104"/>
  <c r="BB136" i="104" s="1"/>
  <c r="BC136" i="104" s="1"/>
  <c r="J79" i="104"/>
  <c r="BB79" i="104" s="1"/>
  <c r="BC79" i="104" s="1"/>
  <c r="J140" i="104"/>
  <c r="BB140" i="104" s="1"/>
  <c r="BC140" i="104" s="1"/>
  <c r="J83" i="104"/>
  <c r="BB83" i="104" s="1"/>
  <c r="BC83" i="104" s="1"/>
  <c r="R164" i="104"/>
  <c r="CD164" i="104" s="1"/>
  <c r="CE164" i="104" s="1"/>
  <c r="CF164" i="104" s="1"/>
  <c r="CG164" i="104" s="1"/>
  <c r="CH164" i="104" s="1"/>
  <c r="CI164" i="104" s="1"/>
  <c r="CJ164" i="104" s="1"/>
  <c r="R107" i="104"/>
  <c r="CD107" i="104" s="1"/>
  <c r="CE107" i="104" s="1"/>
  <c r="CF107" i="104" s="1"/>
  <c r="CG107" i="104" s="1"/>
  <c r="CH107" i="104" s="1"/>
  <c r="CI107" i="104" s="1"/>
  <c r="CJ107" i="104" s="1"/>
  <c r="S146" i="104"/>
  <c r="CK146" i="104" s="1"/>
  <c r="EH146" i="104" s="1"/>
  <c r="S89" i="104"/>
  <c r="CK89" i="104" s="1"/>
  <c r="EH89" i="104" s="1"/>
  <c r="T146" i="104"/>
  <c r="CR146" i="104" s="1"/>
  <c r="EO146" i="104" s="1"/>
  <c r="T89" i="104"/>
  <c r="CR89" i="104" s="1"/>
  <c r="EO89" i="104" s="1"/>
  <c r="K142" i="104"/>
  <c r="BI142" i="104" s="1"/>
  <c r="BJ142" i="104" s="1"/>
  <c r="BK142" i="104" s="1"/>
  <c r="BL142" i="104" s="1"/>
  <c r="BM142" i="104" s="1"/>
  <c r="BN142" i="104" s="1"/>
  <c r="BO142" i="104" s="1"/>
  <c r="K85" i="104"/>
  <c r="BI85" i="104" s="1"/>
  <c r="BJ85" i="104" s="1"/>
  <c r="BK85" i="104" s="1"/>
  <c r="BL85" i="104" s="1"/>
  <c r="BM85" i="104" s="1"/>
  <c r="BN85" i="104" s="1"/>
  <c r="BO85" i="104" s="1"/>
  <c r="S165" i="104"/>
  <c r="CK165" i="104" s="1"/>
  <c r="CL165" i="104" s="1"/>
  <c r="CM165" i="104" s="1"/>
  <c r="CN165" i="104" s="1"/>
  <c r="CO165" i="104" s="1"/>
  <c r="CP165" i="104" s="1"/>
  <c r="CQ165" i="104" s="1"/>
  <c r="S108" i="104"/>
  <c r="CK108" i="104" s="1"/>
  <c r="CL108" i="104" s="1"/>
  <c r="CM108" i="104" s="1"/>
  <c r="CN108" i="104" s="1"/>
  <c r="CO108" i="104" s="1"/>
  <c r="CP108" i="104" s="1"/>
  <c r="CQ108" i="104" s="1"/>
  <c r="H167" i="104"/>
  <c r="H110" i="104"/>
  <c r="J137" i="104"/>
  <c r="BB137" i="104" s="1"/>
  <c r="BC137" i="104" s="1"/>
  <c r="J80" i="104"/>
  <c r="BB80" i="104" s="1"/>
  <c r="BC80" i="104" s="1"/>
  <c r="J143" i="104"/>
  <c r="BB143" i="104" s="1"/>
  <c r="BC143" i="104" s="1"/>
  <c r="J86" i="104"/>
  <c r="BB86" i="104" s="1"/>
  <c r="BC86" i="104" s="1"/>
  <c r="R142" i="104"/>
  <c r="CD142" i="104" s="1"/>
  <c r="CE142" i="104" s="1"/>
  <c r="CF142" i="104" s="1"/>
  <c r="CG142" i="104" s="1"/>
  <c r="CH142" i="104" s="1"/>
  <c r="CI142" i="104" s="1"/>
  <c r="CJ142" i="104" s="1"/>
  <c r="R85" i="104"/>
  <c r="CD85" i="104" s="1"/>
  <c r="CE85" i="104" s="1"/>
  <c r="CF85" i="104" s="1"/>
  <c r="CG85" i="104" s="1"/>
  <c r="CH85" i="104" s="1"/>
  <c r="CI85" i="104" s="1"/>
  <c r="CJ85" i="104" s="1"/>
  <c r="S107" i="104"/>
  <c r="CK107" i="104" s="1"/>
  <c r="CL107" i="104" s="1"/>
  <c r="CM107" i="104" s="1"/>
  <c r="CN107" i="104" s="1"/>
  <c r="CO107" i="104" s="1"/>
  <c r="CP107" i="104" s="1"/>
  <c r="CQ107" i="104" s="1"/>
  <c r="S164" i="104"/>
  <c r="CK164" i="104" s="1"/>
  <c r="CL164" i="104" s="1"/>
  <c r="CM164" i="104" s="1"/>
  <c r="CN164" i="104" s="1"/>
  <c r="CO164" i="104" s="1"/>
  <c r="CP164" i="104" s="1"/>
  <c r="CQ164" i="104" s="1"/>
  <c r="R145" i="104"/>
  <c r="CD145" i="104" s="1"/>
  <c r="EA145" i="104" s="1"/>
  <c r="R88" i="104"/>
  <c r="CD88" i="104" s="1"/>
  <c r="EA88" i="104" s="1"/>
  <c r="R165" i="104"/>
  <c r="CD165" i="104" s="1"/>
  <c r="CE165" i="104" s="1"/>
  <c r="CF165" i="104" s="1"/>
  <c r="CG165" i="104" s="1"/>
  <c r="CH165" i="104" s="1"/>
  <c r="CI165" i="104" s="1"/>
  <c r="CJ165" i="104" s="1"/>
  <c r="R108" i="104"/>
  <c r="CD108" i="104" s="1"/>
  <c r="CE108" i="104" s="1"/>
  <c r="CF108" i="104" s="1"/>
  <c r="CG108" i="104" s="1"/>
  <c r="CH108" i="104" s="1"/>
  <c r="CI108" i="104" s="1"/>
  <c r="CJ108" i="104" s="1"/>
  <c r="G44" i="131"/>
  <c r="H32" i="104" s="1"/>
  <c r="G42" i="131"/>
  <c r="H31" i="104" s="1"/>
  <c r="G36" i="131"/>
  <c r="H30" i="104" s="1"/>
  <c r="CR36" i="135"/>
  <c r="CS36" i="135" s="1"/>
  <c r="CT36" i="135" s="1"/>
  <c r="CU36" i="135" s="1"/>
  <c r="CV36" i="135" s="1"/>
  <c r="CW36" i="135" s="1"/>
  <c r="CX36" i="135" s="1"/>
  <c r="CR21" i="135"/>
  <c r="CS21" i="135" s="1"/>
  <c r="CT21" i="135" s="1"/>
  <c r="CU21" i="135" s="1"/>
  <c r="CV21" i="135" s="1"/>
  <c r="CW21" i="135" s="1"/>
  <c r="CX21" i="135" s="1"/>
  <c r="CR6" i="135"/>
  <c r="CK36" i="135"/>
  <c r="CL36" i="135" s="1"/>
  <c r="CM36" i="135" s="1"/>
  <c r="CN36" i="135" s="1"/>
  <c r="CO36" i="135" s="1"/>
  <c r="CP36" i="135" s="1"/>
  <c r="CQ36" i="135" s="1"/>
  <c r="CK21" i="135"/>
  <c r="CL21" i="135" s="1"/>
  <c r="CM21" i="135" s="1"/>
  <c r="CN21" i="135" s="1"/>
  <c r="CO21" i="135" s="1"/>
  <c r="CP21" i="135" s="1"/>
  <c r="CQ21" i="135" s="1"/>
  <c r="CK6" i="135"/>
  <c r="CD36" i="135"/>
  <c r="CE36" i="135" s="1"/>
  <c r="CF36" i="135" s="1"/>
  <c r="CG36" i="135" s="1"/>
  <c r="CH36" i="135" s="1"/>
  <c r="CI36" i="135" s="1"/>
  <c r="CJ36" i="135" s="1"/>
  <c r="CD21" i="135"/>
  <c r="CE21" i="135" s="1"/>
  <c r="CF21" i="135" s="1"/>
  <c r="CG21" i="135" s="1"/>
  <c r="CH21" i="135" s="1"/>
  <c r="CI21" i="135" s="1"/>
  <c r="CJ21" i="135" s="1"/>
  <c r="CD6" i="135"/>
  <c r="CE6" i="135" s="1"/>
  <c r="CF6" i="135" s="1"/>
  <c r="CG6" i="135" s="1"/>
  <c r="CH6" i="135" s="1"/>
  <c r="CI6" i="135" s="1"/>
  <c r="CJ6" i="135" s="1"/>
  <c r="BW36" i="135"/>
  <c r="BX36" i="135"/>
  <c r="BY36" i="135"/>
  <c r="BZ36" i="135"/>
  <c r="CA36" i="135"/>
  <c r="CB36" i="135"/>
  <c r="BW21" i="135"/>
  <c r="BX21" i="135"/>
  <c r="BY21" i="135"/>
  <c r="BZ21" i="135"/>
  <c r="CA21" i="135"/>
  <c r="CB21" i="135"/>
  <c r="BX6" i="135"/>
  <c r="BY6" i="135"/>
  <c r="BZ6" i="135"/>
  <c r="CA6" i="135"/>
  <c r="CB6" i="135"/>
  <c r="BW6" i="135"/>
  <c r="BX6" i="134"/>
  <c r="BI36" i="135"/>
  <c r="BJ36" i="135" s="1"/>
  <c r="BK36" i="135" s="1"/>
  <c r="BL36" i="135" s="1"/>
  <c r="BM36" i="135" s="1"/>
  <c r="BN36" i="135" s="1"/>
  <c r="BO36" i="135" s="1"/>
  <c r="BP36" i="135"/>
  <c r="BQ36" i="135" s="1"/>
  <c r="BR36" i="135" s="1"/>
  <c r="BS36" i="135" s="1"/>
  <c r="BT36" i="135" s="1"/>
  <c r="BU36" i="135" s="1"/>
  <c r="BV36" i="135" s="1"/>
  <c r="BI21" i="135"/>
  <c r="BJ21" i="135" s="1"/>
  <c r="BK21" i="135" s="1"/>
  <c r="BL21" i="135" s="1"/>
  <c r="BM21" i="135" s="1"/>
  <c r="BN21" i="135" s="1"/>
  <c r="BO21" i="135" s="1"/>
  <c r="BP21" i="135"/>
  <c r="BQ21" i="135" s="1"/>
  <c r="BR21" i="135" s="1"/>
  <c r="BS21" i="135" s="1"/>
  <c r="BT21" i="135" s="1"/>
  <c r="BU21" i="135" s="1"/>
  <c r="BV21" i="135" s="1"/>
  <c r="BI6" i="135"/>
  <c r="AW22" i="135" l="1"/>
  <c r="FJ18" i="104"/>
  <c r="FK15" i="104"/>
  <c r="FL12" i="104"/>
  <c r="FJ14" i="104"/>
  <c r="FK18" i="104"/>
  <c r="FL17" i="104"/>
  <c r="FL18" i="104"/>
  <c r="FL14" i="104"/>
  <c r="FL15" i="104"/>
  <c r="FJ17" i="104"/>
  <c r="FK12" i="104"/>
  <c r="FL13" i="104"/>
  <c r="EX70" i="104"/>
  <c r="FG13" i="104" s="1"/>
  <c r="FJ13" i="104"/>
  <c r="EX71" i="104"/>
  <c r="FG14" i="104" s="1"/>
  <c r="EX72" i="104"/>
  <c r="FG15" i="104" s="1"/>
  <c r="FL16" i="104"/>
  <c r="FK17" i="104"/>
  <c r="FK13" i="104"/>
  <c r="EX73" i="104"/>
  <c r="FG16" i="104" s="1"/>
  <c r="FK14" i="104"/>
  <c r="FJ15" i="104"/>
  <c r="FJ12" i="104"/>
  <c r="EX75" i="104"/>
  <c r="FG18" i="104" s="1"/>
  <c r="EO6" i="135"/>
  <c r="DM6" i="135"/>
  <c r="EH6" i="135"/>
  <c r="EA6" i="135"/>
  <c r="AD59" i="135"/>
  <c r="AD8" i="135" s="1"/>
  <c r="DF6" i="135"/>
  <c r="CS6" i="135"/>
  <c r="CT6" i="135" s="1"/>
  <c r="CU6" i="135" s="1"/>
  <c r="CV6" i="135" s="1"/>
  <c r="CW6" i="135" s="1"/>
  <c r="CX6" i="135" s="1"/>
  <c r="CL6" i="135"/>
  <c r="CM6" i="135" s="1"/>
  <c r="CN6" i="135" s="1"/>
  <c r="CO6" i="135" s="1"/>
  <c r="CP6" i="135" s="1"/>
  <c r="CQ6" i="135" s="1"/>
  <c r="BJ6" i="135"/>
  <c r="BK6" i="135" s="1"/>
  <c r="BL6" i="135" s="1"/>
  <c r="BM6" i="135" s="1"/>
  <c r="BN6" i="135" s="1"/>
  <c r="BO6" i="135" s="1"/>
  <c r="Q22" i="135"/>
  <c r="CD22" i="135" s="1"/>
  <c r="Q37" i="135"/>
  <c r="CD37" i="135" s="1"/>
  <c r="CE37" i="135" s="1"/>
  <c r="CF37" i="135" s="1"/>
  <c r="CG37" i="135" s="1"/>
  <c r="CH37" i="135" s="1"/>
  <c r="CI37" i="135" s="1"/>
  <c r="CJ37" i="135" s="1"/>
  <c r="R37" i="135"/>
  <c r="CK37" i="135" s="1"/>
  <c r="CL37" i="135" s="1"/>
  <c r="CM37" i="135" s="1"/>
  <c r="CN37" i="135" s="1"/>
  <c r="CO37" i="135" s="1"/>
  <c r="CP37" i="135" s="1"/>
  <c r="CQ37" i="135" s="1"/>
  <c r="R22" i="135"/>
  <c r="CK22" i="135" s="1"/>
  <c r="CL22" i="135" s="1"/>
  <c r="CM22" i="135" s="1"/>
  <c r="CN22" i="135" s="1"/>
  <c r="CO22" i="135" s="1"/>
  <c r="CP22" i="135" s="1"/>
  <c r="CQ22" i="135" s="1"/>
  <c r="CK7" i="135"/>
  <c r="CL7" i="135" s="1"/>
  <c r="CM7" i="135" s="1"/>
  <c r="CN7" i="135" s="1"/>
  <c r="CO7" i="135" s="1"/>
  <c r="CP7" i="135" s="1"/>
  <c r="CQ7" i="135" s="1"/>
  <c r="CY37" i="135"/>
  <c r="FG17" i="104"/>
  <c r="FG12" i="104"/>
  <c r="CQ11" i="104"/>
  <c r="EN11" i="104" s="1"/>
  <c r="FB11" i="104" s="1"/>
  <c r="AC63" i="135"/>
  <c r="AC62" i="135"/>
  <c r="AC64" i="135"/>
  <c r="AC59" i="135"/>
  <c r="AC61" i="135"/>
  <c r="AC60" i="135"/>
  <c r="CL32" i="104"/>
  <c r="EI32" i="104" s="1"/>
  <c r="CM58" i="104"/>
  <c r="EJ58" i="104" s="1"/>
  <c r="CT32" i="104"/>
  <c r="EQ32" i="104" s="1"/>
  <c r="CT31" i="104"/>
  <c r="EQ31" i="104" s="1"/>
  <c r="CL31" i="104"/>
  <c r="EI31" i="104" s="1"/>
  <c r="CF32" i="104"/>
  <c r="EC32" i="104" s="1"/>
  <c r="CG58" i="104"/>
  <c r="ED58" i="104" s="1"/>
  <c r="CN9" i="104"/>
  <c r="EK9" i="104" s="1"/>
  <c r="CF31" i="104"/>
  <c r="EC31" i="104" s="1"/>
  <c r="CF9" i="104"/>
  <c r="EC9" i="104" s="1"/>
  <c r="CG10" i="104"/>
  <c r="ED10" i="104" s="1"/>
  <c r="BD140" i="104"/>
  <c r="BF140" i="104"/>
  <c r="BE26" i="104"/>
  <c r="BH26" i="104" s="1"/>
  <c r="BG26" i="104"/>
  <c r="CE88" i="104"/>
  <c r="EB88" i="104" s="1"/>
  <c r="BF80" i="104"/>
  <c r="BD80" i="104"/>
  <c r="CS89" i="104"/>
  <c r="EP89" i="104" s="1"/>
  <c r="BF139" i="104"/>
  <c r="BD139" i="104"/>
  <c r="BF81" i="104"/>
  <c r="BD81" i="104"/>
  <c r="BE25" i="104"/>
  <c r="BH25" i="104" s="1"/>
  <c r="BG25" i="104"/>
  <c r="CM121" i="104"/>
  <c r="EJ121" i="104" s="1"/>
  <c r="CM115" i="104"/>
  <c r="EJ115" i="104" s="1"/>
  <c r="CF115" i="104"/>
  <c r="EC115" i="104" s="1"/>
  <c r="CF64" i="104"/>
  <c r="EC64" i="104" s="1"/>
  <c r="BE24" i="104"/>
  <c r="BH24" i="104" s="1"/>
  <c r="BG24" i="104"/>
  <c r="CE145" i="104"/>
  <c r="EB145" i="104" s="1"/>
  <c r="BF137" i="104"/>
  <c r="BD137" i="104"/>
  <c r="CS146" i="104"/>
  <c r="EP146" i="104" s="1"/>
  <c r="BF136" i="104"/>
  <c r="BD136" i="104"/>
  <c r="BF82" i="104"/>
  <c r="BD82" i="104"/>
  <c r="BD138" i="104"/>
  <c r="BF138" i="104"/>
  <c r="BF78" i="104"/>
  <c r="BD78" i="104"/>
  <c r="CM122" i="104"/>
  <c r="EJ122" i="104" s="1"/>
  <c r="BE23" i="104"/>
  <c r="BH23" i="104" s="1"/>
  <c r="BG23" i="104"/>
  <c r="BE21" i="104"/>
  <c r="BH21" i="104" s="1"/>
  <c r="BG21" i="104"/>
  <c r="CF121" i="104"/>
  <c r="EC121" i="104" s="1"/>
  <c r="BE29" i="104"/>
  <c r="BH29" i="104" s="1"/>
  <c r="BG29" i="104"/>
  <c r="CM123" i="104"/>
  <c r="EJ123" i="104" s="1"/>
  <c r="BF86" i="104"/>
  <c r="BD86" i="104"/>
  <c r="CS145" i="104"/>
  <c r="EP145" i="104" s="1"/>
  <c r="CS88" i="104"/>
  <c r="EP88" i="104" s="1"/>
  <c r="CL89" i="104"/>
  <c r="EI89" i="104" s="1"/>
  <c r="CL146" i="104"/>
  <c r="EI146" i="104" s="1"/>
  <c r="BF135" i="104"/>
  <c r="BD135" i="104"/>
  <c r="CE89" i="104"/>
  <c r="EB89" i="104" s="1"/>
  <c r="CL88" i="104"/>
  <c r="EI88" i="104" s="1"/>
  <c r="CM64" i="104"/>
  <c r="EJ64" i="104" s="1"/>
  <c r="CF172" i="104"/>
  <c r="EC172" i="104" s="1"/>
  <c r="CM172" i="104"/>
  <c r="EJ172" i="104" s="1"/>
  <c r="CF65" i="104"/>
  <c r="EC65" i="104" s="1"/>
  <c r="CF66" i="104"/>
  <c r="EC66" i="104" s="1"/>
  <c r="CF124" i="104"/>
  <c r="EC124" i="104" s="1"/>
  <c r="CE146" i="104"/>
  <c r="EB146" i="104" s="1"/>
  <c r="CL145" i="104"/>
  <c r="EI145" i="104" s="1"/>
  <c r="CM65" i="104"/>
  <c r="EJ65" i="104" s="1"/>
  <c r="BE22" i="104"/>
  <c r="BH22" i="104" s="1"/>
  <c r="BG22" i="104"/>
  <c r="CF122" i="104"/>
  <c r="EC122" i="104" s="1"/>
  <c r="CF123" i="104"/>
  <c r="EC123" i="104" s="1"/>
  <c r="CF67" i="104"/>
  <c r="EC67" i="104" s="1"/>
  <c r="CM66" i="104"/>
  <c r="EJ66" i="104" s="1"/>
  <c r="BF83" i="104"/>
  <c r="BD83" i="104"/>
  <c r="BD143" i="104"/>
  <c r="BF143" i="104"/>
  <c r="BF79" i="104"/>
  <c r="BD79" i="104"/>
  <c r="H144" i="104"/>
  <c r="H87" i="104"/>
  <c r="H88" i="104"/>
  <c r="H145" i="104"/>
  <c r="T108" i="104"/>
  <c r="CR108" i="104" s="1"/>
  <c r="T165" i="104"/>
  <c r="CR165" i="104" s="1"/>
  <c r="H146" i="104"/>
  <c r="H89" i="104"/>
  <c r="DT6" i="135"/>
  <c r="X6" i="135"/>
  <c r="J31" i="104"/>
  <c r="BB31" i="104" s="1"/>
  <c r="CY31" i="104" s="1"/>
  <c r="J32" i="104"/>
  <c r="BB32" i="104" s="1"/>
  <c r="CY32" i="104" s="1"/>
  <c r="J30" i="104"/>
  <c r="BB30" i="104" s="1"/>
  <c r="BC30" i="104" s="1"/>
  <c r="W6" i="135"/>
  <c r="AD36" i="135"/>
  <c r="EO36" i="135" s="1"/>
  <c r="AD21" i="135"/>
  <c r="EO21" i="135" s="1"/>
  <c r="EH21" i="135" l="1"/>
  <c r="EA21" i="135"/>
  <c r="EH36" i="135"/>
  <c r="EA36" i="135"/>
  <c r="DM7" i="135"/>
  <c r="EA7" i="135"/>
  <c r="EH7" i="135"/>
  <c r="DF21" i="135"/>
  <c r="DM21" i="135"/>
  <c r="DF36" i="135"/>
  <c r="DM36" i="135"/>
  <c r="DG6" i="135"/>
  <c r="DN6" i="135"/>
  <c r="CE22" i="135"/>
  <c r="CF22" i="135" s="1"/>
  <c r="CG22" i="135" s="1"/>
  <c r="CH22" i="135" s="1"/>
  <c r="CI22" i="135" s="1"/>
  <c r="CJ22" i="135" s="1"/>
  <c r="CY9" i="135"/>
  <c r="CY13" i="135"/>
  <c r="CY10" i="135"/>
  <c r="CY11" i="135"/>
  <c r="CY12" i="135"/>
  <c r="AD62" i="135"/>
  <c r="AD11" i="135" s="1"/>
  <c r="AD64" i="135"/>
  <c r="AD13" i="135" s="1"/>
  <c r="AD60" i="135"/>
  <c r="AD9" i="135" s="1"/>
  <c r="AD63" i="135"/>
  <c r="AD12" i="135" s="1"/>
  <c r="AD61" i="135"/>
  <c r="AD10" i="135" s="1"/>
  <c r="CM32" i="104"/>
  <c r="EJ32" i="104" s="1"/>
  <c r="CU32" i="104"/>
  <c r="ER32" i="104" s="1"/>
  <c r="CN58" i="104"/>
  <c r="EK58" i="104" s="1"/>
  <c r="CG32" i="104"/>
  <c r="ED32" i="104" s="1"/>
  <c r="CG31" i="104"/>
  <c r="ED31" i="104" s="1"/>
  <c r="CM31" i="104"/>
  <c r="EJ31" i="104" s="1"/>
  <c r="CO9" i="104"/>
  <c r="EL9" i="104" s="1"/>
  <c r="CU31" i="104"/>
  <c r="ER31" i="104" s="1"/>
  <c r="CH58" i="104"/>
  <c r="EE58" i="104" s="1"/>
  <c r="CH10" i="104"/>
  <c r="EE10" i="104" s="1"/>
  <c r="CG9" i="104"/>
  <c r="ED9" i="104" s="1"/>
  <c r="BD30" i="104"/>
  <c r="BF30" i="104"/>
  <c r="CG123" i="104"/>
  <c r="ED123" i="104" s="1"/>
  <c r="CM89" i="104"/>
  <c r="EJ89" i="104" s="1"/>
  <c r="BC32" i="104"/>
  <c r="CZ32" i="104" s="1"/>
  <c r="BG83" i="104"/>
  <c r="BE83" i="104"/>
  <c r="BH83" i="104" s="1"/>
  <c r="CG124" i="104"/>
  <c r="ED124" i="104" s="1"/>
  <c r="CG172" i="104"/>
  <c r="ED172" i="104" s="1"/>
  <c r="BG80" i="104"/>
  <c r="BE80" i="104"/>
  <c r="BH80" i="104" s="1"/>
  <c r="BE140" i="104"/>
  <c r="BH140" i="104" s="1"/>
  <c r="BG140" i="104"/>
  <c r="BC31" i="104"/>
  <c r="CZ31" i="104" s="1"/>
  <c r="BG79" i="104"/>
  <c r="BE79" i="104"/>
  <c r="BH79" i="104" s="1"/>
  <c r="CG122" i="104"/>
  <c r="ED122" i="104" s="1"/>
  <c r="BG135" i="104"/>
  <c r="BE135" i="104"/>
  <c r="BH135" i="104" s="1"/>
  <c r="CT146" i="104"/>
  <c r="EQ146" i="104" s="1"/>
  <c r="CG64" i="104"/>
  <c r="ED64" i="104" s="1"/>
  <c r="CG66" i="104"/>
  <c r="ED66" i="104" s="1"/>
  <c r="CN64" i="104"/>
  <c r="EK64" i="104" s="1"/>
  <c r="CN123" i="104"/>
  <c r="EK123" i="104" s="1"/>
  <c r="BE137" i="104"/>
  <c r="BH137" i="104" s="1"/>
  <c r="BG137" i="104"/>
  <c r="BE81" i="104"/>
  <c r="BH81" i="104" s="1"/>
  <c r="BG81" i="104"/>
  <c r="CN66" i="104"/>
  <c r="EK66" i="104" s="1"/>
  <c r="BG138" i="104"/>
  <c r="BE138" i="104"/>
  <c r="BH138" i="104" s="1"/>
  <c r="CG115" i="104"/>
  <c r="ED115" i="104" s="1"/>
  <c r="CF88" i="104"/>
  <c r="EC88" i="104" s="1"/>
  <c r="CM145" i="104"/>
  <c r="EJ145" i="104" s="1"/>
  <c r="CG65" i="104"/>
  <c r="ED65" i="104" s="1"/>
  <c r="CM88" i="104"/>
  <c r="EJ88" i="104" s="1"/>
  <c r="CT88" i="104"/>
  <c r="EQ88" i="104" s="1"/>
  <c r="CN122" i="104"/>
  <c r="EK122" i="104" s="1"/>
  <c r="BG82" i="104"/>
  <c r="BE82" i="104"/>
  <c r="BH82" i="104" s="1"/>
  <c r="BE139" i="104"/>
  <c r="BH139" i="104" s="1"/>
  <c r="BG139" i="104"/>
  <c r="BE143" i="104"/>
  <c r="BH143" i="104" s="1"/>
  <c r="BG143" i="104"/>
  <c r="CG67" i="104"/>
  <c r="ED67" i="104" s="1"/>
  <c r="CN65" i="104"/>
  <c r="EK65" i="104" s="1"/>
  <c r="CM146" i="104"/>
  <c r="EJ146" i="104" s="1"/>
  <c r="BE78" i="104"/>
  <c r="BH78" i="104" s="1"/>
  <c r="BG78" i="104"/>
  <c r="CF145" i="104"/>
  <c r="EC145" i="104" s="1"/>
  <c r="CN115" i="104"/>
  <c r="EK115" i="104" s="1"/>
  <c r="CF146" i="104"/>
  <c r="EC146" i="104" s="1"/>
  <c r="CN172" i="104"/>
  <c r="EK172" i="104" s="1"/>
  <c r="CF89" i="104"/>
  <c r="EC89" i="104" s="1"/>
  <c r="CT145" i="104"/>
  <c r="EQ145" i="104" s="1"/>
  <c r="CG121" i="104"/>
  <c r="ED121" i="104" s="1"/>
  <c r="BG136" i="104"/>
  <c r="BE136" i="104"/>
  <c r="BH136" i="104" s="1"/>
  <c r="BG86" i="104"/>
  <c r="BE86" i="104"/>
  <c r="BH86" i="104" s="1"/>
  <c r="CN121" i="104"/>
  <c r="EK121" i="104" s="1"/>
  <c r="CT89" i="104"/>
  <c r="EQ89" i="104" s="1"/>
  <c r="CS165" i="104"/>
  <c r="CS108" i="104"/>
  <c r="L30" i="104"/>
  <c r="J144" i="104"/>
  <c r="BB144" i="104" s="1"/>
  <c r="BC144" i="104" s="1"/>
  <c r="J87" i="104"/>
  <c r="BB87" i="104" s="1"/>
  <c r="BC87" i="104" s="1"/>
  <c r="J146" i="104"/>
  <c r="BB146" i="104" s="1"/>
  <c r="CY146" i="104" s="1"/>
  <c r="J89" i="104"/>
  <c r="BB89" i="104" s="1"/>
  <c r="CY89" i="104" s="1"/>
  <c r="L31" i="104"/>
  <c r="J145" i="104"/>
  <c r="BB145" i="104" s="1"/>
  <c r="CY145" i="104" s="1"/>
  <c r="J88" i="104"/>
  <c r="BB88" i="104" s="1"/>
  <c r="CY88" i="104" s="1"/>
  <c r="DN7" i="135"/>
  <c r="AE21" i="135"/>
  <c r="DU6" i="135"/>
  <c r="AE36" i="135"/>
  <c r="DN36" i="135" s="1"/>
  <c r="EB6" i="135"/>
  <c r="AD37" i="135"/>
  <c r="EO37" i="135" s="1"/>
  <c r="AD22" i="135"/>
  <c r="EI6" i="135"/>
  <c r="EP6" i="135"/>
  <c r="DT21" i="135"/>
  <c r="DT36" i="135"/>
  <c r="L32" i="104"/>
  <c r="BS23" i="113"/>
  <c r="AM39" i="113"/>
  <c r="AV16" i="113"/>
  <c r="K10" i="64"/>
  <c r="BS36" i="113"/>
  <c r="T14" i="113"/>
  <c r="BK14" i="64"/>
  <c r="AQ8" i="113"/>
  <c r="V14" i="64"/>
  <c r="AR14" i="113"/>
  <c r="AO37" i="113"/>
  <c r="T40" i="113"/>
  <c r="F39" i="113"/>
  <c r="AP15" i="113"/>
  <c r="BC19" i="113"/>
  <c r="AW23" i="113"/>
  <c r="BV22" i="113"/>
  <c r="BK14" i="113"/>
  <c r="AZ12" i="64"/>
  <c r="U13" i="64"/>
  <c r="K12" i="64"/>
  <c r="BQ7" i="113"/>
  <c r="AY36" i="113"/>
  <c r="W21" i="64"/>
  <c r="AC36" i="113"/>
  <c r="BO14" i="113"/>
  <c r="BL8" i="113"/>
  <c r="P22" i="64"/>
  <c r="U14" i="64"/>
  <c r="AJ38" i="113"/>
  <c r="BQ13" i="113"/>
  <c r="N37" i="113"/>
  <c r="AW22" i="64"/>
  <c r="BW13" i="113"/>
  <c r="T35" i="113"/>
  <c r="BA39" i="113"/>
  <c r="R20" i="113"/>
  <c r="M12" i="64"/>
  <c r="AO22" i="113"/>
  <c r="AP22" i="64"/>
  <c r="S19" i="113"/>
  <c r="AQ21" i="64"/>
  <c r="F7" i="64"/>
  <c r="G244" i="113"/>
  <c r="AN21" i="113"/>
  <c r="O22" i="64"/>
  <c r="AV40" i="113"/>
  <c r="BO13" i="113"/>
  <c r="AW12" i="64"/>
  <c r="J8" i="113"/>
  <c r="AT16" i="113"/>
  <c r="S40" i="113"/>
  <c r="R8" i="113"/>
  <c r="Y36" i="113"/>
  <c r="M20" i="113"/>
  <c r="AF20" i="113"/>
  <c r="AJ36" i="113"/>
  <c r="L38" i="113"/>
  <c r="R19" i="113"/>
  <c r="AJ8" i="113"/>
  <c r="BS15" i="113"/>
  <c r="BB14" i="64"/>
  <c r="I33" i="113"/>
  <c r="BM19" i="113"/>
  <c r="AX37" i="113"/>
  <c r="N21" i="113"/>
  <c r="AE36" i="113"/>
  <c r="K13" i="64"/>
  <c r="BJ22" i="64"/>
  <c r="AJ19" i="113"/>
  <c r="BD19" i="113"/>
  <c r="BT35" i="113"/>
  <c r="AG16" i="113"/>
  <c r="AW14" i="64"/>
  <c r="AH35" i="113"/>
  <c r="AM35" i="113"/>
  <c r="AR13" i="64"/>
  <c r="BS38" i="113"/>
  <c r="AK12" i="64"/>
  <c r="Z40" i="113"/>
  <c r="AY38" i="113"/>
  <c r="AB8" i="113"/>
  <c r="G234" i="113"/>
  <c r="AP21" i="113"/>
  <c r="N38" i="113"/>
  <c r="Z21" i="113"/>
  <c r="X34" i="113"/>
  <c r="P8" i="113"/>
  <c r="AU35" i="113"/>
  <c r="AF13" i="113"/>
  <c r="BX21" i="113"/>
  <c r="T20" i="64"/>
  <c r="AC34" i="113"/>
  <c r="AG33" i="113"/>
  <c r="AH13" i="113"/>
  <c r="BX37" i="113"/>
  <c r="AV20" i="113"/>
  <c r="AF40" i="113"/>
  <c r="U14" i="113"/>
  <c r="G38" i="113"/>
  <c r="AG23" i="64"/>
  <c r="I39" i="113"/>
  <c r="N14" i="113"/>
  <c r="O37" i="113"/>
  <c r="AF34" i="113"/>
  <c r="BH23" i="64"/>
  <c r="E8" i="113"/>
  <c r="N13" i="113"/>
  <c r="X39" i="113"/>
  <c r="AR8" i="113"/>
  <c r="BC22" i="64"/>
  <c r="BA8" i="113"/>
  <c r="H34" i="113"/>
  <c r="AP20" i="64"/>
  <c r="AM14" i="113"/>
  <c r="AV34" i="113"/>
  <c r="BK21" i="64"/>
  <c r="BC37" i="113"/>
  <c r="AM34" i="113"/>
  <c r="BJ12" i="64"/>
  <c r="AV21" i="113"/>
  <c r="Q37" i="113"/>
  <c r="BT34" i="113"/>
  <c r="AW22" i="113"/>
  <c r="BT15" i="113"/>
  <c r="AQ33" i="113"/>
  <c r="L22" i="113"/>
  <c r="BE21" i="64"/>
  <c r="R20" i="64"/>
  <c r="BA20" i="113"/>
  <c r="T13" i="113"/>
  <c r="AQ12" i="64"/>
  <c r="BP21" i="113"/>
  <c r="BD17" i="113"/>
  <c r="AX40" i="113"/>
  <c r="AU36" i="113"/>
  <c r="J36" i="113"/>
  <c r="BI21" i="64"/>
  <c r="AD14" i="113"/>
  <c r="BM13" i="113"/>
  <c r="AB13" i="64"/>
  <c r="AI19" i="113"/>
  <c r="S17" i="113"/>
  <c r="BX35" i="113"/>
  <c r="AE10" i="64"/>
  <c r="AZ37" i="113"/>
  <c r="BQ16" i="113"/>
  <c r="BA12" i="64"/>
  <c r="BH7" i="113"/>
  <c r="BP16" i="113"/>
  <c r="BD35" i="113"/>
  <c r="BX15" i="113"/>
  <c r="G37" i="113"/>
  <c r="AF15" i="113"/>
  <c r="X40" i="113"/>
  <c r="BH14" i="64"/>
  <c r="AG14" i="113"/>
  <c r="N23" i="64"/>
  <c r="L33" i="113"/>
  <c r="BT21" i="113"/>
  <c r="BI12" i="64"/>
  <c r="BP19" i="113"/>
  <c r="AN20" i="113"/>
  <c r="AR20" i="113"/>
  <c r="AO39" i="113"/>
  <c r="AU33" i="113"/>
  <c r="N34" i="113"/>
  <c r="AX14" i="113"/>
  <c r="U21" i="64"/>
  <c r="BM8" i="113"/>
  <c r="AI37" i="113"/>
  <c r="U38" i="113"/>
  <c r="AA16" i="113"/>
  <c r="Q10" i="64"/>
  <c r="W33" i="113"/>
  <c r="AN40" i="113"/>
  <c r="Y16" i="113"/>
  <c r="AF16" i="113"/>
  <c r="AH36" i="113"/>
  <c r="AY37" i="113"/>
  <c r="BS16" i="113"/>
  <c r="R34" i="113"/>
  <c r="AZ13" i="113"/>
  <c r="Y34" i="113"/>
  <c r="AG17" i="113"/>
  <c r="BE10" i="64"/>
  <c r="AI20" i="113"/>
  <c r="AC20" i="64"/>
  <c r="AZ34" i="113"/>
  <c r="BU34" i="113"/>
  <c r="AC8" i="113"/>
  <c r="E235" i="113"/>
  <c r="M21" i="113"/>
  <c r="AG20" i="113"/>
  <c r="F35" i="113"/>
  <c r="AZ8" i="113"/>
  <c r="AF13" i="64"/>
  <c r="AF21" i="113"/>
  <c r="S37" i="113"/>
  <c r="AF12" i="64"/>
  <c r="AM20" i="113"/>
  <c r="U23" i="64"/>
  <c r="U15" i="113"/>
  <c r="N10" i="64"/>
  <c r="AA15" i="113"/>
  <c r="BW21" i="113"/>
  <c r="AF17" i="113"/>
  <c r="AL39" i="113"/>
  <c r="E234" i="113"/>
  <c r="AA17" i="113"/>
  <c r="AQ20" i="113"/>
  <c r="AN37" i="113"/>
  <c r="K36" i="113"/>
  <c r="AI16" i="113"/>
  <c r="AP36" i="113"/>
  <c r="AP33" i="113"/>
  <c r="M35" i="113"/>
  <c r="BI23" i="64"/>
  <c r="BY35" i="113"/>
  <c r="BG23" i="64"/>
  <c r="U8" i="113"/>
  <c r="S34" i="113"/>
  <c r="BG22" i="64"/>
  <c r="BG8" i="113"/>
  <c r="H10" i="64"/>
  <c r="AF19" i="113"/>
  <c r="AL20" i="113"/>
  <c r="BJ23" i="64"/>
  <c r="M15" i="113"/>
  <c r="AW16" i="113"/>
  <c r="BT22" i="113"/>
  <c r="AC38" i="113"/>
  <c r="BM7" i="113"/>
  <c r="AC13" i="64"/>
  <c r="AV37" i="113"/>
  <c r="BK41" i="113"/>
  <c r="S21" i="113"/>
  <c r="AW33" i="113"/>
  <c r="BK20" i="64"/>
  <c r="BV36" i="113"/>
  <c r="AT39" i="113"/>
  <c r="AY13" i="64"/>
  <c r="V13" i="64"/>
  <c r="J37" i="113"/>
  <c r="AH20" i="113"/>
  <c r="M37" i="113"/>
  <c r="BO15" i="113"/>
  <c r="P19" i="113"/>
  <c r="AM19" i="113"/>
  <c r="AO21" i="113"/>
  <c r="AO15" i="113"/>
  <c r="V21" i="64"/>
  <c r="BH22" i="64"/>
  <c r="AZ14" i="64"/>
  <c r="AW40" i="113"/>
  <c r="BP8" i="113"/>
  <c r="AL33" i="113"/>
  <c r="AN15" i="113"/>
  <c r="BL20" i="113"/>
  <c r="BP20" i="113"/>
  <c r="AH23" i="113"/>
  <c r="AU13" i="64"/>
  <c r="Q23" i="64"/>
  <c r="AA23" i="64"/>
  <c r="AT21" i="64"/>
  <c r="X23" i="64"/>
  <c r="R40" i="113"/>
  <c r="Y35" i="113"/>
  <c r="V20" i="64"/>
  <c r="AB36" i="113"/>
  <c r="AP14" i="113"/>
  <c r="AY14" i="64"/>
  <c r="AT22" i="113"/>
  <c r="AX19" i="113"/>
  <c r="AS23" i="64"/>
  <c r="AM40" i="113"/>
  <c r="AV23" i="64"/>
  <c r="BB36" i="113"/>
  <c r="AK13" i="113"/>
  <c r="L21" i="113"/>
  <c r="BA23" i="64"/>
  <c r="AW8" i="113"/>
  <c r="AK34" i="113"/>
  <c r="BF8" i="113"/>
  <c r="N17" i="113"/>
  <c r="Y23" i="64"/>
  <c r="BP7" i="113"/>
  <c r="AZ21" i="64"/>
  <c r="AF20" i="64"/>
  <c r="AJ12" i="64"/>
  <c r="AL22" i="64"/>
  <c r="V40" i="113"/>
  <c r="BO20" i="113"/>
  <c r="AF22" i="113"/>
  <c r="Q36" i="113"/>
  <c r="AM23" i="64"/>
  <c r="AY35" i="113"/>
  <c r="BQ23" i="113"/>
  <c r="BD23" i="113"/>
  <c r="AI36" i="113"/>
  <c r="Q34" i="113"/>
  <c r="AZ40" i="113"/>
  <c r="BQ14" i="113"/>
  <c r="AH13" i="64"/>
  <c r="AG12" i="64"/>
  <c r="AV14" i="113"/>
  <c r="AK23" i="64"/>
  <c r="AX13" i="113"/>
  <c r="AT20" i="113"/>
  <c r="V37" i="113"/>
  <c r="BU17" i="113"/>
  <c r="X20" i="64"/>
  <c r="AA14" i="64"/>
  <c r="AN38" i="113"/>
  <c r="Z36" i="113"/>
  <c r="AE19" i="113"/>
  <c r="M34" i="113"/>
  <c r="P10" i="64"/>
  <c r="BV15" i="113"/>
  <c r="AP40" i="113"/>
  <c r="AH14" i="113"/>
  <c r="AG38" i="113"/>
  <c r="AN17" i="113"/>
  <c r="F8" i="113"/>
  <c r="Z23" i="113"/>
  <c r="P38" i="113"/>
  <c r="BC21" i="64"/>
  <c r="L12" i="64"/>
  <c r="S16" i="113"/>
  <c r="AE34" i="113"/>
  <c r="AO19" i="113"/>
  <c r="AL8" i="113"/>
  <c r="AB38" i="113"/>
  <c r="AN33" i="113"/>
  <c r="BO17" i="113"/>
  <c r="Q20" i="64"/>
  <c r="AV36" i="113"/>
  <c r="BW14" i="113"/>
  <c r="BB39" i="113"/>
  <c r="AV8" i="113"/>
  <c r="AI20" i="64"/>
  <c r="AP13" i="64"/>
  <c r="BE7" i="113"/>
  <c r="AF33" i="113"/>
  <c r="AX35" i="113"/>
  <c r="AD33" i="113"/>
  <c r="AG21" i="113"/>
  <c r="U35" i="113"/>
  <c r="BH20" i="64"/>
  <c r="AF8" i="113"/>
  <c r="G33" i="113"/>
  <c r="AZ38" i="113"/>
  <c r="AU20" i="113"/>
  <c r="AZ35" i="113"/>
  <c r="P23" i="64"/>
  <c r="V23" i="64"/>
  <c r="BW37" i="113"/>
  <c r="BU15" i="113"/>
  <c r="AP19" i="113"/>
  <c r="V38" i="113"/>
  <c r="Z21" i="64"/>
  <c r="AN16" i="113"/>
  <c r="AG34" i="113"/>
  <c r="AO14" i="113"/>
  <c r="AF38" i="113"/>
  <c r="AQ34" i="113"/>
  <c r="BO19" i="113"/>
  <c r="AD8" i="113"/>
  <c r="AT14" i="113"/>
  <c r="AT33" i="113"/>
  <c r="Y15" i="113"/>
  <c r="N20" i="113"/>
  <c r="AA34" i="113"/>
  <c r="H7" i="64"/>
  <c r="AK39" i="113"/>
  <c r="Q19" i="113"/>
  <c r="AG14" i="64"/>
  <c r="BK55" i="113"/>
  <c r="BH13" i="64"/>
  <c r="I10" i="64"/>
  <c r="BG10" i="64"/>
  <c r="V12" i="64"/>
  <c r="AD40" i="113"/>
  <c r="AL36" i="113"/>
  <c r="M39" i="113"/>
  <c r="AO36" i="113"/>
  <c r="AU22" i="113"/>
  <c r="AS40" i="113"/>
  <c r="R39" i="113"/>
  <c r="AY34" i="113"/>
  <c r="AI14" i="64"/>
  <c r="F34" i="113"/>
  <c r="BU19" i="113"/>
  <c r="AV22" i="113"/>
  <c r="AE22" i="64"/>
  <c r="AM17" i="113"/>
  <c r="X13" i="64"/>
  <c r="BT39" i="113"/>
  <c r="X12" i="64"/>
  <c r="BD13" i="113"/>
  <c r="AA38" i="113"/>
  <c r="BV21" i="113"/>
  <c r="H12" i="64"/>
  <c r="T33" i="113"/>
  <c r="BQ22" i="113"/>
  <c r="BU23" i="113"/>
  <c r="S8" i="113"/>
  <c r="BY33" i="113"/>
  <c r="H37" i="113"/>
  <c r="BC21" i="113"/>
  <c r="AZ39" i="113"/>
  <c r="AA20" i="64"/>
  <c r="AF23" i="113"/>
  <c r="AO13" i="113"/>
  <c r="BS39" i="113"/>
  <c r="AV35" i="113"/>
  <c r="AH21" i="113"/>
  <c r="BX13" i="113"/>
  <c r="AP23" i="113"/>
  <c r="BA14" i="64"/>
  <c r="BW22" i="113"/>
  <c r="F36" i="113"/>
  <c r="AQ35" i="113"/>
  <c r="BX23" i="113"/>
  <c r="R13" i="113"/>
  <c r="S21" i="64"/>
  <c r="BU35" i="113"/>
  <c r="O35" i="113"/>
  <c r="AP38" i="113"/>
  <c r="BA20" i="64"/>
  <c r="AF14" i="64"/>
  <c r="BB17" i="113"/>
  <c r="AA40" i="113"/>
  <c r="AS14" i="64"/>
  <c r="H35" i="113"/>
  <c r="AH8" i="113"/>
  <c r="BF21" i="64"/>
  <c r="AH15" i="113"/>
  <c r="AL35" i="113"/>
  <c r="BD36" i="113"/>
  <c r="AR21" i="64"/>
  <c r="AR13" i="113"/>
  <c r="BY38" i="113"/>
  <c r="AG23" i="113"/>
  <c r="AL21" i="64"/>
  <c r="AS37" i="113"/>
  <c r="R21" i="113"/>
  <c r="I12" i="64"/>
  <c r="W14" i="64"/>
  <c r="AX23" i="64"/>
  <c r="BL19" i="113"/>
  <c r="U12" i="64"/>
  <c r="BC20" i="113"/>
  <c r="V22" i="64"/>
  <c r="AY40" i="113"/>
  <c r="BT37" i="113"/>
  <c r="BW35" i="113"/>
  <c r="AN12" i="64"/>
  <c r="AD10" i="64"/>
  <c r="O14" i="113"/>
  <c r="L35" i="113"/>
  <c r="BN13" i="113"/>
  <c r="BW19" i="113"/>
  <c r="AK20" i="64"/>
  <c r="BJ42" i="113"/>
  <c r="BU40" i="113"/>
  <c r="BS13" i="113"/>
  <c r="BF20" i="64"/>
  <c r="BX14" i="113"/>
  <c r="BB20" i="64"/>
  <c r="AL13" i="64"/>
  <c r="AM33" i="113"/>
  <c r="Z17" i="113"/>
  <c r="I7" i="64"/>
  <c r="N33" i="113"/>
  <c r="BX40" i="113"/>
  <c r="AI35" i="113"/>
  <c r="H8" i="113"/>
  <c r="AU21" i="113"/>
  <c r="AM38" i="113"/>
  <c r="M22" i="113"/>
  <c r="AN23" i="64"/>
  <c r="AE39" i="113"/>
  <c r="V39" i="113"/>
  <c r="AU40" i="113"/>
  <c r="T21" i="64"/>
  <c r="N8" i="113"/>
  <c r="AI15" i="113"/>
  <c r="BO16" i="113"/>
  <c r="AT35" i="113"/>
  <c r="N20" i="64"/>
  <c r="O10" i="64"/>
  <c r="BA17" i="113"/>
  <c r="AK40" i="113"/>
  <c r="BX39" i="113"/>
  <c r="AG22" i="113"/>
  <c r="H38" i="113"/>
  <c r="AP37" i="113"/>
  <c r="AK14" i="64"/>
  <c r="AW13" i="64"/>
  <c r="O33" i="113"/>
  <c r="AE38" i="113"/>
  <c r="AT8" i="113"/>
  <c r="BY22" i="113"/>
  <c r="AD22" i="64"/>
  <c r="AN23" i="113"/>
  <c r="BW16" i="113"/>
  <c r="L34" i="113"/>
  <c r="AL40" i="113"/>
  <c r="AA33" i="113"/>
  <c r="AS20" i="64"/>
  <c r="Q14" i="113"/>
  <c r="S20" i="113"/>
  <c r="AS22" i="64"/>
  <c r="BW38" i="113"/>
  <c r="H39" i="113"/>
  <c r="AD14" i="64"/>
  <c r="AL23" i="64"/>
  <c r="BT40" i="113"/>
  <c r="AX20" i="113"/>
  <c r="BB35" i="113"/>
  <c r="AM13" i="113"/>
  <c r="AB22" i="64"/>
  <c r="U40" i="113"/>
  <c r="N39" i="113"/>
  <c r="P36" i="113"/>
  <c r="BW23" i="113"/>
  <c r="AK36" i="113"/>
  <c r="G39" i="113"/>
  <c r="AC21" i="64"/>
  <c r="AY19" i="113"/>
  <c r="BP14" i="113"/>
  <c r="AR33" i="113"/>
  <c r="AG19" i="113"/>
  <c r="AG36" i="113"/>
  <c r="Q38" i="113"/>
  <c r="BH8" i="113"/>
  <c r="AG13" i="64"/>
  <c r="V35" i="113"/>
  <c r="BB12" i="64"/>
  <c r="BA36" i="113"/>
  <c r="AJ13" i="113"/>
  <c r="AP21" i="64"/>
  <c r="AR38" i="113"/>
  <c r="AO38" i="113"/>
  <c r="BW17" i="113"/>
  <c r="AG40" i="113"/>
  <c r="Q35" i="113"/>
  <c r="O40" i="113"/>
  <c r="P21" i="64"/>
  <c r="AE33" i="113"/>
  <c r="BY19" i="113"/>
  <c r="AE20" i="113"/>
  <c r="BD8" i="113"/>
  <c r="AW13" i="113"/>
  <c r="AR22" i="64"/>
  <c r="AY20" i="64"/>
  <c r="X36" i="113"/>
  <c r="BB33" i="113"/>
  <c r="AZ20" i="113"/>
  <c r="AC37" i="113"/>
  <c r="AI39" i="113"/>
  <c r="L17" i="113"/>
  <c r="AW35" i="113"/>
  <c r="T20" i="113"/>
  <c r="AC14" i="113"/>
  <c r="AT15" i="113"/>
  <c r="AH16" i="113"/>
  <c r="BB37" i="113"/>
  <c r="S22" i="113"/>
  <c r="M10" i="64"/>
  <c r="E35" i="113"/>
  <c r="M14" i="64"/>
  <c r="BO22" i="113"/>
  <c r="AE13" i="64"/>
  <c r="BW39" i="113"/>
  <c r="BU36" i="113"/>
  <c r="AF23" i="64"/>
  <c r="AV39" i="113"/>
  <c r="AM37" i="113"/>
  <c r="AV13" i="64"/>
  <c r="N36" i="113"/>
  <c r="X21" i="64"/>
  <c r="O38" i="113"/>
  <c r="BH12" i="64"/>
  <c r="T19" i="113"/>
  <c r="AJ40" i="113"/>
  <c r="BQ21" i="113"/>
  <c r="AA12" i="64"/>
  <c r="Q20" i="113"/>
  <c r="AG35" i="113"/>
  <c r="W37" i="113"/>
  <c r="G235" i="113"/>
  <c r="K38" i="113"/>
  <c r="AT40" i="113"/>
  <c r="BK19" i="113"/>
  <c r="K40" i="113"/>
  <c r="U39" i="113"/>
  <c r="U16" i="113"/>
  <c r="R23" i="64"/>
  <c r="V34" i="113"/>
  <c r="AC39" i="113"/>
  <c r="BA22" i="64"/>
  <c r="AT13" i="64"/>
  <c r="G40" i="113"/>
  <c r="S39" i="113"/>
  <c r="BT16" i="113"/>
  <c r="BD34" i="113"/>
  <c r="Y39" i="113"/>
  <c r="R17" i="113"/>
  <c r="AG20" i="64"/>
  <c r="AP34" i="113"/>
  <c r="BS17" i="113"/>
  <c r="BA34" i="113"/>
  <c r="S35" i="113"/>
  <c r="BA23" i="113"/>
  <c r="BW40" i="113"/>
  <c r="BC40" i="113"/>
  <c r="BF22" i="64"/>
  <c r="BF23" i="64"/>
  <c r="T15" i="113"/>
  <c r="M23" i="113"/>
  <c r="AA21" i="113"/>
  <c r="BX8" i="113"/>
  <c r="AA13" i="64"/>
  <c r="BW36" i="113"/>
  <c r="AM16" i="113"/>
  <c r="AL37" i="113"/>
  <c r="T17" i="113"/>
  <c r="U37" i="113"/>
  <c r="AA22" i="64"/>
  <c r="O20" i="113"/>
  <c r="X33" i="113"/>
  <c r="AO23" i="64"/>
  <c r="X8" i="113"/>
  <c r="W13" i="64"/>
  <c r="BV40" i="113"/>
  <c r="BC14" i="113"/>
  <c r="J34" i="113"/>
  <c r="AP13" i="113"/>
  <c r="M19" i="113"/>
  <c r="BU38" i="113"/>
  <c r="BC17" i="113"/>
  <c r="P33" i="113"/>
  <c r="H36" i="113"/>
  <c r="AT17" i="113"/>
  <c r="AA36" i="113"/>
  <c r="Q33" i="113"/>
  <c r="AI8" i="113"/>
  <c r="AU37" i="113"/>
  <c r="BB13" i="64"/>
  <c r="N23" i="113"/>
  <c r="S23" i="64"/>
  <c r="K8" i="113"/>
  <c r="T22" i="113"/>
  <c r="BB22" i="113"/>
  <c r="BC35" i="113"/>
  <c r="BC23" i="113"/>
  <c r="BM14" i="113"/>
  <c r="AD38" i="113"/>
  <c r="J10" i="64"/>
  <c r="AN20" i="64"/>
  <c r="BD16" i="113"/>
  <c r="BB40" i="113"/>
  <c r="AS13" i="113"/>
  <c r="BV34" i="113"/>
  <c r="BY40" i="113"/>
  <c r="K14" i="64"/>
  <c r="W36" i="113"/>
  <c r="E233" i="113"/>
  <c r="AH37" i="113"/>
  <c r="AA37" i="113"/>
  <c r="Z39" i="113"/>
  <c r="AD12" i="64"/>
  <c r="AQ23" i="64"/>
  <c r="Y12" i="64"/>
  <c r="AP39" i="113"/>
  <c r="AB37" i="113"/>
  <c r="E34" i="113"/>
  <c r="AR36" i="113"/>
  <c r="BA21" i="113"/>
  <c r="O20" i="64"/>
  <c r="O19" i="113"/>
  <c r="BK8" i="113"/>
  <c r="X37" i="113"/>
  <c r="BC12" i="64"/>
  <c r="AJ22" i="64"/>
  <c r="BV38" i="113"/>
  <c r="BA14" i="113"/>
  <c r="BB14" i="113"/>
  <c r="AE14" i="113"/>
  <c r="Y33" i="113"/>
  <c r="E244" i="113"/>
  <c r="Z33" i="113"/>
  <c r="BB23" i="113"/>
  <c r="BL7" i="113"/>
  <c r="BX33" i="113"/>
  <c r="BD38" i="113"/>
  <c r="BW20" i="113"/>
  <c r="Y40" i="113"/>
  <c r="S13" i="113"/>
  <c r="AH19" i="113"/>
  <c r="AD13" i="64"/>
  <c r="AI40" i="113"/>
  <c r="BB22" i="64"/>
  <c r="BI13" i="64"/>
  <c r="AK20" i="113"/>
  <c r="AN19" i="113"/>
  <c r="F233" i="113"/>
  <c r="L14" i="64"/>
  <c r="BB8" i="113"/>
  <c r="AB23" i="113"/>
  <c r="V33" i="113"/>
  <c r="BY23" i="113"/>
  <c r="BI14" i="64"/>
  <c r="AQ13" i="64"/>
  <c r="BV8" i="113"/>
  <c r="F244" i="113"/>
  <c r="BI8" i="113"/>
  <c r="AN35" i="113"/>
  <c r="AM23" i="113"/>
  <c r="L15" i="113"/>
  <c r="W8" i="113"/>
  <c r="X35" i="113"/>
  <c r="AP12" i="64"/>
  <c r="P34" i="113"/>
  <c r="AO16" i="113"/>
  <c r="AJ33" i="113"/>
  <c r="BP17" i="113"/>
  <c r="AZ13" i="64"/>
  <c r="BV37" i="113"/>
  <c r="I37" i="113"/>
  <c r="Z22" i="64"/>
  <c r="BQ19" i="113"/>
  <c r="BY21" i="113"/>
  <c r="L16" i="113"/>
  <c r="I38" i="113"/>
  <c r="S15" i="113"/>
  <c r="BY20" i="113"/>
  <c r="AT36" i="113"/>
  <c r="AT21" i="113"/>
  <c r="AJ20" i="113"/>
  <c r="AX20" i="64"/>
  <c r="AM15" i="113"/>
  <c r="T38" i="113"/>
  <c r="AH34" i="113"/>
  <c r="BW15" i="113"/>
  <c r="AI22" i="64"/>
  <c r="J7" i="64"/>
  <c r="AV23" i="113"/>
  <c r="BL14" i="113"/>
  <c r="AP16" i="113"/>
  <c r="AA39" i="113"/>
  <c r="W38" i="113"/>
  <c r="BB13" i="113"/>
  <c r="BN8" i="113"/>
  <c r="BU14" i="113"/>
  <c r="AP35" i="113"/>
  <c r="BB38" i="113"/>
  <c r="AG22" i="64"/>
  <c r="BC13" i="64"/>
  <c r="Q8" i="113"/>
  <c r="J13" i="64"/>
  <c r="L13" i="64"/>
  <c r="AQ13" i="113"/>
  <c r="T34" i="113"/>
  <c r="AV22" i="64"/>
  <c r="BC38" i="113"/>
  <c r="X38" i="113"/>
  <c r="AD19" i="113"/>
  <c r="AS13" i="64"/>
  <c r="R21" i="64"/>
  <c r="AS8" i="113"/>
  <c r="BA13" i="113"/>
  <c r="AJ23" i="64"/>
  <c r="AC20" i="113"/>
  <c r="W39" i="113"/>
  <c r="S14" i="113"/>
  <c r="AK35" i="113"/>
  <c r="AE8" i="113"/>
  <c r="BO7" i="113"/>
  <c r="BW34" i="113"/>
  <c r="BI20" i="64"/>
  <c r="K34" i="113"/>
  <c r="AW23" i="64"/>
  <c r="BK12" i="64"/>
  <c r="M13" i="64"/>
  <c r="AR35" i="113"/>
  <c r="AO12" i="64"/>
  <c r="AW20" i="64"/>
  <c r="Y23" i="113"/>
  <c r="BY14" i="113"/>
  <c r="BK20" i="113"/>
  <c r="AY39" i="113"/>
  <c r="T23" i="113"/>
  <c r="BU8" i="113"/>
  <c r="AS21" i="64"/>
  <c r="BX22" i="113"/>
  <c r="BN14" i="113"/>
  <c r="Z20" i="64"/>
  <c r="AH10" i="64"/>
  <c r="AF10" i="64"/>
  <c r="K37" i="113"/>
  <c r="BT8" i="113"/>
  <c r="BS21" i="113"/>
  <c r="BK7" i="113"/>
  <c r="BJ14" i="64"/>
  <c r="AW21" i="64"/>
  <c r="M40" i="113"/>
  <c r="AN14" i="113"/>
  <c r="AU12" i="64"/>
  <c r="AE23" i="64"/>
  <c r="AF22" i="64"/>
  <c r="Q22" i="64"/>
  <c r="BX36" i="113"/>
  <c r="AC35" i="113"/>
  <c r="H13" i="64"/>
  <c r="BY34" i="113"/>
  <c r="AV33" i="113"/>
  <c r="AX38" i="113"/>
  <c r="AJ21" i="64"/>
  <c r="AB39" i="113"/>
  <c r="BG21" i="64"/>
  <c r="AH23" i="64"/>
  <c r="AU16" i="113"/>
  <c r="AB12" i="64"/>
  <c r="BY17" i="113"/>
  <c r="BH10" i="64"/>
  <c r="Y22" i="113"/>
  <c r="S10" i="64"/>
  <c r="AS34" i="113"/>
  <c r="Z14" i="64"/>
  <c r="AB16" i="113"/>
  <c r="BI7" i="113"/>
  <c r="Y21" i="64"/>
  <c r="BB23" i="64"/>
  <c r="AO21" i="64"/>
  <c r="AY14" i="113"/>
  <c r="Z23" i="64"/>
  <c r="Z16" i="113"/>
  <c r="E7" i="64"/>
  <c r="AZ19" i="113"/>
  <c r="AV13" i="113"/>
  <c r="AM20" i="64"/>
  <c r="AK38" i="113"/>
  <c r="BU21" i="113"/>
  <c r="AG37" i="113"/>
  <c r="R38" i="113"/>
  <c r="AO13" i="64"/>
  <c r="Z22" i="113"/>
  <c r="BV33" i="113"/>
  <c r="BU20" i="113"/>
  <c r="F234" i="113"/>
  <c r="BG14" i="64"/>
  <c r="AS35" i="113"/>
  <c r="AV38" i="113"/>
  <c r="AY33" i="113"/>
  <c r="U17" i="113"/>
  <c r="M33" i="113"/>
  <c r="O21" i="64"/>
  <c r="L10" i="64"/>
  <c r="AK22" i="64"/>
  <c r="BY15" i="113"/>
  <c r="BP23" i="113"/>
  <c r="BH21" i="64"/>
  <c r="G35" i="113"/>
  <c r="AE12" i="64"/>
  <c r="N21" i="64"/>
  <c r="AC10" i="64"/>
  <c r="AX12" i="64"/>
  <c r="AM22" i="64"/>
  <c r="AT34" i="113"/>
  <c r="U20" i="113"/>
  <c r="U20" i="64"/>
  <c r="AU21" i="64"/>
  <c r="Z15" i="113"/>
  <c r="AS14" i="113"/>
  <c r="Y22" i="64"/>
  <c r="AV12" i="64"/>
  <c r="M13" i="113"/>
  <c r="AW38" i="113"/>
  <c r="BA15" i="113"/>
  <c r="AE14" i="64"/>
  <c r="BC13" i="113"/>
  <c r="BO21" i="113"/>
  <c r="I36" i="113"/>
  <c r="BK13" i="64"/>
  <c r="AQ14" i="64"/>
  <c r="AC14" i="64"/>
  <c r="L40" i="113"/>
  <c r="AO20" i="64"/>
  <c r="AG13" i="113"/>
  <c r="AX39" i="113"/>
  <c r="AM8" i="113"/>
  <c r="AX13" i="64"/>
  <c r="O8" i="113"/>
  <c r="AT12" i="64"/>
  <c r="AP17" i="113"/>
  <c r="AA22" i="113"/>
  <c r="BV16" i="113"/>
  <c r="BQ17" i="113"/>
  <c r="AU39" i="113"/>
  <c r="P37" i="113"/>
  <c r="Z34" i="113"/>
  <c r="AB17" i="113"/>
  <c r="M17" i="113"/>
  <c r="Q13" i="113"/>
  <c r="BA21" i="64"/>
  <c r="G7" i="64"/>
  <c r="BA13" i="64"/>
  <c r="BP15" i="113"/>
  <c r="BC36" i="113"/>
  <c r="AQ38" i="113"/>
  <c r="AH22" i="64"/>
  <c r="BA38" i="113"/>
  <c r="AB35" i="113"/>
  <c r="AM21" i="113"/>
  <c r="AW36" i="113"/>
  <c r="H14" i="64"/>
  <c r="AN22" i="64"/>
  <c r="AC33" i="113"/>
  <c r="AH20" i="64"/>
  <c r="AE21" i="64"/>
  <c r="R10" i="64"/>
  <c r="T22" i="64"/>
  <c r="T39" i="113"/>
  <c r="Y37" i="113"/>
  <c r="BO23" i="113"/>
  <c r="AC40" i="113"/>
  <c r="BU13" i="113"/>
  <c r="AV21" i="64"/>
  <c r="BS34" i="113"/>
  <c r="AB21" i="113"/>
  <c r="AA8" i="113"/>
  <c r="R22" i="64"/>
  <c r="BU33" i="113"/>
  <c r="R36" i="113"/>
  <c r="AS38" i="113"/>
  <c r="Q21" i="64"/>
  <c r="Y14" i="64"/>
  <c r="BY37" i="113"/>
  <c r="N19" i="113"/>
  <c r="W12" i="64"/>
  <c r="BU16" i="113"/>
  <c r="BC23" i="64"/>
  <c r="AY20" i="113"/>
  <c r="L8" i="113"/>
  <c r="J35" i="113"/>
  <c r="AS39" i="113"/>
  <c r="AF36" i="113"/>
  <c r="BD14" i="113"/>
  <c r="E38" i="113"/>
  <c r="BG20" i="64"/>
  <c r="AF21" i="64"/>
  <c r="AN8" i="113"/>
  <c r="J12" i="64"/>
  <c r="AE40" i="113"/>
  <c r="AI23" i="64"/>
  <c r="AI23" i="113"/>
  <c r="S36" i="113"/>
  <c r="F235" i="113"/>
  <c r="BY8" i="113"/>
  <c r="BV35" i="113"/>
  <c r="AY21" i="64"/>
  <c r="BI22" i="64"/>
  <c r="BC14" i="64"/>
  <c r="AK14" i="113"/>
  <c r="AB23" i="64"/>
  <c r="BW33" i="113"/>
  <c r="AW20" i="113"/>
  <c r="U34" i="113"/>
  <c r="P20" i="113"/>
  <c r="AI13" i="113"/>
  <c r="BT17" i="113"/>
  <c r="BS19" i="113"/>
  <c r="G12" i="64"/>
  <c r="BJ20" i="64"/>
  <c r="AI22" i="113"/>
  <c r="BA16" i="113"/>
  <c r="AI21" i="113"/>
  <c r="BA22" i="113"/>
  <c r="Y21" i="113"/>
  <c r="AB22" i="113"/>
  <c r="BP22" i="113"/>
  <c r="BC33" i="113"/>
  <c r="AO8" i="113"/>
  <c r="AB15" i="113"/>
  <c r="BV17" i="113"/>
  <c r="AG21" i="64"/>
  <c r="T36" i="113"/>
  <c r="AU23" i="113"/>
  <c r="BB15" i="113"/>
  <c r="AW39" i="113"/>
  <c r="G233" i="113"/>
  <c r="AD13" i="113"/>
  <c r="AT20" i="64"/>
  <c r="AW34" i="113"/>
  <c r="K39" i="113"/>
  <c r="AX22" i="64"/>
  <c r="G36" i="113"/>
  <c r="BC34" i="113"/>
  <c r="AE20" i="64"/>
  <c r="AW37" i="113"/>
  <c r="BE20" i="64"/>
  <c r="BD40" i="113"/>
  <c r="AU22" i="64"/>
  <c r="H40" i="113"/>
  <c r="Y13" i="64"/>
  <c r="BO8" i="113"/>
  <c r="AX36" i="113"/>
  <c r="AA21" i="64"/>
  <c r="AO33" i="113"/>
  <c r="BA19" i="113"/>
  <c r="AF14" i="113"/>
  <c r="L36" i="113"/>
  <c r="BD15" i="113"/>
  <c r="BY36" i="113"/>
  <c r="AN36" i="113"/>
  <c r="I8" i="113"/>
  <c r="AU8" i="113"/>
  <c r="AG10" i="64"/>
  <c r="AQ22" i="64"/>
  <c r="M38" i="113"/>
  <c r="BE23" i="64"/>
  <c r="AT23" i="113"/>
  <c r="AO22" i="64"/>
  <c r="AM13" i="64"/>
  <c r="T21" i="113"/>
  <c r="AS36" i="113"/>
  <c r="O13" i="113"/>
  <c r="Z13" i="64"/>
  <c r="BN7" i="113"/>
  <c r="BS14" i="113"/>
  <c r="AP20" i="113"/>
  <c r="BT36" i="113"/>
  <c r="BA40" i="113"/>
  <c r="AN21" i="64"/>
  <c r="BN19" i="113"/>
  <c r="AX33" i="113"/>
  <c r="BV39" i="113"/>
  <c r="AU23" i="64"/>
  <c r="AJ37" i="113"/>
  <c r="BA33" i="113"/>
  <c r="U22" i="64"/>
  <c r="BB16" i="113"/>
  <c r="AY13" i="113"/>
  <c r="AJ14" i="113"/>
  <c r="X22" i="64"/>
  <c r="S20" i="64"/>
  <c r="BF12" i="64"/>
  <c r="I14" i="64"/>
  <c r="AI21" i="64"/>
  <c r="P39" i="113"/>
  <c r="AK37" i="113"/>
  <c r="AM22" i="113"/>
  <c r="BS22" i="113"/>
  <c r="T37" i="113"/>
  <c r="AG8" i="113"/>
  <c r="AR14" i="64"/>
  <c r="AD21" i="64"/>
  <c r="AT23" i="64"/>
  <c r="AF35" i="113"/>
  <c r="W35" i="113"/>
  <c r="AO17" i="113"/>
  <c r="AD37" i="113"/>
  <c r="AP23" i="64"/>
  <c r="BS35" i="113"/>
  <c r="BS8" i="113"/>
  <c r="AQ36" i="113"/>
  <c r="N22" i="64"/>
  <c r="AQ14" i="113"/>
  <c r="BQ20" i="113"/>
  <c r="AM21" i="64"/>
  <c r="AN13" i="64"/>
  <c r="BV20" i="113"/>
  <c r="AM12" i="64"/>
  <c r="BE22" i="64"/>
  <c r="R23" i="113"/>
  <c r="AC12" i="64"/>
  <c r="AT13" i="113"/>
  <c r="BD22" i="113"/>
  <c r="AI13" i="64"/>
  <c r="AY8" i="113"/>
  <c r="P14" i="113"/>
  <c r="BB20" i="113"/>
  <c r="AC19" i="113"/>
  <c r="AB20" i="64"/>
  <c r="AB21" i="64"/>
  <c r="AJ35" i="113"/>
  <c r="AL14" i="113"/>
  <c r="BN20" i="113"/>
  <c r="E33" i="113"/>
  <c r="AC23" i="64"/>
  <c r="Q39" i="113"/>
  <c r="BS33" i="113"/>
  <c r="W34" i="113"/>
  <c r="AX21" i="64"/>
  <c r="AO20" i="113"/>
  <c r="J40" i="113"/>
  <c r="BC39" i="113"/>
  <c r="J39" i="113"/>
  <c r="K35" i="113"/>
  <c r="AL34" i="113"/>
  <c r="S33" i="113"/>
  <c r="BC8" i="113"/>
  <c r="R22" i="113"/>
  <c r="AZ20" i="64"/>
  <c r="M8" i="113"/>
  <c r="BY13" i="113"/>
  <c r="V36" i="113"/>
  <c r="P40" i="113"/>
  <c r="BX20" i="113"/>
  <c r="BJ7" i="113"/>
  <c r="BC15" i="113"/>
  <c r="AB33" i="113"/>
  <c r="AZ33" i="113"/>
  <c r="O34" i="113"/>
  <c r="Z8" i="113"/>
  <c r="W22" i="64"/>
  <c r="N35" i="113"/>
  <c r="BG7" i="113"/>
  <c r="AO34" i="113"/>
  <c r="AX8" i="113"/>
  <c r="AK13" i="64"/>
  <c r="AS33" i="113"/>
  <c r="BK13" i="113"/>
  <c r="AU13" i="113"/>
  <c r="AS20" i="113"/>
  <c r="BD39" i="113"/>
  <c r="Y20" i="64"/>
  <c r="BQ15" i="113"/>
  <c r="AH21" i="64"/>
  <c r="T8" i="113"/>
  <c r="BD37" i="113"/>
  <c r="J33" i="113"/>
  <c r="AH17" i="113"/>
  <c r="AE37" i="113"/>
  <c r="BU22" i="113"/>
  <c r="AR40" i="113"/>
  <c r="BJ13" i="64"/>
  <c r="M14" i="113"/>
  <c r="AW14" i="113"/>
  <c r="AU38" i="113"/>
  <c r="K33" i="113"/>
  <c r="Z35" i="113"/>
  <c r="AK21" i="64"/>
  <c r="AV15" i="113"/>
  <c r="AI33" i="113"/>
  <c r="BD20" i="113"/>
  <c r="BB21" i="64"/>
  <c r="M7" i="64"/>
  <c r="AL20" i="64"/>
  <c r="AH33" i="113"/>
  <c r="O36" i="113"/>
  <c r="AA35" i="113"/>
  <c r="AN13" i="113"/>
  <c r="BD33" i="113"/>
  <c r="BG13" i="64"/>
  <c r="O39" i="113"/>
  <c r="R15" i="113"/>
  <c r="R33" i="113"/>
  <c r="AP22" i="113"/>
  <c r="E37" i="113"/>
  <c r="AE13" i="113"/>
  <c r="AH22" i="113"/>
  <c r="Y17" i="113"/>
  <c r="AD23" i="64"/>
  <c r="AK19" i="113"/>
  <c r="AW15" i="113"/>
  <c r="AC22" i="64"/>
  <c r="BE8" i="113"/>
  <c r="I40" i="113"/>
  <c r="AH39" i="113"/>
  <c r="T10" i="64"/>
  <c r="I34" i="113"/>
  <c r="AQ20" i="64"/>
  <c r="P35" i="113"/>
  <c r="AO40" i="113"/>
  <c r="AD20" i="113"/>
  <c r="BB21" i="113"/>
  <c r="AR37" i="113"/>
  <c r="BD21" i="113"/>
  <c r="J14" i="64"/>
  <c r="AW17" i="113"/>
  <c r="E39" i="113"/>
  <c r="AE35" i="113"/>
  <c r="U36" i="113"/>
  <c r="S22" i="64"/>
  <c r="BF7" i="113"/>
  <c r="BU37" i="113"/>
  <c r="I35" i="113"/>
  <c r="AB14" i="64"/>
  <c r="BM20" i="113"/>
  <c r="BX16" i="113"/>
  <c r="N16" i="113"/>
  <c r="AL38" i="113"/>
  <c r="BX34" i="113"/>
  <c r="AN39" i="113"/>
  <c r="T23" i="64"/>
  <c r="AD34" i="113"/>
  <c r="AD35" i="113"/>
  <c r="K7" i="64"/>
  <c r="E36" i="113"/>
  <c r="N40" i="113"/>
  <c r="U22" i="113"/>
  <c r="BP13" i="113"/>
  <c r="Z37" i="113"/>
  <c r="AG39" i="113"/>
  <c r="BC16" i="113"/>
  <c r="BT33" i="113"/>
  <c r="BB19" i="113"/>
  <c r="AF39" i="113"/>
  <c r="AO23" i="113"/>
  <c r="AH40" i="113"/>
  <c r="Z12" i="64"/>
  <c r="AI34" i="113"/>
  <c r="AJ39" i="113"/>
  <c r="AB40" i="113"/>
  <c r="P20" i="64"/>
  <c r="L37" i="113"/>
  <c r="AI17" i="113"/>
  <c r="AA23" i="113"/>
  <c r="AN34" i="113"/>
  <c r="W23" i="64"/>
  <c r="U21" i="113"/>
  <c r="M16" i="113"/>
  <c r="AD20" i="64"/>
  <c r="AU15" i="113"/>
  <c r="F37" i="113"/>
  <c r="Q40" i="113"/>
  <c r="AZ22" i="64"/>
  <c r="N15" i="113"/>
  <c r="BC20" i="64"/>
  <c r="AV20" i="64"/>
  <c r="R35" i="113"/>
  <c r="G34" i="113"/>
  <c r="AR23" i="64"/>
  <c r="Y8" i="113"/>
  <c r="V8" i="113"/>
  <c r="P13" i="113"/>
  <c r="BB34" i="113"/>
  <c r="AK8" i="113"/>
  <c r="BA35" i="113"/>
  <c r="AK33" i="113"/>
  <c r="I13" i="64"/>
  <c r="M36" i="113"/>
  <c r="AZ14" i="113"/>
  <c r="AV17" i="113"/>
  <c r="AP14" i="64"/>
  <c r="BX38" i="113"/>
  <c r="AY23" i="64"/>
  <c r="BW8" i="113"/>
  <c r="AL19" i="113"/>
  <c r="X14" i="64"/>
  <c r="AO35" i="113"/>
  <c r="L7" i="64"/>
  <c r="W20" i="64"/>
  <c r="BU39" i="113"/>
  <c r="AL12" i="64"/>
  <c r="F40" i="113"/>
  <c r="BA37" i="113"/>
  <c r="BJ21" i="64"/>
  <c r="AG15" i="113"/>
  <c r="BL13" i="113"/>
  <c r="AJ13" i="64"/>
  <c r="BF14" i="64"/>
  <c r="AD36" i="113"/>
  <c r="U33" i="113"/>
  <c r="AH12" i="64"/>
  <c r="BJ8" i="113"/>
  <c r="AM36" i="113"/>
  <c r="AZ23" i="64"/>
  <c r="AQ40" i="113"/>
  <c r="AF37" i="113"/>
  <c r="U19" i="113"/>
  <c r="AS12" i="64"/>
  <c r="O23" i="64"/>
  <c r="AU14" i="113"/>
  <c r="AL13" i="113"/>
  <c r="BS20" i="113"/>
  <c r="G8" i="113"/>
  <c r="BF13" i="64"/>
  <c r="AC13" i="113"/>
  <c r="BT38" i="113"/>
  <c r="W40" i="113"/>
  <c r="BV19" i="113"/>
  <c r="AP8" i="113"/>
  <c r="AI38" i="113"/>
  <c r="BS40" i="113"/>
  <c r="AI14" i="113"/>
  <c r="BV23" i="113"/>
  <c r="AX34" i="113"/>
  <c r="BV13" i="113"/>
  <c r="BS37" i="113"/>
  <c r="AD39" i="113"/>
  <c r="BQ8" i="113"/>
  <c r="L39" i="113"/>
  <c r="AT37" i="113"/>
  <c r="L23" i="113"/>
  <c r="AB34" i="113"/>
  <c r="BC22" i="113"/>
  <c r="AJ20" i="64"/>
  <c r="R16" i="113"/>
  <c r="T16" i="113"/>
  <c r="AZ36" i="113"/>
  <c r="U23" i="113"/>
  <c r="AR20" i="64"/>
  <c r="AR34" i="113"/>
  <c r="AY22" i="64"/>
  <c r="AH38" i="113"/>
  <c r="AI12" i="64"/>
  <c r="AJ34" i="113"/>
  <c r="U13" i="113"/>
  <c r="AQ37" i="113"/>
  <c r="R14" i="113"/>
  <c r="BV14" i="113"/>
  <c r="AU34" i="113"/>
  <c r="E40" i="113"/>
  <c r="R37" i="113"/>
  <c r="AJ14" i="64"/>
  <c r="S38" i="113"/>
  <c r="AH14" i="64"/>
  <c r="AN22" i="113"/>
  <c r="N22" i="113"/>
  <c r="AU20" i="64"/>
  <c r="AY12" i="64"/>
  <c r="AX14" i="64"/>
  <c r="J38" i="113"/>
  <c r="BT23" i="113"/>
  <c r="BG12" i="64"/>
  <c r="AT38" i="113"/>
  <c r="Y38" i="113"/>
  <c r="AR39" i="113"/>
  <c r="BY16" i="113"/>
  <c r="F33" i="113"/>
  <c r="F38" i="113"/>
  <c r="Z38" i="113"/>
  <c r="AW21" i="113"/>
  <c r="BY39" i="113"/>
  <c r="S23" i="113"/>
  <c r="AT22" i="64"/>
  <c r="BX17" i="113"/>
  <c r="AQ39" i="113"/>
  <c r="AR12" i="64"/>
  <c r="AU17" i="113"/>
  <c r="H33" i="113"/>
  <c r="AZ139" i="64" l="1"/>
  <c r="AU9" i="71" s="1"/>
  <c r="X263" i="113"/>
  <c r="Z139" i="64"/>
  <c r="BA263" i="113"/>
  <c r="AU29" i="71" s="1"/>
  <c r="AN263" i="113"/>
  <c r="AH29" i="71" s="1"/>
  <c r="A33" i="113"/>
  <c r="A39" i="113"/>
  <c r="AO261" i="113"/>
  <c r="AI27" i="71" s="1"/>
  <c r="A234" i="113"/>
  <c r="A235" i="113"/>
  <c r="BC139" i="64"/>
  <c r="AX9" i="71" s="1"/>
  <c r="A38" i="113"/>
  <c r="R277" i="113"/>
  <c r="BT263" i="113"/>
  <c r="T277" i="113"/>
  <c r="BG139" i="64"/>
  <c r="L261" i="113"/>
  <c r="M27" i="71" s="1"/>
  <c r="BR15" i="113"/>
  <c r="BR36" i="113"/>
  <c r="AW139" i="64"/>
  <c r="AT139" i="64"/>
  <c r="AO9" i="71" s="1"/>
  <c r="AC277" i="113"/>
  <c r="AX139" i="64"/>
  <c r="BR22" i="113"/>
  <c r="S277" i="113"/>
  <c r="AM277" i="113"/>
  <c r="AG47" i="71" s="1"/>
  <c r="BB277" i="113"/>
  <c r="AV47" i="71" s="1"/>
  <c r="T139" i="64"/>
  <c r="AH261" i="113"/>
  <c r="AR139" i="64"/>
  <c r="BR16" i="113"/>
  <c r="AF139" i="64"/>
  <c r="AJ261" i="113"/>
  <c r="AD27" i="71" s="1"/>
  <c r="O139" i="64"/>
  <c r="AT263" i="113"/>
  <c r="AN29" i="71" s="1"/>
  <c r="AW261" i="113"/>
  <c r="AQ27" i="71" s="1"/>
  <c r="W263" i="113"/>
  <c r="V139" i="64"/>
  <c r="BS261" i="113"/>
  <c r="AE261" i="113"/>
  <c r="BR40" i="113"/>
  <c r="N277" i="113"/>
  <c r="O47" i="71" s="1"/>
  <c r="AB139" i="64"/>
  <c r="P139" i="64"/>
  <c r="AL277" i="113"/>
  <c r="AF47" i="71" s="1"/>
  <c r="BB263" i="113"/>
  <c r="AV29" i="71" s="1"/>
  <c r="J263" i="113"/>
  <c r="K29" i="71" s="1"/>
  <c r="P277" i="113"/>
  <c r="AS263" i="113"/>
  <c r="AM29" i="71" s="1"/>
  <c r="BB261" i="113"/>
  <c r="AV27" i="71" s="1"/>
  <c r="H263" i="113"/>
  <c r="I29" i="71" s="1"/>
  <c r="BR33" i="113"/>
  <c r="BR14" i="113"/>
  <c r="BD263" i="113"/>
  <c r="AX29" i="71" s="1"/>
  <c r="BU263" i="113"/>
  <c r="AF277" i="113"/>
  <c r="BW277" i="113"/>
  <c r="AA139" i="64"/>
  <c r="AY277" i="113"/>
  <c r="AS47" i="71" s="1"/>
  <c r="AZ277" i="113"/>
  <c r="AT47" i="71" s="1"/>
  <c r="AV261" i="113"/>
  <c r="AP27" i="71" s="1"/>
  <c r="AG263" i="113"/>
  <c r="AC261" i="113"/>
  <c r="AN139" i="64"/>
  <c r="AI9" i="71" s="1"/>
  <c r="BR35" i="113"/>
  <c r="R261" i="113"/>
  <c r="BX261" i="113"/>
  <c r="AS139" i="64"/>
  <c r="BD10" i="64"/>
  <c r="AE263" i="113"/>
  <c r="AE139" i="64"/>
  <c r="S263" i="113"/>
  <c r="AW263" i="113"/>
  <c r="AQ29" i="71" s="1"/>
  <c r="BW263" i="113"/>
  <c r="AG139" i="64"/>
  <c r="BR39" i="113"/>
  <c r="BR8" i="113"/>
  <c r="A40" i="113"/>
  <c r="BA261" i="113"/>
  <c r="AU27" i="71" s="1"/>
  <c r="AZ261" i="113"/>
  <c r="AT27" i="71" s="1"/>
  <c r="AC139" i="64"/>
  <c r="AR261" i="113"/>
  <c r="AL27" i="71" s="1"/>
  <c r="AM263" i="113"/>
  <c r="AG29" i="71" s="1"/>
  <c r="AU263" i="113"/>
  <c r="AO29" i="71" s="1"/>
  <c r="BU277" i="113"/>
  <c r="Q277" i="113"/>
  <c r="AD261" i="113"/>
  <c r="BD13" i="64"/>
  <c r="U261" i="113"/>
  <c r="BD14" i="64"/>
  <c r="T261" i="113"/>
  <c r="BS263" i="113"/>
  <c r="V263" i="113"/>
  <c r="Y263" i="113"/>
  <c r="A244" i="113"/>
  <c r="AV139" i="64"/>
  <c r="AU153" i="64" s="1"/>
  <c r="AX261" i="113"/>
  <c r="AR27" i="71" s="1"/>
  <c r="O263" i="113"/>
  <c r="BY277" i="113"/>
  <c r="AA263" i="113"/>
  <c r="AI261" i="113"/>
  <c r="Q139" i="64"/>
  <c r="AY263" i="113"/>
  <c r="AS29" i="71" s="1"/>
  <c r="A37" i="113"/>
  <c r="AE277" i="113"/>
  <c r="AH277" i="113"/>
  <c r="AY261" i="113"/>
  <c r="AS27" i="71" s="1"/>
  <c r="AG277" i="113"/>
  <c r="R263" i="113"/>
  <c r="AJ277" i="113"/>
  <c r="AD47" i="71" s="1"/>
  <c r="BE139" i="64"/>
  <c r="AN277" i="113"/>
  <c r="AH47" i="71" s="1"/>
  <c r="AU139" i="64"/>
  <c r="AQ263" i="113"/>
  <c r="AK29" i="71" s="1"/>
  <c r="BR20" i="113"/>
  <c r="AF261" i="113"/>
  <c r="BD277" i="113"/>
  <c r="AX47" i="71" s="1"/>
  <c r="AF263" i="113"/>
  <c r="O277" i="113"/>
  <c r="BR37" i="113"/>
  <c r="N139" i="64"/>
  <c r="BR13" i="113"/>
  <c r="M261" i="113"/>
  <c r="N27" i="71" s="1"/>
  <c r="AU261" i="113"/>
  <c r="AO27" i="71" s="1"/>
  <c r="BX263" i="113"/>
  <c r="O261" i="113"/>
  <c r="R139" i="64"/>
  <c r="K263" i="113"/>
  <c r="L29" i="71" s="1"/>
  <c r="AI263" i="113"/>
  <c r="BR19" i="113"/>
  <c r="M277" i="113"/>
  <c r="N47" i="71" s="1"/>
  <c r="I263" i="113"/>
  <c r="J29" i="71" s="1"/>
  <c r="Y139" i="64"/>
  <c r="U139" i="64"/>
  <c r="AP139" i="64"/>
  <c r="AN261" i="113"/>
  <c r="AH27" i="71" s="1"/>
  <c r="AS261" i="113"/>
  <c r="AM27" i="71" s="1"/>
  <c r="BD261" i="113"/>
  <c r="AX27" i="71" s="1"/>
  <c r="AK261" i="113"/>
  <c r="AE27" i="71" s="1"/>
  <c r="Z263" i="113"/>
  <c r="BW261" i="113"/>
  <c r="S261" i="113"/>
  <c r="BU261" i="113"/>
  <c r="A36" i="113"/>
  <c r="BC261" i="113"/>
  <c r="AW27" i="71" s="1"/>
  <c r="AM139" i="64"/>
  <c r="AH9" i="71" s="1"/>
  <c r="AH139" i="64"/>
  <c r="AI139" i="64"/>
  <c r="AD9" i="71" s="1"/>
  <c r="BR38" i="113"/>
  <c r="AO263" i="113"/>
  <c r="AI29" i="71" s="1"/>
  <c r="M263" i="113"/>
  <c r="N29" i="71" s="1"/>
  <c r="AP263" i="113"/>
  <c r="AJ29" i="71" s="1"/>
  <c r="AT261" i="113"/>
  <c r="AN27" i="71" s="1"/>
  <c r="AV263" i="113"/>
  <c r="AP29" i="71" s="1"/>
  <c r="AC263" i="113"/>
  <c r="AL263" i="113"/>
  <c r="AF29" i="71" s="1"/>
  <c r="BA139" i="64"/>
  <c r="AV9" i="71" s="1"/>
  <c r="BD12" i="64"/>
  <c r="N261" i="113"/>
  <c r="O27" i="71" s="1"/>
  <c r="AR263" i="113"/>
  <c r="AL29" i="71" s="1"/>
  <c r="BH139" i="64"/>
  <c r="L263" i="113"/>
  <c r="M29" i="71" s="1"/>
  <c r="BV263" i="113"/>
  <c r="T263" i="113"/>
  <c r="AI277" i="113"/>
  <c r="AD277" i="113"/>
  <c r="BR34" i="113"/>
  <c r="AO139" i="64"/>
  <c r="N263" i="113"/>
  <c r="O29" i="71" s="1"/>
  <c r="AB263" i="113"/>
  <c r="AK139" i="64"/>
  <c r="AF9" i="71" s="1"/>
  <c r="BR23" i="113"/>
  <c r="BJ139" i="64"/>
  <c r="A8" i="113"/>
  <c r="A34" i="113"/>
  <c r="U277" i="113"/>
  <c r="AJ139" i="64"/>
  <c r="AE9" i="71" s="1"/>
  <c r="BC277" i="113"/>
  <c r="AW47" i="71" s="1"/>
  <c r="BR17" i="113"/>
  <c r="BC263" i="113"/>
  <c r="AW29" i="71" s="1"/>
  <c r="P263" i="113"/>
  <c r="BV261" i="113"/>
  <c r="U263" i="113"/>
  <c r="A233" i="113"/>
  <c r="BB139" i="64"/>
  <c r="AW9" i="71" s="1"/>
  <c r="AL139" i="64"/>
  <c r="AG9" i="71" s="1"/>
  <c r="BI139" i="64"/>
  <c r="AD263" i="113"/>
  <c r="AX277" i="113"/>
  <c r="AR47" i="71" s="1"/>
  <c r="AP277" i="113"/>
  <c r="AJ47" i="71" s="1"/>
  <c r="L277" i="113"/>
  <c r="M47" i="71" s="1"/>
  <c r="BR21" i="113"/>
  <c r="AM261" i="113"/>
  <c r="AG27" i="71" s="1"/>
  <c r="AG261" i="113"/>
  <c r="P261" i="113"/>
  <c r="AJ263" i="113"/>
  <c r="AD29" i="71" s="1"/>
  <c r="BS277" i="113"/>
  <c r="S139" i="64"/>
  <c r="AO277" i="113"/>
  <c r="AI47" i="71" s="1"/>
  <c r="Q263" i="113"/>
  <c r="BK139" i="64"/>
  <c r="W139" i="64"/>
  <c r="AK277" i="113"/>
  <c r="AE47" i="71" s="1"/>
  <c r="BY263" i="113"/>
  <c r="AY139" i="64"/>
  <c r="AT9" i="71" s="1"/>
  <c r="AX263" i="113"/>
  <c r="AR29" i="71" s="1"/>
  <c r="AH263" i="113"/>
  <c r="BA277" i="113"/>
  <c r="AU47" i="71" s="1"/>
  <c r="Q261" i="113"/>
  <c r="AD139" i="64"/>
  <c r="AQ261" i="113"/>
  <c r="AK27" i="71" s="1"/>
  <c r="AQ139" i="64"/>
  <c r="AL261" i="113"/>
  <c r="AF27" i="71" s="1"/>
  <c r="X139" i="64"/>
  <c r="AP261" i="113"/>
  <c r="AJ27" i="71" s="1"/>
  <c r="BF139" i="64"/>
  <c r="AK263" i="113"/>
  <c r="AE29" i="71" s="1"/>
  <c r="BY261" i="113"/>
  <c r="AZ263" i="113"/>
  <c r="AT29" i="71" s="1"/>
  <c r="BD7" i="64"/>
  <c r="A35" i="113"/>
  <c r="AM9" i="71"/>
  <c r="EA11" i="135"/>
  <c r="AD25" i="135"/>
  <c r="EO12" i="135"/>
  <c r="DM13" i="135"/>
  <c r="EO9" i="135"/>
  <c r="DT13" i="135"/>
  <c r="EH11" i="135"/>
  <c r="EH8" i="135"/>
  <c r="DM22" i="135"/>
  <c r="EH22" i="135"/>
  <c r="EA22" i="135"/>
  <c r="EA9" i="135"/>
  <c r="EH9" i="135"/>
  <c r="DM37" i="135"/>
  <c r="EH37" i="135"/>
  <c r="EA37" i="135"/>
  <c r="DG21" i="135"/>
  <c r="DN21" i="135"/>
  <c r="DF8" i="135"/>
  <c r="DM8" i="135"/>
  <c r="DH6" i="135"/>
  <c r="DO6" i="135"/>
  <c r="DF9" i="135"/>
  <c r="DM9" i="135"/>
  <c r="DG36" i="135"/>
  <c r="EB7" i="135"/>
  <c r="DU7" i="135"/>
  <c r="DT22" i="135"/>
  <c r="DT37" i="135"/>
  <c r="CY26" i="135"/>
  <c r="AD24" i="135"/>
  <c r="DT9" i="135"/>
  <c r="CY25" i="135"/>
  <c r="CY28" i="135"/>
  <c r="CY8" i="135"/>
  <c r="CY23" i="135"/>
  <c r="CY24" i="135"/>
  <c r="AD23" i="135"/>
  <c r="CY27" i="135"/>
  <c r="EJ6" i="135"/>
  <c r="AF58" i="135"/>
  <c r="AE62" i="135"/>
  <c r="AE64" i="135"/>
  <c r="AE63" i="135"/>
  <c r="AE59" i="135"/>
  <c r="AE60" i="135"/>
  <c r="AE61" i="135"/>
  <c r="EI21" i="135"/>
  <c r="EQ6" i="135"/>
  <c r="EP36" i="135"/>
  <c r="CH31" i="104"/>
  <c r="EE31" i="104" s="1"/>
  <c r="CV31" i="104"/>
  <c r="ES31" i="104" s="1"/>
  <c r="CO58" i="104"/>
  <c r="EL58" i="104" s="1"/>
  <c r="CP9" i="104"/>
  <c r="EM9" i="104" s="1"/>
  <c r="CI58" i="104"/>
  <c r="EF58" i="104" s="1"/>
  <c r="CN31" i="104"/>
  <c r="EK31" i="104" s="1"/>
  <c r="CV32" i="104"/>
  <c r="ES32" i="104" s="1"/>
  <c r="CN32" i="104"/>
  <c r="EK32" i="104" s="1"/>
  <c r="CH32" i="104"/>
  <c r="EE32" i="104" s="1"/>
  <c r="CI10" i="104"/>
  <c r="EF10" i="104" s="1"/>
  <c r="CH9" i="104"/>
  <c r="EE9" i="104" s="1"/>
  <c r="BC88" i="104"/>
  <c r="CZ88" i="104" s="1"/>
  <c r="CO121" i="104"/>
  <c r="EL121" i="104" s="1"/>
  <c r="CG146" i="104"/>
  <c r="ED146" i="104" s="1"/>
  <c r="CO122" i="104"/>
  <c r="EL122" i="104" s="1"/>
  <c r="CN145" i="104"/>
  <c r="EK145" i="104" s="1"/>
  <c r="BG30" i="104"/>
  <c r="BE30" i="104"/>
  <c r="BH30" i="104" s="1"/>
  <c r="BC145" i="104"/>
  <c r="CZ145" i="104" s="1"/>
  <c r="CU145" i="104"/>
  <c r="ER145" i="104" s="1"/>
  <c r="CN146" i="104"/>
  <c r="EK146" i="104" s="1"/>
  <c r="CH64" i="104"/>
  <c r="EE64" i="104" s="1"/>
  <c r="CH122" i="104"/>
  <c r="EE122" i="104" s="1"/>
  <c r="CO115" i="104"/>
  <c r="EL115" i="104" s="1"/>
  <c r="CU88" i="104"/>
  <c r="ER88" i="104" s="1"/>
  <c r="BF32" i="104"/>
  <c r="DC32" i="104" s="1"/>
  <c r="BD32" i="104"/>
  <c r="DA32" i="104" s="1"/>
  <c r="BC89" i="104"/>
  <c r="CZ89" i="104" s="1"/>
  <c r="CG88" i="104"/>
  <c r="ED88" i="104" s="1"/>
  <c r="CO123" i="104"/>
  <c r="EL123" i="104" s="1"/>
  <c r="CU146" i="104"/>
  <c r="ER146" i="104" s="1"/>
  <c r="BC146" i="104"/>
  <c r="CZ146" i="104" s="1"/>
  <c r="CG89" i="104"/>
  <c r="ED89" i="104" s="1"/>
  <c r="CG145" i="104"/>
  <c r="ED145" i="104" s="1"/>
  <c r="CN88" i="104"/>
  <c r="EK88" i="104" s="1"/>
  <c r="CO66" i="104"/>
  <c r="EL66" i="104" s="1"/>
  <c r="BD31" i="104"/>
  <c r="DA31" i="104" s="1"/>
  <c r="BF31" i="104"/>
  <c r="DC31" i="104" s="1"/>
  <c r="CH172" i="104"/>
  <c r="EE172" i="104" s="1"/>
  <c r="CN89" i="104"/>
  <c r="EK89" i="104" s="1"/>
  <c r="BF87" i="104"/>
  <c r="BD87" i="104"/>
  <c r="CO65" i="104"/>
  <c r="EL65" i="104" s="1"/>
  <c r="CH115" i="104"/>
  <c r="EE115" i="104" s="1"/>
  <c r="CO64" i="104"/>
  <c r="EL64" i="104" s="1"/>
  <c r="BF144" i="104"/>
  <c r="BD144" i="104"/>
  <c r="CU89" i="104"/>
  <c r="ER89" i="104" s="1"/>
  <c r="CO172" i="104"/>
  <c r="EL172" i="104" s="1"/>
  <c r="CH65" i="104"/>
  <c r="EE65" i="104" s="1"/>
  <c r="CH124" i="104"/>
  <c r="EE124" i="104" s="1"/>
  <c r="CH123" i="104"/>
  <c r="EE123" i="104" s="1"/>
  <c r="CH121" i="104"/>
  <c r="EE121" i="104" s="1"/>
  <c r="CH67" i="104"/>
  <c r="EE67" i="104" s="1"/>
  <c r="CH66" i="104"/>
  <c r="EE66" i="104" s="1"/>
  <c r="CT108" i="104"/>
  <c r="CT165" i="104"/>
  <c r="L145" i="104"/>
  <c r="L88" i="104"/>
  <c r="L146" i="104"/>
  <c r="L89" i="104"/>
  <c r="L144" i="104"/>
  <c r="L87" i="104"/>
  <c r="EP21" i="135"/>
  <c r="DU21" i="135"/>
  <c r="EB21" i="135"/>
  <c r="DU36" i="135"/>
  <c r="EB36" i="135"/>
  <c r="AE37" i="135"/>
  <c r="DN37" i="135" s="1"/>
  <c r="AE22" i="135"/>
  <c r="DN22" i="135" s="1"/>
  <c r="EI36" i="135"/>
  <c r="DP6" i="135"/>
  <c r="DO7" i="135"/>
  <c r="AF21" i="135"/>
  <c r="AF36" i="135"/>
  <c r="DO36" i="135" s="1"/>
  <c r="EC6" i="135"/>
  <c r="DV6" i="135"/>
  <c r="BK42" i="113"/>
  <c r="BL55" i="113"/>
  <c r="BK56" i="113"/>
  <c r="BL41" i="113"/>
  <c r="AL14" i="64"/>
  <c r="AT14" i="64"/>
  <c r="BR261" i="113" l="1"/>
  <c r="AJ9" i="71"/>
  <c r="F9" i="71" s="1"/>
  <c r="AV153" i="64"/>
  <c r="AQ9" i="71"/>
  <c r="BR139" i="64"/>
  <c r="AN9" i="71"/>
  <c r="BO139" i="64"/>
  <c r="AS9" i="71"/>
  <c r="BT139" i="64"/>
  <c r="BP139" i="64"/>
  <c r="AR9" i="71"/>
  <c r="BS139" i="64"/>
  <c r="AL9" i="71"/>
  <c r="BM139" i="64"/>
  <c r="BN139" i="64"/>
  <c r="AP9" i="71"/>
  <c r="BQ139" i="64"/>
  <c r="AK9" i="71"/>
  <c r="BL139" i="64"/>
  <c r="BR277" i="113"/>
  <c r="C27" i="71"/>
  <c r="H27" i="71"/>
  <c r="C47" i="71"/>
  <c r="H29" i="71"/>
  <c r="G29" i="71"/>
  <c r="G27" i="71"/>
  <c r="C29" i="71"/>
  <c r="BR263" i="113"/>
  <c r="EO25" i="135"/>
  <c r="EO24" i="135"/>
  <c r="EO23" i="135"/>
  <c r="DM11" i="135"/>
  <c r="DF11" i="135"/>
  <c r="DF10" i="135"/>
  <c r="EA10" i="135"/>
  <c r="DT11" i="135"/>
  <c r="EH10" i="135"/>
  <c r="AD26" i="135"/>
  <c r="EO10" i="135"/>
  <c r="DM10" i="135"/>
  <c r="DT10" i="135"/>
  <c r="AD28" i="135"/>
  <c r="AD27" i="135"/>
  <c r="DF12" i="135"/>
  <c r="EA13" i="135"/>
  <c r="EH12" i="135"/>
  <c r="EH13" i="135"/>
  <c r="EO11" i="135"/>
  <c r="EO13" i="135"/>
  <c r="DT8" i="135"/>
  <c r="DF13" i="135"/>
  <c r="EA8" i="135"/>
  <c r="DT12" i="135"/>
  <c r="DM12" i="135"/>
  <c r="EA12" i="135"/>
  <c r="F29" i="71"/>
  <c r="EA24" i="135"/>
  <c r="EH24" i="135"/>
  <c r="EH23" i="135"/>
  <c r="EA23" i="135"/>
  <c r="EA25" i="135"/>
  <c r="EH25" i="135"/>
  <c r="DG13" i="135"/>
  <c r="DN13" i="135"/>
  <c r="DG11" i="135"/>
  <c r="DN11" i="135"/>
  <c r="DH21" i="135"/>
  <c r="DO21" i="135"/>
  <c r="DG12" i="135"/>
  <c r="DN12" i="135"/>
  <c r="DF23" i="135"/>
  <c r="DM23" i="135"/>
  <c r="DG10" i="135"/>
  <c r="DN10" i="135"/>
  <c r="DF24" i="135"/>
  <c r="DM24" i="135"/>
  <c r="DF25" i="135"/>
  <c r="DM25" i="135"/>
  <c r="DG9" i="135"/>
  <c r="DN9" i="135"/>
  <c r="DG8" i="135"/>
  <c r="DN8" i="135"/>
  <c r="DH36" i="135"/>
  <c r="AG58" i="135"/>
  <c r="DI6" i="135"/>
  <c r="EI7" i="135"/>
  <c r="EJ7" i="135"/>
  <c r="EC7" i="135"/>
  <c r="DV7" i="135"/>
  <c r="EB22" i="135"/>
  <c r="EI22" i="135"/>
  <c r="DU22" i="135"/>
  <c r="EB37" i="135"/>
  <c r="EP37" i="135"/>
  <c r="CZ37" i="135"/>
  <c r="EI37" i="135"/>
  <c r="DU37" i="135"/>
  <c r="CY39" i="135"/>
  <c r="CY40" i="135"/>
  <c r="AE25" i="135"/>
  <c r="EP10" i="135"/>
  <c r="EI10" i="135"/>
  <c r="CZ10" i="135"/>
  <c r="DU10" i="135"/>
  <c r="EB10" i="135"/>
  <c r="AE24" i="135"/>
  <c r="CZ9" i="135"/>
  <c r="EB9" i="135"/>
  <c r="EI9" i="135"/>
  <c r="EP9" i="135"/>
  <c r="DU9" i="135"/>
  <c r="AD40" i="135"/>
  <c r="DT25" i="135"/>
  <c r="AE23" i="135"/>
  <c r="CZ8" i="135"/>
  <c r="EB8" i="135"/>
  <c r="DU8" i="135"/>
  <c r="EI8" i="135"/>
  <c r="CY43" i="135"/>
  <c r="AD39" i="135"/>
  <c r="DT24" i="135"/>
  <c r="AE27" i="135"/>
  <c r="DN27" i="135" s="1"/>
  <c r="EB12" i="135"/>
  <c r="EP12" i="135"/>
  <c r="EI12" i="135"/>
  <c r="CZ12" i="135"/>
  <c r="DU12" i="135"/>
  <c r="CY38" i="135"/>
  <c r="AE28" i="135"/>
  <c r="EP13" i="135"/>
  <c r="EB13" i="135"/>
  <c r="CZ13" i="135"/>
  <c r="DU13" i="135"/>
  <c r="EI13" i="135"/>
  <c r="CY42" i="135"/>
  <c r="AE26" i="135"/>
  <c r="DN26" i="135" s="1"/>
  <c r="CZ11" i="135"/>
  <c r="EB11" i="135"/>
  <c r="EI11" i="135"/>
  <c r="DU11" i="135"/>
  <c r="EP11" i="135"/>
  <c r="AD38" i="135"/>
  <c r="DT23" i="135"/>
  <c r="CY41" i="135"/>
  <c r="AF62" i="135"/>
  <c r="AF64" i="135"/>
  <c r="AF61" i="135"/>
  <c r="AF59" i="135"/>
  <c r="AF60" i="135"/>
  <c r="AF63" i="135"/>
  <c r="FE6" i="135"/>
  <c r="CQ9" i="104"/>
  <c r="EN9" i="104" s="1"/>
  <c r="FB9" i="104" s="1"/>
  <c r="CO32" i="104"/>
  <c r="EL32" i="104" s="1"/>
  <c r="CW32" i="104"/>
  <c r="ET32" i="104" s="1"/>
  <c r="CP58" i="104"/>
  <c r="EM58" i="104" s="1"/>
  <c r="CO31" i="104"/>
  <c r="EL31" i="104" s="1"/>
  <c r="CW31" i="104"/>
  <c r="ET31" i="104" s="1"/>
  <c r="CI32" i="104"/>
  <c r="EF32" i="104" s="1"/>
  <c r="CJ58" i="104"/>
  <c r="EG58" i="104" s="1"/>
  <c r="FA58" i="104" s="1"/>
  <c r="CI31" i="104"/>
  <c r="EF31" i="104" s="1"/>
  <c r="CI9" i="104"/>
  <c r="EF9" i="104" s="1"/>
  <c r="CJ10" i="104"/>
  <c r="EG10" i="104" s="1"/>
  <c r="FA10" i="104" s="1"/>
  <c r="CI66" i="104"/>
  <c r="EF66" i="104" s="1"/>
  <c r="CI123" i="104"/>
  <c r="EF123" i="104" s="1"/>
  <c r="CP123" i="104"/>
  <c r="EM123" i="104" s="1"/>
  <c r="BF88" i="104"/>
  <c r="DC88" i="104" s="1"/>
  <c r="BD88" i="104"/>
  <c r="DA88" i="104" s="1"/>
  <c r="CI115" i="104"/>
  <c r="EF115" i="104" s="1"/>
  <c r="CP66" i="104"/>
  <c r="EM66" i="104" s="1"/>
  <c r="CI67" i="104"/>
  <c r="EF67" i="104" s="1"/>
  <c r="CI124" i="104"/>
  <c r="EF124" i="104" s="1"/>
  <c r="CV89" i="104"/>
  <c r="ES89" i="104" s="1"/>
  <c r="CP122" i="104"/>
  <c r="EM122" i="104" s="1"/>
  <c r="BE144" i="104"/>
  <c r="BH144" i="104" s="1"/>
  <c r="BG144" i="104"/>
  <c r="CI172" i="104"/>
  <c r="EF172" i="104" s="1"/>
  <c r="BF146" i="104"/>
  <c r="DC146" i="104" s="1"/>
  <c r="BD146" i="104"/>
  <c r="DA146" i="104" s="1"/>
  <c r="CH88" i="104"/>
  <c r="EE88" i="104" s="1"/>
  <c r="CI64" i="104"/>
  <c r="EF64" i="104" s="1"/>
  <c r="BD145" i="104"/>
  <c r="DA145" i="104" s="1"/>
  <c r="BF145" i="104"/>
  <c r="DC145" i="104" s="1"/>
  <c r="CP65" i="104"/>
  <c r="EM65" i="104" s="1"/>
  <c r="CO88" i="104"/>
  <c r="EL88" i="104" s="1"/>
  <c r="BF89" i="104"/>
  <c r="DC89" i="104" s="1"/>
  <c r="BD89" i="104"/>
  <c r="DA89" i="104" s="1"/>
  <c r="CV88" i="104"/>
  <c r="ES88" i="104" s="1"/>
  <c r="CH146" i="104"/>
  <c r="EE146" i="104" s="1"/>
  <c r="BE32" i="104"/>
  <c r="DB32" i="104" s="1"/>
  <c r="BG32" i="104"/>
  <c r="DD32" i="104" s="1"/>
  <c r="CP121" i="104"/>
  <c r="EM121" i="104" s="1"/>
  <c r="CI65" i="104"/>
  <c r="EF65" i="104" s="1"/>
  <c r="CI121" i="104"/>
  <c r="EF121" i="104" s="1"/>
  <c r="BE31" i="104"/>
  <c r="DB31" i="104" s="1"/>
  <c r="BG31" i="104"/>
  <c r="DD31" i="104" s="1"/>
  <c r="BG87" i="104"/>
  <c r="BE87" i="104"/>
  <c r="BH87" i="104" s="1"/>
  <c r="CV146" i="104"/>
  <c r="ES146" i="104" s="1"/>
  <c r="CP115" i="104"/>
  <c r="EM115" i="104" s="1"/>
  <c r="CO146" i="104"/>
  <c r="EL146" i="104" s="1"/>
  <c r="CP172" i="104"/>
  <c r="EM172" i="104" s="1"/>
  <c r="CP64" i="104"/>
  <c r="EM64" i="104" s="1"/>
  <c r="CH145" i="104"/>
  <c r="EE145" i="104" s="1"/>
  <c r="CO89" i="104"/>
  <c r="EL89" i="104" s="1"/>
  <c r="CH89" i="104"/>
  <c r="EE89" i="104" s="1"/>
  <c r="CI122" i="104"/>
  <c r="EF122" i="104" s="1"/>
  <c r="CV145" i="104"/>
  <c r="ES145" i="104" s="1"/>
  <c r="CO145" i="104"/>
  <c r="EL145" i="104" s="1"/>
  <c r="CU108" i="104"/>
  <c r="CU165" i="104"/>
  <c r="EQ21" i="135"/>
  <c r="EJ21" i="135"/>
  <c r="EC21" i="135"/>
  <c r="DV21" i="135"/>
  <c r="AF37" i="135"/>
  <c r="DO37" i="135" s="1"/>
  <c r="AF22" i="135"/>
  <c r="DO22" i="135" s="1"/>
  <c r="DQ6" i="135"/>
  <c r="DP7" i="135"/>
  <c r="AG36" i="135"/>
  <c r="EK6" i="135"/>
  <c r="AG21" i="135"/>
  <c r="ED6" i="135"/>
  <c r="DW6" i="135"/>
  <c r="ER6" i="135"/>
  <c r="DV36" i="135"/>
  <c r="EJ36" i="135"/>
  <c r="EC36" i="135"/>
  <c r="EQ36" i="135"/>
  <c r="BK44" i="113"/>
  <c r="BM41" i="113"/>
  <c r="BK43" i="113"/>
  <c r="BL42" i="113"/>
  <c r="AM14" i="64"/>
  <c r="BM55" i="113"/>
  <c r="BK45" i="113"/>
  <c r="BL56" i="113"/>
  <c r="G9" i="71" l="1"/>
  <c r="H9" i="71"/>
  <c r="EO39" i="135"/>
  <c r="EO40" i="135"/>
  <c r="EO27" i="135"/>
  <c r="EO26" i="135"/>
  <c r="EO28" i="135"/>
  <c r="DT28" i="135"/>
  <c r="AD43" i="135"/>
  <c r="DM26" i="135"/>
  <c r="DT26" i="135"/>
  <c r="EA26" i="135"/>
  <c r="AD41" i="135"/>
  <c r="EA41" i="135" s="1"/>
  <c r="EA28" i="135"/>
  <c r="EH28" i="135"/>
  <c r="DF26" i="135"/>
  <c r="EH26" i="135"/>
  <c r="DF28" i="135"/>
  <c r="DM27" i="135"/>
  <c r="DF27" i="135"/>
  <c r="AD42" i="135"/>
  <c r="EH27" i="135"/>
  <c r="DT27" i="135"/>
  <c r="DM28" i="135"/>
  <c r="EA27" i="135"/>
  <c r="EH38" i="135"/>
  <c r="EA38" i="135"/>
  <c r="EH40" i="135"/>
  <c r="EA40" i="135"/>
  <c r="EH39" i="135"/>
  <c r="EA39" i="135"/>
  <c r="DG25" i="135"/>
  <c r="DN25" i="135"/>
  <c r="DI21" i="135"/>
  <c r="DP21" i="135"/>
  <c r="DF39" i="135"/>
  <c r="DM39" i="135"/>
  <c r="DH12" i="135"/>
  <c r="DO12" i="135"/>
  <c r="DF38" i="135"/>
  <c r="DM38" i="135"/>
  <c r="DH9" i="135"/>
  <c r="DO9" i="135"/>
  <c r="DH8" i="135"/>
  <c r="DO8" i="135"/>
  <c r="DF40" i="135"/>
  <c r="DM40" i="135"/>
  <c r="DG24" i="135"/>
  <c r="DN24" i="135"/>
  <c r="DH10" i="135"/>
  <c r="DO10" i="135"/>
  <c r="DH13" i="135"/>
  <c r="DO13" i="135"/>
  <c r="DI36" i="135"/>
  <c r="DP36" i="135"/>
  <c r="DH11" i="135"/>
  <c r="DO11" i="135"/>
  <c r="DG28" i="135"/>
  <c r="DN28" i="135"/>
  <c r="DG23" i="135"/>
  <c r="DN23" i="135"/>
  <c r="DG27" i="135"/>
  <c r="DG26" i="135"/>
  <c r="AH58" i="135"/>
  <c r="DJ6" i="135"/>
  <c r="EC37" i="135"/>
  <c r="EQ37" i="135"/>
  <c r="DA37" i="135"/>
  <c r="EJ37" i="135"/>
  <c r="DV37" i="135"/>
  <c r="EK7" i="135"/>
  <c r="ED7" i="135"/>
  <c r="DW7" i="135"/>
  <c r="EJ22" i="135"/>
  <c r="EC22" i="135"/>
  <c r="DV22" i="135"/>
  <c r="AF25" i="135"/>
  <c r="EC10" i="135"/>
  <c r="EQ10" i="135"/>
  <c r="EJ10" i="135"/>
  <c r="DA10" i="135"/>
  <c r="DV10" i="135"/>
  <c r="AE42" i="135"/>
  <c r="DN42" i="135" s="1"/>
  <c r="EP27" i="135"/>
  <c r="EB27" i="135"/>
  <c r="CZ27" i="135"/>
  <c r="EI27" i="135"/>
  <c r="DU27" i="135"/>
  <c r="AF28" i="135"/>
  <c r="EQ13" i="135"/>
  <c r="EC13" i="135"/>
  <c r="EJ13" i="135"/>
  <c r="DA13" i="135"/>
  <c r="DV13" i="135"/>
  <c r="AE39" i="135"/>
  <c r="DN39" i="135" s="1"/>
  <c r="EP24" i="135"/>
  <c r="CZ24" i="135"/>
  <c r="DU24" i="135"/>
  <c r="EB24" i="135"/>
  <c r="EI24" i="135"/>
  <c r="AF26" i="135"/>
  <c r="EQ11" i="135"/>
  <c r="DA11" i="135"/>
  <c r="EC11" i="135"/>
  <c r="EJ11" i="135"/>
  <c r="DV11" i="135"/>
  <c r="DT39" i="135"/>
  <c r="AF23" i="135"/>
  <c r="EC8" i="135"/>
  <c r="EJ8" i="135"/>
  <c r="DA8" i="135"/>
  <c r="DV8" i="135"/>
  <c r="AE43" i="135"/>
  <c r="DN43" i="135" s="1"/>
  <c r="CZ28" i="135"/>
  <c r="EP28" i="135"/>
  <c r="EI28" i="135"/>
  <c r="EB28" i="135"/>
  <c r="DU28" i="135"/>
  <c r="AE40" i="135"/>
  <c r="EP25" i="135"/>
  <c r="EB25" i="135"/>
  <c r="CZ25" i="135"/>
  <c r="EI25" i="135"/>
  <c r="DU25" i="135"/>
  <c r="AF27" i="135"/>
  <c r="EC12" i="135"/>
  <c r="DA12" i="135"/>
  <c r="EJ12" i="135"/>
  <c r="EQ12" i="135"/>
  <c r="DV12" i="135"/>
  <c r="DT38" i="135"/>
  <c r="AE38" i="135"/>
  <c r="DN38" i="135" s="1"/>
  <c r="CZ23" i="135"/>
  <c r="EP23" i="135"/>
  <c r="EI23" i="135"/>
  <c r="DU23" i="135"/>
  <c r="EB23" i="135"/>
  <c r="AF24" i="135"/>
  <c r="EJ9" i="135"/>
  <c r="EC9" i="135"/>
  <c r="EQ9" i="135"/>
  <c r="DA9" i="135"/>
  <c r="DV9" i="135"/>
  <c r="AE41" i="135"/>
  <c r="DN41" i="135" s="1"/>
  <c r="EI26" i="135"/>
  <c r="CZ26" i="135"/>
  <c r="EB26" i="135"/>
  <c r="EP26" i="135"/>
  <c r="DU26" i="135"/>
  <c r="DT40" i="135"/>
  <c r="FE7" i="135"/>
  <c r="CP31" i="104"/>
  <c r="EM31" i="104" s="1"/>
  <c r="CQ58" i="104"/>
  <c r="EN58" i="104" s="1"/>
  <c r="FB58" i="104" s="1"/>
  <c r="CJ32" i="104"/>
  <c r="EG32" i="104" s="1"/>
  <c r="FA32" i="104" s="1"/>
  <c r="CX32" i="104"/>
  <c r="EU32" i="104" s="1"/>
  <c r="FC32" i="104" s="1"/>
  <c r="CX31" i="104"/>
  <c r="EU31" i="104" s="1"/>
  <c r="FC31" i="104" s="1"/>
  <c r="CP32" i="104"/>
  <c r="EM32" i="104" s="1"/>
  <c r="CJ31" i="104"/>
  <c r="EG31" i="104" s="1"/>
  <c r="FA31" i="104" s="1"/>
  <c r="CJ9" i="104"/>
  <c r="EG9" i="104" s="1"/>
  <c r="FA9" i="104" s="1"/>
  <c r="CJ124" i="104"/>
  <c r="EG124" i="104" s="1"/>
  <c r="FA124" i="104" s="1"/>
  <c r="CI145" i="104"/>
  <c r="EF145" i="104" s="1"/>
  <c r="CQ115" i="104"/>
  <c r="EN115" i="104" s="1"/>
  <c r="FB115" i="104" s="1"/>
  <c r="BG89" i="104"/>
  <c r="DD89" i="104" s="1"/>
  <c r="BE89" i="104"/>
  <c r="DB89" i="104" s="1"/>
  <c r="BE145" i="104"/>
  <c r="DB145" i="104" s="1"/>
  <c r="BG145" i="104"/>
  <c r="DD145" i="104" s="1"/>
  <c r="CJ67" i="104"/>
  <c r="EG67" i="104" s="1"/>
  <c r="FA67" i="104" s="1"/>
  <c r="CI89" i="104"/>
  <c r="EF89" i="104" s="1"/>
  <c r="BH32" i="104"/>
  <c r="DE32" i="104" s="1"/>
  <c r="EW32" i="104" s="1"/>
  <c r="CQ123" i="104"/>
  <c r="EN123" i="104" s="1"/>
  <c r="FB123" i="104" s="1"/>
  <c r="CW146" i="104"/>
  <c r="ET146" i="104" s="1"/>
  <c r="CP146" i="104"/>
  <c r="EM146" i="104" s="1"/>
  <c r="BG88" i="104"/>
  <c r="DD88" i="104" s="1"/>
  <c r="BE88" i="104"/>
  <c r="DB88" i="104" s="1"/>
  <c r="CP145" i="104"/>
  <c r="EM145" i="104" s="1"/>
  <c r="CQ64" i="104"/>
  <c r="EN64" i="104" s="1"/>
  <c r="FB64" i="104" s="1"/>
  <c r="CJ64" i="104"/>
  <c r="EG64" i="104" s="1"/>
  <c r="FA64" i="104" s="1"/>
  <c r="CP89" i="104"/>
  <c r="EM89" i="104" s="1"/>
  <c r="CP88" i="104"/>
  <c r="EM88" i="104" s="1"/>
  <c r="CJ172" i="104"/>
  <c r="EG172" i="104" s="1"/>
  <c r="CW145" i="104"/>
  <c r="ET145" i="104" s="1"/>
  <c r="CQ172" i="104"/>
  <c r="EN172" i="104" s="1"/>
  <c r="CI146" i="104"/>
  <c r="EF146" i="104" s="1"/>
  <c r="CW89" i="104"/>
  <c r="ET89" i="104" s="1"/>
  <c r="CJ115" i="104"/>
  <c r="EG115" i="104" s="1"/>
  <c r="FA115" i="104" s="1"/>
  <c r="CJ123" i="104"/>
  <c r="EG123" i="104" s="1"/>
  <c r="FA123" i="104" s="1"/>
  <c r="CJ121" i="104"/>
  <c r="EG121" i="104" s="1"/>
  <c r="FA121" i="104" s="1"/>
  <c r="CQ66" i="104"/>
  <c r="EN66" i="104" s="1"/>
  <c r="FB66" i="104" s="1"/>
  <c r="CJ65" i="104"/>
  <c r="EG65" i="104" s="1"/>
  <c r="FA65" i="104" s="1"/>
  <c r="CQ65" i="104"/>
  <c r="EN65" i="104" s="1"/>
  <c r="FB65" i="104" s="1"/>
  <c r="CI88" i="104"/>
  <c r="EF88" i="104" s="1"/>
  <c r="CJ122" i="104"/>
  <c r="EG122" i="104" s="1"/>
  <c r="FA122" i="104" s="1"/>
  <c r="CW88" i="104"/>
  <c r="ET88" i="104" s="1"/>
  <c r="CJ66" i="104"/>
  <c r="EG66" i="104" s="1"/>
  <c r="FA66" i="104" s="1"/>
  <c r="BH31" i="104"/>
  <c r="DE31" i="104" s="1"/>
  <c r="EW31" i="104" s="1"/>
  <c r="CQ121" i="104"/>
  <c r="EN121" i="104" s="1"/>
  <c r="FB121" i="104" s="1"/>
  <c r="BG146" i="104"/>
  <c r="DD146" i="104" s="1"/>
  <c r="BE146" i="104"/>
  <c r="DB146" i="104" s="1"/>
  <c r="CQ122" i="104"/>
  <c r="EN122" i="104" s="1"/>
  <c r="FB122" i="104" s="1"/>
  <c r="CV165" i="104"/>
  <c r="CV108" i="104"/>
  <c r="AG37" i="135"/>
  <c r="DP37" i="135" s="1"/>
  <c r="AG22" i="135"/>
  <c r="DP22" i="135" s="1"/>
  <c r="DW36" i="135"/>
  <c r="ER36" i="135"/>
  <c r="EK36" i="135"/>
  <c r="ED36" i="135"/>
  <c r="DW21" i="135"/>
  <c r="ED21" i="135"/>
  <c r="ER21" i="135"/>
  <c r="EK21" i="135"/>
  <c r="AH7" i="135"/>
  <c r="DQ7" i="135" s="1"/>
  <c r="AH21" i="135"/>
  <c r="DX6" i="135"/>
  <c r="EE6" i="135"/>
  <c r="AH36" i="135"/>
  <c r="EL6" i="135"/>
  <c r="ES6" i="135"/>
  <c r="BL48" i="113"/>
  <c r="BL46" i="113"/>
  <c r="BK46" i="113"/>
  <c r="BK59" i="113"/>
  <c r="BM56" i="113"/>
  <c r="BL47" i="113"/>
  <c r="BN41" i="113"/>
  <c r="BK57" i="113"/>
  <c r="BK48" i="113"/>
  <c r="BL43" i="113"/>
  <c r="AU14" i="64"/>
  <c r="BK47" i="113"/>
  <c r="BK58" i="113"/>
  <c r="AV14" i="64"/>
  <c r="BL44" i="113"/>
  <c r="BL45" i="113"/>
  <c r="BN55" i="113"/>
  <c r="BM42" i="113"/>
  <c r="DM41" i="135" l="1"/>
  <c r="DF41" i="135"/>
  <c r="EH41" i="135"/>
  <c r="DT41" i="135"/>
  <c r="EO43" i="135"/>
  <c r="EO42" i="135"/>
  <c r="EO41" i="135"/>
  <c r="DM43" i="135"/>
  <c r="EH43" i="135"/>
  <c r="DT43" i="135"/>
  <c r="DF43" i="135"/>
  <c r="EA43" i="135"/>
  <c r="DT42" i="135"/>
  <c r="DM42" i="135"/>
  <c r="DF42" i="135"/>
  <c r="EA42" i="135"/>
  <c r="EH42" i="135"/>
  <c r="FB172" i="104"/>
  <c r="FK58" i="104" s="1"/>
  <c r="FA172" i="104"/>
  <c r="FJ58" i="104" s="1"/>
  <c r="DH27" i="135"/>
  <c r="DO27" i="135"/>
  <c r="DH23" i="135"/>
  <c r="DO23" i="135"/>
  <c r="DJ21" i="135"/>
  <c r="DQ21" i="135"/>
  <c r="DJ36" i="135"/>
  <c r="DQ36" i="135"/>
  <c r="DH25" i="135"/>
  <c r="DO25" i="135"/>
  <c r="DK6" i="135"/>
  <c r="DR6" i="135"/>
  <c r="DH24" i="135"/>
  <c r="DO24" i="135"/>
  <c r="DG40" i="135"/>
  <c r="DN40" i="135"/>
  <c r="DH28" i="135"/>
  <c r="DO28" i="135"/>
  <c r="DH26" i="135"/>
  <c r="DO26" i="135"/>
  <c r="DG41" i="135"/>
  <c r="DG38" i="135"/>
  <c r="DG42" i="135"/>
  <c r="DG43" i="135"/>
  <c r="DG39" i="135"/>
  <c r="EK22" i="135"/>
  <c r="ED22" i="135"/>
  <c r="DW22" i="135"/>
  <c r="DB37" i="135"/>
  <c r="ED37" i="135"/>
  <c r="ER37" i="135"/>
  <c r="EK37" i="135"/>
  <c r="DW37" i="135"/>
  <c r="EL7" i="135"/>
  <c r="EE7" i="135"/>
  <c r="DX7" i="135"/>
  <c r="EB41" i="135"/>
  <c r="EP41" i="135"/>
  <c r="CZ41" i="135"/>
  <c r="EI41" i="135"/>
  <c r="DU41" i="135"/>
  <c r="AF39" i="135"/>
  <c r="EJ24" i="135"/>
  <c r="EQ24" i="135"/>
  <c r="DA24" i="135"/>
  <c r="DV24" i="135"/>
  <c r="EC24" i="135"/>
  <c r="CZ39" i="135"/>
  <c r="EB39" i="135"/>
  <c r="EP39" i="135"/>
  <c r="EI39" i="135"/>
  <c r="DU39" i="135"/>
  <c r="EI38" i="135"/>
  <c r="EB38" i="135"/>
  <c r="CZ38" i="135"/>
  <c r="DU38" i="135"/>
  <c r="AF42" i="135"/>
  <c r="EC27" i="135"/>
  <c r="EJ27" i="135"/>
  <c r="DA27" i="135"/>
  <c r="EQ27" i="135"/>
  <c r="DV27" i="135"/>
  <c r="EP40" i="135"/>
  <c r="EI40" i="135"/>
  <c r="EB40" i="135"/>
  <c r="CZ40" i="135"/>
  <c r="DU40" i="135"/>
  <c r="AF43" i="135"/>
  <c r="EQ28" i="135"/>
  <c r="DA28" i="135"/>
  <c r="EJ28" i="135"/>
  <c r="EC28" i="135"/>
  <c r="DV28" i="135"/>
  <c r="EB42" i="135"/>
  <c r="CZ42" i="135"/>
  <c r="EP42" i="135"/>
  <c r="EI42" i="135"/>
  <c r="DU42" i="135"/>
  <c r="AF40" i="135"/>
  <c r="EQ25" i="135"/>
  <c r="EC25" i="135"/>
  <c r="EJ25" i="135"/>
  <c r="DA25" i="135"/>
  <c r="DV25" i="135"/>
  <c r="CZ43" i="135"/>
  <c r="EB43" i="135"/>
  <c r="EP43" i="135"/>
  <c r="EI43" i="135"/>
  <c r="DU43" i="135"/>
  <c r="AF38" i="135"/>
  <c r="EQ23" i="135"/>
  <c r="EC23" i="135"/>
  <c r="DA23" i="135"/>
  <c r="EJ23" i="135"/>
  <c r="DV23" i="135"/>
  <c r="AF41" i="135"/>
  <c r="EJ26" i="135"/>
  <c r="DA26" i="135"/>
  <c r="EC26" i="135"/>
  <c r="EQ26" i="135"/>
  <c r="DV26" i="135"/>
  <c r="DS6" i="135"/>
  <c r="AI58" i="135"/>
  <c r="AG62" i="135"/>
  <c r="AG64" i="135"/>
  <c r="AG63" i="135"/>
  <c r="AG59" i="135"/>
  <c r="AG60" i="135"/>
  <c r="AG61" i="135"/>
  <c r="CQ31" i="104"/>
  <c r="EN31" i="104" s="1"/>
  <c r="FB31" i="104" s="1"/>
  <c r="CQ32" i="104"/>
  <c r="EN32" i="104" s="1"/>
  <c r="FB32" i="104" s="1"/>
  <c r="CQ146" i="104"/>
  <c r="EN146" i="104" s="1"/>
  <c r="CJ89" i="104"/>
  <c r="EG89" i="104" s="1"/>
  <c r="FA89" i="104" s="1"/>
  <c r="CX89" i="104"/>
  <c r="EU89" i="104" s="1"/>
  <c r="FC89" i="104" s="1"/>
  <c r="CX146" i="104"/>
  <c r="EU146" i="104" s="1"/>
  <c r="CJ88" i="104"/>
  <c r="EG88" i="104" s="1"/>
  <c r="FA88" i="104" s="1"/>
  <c r="CJ146" i="104"/>
  <c r="EG146" i="104" s="1"/>
  <c r="CQ88" i="104"/>
  <c r="EN88" i="104" s="1"/>
  <c r="FB88" i="104" s="1"/>
  <c r="CQ145" i="104"/>
  <c r="EN145" i="104" s="1"/>
  <c r="CQ89" i="104"/>
  <c r="EN89" i="104" s="1"/>
  <c r="FB89" i="104" s="1"/>
  <c r="BH88" i="104"/>
  <c r="DE88" i="104" s="1"/>
  <c r="EW88" i="104" s="1"/>
  <c r="BH145" i="104"/>
  <c r="DE145" i="104" s="1"/>
  <c r="EW145" i="104" s="1"/>
  <c r="CJ145" i="104"/>
  <c r="EG145" i="104" s="1"/>
  <c r="BH146" i="104"/>
  <c r="DE146" i="104" s="1"/>
  <c r="EW146" i="104" s="1"/>
  <c r="CX88" i="104"/>
  <c r="EU88" i="104" s="1"/>
  <c r="FC88" i="104" s="1"/>
  <c r="CX145" i="104"/>
  <c r="EU145" i="104" s="1"/>
  <c r="BH89" i="104"/>
  <c r="DE89" i="104" s="1"/>
  <c r="CW108" i="104"/>
  <c r="CW165" i="104"/>
  <c r="EE36" i="135"/>
  <c r="DX36" i="135"/>
  <c r="EL36" i="135"/>
  <c r="ES36" i="135"/>
  <c r="AH37" i="135"/>
  <c r="DQ37" i="135" s="1"/>
  <c r="AH22" i="135"/>
  <c r="DQ22" i="135" s="1"/>
  <c r="AI21" i="135"/>
  <c r="DR7" i="135"/>
  <c r="EM6" i="135"/>
  <c r="AI36" i="135"/>
  <c r="DY6" i="135"/>
  <c r="EF6" i="135"/>
  <c r="ET6" i="135"/>
  <c r="ES21" i="135"/>
  <c r="EE21" i="135"/>
  <c r="EL21" i="135"/>
  <c r="DX21" i="135"/>
  <c r="BO41" i="113"/>
  <c r="BK62" i="113"/>
  <c r="BK60" i="113"/>
  <c r="BL60" i="113"/>
  <c r="BM48" i="113"/>
  <c r="BM44" i="113"/>
  <c r="BM47" i="113"/>
  <c r="BK61" i="113"/>
  <c r="BO55" i="113"/>
  <c r="BL58" i="113"/>
  <c r="BN56" i="113"/>
  <c r="BL57" i="113"/>
  <c r="AN14" i="64"/>
  <c r="BM46" i="113"/>
  <c r="BM43" i="113"/>
  <c r="BL62" i="113"/>
  <c r="BM45" i="113"/>
  <c r="BL61" i="113"/>
  <c r="AO14" i="64"/>
  <c r="BL59" i="113"/>
  <c r="BN42" i="113"/>
  <c r="FA146" i="104" l="1"/>
  <c r="FJ32" i="104" s="1"/>
  <c r="FB146" i="104"/>
  <c r="FK32" i="104" s="1"/>
  <c r="EW89" i="104"/>
  <c r="FF32" i="104" s="1"/>
  <c r="FC145" i="104"/>
  <c r="FL31" i="104" s="1"/>
  <c r="FA145" i="104"/>
  <c r="FJ31" i="104" s="1"/>
  <c r="FC146" i="104"/>
  <c r="FL32" i="104" s="1"/>
  <c r="DK36" i="135"/>
  <c r="DR36" i="135"/>
  <c r="DI10" i="135"/>
  <c r="DP10" i="135"/>
  <c r="DH39" i="135"/>
  <c r="DO39" i="135"/>
  <c r="DH40" i="135"/>
  <c r="DO40" i="135"/>
  <c r="DI8" i="135"/>
  <c r="DP8" i="135"/>
  <c r="DK21" i="135"/>
  <c r="DR21" i="135"/>
  <c r="DI12" i="135"/>
  <c r="DP12" i="135"/>
  <c r="DI9" i="135"/>
  <c r="DP9" i="135"/>
  <c r="DI13" i="135"/>
  <c r="DP13" i="135"/>
  <c r="DH38" i="135"/>
  <c r="DO38" i="135"/>
  <c r="DH42" i="135"/>
  <c r="DO42" i="135"/>
  <c r="DI11" i="135"/>
  <c r="DP11" i="135"/>
  <c r="DH41" i="135"/>
  <c r="DO41" i="135"/>
  <c r="DH43" i="135"/>
  <c r="DO43" i="135"/>
  <c r="AJ21" i="135"/>
  <c r="DZ21" i="135" s="1"/>
  <c r="DL6" i="135"/>
  <c r="DZ6" i="135"/>
  <c r="DC37" i="135"/>
  <c r="EE37" i="135"/>
  <c r="ES37" i="135"/>
  <c r="EL37" i="135"/>
  <c r="DX37" i="135"/>
  <c r="DS7" i="135"/>
  <c r="EE22" i="135"/>
  <c r="EL22" i="135"/>
  <c r="DX22" i="135"/>
  <c r="EM7" i="135"/>
  <c r="EF7" i="135"/>
  <c r="DY7" i="135"/>
  <c r="EJ38" i="135"/>
  <c r="EC38" i="135"/>
  <c r="DA38" i="135"/>
  <c r="DV38" i="135"/>
  <c r="AG28" i="135"/>
  <c r="ER13" i="135"/>
  <c r="ED13" i="135"/>
  <c r="DB13" i="135"/>
  <c r="EK13" i="135"/>
  <c r="DW13" i="135"/>
  <c r="AG26" i="135"/>
  <c r="ER11" i="135"/>
  <c r="DB11" i="135"/>
  <c r="EK11" i="135"/>
  <c r="ED11" i="135"/>
  <c r="DW11" i="135"/>
  <c r="AG23" i="135"/>
  <c r="DB8" i="135"/>
  <c r="ED8" i="135"/>
  <c r="EK8" i="135"/>
  <c r="DW8" i="135"/>
  <c r="EQ40" i="135"/>
  <c r="EJ40" i="135"/>
  <c r="DA40" i="135"/>
  <c r="EC40" i="135"/>
  <c r="DV40" i="135"/>
  <c r="EQ42" i="135"/>
  <c r="DA42" i="135"/>
  <c r="EC42" i="135"/>
  <c r="EJ42" i="135"/>
  <c r="DV42" i="135"/>
  <c r="AG27" i="135"/>
  <c r="ED12" i="135"/>
  <c r="DB12" i="135"/>
  <c r="ER12" i="135"/>
  <c r="EK12" i="135"/>
  <c r="DW12" i="135"/>
  <c r="AG25" i="135"/>
  <c r="ED10" i="135"/>
  <c r="ER10" i="135"/>
  <c r="DB10" i="135"/>
  <c r="EK10" i="135"/>
  <c r="DW10" i="135"/>
  <c r="EJ41" i="135"/>
  <c r="DA41" i="135"/>
  <c r="EC41" i="135"/>
  <c r="EQ41" i="135"/>
  <c r="DV41" i="135"/>
  <c r="AG24" i="135"/>
  <c r="EK9" i="135"/>
  <c r="DB9" i="135"/>
  <c r="ER9" i="135"/>
  <c r="ED9" i="135"/>
  <c r="DW9" i="135"/>
  <c r="DA43" i="135"/>
  <c r="EC43" i="135"/>
  <c r="EQ43" i="135"/>
  <c r="EJ43" i="135"/>
  <c r="DV43" i="135"/>
  <c r="DA39" i="135"/>
  <c r="EC39" i="135"/>
  <c r="EJ39" i="135"/>
  <c r="EQ39" i="135"/>
  <c r="DV39" i="135"/>
  <c r="EU6" i="135"/>
  <c r="AJ58" i="135"/>
  <c r="AJ36" i="135"/>
  <c r="DS36" i="135" s="1"/>
  <c r="EY36" i="135" s="1"/>
  <c r="FB145" i="104"/>
  <c r="FK31" i="104" s="1"/>
  <c r="EN6" i="135"/>
  <c r="EG6" i="135"/>
  <c r="EU21" i="135"/>
  <c r="FC21" i="135" s="1"/>
  <c r="AH64" i="135"/>
  <c r="EV13" i="135" s="1"/>
  <c r="AH62" i="135"/>
  <c r="EV11" i="135" s="1"/>
  <c r="AH60" i="135"/>
  <c r="AH59" i="135"/>
  <c r="EV8" i="135" s="1"/>
  <c r="AH63" i="135"/>
  <c r="EV12" i="135" s="1"/>
  <c r="AH61" i="135"/>
  <c r="EV10" i="135" s="1"/>
  <c r="AI63" i="135"/>
  <c r="AI62" i="135"/>
  <c r="AI64" i="135"/>
  <c r="AI59" i="135"/>
  <c r="AI61" i="135"/>
  <c r="AI60" i="135"/>
  <c r="FF31" i="104"/>
  <c r="CX165" i="104"/>
  <c r="CX108" i="104"/>
  <c r="DY36" i="135"/>
  <c r="EF36" i="135"/>
  <c r="EM36" i="135"/>
  <c r="ET36" i="135"/>
  <c r="DY21" i="135"/>
  <c r="ET21" i="135"/>
  <c r="EF21" i="135"/>
  <c r="EM21" i="135"/>
  <c r="AI37" i="135"/>
  <c r="DR37" i="135" s="1"/>
  <c r="AI22" i="135"/>
  <c r="DR22" i="135" s="1"/>
  <c r="BB36" i="135"/>
  <c r="BC36" i="135" s="1"/>
  <c r="BD36" i="135" s="1"/>
  <c r="BE36" i="135" s="1"/>
  <c r="BF36" i="135" s="1"/>
  <c r="BG36" i="135" s="1"/>
  <c r="BH36" i="135" s="1"/>
  <c r="I6" i="135"/>
  <c r="I7" i="135"/>
  <c r="BM61" i="113"/>
  <c r="BM60" i="113"/>
  <c r="BP55" i="113"/>
  <c r="BM59" i="113"/>
  <c r="BO56" i="113"/>
  <c r="BM58" i="113"/>
  <c r="BM57" i="113"/>
  <c r="BO42" i="113"/>
  <c r="BM62" i="113"/>
  <c r="BQ41" i="113"/>
  <c r="BP41" i="113"/>
  <c r="EZ21" i="135" l="1"/>
  <c r="FI6" i="135" s="1"/>
  <c r="EV9" i="135"/>
  <c r="EG21" i="135"/>
  <c r="FA21" i="135" s="1"/>
  <c r="DJ10" i="135"/>
  <c r="DQ10" i="135"/>
  <c r="DJ12" i="135"/>
  <c r="DQ12" i="135"/>
  <c r="DI28" i="135"/>
  <c r="DP28" i="135"/>
  <c r="DK9" i="135"/>
  <c r="DR9" i="135"/>
  <c r="DJ8" i="135"/>
  <c r="DQ8" i="135"/>
  <c r="DK10" i="135"/>
  <c r="DR10" i="135"/>
  <c r="DJ9" i="135"/>
  <c r="DQ9" i="135"/>
  <c r="DI26" i="135"/>
  <c r="DP26" i="135"/>
  <c r="DK8" i="135"/>
  <c r="DR8" i="135"/>
  <c r="DJ11" i="135"/>
  <c r="DQ11" i="135"/>
  <c r="DI24" i="135"/>
  <c r="DP24" i="135"/>
  <c r="DK13" i="135"/>
  <c r="DR13" i="135"/>
  <c r="DJ13" i="135"/>
  <c r="DQ13" i="135"/>
  <c r="DI27" i="135"/>
  <c r="DP27" i="135"/>
  <c r="DI23" i="135"/>
  <c r="DP23" i="135"/>
  <c r="DK11" i="135"/>
  <c r="DR11" i="135"/>
  <c r="DL21" i="135"/>
  <c r="EX21" i="135" s="1"/>
  <c r="DS21" i="135"/>
  <c r="EY21" i="135" s="1"/>
  <c r="FH6" i="135" s="1"/>
  <c r="EN21" i="135"/>
  <c r="FB21" i="135" s="1"/>
  <c r="DK12" i="135"/>
  <c r="DR12" i="135"/>
  <c r="DI25" i="135"/>
  <c r="DP25" i="135"/>
  <c r="EU36" i="135"/>
  <c r="FC36" i="135" s="1"/>
  <c r="FL6" i="135" s="1"/>
  <c r="DL36" i="135"/>
  <c r="EX36" i="135" s="1"/>
  <c r="AJ37" i="135"/>
  <c r="EG36" i="135"/>
  <c r="FA36" i="135" s="1"/>
  <c r="FJ6" i="135" s="1"/>
  <c r="AJ22" i="135"/>
  <c r="DS22" i="135" s="1"/>
  <c r="EY22" i="135" s="1"/>
  <c r="DZ36" i="135"/>
  <c r="EZ36" i="135" s="1"/>
  <c r="EN36" i="135"/>
  <c r="FB36" i="135" s="1"/>
  <c r="DD37" i="135"/>
  <c r="EF37" i="135"/>
  <c r="EM37" i="135"/>
  <c r="ET37" i="135"/>
  <c r="DY37" i="135"/>
  <c r="DZ7" i="135"/>
  <c r="EZ7" i="135" s="1"/>
  <c r="EG7" i="135"/>
  <c r="FA7" i="135" s="1"/>
  <c r="EN7" i="135"/>
  <c r="BB7" i="135"/>
  <c r="BC7" i="135" s="1"/>
  <c r="BD7" i="135" s="1"/>
  <c r="BE7" i="135" s="1"/>
  <c r="BF7" i="135" s="1"/>
  <c r="BG7" i="135" s="1"/>
  <c r="BH7" i="135" s="1"/>
  <c r="I22" i="135"/>
  <c r="BB22" i="135" s="1"/>
  <c r="BC22" i="135" s="1"/>
  <c r="BD22" i="135" s="1"/>
  <c r="BE22" i="135" s="1"/>
  <c r="BF22" i="135" s="1"/>
  <c r="BG22" i="135" s="1"/>
  <c r="BH22" i="135" s="1"/>
  <c r="BB6" i="135"/>
  <c r="BC6" i="135" s="1"/>
  <c r="BD6" i="135" s="1"/>
  <c r="BE6" i="135" s="1"/>
  <c r="BF6" i="135" s="1"/>
  <c r="BG6" i="135" s="1"/>
  <c r="BH6" i="135" s="1"/>
  <c r="I21" i="135"/>
  <c r="BB21" i="135" s="1"/>
  <c r="BC21" i="135" s="1"/>
  <c r="BD21" i="135" s="1"/>
  <c r="BE21" i="135" s="1"/>
  <c r="BF21" i="135" s="1"/>
  <c r="BG21" i="135" s="1"/>
  <c r="BH21" i="135" s="1"/>
  <c r="EM22" i="135"/>
  <c r="EF22" i="135"/>
  <c r="DY22" i="135"/>
  <c r="AH23" i="135"/>
  <c r="EE8" i="135"/>
  <c r="EL8" i="135"/>
  <c r="DX8" i="135"/>
  <c r="DC8" i="135"/>
  <c r="AH24" i="135"/>
  <c r="EE9" i="135"/>
  <c r="ES9" i="135"/>
  <c r="EL9" i="135"/>
  <c r="DX9" i="135"/>
  <c r="DC9" i="135"/>
  <c r="AG42" i="135"/>
  <c r="DB27" i="135"/>
  <c r="ED27" i="135"/>
  <c r="ER27" i="135"/>
  <c r="EK27" i="135"/>
  <c r="DW27" i="135"/>
  <c r="AI28" i="135"/>
  <c r="ET13" i="135"/>
  <c r="EF13" i="135"/>
  <c r="EM13" i="135"/>
  <c r="DY13" i="135"/>
  <c r="DD13" i="135"/>
  <c r="AH28" i="135"/>
  <c r="EE13" i="135"/>
  <c r="ES13" i="135"/>
  <c r="EL13" i="135"/>
  <c r="DX13" i="135"/>
  <c r="DC13" i="135"/>
  <c r="AI26" i="135"/>
  <c r="ET11" i="135"/>
  <c r="EM11" i="135"/>
  <c r="EF11" i="135"/>
  <c r="DY11" i="135"/>
  <c r="DD11" i="135"/>
  <c r="AG40" i="135"/>
  <c r="DB25" i="135"/>
  <c r="ER25" i="135"/>
  <c r="EK25" i="135"/>
  <c r="ED25" i="135"/>
  <c r="DW25" i="135"/>
  <c r="AI27" i="135"/>
  <c r="EF12" i="135"/>
  <c r="EM12" i="135"/>
  <c r="ET12" i="135"/>
  <c r="DY12" i="135"/>
  <c r="DD12" i="135"/>
  <c r="AH26" i="135"/>
  <c r="ES11" i="135"/>
  <c r="EE11" i="135"/>
  <c r="EL11" i="135"/>
  <c r="DX11" i="135"/>
  <c r="DC11" i="135"/>
  <c r="AH25" i="135"/>
  <c r="EE10" i="135"/>
  <c r="ES10" i="135"/>
  <c r="EL10" i="135"/>
  <c r="DX10" i="135"/>
  <c r="DC10" i="135"/>
  <c r="AI24" i="135"/>
  <c r="EM9" i="135"/>
  <c r="ET9" i="135"/>
  <c r="EF9" i="135"/>
  <c r="DY9" i="135"/>
  <c r="DD9" i="135"/>
  <c r="AG39" i="135"/>
  <c r="DB24" i="135"/>
  <c r="ED24" i="135"/>
  <c r="ER24" i="135"/>
  <c r="EK24" i="135"/>
  <c r="DW24" i="135"/>
  <c r="AI25" i="135"/>
  <c r="EF10" i="135"/>
  <c r="ET10" i="135"/>
  <c r="EM10" i="135"/>
  <c r="DY10" i="135"/>
  <c r="DD10" i="135"/>
  <c r="AI23" i="135"/>
  <c r="EF8" i="135"/>
  <c r="EM8" i="135"/>
  <c r="DY8" i="135"/>
  <c r="DD8" i="135"/>
  <c r="AH27" i="135"/>
  <c r="EE12" i="135"/>
  <c r="ES12" i="135"/>
  <c r="EL12" i="135"/>
  <c r="DX12" i="135"/>
  <c r="DC12" i="135"/>
  <c r="AG38" i="135"/>
  <c r="ED23" i="135"/>
  <c r="ER23" i="135"/>
  <c r="EK23" i="135"/>
  <c r="DW23" i="135"/>
  <c r="DB23" i="135"/>
  <c r="AG41" i="135"/>
  <c r="EK26" i="135"/>
  <c r="ER26" i="135"/>
  <c r="ED26" i="135"/>
  <c r="DW26" i="135"/>
  <c r="DB26" i="135"/>
  <c r="AG43" i="135"/>
  <c r="DB28" i="135"/>
  <c r="ER28" i="135"/>
  <c r="ED28" i="135"/>
  <c r="EK28" i="135"/>
  <c r="DW28" i="135"/>
  <c r="AJ63" i="135"/>
  <c r="AJ62" i="135"/>
  <c r="AJ64" i="135"/>
  <c r="AJ59" i="135"/>
  <c r="AJ61" i="135"/>
  <c r="AJ60" i="135"/>
  <c r="FK6" i="135"/>
  <c r="CY36" i="135"/>
  <c r="BN43" i="113"/>
  <c r="BN46" i="113"/>
  <c r="BP42" i="113"/>
  <c r="BN45" i="113"/>
  <c r="BN47" i="113"/>
  <c r="BQ55" i="113"/>
  <c r="BN48" i="113"/>
  <c r="BN44" i="113"/>
  <c r="BP56" i="113"/>
  <c r="FG6" i="135" l="1"/>
  <c r="DL12" i="135"/>
  <c r="EX12" i="135" s="1"/>
  <c r="DS12" i="135"/>
  <c r="EY12" i="135" s="1"/>
  <c r="DK24" i="135"/>
  <c r="DR24" i="135"/>
  <c r="DI40" i="135"/>
  <c r="DP40" i="135"/>
  <c r="DI42" i="135"/>
  <c r="DP42" i="135"/>
  <c r="EG37" i="135"/>
  <c r="FA37" i="135" s="1"/>
  <c r="DS37" i="135"/>
  <c r="EY37" i="135" s="1"/>
  <c r="FH7" i="135" s="1"/>
  <c r="DI38" i="135"/>
  <c r="DP38" i="135"/>
  <c r="DI39" i="135"/>
  <c r="DP39" i="135"/>
  <c r="DK27" i="135"/>
  <c r="DR27" i="135"/>
  <c r="DL9" i="135"/>
  <c r="EX9" i="135" s="1"/>
  <c r="DS9" i="135"/>
  <c r="EY9" i="135" s="1"/>
  <c r="DK28" i="135"/>
  <c r="DR28" i="135"/>
  <c r="DJ27" i="135"/>
  <c r="DQ27" i="135"/>
  <c r="DL10" i="135"/>
  <c r="EX10" i="135" s="1"/>
  <c r="DS10" i="135"/>
  <c r="EY10" i="135" s="1"/>
  <c r="DI41" i="135"/>
  <c r="DP41" i="135"/>
  <c r="DK25" i="135"/>
  <c r="DR25" i="135"/>
  <c r="DJ26" i="135"/>
  <c r="DQ26" i="135"/>
  <c r="DL8" i="135"/>
  <c r="EX8" i="135" s="1"/>
  <c r="DS8" i="135"/>
  <c r="EY8" i="135" s="1"/>
  <c r="DJ28" i="135"/>
  <c r="DQ28" i="135"/>
  <c r="DJ23" i="135"/>
  <c r="DQ23" i="135"/>
  <c r="DL13" i="135"/>
  <c r="EX13" i="135" s="1"/>
  <c r="DS13" i="135"/>
  <c r="EY13" i="135" s="1"/>
  <c r="DI43" i="135"/>
  <c r="DP43" i="135"/>
  <c r="DK23" i="135"/>
  <c r="DR23" i="135"/>
  <c r="DJ25" i="135"/>
  <c r="DQ25" i="135"/>
  <c r="DL11" i="135"/>
  <c r="EX11" i="135" s="1"/>
  <c r="DS11" i="135"/>
  <c r="EY11" i="135" s="1"/>
  <c r="DK26" i="135"/>
  <c r="DR26" i="135"/>
  <c r="DJ24" i="135"/>
  <c r="DQ24" i="135"/>
  <c r="DZ37" i="135"/>
  <c r="EZ37" i="135" s="1"/>
  <c r="DE37" i="135"/>
  <c r="EW37" i="135" s="1"/>
  <c r="CY21" i="135"/>
  <c r="EN37" i="135"/>
  <c r="FB37" i="135" s="1"/>
  <c r="EU37" i="135"/>
  <c r="FC37" i="135" s="1"/>
  <c r="EG22" i="135"/>
  <c r="FA22" i="135" s="1"/>
  <c r="EN22" i="135"/>
  <c r="FB22" i="135" s="1"/>
  <c r="DZ22" i="135"/>
  <c r="EZ22" i="135" s="1"/>
  <c r="CY6" i="135"/>
  <c r="CY22" i="135"/>
  <c r="CY7" i="135"/>
  <c r="AJ26" i="135"/>
  <c r="EV26" i="135" s="1"/>
  <c r="DZ11" i="135"/>
  <c r="EZ11" i="135" s="1"/>
  <c r="EG11" i="135"/>
  <c r="FA11" i="135" s="1"/>
  <c r="EU11" i="135"/>
  <c r="FC11" i="135" s="1"/>
  <c r="DE11" i="135"/>
  <c r="EW11" i="135" s="1"/>
  <c r="EN11" i="135"/>
  <c r="FB11" i="135" s="1"/>
  <c r="AJ27" i="135"/>
  <c r="EV27" i="135" s="1"/>
  <c r="DZ12" i="135"/>
  <c r="EZ12" i="135" s="1"/>
  <c r="EN12" i="135"/>
  <c r="FB12" i="135" s="1"/>
  <c r="EU12" i="135"/>
  <c r="FC12" i="135" s="1"/>
  <c r="DE12" i="135"/>
  <c r="EW12" i="135" s="1"/>
  <c r="EG12" i="135"/>
  <c r="FA12" i="135" s="1"/>
  <c r="DB41" i="135"/>
  <c r="ER41" i="135"/>
  <c r="ED41" i="135"/>
  <c r="EK41" i="135"/>
  <c r="DW41" i="135"/>
  <c r="AH42" i="135"/>
  <c r="EE27" i="135"/>
  <c r="ES27" i="135"/>
  <c r="EL27" i="135"/>
  <c r="DX27" i="135"/>
  <c r="DC27" i="135"/>
  <c r="AI40" i="135"/>
  <c r="ET25" i="135"/>
  <c r="EF25" i="135"/>
  <c r="EM25" i="135"/>
  <c r="DY25" i="135"/>
  <c r="DD25" i="135"/>
  <c r="AI39" i="135"/>
  <c r="EM24" i="135"/>
  <c r="ET24" i="135"/>
  <c r="EF24" i="135"/>
  <c r="DY24" i="135"/>
  <c r="DD24" i="135"/>
  <c r="AI42" i="135"/>
  <c r="EF27" i="135"/>
  <c r="ET27" i="135"/>
  <c r="EM27" i="135"/>
  <c r="DY27" i="135"/>
  <c r="DD27" i="135"/>
  <c r="DB40" i="135"/>
  <c r="ER40" i="135"/>
  <c r="EK40" i="135"/>
  <c r="ED40" i="135"/>
  <c r="DW40" i="135"/>
  <c r="AI41" i="135"/>
  <c r="EM26" i="135"/>
  <c r="EF26" i="135"/>
  <c r="ET26" i="135"/>
  <c r="DY26" i="135"/>
  <c r="DD26" i="135"/>
  <c r="AH43" i="135"/>
  <c r="ES28" i="135"/>
  <c r="EE28" i="135"/>
  <c r="EL28" i="135"/>
  <c r="DX28" i="135"/>
  <c r="DC28" i="135"/>
  <c r="AI43" i="135"/>
  <c r="ET28" i="135"/>
  <c r="EM28" i="135"/>
  <c r="EF28" i="135"/>
  <c r="DY28" i="135"/>
  <c r="DD28" i="135"/>
  <c r="DB42" i="135"/>
  <c r="EK42" i="135"/>
  <c r="ED42" i="135"/>
  <c r="ER42" i="135"/>
  <c r="DW42" i="135"/>
  <c r="AH39" i="135"/>
  <c r="ES24" i="135"/>
  <c r="EE24" i="135"/>
  <c r="EL24" i="135"/>
  <c r="DX24" i="135"/>
  <c r="DC24" i="135"/>
  <c r="AH38" i="135"/>
  <c r="ES23" i="135"/>
  <c r="EE23" i="135"/>
  <c r="EL23" i="135"/>
  <c r="DX23" i="135"/>
  <c r="DC23" i="135"/>
  <c r="AJ24" i="135"/>
  <c r="EV24" i="135" s="1"/>
  <c r="DZ9" i="135"/>
  <c r="EZ9" i="135" s="1"/>
  <c r="EU9" i="135"/>
  <c r="FC9" i="135" s="1"/>
  <c r="EG9" i="135"/>
  <c r="FA9" i="135" s="1"/>
  <c r="DE9" i="135"/>
  <c r="EW9" i="135" s="1"/>
  <c r="EN9" i="135"/>
  <c r="FB9" i="135" s="1"/>
  <c r="DB43" i="135"/>
  <c r="ER43" i="135"/>
  <c r="EK43" i="135"/>
  <c r="ED43" i="135"/>
  <c r="DW43" i="135"/>
  <c r="DB38" i="135"/>
  <c r="EK38" i="135"/>
  <c r="ED38" i="135"/>
  <c r="DW38" i="135"/>
  <c r="AI38" i="135"/>
  <c r="ET23" i="135"/>
  <c r="EF23" i="135"/>
  <c r="EM23" i="135"/>
  <c r="DY23" i="135"/>
  <c r="DD23" i="135"/>
  <c r="DB39" i="135"/>
  <c r="ED39" i="135"/>
  <c r="ER39" i="135"/>
  <c r="EK39" i="135"/>
  <c r="DW39" i="135"/>
  <c r="AH40" i="135"/>
  <c r="EL25" i="135"/>
  <c r="ES25" i="135"/>
  <c r="EE25" i="135"/>
  <c r="DX25" i="135"/>
  <c r="DC25" i="135"/>
  <c r="AH41" i="135"/>
  <c r="EL26" i="135"/>
  <c r="EE26" i="135"/>
  <c r="ES26" i="135"/>
  <c r="DX26" i="135"/>
  <c r="DC26" i="135"/>
  <c r="AJ25" i="135"/>
  <c r="EV25" i="135" s="1"/>
  <c r="DZ10" i="135"/>
  <c r="EZ10" i="135" s="1"/>
  <c r="EU10" i="135"/>
  <c r="FC10" i="135" s="1"/>
  <c r="EG10" i="135"/>
  <c r="FA10" i="135" s="1"/>
  <c r="DE10" i="135"/>
  <c r="EW10" i="135" s="1"/>
  <c r="EN10" i="135"/>
  <c r="FB10" i="135" s="1"/>
  <c r="AJ23" i="135"/>
  <c r="EV23" i="135" s="1"/>
  <c r="DZ8" i="135"/>
  <c r="EZ8" i="135" s="1"/>
  <c r="EG8" i="135"/>
  <c r="FA8" i="135" s="1"/>
  <c r="DE8" i="135"/>
  <c r="EW8" i="135" s="1"/>
  <c r="EN8" i="135"/>
  <c r="FB8" i="135" s="1"/>
  <c r="AJ28" i="135"/>
  <c r="EV28" i="135" s="1"/>
  <c r="DZ13" i="135"/>
  <c r="EZ13" i="135" s="1"/>
  <c r="EG13" i="135"/>
  <c r="FA13" i="135" s="1"/>
  <c r="DE13" i="135"/>
  <c r="EW13" i="135" s="1"/>
  <c r="EU13" i="135"/>
  <c r="FC13" i="135" s="1"/>
  <c r="EN13" i="135"/>
  <c r="FB13" i="135" s="1"/>
  <c r="FK7" i="135"/>
  <c r="G99" i="132"/>
  <c r="G95" i="132"/>
  <c r="J95" i="132" s="1"/>
  <c r="BN57" i="113"/>
  <c r="BN59" i="113"/>
  <c r="BO43" i="113"/>
  <c r="BQ56" i="113"/>
  <c r="BO47" i="113"/>
  <c r="BO48" i="113"/>
  <c r="BO46" i="113"/>
  <c r="BP48" i="113"/>
  <c r="BP45" i="113"/>
  <c r="BP46" i="113"/>
  <c r="BP47" i="113"/>
  <c r="BP43" i="113"/>
  <c r="BO44" i="113"/>
  <c r="BN61" i="113"/>
  <c r="BN60" i="113"/>
  <c r="BQ42" i="113"/>
  <c r="BN58" i="113"/>
  <c r="BO45" i="113"/>
  <c r="BP44" i="113"/>
  <c r="BN62" i="113"/>
  <c r="FI7" i="135" l="1"/>
  <c r="FJ7" i="135"/>
  <c r="DK38" i="135"/>
  <c r="DR38" i="135"/>
  <c r="DL24" i="135"/>
  <c r="EX24" i="135" s="1"/>
  <c r="DS24" i="135"/>
  <c r="EY24" i="135" s="1"/>
  <c r="DL25" i="135"/>
  <c r="EX25" i="135" s="1"/>
  <c r="DS25" i="135"/>
  <c r="EY25" i="135" s="1"/>
  <c r="DJ42" i="135"/>
  <c r="DQ42" i="135"/>
  <c r="DL28" i="135"/>
  <c r="EX28" i="135" s="1"/>
  <c r="DS28" i="135"/>
  <c r="EY28" i="135" s="1"/>
  <c r="DL26" i="135"/>
  <c r="EX26" i="135" s="1"/>
  <c r="DS26" i="135"/>
  <c r="EY26" i="135" s="1"/>
  <c r="DL23" i="135"/>
  <c r="EX23" i="135" s="1"/>
  <c r="DS23" i="135"/>
  <c r="EY23" i="135" s="1"/>
  <c r="DK41" i="135"/>
  <c r="DR41" i="135"/>
  <c r="DK40" i="135"/>
  <c r="DR40" i="135"/>
  <c r="DL27" i="135"/>
  <c r="EX27" i="135" s="1"/>
  <c r="DS27" i="135"/>
  <c r="EY27" i="135" s="1"/>
  <c r="DJ40" i="135"/>
  <c r="DQ40" i="135"/>
  <c r="DJ43" i="135"/>
  <c r="DQ43" i="135"/>
  <c r="DK39" i="135"/>
  <c r="DR39" i="135"/>
  <c r="DJ38" i="135"/>
  <c r="DQ38" i="135"/>
  <c r="DJ39" i="135"/>
  <c r="DQ39" i="135"/>
  <c r="DJ41" i="135"/>
  <c r="DQ41" i="135"/>
  <c r="DK43" i="135"/>
  <c r="DR43" i="135"/>
  <c r="DK42" i="135"/>
  <c r="DR42" i="135"/>
  <c r="AJ43" i="135"/>
  <c r="EV43" i="135" s="1"/>
  <c r="FE13" i="135" s="1"/>
  <c r="EU28" i="135"/>
  <c r="FC28" i="135" s="1"/>
  <c r="DZ28" i="135"/>
  <c r="EZ28" i="135" s="1"/>
  <c r="EN28" i="135"/>
  <c r="FB28" i="135" s="1"/>
  <c r="EG28" i="135"/>
  <c r="FA28" i="135" s="1"/>
  <c r="DE28" i="135"/>
  <c r="EW28" i="135" s="1"/>
  <c r="ET43" i="135"/>
  <c r="EM43" i="135"/>
  <c r="EF43" i="135"/>
  <c r="DY43" i="135"/>
  <c r="DD43" i="135"/>
  <c r="EE43" i="135"/>
  <c r="EL43" i="135"/>
  <c r="ES43" i="135"/>
  <c r="DX43" i="135"/>
  <c r="DC43" i="135"/>
  <c r="ET41" i="135"/>
  <c r="EM41" i="135"/>
  <c r="EF41" i="135"/>
  <c r="DY41" i="135"/>
  <c r="DD41" i="135"/>
  <c r="AJ42" i="135"/>
  <c r="EV42" i="135" s="1"/>
  <c r="FE12" i="135" s="1"/>
  <c r="EU27" i="135"/>
  <c r="FC27" i="135" s="1"/>
  <c r="DZ27" i="135"/>
  <c r="EZ27" i="135" s="1"/>
  <c r="EG27" i="135"/>
  <c r="FA27" i="135" s="1"/>
  <c r="EN27" i="135"/>
  <c r="FB27" i="135" s="1"/>
  <c r="DE27" i="135"/>
  <c r="EW27" i="135" s="1"/>
  <c r="AJ41" i="135"/>
  <c r="EV41" i="135" s="1"/>
  <c r="FE11" i="135" s="1"/>
  <c r="EU26" i="135"/>
  <c r="FC26" i="135" s="1"/>
  <c r="EG26" i="135"/>
  <c r="FA26" i="135" s="1"/>
  <c r="DZ26" i="135"/>
  <c r="EZ26" i="135" s="1"/>
  <c r="EN26" i="135"/>
  <c r="FB26" i="135" s="1"/>
  <c r="DE26" i="135"/>
  <c r="EW26" i="135" s="1"/>
  <c r="AJ39" i="135"/>
  <c r="EV39" i="135" s="1"/>
  <c r="FE9" i="135" s="1"/>
  <c r="EU24" i="135"/>
  <c r="FC24" i="135" s="1"/>
  <c r="DZ24" i="135"/>
  <c r="EZ24" i="135" s="1"/>
  <c r="EG24" i="135"/>
  <c r="FA24" i="135" s="1"/>
  <c r="EN24" i="135"/>
  <c r="FB24" i="135" s="1"/>
  <c r="DE24" i="135"/>
  <c r="EW24" i="135" s="1"/>
  <c r="EL38" i="135"/>
  <c r="EE38" i="135"/>
  <c r="DX38" i="135"/>
  <c r="DC38" i="135"/>
  <c r="EE39" i="135"/>
  <c r="EL39" i="135"/>
  <c r="ES39" i="135"/>
  <c r="DX39" i="135"/>
  <c r="DC39" i="135"/>
  <c r="EF42" i="135"/>
  <c r="ET42" i="135"/>
  <c r="EM42" i="135"/>
  <c r="DY42" i="135"/>
  <c r="DD42" i="135"/>
  <c r="EF39" i="135"/>
  <c r="ET39" i="135"/>
  <c r="EM39" i="135"/>
  <c r="DY39" i="135"/>
  <c r="DD39" i="135"/>
  <c r="ET40" i="135"/>
  <c r="EM40" i="135"/>
  <c r="EF40" i="135"/>
  <c r="DY40" i="135"/>
  <c r="DD40" i="135"/>
  <c r="EE42" i="135"/>
  <c r="ES42" i="135"/>
  <c r="EL42" i="135"/>
  <c r="DX42" i="135"/>
  <c r="DC42" i="135"/>
  <c r="AJ38" i="135"/>
  <c r="EV38" i="135" s="1"/>
  <c r="FE8" i="135" s="1"/>
  <c r="EU23" i="135"/>
  <c r="FC23" i="135" s="1"/>
  <c r="DZ23" i="135"/>
  <c r="EZ23" i="135" s="1"/>
  <c r="EG23" i="135"/>
  <c r="FA23" i="135" s="1"/>
  <c r="EN23" i="135"/>
  <c r="FB23" i="135" s="1"/>
  <c r="DE23" i="135"/>
  <c r="EW23" i="135" s="1"/>
  <c r="EM38" i="135"/>
  <c r="EF38" i="135"/>
  <c r="DY38" i="135"/>
  <c r="DD38" i="135"/>
  <c r="AJ40" i="135"/>
  <c r="EV40" i="135" s="1"/>
  <c r="FE10" i="135" s="1"/>
  <c r="EU25" i="135"/>
  <c r="FC25" i="135" s="1"/>
  <c r="EG25" i="135"/>
  <c r="FA25" i="135" s="1"/>
  <c r="DZ25" i="135"/>
  <c r="EZ25" i="135" s="1"/>
  <c r="EN25" i="135"/>
  <c r="FB25" i="135" s="1"/>
  <c r="DE25" i="135"/>
  <c r="EW25" i="135" s="1"/>
  <c r="EE41" i="135"/>
  <c r="ES41" i="135"/>
  <c r="EL41" i="135"/>
  <c r="DX41" i="135"/>
  <c r="DC41" i="135"/>
  <c r="ES40" i="135"/>
  <c r="EL40" i="135"/>
  <c r="EE40" i="135"/>
  <c r="DX40" i="135"/>
  <c r="DC40" i="135"/>
  <c r="DB36" i="135"/>
  <c r="DE36" i="135"/>
  <c r="DB6" i="135"/>
  <c r="DE6" i="135"/>
  <c r="DB21" i="135"/>
  <c r="DE21" i="135"/>
  <c r="I95" i="132"/>
  <c r="G96" i="132"/>
  <c r="K95" i="132"/>
  <c r="L95" i="132" s="1"/>
  <c r="M95" i="132" s="1"/>
  <c r="N95" i="132" s="1"/>
  <c r="O95" i="132" s="1"/>
  <c r="P95" i="132" s="1"/>
  <c r="J99" i="132"/>
  <c r="I99" i="132"/>
  <c r="G97" i="132"/>
  <c r="G100" i="132"/>
  <c r="G101" i="132"/>
  <c r="DC6" i="135"/>
  <c r="CZ6" i="135"/>
  <c r="CZ36" i="135"/>
  <c r="DC36" i="135"/>
  <c r="CZ21" i="135"/>
  <c r="DC21" i="135"/>
  <c r="BO57" i="113"/>
  <c r="BO61" i="113"/>
  <c r="BP62" i="113"/>
  <c r="BP59" i="113"/>
  <c r="BQ48" i="113"/>
  <c r="BQ44" i="113"/>
  <c r="BO60" i="113"/>
  <c r="BQ46" i="113"/>
  <c r="BP60" i="113"/>
  <c r="BP57" i="113"/>
  <c r="BO58" i="113"/>
  <c r="BP61" i="113"/>
  <c r="BO59" i="113"/>
  <c r="BO62" i="113"/>
  <c r="BQ43" i="113"/>
  <c r="BQ47" i="113"/>
  <c r="BP58" i="113"/>
  <c r="BQ45" i="113"/>
  <c r="DL41" i="135" l="1"/>
  <c r="EX41" i="135" s="1"/>
  <c r="FG11" i="135" s="1"/>
  <c r="DS41" i="135"/>
  <c r="EY41" i="135" s="1"/>
  <c r="FH11" i="135" s="1"/>
  <c r="DL40" i="135"/>
  <c r="EX40" i="135" s="1"/>
  <c r="FG10" i="135" s="1"/>
  <c r="DS40" i="135"/>
  <c r="EY40" i="135" s="1"/>
  <c r="FH10" i="135" s="1"/>
  <c r="DL39" i="135"/>
  <c r="EX39" i="135" s="1"/>
  <c r="FG9" i="135" s="1"/>
  <c r="DS39" i="135"/>
  <c r="EY39" i="135" s="1"/>
  <c r="FH9" i="135" s="1"/>
  <c r="DL43" i="135"/>
  <c r="EX43" i="135" s="1"/>
  <c r="FG13" i="135" s="1"/>
  <c r="DS43" i="135"/>
  <c r="EY43" i="135" s="1"/>
  <c r="FH13" i="135" s="1"/>
  <c r="DL38" i="135"/>
  <c r="EX38" i="135" s="1"/>
  <c r="FG8" i="135" s="1"/>
  <c r="DS38" i="135"/>
  <c r="EY38" i="135" s="1"/>
  <c r="FH8" i="135" s="1"/>
  <c r="DL42" i="135"/>
  <c r="EX42" i="135" s="1"/>
  <c r="FG12" i="135" s="1"/>
  <c r="DS42" i="135"/>
  <c r="EY42" i="135" s="1"/>
  <c r="FH12" i="135" s="1"/>
  <c r="DC22" i="135"/>
  <c r="CZ22" i="135"/>
  <c r="DE7" i="135"/>
  <c r="DB7" i="135"/>
  <c r="DC7" i="135"/>
  <c r="CZ7" i="135"/>
  <c r="DB22" i="135"/>
  <c r="DE22" i="135"/>
  <c r="EG39" i="135"/>
  <c r="FA39" i="135" s="1"/>
  <c r="FJ9" i="135" s="1"/>
  <c r="EU39" i="135"/>
  <c r="FC39" i="135" s="1"/>
  <c r="FL9" i="135" s="1"/>
  <c r="DZ39" i="135"/>
  <c r="EZ39" i="135" s="1"/>
  <c r="FI9" i="135" s="1"/>
  <c r="EN39" i="135"/>
  <c r="FB39" i="135" s="1"/>
  <c r="FK9" i="135" s="1"/>
  <c r="DE39" i="135"/>
  <c r="EW39" i="135" s="1"/>
  <c r="FF9" i="135" s="1"/>
  <c r="EU41" i="135"/>
  <c r="FC41" i="135" s="1"/>
  <c r="FL11" i="135" s="1"/>
  <c r="EG41" i="135"/>
  <c r="FA41" i="135" s="1"/>
  <c r="FJ11" i="135" s="1"/>
  <c r="DZ41" i="135"/>
  <c r="EZ41" i="135" s="1"/>
  <c r="FI11" i="135" s="1"/>
  <c r="EN41" i="135"/>
  <c r="FB41" i="135" s="1"/>
  <c r="FK11" i="135" s="1"/>
  <c r="DE41" i="135"/>
  <c r="EW41" i="135" s="1"/>
  <c r="FF11" i="135" s="1"/>
  <c r="DZ42" i="135"/>
  <c r="EZ42" i="135" s="1"/>
  <c r="FI12" i="135" s="1"/>
  <c r="EG42" i="135"/>
  <c r="FA42" i="135" s="1"/>
  <c r="FJ12" i="135" s="1"/>
  <c r="EU42" i="135"/>
  <c r="FC42" i="135" s="1"/>
  <c r="FL12" i="135" s="1"/>
  <c r="EN42" i="135"/>
  <c r="FB42" i="135" s="1"/>
  <c r="FK12" i="135" s="1"/>
  <c r="DE42" i="135"/>
  <c r="EW42" i="135" s="1"/>
  <c r="FF12" i="135" s="1"/>
  <c r="EU40" i="135"/>
  <c r="FC40" i="135" s="1"/>
  <c r="FL10" i="135" s="1"/>
  <c r="DZ40" i="135"/>
  <c r="EZ40" i="135" s="1"/>
  <c r="FI10" i="135" s="1"/>
  <c r="EG40" i="135"/>
  <c r="FA40" i="135" s="1"/>
  <c r="FJ10" i="135" s="1"/>
  <c r="EN40" i="135"/>
  <c r="FB40" i="135" s="1"/>
  <c r="FK10" i="135" s="1"/>
  <c r="DE40" i="135"/>
  <c r="EW40" i="135" s="1"/>
  <c r="FF10" i="135" s="1"/>
  <c r="DZ38" i="135"/>
  <c r="EZ38" i="135" s="1"/>
  <c r="FI8" i="135" s="1"/>
  <c r="EG38" i="135"/>
  <c r="FA38" i="135" s="1"/>
  <c r="FJ8" i="135" s="1"/>
  <c r="EN38" i="135"/>
  <c r="FB38" i="135" s="1"/>
  <c r="FK8" i="135" s="1"/>
  <c r="DE38" i="135"/>
  <c r="EW38" i="135" s="1"/>
  <c r="FF8" i="135" s="1"/>
  <c r="DZ43" i="135"/>
  <c r="EZ43" i="135" s="1"/>
  <c r="FI13" i="135" s="1"/>
  <c r="EN43" i="135"/>
  <c r="FB43" i="135" s="1"/>
  <c r="FK13" i="135" s="1"/>
  <c r="EG43" i="135"/>
  <c r="FA43" i="135" s="1"/>
  <c r="FJ13" i="135" s="1"/>
  <c r="EU43" i="135"/>
  <c r="FC43" i="135" s="1"/>
  <c r="FL13" i="135" s="1"/>
  <c r="DE43" i="135"/>
  <c r="EW43" i="135" s="1"/>
  <c r="FF13" i="135" s="1"/>
  <c r="K99" i="132"/>
  <c r="J103" i="132"/>
  <c r="I100" i="132"/>
  <c r="J100" i="132"/>
  <c r="K100" i="132" s="1"/>
  <c r="L100" i="132" s="1"/>
  <c r="M100" i="132" s="1"/>
  <c r="N100" i="132" s="1"/>
  <c r="O100" i="132" s="1"/>
  <c r="P100" i="132" s="1"/>
  <c r="I97" i="132"/>
  <c r="J97" i="132"/>
  <c r="K97" i="132" s="1"/>
  <c r="L97" i="132" s="1"/>
  <c r="M97" i="132" s="1"/>
  <c r="N97" i="132" s="1"/>
  <c r="O97" i="132" s="1"/>
  <c r="P97" i="132" s="1"/>
  <c r="J96" i="132"/>
  <c r="K96" i="132" s="1"/>
  <c r="L96" i="132" s="1"/>
  <c r="M96" i="132" s="1"/>
  <c r="N96" i="132" s="1"/>
  <c r="O96" i="132" s="1"/>
  <c r="P96" i="132" s="1"/>
  <c r="I96" i="132"/>
  <c r="J101" i="132"/>
  <c r="K101" i="132" s="1"/>
  <c r="L101" i="132" s="1"/>
  <c r="M101" i="132" s="1"/>
  <c r="N101" i="132" s="1"/>
  <c r="O101" i="132" s="1"/>
  <c r="P101" i="132" s="1"/>
  <c r="I101" i="132"/>
  <c r="DA6" i="135"/>
  <c r="EW6" i="135" s="1"/>
  <c r="DD6" i="135"/>
  <c r="DD21" i="135"/>
  <c r="DA21" i="135"/>
  <c r="EW21" i="135" s="1"/>
  <c r="DA36" i="135"/>
  <c r="EW36" i="135" s="1"/>
  <c r="DD36" i="135"/>
  <c r="C146" i="104"/>
  <c r="C153" i="132"/>
  <c r="C145" i="132"/>
  <c r="BQ62" i="113"/>
  <c r="BQ60" i="113"/>
  <c r="BQ57" i="113"/>
  <c r="BQ59" i="113"/>
  <c r="BQ58" i="113"/>
  <c r="BQ61" i="113"/>
  <c r="FF6" i="135" l="1"/>
  <c r="EW7" i="135"/>
  <c r="DD22" i="135"/>
  <c r="DA22" i="135"/>
  <c r="EW22" i="135" s="1"/>
  <c r="DD7" i="135"/>
  <c r="DA7" i="135"/>
  <c r="K103" i="132"/>
  <c r="J104" i="132" s="1"/>
  <c r="L99" i="132"/>
  <c r="FF7" i="135" l="1"/>
  <c r="M99" i="132"/>
  <c r="L103" i="132"/>
  <c r="K104" i="132"/>
  <c r="L104" i="132" l="1"/>
  <c r="M103" i="132"/>
  <c r="N99" i="132"/>
  <c r="O99" i="132" l="1"/>
  <c r="N103" i="132"/>
  <c r="M104" i="132"/>
  <c r="N104" i="132" l="1"/>
  <c r="O103" i="132"/>
  <c r="P99" i="132"/>
  <c r="P103" i="132" s="1"/>
  <c r="O104" i="132" l="1"/>
  <c r="P104" i="132" l="1"/>
  <c r="CS18" i="134" l="1"/>
  <c r="CS12" i="134"/>
  <c r="CL17" i="134"/>
  <c r="BW17" i="134"/>
  <c r="BX17" i="134"/>
  <c r="BY17" i="134"/>
  <c r="BZ17" i="134"/>
  <c r="CA17" i="134"/>
  <c r="CB17" i="134"/>
  <c r="BW18" i="134"/>
  <c r="BX18" i="134"/>
  <c r="BY18" i="134"/>
  <c r="BZ18" i="134"/>
  <c r="CA18" i="134"/>
  <c r="CB18" i="134"/>
  <c r="BW19" i="134"/>
  <c r="BX19" i="134"/>
  <c r="BY19" i="134"/>
  <c r="BZ19" i="134"/>
  <c r="CA19" i="134"/>
  <c r="CB19" i="134"/>
  <c r="BW12" i="134"/>
  <c r="BX12" i="134"/>
  <c r="BY12" i="134"/>
  <c r="BZ12" i="134"/>
  <c r="CA12" i="134"/>
  <c r="CB12" i="134"/>
  <c r="BW13" i="134"/>
  <c r="BX13" i="134"/>
  <c r="BY13" i="134"/>
  <c r="BZ13" i="134"/>
  <c r="CA13" i="134"/>
  <c r="CB13" i="134"/>
  <c r="BW14" i="134"/>
  <c r="BX14" i="134"/>
  <c r="BY14" i="134"/>
  <c r="BZ14" i="134"/>
  <c r="CA14" i="134"/>
  <c r="CB14" i="134"/>
  <c r="BW7" i="134"/>
  <c r="BX7" i="134"/>
  <c r="BY7" i="134"/>
  <c r="BZ7" i="134"/>
  <c r="CA7" i="134"/>
  <c r="CB7" i="134"/>
  <c r="BW8" i="134"/>
  <c r="BX8" i="134"/>
  <c r="BY8" i="134"/>
  <c r="BZ8" i="134"/>
  <c r="CA8" i="134"/>
  <c r="CB8" i="134"/>
  <c r="BW9" i="134"/>
  <c r="BX9" i="134"/>
  <c r="BY9" i="134"/>
  <c r="BZ9" i="134"/>
  <c r="CA9" i="134"/>
  <c r="CB9" i="134"/>
  <c r="BJ13" i="134"/>
  <c r="S23" i="104"/>
  <c r="R23" i="104"/>
  <c r="CD23" i="104" s="1"/>
  <c r="CE23" i="104" s="1"/>
  <c r="CF23" i="104" s="1"/>
  <c r="CG23" i="104" s="1"/>
  <c r="CH23" i="104" s="1"/>
  <c r="CI23" i="104" s="1"/>
  <c r="CJ23" i="104" s="1"/>
  <c r="AF6" i="134"/>
  <c r="AG6" i="134"/>
  <c r="AH6" i="134"/>
  <c r="AI6" i="134"/>
  <c r="AF7" i="134"/>
  <c r="AG7" i="134"/>
  <c r="AH7" i="134"/>
  <c r="AI7" i="134"/>
  <c r="AE6" i="134"/>
  <c r="AD7" i="134"/>
  <c r="AE7" i="134"/>
  <c r="AC7" i="134"/>
  <c r="AC6" i="134"/>
  <c r="W8" i="134"/>
  <c r="X9" i="134"/>
  <c r="W9" i="134"/>
  <c r="X8" i="134"/>
  <c r="Y8" i="134"/>
  <c r="Y7" i="134"/>
  <c r="Z8" i="134"/>
  <c r="AA8" i="134" s="1"/>
  <c r="AB8" i="134" s="1"/>
  <c r="Y9" i="134"/>
  <c r="R19" i="134"/>
  <c r="CK19" i="134" s="1"/>
  <c r="Q19" i="134"/>
  <c r="CD19" i="134" s="1"/>
  <c r="R14" i="134"/>
  <c r="CK14" i="134" s="1"/>
  <c r="Q14" i="134"/>
  <c r="CD14" i="134" s="1"/>
  <c r="Q9" i="134"/>
  <c r="CD9" i="134" s="1"/>
  <c r="R9" i="134"/>
  <c r="CK9" i="134" s="1"/>
  <c r="G51" i="134"/>
  <c r="R18" i="134" s="1"/>
  <c r="CK18" i="134" s="1"/>
  <c r="C51" i="134"/>
  <c r="L17" i="64"/>
  <c r="H16" i="64"/>
  <c r="H17" i="64"/>
  <c r="L16" i="64"/>
  <c r="J16" i="64"/>
  <c r="J17" i="64"/>
  <c r="K16" i="64"/>
  <c r="K17" i="64"/>
  <c r="I16" i="64"/>
  <c r="I17" i="64"/>
  <c r="G17" i="64"/>
  <c r="BD16" i="64" l="1"/>
  <c r="BD17" i="64"/>
  <c r="EV6" i="134"/>
  <c r="DM6" i="134"/>
  <c r="EV7" i="134"/>
  <c r="AG9" i="134"/>
  <c r="DX7" i="134"/>
  <c r="AC16" i="134"/>
  <c r="AC11" i="134"/>
  <c r="AG12" i="134"/>
  <c r="AG17" i="134"/>
  <c r="AC8" i="134"/>
  <c r="AC12" i="134"/>
  <c r="AC17" i="134"/>
  <c r="AF17" i="134"/>
  <c r="AF12" i="134"/>
  <c r="AC9" i="134"/>
  <c r="AE17" i="134"/>
  <c r="AE12" i="134"/>
  <c r="AI9" i="134"/>
  <c r="AI16" i="134"/>
  <c r="AI11" i="134"/>
  <c r="AD12" i="134"/>
  <c r="AD17" i="134"/>
  <c r="AH9" i="134"/>
  <c r="AH16" i="134"/>
  <c r="AH11" i="134"/>
  <c r="AH8" i="134"/>
  <c r="AE9" i="134"/>
  <c r="AE16" i="134"/>
  <c r="AE11" i="134"/>
  <c r="AG8" i="134"/>
  <c r="AG16" i="134"/>
  <c r="AG11" i="134"/>
  <c r="DW7" i="134"/>
  <c r="Q8" i="134"/>
  <c r="CD8" i="134" s="1"/>
  <c r="Q18" i="134"/>
  <c r="Q13" i="134"/>
  <c r="CD13" i="134" s="1"/>
  <c r="AD8" i="134"/>
  <c r="AD16" i="134"/>
  <c r="AD11" i="134"/>
  <c r="AF9" i="134"/>
  <c r="AF11" i="134"/>
  <c r="AF16" i="134"/>
  <c r="AI17" i="134"/>
  <c r="AI12" i="134"/>
  <c r="AH17" i="134"/>
  <c r="AH12" i="134"/>
  <c r="DT7" i="134"/>
  <c r="CK23" i="104"/>
  <c r="CL23" i="104" s="1"/>
  <c r="CM23" i="104" s="1"/>
  <c r="CN23" i="104" s="1"/>
  <c r="CO23" i="104" s="1"/>
  <c r="CP23" i="104" s="1"/>
  <c r="CQ23" i="104" s="1"/>
  <c r="S137" i="104"/>
  <c r="CK137" i="104" s="1"/>
  <c r="CL137" i="104" s="1"/>
  <c r="CM137" i="104" s="1"/>
  <c r="CN137" i="104" s="1"/>
  <c r="CO137" i="104" s="1"/>
  <c r="CP137" i="104" s="1"/>
  <c r="CQ137" i="104" s="1"/>
  <c r="S80" i="104"/>
  <c r="CK80" i="104" s="1"/>
  <c r="CL80" i="104" s="1"/>
  <c r="CM80" i="104" s="1"/>
  <c r="CN80" i="104" s="1"/>
  <c r="CO80" i="104" s="1"/>
  <c r="CP80" i="104" s="1"/>
  <c r="CQ80" i="104" s="1"/>
  <c r="R137" i="104"/>
  <c r="CD137" i="104" s="1"/>
  <c r="CE137" i="104" s="1"/>
  <c r="CF137" i="104" s="1"/>
  <c r="CG137" i="104" s="1"/>
  <c r="CH137" i="104" s="1"/>
  <c r="CI137" i="104" s="1"/>
  <c r="CJ137" i="104" s="1"/>
  <c r="R80" i="104"/>
  <c r="CD80" i="104" s="1"/>
  <c r="CE80" i="104" s="1"/>
  <c r="CF80" i="104" s="1"/>
  <c r="CG80" i="104" s="1"/>
  <c r="CH80" i="104" s="1"/>
  <c r="CI80" i="104" s="1"/>
  <c r="CJ80" i="104" s="1"/>
  <c r="S25" i="104"/>
  <c r="S20" i="104"/>
  <c r="S24" i="104"/>
  <c r="S22" i="104"/>
  <c r="S21" i="104"/>
  <c r="S26" i="104"/>
  <c r="R22" i="104"/>
  <c r="CD22" i="104" s="1"/>
  <c r="R26" i="104"/>
  <c r="CD26" i="104" s="1"/>
  <c r="R21" i="104"/>
  <c r="CD21" i="104" s="1"/>
  <c r="R25" i="104"/>
  <c r="CD25" i="104" s="1"/>
  <c r="R20" i="104"/>
  <c r="CD20" i="104" s="1"/>
  <c r="CE20" i="104" s="1"/>
  <c r="CF20" i="104" s="1"/>
  <c r="CG20" i="104" s="1"/>
  <c r="CH20" i="104" s="1"/>
  <c r="CI20" i="104" s="1"/>
  <c r="CJ20" i="104" s="1"/>
  <c r="R24" i="104"/>
  <c r="CD24" i="104" s="1"/>
  <c r="CE24" i="104" s="1"/>
  <c r="CF24" i="104" s="1"/>
  <c r="CG24" i="104" s="1"/>
  <c r="CH24" i="104" s="1"/>
  <c r="CI24" i="104" s="1"/>
  <c r="CJ24" i="104" s="1"/>
  <c r="X7" i="134"/>
  <c r="CL14" i="134"/>
  <c r="CE9" i="134"/>
  <c r="CE14" i="134"/>
  <c r="AI8" i="134"/>
  <c r="AD9" i="134"/>
  <c r="AE8" i="134"/>
  <c r="BK13" i="134"/>
  <c r="BL13" i="134" s="1"/>
  <c r="BQ19" i="134"/>
  <c r="BR19" i="134" s="1"/>
  <c r="AF8" i="134"/>
  <c r="DY7" i="134"/>
  <c r="DU7" i="134"/>
  <c r="W7" i="134"/>
  <c r="CS7" i="134"/>
  <c r="DV7" i="134"/>
  <c r="BJ18" i="134"/>
  <c r="EH7" i="134"/>
  <c r="CL7" i="134"/>
  <c r="CT12" i="134"/>
  <c r="BJ19" i="134"/>
  <c r="CS19" i="134"/>
  <c r="CS13" i="134"/>
  <c r="CE12" i="134"/>
  <c r="BJ8" i="134"/>
  <c r="CT18" i="134"/>
  <c r="CM17" i="134"/>
  <c r="CS9" i="134"/>
  <c r="CS17" i="134"/>
  <c r="Z7" i="134"/>
  <c r="AA7" i="134" s="1"/>
  <c r="AB7" i="134" s="1"/>
  <c r="Z9" i="134"/>
  <c r="AA9" i="134" s="1"/>
  <c r="AB9" i="134" s="1"/>
  <c r="R13" i="134"/>
  <c r="CK13" i="134" s="1"/>
  <c r="R8" i="134"/>
  <c r="CK8" i="134" s="1"/>
  <c r="K25" i="113"/>
  <c r="M26" i="113"/>
  <c r="I30" i="113"/>
  <c r="I26" i="113"/>
  <c r="J30" i="113"/>
  <c r="H30" i="113"/>
  <c r="G19" i="64"/>
  <c r="J19" i="64"/>
  <c r="I19" i="64"/>
  <c r="I18" i="64"/>
  <c r="L29" i="113"/>
  <c r="AP17" i="64"/>
  <c r="J29" i="113"/>
  <c r="L26" i="113"/>
  <c r="M30" i="113"/>
  <c r="L25" i="113"/>
  <c r="H29" i="113"/>
  <c r="M25" i="113"/>
  <c r="K19" i="64"/>
  <c r="I29" i="113"/>
  <c r="H25" i="113"/>
  <c r="J18" i="64"/>
  <c r="H18" i="64"/>
  <c r="K26" i="113"/>
  <c r="L19" i="64"/>
  <c r="L30" i="113"/>
  <c r="K30" i="113"/>
  <c r="K29" i="113"/>
  <c r="J25" i="113"/>
  <c r="G18" i="64"/>
  <c r="H26" i="113"/>
  <c r="K18" i="64"/>
  <c r="J26" i="113"/>
  <c r="L18" i="64"/>
  <c r="M29" i="113"/>
  <c r="H19" i="64"/>
  <c r="AB16" i="64"/>
  <c r="I25" i="113"/>
  <c r="H138" i="64" l="1"/>
  <c r="BR25" i="113"/>
  <c r="BD19" i="64"/>
  <c r="BR29" i="113"/>
  <c r="J138" i="64"/>
  <c r="BR30" i="113"/>
  <c r="L138" i="64"/>
  <c r="BD18" i="64"/>
  <c r="G138" i="64"/>
  <c r="BR26" i="113"/>
  <c r="I138" i="64"/>
  <c r="K138" i="64"/>
  <c r="DV9" i="134"/>
  <c r="DU17" i="134"/>
  <c r="DW12" i="134"/>
  <c r="EZ7" i="134"/>
  <c r="DX9" i="134"/>
  <c r="DX12" i="134"/>
  <c r="DW8" i="134"/>
  <c r="EO17" i="134"/>
  <c r="EV17" i="134"/>
  <c r="DV12" i="134"/>
  <c r="DX17" i="134"/>
  <c r="DV17" i="134"/>
  <c r="DY12" i="134"/>
  <c r="AG19" i="134"/>
  <c r="DY17" i="134"/>
  <c r="DU9" i="134"/>
  <c r="DY9" i="134"/>
  <c r="EP12" i="134"/>
  <c r="DW17" i="134"/>
  <c r="CD18" i="134"/>
  <c r="CE18" i="134" s="1"/>
  <c r="CF18" i="134" s="1"/>
  <c r="DT12" i="134"/>
  <c r="EV12" i="134"/>
  <c r="EV11" i="134"/>
  <c r="EV16" i="134"/>
  <c r="DF8" i="134"/>
  <c r="EV8" i="134"/>
  <c r="EO9" i="134"/>
  <c r="EV9" i="134"/>
  <c r="DW9" i="134"/>
  <c r="AG14" i="134"/>
  <c r="EA12" i="134"/>
  <c r="EO12" i="134"/>
  <c r="EO7" i="134"/>
  <c r="CE8" i="134"/>
  <c r="EB8" i="134" s="1"/>
  <c r="EI17" i="134"/>
  <c r="EH17" i="134"/>
  <c r="EA9" i="134"/>
  <c r="DT8" i="134"/>
  <c r="DU12" i="134"/>
  <c r="DT17" i="134"/>
  <c r="DY8" i="134"/>
  <c r="AI18" i="134"/>
  <c r="AI13" i="134"/>
  <c r="AG18" i="134"/>
  <c r="AG13" i="134"/>
  <c r="AD18" i="134"/>
  <c r="AD13" i="134"/>
  <c r="AH18" i="134"/>
  <c r="AH13" i="134"/>
  <c r="AI19" i="134"/>
  <c r="AI14" i="134"/>
  <c r="AC13" i="134"/>
  <c r="AC18" i="134"/>
  <c r="AE19" i="134"/>
  <c r="AE14" i="134"/>
  <c r="AE13" i="134"/>
  <c r="AE18" i="134"/>
  <c r="DX8" i="134"/>
  <c r="AH14" i="134"/>
  <c r="AH19" i="134"/>
  <c r="AC14" i="134"/>
  <c r="AC19" i="134"/>
  <c r="DM9" i="134"/>
  <c r="DV8" i="134"/>
  <c r="AF18" i="134"/>
  <c r="AF13" i="134"/>
  <c r="DT9" i="134"/>
  <c r="AD14" i="134"/>
  <c r="AD19" i="134"/>
  <c r="AF19" i="134"/>
  <c r="AF14" i="134"/>
  <c r="CK20" i="104"/>
  <c r="CL20" i="104" s="1"/>
  <c r="CM20" i="104" s="1"/>
  <c r="CN20" i="104" s="1"/>
  <c r="CO20" i="104" s="1"/>
  <c r="CP20" i="104" s="1"/>
  <c r="CQ20" i="104" s="1"/>
  <c r="CK25" i="104"/>
  <c r="CL25" i="104" s="1"/>
  <c r="CM25" i="104" s="1"/>
  <c r="CN25" i="104" s="1"/>
  <c r="CO25" i="104" s="1"/>
  <c r="CP25" i="104" s="1"/>
  <c r="CQ25" i="104" s="1"/>
  <c r="CK26" i="104"/>
  <c r="CL26" i="104" s="1"/>
  <c r="CM26" i="104" s="1"/>
  <c r="CN26" i="104" s="1"/>
  <c r="CO26" i="104" s="1"/>
  <c r="CP26" i="104" s="1"/>
  <c r="CQ26" i="104" s="1"/>
  <c r="CK21" i="104"/>
  <c r="CL21" i="104" s="1"/>
  <c r="CM21" i="104" s="1"/>
  <c r="CN21" i="104" s="1"/>
  <c r="CO21" i="104" s="1"/>
  <c r="CP21" i="104" s="1"/>
  <c r="CQ21" i="104" s="1"/>
  <c r="CK22" i="104"/>
  <c r="CL22" i="104" s="1"/>
  <c r="CM22" i="104" s="1"/>
  <c r="CN22" i="104" s="1"/>
  <c r="CO22" i="104" s="1"/>
  <c r="CP22" i="104" s="1"/>
  <c r="CQ22" i="104" s="1"/>
  <c r="CK24" i="104"/>
  <c r="CL24" i="104" s="1"/>
  <c r="CM24" i="104" s="1"/>
  <c r="CN24" i="104" s="1"/>
  <c r="CO24" i="104" s="1"/>
  <c r="CP24" i="104" s="1"/>
  <c r="CQ24" i="104" s="1"/>
  <c r="CE25" i="104"/>
  <c r="CF25" i="104" s="1"/>
  <c r="CG25" i="104" s="1"/>
  <c r="CH25" i="104" s="1"/>
  <c r="CI25" i="104" s="1"/>
  <c r="CJ25" i="104" s="1"/>
  <c r="CE21" i="104"/>
  <c r="CF21" i="104" s="1"/>
  <c r="CG21" i="104" s="1"/>
  <c r="CH21" i="104" s="1"/>
  <c r="CI21" i="104" s="1"/>
  <c r="CJ21" i="104" s="1"/>
  <c r="CE26" i="104"/>
  <c r="CF26" i="104" s="1"/>
  <c r="CG26" i="104" s="1"/>
  <c r="CH26" i="104" s="1"/>
  <c r="CI26" i="104" s="1"/>
  <c r="CJ26" i="104" s="1"/>
  <c r="CE22" i="104"/>
  <c r="CF22" i="104" s="1"/>
  <c r="CG22" i="104" s="1"/>
  <c r="CH22" i="104" s="1"/>
  <c r="CI22" i="104" s="1"/>
  <c r="CJ22" i="104" s="1"/>
  <c r="R138" i="104"/>
  <c r="CD138" i="104" s="1"/>
  <c r="CE138" i="104" s="1"/>
  <c r="CF138" i="104" s="1"/>
  <c r="CG138" i="104" s="1"/>
  <c r="CH138" i="104" s="1"/>
  <c r="CI138" i="104" s="1"/>
  <c r="CJ138" i="104" s="1"/>
  <c r="R81" i="104"/>
  <c r="CD81" i="104" s="1"/>
  <c r="CE81" i="104" s="1"/>
  <c r="CF81" i="104" s="1"/>
  <c r="CG81" i="104" s="1"/>
  <c r="CH81" i="104" s="1"/>
  <c r="CI81" i="104" s="1"/>
  <c r="CJ81" i="104" s="1"/>
  <c r="S79" i="104"/>
  <c r="CK79" i="104" s="1"/>
  <c r="S136" i="104"/>
  <c r="CK136" i="104" s="1"/>
  <c r="CL136" i="104" s="1"/>
  <c r="CM136" i="104" s="1"/>
  <c r="CN136" i="104" s="1"/>
  <c r="CO136" i="104" s="1"/>
  <c r="CP136" i="104" s="1"/>
  <c r="CQ136" i="104" s="1"/>
  <c r="R134" i="104"/>
  <c r="CD134" i="104" s="1"/>
  <c r="CE134" i="104" s="1"/>
  <c r="CF134" i="104" s="1"/>
  <c r="CG134" i="104" s="1"/>
  <c r="CH134" i="104" s="1"/>
  <c r="CI134" i="104" s="1"/>
  <c r="CJ134" i="104" s="1"/>
  <c r="R77" i="104"/>
  <c r="CD77" i="104" s="1"/>
  <c r="R79" i="104"/>
  <c r="CD79" i="104" s="1"/>
  <c r="R136" i="104"/>
  <c r="CD136" i="104" s="1"/>
  <c r="CE136" i="104" s="1"/>
  <c r="CF136" i="104" s="1"/>
  <c r="CG136" i="104" s="1"/>
  <c r="CH136" i="104" s="1"/>
  <c r="CI136" i="104" s="1"/>
  <c r="CJ136" i="104" s="1"/>
  <c r="S138" i="104"/>
  <c r="CK138" i="104" s="1"/>
  <c r="CL138" i="104" s="1"/>
  <c r="CM138" i="104" s="1"/>
  <c r="CN138" i="104" s="1"/>
  <c r="CO138" i="104" s="1"/>
  <c r="CP138" i="104" s="1"/>
  <c r="CQ138" i="104" s="1"/>
  <c r="S81" i="104"/>
  <c r="CK81" i="104" s="1"/>
  <c r="CL81" i="104" s="1"/>
  <c r="CM81" i="104" s="1"/>
  <c r="CN81" i="104" s="1"/>
  <c r="CO81" i="104" s="1"/>
  <c r="CP81" i="104" s="1"/>
  <c r="CQ81" i="104" s="1"/>
  <c r="R139" i="104"/>
  <c r="CD139" i="104" s="1"/>
  <c r="CE139" i="104" s="1"/>
  <c r="CF139" i="104" s="1"/>
  <c r="CG139" i="104" s="1"/>
  <c r="CH139" i="104" s="1"/>
  <c r="CI139" i="104" s="1"/>
  <c r="CJ139" i="104" s="1"/>
  <c r="R82" i="104"/>
  <c r="CD82" i="104" s="1"/>
  <c r="CE82" i="104" s="1"/>
  <c r="CF82" i="104" s="1"/>
  <c r="CG82" i="104" s="1"/>
  <c r="CH82" i="104" s="1"/>
  <c r="CI82" i="104" s="1"/>
  <c r="CJ82" i="104" s="1"/>
  <c r="S83" i="104"/>
  <c r="CK83" i="104" s="1"/>
  <c r="CL83" i="104" s="1"/>
  <c r="CM83" i="104" s="1"/>
  <c r="CN83" i="104" s="1"/>
  <c r="CO83" i="104" s="1"/>
  <c r="CP83" i="104" s="1"/>
  <c r="CQ83" i="104" s="1"/>
  <c r="S140" i="104"/>
  <c r="CK140" i="104" s="1"/>
  <c r="CL140" i="104" s="1"/>
  <c r="CM140" i="104" s="1"/>
  <c r="CN140" i="104" s="1"/>
  <c r="CO140" i="104" s="1"/>
  <c r="CP140" i="104" s="1"/>
  <c r="CQ140" i="104" s="1"/>
  <c r="S134" i="104"/>
  <c r="CK134" i="104" s="1"/>
  <c r="CL134" i="104" s="1"/>
  <c r="CM134" i="104" s="1"/>
  <c r="CN134" i="104" s="1"/>
  <c r="CO134" i="104" s="1"/>
  <c r="CP134" i="104" s="1"/>
  <c r="CQ134" i="104" s="1"/>
  <c r="S77" i="104"/>
  <c r="CK77" i="104" s="1"/>
  <c r="R140" i="104"/>
  <c r="CD140" i="104" s="1"/>
  <c r="CE140" i="104" s="1"/>
  <c r="CF140" i="104" s="1"/>
  <c r="CG140" i="104" s="1"/>
  <c r="CH140" i="104" s="1"/>
  <c r="CI140" i="104" s="1"/>
  <c r="CJ140" i="104" s="1"/>
  <c r="R83" i="104"/>
  <c r="CD83" i="104" s="1"/>
  <c r="CE83" i="104" s="1"/>
  <c r="CF83" i="104" s="1"/>
  <c r="CG83" i="104" s="1"/>
  <c r="CH83" i="104" s="1"/>
  <c r="CI83" i="104" s="1"/>
  <c r="CJ83" i="104" s="1"/>
  <c r="R135" i="104"/>
  <c r="CD135" i="104" s="1"/>
  <c r="CE135" i="104" s="1"/>
  <c r="CF135" i="104" s="1"/>
  <c r="CG135" i="104" s="1"/>
  <c r="CH135" i="104" s="1"/>
  <c r="CI135" i="104" s="1"/>
  <c r="CJ135" i="104" s="1"/>
  <c r="R78" i="104"/>
  <c r="CD78" i="104" s="1"/>
  <c r="S135" i="104"/>
  <c r="CK135" i="104" s="1"/>
  <c r="CL135" i="104" s="1"/>
  <c r="CM135" i="104" s="1"/>
  <c r="CN135" i="104" s="1"/>
  <c r="CO135" i="104" s="1"/>
  <c r="CP135" i="104" s="1"/>
  <c r="CQ135" i="104" s="1"/>
  <c r="S78" i="104"/>
  <c r="CK78" i="104" s="1"/>
  <c r="S139" i="104"/>
  <c r="CK139" i="104" s="1"/>
  <c r="CL139" i="104" s="1"/>
  <c r="CM139" i="104" s="1"/>
  <c r="CN139" i="104" s="1"/>
  <c r="CO139" i="104" s="1"/>
  <c r="CP139" i="104" s="1"/>
  <c r="CQ139" i="104" s="1"/>
  <c r="S82" i="104"/>
  <c r="CK82" i="104" s="1"/>
  <c r="CL82" i="104" s="1"/>
  <c r="CM82" i="104" s="1"/>
  <c r="CN82" i="104" s="1"/>
  <c r="CO82" i="104" s="1"/>
  <c r="CP82" i="104" s="1"/>
  <c r="CQ82" i="104" s="1"/>
  <c r="CL19" i="134"/>
  <c r="CE19" i="134"/>
  <c r="DU8" i="134"/>
  <c r="BQ9" i="134"/>
  <c r="BR9" i="134" s="1"/>
  <c r="BQ14" i="134"/>
  <c r="BM13" i="134"/>
  <c r="DF17" i="134"/>
  <c r="BJ17" i="134"/>
  <c r="CE13" i="134"/>
  <c r="CL18" i="134"/>
  <c r="BK19" i="134"/>
  <c r="EH12" i="134"/>
  <c r="CL12" i="134"/>
  <c r="EI7" i="134"/>
  <c r="CM7" i="134"/>
  <c r="DF12" i="134"/>
  <c r="BJ12" i="134"/>
  <c r="EP17" i="134"/>
  <c r="CT17" i="134"/>
  <c r="CU18" i="134"/>
  <c r="DF7" i="134"/>
  <c r="BJ7" i="134"/>
  <c r="EH9" i="134"/>
  <c r="CL9" i="134"/>
  <c r="EB12" i="134"/>
  <c r="CF12" i="134"/>
  <c r="CT19" i="134"/>
  <c r="DM8" i="134"/>
  <c r="BQ8" i="134"/>
  <c r="EO8" i="134"/>
  <c r="CS8" i="134"/>
  <c r="CS14" i="134"/>
  <c r="BK8" i="134"/>
  <c r="DG8" i="134"/>
  <c r="EB9" i="134"/>
  <c r="CF9" i="134"/>
  <c r="CE17" i="134"/>
  <c r="EA17" i="134"/>
  <c r="EJ17" i="134"/>
  <c r="CN17" i="134"/>
  <c r="EP9" i="134"/>
  <c r="CT9" i="134"/>
  <c r="BJ14" i="134"/>
  <c r="EA7" i="134"/>
  <c r="CE7" i="134"/>
  <c r="CU12" i="134"/>
  <c r="EQ12" i="134"/>
  <c r="CT13" i="134"/>
  <c r="CM14" i="134"/>
  <c r="EP7" i="134"/>
  <c r="CT7" i="134"/>
  <c r="CF14" i="134"/>
  <c r="DF9" i="134"/>
  <c r="BJ9" i="134"/>
  <c r="BS19" i="134"/>
  <c r="EH8" i="134"/>
  <c r="CL8" i="134"/>
  <c r="BK18" i="134"/>
  <c r="I19" i="134"/>
  <c r="BB19" i="134" s="1"/>
  <c r="I14" i="134"/>
  <c r="BB14" i="134" s="1"/>
  <c r="I11" i="134"/>
  <c r="BB11" i="134" s="1"/>
  <c r="I8" i="134"/>
  <c r="BB8" i="134" s="1"/>
  <c r="I18" i="134"/>
  <c r="BB18" i="134" s="1"/>
  <c r="I17" i="134"/>
  <c r="BB17" i="134" s="1"/>
  <c r="I16" i="134"/>
  <c r="BB16" i="134" s="1"/>
  <c r="I13" i="134"/>
  <c r="BB13" i="134" s="1"/>
  <c r="I7" i="134"/>
  <c r="BB7" i="134" s="1"/>
  <c r="I9" i="134"/>
  <c r="BB9" i="134" s="1"/>
  <c r="FC1" i="135"/>
  <c r="FB1" i="135"/>
  <c r="FA1" i="135"/>
  <c r="EZ1" i="135"/>
  <c r="EY1" i="135"/>
  <c r="EX1" i="135"/>
  <c r="EW1" i="135"/>
  <c r="EV1" i="135"/>
  <c r="ET1" i="135"/>
  <c r="ES1" i="135"/>
  <c r="ER1" i="135"/>
  <c r="EQ1" i="135"/>
  <c r="EP1" i="135"/>
  <c r="EO1" i="135"/>
  <c r="EM1" i="135"/>
  <c r="EL1" i="135"/>
  <c r="EK1" i="135"/>
  <c r="EJ1" i="135"/>
  <c r="EI1" i="135"/>
  <c r="EH1" i="135"/>
  <c r="EF1" i="135"/>
  <c r="EE1" i="135"/>
  <c r="ED1" i="135"/>
  <c r="EC1" i="135"/>
  <c r="EB1" i="135"/>
  <c r="EA1" i="135"/>
  <c r="DY1" i="135"/>
  <c r="DX1" i="135"/>
  <c r="DW1" i="135"/>
  <c r="DV1" i="135"/>
  <c r="DU1" i="135"/>
  <c r="DT1" i="135"/>
  <c r="DR1" i="135"/>
  <c r="DQ1" i="135"/>
  <c r="DP1" i="135"/>
  <c r="DO1" i="135"/>
  <c r="DN1" i="135"/>
  <c r="DM1" i="135"/>
  <c r="DK1" i="135"/>
  <c r="DJ1" i="135"/>
  <c r="DI1" i="135"/>
  <c r="DH1" i="135"/>
  <c r="DG1" i="135"/>
  <c r="DF1" i="135"/>
  <c r="DD1" i="135"/>
  <c r="DC1" i="135"/>
  <c r="DB1" i="135"/>
  <c r="DA1" i="135"/>
  <c r="CZ1" i="135"/>
  <c r="CY1" i="135"/>
  <c r="CW1" i="135"/>
  <c r="CV1" i="135"/>
  <c r="CU1" i="135"/>
  <c r="CT1" i="135"/>
  <c r="CS1" i="135"/>
  <c r="CR1" i="135"/>
  <c r="CP1" i="135"/>
  <c r="CO1" i="135"/>
  <c r="CN1" i="135"/>
  <c r="CM1" i="135"/>
  <c r="CL1" i="135"/>
  <c r="CK1" i="135"/>
  <c r="CI1" i="135"/>
  <c r="CH1" i="135"/>
  <c r="CG1" i="135"/>
  <c r="CF1" i="135"/>
  <c r="CE1" i="135"/>
  <c r="CD1" i="135"/>
  <c r="CB1" i="135"/>
  <c r="CA1" i="135"/>
  <c r="BZ1" i="135"/>
  <c r="BY1" i="135"/>
  <c r="BX1" i="135"/>
  <c r="BW1" i="135"/>
  <c r="BU1" i="135"/>
  <c r="BT1" i="135"/>
  <c r="BS1" i="135"/>
  <c r="BR1" i="135"/>
  <c r="BQ1" i="135"/>
  <c r="BP1" i="135"/>
  <c r="BN1" i="135"/>
  <c r="BM1" i="135"/>
  <c r="BL1" i="135"/>
  <c r="BK1" i="135"/>
  <c r="BJ1" i="135"/>
  <c r="BI1" i="135"/>
  <c r="BG1" i="135"/>
  <c r="BF1" i="135"/>
  <c r="BE1" i="135"/>
  <c r="BD1" i="135"/>
  <c r="BC1" i="135"/>
  <c r="BB1" i="135"/>
  <c r="BA1" i="135"/>
  <c r="AZ1" i="135"/>
  <c r="AY1" i="135"/>
  <c r="AX1" i="135"/>
  <c r="AW1" i="135"/>
  <c r="AV1" i="135"/>
  <c r="AU1" i="135"/>
  <c r="AT1" i="135"/>
  <c r="AS1" i="135"/>
  <c r="AR1" i="135"/>
  <c r="AQ1" i="135"/>
  <c r="AP1" i="135"/>
  <c r="AO1" i="135"/>
  <c r="AN1" i="135"/>
  <c r="AM1" i="135"/>
  <c r="AL1" i="135"/>
  <c r="AK1" i="135"/>
  <c r="AI1" i="135"/>
  <c r="AH1" i="135"/>
  <c r="AG1" i="135"/>
  <c r="AF1" i="135"/>
  <c r="AE1" i="135"/>
  <c r="AD1" i="135"/>
  <c r="AC1" i="135"/>
  <c r="AB1" i="135"/>
  <c r="AA1" i="135"/>
  <c r="Z1" i="135"/>
  <c r="Y1" i="135"/>
  <c r="X1" i="135"/>
  <c r="W1" i="135"/>
  <c r="V1" i="135"/>
  <c r="U1" i="135"/>
  <c r="T1" i="135"/>
  <c r="S1" i="135"/>
  <c r="R1" i="135"/>
  <c r="Q1" i="135"/>
  <c r="P1" i="135"/>
  <c r="O1" i="135"/>
  <c r="N1" i="135"/>
  <c r="M1" i="135"/>
  <c r="L1" i="135"/>
  <c r="K1" i="135"/>
  <c r="J1" i="135"/>
  <c r="I1" i="135"/>
  <c r="H1" i="135"/>
  <c r="G1" i="135"/>
  <c r="F1" i="135"/>
  <c r="E1" i="135"/>
  <c r="D1" i="135"/>
  <c r="C1" i="135"/>
  <c r="B1" i="135"/>
  <c r="A1" i="135"/>
  <c r="AK24" i="64"/>
  <c r="AJ37" i="64"/>
  <c r="AC24" i="64"/>
  <c r="AQ26" i="113"/>
  <c r="Z37" i="64"/>
  <c r="L28" i="113"/>
  <c r="AJ26" i="113"/>
  <c r="AX24" i="64"/>
  <c r="J31" i="113"/>
  <c r="AJ30" i="113"/>
  <c r="BM30" i="113"/>
  <c r="L32" i="113"/>
  <c r="AX17" i="64"/>
  <c r="AI24" i="64"/>
  <c r="AX30" i="113"/>
  <c r="AD37" i="64"/>
  <c r="H32" i="113"/>
  <c r="J32" i="113"/>
  <c r="AK26" i="113"/>
  <c r="I31" i="113"/>
  <c r="AR24" i="64"/>
  <c r="BP26" i="113"/>
  <c r="BN26" i="113"/>
  <c r="M31" i="113"/>
  <c r="I37" i="64"/>
  <c r="AP18" i="64"/>
  <c r="R24" i="64"/>
  <c r="AG24" i="64"/>
  <c r="AB24" i="64"/>
  <c r="U19" i="64"/>
  <c r="AT37" i="64"/>
  <c r="BO26" i="113"/>
  <c r="X37" i="64"/>
  <c r="AX26" i="113"/>
  <c r="AV37" i="64"/>
  <c r="L27" i="113"/>
  <c r="H37" i="64"/>
  <c r="J24" i="64"/>
  <c r="BA24" i="64"/>
  <c r="G37" i="64"/>
  <c r="I28" i="113"/>
  <c r="AB19" i="64"/>
  <c r="AO37" i="64"/>
  <c r="K31" i="113"/>
  <c r="U37" i="64"/>
  <c r="AU37" i="64"/>
  <c r="AB37" i="64"/>
  <c r="AP24" i="64"/>
  <c r="AJ19" i="64"/>
  <c r="H27" i="113"/>
  <c r="AR30" i="113"/>
  <c r="BK26" i="113"/>
  <c r="AQ17" i="64"/>
  <c r="AS30" i="113"/>
  <c r="AW19" i="64"/>
  <c r="L24" i="64"/>
  <c r="I27" i="113"/>
  <c r="AS24" i="64"/>
  <c r="AL24" i="64"/>
  <c r="AQ30" i="113"/>
  <c r="T24" i="64"/>
  <c r="BH17" i="64"/>
  <c r="AJ24" i="64"/>
  <c r="V24" i="64"/>
  <c r="AL37" i="64"/>
  <c r="H24" i="64"/>
  <c r="BG37" i="64"/>
  <c r="BC24" i="64"/>
  <c r="AZ24" i="64"/>
  <c r="U18" i="64"/>
  <c r="AJ18" i="64"/>
  <c r="AF24" i="64"/>
  <c r="U24" i="64"/>
  <c r="AW17" i="64"/>
  <c r="BI24" i="64"/>
  <c r="J27" i="113"/>
  <c r="G24" i="64"/>
  <c r="T37" i="64"/>
  <c r="BE37" i="64"/>
  <c r="AE24" i="64"/>
  <c r="AR37" i="64"/>
  <c r="AN37" i="64"/>
  <c r="BI37" i="64"/>
  <c r="AF37" i="64"/>
  <c r="K24" i="64"/>
  <c r="AP19" i="64"/>
  <c r="N24" i="64"/>
  <c r="AW18" i="64"/>
  <c r="AY24" i="64"/>
  <c r="BO30" i="113"/>
  <c r="V37" i="64"/>
  <c r="AI19" i="64"/>
  <c r="X24" i="64"/>
  <c r="AK37" i="64"/>
  <c r="BK30" i="113"/>
  <c r="BB24" i="64"/>
  <c r="W24" i="64"/>
  <c r="BG24" i="64"/>
  <c r="BL26" i="113"/>
  <c r="AY26" i="113"/>
  <c r="Y24" i="64"/>
  <c r="I32" i="113"/>
  <c r="AA24" i="64"/>
  <c r="AX19" i="64"/>
  <c r="AD24" i="64"/>
  <c r="AY30" i="113"/>
  <c r="J37" i="64"/>
  <c r="AM24" i="64"/>
  <c r="BH24" i="64"/>
  <c r="M28" i="113"/>
  <c r="AZ26" i="113"/>
  <c r="K37" i="64"/>
  <c r="Q37" i="64"/>
  <c r="H28" i="113"/>
  <c r="BF24" i="64"/>
  <c r="R37" i="64"/>
  <c r="M27" i="113"/>
  <c r="O24" i="64"/>
  <c r="W37" i="64"/>
  <c r="M32" i="113"/>
  <c r="K32" i="113"/>
  <c r="BP30" i="113"/>
  <c r="AS37" i="64"/>
  <c r="M37" i="64"/>
  <c r="I24" i="64"/>
  <c r="K28" i="113"/>
  <c r="AE37" i="64"/>
  <c r="AB18" i="64"/>
  <c r="AI37" i="64"/>
  <c r="H31" i="113"/>
  <c r="P24" i="64"/>
  <c r="AH37" i="64"/>
  <c r="AQ37" i="64"/>
  <c r="P37" i="64"/>
  <c r="Z24" i="64"/>
  <c r="BL30" i="113"/>
  <c r="AW24" i="64"/>
  <c r="Y37" i="64"/>
  <c r="V26" i="113"/>
  <c r="BH37" i="64"/>
  <c r="AV24" i="64"/>
  <c r="BM26" i="113"/>
  <c r="J28" i="113"/>
  <c r="V18" i="64"/>
  <c r="AQ24" i="64"/>
  <c r="AN24" i="64"/>
  <c r="AT24" i="64"/>
  <c r="Q24" i="64"/>
  <c r="AG37" i="64"/>
  <c r="AU24" i="64"/>
  <c r="AM37" i="64"/>
  <c r="BN30" i="113"/>
  <c r="AO24" i="64"/>
  <c r="O37" i="64"/>
  <c r="BJ24" i="64"/>
  <c r="AH24" i="64"/>
  <c r="BF37" i="64"/>
  <c r="AP37" i="64"/>
  <c r="S37" i="64"/>
  <c r="V30" i="113"/>
  <c r="L37" i="64"/>
  <c r="N37" i="64"/>
  <c r="AC37" i="64"/>
  <c r="L31" i="113"/>
  <c r="AA37" i="64"/>
  <c r="U17" i="64"/>
  <c r="BE24" i="64"/>
  <c r="AI17" i="64"/>
  <c r="BJ37" i="64"/>
  <c r="M24" i="64"/>
  <c r="K27" i="113"/>
  <c r="S24" i="64"/>
  <c r="J8" i="71" l="1"/>
  <c r="N8" i="71"/>
  <c r="K8" i="71"/>
  <c r="L8" i="71"/>
  <c r="M8" i="71"/>
  <c r="I8" i="71"/>
  <c r="BD138" i="64"/>
  <c r="I262" i="113"/>
  <c r="BR27" i="113"/>
  <c r="H262" i="113"/>
  <c r="BR28" i="113"/>
  <c r="L262" i="113"/>
  <c r="BR31" i="113"/>
  <c r="BR32" i="113"/>
  <c r="K262" i="113"/>
  <c r="M262" i="113"/>
  <c r="J262" i="113"/>
  <c r="EP13" i="134"/>
  <c r="DV14" i="134"/>
  <c r="DU14" i="134"/>
  <c r="DW18" i="134"/>
  <c r="DV18" i="134"/>
  <c r="DX13" i="134"/>
  <c r="DX18" i="134"/>
  <c r="EZ17" i="134"/>
  <c r="DV19" i="134"/>
  <c r="EP19" i="134"/>
  <c r="EH18" i="134"/>
  <c r="EV18" i="134"/>
  <c r="EZ8" i="134"/>
  <c r="DW14" i="134"/>
  <c r="EA19" i="134"/>
  <c r="EV19" i="134"/>
  <c r="DW13" i="134"/>
  <c r="EZ12" i="134"/>
  <c r="DX19" i="134"/>
  <c r="EZ9" i="134"/>
  <c r="DX14" i="134"/>
  <c r="DY14" i="134"/>
  <c r="DY13" i="134"/>
  <c r="DV13" i="134"/>
  <c r="DY19" i="134"/>
  <c r="DY18" i="134"/>
  <c r="DW19" i="134"/>
  <c r="BD37" i="64"/>
  <c r="BD24" i="64"/>
  <c r="EB18" i="134"/>
  <c r="EA14" i="134"/>
  <c r="EV14" i="134"/>
  <c r="EA13" i="134"/>
  <c r="EV13" i="134"/>
  <c r="EQ18" i="134"/>
  <c r="EB14" i="134"/>
  <c r="DG19" i="134"/>
  <c r="EO14" i="134"/>
  <c r="DG18" i="134"/>
  <c r="DM14" i="134"/>
  <c r="FE7" i="134"/>
  <c r="DI13" i="134"/>
  <c r="DO19" i="134"/>
  <c r="EA8" i="134"/>
  <c r="CF8" i="134"/>
  <c r="EC8" i="134" s="1"/>
  <c r="EI14" i="134"/>
  <c r="DF14" i="134"/>
  <c r="EH19" i="134"/>
  <c r="DH13" i="134"/>
  <c r="DF19" i="134"/>
  <c r="DT19" i="134"/>
  <c r="EO19" i="134"/>
  <c r="EP18" i="134"/>
  <c r="DU18" i="134"/>
  <c r="DT14" i="134"/>
  <c r="EH14" i="134"/>
  <c r="DG13" i="134"/>
  <c r="DU13" i="134"/>
  <c r="DM19" i="134"/>
  <c r="EO13" i="134"/>
  <c r="DF13" i="134"/>
  <c r="DT13" i="134"/>
  <c r="DN19" i="134"/>
  <c r="DU19" i="134"/>
  <c r="EO18" i="134"/>
  <c r="DF18" i="134"/>
  <c r="EA18" i="134"/>
  <c r="DT18" i="134"/>
  <c r="CE79" i="104"/>
  <c r="CL79" i="104"/>
  <c r="CL77" i="104"/>
  <c r="CL78" i="104"/>
  <c r="CE77" i="104"/>
  <c r="CE78" i="104"/>
  <c r="CM19" i="134"/>
  <c r="EI19" i="134"/>
  <c r="CL13" i="134"/>
  <c r="EH13" i="134"/>
  <c r="CF19" i="134"/>
  <c r="EB19" i="134"/>
  <c r="I12" i="134"/>
  <c r="BB12" i="134" s="1"/>
  <c r="DN9" i="134"/>
  <c r="CG18" i="134"/>
  <c r="EC18" i="134"/>
  <c r="DN14" i="134"/>
  <c r="BR14" i="134"/>
  <c r="EP8" i="134"/>
  <c r="CT8" i="134"/>
  <c r="DH18" i="134"/>
  <c r="BL18" i="134"/>
  <c r="DG9" i="134"/>
  <c r="BK9" i="134"/>
  <c r="ER12" i="134"/>
  <c r="CV12" i="134"/>
  <c r="DG7" i="134"/>
  <c r="BK7" i="134"/>
  <c r="EC9" i="134"/>
  <c r="CG9" i="134"/>
  <c r="EJ14" i="134"/>
  <c r="CN14" i="134"/>
  <c r="BK14" i="134"/>
  <c r="DG14" i="134"/>
  <c r="EQ19" i="134"/>
  <c r="CU19" i="134"/>
  <c r="CM18" i="134"/>
  <c r="EI18" i="134"/>
  <c r="DG12" i="134"/>
  <c r="BK12" i="134"/>
  <c r="EI8" i="134"/>
  <c r="CM8" i="134"/>
  <c r="CG12" i="134"/>
  <c r="EC12" i="134"/>
  <c r="ER18" i="134"/>
  <c r="CV18" i="134"/>
  <c r="EJ7" i="134"/>
  <c r="CN7" i="134"/>
  <c r="CM12" i="134"/>
  <c r="EI12" i="134"/>
  <c r="CF13" i="134"/>
  <c r="EB13" i="134"/>
  <c r="EQ7" i="134"/>
  <c r="CU7" i="134"/>
  <c r="BN13" i="134"/>
  <c r="DJ13" i="134"/>
  <c r="CG14" i="134"/>
  <c r="EC14" i="134"/>
  <c r="EQ9" i="134"/>
  <c r="CU9" i="134"/>
  <c r="EB17" i="134"/>
  <c r="CF17" i="134"/>
  <c r="DH8" i="134"/>
  <c r="BL8" i="134"/>
  <c r="DG17" i="134"/>
  <c r="BK17" i="134"/>
  <c r="CU13" i="134"/>
  <c r="EQ13" i="134"/>
  <c r="DP19" i="134"/>
  <c r="BT19" i="134"/>
  <c r="EB7" i="134"/>
  <c r="CF7" i="134"/>
  <c r="EK17" i="134"/>
  <c r="CO17" i="134"/>
  <c r="EP14" i="134"/>
  <c r="CT14" i="134"/>
  <c r="EQ17" i="134"/>
  <c r="CU17" i="134"/>
  <c r="BS9" i="134"/>
  <c r="DO9" i="134"/>
  <c r="DN8" i="134"/>
  <c r="BR8" i="134"/>
  <c r="EI9" i="134"/>
  <c r="CM9" i="134"/>
  <c r="DH19" i="134"/>
  <c r="BL19" i="134"/>
  <c r="AQ31" i="113"/>
  <c r="Y27" i="113"/>
  <c r="AK31" i="113"/>
  <c r="BN28" i="113"/>
  <c r="BP28" i="113"/>
  <c r="AL28" i="113"/>
  <c r="AZ31" i="113"/>
  <c r="AR31" i="113"/>
  <c r="AY32" i="113"/>
  <c r="AJ32" i="113"/>
  <c r="AY27" i="113"/>
  <c r="BN32" i="113"/>
  <c r="Z27" i="113"/>
  <c r="AK28" i="113"/>
  <c r="AD32" i="113"/>
  <c r="AK32" i="113"/>
  <c r="AS28" i="113"/>
  <c r="AR26" i="113"/>
  <c r="AY28" i="113"/>
  <c r="BK28" i="113"/>
  <c r="BM27" i="113"/>
  <c r="BN27" i="113"/>
  <c r="AQ28" i="113"/>
  <c r="AZ30" i="113"/>
  <c r="AC32" i="113"/>
  <c r="BP32" i="113"/>
  <c r="BO27" i="113"/>
  <c r="W18" i="64"/>
  <c r="V28" i="113"/>
  <c r="AL31" i="113"/>
  <c r="BO32" i="113"/>
  <c r="AR17" i="64"/>
  <c r="AK19" i="64"/>
  <c r="AQ18" i="64"/>
  <c r="AR32" i="113"/>
  <c r="AD19" i="64"/>
  <c r="W32" i="113"/>
  <c r="AL26" i="113"/>
  <c r="BK27" i="113"/>
  <c r="AQ27" i="113"/>
  <c r="AZ27" i="113"/>
  <c r="BN31" i="113"/>
  <c r="V27" i="113"/>
  <c r="BH18" i="64"/>
  <c r="BO31" i="113"/>
  <c r="AX18" i="64"/>
  <c r="AF32" i="113"/>
  <c r="W30" i="113"/>
  <c r="X32" i="113"/>
  <c r="AQ19" i="64"/>
  <c r="AZ32" i="113"/>
  <c r="AK18" i="64"/>
  <c r="BL27" i="113"/>
  <c r="BV30" i="113"/>
  <c r="BO28" i="113"/>
  <c r="AK27" i="113"/>
  <c r="AC19" i="64"/>
  <c r="BK32" i="113"/>
  <c r="AT30" i="113"/>
  <c r="BP31" i="113"/>
  <c r="V17" i="64"/>
  <c r="BM31" i="113"/>
  <c r="X31" i="113"/>
  <c r="AY31" i="113"/>
  <c r="AJ27" i="113"/>
  <c r="AC28" i="113"/>
  <c r="AQ32" i="113"/>
  <c r="BA26" i="113"/>
  <c r="BL32" i="113"/>
  <c r="BL28" i="113"/>
  <c r="BV26" i="113"/>
  <c r="AX31" i="113"/>
  <c r="BH19" i="64"/>
  <c r="AE32" i="113"/>
  <c r="BL31" i="113"/>
  <c r="BM28" i="113"/>
  <c r="AD28" i="113"/>
  <c r="AK30" i="113"/>
  <c r="V31" i="113"/>
  <c r="BP27" i="113"/>
  <c r="W27" i="113"/>
  <c r="AJ31" i="113"/>
  <c r="BM32" i="113"/>
  <c r="BK31" i="113"/>
  <c r="V32" i="113"/>
  <c r="V19" i="64"/>
  <c r="W31" i="113"/>
  <c r="AJ17" i="64"/>
  <c r="AX32" i="113"/>
  <c r="AX27" i="113"/>
  <c r="W26" i="113"/>
  <c r="AC18" i="64"/>
  <c r="AJ28" i="113"/>
  <c r="AX28" i="113"/>
  <c r="W28" i="113"/>
  <c r="X27" i="113"/>
  <c r="AR28" i="113"/>
  <c r="AY19" i="64"/>
  <c r="AY17" i="64"/>
  <c r="BA31" i="113"/>
  <c r="AI18" i="64"/>
  <c r="C8" i="71" l="1"/>
  <c r="N28" i="71"/>
  <c r="L28" i="71"/>
  <c r="K28" i="71"/>
  <c r="M28" i="71"/>
  <c r="I28" i="71"/>
  <c r="J28" i="71"/>
  <c r="BR262" i="113"/>
  <c r="EZ14" i="134"/>
  <c r="EZ19" i="134"/>
  <c r="EZ13" i="134"/>
  <c r="EZ18" i="134"/>
  <c r="FI7" i="134"/>
  <c r="CG8" i="134"/>
  <c r="ED8" i="134" s="1"/>
  <c r="DK13" i="134"/>
  <c r="BO13" i="134"/>
  <c r="DL13" i="134" s="1"/>
  <c r="FE9" i="134"/>
  <c r="FE8" i="134"/>
  <c r="CM79" i="104"/>
  <c r="CM78" i="104"/>
  <c r="CF78" i="104"/>
  <c r="CF77" i="104"/>
  <c r="CM77" i="104"/>
  <c r="CF79" i="104"/>
  <c r="CN19" i="134"/>
  <c r="EJ19" i="134"/>
  <c r="BC13" i="134"/>
  <c r="BE13" i="134"/>
  <c r="CY13" i="134"/>
  <c r="BC18" i="134"/>
  <c r="CY18" i="134"/>
  <c r="BE18" i="134"/>
  <c r="CY7" i="134"/>
  <c r="BE7" i="134"/>
  <c r="BC7" i="134"/>
  <c r="DM17" i="134"/>
  <c r="BQ17" i="134"/>
  <c r="CY8" i="134"/>
  <c r="BC8" i="134"/>
  <c r="BE8" i="134"/>
  <c r="EC19" i="134"/>
  <c r="CG19" i="134"/>
  <c r="BC17" i="134"/>
  <c r="BE17" i="134"/>
  <c r="CY17" i="134"/>
  <c r="ED18" i="134"/>
  <c r="CH18" i="134"/>
  <c r="CY14" i="134"/>
  <c r="BE14" i="134"/>
  <c r="BC14" i="134"/>
  <c r="CY9" i="134"/>
  <c r="BC9" i="134"/>
  <c r="BE9" i="134"/>
  <c r="DM7" i="134"/>
  <c r="BQ7" i="134"/>
  <c r="BE19" i="134"/>
  <c r="BC19" i="134"/>
  <c r="CY19" i="134"/>
  <c r="EI13" i="134"/>
  <c r="CM13" i="134"/>
  <c r="DO14" i="134"/>
  <c r="BS14" i="134"/>
  <c r="DQ19" i="134"/>
  <c r="BU19" i="134"/>
  <c r="ED14" i="134"/>
  <c r="CH14" i="134"/>
  <c r="ER7" i="134"/>
  <c r="CV7" i="134"/>
  <c r="CG13" i="134"/>
  <c r="EC13" i="134"/>
  <c r="BL12" i="134"/>
  <c r="DH12" i="134"/>
  <c r="ER19" i="134"/>
  <c r="CV19" i="134"/>
  <c r="CO14" i="134"/>
  <c r="EK14" i="134"/>
  <c r="CU14" i="134"/>
  <c r="EQ14" i="134"/>
  <c r="DH9" i="134"/>
  <c r="BL9" i="134"/>
  <c r="DI8" i="134"/>
  <c r="BM8" i="134"/>
  <c r="ES18" i="134"/>
  <c r="CW18" i="134"/>
  <c r="BT9" i="134"/>
  <c r="DP9" i="134"/>
  <c r="CH8" i="134"/>
  <c r="CN12" i="134"/>
  <c r="EJ12" i="134"/>
  <c r="ED12" i="134"/>
  <c r="CH12" i="134"/>
  <c r="CV13" i="134"/>
  <c r="ER13" i="134"/>
  <c r="EJ8" i="134"/>
  <c r="CN8" i="134"/>
  <c r="DM13" i="134"/>
  <c r="BQ13" i="134"/>
  <c r="ER9" i="134"/>
  <c r="CV9" i="134"/>
  <c r="EK7" i="134"/>
  <c r="CO7" i="134"/>
  <c r="ED9" i="134"/>
  <c r="CH9" i="134"/>
  <c r="BL7" i="134"/>
  <c r="DH7" i="134"/>
  <c r="ES12" i="134"/>
  <c r="CW12" i="134"/>
  <c r="BM18" i="134"/>
  <c r="DI18" i="134"/>
  <c r="EJ9" i="134"/>
  <c r="CN9" i="134"/>
  <c r="EC7" i="134"/>
  <c r="CG7" i="134"/>
  <c r="BQ18" i="134"/>
  <c r="DM18" i="134"/>
  <c r="DH14" i="134"/>
  <c r="BL14" i="134"/>
  <c r="DI19" i="134"/>
  <c r="BM19" i="134"/>
  <c r="BS8" i="134"/>
  <c r="DO8" i="134"/>
  <c r="ER17" i="134"/>
  <c r="CV17" i="134"/>
  <c r="EL17" i="134"/>
  <c r="CP17" i="134"/>
  <c r="DH17" i="134"/>
  <c r="BL17" i="134"/>
  <c r="EC17" i="134"/>
  <c r="CG17" i="134"/>
  <c r="EJ18" i="134"/>
  <c r="CN18" i="134"/>
  <c r="CU8" i="134"/>
  <c r="EQ8" i="134"/>
  <c r="BV31" i="113"/>
  <c r="AU30" i="113"/>
  <c r="AZ19" i="64"/>
  <c r="AE28" i="113"/>
  <c r="AS32" i="113"/>
  <c r="BV28" i="113"/>
  <c r="BA30" i="113"/>
  <c r="O32" i="113"/>
  <c r="AT28" i="113"/>
  <c r="AC30" i="113"/>
  <c r="W17" i="64"/>
  <c r="BA32" i="113"/>
  <c r="AM28" i="113"/>
  <c r="AL32" i="113"/>
  <c r="W19" i="64"/>
  <c r="BB26" i="113"/>
  <c r="AD18" i="64"/>
  <c r="AZ28" i="113"/>
  <c r="AB17" i="64"/>
  <c r="O31" i="113"/>
  <c r="AG32" i="113"/>
  <c r="O30" i="113"/>
  <c r="Y32" i="113"/>
  <c r="AK17" i="64"/>
  <c r="N18" i="64"/>
  <c r="O27" i="113"/>
  <c r="AC27" i="113"/>
  <c r="BV32" i="113"/>
  <c r="BA27" i="113"/>
  <c r="AA27" i="113"/>
  <c r="AL27" i="113"/>
  <c r="X30" i="113"/>
  <c r="AM26" i="113"/>
  <c r="AC31" i="113"/>
  <c r="AE19" i="64"/>
  <c r="BB31" i="113"/>
  <c r="X26" i="113"/>
  <c r="BV27" i="113"/>
  <c r="N17" i="64"/>
  <c r="AZ17" i="64"/>
  <c r="X28" i="113"/>
  <c r="AS26" i="113"/>
  <c r="Y31" i="113"/>
  <c r="AM31" i="113"/>
  <c r="AR27" i="113"/>
  <c r="AL19" i="64"/>
  <c r="AR19" i="64"/>
  <c r="AS31" i="113"/>
  <c r="AY18" i="64"/>
  <c r="O28" i="113"/>
  <c r="N19" i="64"/>
  <c r="AL18" i="64"/>
  <c r="AB27" i="113"/>
  <c r="X18" i="64"/>
  <c r="AR18" i="64"/>
  <c r="AS17" i="64"/>
  <c r="AL30" i="113"/>
  <c r="C28" i="71" l="1"/>
  <c r="AB138" i="64"/>
  <c r="EX13" i="134"/>
  <c r="FI9" i="134"/>
  <c r="ET18" i="134"/>
  <c r="CX18" i="134"/>
  <c r="EU18" i="134" s="1"/>
  <c r="ET12" i="134"/>
  <c r="CX12" i="134"/>
  <c r="EU12" i="134" s="1"/>
  <c r="EM17" i="134"/>
  <c r="FB17" i="134" s="1"/>
  <c r="CQ17" i="134"/>
  <c r="EN17" i="134" s="1"/>
  <c r="DR19" i="134"/>
  <c r="BV19" i="134"/>
  <c r="DS19" i="134" s="1"/>
  <c r="DB17" i="134"/>
  <c r="BH17" i="134"/>
  <c r="DE17" i="134" s="1"/>
  <c r="DB13" i="134"/>
  <c r="BH13" i="134"/>
  <c r="DE13" i="134" s="1"/>
  <c r="DB9" i="134"/>
  <c r="BH9" i="134"/>
  <c r="DE9" i="134" s="1"/>
  <c r="DB7" i="134"/>
  <c r="BH7" i="134"/>
  <c r="DE7" i="134" s="1"/>
  <c r="DB14" i="134"/>
  <c r="BH14" i="134"/>
  <c r="DE14" i="134" s="1"/>
  <c r="DB19" i="134"/>
  <c r="BH19" i="134"/>
  <c r="DE19" i="134" s="1"/>
  <c r="DB8" i="134"/>
  <c r="BH8" i="134"/>
  <c r="DE8" i="134" s="1"/>
  <c r="DB18" i="134"/>
  <c r="BH18" i="134"/>
  <c r="DE18" i="134" s="1"/>
  <c r="FI8" i="134"/>
  <c r="CG78" i="104"/>
  <c r="CN79" i="104"/>
  <c r="CN77" i="104"/>
  <c r="CG79" i="104"/>
  <c r="CG77" i="104"/>
  <c r="CN78" i="104"/>
  <c r="BE12" i="134"/>
  <c r="BC12" i="134"/>
  <c r="CY12" i="134"/>
  <c r="CI18" i="134"/>
  <c r="EE18" i="134"/>
  <c r="CZ8" i="134"/>
  <c r="BD8" i="134"/>
  <c r="BF8" i="134"/>
  <c r="DC8" i="134" s="1"/>
  <c r="BR7" i="134"/>
  <c r="DN7" i="134"/>
  <c r="EK19" i="134"/>
  <c r="CO19" i="134"/>
  <c r="EJ13" i="134"/>
  <c r="CN13" i="134"/>
  <c r="BF18" i="134"/>
  <c r="DC18" i="134" s="1"/>
  <c r="BD18" i="134"/>
  <c r="CZ18" i="134"/>
  <c r="DN17" i="134"/>
  <c r="BR17" i="134"/>
  <c r="DM12" i="134"/>
  <c r="BQ12" i="134"/>
  <c r="BF9" i="134"/>
  <c r="DC9" i="134" s="1"/>
  <c r="CZ9" i="134"/>
  <c r="BD9" i="134"/>
  <c r="BD19" i="134"/>
  <c r="BF19" i="134"/>
  <c r="DC19" i="134" s="1"/>
  <c r="CZ19" i="134"/>
  <c r="CZ17" i="134"/>
  <c r="BD17" i="134"/>
  <c r="BF17" i="134"/>
  <c r="DC17" i="134" s="1"/>
  <c r="BF7" i="134"/>
  <c r="DC7" i="134" s="1"/>
  <c r="CZ7" i="134"/>
  <c r="BD7" i="134"/>
  <c r="BD13" i="134"/>
  <c r="BF13" i="134"/>
  <c r="DC13" i="134" s="1"/>
  <c r="CZ13" i="134"/>
  <c r="BD14" i="134"/>
  <c r="CZ14" i="134"/>
  <c r="BF14" i="134"/>
  <c r="DC14" i="134" s="1"/>
  <c r="ED19" i="134"/>
  <c r="CH19" i="134"/>
  <c r="DP14" i="134"/>
  <c r="BT14" i="134"/>
  <c r="ED17" i="134"/>
  <c r="CH17" i="134"/>
  <c r="EK9" i="134"/>
  <c r="CO9" i="134"/>
  <c r="DP8" i="134"/>
  <c r="BT8" i="134"/>
  <c r="DJ18" i="134"/>
  <c r="BN18" i="134"/>
  <c r="DN13" i="134"/>
  <c r="BR13" i="134"/>
  <c r="EE14" i="134"/>
  <c r="CI14" i="134"/>
  <c r="ES19" i="134"/>
  <c r="CW19" i="134"/>
  <c r="DJ19" i="134"/>
  <c r="BN19" i="134"/>
  <c r="EK18" i="134"/>
  <c r="CO18" i="134"/>
  <c r="EL7" i="134"/>
  <c r="CP7" i="134"/>
  <c r="CI8" i="134"/>
  <c r="EE8" i="134"/>
  <c r="DN18" i="134"/>
  <c r="BR18" i="134"/>
  <c r="DI14" i="134"/>
  <c r="BM14" i="134"/>
  <c r="ED7" i="134"/>
  <c r="CH7" i="134"/>
  <c r="CV14" i="134"/>
  <c r="ER14" i="134"/>
  <c r="BM12" i="134"/>
  <c r="DI12" i="134"/>
  <c r="CW17" i="134"/>
  <c r="ES17" i="134"/>
  <c r="EE9" i="134"/>
  <c r="CI9" i="134"/>
  <c r="DJ8" i="134"/>
  <c r="BN8" i="134"/>
  <c r="DI7" i="134"/>
  <c r="BM7" i="134"/>
  <c r="CO8" i="134"/>
  <c r="EK8" i="134"/>
  <c r="CI12" i="134"/>
  <c r="EE12" i="134"/>
  <c r="ES9" i="134"/>
  <c r="CW9" i="134"/>
  <c r="DQ9" i="134"/>
  <c r="BU9" i="134"/>
  <c r="BM9" i="134"/>
  <c r="DI9" i="134"/>
  <c r="ER8" i="134"/>
  <c r="CV8" i="134"/>
  <c r="ED13" i="134"/>
  <c r="CH13" i="134"/>
  <c r="DI17" i="134"/>
  <c r="BM17" i="134"/>
  <c r="ES13" i="134"/>
  <c r="CW13" i="134"/>
  <c r="CO12" i="134"/>
  <c r="EK12" i="134"/>
  <c r="CP14" i="134"/>
  <c r="EL14" i="134"/>
  <c r="CW7" i="134"/>
  <c r="ES7" i="134"/>
  <c r="Y26" i="113"/>
  <c r="AN26" i="113"/>
  <c r="Y18" i="64"/>
  <c r="S31" i="113"/>
  <c r="BC26" i="113"/>
  <c r="AT17" i="64"/>
  <c r="X19" i="64"/>
  <c r="T18" i="64"/>
  <c r="AU28" i="113"/>
  <c r="AM19" i="64"/>
  <c r="AS27" i="113"/>
  <c r="AN31" i="113"/>
  <c r="AF19" i="64"/>
  <c r="T19" i="64"/>
  <c r="P28" i="113"/>
  <c r="O26" i="113"/>
  <c r="O17" i="64"/>
  <c r="R31" i="113"/>
  <c r="R27" i="113"/>
  <c r="AT31" i="113"/>
  <c r="AT32" i="113"/>
  <c r="T17" i="64"/>
  <c r="AS18" i="64"/>
  <c r="U28" i="113"/>
  <c r="P30" i="113"/>
  <c r="AH32" i="113"/>
  <c r="P27" i="113"/>
  <c r="S28" i="113"/>
  <c r="BB30" i="113"/>
  <c r="O19" i="64"/>
  <c r="R32" i="113"/>
  <c r="AT26" i="113"/>
  <c r="AL17" i="64"/>
  <c r="AC26" i="113"/>
  <c r="BD31" i="113"/>
  <c r="BA28" i="113"/>
  <c r="BT27" i="113"/>
  <c r="AF28" i="113"/>
  <c r="P32" i="113"/>
  <c r="AW30" i="113"/>
  <c r="AM32" i="113"/>
  <c r="BD26" i="113"/>
  <c r="R28" i="113"/>
  <c r="R19" i="64"/>
  <c r="Y30" i="113"/>
  <c r="AV30" i="113"/>
  <c r="BB32" i="113"/>
  <c r="R30" i="113"/>
  <c r="U32" i="113"/>
  <c r="R18" i="64"/>
  <c r="AM30" i="113"/>
  <c r="AD30" i="113"/>
  <c r="AM18" i="64"/>
  <c r="Y28" i="113"/>
  <c r="AE18" i="64"/>
  <c r="BB27" i="113"/>
  <c r="AD27" i="113"/>
  <c r="P31" i="113"/>
  <c r="Q17" i="64"/>
  <c r="U31" i="113"/>
  <c r="BA17" i="64"/>
  <c r="U27" i="113"/>
  <c r="AS19" i="64"/>
  <c r="AI32" i="113"/>
  <c r="Z32" i="113"/>
  <c r="AZ18" i="64"/>
  <c r="AN28" i="113"/>
  <c r="AM27" i="113"/>
  <c r="Q19" i="64"/>
  <c r="U30" i="113"/>
  <c r="X17" i="64"/>
  <c r="AC17" i="64"/>
  <c r="S32" i="113"/>
  <c r="S27" i="113"/>
  <c r="BC31" i="113"/>
  <c r="Q18" i="64"/>
  <c r="BA19" i="64"/>
  <c r="R17" i="64"/>
  <c r="O18" i="64"/>
  <c r="S30" i="113"/>
  <c r="AD31" i="113"/>
  <c r="BX30" i="113"/>
  <c r="Z31" i="113"/>
  <c r="FC19" i="134" l="1"/>
  <c r="FC13" i="134"/>
  <c r="FC18" i="134"/>
  <c r="FC12" i="134"/>
  <c r="EW13" i="134"/>
  <c r="EY19" i="134"/>
  <c r="ET13" i="134"/>
  <c r="CX13" i="134"/>
  <c r="EU13" i="134" s="1"/>
  <c r="ET17" i="134"/>
  <c r="CX17" i="134"/>
  <c r="EU17" i="134" s="1"/>
  <c r="ET7" i="134"/>
  <c r="CX7" i="134"/>
  <c r="EU7" i="134" s="1"/>
  <c r="FC7" i="134" s="1"/>
  <c r="ET9" i="134"/>
  <c r="CX9" i="134"/>
  <c r="EU9" i="134" s="1"/>
  <c r="ET19" i="134"/>
  <c r="CX19" i="134"/>
  <c r="EU19" i="134" s="1"/>
  <c r="EM14" i="134"/>
  <c r="CQ14" i="134"/>
  <c r="EN14" i="134" s="1"/>
  <c r="EM7" i="134"/>
  <c r="CQ7" i="134"/>
  <c r="EN7" i="134" s="1"/>
  <c r="EF18" i="134"/>
  <c r="CJ18" i="134"/>
  <c r="EG18" i="134" s="1"/>
  <c r="EF14" i="134"/>
  <c r="CJ14" i="134"/>
  <c r="EG14" i="134" s="1"/>
  <c r="EF12" i="134"/>
  <c r="FA12" i="134" s="1"/>
  <c r="CJ12" i="134"/>
  <c r="EG12" i="134" s="1"/>
  <c r="EF8" i="134"/>
  <c r="FA8" i="134" s="1"/>
  <c r="CJ8" i="134"/>
  <c r="EG8" i="134" s="1"/>
  <c r="EF9" i="134"/>
  <c r="CJ9" i="134"/>
  <c r="EG9" i="134" s="1"/>
  <c r="DR9" i="134"/>
  <c r="BV9" i="134"/>
  <c r="DS9" i="134" s="1"/>
  <c r="DK18" i="134"/>
  <c r="BO18" i="134"/>
  <c r="DL18" i="134" s="1"/>
  <c r="DK19" i="134"/>
  <c r="BO19" i="134"/>
  <c r="DL19" i="134" s="1"/>
  <c r="DK8" i="134"/>
  <c r="BO8" i="134"/>
  <c r="DL8" i="134" s="1"/>
  <c r="DB12" i="134"/>
  <c r="BH12" i="134"/>
  <c r="DE12" i="134" s="1"/>
  <c r="CH79" i="104"/>
  <c r="CO78" i="104"/>
  <c r="CO79" i="104"/>
  <c r="CH77" i="104"/>
  <c r="CO77" i="104"/>
  <c r="CH78" i="104"/>
  <c r="DA14" i="134"/>
  <c r="BG14" i="134"/>
  <c r="DD14" i="134" s="1"/>
  <c r="DA17" i="134"/>
  <c r="EW17" i="134" s="1"/>
  <c r="BG17" i="134"/>
  <c r="DD17" i="134" s="1"/>
  <c r="CO13" i="134"/>
  <c r="EK13" i="134"/>
  <c r="DA8" i="134"/>
  <c r="BG8" i="134"/>
  <c r="DD8" i="134" s="1"/>
  <c r="DN12" i="134"/>
  <c r="BR12" i="134"/>
  <c r="DA13" i="134"/>
  <c r="BG13" i="134"/>
  <c r="DD13" i="134" s="1"/>
  <c r="BS17" i="134"/>
  <c r="DO17" i="134"/>
  <c r="EL19" i="134"/>
  <c r="CP19" i="134"/>
  <c r="EE19" i="134"/>
  <c r="CI19" i="134"/>
  <c r="BG7" i="134"/>
  <c r="DD7" i="134" s="1"/>
  <c r="DA7" i="134"/>
  <c r="EW7" i="134" s="1"/>
  <c r="BG19" i="134"/>
  <c r="DD19" i="134" s="1"/>
  <c r="DA19" i="134"/>
  <c r="DA9" i="134"/>
  <c r="BG9" i="134"/>
  <c r="DD9" i="134" s="1"/>
  <c r="BD12" i="134"/>
  <c r="BF12" i="134"/>
  <c r="DC12" i="134" s="1"/>
  <c r="CZ12" i="134"/>
  <c r="DA18" i="134"/>
  <c r="BG18" i="134"/>
  <c r="DD18" i="134" s="1"/>
  <c r="DO7" i="134"/>
  <c r="BS7" i="134"/>
  <c r="BU14" i="134"/>
  <c r="DQ14" i="134"/>
  <c r="CW14" i="134"/>
  <c r="ES14" i="134"/>
  <c r="DJ9" i="134"/>
  <c r="BN9" i="134"/>
  <c r="BN17" i="134"/>
  <c r="DJ17" i="134"/>
  <c r="EE17" i="134"/>
  <c r="CI17" i="134"/>
  <c r="DJ14" i="134"/>
  <c r="BN14" i="134"/>
  <c r="EE13" i="134"/>
  <c r="CI13" i="134"/>
  <c r="DO18" i="134"/>
  <c r="BS18" i="134"/>
  <c r="EL18" i="134"/>
  <c r="CP18" i="134"/>
  <c r="DO13" i="134"/>
  <c r="BS13" i="134"/>
  <c r="BN12" i="134"/>
  <c r="DJ12" i="134"/>
  <c r="DQ8" i="134"/>
  <c r="BU8" i="134"/>
  <c r="CP8" i="134"/>
  <c r="EL8" i="134"/>
  <c r="CP9" i="134"/>
  <c r="EL9" i="134"/>
  <c r="DJ7" i="134"/>
  <c r="BN7" i="134"/>
  <c r="EL12" i="134"/>
  <c r="CP12" i="134"/>
  <c r="ES8" i="134"/>
  <c r="CW8" i="134"/>
  <c r="CI7" i="134"/>
  <c r="EE7" i="134"/>
  <c r="AN19" i="64"/>
  <c r="AB31" i="113"/>
  <c r="AM17" i="64"/>
  <c r="AP26" i="113"/>
  <c r="AP28" i="113"/>
  <c r="P18" i="64"/>
  <c r="AU31" i="113"/>
  <c r="BU32" i="113"/>
  <c r="BE17" i="64"/>
  <c r="Z28" i="113"/>
  <c r="BB28" i="113"/>
  <c r="T31" i="113"/>
  <c r="AO31" i="113"/>
  <c r="AN32" i="113"/>
  <c r="AN27" i="113"/>
  <c r="AE31" i="113"/>
  <c r="Z30" i="113"/>
  <c r="Y17" i="64"/>
  <c r="BC27" i="113"/>
  <c r="Z18" i="64"/>
  <c r="AO26" i="113"/>
  <c r="AO18" i="64"/>
  <c r="S26" i="113"/>
  <c r="Q31" i="113"/>
  <c r="BC32" i="113"/>
  <c r="AE30" i="113"/>
  <c r="AA31" i="113"/>
  <c r="S18" i="64"/>
  <c r="BD30" i="113"/>
  <c r="Y19" i="64"/>
  <c r="AO19" i="64"/>
  <c r="BD32" i="113"/>
  <c r="AD17" i="64"/>
  <c r="Z26" i="113"/>
  <c r="AG28" i="113"/>
  <c r="BC19" i="64"/>
  <c r="BC30" i="113"/>
  <c r="AB32" i="113"/>
  <c r="T28" i="113"/>
  <c r="BY32" i="113"/>
  <c r="AT19" i="64"/>
  <c r="AA18" i="64"/>
  <c r="AG19" i="64"/>
  <c r="BK17" i="64"/>
  <c r="AP31" i="113"/>
  <c r="AT27" i="113"/>
  <c r="AE27" i="113"/>
  <c r="AU32" i="113"/>
  <c r="AN18" i="64"/>
  <c r="BS30" i="113"/>
  <c r="T27" i="113"/>
  <c r="S17" i="64"/>
  <c r="U26" i="113"/>
  <c r="AW28" i="113"/>
  <c r="P26" i="113"/>
  <c r="AO28" i="113"/>
  <c r="BA18" i="64"/>
  <c r="Q32" i="113"/>
  <c r="BY31" i="113"/>
  <c r="BY27" i="113"/>
  <c r="AN30" i="113"/>
  <c r="BY26" i="113"/>
  <c r="BC17" i="64"/>
  <c r="AU17" i="64"/>
  <c r="R26" i="113"/>
  <c r="Q30" i="113"/>
  <c r="BS27" i="113"/>
  <c r="BW26" i="113"/>
  <c r="AT18" i="64"/>
  <c r="Q27" i="113"/>
  <c r="Q28" i="113"/>
  <c r="AH19" i="64"/>
  <c r="S19" i="64"/>
  <c r="AF18" i="64"/>
  <c r="T32" i="113"/>
  <c r="AU26" i="113"/>
  <c r="BD27" i="113"/>
  <c r="P17" i="64"/>
  <c r="AA32" i="113"/>
  <c r="T30" i="113"/>
  <c r="P19" i="64"/>
  <c r="AV28" i="113"/>
  <c r="BB17" i="64"/>
  <c r="BI18" i="64"/>
  <c r="BB19" i="64"/>
  <c r="AD26" i="113"/>
  <c r="AV17" i="64"/>
  <c r="EY14" i="134" l="1"/>
  <c r="FL7" i="134"/>
  <c r="EX18" i="134"/>
  <c r="FA14" i="134"/>
  <c r="EW19" i="134"/>
  <c r="FA18" i="134"/>
  <c r="FB14" i="134"/>
  <c r="EX19" i="134"/>
  <c r="EW8" i="134"/>
  <c r="FA9" i="134"/>
  <c r="EY9" i="134"/>
  <c r="EX8" i="134"/>
  <c r="FC9" i="134"/>
  <c r="FB7" i="134"/>
  <c r="EX14" i="134"/>
  <c r="FC17" i="134"/>
  <c r="EW14" i="134"/>
  <c r="EW18" i="134"/>
  <c r="EW9" i="134"/>
  <c r="ET14" i="134"/>
  <c r="CX14" i="134"/>
  <c r="EU14" i="134" s="1"/>
  <c r="ET8" i="134"/>
  <c r="CX8" i="134"/>
  <c r="EU8" i="134" s="1"/>
  <c r="EM8" i="134"/>
  <c r="CQ8" i="134"/>
  <c r="EN8" i="134" s="1"/>
  <c r="EM19" i="134"/>
  <c r="CQ19" i="134"/>
  <c r="EN19" i="134" s="1"/>
  <c r="EM12" i="134"/>
  <c r="CQ12" i="134"/>
  <c r="EN12" i="134" s="1"/>
  <c r="EM9" i="134"/>
  <c r="CQ9" i="134"/>
  <c r="EN9" i="134" s="1"/>
  <c r="EM18" i="134"/>
  <c r="FB18" i="134" s="1"/>
  <c r="CQ18" i="134"/>
  <c r="EN18" i="134" s="1"/>
  <c r="EF17" i="134"/>
  <c r="CJ17" i="134"/>
  <c r="EG17" i="134" s="1"/>
  <c r="EF7" i="134"/>
  <c r="CJ7" i="134"/>
  <c r="EG7" i="134" s="1"/>
  <c r="EF19" i="134"/>
  <c r="CJ19" i="134"/>
  <c r="EG19" i="134" s="1"/>
  <c r="FA19" i="134" s="1"/>
  <c r="EF13" i="134"/>
  <c r="FA13" i="134" s="1"/>
  <c r="CJ13" i="134"/>
  <c r="EG13" i="134" s="1"/>
  <c r="DR14" i="134"/>
  <c r="BV14" i="134"/>
  <c r="DS14" i="134" s="1"/>
  <c r="DR8" i="134"/>
  <c r="BV8" i="134"/>
  <c r="DS8" i="134" s="1"/>
  <c r="DK17" i="134"/>
  <c r="BO17" i="134"/>
  <c r="DL17" i="134" s="1"/>
  <c r="DK7" i="134"/>
  <c r="EX7" i="134" s="1"/>
  <c r="BO7" i="134"/>
  <c r="DL7" i="134" s="1"/>
  <c r="DK14" i="134"/>
  <c r="BO14" i="134"/>
  <c r="DL14" i="134" s="1"/>
  <c r="DK9" i="134"/>
  <c r="BO9" i="134"/>
  <c r="DL9" i="134" s="1"/>
  <c r="DK12" i="134"/>
  <c r="BO12" i="134"/>
  <c r="DL12" i="134" s="1"/>
  <c r="CI78" i="104"/>
  <c r="CP79" i="104"/>
  <c r="CP77" i="104"/>
  <c r="CP78" i="104"/>
  <c r="CI77" i="104"/>
  <c r="CI79" i="104"/>
  <c r="BT17" i="134"/>
  <c r="DP17" i="134"/>
  <c r="BT7" i="134"/>
  <c r="DP7" i="134"/>
  <c r="CP13" i="134"/>
  <c r="EL13" i="134"/>
  <c r="DO12" i="134"/>
  <c r="BS12" i="134"/>
  <c r="DA12" i="134"/>
  <c r="BG12" i="134"/>
  <c r="DD12" i="134" s="1"/>
  <c r="EW12" i="134" s="1"/>
  <c r="DP13" i="134"/>
  <c r="BT13" i="134"/>
  <c r="DP18" i="134"/>
  <c r="BT18" i="134"/>
  <c r="AN17" i="64"/>
  <c r="AO30" i="113"/>
  <c r="AF30" i="113"/>
  <c r="BW28" i="113"/>
  <c r="BX28" i="113"/>
  <c r="BI19" i="64"/>
  <c r="BF17" i="64"/>
  <c r="AH28" i="113"/>
  <c r="BE19" i="64"/>
  <c r="AI28" i="113"/>
  <c r="BW32" i="113"/>
  <c r="BW31" i="113"/>
  <c r="Q26" i="113"/>
  <c r="Z17" i="64"/>
  <c r="BT31" i="113"/>
  <c r="Z19" i="64"/>
  <c r="AU18" i="64"/>
  <c r="AO32" i="113"/>
  <c r="AP32" i="113"/>
  <c r="AF31" i="113"/>
  <c r="BY30" i="113"/>
  <c r="AG18" i="64"/>
  <c r="AA19" i="64"/>
  <c r="BT28" i="113"/>
  <c r="BJ17" i="64"/>
  <c r="AP27" i="113"/>
  <c r="BT32" i="113"/>
  <c r="AV31" i="113"/>
  <c r="AE17" i="64"/>
  <c r="AA30" i="113"/>
  <c r="AB26" i="113"/>
  <c r="BC18" i="64"/>
  <c r="AE26" i="113"/>
  <c r="BE18" i="64"/>
  <c r="AV32" i="113"/>
  <c r="AU19" i="64"/>
  <c r="BU28" i="113"/>
  <c r="AV18" i="64"/>
  <c r="BX31" i="113"/>
  <c r="AA28" i="113"/>
  <c r="BS31" i="113"/>
  <c r="BG19" i="64"/>
  <c r="AO27" i="113"/>
  <c r="T26" i="113"/>
  <c r="AW31" i="113"/>
  <c r="AV26" i="113"/>
  <c r="BW27" i="113"/>
  <c r="BB18" i="64"/>
  <c r="AU27" i="113"/>
  <c r="AA17" i="64"/>
  <c r="BS28" i="113"/>
  <c r="AO17" i="64"/>
  <c r="BS26" i="113"/>
  <c r="AP30" i="113"/>
  <c r="AA26" i="113"/>
  <c r="AB28" i="113"/>
  <c r="AF27" i="113"/>
  <c r="BK19" i="64"/>
  <c r="AB30" i="113"/>
  <c r="AW32" i="113"/>
  <c r="BF18" i="64"/>
  <c r="BC28" i="113"/>
  <c r="AH18" i="64"/>
  <c r="BS32" i="113"/>
  <c r="AW26" i="113"/>
  <c r="BD28" i="113"/>
  <c r="AV19" i="64"/>
  <c r="FF7" i="134" l="1"/>
  <c r="FF8" i="134"/>
  <c r="FB19" i="134"/>
  <c r="FF9" i="134"/>
  <c r="FB8" i="134"/>
  <c r="FB12" i="134"/>
  <c r="FK7" i="134" s="1"/>
  <c r="FA17" i="134"/>
  <c r="FJ8" i="134"/>
  <c r="EX17" i="134"/>
  <c r="FB9" i="134"/>
  <c r="FC14" i="134"/>
  <c r="FH9" i="134"/>
  <c r="EX12" i="134"/>
  <c r="FG8" i="134"/>
  <c r="FC8" i="134"/>
  <c r="EX9" i="134"/>
  <c r="EY8" i="134"/>
  <c r="FA7" i="134"/>
  <c r="FJ9" i="134"/>
  <c r="FB13" i="134"/>
  <c r="EM13" i="134"/>
  <c r="CQ13" i="134"/>
  <c r="EN13" i="134" s="1"/>
  <c r="CJ77" i="104"/>
  <c r="CQ77" i="104"/>
  <c r="CJ78" i="104"/>
  <c r="CJ79" i="104"/>
  <c r="CQ78" i="104"/>
  <c r="CQ79" i="104"/>
  <c r="BU7" i="134"/>
  <c r="DQ7" i="134"/>
  <c r="BU17" i="134"/>
  <c r="DQ17" i="134"/>
  <c r="BT12" i="134"/>
  <c r="DP12" i="134"/>
  <c r="BU18" i="134"/>
  <c r="DQ18" i="134"/>
  <c r="DQ13" i="134"/>
  <c r="BU13" i="134"/>
  <c r="BT30" i="113"/>
  <c r="BX27" i="113"/>
  <c r="BG18" i="64"/>
  <c r="BT26" i="113"/>
  <c r="AF26" i="113"/>
  <c r="AG31" i="113"/>
  <c r="BK18" i="64"/>
  <c r="BW30" i="113"/>
  <c r="BX26" i="113"/>
  <c r="BF19" i="64"/>
  <c r="BX32" i="113"/>
  <c r="AG27" i="113"/>
  <c r="BY28" i="113"/>
  <c r="AW27" i="113"/>
  <c r="AV27" i="113"/>
  <c r="AG30" i="113"/>
  <c r="BJ18" i="64"/>
  <c r="BI17" i="64"/>
  <c r="AF17" i="64"/>
  <c r="BJ19" i="64"/>
  <c r="FK8" i="134" l="1"/>
  <c r="FL9" i="134"/>
  <c r="FJ7" i="134"/>
  <c r="FK9" i="134"/>
  <c r="FG9" i="134"/>
  <c r="FL8" i="134"/>
  <c r="FG7" i="134"/>
  <c r="DR13" i="134"/>
  <c r="BV13" i="134"/>
  <c r="DS13" i="134" s="1"/>
  <c r="DR7" i="134"/>
  <c r="BV7" i="134"/>
  <c r="DS7" i="134" s="1"/>
  <c r="DR18" i="134"/>
  <c r="BV18" i="134"/>
  <c r="DS18" i="134" s="1"/>
  <c r="DR17" i="134"/>
  <c r="BV17" i="134"/>
  <c r="DS17" i="134" s="1"/>
  <c r="EY17" i="134" s="1"/>
  <c r="BU12" i="134"/>
  <c r="DQ12" i="134"/>
  <c r="AH27" i="113"/>
  <c r="AI31" i="113"/>
  <c r="AH30" i="113"/>
  <c r="AH17" i="64"/>
  <c r="AH31" i="113"/>
  <c r="AG17" i="64"/>
  <c r="AI30" i="113"/>
  <c r="AI27" i="113"/>
  <c r="AG26" i="113"/>
  <c r="BU30" i="113"/>
  <c r="EY12" i="134" l="1"/>
  <c r="EY7" i="134"/>
  <c r="EY18" i="134"/>
  <c r="EY13" i="134"/>
  <c r="DR12" i="134"/>
  <c r="BV12" i="134"/>
  <c r="DS12" i="134" s="1"/>
  <c r="AI26" i="113"/>
  <c r="BU27" i="113"/>
  <c r="BG17" i="64"/>
  <c r="BU31" i="113"/>
  <c r="AH26" i="113"/>
  <c r="BU26" i="113"/>
  <c r="FH7" i="134" l="1"/>
  <c r="FH8" i="134"/>
  <c r="BJ16" i="134"/>
  <c r="BK16" i="134" s="1"/>
  <c r="BL16" i="134" s="1"/>
  <c r="BM16" i="134" s="1"/>
  <c r="BN16" i="134" s="1"/>
  <c r="BO16" i="134" s="1"/>
  <c r="DL16" i="134" s="1"/>
  <c r="BE16" i="134"/>
  <c r="BH16" i="134" s="1"/>
  <c r="DE16" i="134" s="1"/>
  <c r="Z6" i="134"/>
  <c r="AA6" i="134" s="1"/>
  <c r="AB6" i="134" s="1"/>
  <c r="CS16" i="134"/>
  <c r="CT16" i="134" s="1"/>
  <c r="CU16" i="134" s="1"/>
  <c r="CV16" i="134" s="1"/>
  <c r="CW16" i="134" s="1"/>
  <c r="CX16" i="134" s="1"/>
  <c r="EU16" i="134" s="1"/>
  <c r="CL16" i="134"/>
  <c r="CM16" i="134" s="1"/>
  <c r="CN16" i="134" s="1"/>
  <c r="CO16" i="134" s="1"/>
  <c r="CP16" i="134" s="1"/>
  <c r="CQ16" i="134" s="1"/>
  <c r="EN16" i="134" s="1"/>
  <c r="CE16" i="134"/>
  <c r="CF16" i="134" s="1"/>
  <c r="CG16" i="134" s="1"/>
  <c r="CH16" i="134" s="1"/>
  <c r="CI16" i="134" s="1"/>
  <c r="CJ16" i="134" s="1"/>
  <c r="EG16" i="134" s="1"/>
  <c r="BQ11" i="134"/>
  <c r="BR11" i="134" s="1"/>
  <c r="BS11" i="134" s="1"/>
  <c r="BT11" i="134" s="1"/>
  <c r="BU11" i="134" s="1"/>
  <c r="BV11" i="134" s="1"/>
  <c r="DS11" i="134" s="1"/>
  <c r="BJ11" i="134"/>
  <c r="BK11" i="134" s="1"/>
  <c r="BL11" i="134" s="1"/>
  <c r="BM11" i="134" s="1"/>
  <c r="BN11" i="134" s="1"/>
  <c r="BO11" i="134" s="1"/>
  <c r="DL11" i="134" s="1"/>
  <c r="Y6" i="134"/>
  <c r="CS11" i="134"/>
  <c r="CT11" i="134" s="1"/>
  <c r="CU11" i="134" s="1"/>
  <c r="CV11" i="134" s="1"/>
  <c r="CW11" i="134" s="1"/>
  <c r="CX11" i="134" s="1"/>
  <c r="EU11" i="134" s="1"/>
  <c r="CL11" i="134"/>
  <c r="CM11" i="134" s="1"/>
  <c r="CN11" i="134" s="1"/>
  <c r="CO11" i="134" s="1"/>
  <c r="CP11" i="134" s="1"/>
  <c r="CQ11" i="134" s="1"/>
  <c r="EN11" i="134" s="1"/>
  <c r="CE11" i="134"/>
  <c r="CF11" i="134" s="1"/>
  <c r="CG11" i="134" s="1"/>
  <c r="CH11" i="134" s="1"/>
  <c r="CI11" i="134" s="1"/>
  <c r="CJ11" i="134" s="1"/>
  <c r="EG11" i="134" s="1"/>
  <c r="CL6" i="134"/>
  <c r="CM6" i="134" s="1"/>
  <c r="CN6" i="134" s="1"/>
  <c r="CO6" i="134" s="1"/>
  <c r="CP6" i="134" s="1"/>
  <c r="CQ6" i="134" s="1"/>
  <c r="EN6" i="134" s="1"/>
  <c r="BQ6" i="134"/>
  <c r="BR6" i="134" s="1"/>
  <c r="BS6" i="134" s="1"/>
  <c r="BT6" i="134" s="1"/>
  <c r="BU6" i="134" s="1"/>
  <c r="BV6" i="134" s="1"/>
  <c r="DS6" i="134" s="1"/>
  <c r="X6" i="134"/>
  <c r="W6" i="134"/>
  <c r="CE6" i="134"/>
  <c r="CF6" i="134" s="1"/>
  <c r="CG6" i="134" s="1"/>
  <c r="CH6" i="134" s="1"/>
  <c r="CI6" i="134" s="1"/>
  <c r="CJ6" i="134" s="1"/>
  <c r="EG6" i="134" s="1"/>
  <c r="I6" i="134"/>
  <c r="BB6" i="134" s="1"/>
  <c r="CY6" i="134" s="1"/>
  <c r="FC1" i="134"/>
  <c r="FB1" i="134"/>
  <c r="FA1" i="134"/>
  <c r="EZ1" i="134"/>
  <c r="EY1" i="134"/>
  <c r="EX1" i="134"/>
  <c r="EW1" i="134"/>
  <c r="EV1" i="134"/>
  <c r="ET1" i="134"/>
  <c r="ES1" i="134"/>
  <c r="ER1" i="134"/>
  <c r="EQ1" i="134"/>
  <c r="EP1" i="134"/>
  <c r="EO1" i="134"/>
  <c r="EM1" i="134"/>
  <c r="EL1" i="134"/>
  <c r="EK1" i="134"/>
  <c r="EJ1" i="134"/>
  <c r="EI1" i="134"/>
  <c r="EH1" i="134"/>
  <c r="EF1" i="134"/>
  <c r="EE1" i="134"/>
  <c r="ED1" i="134"/>
  <c r="EC1" i="134"/>
  <c r="EB1" i="134"/>
  <c r="EA1" i="134"/>
  <c r="DY1" i="134"/>
  <c r="DX1" i="134"/>
  <c r="DW1" i="134"/>
  <c r="DV1" i="134"/>
  <c r="DU1" i="134"/>
  <c r="DT1" i="134"/>
  <c r="DR1" i="134"/>
  <c r="DQ1" i="134"/>
  <c r="DP1" i="134"/>
  <c r="DO1" i="134"/>
  <c r="DN1" i="134"/>
  <c r="DM1" i="134"/>
  <c r="DK1" i="134"/>
  <c r="DJ1" i="134"/>
  <c r="DI1" i="134"/>
  <c r="DH1" i="134"/>
  <c r="DG1" i="134"/>
  <c r="DF1" i="134"/>
  <c r="DD1" i="134"/>
  <c r="DC1" i="134"/>
  <c r="DB1" i="134"/>
  <c r="DA1" i="134"/>
  <c r="CZ1" i="134"/>
  <c r="CY1" i="134"/>
  <c r="CW1" i="134"/>
  <c r="CV1" i="134"/>
  <c r="CU1" i="134"/>
  <c r="CT1" i="134"/>
  <c r="CS1" i="134"/>
  <c r="CR1" i="134"/>
  <c r="CP1" i="134"/>
  <c r="CO1" i="134"/>
  <c r="CN1" i="134"/>
  <c r="CM1" i="134"/>
  <c r="CL1" i="134"/>
  <c r="CK1" i="134"/>
  <c r="CI1" i="134"/>
  <c r="CH1" i="134"/>
  <c r="CG1" i="134"/>
  <c r="CF1" i="134"/>
  <c r="CE1" i="134"/>
  <c r="CD1" i="134"/>
  <c r="CB1" i="134"/>
  <c r="CA1" i="134"/>
  <c r="BZ1" i="134"/>
  <c r="BY1" i="134"/>
  <c r="BX1" i="134"/>
  <c r="BW1" i="134"/>
  <c r="BU1" i="134"/>
  <c r="BT1" i="134"/>
  <c r="BS1" i="134"/>
  <c r="BR1" i="134"/>
  <c r="BQ1" i="134"/>
  <c r="BP1" i="134"/>
  <c r="BN1" i="134"/>
  <c r="BM1" i="134"/>
  <c r="BL1" i="134"/>
  <c r="BK1" i="134"/>
  <c r="BJ1" i="134"/>
  <c r="BI1" i="134"/>
  <c r="BG1" i="134"/>
  <c r="BF1" i="134"/>
  <c r="BE1" i="134"/>
  <c r="BD1" i="134"/>
  <c r="BC1" i="134"/>
  <c r="BB1" i="134"/>
  <c r="BA1" i="134"/>
  <c r="AZ1" i="134"/>
  <c r="AY1" i="134"/>
  <c r="AX1" i="134"/>
  <c r="AW1" i="134"/>
  <c r="AV1" i="134"/>
  <c r="AU1" i="134"/>
  <c r="AT1" i="134"/>
  <c r="AS1" i="134"/>
  <c r="AR1" i="134"/>
  <c r="AQ1" i="134"/>
  <c r="AP1" i="134"/>
  <c r="AO1" i="134"/>
  <c r="AN1" i="134"/>
  <c r="AM1" i="134"/>
  <c r="AL1" i="134"/>
  <c r="AK1" i="134"/>
  <c r="AI1" i="134"/>
  <c r="AH1" i="134"/>
  <c r="AG1" i="134"/>
  <c r="AF1" i="134"/>
  <c r="AE1" i="134"/>
  <c r="AD1" i="134"/>
  <c r="AC1" i="134"/>
  <c r="AB1" i="134"/>
  <c r="AA1" i="134"/>
  <c r="Z1" i="134"/>
  <c r="Y1" i="134"/>
  <c r="X1" i="134"/>
  <c r="W1" i="134"/>
  <c r="V1" i="134"/>
  <c r="U1" i="134"/>
  <c r="T1" i="134"/>
  <c r="S1" i="134"/>
  <c r="R1" i="134"/>
  <c r="Q1" i="134"/>
  <c r="P1" i="134"/>
  <c r="O1" i="134"/>
  <c r="N1" i="134"/>
  <c r="M1" i="134"/>
  <c r="L1" i="134"/>
  <c r="K1" i="134"/>
  <c r="J1" i="134"/>
  <c r="I1" i="134"/>
  <c r="H1" i="134"/>
  <c r="G1" i="134"/>
  <c r="F1" i="134"/>
  <c r="E1" i="134"/>
  <c r="D1" i="134"/>
  <c r="C1" i="134"/>
  <c r="B1" i="134"/>
  <c r="A1" i="134"/>
  <c r="AW29" i="113"/>
  <c r="AP29" i="113"/>
  <c r="U29" i="113"/>
  <c r="AP25" i="113"/>
  <c r="AI25" i="113"/>
  <c r="BD25" i="113"/>
  <c r="AH16" i="64"/>
  <c r="AW25" i="113"/>
  <c r="BD29" i="113"/>
  <c r="AB25" i="113"/>
  <c r="AB29" i="113"/>
  <c r="AO16" i="64"/>
  <c r="AI262" i="113" l="1"/>
  <c r="AH138" i="64"/>
  <c r="AP262" i="113"/>
  <c r="AJ28" i="71" s="1"/>
  <c r="AB262" i="113"/>
  <c r="AW262" i="113"/>
  <c r="AQ28" i="71" s="1"/>
  <c r="BD262" i="113"/>
  <c r="AX28" i="71" s="1"/>
  <c r="AO138" i="64"/>
  <c r="AV152" i="64" s="1"/>
  <c r="BJ6" i="134"/>
  <c r="BK6" i="134" s="1"/>
  <c r="BL6" i="134" s="1"/>
  <c r="BM6" i="134" s="1"/>
  <c r="BN6" i="134" s="1"/>
  <c r="BO6" i="134" s="1"/>
  <c r="DL6" i="134" s="1"/>
  <c r="BC11" i="134"/>
  <c r="BE11" i="134"/>
  <c r="BH11" i="134" s="1"/>
  <c r="DE11" i="134" s="1"/>
  <c r="BQ16" i="134"/>
  <c r="BR16" i="134" s="1"/>
  <c r="BS16" i="134" s="1"/>
  <c r="BT16" i="134" s="1"/>
  <c r="BU16" i="134" s="1"/>
  <c r="BV16" i="134" s="1"/>
  <c r="DS16" i="134" s="1"/>
  <c r="BC16" i="134"/>
  <c r="G3" i="133"/>
  <c r="H3" i="133"/>
  <c r="G4" i="133"/>
  <c r="H4" i="133"/>
  <c r="G5" i="133"/>
  <c r="H5" i="133"/>
  <c r="G6" i="133"/>
  <c r="H6" i="133"/>
  <c r="G7" i="133"/>
  <c r="H7" i="133"/>
  <c r="G8" i="133"/>
  <c r="H8" i="133"/>
  <c r="G9" i="133"/>
  <c r="H9" i="133"/>
  <c r="G10" i="133"/>
  <c r="H10" i="133"/>
  <c r="G11" i="133"/>
  <c r="H11" i="133"/>
  <c r="G12" i="133"/>
  <c r="H12" i="133"/>
  <c r="G13" i="133"/>
  <c r="H13" i="133"/>
  <c r="G14" i="133"/>
  <c r="H14" i="133"/>
  <c r="G15" i="133"/>
  <c r="H15" i="133"/>
  <c r="G16" i="133"/>
  <c r="H16" i="133"/>
  <c r="G17" i="133"/>
  <c r="H17" i="133"/>
  <c r="G18" i="133"/>
  <c r="H18" i="133"/>
  <c r="G19" i="133"/>
  <c r="H19" i="133"/>
  <c r="G20" i="133"/>
  <c r="H20" i="133"/>
  <c r="G21" i="133"/>
  <c r="H21" i="133"/>
  <c r="G22" i="133"/>
  <c r="H22" i="133"/>
  <c r="G23" i="133"/>
  <c r="H23" i="133"/>
  <c r="G24" i="133"/>
  <c r="H24" i="133"/>
  <c r="G25" i="133"/>
  <c r="H25" i="133"/>
  <c r="G26" i="133"/>
  <c r="H26" i="133"/>
  <c r="G27" i="133"/>
  <c r="H27" i="133"/>
  <c r="G28" i="133"/>
  <c r="H28" i="133"/>
  <c r="G29" i="133"/>
  <c r="H29" i="133"/>
  <c r="G30" i="133"/>
  <c r="H30" i="133"/>
  <c r="G31" i="133"/>
  <c r="H31" i="133"/>
  <c r="G32" i="133"/>
  <c r="H32" i="133"/>
  <c r="G33" i="133"/>
  <c r="H33" i="133"/>
  <c r="G34" i="133"/>
  <c r="H34" i="133"/>
  <c r="G35" i="133"/>
  <c r="H35" i="133"/>
  <c r="G36" i="133"/>
  <c r="H36" i="133"/>
  <c r="G37" i="133"/>
  <c r="H37" i="133"/>
  <c r="G38" i="133"/>
  <c r="H38" i="133"/>
  <c r="G39" i="133"/>
  <c r="H39" i="133"/>
  <c r="G40" i="133"/>
  <c r="H40" i="133"/>
  <c r="G41" i="133"/>
  <c r="H41" i="133"/>
  <c r="G42" i="133"/>
  <c r="H42" i="133"/>
  <c r="G43" i="133"/>
  <c r="H43" i="133"/>
  <c r="G44" i="133"/>
  <c r="H44" i="133"/>
  <c r="G45" i="133"/>
  <c r="H45" i="133"/>
  <c r="G46" i="133"/>
  <c r="H46" i="133"/>
  <c r="G47" i="133"/>
  <c r="H47" i="133"/>
  <c r="G48" i="133"/>
  <c r="H48" i="133"/>
  <c r="G49" i="133"/>
  <c r="H49" i="133"/>
  <c r="G50" i="133"/>
  <c r="H50" i="133"/>
  <c r="G51" i="133"/>
  <c r="H51" i="133"/>
  <c r="G52" i="133"/>
  <c r="H52" i="133"/>
  <c r="G53" i="133"/>
  <c r="H53" i="133"/>
  <c r="G54" i="133"/>
  <c r="H54" i="133"/>
  <c r="G55" i="133"/>
  <c r="H55" i="133"/>
  <c r="G56" i="133"/>
  <c r="H56" i="133"/>
  <c r="G57" i="133"/>
  <c r="H57" i="133"/>
  <c r="G58" i="133"/>
  <c r="H58" i="133"/>
  <c r="G59" i="133"/>
  <c r="H59" i="133"/>
  <c r="G60" i="133"/>
  <c r="H60" i="133"/>
  <c r="G61" i="133"/>
  <c r="H61" i="133"/>
  <c r="G62" i="133"/>
  <c r="H62" i="133"/>
  <c r="G63" i="133"/>
  <c r="H63" i="133"/>
  <c r="G64" i="133"/>
  <c r="H64" i="133"/>
  <c r="G65" i="133"/>
  <c r="H65" i="133"/>
  <c r="G66" i="133"/>
  <c r="H66" i="133"/>
  <c r="G67" i="133"/>
  <c r="H67" i="133"/>
  <c r="G68" i="133"/>
  <c r="H68" i="133"/>
  <c r="G69" i="133"/>
  <c r="H69" i="133"/>
  <c r="G70" i="133"/>
  <c r="H70" i="133"/>
  <c r="G71" i="133"/>
  <c r="H71" i="133"/>
  <c r="G72" i="133"/>
  <c r="H72" i="133"/>
  <c r="G73" i="133"/>
  <c r="H73" i="133"/>
  <c r="G74" i="133"/>
  <c r="H74" i="133"/>
  <c r="G75" i="133"/>
  <c r="H75" i="133"/>
  <c r="G76" i="133"/>
  <c r="H76" i="133"/>
  <c r="G77" i="133"/>
  <c r="H77" i="133"/>
  <c r="G78" i="133"/>
  <c r="H78" i="133"/>
  <c r="G79" i="133"/>
  <c r="H79" i="133"/>
  <c r="G80" i="133"/>
  <c r="H80" i="133"/>
  <c r="G81" i="133"/>
  <c r="H81" i="133"/>
  <c r="G82" i="133"/>
  <c r="H82" i="133"/>
  <c r="G83" i="133"/>
  <c r="H83" i="133"/>
  <c r="G84" i="133"/>
  <c r="H84" i="133"/>
  <c r="G85" i="133"/>
  <c r="H85" i="133"/>
  <c r="S10" i="104" s="1"/>
  <c r="G86" i="133"/>
  <c r="H86" i="133"/>
  <c r="G87" i="133"/>
  <c r="H87" i="133"/>
  <c r="G88" i="133"/>
  <c r="H88" i="133"/>
  <c r="G89" i="133"/>
  <c r="H89" i="133"/>
  <c r="G90" i="133"/>
  <c r="H90" i="133"/>
  <c r="G91" i="133"/>
  <c r="H91" i="133"/>
  <c r="G92" i="133"/>
  <c r="H92" i="133"/>
  <c r="G93" i="133"/>
  <c r="H93" i="133"/>
  <c r="G94" i="133"/>
  <c r="H94" i="133"/>
  <c r="G95" i="133"/>
  <c r="H95" i="133"/>
  <c r="G96" i="133"/>
  <c r="H96" i="133"/>
  <c r="G97" i="133"/>
  <c r="H97" i="133"/>
  <c r="G98" i="133"/>
  <c r="H98" i="133"/>
  <c r="G99" i="133"/>
  <c r="H99" i="133"/>
  <c r="G100" i="133"/>
  <c r="H100" i="133"/>
  <c r="G101" i="133"/>
  <c r="H101" i="133"/>
  <c r="G102" i="133"/>
  <c r="H102" i="133"/>
  <c r="G103" i="133"/>
  <c r="H103" i="133"/>
  <c r="G104" i="133"/>
  <c r="H104" i="133"/>
  <c r="G105" i="133"/>
  <c r="H105" i="133"/>
  <c r="G106" i="133"/>
  <c r="H106" i="133"/>
  <c r="G107" i="133"/>
  <c r="H107" i="133"/>
  <c r="H108" i="133"/>
  <c r="G109" i="133"/>
  <c r="H109" i="133"/>
  <c r="G110" i="133"/>
  <c r="H110" i="133"/>
  <c r="G111" i="133"/>
  <c r="H111" i="133"/>
  <c r="G112" i="133"/>
  <c r="H112" i="133"/>
  <c r="AA16" i="64"/>
  <c r="U25" i="113"/>
  <c r="AI29" i="113"/>
  <c r="AJ8" i="71" l="1"/>
  <c r="U262" i="113"/>
  <c r="AA138" i="64"/>
  <c r="BE6" i="134"/>
  <c r="BH6" i="134" s="1"/>
  <c r="DE6" i="134" s="1"/>
  <c r="BC6" i="134"/>
  <c r="BF6" i="134" s="1"/>
  <c r="CK10" i="104"/>
  <c r="EH10" i="104" s="1"/>
  <c r="S67" i="104"/>
  <c r="CK67" i="104" s="1"/>
  <c r="EH67" i="104" s="1"/>
  <c r="S124" i="104"/>
  <c r="CK124" i="104" s="1"/>
  <c r="EH124" i="104" s="1"/>
  <c r="CD53" i="104"/>
  <c r="CE53" i="104" s="1"/>
  <c r="CF53" i="104" s="1"/>
  <c r="CG53" i="104" s="1"/>
  <c r="CH53" i="104" s="1"/>
  <c r="CI53" i="104" s="1"/>
  <c r="CJ53" i="104" s="1"/>
  <c r="S27" i="104"/>
  <c r="S19" i="104"/>
  <c r="CD54" i="104"/>
  <c r="CE54" i="104" s="1"/>
  <c r="CF54" i="104" s="1"/>
  <c r="CG54" i="104" s="1"/>
  <c r="CH54" i="104" s="1"/>
  <c r="CI54" i="104" s="1"/>
  <c r="CJ54" i="104" s="1"/>
  <c r="R27" i="104"/>
  <c r="CD27" i="104" s="1"/>
  <c r="CE27" i="104" s="1"/>
  <c r="CF27" i="104" s="1"/>
  <c r="CG27" i="104" s="1"/>
  <c r="CH27" i="104" s="1"/>
  <c r="CI27" i="104" s="1"/>
  <c r="CJ27" i="104" s="1"/>
  <c r="R19" i="104"/>
  <c r="CD19" i="104" s="1"/>
  <c r="CE19" i="104" s="1"/>
  <c r="CF19" i="104" s="1"/>
  <c r="CG19" i="104" s="1"/>
  <c r="CH19" i="104" s="1"/>
  <c r="CI19" i="104" s="1"/>
  <c r="CJ19" i="104" s="1"/>
  <c r="S29" i="104"/>
  <c r="CD55" i="104"/>
  <c r="CE55" i="104" s="1"/>
  <c r="CF55" i="104" s="1"/>
  <c r="CG55" i="104" s="1"/>
  <c r="CH55" i="104" s="1"/>
  <c r="CI55" i="104" s="1"/>
  <c r="CJ55" i="104" s="1"/>
  <c r="CD56" i="104"/>
  <c r="CE56" i="104" s="1"/>
  <c r="CF56" i="104" s="1"/>
  <c r="CG56" i="104" s="1"/>
  <c r="CH56" i="104" s="1"/>
  <c r="CI56" i="104" s="1"/>
  <c r="CJ56" i="104" s="1"/>
  <c r="R29" i="104"/>
  <c r="CD29" i="104" s="1"/>
  <c r="CE29" i="104" s="1"/>
  <c r="CF29" i="104" s="1"/>
  <c r="CG29" i="104" s="1"/>
  <c r="CH29" i="104" s="1"/>
  <c r="CI29" i="104" s="1"/>
  <c r="CJ29" i="104" s="1"/>
  <c r="S30" i="104"/>
  <c r="R30" i="104"/>
  <c r="CD30" i="104" s="1"/>
  <c r="CE30" i="104" s="1"/>
  <c r="CF30" i="104" s="1"/>
  <c r="CG30" i="104" s="1"/>
  <c r="CH30" i="104" s="1"/>
  <c r="CI30" i="104" s="1"/>
  <c r="CJ30" i="104" s="1"/>
  <c r="BD11" i="134"/>
  <c r="BG11" i="134" s="1"/>
  <c r="BF11" i="134"/>
  <c r="BD16" i="134"/>
  <c r="BG16" i="134" s="1"/>
  <c r="BF16" i="134"/>
  <c r="BY6" i="134"/>
  <c r="CB6" i="134"/>
  <c r="BW6" i="134"/>
  <c r="DT6" i="134" s="1"/>
  <c r="BZ6" i="134"/>
  <c r="CA6" i="134"/>
  <c r="CY11" i="134"/>
  <c r="DF11" i="134"/>
  <c r="DM11" i="134"/>
  <c r="EO11" i="134"/>
  <c r="EA11" i="134"/>
  <c r="EH11" i="134"/>
  <c r="EA6" i="134"/>
  <c r="EH6" i="134"/>
  <c r="DF6" i="134"/>
  <c r="CL27" i="132"/>
  <c r="CM27" i="132" s="1"/>
  <c r="CN27" i="132" s="1"/>
  <c r="CO27" i="132" s="1"/>
  <c r="CP27" i="132" s="1"/>
  <c r="CQ27" i="132" s="1"/>
  <c r="CL17" i="132"/>
  <c r="CM17" i="132" s="1"/>
  <c r="CN17" i="132" s="1"/>
  <c r="CO17" i="132" s="1"/>
  <c r="CP17" i="132" s="1"/>
  <c r="CQ17" i="132" s="1"/>
  <c r="BX27" i="132"/>
  <c r="BY27" i="132" s="1"/>
  <c r="BZ27" i="132" s="1"/>
  <c r="CA27" i="132" s="1"/>
  <c r="CB27" i="132" s="1"/>
  <c r="CC27" i="132" s="1"/>
  <c r="BX17" i="132"/>
  <c r="BY17" i="132" s="1"/>
  <c r="BZ17" i="132" s="1"/>
  <c r="CA17" i="132" s="1"/>
  <c r="CB17" i="132" s="1"/>
  <c r="CC17" i="132" s="1"/>
  <c r="BP27" i="132"/>
  <c r="BQ27" i="132"/>
  <c r="BR27" i="132"/>
  <c r="BS27" i="132"/>
  <c r="BT27" i="132"/>
  <c r="BU27" i="132"/>
  <c r="BP17" i="132"/>
  <c r="BQ17" i="132"/>
  <c r="BR17" i="132"/>
  <c r="BS17" i="132"/>
  <c r="BT17" i="132"/>
  <c r="BU17" i="132"/>
  <c r="BP7" i="132"/>
  <c r="BQ7" i="132"/>
  <c r="BR7" i="132"/>
  <c r="BS7" i="132"/>
  <c r="BT7" i="132"/>
  <c r="BU7" i="132"/>
  <c r="BC27" i="132"/>
  <c r="BD27" i="132" s="1"/>
  <c r="BE27" i="132" s="1"/>
  <c r="BF27" i="132" s="1"/>
  <c r="BG27" i="132" s="1"/>
  <c r="BH27" i="132" s="1"/>
  <c r="BC17" i="132"/>
  <c r="BD17" i="132" s="1"/>
  <c r="BE17" i="132" s="1"/>
  <c r="BF17" i="132" s="1"/>
  <c r="BG17" i="132" s="1"/>
  <c r="BH17" i="132" s="1"/>
  <c r="BC7" i="132"/>
  <c r="O25" i="113"/>
  <c r="AQ25" i="113"/>
  <c r="AI16" i="64"/>
  <c r="AX25" i="113"/>
  <c r="AC25" i="113"/>
  <c r="AJ25" i="113"/>
  <c r="V25" i="113"/>
  <c r="U16" i="64"/>
  <c r="AX262" i="113" l="1"/>
  <c r="AQ262" i="113"/>
  <c r="AC262" i="113"/>
  <c r="U138" i="64"/>
  <c r="O262" i="113"/>
  <c r="AJ262" i="113"/>
  <c r="V262" i="113"/>
  <c r="AI138" i="64"/>
  <c r="BD7" i="132"/>
  <c r="BD6" i="134"/>
  <c r="BG6" i="134" s="1"/>
  <c r="CK19" i="104"/>
  <c r="CL19" i="104" s="1"/>
  <c r="CM19" i="104" s="1"/>
  <c r="CN19" i="104" s="1"/>
  <c r="CO19" i="104" s="1"/>
  <c r="CP19" i="104" s="1"/>
  <c r="CQ19" i="104" s="1"/>
  <c r="CK27" i="104"/>
  <c r="CL27" i="104" s="1"/>
  <c r="CM27" i="104" s="1"/>
  <c r="CN27" i="104" s="1"/>
  <c r="CO27" i="104" s="1"/>
  <c r="CP27" i="104" s="1"/>
  <c r="CQ27" i="104" s="1"/>
  <c r="CK55" i="104"/>
  <c r="CL55" i="104" s="1"/>
  <c r="CM55" i="104" s="1"/>
  <c r="CN55" i="104" s="1"/>
  <c r="CO55" i="104" s="1"/>
  <c r="CP55" i="104" s="1"/>
  <c r="CQ55" i="104" s="1"/>
  <c r="CK29" i="104"/>
  <c r="CL29" i="104" s="1"/>
  <c r="CM29" i="104" s="1"/>
  <c r="CN29" i="104" s="1"/>
  <c r="CO29" i="104" s="1"/>
  <c r="CP29" i="104" s="1"/>
  <c r="CQ29" i="104" s="1"/>
  <c r="CK54" i="104"/>
  <c r="CL54" i="104" s="1"/>
  <c r="CM54" i="104" s="1"/>
  <c r="CN54" i="104" s="1"/>
  <c r="CO54" i="104" s="1"/>
  <c r="CP54" i="104" s="1"/>
  <c r="CQ54" i="104" s="1"/>
  <c r="CK56" i="104"/>
  <c r="CL56" i="104" s="1"/>
  <c r="CM56" i="104" s="1"/>
  <c r="CN56" i="104" s="1"/>
  <c r="CO56" i="104" s="1"/>
  <c r="CP56" i="104" s="1"/>
  <c r="CQ56" i="104" s="1"/>
  <c r="CK53" i="104"/>
  <c r="CL53" i="104" s="1"/>
  <c r="CM53" i="104" s="1"/>
  <c r="CN53" i="104" s="1"/>
  <c r="CO53" i="104" s="1"/>
  <c r="CP53" i="104" s="1"/>
  <c r="CQ53" i="104" s="1"/>
  <c r="CL10" i="104"/>
  <c r="EI10" i="104" s="1"/>
  <c r="CK30" i="104"/>
  <c r="CL30" i="104" s="1"/>
  <c r="CM30" i="104" s="1"/>
  <c r="CN30" i="104" s="1"/>
  <c r="CO30" i="104" s="1"/>
  <c r="CP30" i="104" s="1"/>
  <c r="CQ30" i="104" s="1"/>
  <c r="CL124" i="104"/>
  <c r="EI124" i="104" s="1"/>
  <c r="CL67" i="104"/>
  <c r="EI67" i="104" s="1"/>
  <c r="S111" i="104"/>
  <c r="CK111" i="104" s="1"/>
  <c r="CL111" i="104" s="1"/>
  <c r="CM111" i="104" s="1"/>
  <c r="CN111" i="104" s="1"/>
  <c r="CO111" i="104" s="1"/>
  <c r="CP111" i="104" s="1"/>
  <c r="CQ111" i="104" s="1"/>
  <c r="S168" i="104"/>
  <c r="CK168" i="104" s="1"/>
  <c r="CL168" i="104" s="1"/>
  <c r="CM168" i="104" s="1"/>
  <c r="CN168" i="104" s="1"/>
  <c r="CO168" i="104" s="1"/>
  <c r="CP168" i="104" s="1"/>
  <c r="CQ168" i="104" s="1"/>
  <c r="R143" i="104"/>
  <c r="CD143" i="104" s="1"/>
  <c r="CE143" i="104" s="1"/>
  <c r="CF143" i="104" s="1"/>
  <c r="CG143" i="104" s="1"/>
  <c r="CH143" i="104" s="1"/>
  <c r="CI143" i="104" s="1"/>
  <c r="CJ143" i="104" s="1"/>
  <c r="R86" i="104"/>
  <c r="CD86" i="104" s="1"/>
  <c r="CE86" i="104" s="1"/>
  <c r="CF86" i="104" s="1"/>
  <c r="CG86" i="104" s="1"/>
  <c r="CH86" i="104" s="1"/>
  <c r="CI86" i="104" s="1"/>
  <c r="CJ86" i="104" s="1"/>
  <c r="S170" i="104"/>
  <c r="CK170" i="104" s="1"/>
  <c r="CL170" i="104" s="1"/>
  <c r="CM170" i="104" s="1"/>
  <c r="CN170" i="104" s="1"/>
  <c r="CO170" i="104" s="1"/>
  <c r="CP170" i="104" s="1"/>
  <c r="CQ170" i="104" s="1"/>
  <c r="S113" i="104"/>
  <c r="CK113" i="104" s="1"/>
  <c r="CL113" i="104" s="1"/>
  <c r="CM113" i="104" s="1"/>
  <c r="CN113" i="104" s="1"/>
  <c r="CO113" i="104" s="1"/>
  <c r="CP113" i="104" s="1"/>
  <c r="CQ113" i="104" s="1"/>
  <c r="S76" i="104"/>
  <c r="CK76" i="104" s="1"/>
  <c r="S133" i="104"/>
  <c r="CK133" i="104" s="1"/>
  <c r="CL133" i="104" s="1"/>
  <c r="CM133" i="104" s="1"/>
  <c r="CN133" i="104" s="1"/>
  <c r="CO133" i="104" s="1"/>
  <c r="CP133" i="104" s="1"/>
  <c r="CQ133" i="104" s="1"/>
  <c r="S167" i="104"/>
  <c r="CK167" i="104" s="1"/>
  <c r="CL167" i="104" s="1"/>
  <c r="CM167" i="104" s="1"/>
  <c r="CN167" i="104" s="1"/>
  <c r="CO167" i="104" s="1"/>
  <c r="CP167" i="104" s="1"/>
  <c r="CQ167" i="104" s="1"/>
  <c r="S110" i="104"/>
  <c r="CK110" i="104" s="1"/>
  <c r="CL110" i="104" s="1"/>
  <c r="CM110" i="104" s="1"/>
  <c r="CN110" i="104" s="1"/>
  <c r="CO110" i="104" s="1"/>
  <c r="CP110" i="104" s="1"/>
  <c r="CQ110" i="104" s="1"/>
  <c r="R170" i="104"/>
  <c r="CD170" i="104" s="1"/>
  <c r="CE170" i="104" s="1"/>
  <c r="CF170" i="104" s="1"/>
  <c r="CG170" i="104" s="1"/>
  <c r="CH170" i="104" s="1"/>
  <c r="CI170" i="104" s="1"/>
  <c r="CJ170" i="104" s="1"/>
  <c r="R113" i="104"/>
  <c r="CD113" i="104" s="1"/>
  <c r="CE113" i="104" s="1"/>
  <c r="CF113" i="104" s="1"/>
  <c r="CG113" i="104" s="1"/>
  <c r="CH113" i="104" s="1"/>
  <c r="CI113" i="104" s="1"/>
  <c r="CJ113" i="104" s="1"/>
  <c r="R133" i="104"/>
  <c r="CD133" i="104" s="1"/>
  <c r="CE133" i="104" s="1"/>
  <c r="CF133" i="104" s="1"/>
  <c r="CG133" i="104" s="1"/>
  <c r="CH133" i="104" s="1"/>
  <c r="CI133" i="104" s="1"/>
  <c r="CJ133" i="104" s="1"/>
  <c r="R76" i="104"/>
  <c r="CD76" i="104" s="1"/>
  <c r="S141" i="104"/>
  <c r="CK141" i="104" s="1"/>
  <c r="CL141" i="104" s="1"/>
  <c r="CM141" i="104" s="1"/>
  <c r="CN141" i="104" s="1"/>
  <c r="CO141" i="104" s="1"/>
  <c r="CP141" i="104" s="1"/>
  <c r="CQ141" i="104" s="1"/>
  <c r="S84" i="104"/>
  <c r="CK84" i="104" s="1"/>
  <c r="CL84" i="104" s="1"/>
  <c r="CM84" i="104" s="1"/>
  <c r="CN84" i="104" s="1"/>
  <c r="CO84" i="104" s="1"/>
  <c r="CP84" i="104" s="1"/>
  <c r="CQ84" i="104" s="1"/>
  <c r="R144" i="104"/>
  <c r="CD144" i="104" s="1"/>
  <c r="CE144" i="104" s="1"/>
  <c r="CF144" i="104" s="1"/>
  <c r="CG144" i="104" s="1"/>
  <c r="CH144" i="104" s="1"/>
  <c r="CI144" i="104" s="1"/>
  <c r="CJ144" i="104" s="1"/>
  <c r="R87" i="104"/>
  <c r="CD87" i="104" s="1"/>
  <c r="CE87" i="104" s="1"/>
  <c r="CF87" i="104" s="1"/>
  <c r="CG87" i="104" s="1"/>
  <c r="CH87" i="104" s="1"/>
  <c r="CI87" i="104" s="1"/>
  <c r="CJ87" i="104" s="1"/>
  <c r="R169" i="104"/>
  <c r="CD169" i="104" s="1"/>
  <c r="CE169" i="104" s="1"/>
  <c r="CF169" i="104" s="1"/>
  <c r="CG169" i="104" s="1"/>
  <c r="CH169" i="104" s="1"/>
  <c r="CI169" i="104" s="1"/>
  <c r="CJ169" i="104" s="1"/>
  <c r="R112" i="104"/>
  <c r="CD112" i="104" s="1"/>
  <c r="CE112" i="104" s="1"/>
  <c r="CF112" i="104" s="1"/>
  <c r="CG112" i="104" s="1"/>
  <c r="CH112" i="104" s="1"/>
  <c r="CI112" i="104" s="1"/>
  <c r="CJ112" i="104" s="1"/>
  <c r="R141" i="104"/>
  <c r="CD141" i="104" s="1"/>
  <c r="CE141" i="104" s="1"/>
  <c r="CF141" i="104" s="1"/>
  <c r="CG141" i="104" s="1"/>
  <c r="CH141" i="104" s="1"/>
  <c r="CI141" i="104" s="1"/>
  <c r="CJ141" i="104" s="1"/>
  <c r="R84" i="104"/>
  <c r="CD84" i="104" s="1"/>
  <c r="CE84" i="104" s="1"/>
  <c r="CF84" i="104" s="1"/>
  <c r="CG84" i="104" s="1"/>
  <c r="CH84" i="104" s="1"/>
  <c r="CI84" i="104" s="1"/>
  <c r="CJ84" i="104" s="1"/>
  <c r="S169" i="104"/>
  <c r="CK169" i="104" s="1"/>
  <c r="CL169" i="104" s="1"/>
  <c r="CM169" i="104" s="1"/>
  <c r="CN169" i="104" s="1"/>
  <c r="CO169" i="104" s="1"/>
  <c r="CP169" i="104" s="1"/>
  <c r="CQ169" i="104" s="1"/>
  <c r="S112" i="104"/>
  <c r="CK112" i="104" s="1"/>
  <c r="CL112" i="104" s="1"/>
  <c r="CM112" i="104" s="1"/>
  <c r="CN112" i="104" s="1"/>
  <c r="CO112" i="104" s="1"/>
  <c r="CP112" i="104" s="1"/>
  <c r="CQ112" i="104" s="1"/>
  <c r="S87" i="104"/>
  <c r="CK87" i="104" s="1"/>
  <c r="CL87" i="104" s="1"/>
  <c r="CM87" i="104" s="1"/>
  <c r="CN87" i="104" s="1"/>
  <c r="CO87" i="104" s="1"/>
  <c r="CP87" i="104" s="1"/>
  <c r="CQ87" i="104" s="1"/>
  <c r="S144" i="104"/>
  <c r="CK144" i="104" s="1"/>
  <c r="CL144" i="104" s="1"/>
  <c r="CM144" i="104" s="1"/>
  <c r="CN144" i="104" s="1"/>
  <c r="CO144" i="104" s="1"/>
  <c r="CP144" i="104" s="1"/>
  <c r="CQ144" i="104" s="1"/>
  <c r="S143" i="104"/>
  <c r="CK143" i="104" s="1"/>
  <c r="CL143" i="104" s="1"/>
  <c r="CM143" i="104" s="1"/>
  <c r="CN143" i="104" s="1"/>
  <c r="CO143" i="104" s="1"/>
  <c r="CP143" i="104" s="1"/>
  <c r="CQ143" i="104" s="1"/>
  <c r="S86" i="104"/>
  <c r="CK86" i="104" s="1"/>
  <c r="CL86" i="104" s="1"/>
  <c r="CM86" i="104" s="1"/>
  <c r="CN86" i="104" s="1"/>
  <c r="CO86" i="104" s="1"/>
  <c r="CP86" i="104" s="1"/>
  <c r="CQ86" i="104" s="1"/>
  <c r="R168" i="104"/>
  <c r="CD168" i="104" s="1"/>
  <c r="CE168" i="104" s="1"/>
  <c r="CF168" i="104" s="1"/>
  <c r="CG168" i="104" s="1"/>
  <c r="CH168" i="104" s="1"/>
  <c r="CI168" i="104" s="1"/>
  <c r="CJ168" i="104" s="1"/>
  <c r="R111" i="104"/>
  <c r="CD111" i="104" s="1"/>
  <c r="CE111" i="104" s="1"/>
  <c r="CF111" i="104" s="1"/>
  <c r="CG111" i="104" s="1"/>
  <c r="CH111" i="104" s="1"/>
  <c r="CI111" i="104" s="1"/>
  <c r="CJ111" i="104" s="1"/>
  <c r="R167" i="104"/>
  <c r="CD167" i="104" s="1"/>
  <c r="CE167" i="104" s="1"/>
  <c r="CF167" i="104" s="1"/>
  <c r="CG167" i="104" s="1"/>
  <c r="CH167" i="104" s="1"/>
  <c r="CI167" i="104" s="1"/>
  <c r="CJ167" i="104" s="1"/>
  <c r="R110" i="104"/>
  <c r="CD110" i="104" s="1"/>
  <c r="CE110" i="104" s="1"/>
  <c r="CF110" i="104" s="1"/>
  <c r="CG110" i="104" s="1"/>
  <c r="CH110" i="104" s="1"/>
  <c r="CI110" i="104" s="1"/>
  <c r="CJ110" i="104" s="1"/>
  <c r="DU6" i="134"/>
  <c r="EO16" i="134"/>
  <c r="CY16" i="134"/>
  <c r="DF16" i="134"/>
  <c r="DM16" i="134"/>
  <c r="EA16" i="134"/>
  <c r="EH16" i="134"/>
  <c r="EB6" i="134"/>
  <c r="CZ6" i="134"/>
  <c r="EI6" i="134"/>
  <c r="DN6" i="134"/>
  <c r="DG6" i="134"/>
  <c r="CB11" i="134"/>
  <c r="CA11" i="134"/>
  <c r="BW11" i="134"/>
  <c r="DT11" i="134" s="1"/>
  <c r="BZ11" i="134"/>
  <c r="BY11" i="134"/>
  <c r="BX11" i="134"/>
  <c r="DU11" i="134" s="1"/>
  <c r="CB16" i="134"/>
  <c r="CA16" i="134"/>
  <c r="BZ16" i="134"/>
  <c r="BY16" i="134"/>
  <c r="BX16" i="134"/>
  <c r="BW16" i="134"/>
  <c r="DT16" i="134" s="1"/>
  <c r="CZ11" i="134"/>
  <c r="EI11" i="134"/>
  <c r="DG11" i="134"/>
  <c r="DN11" i="134"/>
  <c r="EB11" i="134"/>
  <c r="EP11" i="134"/>
  <c r="BX7" i="132"/>
  <c r="CL7" i="132"/>
  <c r="AQ29" i="113"/>
  <c r="AY25" i="113"/>
  <c r="AJ29" i="113"/>
  <c r="V16" i="64"/>
  <c r="V29" i="113"/>
  <c r="W25" i="113"/>
  <c r="AX29" i="113"/>
  <c r="O29" i="113"/>
  <c r="AJ16" i="64"/>
  <c r="BK29" i="113"/>
  <c r="BL25" i="113"/>
  <c r="P25" i="113"/>
  <c r="AR25" i="113"/>
  <c r="AD25" i="113"/>
  <c r="AC29" i="113"/>
  <c r="BK25" i="113"/>
  <c r="AC16" i="64"/>
  <c r="AK25" i="113"/>
  <c r="AR28" i="71" l="1"/>
  <c r="AK28" i="71"/>
  <c r="AD28" i="71"/>
  <c r="AD8" i="71"/>
  <c r="P262" i="113"/>
  <c r="AJ138" i="64"/>
  <c r="AK262" i="113"/>
  <c r="AE28" i="71" s="1"/>
  <c r="AD262" i="113"/>
  <c r="V138" i="64"/>
  <c r="AY262" i="113"/>
  <c r="AS28" i="71" s="1"/>
  <c r="W262" i="113"/>
  <c r="AC138" i="64"/>
  <c r="AR262" i="113"/>
  <c r="AL28" i="71" s="1"/>
  <c r="BE7" i="132"/>
  <c r="CM10" i="104"/>
  <c r="EJ10" i="104" s="1"/>
  <c r="CM67" i="104"/>
  <c r="EJ67" i="104" s="1"/>
  <c r="CM124" i="104"/>
  <c r="EJ124" i="104" s="1"/>
  <c r="CL76" i="104"/>
  <c r="CE76" i="104"/>
  <c r="DV11" i="134"/>
  <c r="EB16" i="134"/>
  <c r="CZ16" i="134"/>
  <c r="DV16" i="134"/>
  <c r="DG16" i="134"/>
  <c r="DN16" i="134"/>
  <c r="EI16" i="134"/>
  <c r="EP16" i="134"/>
  <c r="DH11" i="134"/>
  <c r="DO11" i="134"/>
  <c r="EQ11" i="134"/>
  <c r="EC11" i="134"/>
  <c r="EJ11" i="134"/>
  <c r="DA11" i="134"/>
  <c r="DW11" i="134"/>
  <c r="CS6" i="134"/>
  <c r="EO6" i="134"/>
  <c r="EC6" i="134"/>
  <c r="DH6" i="134"/>
  <c r="EJ6" i="134"/>
  <c r="DA6" i="134"/>
  <c r="DO6" i="134"/>
  <c r="DV6" i="134"/>
  <c r="DU16" i="134"/>
  <c r="CM7" i="132"/>
  <c r="BY7" i="132"/>
  <c r="BN25" i="113"/>
  <c r="AK29" i="113"/>
  <c r="AS25" i="113"/>
  <c r="Q25" i="113"/>
  <c r="X25" i="113"/>
  <c r="AD16" i="64"/>
  <c r="P29" i="113"/>
  <c r="BL29" i="113"/>
  <c r="AL25" i="113"/>
  <c r="BM29" i="113"/>
  <c r="W29" i="113"/>
  <c r="BM25" i="113"/>
  <c r="AZ25" i="113"/>
  <c r="AR29" i="113"/>
  <c r="W16" i="64"/>
  <c r="AD29" i="113"/>
  <c r="AY29" i="113"/>
  <c r="AK16" i="64"/>
  <c r="AW16" i="64"/>
  <c r="AE25" i="113"/>
  <c r="AE8" i="71" l="1"/>
  <c r="AK138" i="64"/>
  <c r="AE262" i="113"/>
  <c r="AZ262" i="113"/>
  <c r="AW138" i="64"/>
  <c r="X262" i="113"/>
  <c r="AD138" i="64"/>
  <c r="Q262" i="113"/>
  <c r="AS262" i="113"/>
  <c r="AM28" i="71" s="1"/>
  <c r="AL262" i="113"/>
  <c r="AF28" i="71" s="1"/>
  <c r="W138" i="64"/>
  <c r="BF7" i="132"/>
  <c r="CN10" i="104"/>
  <c r="EK10" i="104" s="1"/>
  <c r="CN124" i="104"/>
  <c r="EK124" i="104" s="1"/>
  <c r="CN67" i="104"/>
  <c r="EK67" i="104" s="1"/>
  <c r="CF76" i="104"/>
  <c r="CM76" i="104"/>
  <c r="CT6" i="134"/>
  <c r="EP6" i="134"/>
  <c r="EK6" i="134"/>
  <c r="DB6" i="134"/>
  <c r="DI6" i="134"/>
  <c r="DP6" i="134"/>
  <c r="ED6" i="134"/>
  <c r="DW6" i="134"/>
  <c r="DA16" i="134"/>
  <c r="DH16" i="134"/>
  <c r="DO16" i="134"/>
  <c r="EC16" i="134"/>
  <c r="EJ16" i="134"/>
  <c r="EQ16" i="134"/>
  <c r="DP11" i="134"/>
  <c r="ED11" i="134"/>
  <c r="EK11" i="134"/>
  <c r="ER11" i="134"/>
  <c r="DB11" i="134"/>
  <c r="DI11" i="134"/>
  <c r="BZ7" i="132"/>
  <c r="CN7" i="132"/>
  <c r="AE16" i="64"/>
  <c r="Q29" i="113"/>
  <c r="X16" i="64"/>
  <c r="R25" i="113"/>
  <c r="AM25" i="113"/>
  <c r="AS29" i="113"/>
  <c r="AT25" i="113"/>
  <c r="X29" i="113"/>
  <c r="Y25" i="113"/>
  <c r="AE29" i="113"/>
  <c r="AL29" i="113"/>
  <c r="AZ29" i="113"/>
  <c r="AF25" i="113"/>
  <c r="AX16" i="64"/>
  <c r="BA25" i="113"/>
  <c r="AL16" i="64"/>
  <c r="AT28" i="71" l="1"/>
  <c r="AR8" i="71"/>
  <c r="AF8" i="71"/>
  <c r="R262" i="113"/>
  <c r="BA262" i="113"/>
  <c r="AU28" i="71" s="1"/>
  <c r="AX138" i="64"/>
  <c r="AT262" i="113"/>
  <c r="AN28" i="71" s="1"/>
  <c r="AM262" i="113"/>
  <c r="AG28" i="71" s="1"/>
  <c r="AF262" i="113"/>
  <c r="AL138" i="64"/>
  <c r="Y262" i="113"/>
  <c r="AE138" i="64"/>
  <c r="X138" i="64"/>
  <c r="BG7" i="132"/>
  <c r="CO10" i="104"/>
  <c r="EL10" i="104" s="1"/>
  <c r="CO67" i="104"/>
  <c r="EL67" i="104" s="1"/>
  <c r="CO124" i="104"/>
  <c r="EL124" i="104" s="1"/>
  <c r="CN76" i="104"/>
  <c r="CG76" i="104"/>
  <c r="DI16" i="134"/>
  <c r="ER16" i="134"/>
  <c r="DP16" i="134"/>
  <c r="ED16" i="134"/>
  <c r="EK16" i="134"/>
  <c r="DB16" i="134"/>
  <c r="DW16" i="134"/>
  <c r="DC6" i="134"/>
  <c r="EL6" i="134"/>
  <c r="DJ6" i="134"/>
  <c r="DQ6" i="134"/>
  <c r="EE6" i="134"/>
  <c r="DX6" i="134"/>
  <c r="CU6" i="134"/>
  <c r="EQ6" i="134"/>
  <c r="EE11" i="134"/>
  <c r="EL11" i="134"/>
  <c r="ES11" i="134"/>
  <c r="DC11" i="134"/>
  <c r="DJ11" i="134"/>
  <c r="DQ11" i="134"/>
  <c r="DX11" i="134"/>
  <c r="CO7" i="132"/>
  <c r="CA7" i="132"/>
  <c r="AT29" i="113"/>
  <c r="Y29" i="113"/>
  <c r="AM16" i="64"/>
  <c r="AY16" i="64"/>
  <c r="Y16" i="64"/>
  <c r="AF16" i="64"/>
  <c r="S25" i="113"/>
  <c r="BB25" i="113"/>
  <c r="AN25" i="113"/>
  <c r="R29" i="113"/>
  <c r="BN29" i="113"/>
  <c r="AF29" i="113"/>
  <c r="BA29" i="113"/>
  <c r="Z25" i="113"/>
  <c r="AU25" i="113"/>
  <c r="AG25" i="113"/>
  <c r="AM29" i="113"/>
  <c r="BO25" i="113"/>
  <c r="AS8" i="71" l="1"/>
  <c r="AG8" i="71"/>
  <c r="AY138" i="64"/>
  <c r="AG262" i="113"/>
  <c r="Z262" i="113"/>
  <c r="AM138" i="64"/>
  <c r="S262" i="113"/>
  <c r="AF138" i="64"/>
  <c r="BB262" i="113"/>
  <c r="AV28" i="71" s="1"/>
  <c r="Y138" i="64"/>
  <c r="AU262" i="113"/>
  <c r="AO28" i="71" s="1"/>
  <c r="AN262" i="113"/>
  <c r="AH28" i="71" s="1"/>
  <c r="BH7" i="132"/>
  <c r="CP10" i="104"/>
  <c r="EM10" i="104" s="1"/>
  <c r="CP124" i="104"/>
  <c r="EM124" i="104" s="1"/>
  <c r="CP67" i="104"/>
  <c r="EM67" i="104" s="1"/>
  <c r="CH76" i="104"/>
  <c r="CO76" i="104"/>
  <c r="DQ16" i="134"/>
  <c r="EE16" i="134"/>
  <c r="EL16" i="134"/>
  <c r="ES16" i="134"/>
  <c r="DC16" i="134"/>
  <c r="DJ16" i="134"/>
  <c r="DX16" i="134"/>
  <c r="DD6" i="134"/>
  <c r="EW6" i="134" s="1"/>
  <c r="DK6" i="134"/>
  <c r="DR6" i="134"/>
  <c r="EF6" i="134"/>
  <c r="EM6" i="134"/>
  <c r="FB6" i="134" s="1"/>
  <c r="DY6" i="134"/>
  <c r="EZ6" i="134" s="1"/>
  <c r="EF11" i="134"/>
  <c r="FA11" i="134" s="1"/>
  <c r="DK11" i="134"/>
  <c r="EM11" i="134"/>
  <c r="ET11" i="134"/>
  <c r="DD11" i="134"/>
  <c r="DR11" i="134"/>
  <c r="DY11" i="134"/>
  <c r="EZ11" i="134" s="1"/>
  <c r="CV6" i="134"/>
  <c r="ER6" i="134"/>
  <c r="CB7" i="132"/>
  <c r="CP7" i="132"/>
  <c r="BB29" i="113"/>
  <c r="AN29" i="113"/>
  <c r="BW25" i="113"/>
  <c r="AU29" i="113"/>
  <c r="Z29" i="113"/>
  <c r="AG29" i="113"/>
  <c r="BO29" i="113"/>
  <c r="BC25" i="113"/>
  <c r="S29" i="113"/>
  <c r="AH25" i="113"/>
  <c r="BP25" i="113"/>
  <c r="AV25" i="113"/>
  <c r="BV25" i="113"/>
  <c r="AG16" i="64"/>
  <c r="T25" i="113"/>
  <c r="BH16" i="64"/>
  <c r="AN16" i="64"/>
  <c r="AZ16" i="64"/>
  <c r="Z16" i="64"/>
  <c r="AO25" i="113"/>
  <c r="AA25" i="113"/>
  <c r="AT8" i="71" l="1"/>
  <c r="AH8" i="71"/>
  <c r="BV262" i="113"/>
  <c r="BW262" i="113"/>
  <c r="AN138" i="64"/>
  <c r="T262" i="113"/>
  <c r="AH262" i="113"/>
  <c r="AG138" i="64"/>
  <c r="BC262" i="113"/>
  <c r="AW28" i="71" s="1"/>
  <c r="H28" i="71" s="1"/>
  <c r="Z138" i="64"/>
  <c r="AV262" i="113"/>
  <c r="AP28" i="71" s="1"/>
  <c r="G28" i="71" s="1"/>
  <c r="AA262" i="113"/>
  <c r="AZ138" i="64"/>
  <c r="AO262" i="113"/>
  <c r="AI28" i="71" s="1"/>
  <c r="F28" i="71" s="1"/>
  <c r="BH138" i="64"/>
  <c r="FA16" i="134"/>
  <c r="EY6" i="134"/>
  <c r="FC11" i="134"/>
  <c r="EX6" i="134"/>
  <c r="EW11" i="134"/>
  <c r="FB11" i="134"/>
  <c r="EX11" i="134"/>
  <c r="EY11" i="134"/>
  <c r="EZ16" i="134"/>
  <c r="FA6" i="134"/>
  <c r="CQ7" i="132"/>
  <c r="CC7" i="132"/>
  <c r="CQ10" i="104"/>
  <c r="EN10" i="104" s="1"/>
  <c r="FB10" i="104" s="1"/>
  <c r="CQ67" i="104"/>
  <c r="EN67" i="104" s="1"/>
  <c r="FB67" i="104" s="1"/>
  <c r="CQ124" i="104"/>
  <c r="EN124" i="104" s="1"/>
  <c r="FB124" i="104" s="1"/>
  <c r="CI76" i="104"/>
  <c r="CP76" i="104"/>
  <c r="CW6" i="134"/>
  <c r="ES6" i="134"/>
  <c r="EF16" i="134"/>
  <c r="EM16" i="134"/>
  <c r="ET16" i="134"/>
  <c r="DD16" i="134"/>
  <c r="DK16" i="134"/>
  <c r="DR16" i="134"/>
  <c r="DY16" i="134"/>
  <c r="FE6" i="134"/>
  <c r="I7" i="132"/>
  <c r="AU7" i="132" s="1"/>
  <c r="CL26" i="132"/>
  <c r="CM26" i="132" s="1"/>
  <c r="CN26" i="132" s="1"/>
  <c r="CO26" i="132" s="1"/>
  <c r="BX26" i="132"/>
  <c r="BY26" i="132" s="1"/>
  <c r="BZ26" i="132" s="1"/>
  <c r="CA26" i="132" s="1"/>
  <c r="CB26" i="132" s="1"/>
  <c r="CC26" i="132" s="1"/>
  <c r="BU26" i="132"/>
  <c r="BT26" i="132"/>
  <c r="BS26" i="132"/>
  <c r="BR26" i="132"/>
  <c r="BQ26" i="132"/>
  <c r="BP26" i="132"/>
  <c r="DM26" i="132" s="1"/>
  <c r="BC26" i="132"/>
  <c r="BD26" i="132" s="1"/>
  <c r="BE26" i="132" s="1"/>
  <c r="BF26" i="132" s="1"/>
  <c r="BG26" i="132" s="1"/>
  <c r="BH26" i="132" s="1"/>
  <c r="CL16" i="132"/>
  <c r="BX16" i="132"/>
  <c r="BY16" i="132" s="1"/>
  <c r="BZ16" i="132" s="1"/>
  <c r="CA16" i="132" s="1"/>
  <c r="CB16" i="132" s="1"/>
  <c r="CC16" i="132" s="1"/>
  <c r="BU16" i="132"/>
  <c r="BT16" i="132"/>
  <c r="BS16" i="132"/>
  <c r="BR16" i="132"/>
  <c r="BQ16" i="132"/>
  <c r="BP16" i="132"/>
  <c r="DM16" i="132" s="1"/>
  <c r="BC16" i="132"/>
  <c r="BD16" i="132" s="1"/>
  <c r="BE16" i="132" s="1"/>
  <c r="BF16" i="132" s="1"/>
  <c r="BG16" i="132" s="1"/>
  <c r="BH16" i="132" s="1"/>
  <c r="CL6" i="132"/>
  <c r="BX6" i="132"/>
  <c r="BU6" i="132"/>
  <c r="BT6" i="132"/>
  <c r="BS6" i="132"/>
  <c r="BR6" i="132"/>
  <c r="BQ6" i="132"/>
  <c r="I6" i="132"/>
  <c r="AU6" i="132" s="1"/>
  <c r="CR6" i="132" s="1"/>
  <c r="EV1" i="132"/>
  <c r="EU1" i="132"/>
  <c r="ET1" i="132"/>
  <c r="ES1" i="132"/>
  <c r="ER1" i="132"/>
  <c r="EQ1" i="132"/>
  <c r="EP1" i="132"/>
  <c r="EO1" i="132"/>
  <c r="EM1" i="132"/>
  <c r="EL1" i="132"/>
  <c r="EK1" i="132"/>
  <c r="EJ1" i="132"/>
  <c r="EI1" i="132"/>
  <c r="EH1" i="132"/>
  <c r="EF1" i="132"/>
  <c r="EE1" i="132"/>
  <c r="ED1" i="132"/>
  <c r="EC1" i="132"/>
  <c r="EB1" i="132"/>
  <c r="EA1" i="132"/>
  <c r="DY1" i="132"/>
  <c r="DX1" i="132"/>
  <c r="DW1" i="132"/>
  <c r="DV1" i="132"/>
  <c r="DU1" i="132"/>
  <c r="DT1" i="132"/>
  <c r="DR1" i="132"/>
  <c r="DQ1" i="132"/>
  <c r="DP1" i="132"/>
  <c r="DO1" i="132"/>
  <c r="DN1" i="132"/>
  <c r="DM1" i="132"/>
  <c r="DK1" i="132"/>
  <c r="DJ1" i="132"/>
  <c r="DI1" i="132"/>
  <c r="DH1" i="132"/>
  <c r="DG1" i="132"/>
  <c r="DF1" i="132"/>
  <c r="DD1" i="132"/>
  <c r="DC1" i="132"/>
  <c r="DB1" i="132"/>
  <c r="DA1" i="132"/>
  <c r="CZ1" i="132"/>
  <c r="CY1" i="132"/>
  <c r="CW1" i="132"/>
  <c r="CV1" i="132"/>
  <c r="CU1" i="132"/>
  <c r="CT1" i="132"/>
  <c r="CS1" i="132"/>
  <c r="CR1" i="132"/>
  <c r="CP1" i="132"/>
  <c r="CO1" i="132"/>
  <c r="CN1" i="132"/>
  <c r="CM1" i="132"/>
  <c r="CL1" i="132"/>
  <c r="CK1" i="132"/>
  <c r="CI1" i="132"/>
  <c r="CH1" i="132"/>
  <c r="CG1" i="132"/>
  <c r="CF1" i="132"/>
  <c r="CE1" i="132"/>
  <c r="CD1" i="132"/>
  <c r="CB1" i="132"/>
  <c r="CA1" i="132"/>
  <c r="BZ1" i="132"/>
  <c r="BY1" i="132"/>
  <c r="BX1" i="132"/>
  <c r="BW1" i="132"/>
  <c r="BU1" i="132"/>
  <c r="BT1" i="132"/>
  <c r="BS1" i="132"/>
  <c r="BR1" i="132"/>
  <c r="BQ1" i="132"/>
  <c r="BP1" i="132"/>
  <c r="BN1" i="132"/>
  <c r="BM1" i="132"/>
  <c r="BL1" i="132"/>
  <c r="BK1" i="132"/>
  <c r="BJ1" i="132"/>
  <c r="BI1" i="132"/>
  <c r="BG1" i="132"/>
  <c r="BF1" i="132"/>
  <c r="BE1" i="132"/>
  <c r="BD1" i="132"/>
  <c r="BC1" i="132"/>
  <c r="BB1" i="132"/>
  <c r="AZ1" i="132"/>
  <c r="AY1" i="132"/>
  <c r="AX1" i="132"/>
  <c r="AW1" i="132"/>
  <c r="AV1" i="132"/>
  <c r="AU1" i="132"/>
  <c r="AT1" i="132"/>
  <c r="AS1" i="132"/>
  <c r="AR1" i="132"/>
  <c r="AQ1" i="132"/>
  <c r="AP1" i="132"/>
  <c r="AO1" i="132"/>
  <c r="AN1" i="132"/>
  <c r="AM1" i="132"/>
  <c r="AL1" i="132"/>
  <c r="AK1" i="132"/>
  <c r="AJ1" i="132"/>
  <c r="AI1" i="132"/>
  <c r="AH1" i="132"/>
  <c r="AG1" i="132"/>
  <c r="AF1" i="132"/>
  <c r="AE1" i="132"/>
  <c r="AD1" i="132"/>
  <c r="AC1" i="132"/>
  <c r="AB1" i="132"/>
  <c r="AA1" i="132"/>
  <c r="Z1" i="132"/>
  <c r="Y1" i="132"/>
  <c r="X1" i="132"/>
  <c r="V1" i="132"/>
  <c r="U1" i="132"/>
  <c r="T1" i="132"/>
  <c r="S1" i="132"/>
  <c r="R1" i="132"/>
  <c r="Q1" i="132"/>
  <c r="P1" i="132"/>
  <c r="O1" i="132"/>
  <c r="N1" i="132"/>
  <c r="M1" i="132"/>
  <c r="L1" i="132"/>
  <c r="K1" i="132"/>
  <c r="J1" i="132"/>
  <c r="I1" i="132"/>
  <c r="H1" i="132"/>
  <c r="G1" i="132"/>
  <c r="F1" i="132"/>
  <c r="E1" i="132"/>
  <c r="D1" i="132"/>
  <c r="C1" i="132"/>
  <c r="B1" i="132"/>
  <c r="A1" i="132"/>
  <c r="BV29" i="113"/>
  <c r="BI70" i="113"/>
  <c r="BL73" i="113"/>
  <c r="E72" i="113"/>
  <c r="BJ70" i="113"/>
  <c r="BG69" i="113"/>
  <c r="BA16" i="64"/>
  <c r="BN85" i="113"/>
  <c r="BJ80" i="113"/>
  <c r="BK73" i="113"/>
  <c r="BI82" i="113"/>
  <c r="E70" i="113"/>
  <c r="BG71" i="113"/>
  <c r="BO85" i="113"/>
  <c r="BJ76" i="113"/>
  <c r="BI81" i="113"/>
  <c r="BG81" i="113"/>
  <c r="BJ82" i="113"/>
  <c r="E80" i="113"/>
  <c r="BL82" i="113"/>
  <c r="BH82" i="113"/>
  <c r="BJ84" i="113"/>
  <c r="BH72" i="113"/>
  <c r="E69" i="113"/>
  <c r="BI83" i="113"/>
  <c r="BQ85" i="113"/>
  <c r="BG75" i="113"/>
  <c r="BP76" i="113"/>
  <c r="BG78" i="113"/>
  <c r="AV29" i="113"/>
  <c r="BE84" i="113"/>
  <c r="BI73" i="113"/>
  <c r="BJ85" i="113"/>
  <c r="BJ74" i="113"/>
  <c r="BJ78" i="113"/>
  <c r="E73" i="113"/>
  <c r="BJ69" i="113"/>
  <c r="BI76" i="113"/>
  <c r="BH79" i="113"/>
  <c r="E78" i="113"/>
  <c r="E82" i="113"/>
  <c r="BL84" i="113"/>
  <c r="BW29" i="113"/>
  <c r="BE83" i="113"/>
  <c r="BJ79" i="113"/>
  <c r="BH81" i="113"/>
  <c r="BP85" i="113"/>
  <c r="BH71" i="113"/>
  <c r="BJ73" i="113"/>
  <c r="BF83" i="113"/>
  <c r="BG84" i="113"/>
  <c r="BL75" i="113"/>
  <c r="D42" i="64"/>
  <c r="BE78" i="113"/>
  <c r="BG72" i="113"/>
  <c r="BH74" i="113"/>
  <c r="BI69" i="113"/>
  <c r="BG80" i="113"/>
  <c r="D39" i="64"/>
  <c r="BF82" i="113"/>
  <c r="BI16" i="64"/>
  <c r="BH70" i="113"/>
  <c r="BH75" i="113"/>
  <c r="BH69" i="113"/>
  <c r="BG70" i="113"/>
  <c r="BG83" i="113"/>
  <c r="BH73" i="113"/>
  <c r="E74" i="113"/>
  <c r="BO76" i="113"/>
  <c r="D41" i="64"/>
  <c r="T29" i="113"/>
  <c r="D38" i="64"/>
  <c r="BE69" i="113"/>
  <c r="BU25" i="113"/>
  <c r="BM76" i="113"/>
  <c r="BI78" i="113"/>
  <c r="BJ71" i="113"/>
  <c r="BE73" i="113"/>
  <c r="BE75" i="113"/>
  <c r="AH29" i="113"/>
  <c r="BK80" i="113"/>
  <c r="BG79" i="113"/>
  <c r="BI75" i="113"/>
  <c r="BH80" i="113"/>
  <c r="BI71" i="113"/>
  <c r="BJ75" i="113"/>
  <c r="BN76" i="113"/>
  <c r="BG16" i="64"/>
  <c r="BQ76" i="113"/>
  <c r="BK76" i="113"/>
  <c r="BE70" i="113"/>
  <c r="BF85" i="113"/>
  <c r="BC29" i="113"/>
  <c r="BS25" i="113"/>
  <c r="E79" i="113"/>
  <c r="BG73" i="113"/>
  <c r="BK85" i="113"/>
  <c r="BI80" i="113"/>
  <c r="BI72" i="113"/>
  <c r="BF72" i="113"/>
  <c r="BF70" i="113"/>
  <c r="E84" i="113"/>
  <c r="BF84" i="113"/>
  <c r="BY25" i="113"/>
  <c r="BJ72" i="113"/>
  <c r="BG85" i="113"/>
  <c r="AO29" i="113"/>
  <c r="BF81" i="113"/>
  <c r="E76" i="113"/>
  <c r="BH78" i="113"/>
  <c r="BK84" i="113"/>
  <c r="BF74" i="113"/>
  <c r="D43" i="64"/>
  <c r="BK82" i="113"/>
  <c r="BE81" i="113"/>
  <c r="D44" i="64"/>
  <c r="BL85" i="113"/>
  <c r="BF71" i="113"/>
  <c r="E38" i="64"/>
  <c r="E71" i="113"/>
  <c r="BE85" i="113"/>
  <c r="BK71" i="113"/>
  <c r="BH76" i="113"/>
  <c r="BF76" i="113"/>
  <c r="BP29" i="113"/>
  <c r="BH84" i="113"/>
  <c r="BG74" i="113"/>
  <c r="BF78" i="113"/>
  <c r="BF75" i="113"/>
  <c r="BI79" i="113"/>
  <c r="BE72" i="113"/>
  <c r="BF16" i="64"/>
  <c r="BF80" i="113"/>
  <c r="BH85" i="113"/>
  <c r="BG76" i="113"/>
  <c r="BI85" i="113"/>
  <c r="D45" i="64"/>
  <c r="BG82" i="113"/>
  <c r="BF69" i="113"/>
  <c r="BL76" i="113"/>
  <c r="BX25" i="113"/>
  <c r="BI74" i="113"/>
  <c r="BJ81" i="113"/>
  <c r="BE82" i="113"/>
  <c r="BT25" i="113"/>
  <c r="BI84" i="113"/>
  <c r="BJ83" i="113"/>
  <c r="D40" i="64"/>
  <c r="BF73" i="113"/>
  <c r="E81" i="113"/>
  <c r="E75" i="113"/>
  <c r="BM85" i="113"/>
  <c r="BF79" i="113"/>
  <c r="BK75" i="113"/>
  <c r="BE80" i="113"/>
  <c r="E85" i="113"/>
  <c r="BH83" i="113"/>
  <c r="BE79" i="113"/>
  <c r="BE76" i="113"/>
  <c r="BE71" i="113"/>
  <c r="AA29" i="113"/>
  <c r="E83" i="113"/>
  <c r="BE74" i="113"/>
  <c r="A78" i="113" l="1"/>
  <c r="A71" i="113"/>
  <c r="A73" i="113"/>
  <c r="A83" i="113"/>
  <c r="A80" i="113"/>
  <c r="A70" i="113"/>
  <c r="A84" i="113"/>
  <c r="A76" i="113"/>
  <c r="A69" i="113"/>
  <c r="A79" i="113"/>
  <c r="A81" i="113"/>
  <c r="A75" i="113"/>
  <c r="A85" i="113"/>
  <c r="A74" i="113"/>
  <c r="A82" i="113"/>
  <c r="A72" i="113"/>
  <c r="AI8" i="71"/>
  <c r="F8" i="71" s="1"/>
  <c r="AU8" i="71"/>
  <c r="BS262" i="113"/>
  <c r="BY262" i="113"/>
  <c r="BG138" i="64"/>
  <c r="BU262" i="113"/>
  <c r="BX262" i="113"/>
  <c r="BF138" i="64"/>
  <c r="BI138" i="64"/>
  <c r="BA138" i="64"/>
  <c r="BT262" i="113"/>
  <c r="EY16" i="134"/>
  <c r="FC16" i="134"/>
  <c r="FB16" i="134"/>
  <c r="FC6" i="134"/>
  <c r="EW16" i="134"/>
  <c r="EX16" i="134"/>
  <c r="CM6" i="132"/>
  <c r="AV7" i="132"/>
  <c r="AX7" i="132"/>
  <c r="ET6" i="134"/>
  <c r="CX6" i="134"/>
  <c r="EU6" i="134" s="1"/>
  <c r="FH6" i="134"/>
  <c r="FF6" i="134"/>
  <c r="FK6" i="134"/>
  <c r="CJ76" i="104"/>
  <c r="CQ76" i="104"/>
  <c r="FJ6" i="134"/>
  <c r="FI6" i="134"/>
  <c r="BY6" i="132"/>
  <c r="CM16" i="132"/>
  <c r="CN16" i="132" s="1"/>
  <c r="CO16" i="132" s="1"/>
  <c r="CP16" i="132" s="1"/>
  <c r="CQ16" i="132" s="1"/>
  <c r="CP26" i="132"/>
  <c r="CQ26" i="132" s="1"/>
  <c r="BC16" i="64"/>
  <c r="BX29" i="113"/>
  <c r="BT29" i="113"/>
  <c r="BB16" i="64"/>
  <c r="BY29" i="113"/>
  <c r="BK16" i="64"/>
  <c r="BS29" i="113"/>
  <c r="BU29" i="113"/>
  <c r="AV8" i="71" l="1"/>
  <c r="BK138" i="64"/>
  <c r="BC138" i="64"/>
  <c r="BB138" i="64"/>
  <c r="FG6" i="134"/>
  <c r="FL6" i="134"/>
  <c r="BA7" i="132"/>
  <c r="CN6" i="132"/>
  <c r="AX6" i="132"/>
  <c r="AV6" i="132"/>
  <c r="AW7" i="132"/>
  <c r="AY7" i="132"/>
  <c r="AX26" i="132"/>
  <c r="BA26" i="132" s="1"/>
  <c r="AV26" i="132"/>
  <c r="AY26" i="132" s="1"/>
  <c r="AX27" i="132"/>
  <c r="BA27" i="132" s="1"/>
  <c r="AV27" i="132"/>
  <c r="AY27" i="132" s="1"/>
  <c r="BZ6" i="132"/>
  <c r="AW8" i="71" l="1"/>
  <c r="AX8" i="71"/>
  <c r="CO6" i="132"/>
  <c r="BA6" i="132"/>
  <c r="AZ7" i="132"/>
  <c r="AW6" i="132"/>
  <c r="AY6" i="132"/>
  <c r="AW26" i="132"/>
  <c r="AZ26" i="132" s="1"/>
  <c r="AW27" i="132"/>
  <c r="AZ27" i="132" s="1"/>
  <c r="CA6" i="132"/>
  <c r="H8" i="71" l="1"/>
  <c r="AZ6" i="132"/>
  <c r="CP6" i="132"/>
  <c r="CB6" i="132"/>
  <c r="CQ6" i="132" l="1"/>
  <c r="CC6" i="132"/>
  <c r="O4" i="131"/>
  <c r="O5" i="131"/>
  <c r="O6" i="131"/>
  <c r="O7" i="131"/>
  <c r="O8" i="131"/>
  <c r="O9" i="131"/>
  <c r="O10" i="131"/>
  <c r="O11" i="131"/>
  <c r="O12" i="131"/>
  <c r="O13" i="131"/>
  <c r="O14" i="131"/>
  <c r="O15" i="131"/>
  <c r="O16" i="131"/>
  <c r="O17" i="131"/>
  <c r="O18" i="131"/>
  <c r="O19" i="131"/>
  <c r="O20" i="131"/>
  <c r="O21" i="131"/>
  <c r="O22" i="131"/>
  <c r="O23" i="131"/>
  <c r="O24" i="131"/>
  <c r="O25" i="131"/>
  <c r="O26" i="131"/>
  <c r="O27" i="131"/>
  <c r="O28" i="131"/>
  <c r="O29" i="131"/>
  <c r="O30" i="131"/>
  <c r="O31" i="131"/>
  <c r="O32" i="131"/>
  <c r="O33" i="131"/>
  <c r="O34" i="131"/>
  <c r="O35" i="131"/>
  <c r="O36" i="131"/>
  <c r="O37" i="131"/>
  <c r="O39" i="131"/>
  <c r="O40" i="131"/>
  <c r="O41" i="131"/>
  <c r="O42" i="131"/>
  <c r="O43" i="131"/>
  <c r="O44" i="131"/>
  <c r="O45" i="131"/>
  <c r="O46" i="131"/>
  <c r="O47" i="131"/>
  <c r="O48" i="131"/>
  <c r="O49" i="131"/>
  <c r="O50" i="131"/>
  <c r="O51" i="131"/>
  <c r="O52" i="131"/>
  <c r="O53" i="131"/>
  <c r="O54" i="131"/>
  <c r="O55" i="131"/>
  <c r="O56" i="131"/>
  <c r="O57" i="131"/>
  <c r="O58" i="131"/>
  <c r="O59" i="131"/>
  <c r="O60" i="131"/>
  <c r="O61" i="131"/>
  <c r="O62" i="131"/>
  <c r="O63" i="131"/>
  <c r="O64" i="131"/>
  <c r="O65" i="131"/>
  <c r="O66" i="131"/>
  <c r="O67" i="131"/>
  <c r="O68" i="131"/>
  <c r="O69" i="131"/>
  <c r="O70" i="131"/>
  <c r="O71" i="131"/>
  <c r="O72" i="131"/>
  <c r="O73" i="131"/>
  <c r="O74" i="131"/>
  <c r="O75" i="131"/>
  <c r="O76" i="131"/>
  <c r="O77" i="131"/>
  <c r="O78" i="131"/>
  <c r="O79" i="131"/>
  <c r="O80" i="131"/>
  <c r="O81" i="131"/>
  <c r="O82" i="131"/>
  <c r="O83" i="131"/>
  <c r="O84" i="131"/>
  <c r="O85" i="131"/>
  <c r="O86" i="131"/>
  <c r="O87" i="131"/>
  <c r="O88" i="131"/>
  <c r="O89" i="131"/>
  <c r="O90" i="131"/>
  <c r="O91" i="131"/>
  <c r="O92" i="131"/>
  <c r="O93" i="131"/>
  <c r="O94" i="131"/>
  <c r="O95" i="131"/>
  <c r="O96" i="131"/>
  <c r="O97" i="131"/>
  <c r="O98" i="131"/>
  <c r="O99" i="131"/>
  <c r="O100" i="131"/>
  <c r="O101" i="131"/>
  <c r="O102" i="131"/>
  <c r="O103" i="131"/>
  <c r="O104" i="131"/>
  <c r="O105" i="131"/>
  <c r="O106" i="131"/>
  <c r="O107" i="131"/>
  <c r="O108" i="131"/>
  <c r="O109" i="131"/>
  <c r="O110" i="131"/>
  <c r="O111" i="131"/>
  <c r="O112" i="131"/>
  <c r="O113" i="131"/>
  <c r="O114" i="131"/>
  <c r="O115" i="131"/>
  <c r="O116" i="131"/>
  <c r="O117" i="131"/>
  <c r="O118" i="131"/>
  <c r="O119" i="131"/>
  <c r="O120" i="131"/>
  <c r="O121" i="131"/>
  <c r="O122" i="131"/>
  <c r="O3" i="131"/>
  <c r="G33" i="131"/>
  <c r="H52" i="104" s="1"/>
  <c r="G30" i="131"/>
  <c r="H51" i="104" s="1"/>
  <c r="H28" i="104"/>
  <c r="G28" i="131"/>
  <c r="H27" i="104" s="1"/>
  <c r="G26" i="131"/>
  <c r="G25" i="131"/>
  <c r="G24" i="131"/>
  <c r="G23" i="131"/>
  <c r="G21" i="131"/>
  <c r="H166" i="104" l="1"/>
  <c r="H109" i="104"/>
  <c r="J27" i="104"/>
  <c r="BB27" i="104" s="1"/>
  <c r="BC27" i="104" s="1"/>
  <c r="H141" i="104"/>
  <c r="H84" i="104"/>
  <c r="J28" i="104"/>
  <c r="BB28" i="104" s="1"/>
  <c r="BC28" i="104" s="1"/>
  <c r="H142" i="104"/>
  <c r="H85" i="104"/>
  <c r="H108" i="104"/>
  <c r="H165" i="104"/>
  <c r="G35" i="131"/>
  <c r="H19" i="104" s="1"/>
  <c r="H10" i="104"/>
  <c r="H7" i="104"/>
  <c r="H50" i="104"/>
  <c r="J51" i="104"/>
  <c r="BB51" i="104" s="1"/>
  <c r="BC51" i="104" s="1"/>
  <c r="J52" i="104"/>
  <c r="BB52" i="104" s="1"/>
  <c r="BC52" i="104" s="1"/>
  <c r="J53" i="104"/>
  <c r="BB53" i="104" s="1"/>
  <c r="BC53" i="104" s="1"/>
  <c r="J54" i="104"/>
  <c r="BB54" i="104" s="1"/>
  <c r="BC54" i="104" s="1"/>
  <c r="J55" i="104"/>
  <c r="BB55" i="104" s="1"/>
  <c r="BC55" i="104" s="1"/>
  <c r="J56" i="104"/>
  <c r="BB56" i="104" s="1"/>
  <c r="BC56" i="104" s="1"/>
  <c r="J57" i="104"/>
  <c r="BB57" i="104" s="1"/>
  <c r="BC57" i="104" s="1"/>
  <c r="J60" i="104"/>
  <c r="BB60" i="104" s="1"/>
  <c r="BC60" i="104" s="1"/>
  <c r="J61" i="104"/>
  <c r="BB61" i="104" s="1"/>
  <c r="BC61" i="104" s="1"/>
  <c r="G3" i="131"/>
  <c r="H58" i="104" s="1"/>
  <c r="BD52" i="104" l="1"/>
  <c r="BF52" i="104"/>
  <c r="BD28" i="104"/>
  <c r="BF28" i="104"/>
  <c r="BD57" i="104"/>
  <c r="BF57" i="104"/>
  <c r="BD56" i="104"/>
  <c r="BF56" i="104"/>
  <c r="BD51" i="104"/>
  <c r="BF51" i="104"/>
  <c r="BD55" i="104"/>
  <c r="BF55" i="104"/>
  <c r="BF27" i="104"/>
  <c r="BD27" i="104"/>
  <c r="BD60" i="104"/>
  <c r="BF60" i="104"/>
  <c r="BD54" i="104"/>
  <c r="BF54" i="104"/>
  <c r="BD61" i="104"/>
  <c r="BF61" i="104"/>
  <c r="BD53" i="104"/>
  <c r="BF53" i="104"/>
  <c r="L56" i="104"/>
  <c r="J170" i="104"/>
  <c r="BB170" i="104" s="1"/>
  <c r="BC170" i="104" s="1"/>
  <c r="J113" i="104"/>
  <c r="BB113" i="104" s="1"/>
  <c r="BC113" i="104" s="1"/>
  <c r="J166" i="104"/>
  <c r="BB166" i="104" s="1"/>
  <c r="BC166" i="104" s="1"/>
  <c r="J109" i="104"/>
  <c r="BB109" i="104" s="1"/>
  <c r="BC109" i="104" s="1"/>
  <c r="J175" i="104"/>
  <c r="BB175" i="104" s="1"/>
  <c r="BC175" i="104" s="1"/>
  <c r="J118" i="104"/>
  <c r="BB118" i="104" s="1"/>
  <c r="BC118" i="104" s="1"/>
  <c r="H133" i="104"/>
  <c r="H76" i="104"/>
  <c r="J117" i="104"/>
  <c r="BB117" i="104" s="1"/>
  <c r="BC117" i="104" s="1"/>
  <c r="J174" i="104"/>
  <c r="BB174" i="104" s="1"/>
  <c r="BC174" i="104" s="1"/>
  <c r="J50" i="104"/>
  <c r="BB50" i="104" s="1"/>
  <c r="H164" i="104"/>
  <c r="H107" i="104"/>
  <c r="J142" i="104"/>
  <c r="BB142" i="104" s="1"/>
  <c r="BC142" i="104" s="1"/>
  <c r="J85" i="104"/>
  <c r="BB85" i="104" s="1"/>
  <c r="BC85" i="104" s="1"/>
  <c r="H124" i="104"/>
  <c r="H67" i="104"/>
  <c r="J169" i="104"/>
  <c r="BB169" i="104" s="1"/>
  <c r="BC169" i="104" s="1"/>
  <c r="J112" i="104"/>
  <c r="BB112" i="104" s="1"/>
  <c r="BC112" i="104" s="1"/>
  <c r="J165" i="104"/>
  <c r="BB165" i="104" s="1"/>
  <c r="BC165" i="104" s="1"/>
  <c r="J108" i="104"/>
  <c r="BB108" i="104" s="1"/>
  <c r="BC108" i="104" s="1"/>
  <c r="J141" i="104"/>
  <c r="BB141" i="104" s="1"/>
  <c r="BC141" i="104" s="1"/>
  <c r="J84" i="104"/>
  <c r="BB84" i="104" s="1"/>
  <c r="BC84" i="104" s="1"/>
  <c r="J168" i="104"/>
  <c r="BB168" i="104" s="1"/>
  <c r="BC168" i="104" s="1"/>
  <c r="J111" i="104"/>
  <c r="BB111" i="104" s="1"/>
  <c r="BC111" i="104" s="1"/>
  <c r="J58" i="104"/>
  <c r="BB58" i="104" s="1"/>
  <c r="CY58" i="104" s="1"/>
  <c r="H172" i="104"/>
  <c r="H115" i="104"/>
  <c r="J171" i="104"/>
  <c r="BB171" i="104" s="1"/>
  <c r="BC171" i="104" s="1"/>
  <c r="J114" i="104"/>
  <c r="BB114" i="104" s="1"/>
  <c r="BC114" i="104" s="1"/>
  <c r="J110" i="104"/>
  <c r="BB110" i="104" s="1"/>
  <c r="BC110" i="104" s="1"/>
  <c r="J167" i="104"/>
  <c r="BB167" i="104" s="1"/>
  <c r="BC167" i="104" s="1"/>
  <c r="H121" i="104"/>
  <c r="H64" i="104"/>
  <c r="BD111" i="104" l="1"/>
  <c r="BF111" i="104"/>
  <c r="BD117" i="104"/>
  <c r="BF117" i="104"/>
  <c r="BD170" i="104"/>
  <c r="BF170" i="104"/>
  <c r="BD167" i="104"/>
  <c r="BF167" i="104"/>
  <c r="BD168" i="104"/>
  <c r="BF168" i="104"/>
  <c r="BG60" i="104"/>
  <c r="BE60" i="104"/>
  <c r="BH60" i="104" s="1"/>
  <c r="BG56" i="104"/>
  <c r="BE56" i="104"/>
  <c r="BH56" i="104" s="1"/>
  <c r="BD110" i="104"/>
  <c r="BF110" i="104"/>
  <c r="BF84" i="104"/>
  <c r="BD84" i="104"/>
  <c r="BF85" i="104"/>
  <c r="BD85" i="104"/>
  <c r="BE27" i="104"/>
  <c r="BH27" i="104" s="1"/>
  <c r="BG27" i="104"/>
  <c r="BD114" i="104"/>
  <c r="BF114" i="104"/>
  <c r="BD141" i="104"/>
  <c r="BF141" i="104"/>
  <c r="BD142" i="104"/>
  <c r="BF142" i="104"/>
  <c r="BD118" i="104"/>
  <c r="BF118" i="104"/>
  <c r="BG53" i="104"/>
  <c r="BE53" i="104"/>
  <c r="BH53" i="104" s="1"/>
  <c r="BG57" i="104"/>
  <c r="BE57" i="104"/>
  <c r="BH57" i="104" s="1"/>
  <c r="BD171" i="104"/>
  <c r="BF171" i="104"/>
  <c r="BD108" i="104"/>
  <c r="BF108" i="104"/>
  <c r="BD175" i="104"/>
  <c r="BF175" i="104"/>
  <c r="BF165" i="104"/>
  <c r="BD165" i="104"/>
  <c r="BF109" i="104"/>
  <c r="BD109" i="104"/>
  <c r="BG61" i="104"/>
  <c r="BE61" i="104"/>
  <c r="BH61" i="104" s="1"/>
  <c r="BG55" i="104"/>
  <c r="BE55" i="104"/>
  <c r="BH55" i="104" s="1"/>
  <c r="BG28" i="104"/>
  <c r="BE28" i="104"/>
  <c r="BH28" i="104" s="1"/>
  <c r="BD112" i="104"/>
  <c r="BF112" i="104"/>
  <c r="BD166" i="104"/>
  <c r="BF166" i="104"/>
  <c r="BC58" i="104"/>
  <c r="CZ58" i="104" s="1"/>
  <c r="BD169" i="104"/>
  <c r="BF169" i="104"/>
  <c r="BD174" i="104"/>
  <c r="BF174" i="104"/>
  <c r="BF113" i="104"/>
  <c r="BD113" i="104"/>
  <c r="BG54" i="104"/>
  <c r="BE54" i="104"/>
  <c r="BH54" i="104" s="1"/>
  <c r="BG51" i="104"/>
  <c r="BE51" i="104"/>
  <c r="BH51" i="104" s="1"/>
  <c r="BG52" i="104"/>
  <c r="BE52" i="104"/>
  <c r="BH52" i="104" s="1"/>
  <c r="BC50" i="104"/>
  <c r="K172" i="104"/>
  <c r="BI172" i="104" s="1"/>
  <c r="DF172" i="104" s="1"/>
  <c r="K115" i="104"/>
  <c r="BI115" i="104" s="1"/>
  <c r="DF115" i="104" s="1"/>
  <c r="J172" i="104"/>
  <c r="BB172" i="104" s="1"/>
  <c r="CY172" i="104" s="1"/>
  <c r="J115" i="104"/>
  <c r="BB115" i="104" s="1"/>
  <c r="CY115" i="104" s="1"/>
  <c r="H68" i="104"/>
  <c r="H125" i="104"/>
  <c r="J164" i="104"/>
  <c r="BB164" i="104" s="1"/>
  <c r="J107" i="104"/>
  <c r="BB107" i="104" s="1"/>
  <c r="K171" i="104"/>
  <c r="BI171" i="104" s="1"/>
  <c r="K114" i="104"/>
  <c r="BI114" i="104" s="1"/>
  <c r="L170" i="104"/>
  <c r="L113" i="104"/>
  <c r="L61" i="104"/>
  <c r="L60" i="104"/>
  <c r="L58" i="104"/>
  <c r="L57" i="104"/>
  <c r="L55" i="104"/>
  <c r="L54" i="104"/>
  <c r="L53" i="104"/>
  <c r="L52" i="104"/>
  <c r="L51" i="104"/>
  <c r="L50" i="104"/>
  <c r="L21" i="104"/>
  <c r="L22" i="104"/>
  <c r="L23" i="104"/>
  <c r="L24" i="104"/>
  <c r="L25" i="104"/>
  <c r="L26" i="104"/>
  <c r="AB53" i="104"/>
  <c r="AB55" i="104"/>
  <c r="AB56" i="104"/>
  <c r="AB57" i="104"/>
  <c r="AB19" i="104"/>
  <c r="AB52" i="104"/>
  <c r="AB6" i="104"/>
  <c r="X120" i="104"/>
  <c r="G121" i="104"/>
  <c r="G122" i="104"/>
  <c r="G123" i="104"/>
  <c r="G124" i="104"/>
  <c r="G125" i="104"/>
  <c r="G126" i="104"/>
  <c r="G127" i="104"/>
  <c r="G128" i="104"/>
  <c r="G129" i="104"/>
  <c r="G130" i="104"/>
  <c r="G131" i="104"/>
  <c r="G132" i="104"/>
  <c r="G133" i="104"/>
  <c r="G134" i="104"/>
  <c r="G135" i="104"/>
  <c r="G136" i="104"/>
  <c r="G137" i="104"/>
  <c r="G138" i="104"/>
  <c r="G139" i="104"/>
  <c r="G140" i="104"/>
  <c r="G141" i="104"/>
  <c r="G142" i="104"/>
  <c r="G143" i="104"/>
  <c r="G144" i="104"/>
  <c r="G145" i="104"/>
  <c r="G146" i="104"/>
  <c r="G147" i="104"/>
  <c r="G148" i="104"/>
  <c r="G149" i="104"/>
  <c r="G150" i="104"/>
  <c r="G151" i="104"/>
  <c r="G152" i="104"/>
  <c r="G153" i="104"/>
  <c r="G154" i="104"/>
  <c r="G155" i="104"/>
  <c r="G156" i="104"/>
  <c r="G157" i="104"/>
  <c r="G158" i="104"/>
  <c r="G159" i="104"/>
  <c r="G160" i="104"/>
  <c r="G161" i="104"/>
  <c r="G162" i="104"/>
  <c r="G163" i="104"/>
  <c r="G164" i="104"/>
  <c r="G165" i="104"/>
  <c r="G166" i="104"/>
  <c r="G167" i="104"/>
  <c r="G168" i="104"/>
  <c r="G169" i="104"/>
  <c r="G170" i="104"/>
  <c r="G171" i="104"/>
  <c r="G172" i="104"/>
  <c r="G174" i="104"/>
  <c r="G175" i="104"/>
  <c r="G120" i="104"/>
  <c r="G63" i="104"/>
  <c r="N121" i="104"/>
  <c r="O121" i="104"/>
  <c r="BP121" i="104" s="1"/>
  <c r="DM121" i="104" s="1"/>
  <c r="N122" i="104"/>
  <c r="O122" i="104"/>
  <c r="BP122" i="104" s="1"/>
  <c r="DM122" i="104" s="1"/>
  <c r="N123" i="104"/>
  <c r="O123" i="104"/>
  <c r="BP123" i="104" s="1"/>
  <c r="DM123" i="104" s="1"/>
  <c r="N124" i="104"/>
  <c r="O124" i="104"/>
  <c r="BP124" i="104" s="1"/>
  <c r="DM124" i="104" s="1"/>
  <c r="N125" i="104"/>
  <c r="O125" i="104"/>
  <c r="BP125" i="104" s="1"/>
  <c r="DM125" i="104" s="1"/>
  <c r="N126" i="104"/>
  <c r="O126" i="104"/>
  <c r="BP126" i="104" s="1"/>
  <c r="DM126" i="104" s="1"/>
  <c r="N127" i="104"/>
  <c r="O127" i="104"/>
  <c r="BP127" i="104" s="1"/>
  <c r="DM127" i="104" s="1"/>
  <c r="N128" i="104"/>
  <c r="O128" i="104"/>
  <c r="BP128" i="104" s="1"/>
  <c r="DM128" i="104" s="1"/>
  <c r="N129" i="104"/>
  <c r="O129" i="104"/>
  <c r="BP129" i="104" s="1"/>
  <c r="DM129" i="104" s="1"/>
  <c r="N130" i="104"/>
  <c r="O130" i="104"/>
  <c r="BP130" i="104" s="1"/>
  <c r="DM130" i="104" s="1"/>
  <c r="N131" i="104"/>
  <c r="O131" i="104"/>
  <c r="BP131" i="104" s="1"/>
  <c r="DM131" i="104" s="1"/>
  <c r="N132" i="104"/>
  <c r="O132" i="104"/>
  <c r="BP132" i="104" s="1"/>
  <c r="DM132" i="104" s="1"/>
  <c r="N133" i="104"/>
  <c r="O133" i="104"/>
  <c r="BP133" i="104" s="1"/>
  <c r="N134" i="104"/>
  <c r="O134" i="104"/>
  <c r="BP134" i="104" s="1"/>
  <c r="N135" i="104"/>
  <c r="O135" i="104"/>
  <c r="BP135" i="104" s="1"/>
  <c r="N136" i="104"/>
  <c r="O136" i="104"/>
  <c r="BP136" i="104" s="1"/>
  <c r="N137" i="104"/>
  <c r="O137" i="104"/>
  <c r="BP137" i="104" s="1"/>
  <c r="N138" i="104"/>
  <c r="O138" i="104"/>
  <c r="BP138" i="104" s="1"/>
  <c r="N139" i="104"/>
  <c r="O139" i="104"/>
  <c r="BP139" i="104" s="1"/>
  <c r="N140" i="104"/>
  <c r="O140" i="104"/>
  <c r="BP140" i="104" s="1"/>
  <c r="N141" i="104"/>
  <c r="O141" i="104"/>
  <c r="BP141" i="104" s="1"/>
  <c r="N142" i="104"/>
  <c r="O142" i="104"/>
  <c r="BP142" i="104" s="1"/>
  <c r="N143" i="104"/>
  <c r="O143" i="104"/>
  <c r="BP143" i="104" s="1"/>
  <c r="N144" i="104"/>
  <c r="O144" i="104"/>
  <c r="BP144" i="104" s="1"/>
  <c r="N145" i="104"/>
  <c r="O145" i="104"/>
  <c r="BP145" i="104" s="1"/>
  <c r="DM145" i="104" s="1"/>
  <c r="N146" i="104"/>
  <c r="O146" i="104"/>
  <c r="BP146" i="104" s="1"/>
  <c r="DM146" i="104" s="1"/>
  <c r="N147" i="104"/>
  <c r="O147" i="104"/>
  <c r="BP147" i="104" s="1"/>
  <c r="DM147" i="104" s="1"/>
  <c r="N148" i="104"/>
  <c r="O148" i="104"/>
  <c r="BP148" i="104" s="1"/>
  <c r="DM148" i="104" s="1"/>
  <c r="N149" i="104"/>
  <c r="O149" i="104"/>
  <c r="BP149" i="104" s="1"/>
  <c r="DM149" i="104" s="1"/>
  <c r="N150" i="104"/>
  <c r="O150" i="104"/>
  <c r="BP150" i="104" s="1"/>
  <c r="DM150" i="104" s="1"/>
  <c r="N151" i="104"/>
  <c r="O151" i="104"/>
  <c r="BP151" i="104" s="1"/>
  <c r="N152" i="104"/>
  <c r="O152" i="104"/>
  <c r="BP152" i="104" s="1"/>
  <c r="DM152" i="104" s="1"/>
  <c r="N153" i="104"/>
  <c r="O153" i="104"/>
  <c r="BP153" i="104" s="1"/>
  <c r="DM153" i="104" s="1"/>
  <c r="N154" i="104"/>
  <c r="O154" i="104"/>
  <c r="BP154" i="104" s="1"/>
  <c r="DM154" i="104" s="1"/>
  <c r="N155" i="104"/>
  <c r="O155" i="104"/>
  <c r="BP155" i="104" s="1"/>
  <c r="N156" i="104"/>
  <c r="O156" i="104"/>
  <c r="BP156" i="104" s="1"/>
  <c r="DM156" i="104" s="1"/>
  <c r="N157" i="104"/>
  <c r="O157" i="104"/>
  <c r="BP157" i="104" s="1"/>
  <c r="DM157" i="104" s="1"/>
  <c r="N158" i="104"/>
  <c r="O158" i="104"/>
  <c r="BP158" i="104" s="1"/>
  <c r="DM158" i="104" s="1"/>
  <c r="N159" i="104"/>
  <c r="O159" i="104"/>
  <c r="BP159" i="104" s="1"/>
  <c r="DM159" i="104" s="1"/>
  <c r="N160" i="104"/>
  <c r="O160" i="104"/>
  <c r="BP160" i="104" s="1"/>
  <c r="DM160" i="104" s="1"/>
  <c r="N161" i="104"/>
  <c r="O161" i="104"/>
  <c r="BP161" i="104" s="1"/>
  <c r="DM161" i="104" s="1"/>
  <c r="N162" i="104"/>
  <c r="O162" i="104"/>
  <c r="BP162" i="104" s="1"/>
  <c r="DM162" i="104" s="1"/>
  <c r="N163" i="104"/>
  <c r="O163" i="104"/>
  <c r="BP163" i="104" s="1"/>
  <c r="DM163" i="104" s="1"/>
  <c r="N164" i="104"/>
  <c r="O164" i="104"/>
  <c r="BP164" i="104" s="1"/>
  <c r="N165" i="104"/>
  <c r="O165" i="104"/>
  <c r="BP165" i="104" s="1"/>
  <c r="N166" i="104"/>
  <c r="O166" i="104"/>
  <c r="BP166" i="104" s="1"/>
  <c r="N167" i="104"/>
  <c r="O167" i="104"/>
  <c r="BP167" i="104" s="1"/>
  <c r="N168" i="104"/>
  <c r="O168" i="104"/>
  <c r="BP168" i="104" s="1"/>
  <c r="N169" i="104"/>
  <c r="O169" i="104"/>
  <c r="BP169" i="104" s="1"/>
  <c r="N170" i="104"/>
  <c r="O170" i="104"/>
  <c r="BP170" i="104" s="1"/>
  <c r="N171" i="104"/>
  <c r="O171" i="104"/>
  <c r="BP171" i="104" s="1"/>
  <c r="N172" i="104"/>
  <c r="O172" i="104"/>
  <c r="BP172" i="104" s="1"/>
  <c r="DM172" i="104" s="1"/>
  <c r="N174" i="104"/>
  <c r="O174" i="104"/>
  <c r="BP174" i="104" s="1"/>
  <c r="N175" i="104"/>
  <c r="O175" i="104"/>
  <c r="BP175" i="104" s="1"/>
  <c r="O120" i="104"/>
  <c r="N120" i="104"/>
  <c r="N64" i="104"/>
  <c r="O64" i="104"/>
  <c r="BP64" i="104" s="1"/>
  <c r="DM64" i="104" s="1"/>
  <c r="N65" i="104"/>
  <c r="O65" i="104"/>
  <c r="BP65" i="104" s="1"/>
  <c r="DM65" i="104" s="1"/>
  <c r="N66" i="104"/>
  <c r="O66" i="104"/>
  <c r="BP66" i="104" s="1"/>
  <c r="DM66" i="104" s="1"/>
  <c r="N67" i="104"/>
  <c r="O67" i="104"/>
  <c r="BP67" i="104" s="1"/>
  <c r="DM67" i="104" s="1"/>
  <c r="N68" i="104"/>
  <c r="O68" i="104"/>
  <c r="BP68" i="104" s="1"/>
  <c r="DM68" i="104" s="1"/>
  <c r="N69" i="104"/>
  <c r="O69" i="104"/>
  <c r="BP69" i="104" s="1"/>
  <c r="DM69" i="104" s="1"/>
  <c r="N70" i="104"/>
  <c r="O70" i="104"/>
  <c r="BP70" i="104" s="1"/>
  <c r="DM70" i="104" s="1"/>
  <c r="N71" i="104"/>
  <c r="O71" i="104"/>
  <c r="BP71" i="104" s="1"/>
  <c r="DM71" i="104" s="1"/>
  <c r="N72" i="104"/>
  <c r="O72" i="104"/>
  <c r="BP72" i="104" s="1"/>
  <c r="DM72" i="104" s="1"/>
  <c r="N73" i="104"/>
  <c r="O73" i="104"/>
  <c r="BP73" i="104" s="1"/>
  <c r="DM73" i="104" s="1"/>
  <c r="N74" i="104"/>
  <c r="O74" i="104"/>
  <c r="BP74" i="104" s="1"/>
  <c r="DM74" i="104" s="1"/>
  <c r="N75" i="104"/>
  <c r="O75" i="104"/>
  <c r="BP75" i="104" s="1"/>
  <c r="DM75" i="104" s="1"/>
  <c r="N76" i="104"/>
  <c r="O76" i="104"/>
  <c r="BP76" i="104" s="1"/>
  <c r="BQ76" i="104" s="1"/>
  <c r="N77" i="104"/>
  <c r="O77" i="104"/>
  <c r="BP77" i="104" s="1"/>
  <c r="BQ77" i="104" s="1"/>
  <c r="N78" i="104"/>
  <c r="O78" i="104"/>
  <c r="BP78" i="104" s="1"/>
  <c r="BQ78" i="104" s="1"/>
  <c r="N79" i="104"/>
  <c r="O79" i="104"/>
  <c r="BP79" i="104" s="1"/>
  <c r="BQ79" i="104" s="1"/>
  <c r="N80" i="104"/>
  <c r="O80" i="104"/>
  <c r="BP80" i="104" s="1"/>
  <c r="N81" i="104"/>
  <c r="O81" i="104"/>
  <c r="BP81" i="104" s="1"/>
  <c r="N82" i="104"/>
  <c r="O82" i="104"/>
  <c r="BP82" i="104" s="1"/>
  <c r="N83" i="104"/>
  <c r="O83" i="104"/>
  <c r="BP83" i="104" s="1"/>
  <c r="N84" i="104"/>
  <c r="O84" i="104"/>
  <c r="BP84" i="104" s="1"/>
  <c r="N85" i="104"/>
  <c r="O85" i="104"/>
  <c r="BP85" i="104" s="1"/>
  <c r="N86" i="104"/>
  <c r="O86" i="104"/>
  <c r="BP86" i="104" s="1"/>
  <c r="N87" i="104"/>
  <c r="O87" i="104"/>
  <c r="BP87" i="104" s="1"/>
  <c r="N88" i="104"/>
  <c r="O88" i="104"/>
  <c r="BP88" i="104" s="1"/>
  <c r="DM88" i="104" s="1"/>
  <c r="N89" i="104"/>
  <c r="O89" i="104"/>
  <c r="BP89" i="104" s="1"/>
  <c r="DM89" i="104" s="1"/>
  <c r="N90" i="104"/>
  <c r="O90" i="104"/>
  <c r="BP90" i="104" s="1"/>
  <c r="DM90" i="104" s="1"/>
  <c r="N91" i="104"/>
  <c r="O91" i="104"/>
  <c r="BP91" i="104" s="1"/>
  <c r="DM91" i="104" s="1"/>
  <c r="N92" i="104"/>
  <c r="O92" i="104"/>
  <c r="BP92" i="104" s="1"/>
  <c r="DM92" i="104" s="1"/>
  <c r="N93" i="104"/>
  <c r="O93" i="104"/>
  <c r="BP93" i="104" s="1"/>
  <c r="DM93" i="104" s="1"/>
  <c r="N94" i="104"/>
  <c r="O94" i="104"/>
  <c r="BP94" i="104" s="1"/>
  <c r="N95" i="104"/>
  <c r="O95" i="104"/>
  <c r="BP95" i="104" s="1"/>
  <c r="DM95" i="104" s="1"/>
  <c r="N96" i="104"/>
  <c r="O96" i="104"/>
  <c r="BP96" i="104" s="1"/>
  <c r="DM96" i="104" s="1"/>
  <c r="N97" i="104"/>
  <c r="O97" i="104"/>
  <c r="BP97" i="104" s="1"/>
  <c r="DM97" i="104" s="1"/>
  <c r="N98" i="104"/>
  <c r="O98" i="104"/>
  <c r="BP98" i="104" s="1"/>
  <c r="N99" i="104"/>
  <c r="O99" i="104"/>
  <c r="BP99" i="104" s="1"/>
  <c r="DM99" i="104" s="1"/>
  <c r="N100" i="104"/>
  <c r="O100" i="104"/>
  <c r="BP100" i="104" s="1"/>
  <c r="DM100" i="104" s="1"/>
  <c r="N101" i="104"/>
  <c r="O101" i="104"/>
  <c r="BP101" i="104" s="1"/>
  <c r="DM101" i="104" s="1"/>
  <c r="N102" i="104"/>
  <c r="O102" i="104"/>
  <c r="BP102" i="104" s="1"/>
  <c r="DM102" i="104" s="1"/>
  <c r="N103" i="104"/>
  <c r="O103" i="104"/>
  <c r="BP103" i="104" s="1"/>
  <c r="DM103" i="104" s="1"/>
  <c r="N104" i="104"/>
  <c r="O104" i="104"/>
  <c r="BP104" i="104" s="1"/>
  <c r="DM104" i="104" s="1"/>
  <c r="N105" i="104"/>
  <c r="O105" i="104"/>
  <c r="BP105" i="104" s="1"/>
  <c r="DM105" i="104" s="1"/>
  <c r="N106" i="104"/>
  <c r="O106" i="104"/>
  <c r="BP106" i="104" s="1"/>
  <c r="DM106" i="104" s="1"/>
  <c r="N107" i="104"/>
  <c r="O107" i="104"/>
  <c r="BP107" i="104" s="1"/>
  <c r="N108" i="104"/>
  <c r="O108" i="104"/>
  <c r="BP108" i="104" s="1"/>
  <c r="N109" i="104"/>
  <c r="O109" i="104"/>
  <c r="BP109" i="104" s="1"/>
  <c r="N110" i="104"/>
  <c r="O110" i="104"/>
  <c r="BP110" i="104" s="1"/>
  <c r="N111" i="104"/>
  <c r="O111" i="104"/>
  <c r="BP111" i="104" s="1"/>
  <c r="N112" i="104"/>
  <c r="O112" i="104"/>
  <c r="BP112" i="104" s="1"/>
  <c r="N113" i="104"/>
  <c r="O113" i="104"/>
  <c r="BP113" i="104" s="1"/>
  <c r="N114" i="104"/>
  <c r="O114" i="104"/>
  <c r="BP114" i="104" s="1"/>
  <c r="N115" i="104"/>
  <c r="O115" i="104"/>
  <c r="BP115" i="104" s="1"/>
  <c r="DM115" i="104" s="1"/>
  <c r="N117" i="104"/>
  <c r="O117" i="104"/>
  <c r="BP117" i="104" s="1"/>
  <c r="N118" i="104"/>
  <c r="O118" i="104"/>
  <c r="BP118" i="104" s="1"/>
  <c r="O63"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4" i="104"/>
  <c r="F175" i="104"/>
  <c r="F120" i="104"/>
  <c r="F63" i="104"/>
  <c r="C121" i="104"/>
  <c r="D121" i="104"/>
  <c r="C122" i="104"/>
  <c r="D122" i="104"/>
  <c r="C123" i="104"/>
  <c r="D123" i="104"/>
  <c r="C124" i="104"/>
  <c r="D124" i="104"/>
  <c r="C125" i="104"/>
  <c r="D125" i="104"/>
  <c r="C126" i="104"/>
  <c r="D126" i="104"/>
  <c r="C127" i="104"/>
  <c r="D127" i="104"/>
  <c r="C128" i="104"/>
  <c r="D128" i="104"/>
  <c r="C129" i="104"/>
  <c r="D129" i="104"/>
  <c r="C130" i="104"/>
  <c r="D130" i="104"/>
  <c r="C131" i="104"/>
  <c r="D131" i="104"/>
  <c r="C132" i="104"/>
  <c r="D132" i="104"/>
  <c r="C133" i="104"/>
  <c r="D133" i="104"/>
  <c r="C134" i="104"/>
  <c r="D134" i="104"/>
  <c r="C135" i="104"/>
  <c r="D135" i="104"/>
  <c r="C136" i="104"/>
  <c r="D136" i="104"/>
  <c r="C137" i="104"/>
  <c r="D137" i="104"/>
  <c r="C138" i="104"/>
  <c r="D138" i="104"/>
  <c r="C139" i="104"/>
  <c r="D139" i="104"/>
  <c r="C140" i="104"/>
  <c r="D140" i="104"/>
  <c r="C141" i="104"/>
  <c r="D141" i="104"/>
  <c r="C142" i="104"/>
  <c r="D142" i="104"/>
  <c r="C143" i="104"/>
  <c r="D143" i="104"/>
  <c r="C144" i="104"/>
  <c r="D144" i="104"/>
  <c r="C145" i="104"/>
  <c r="D145" i="104"/>
  <c r="D146" i="104"/>
  <c r="C147" i="104"/>
  <c r="D147" i="104"/>
  <c r="C148" i="104"/>
  <c r="D148" i="104"/>
  <c r="C149" i="104"/>
  <c r="D149" i="104"/>
  <c r="C150" i="104"/>
  <c r="D150" i="104"/>
  <c r="C151" i="104"/>
  <c r="D151" i="104"/>
  <c r="C152" i="104"/>
  <c r="D152" i="104"/>
  <c r="C153" i="104"/>
  <c r="D153" i="104"/>
  <c r="C154" i="104"/>
  <c r="D154" i="104"/>
  <c r="C155" i="104"/>
  <c r="D155" i="104"/>
  <c r="C156" i="104"/>
  <c r="D156" i="104"/>
  <c r="C157" i="104"/>
  <c r="D157" i="104"/>
  <c r="C158" i="104"/>
  <c r="D158" i="104"/>
  <c r="C159" i="104"/>
  <c r="D159" i="104"/>
  <c r="C160" i="104"/>
  <c r="D160" i="104"/>
  <c r="C161" i="104"/>
  <c r="D161" i="104"/>
  <c r="C162" i="104"/>
  <c r="D162" i="104"/>
  <c r="C163" i="104"/>
  <c r="D163" i="104"/>
  <c r="C164" i="104"/>
  <c r="D164" i="104"/>
  <c r="C165" i="104"/>
  <c r="C166" i="104"/>
  <c r="C167" i="104"/>
  <c r="C168" i="104"/>
  <c r="C169" i="104"/>
  <c r="C170" i="104"/>
  <c r="C171" i="104"/>
  <c r="C172" i="104"/>
  <c r="C174" i="104"/>
  <c r="C175" i="104"/>
  <c r="D120" i="104"/>
  <c r="C120" i="104"/>
  <c r="C64" i="104"/>
  <c r="D64" i="104"/>
  <c r="C65" i="104"/>
  <c r="D65" i="104"/>
  <c r="C66" i="104"/>
  <c r="D66" i="104"/>
  <c r="C67" i="104"/>
  <c r="D67" i="104"/>
  <c r="C68" i="104"/>
  <c r="D68" i="104"/>
  <c r="C69" i="104"/>
  <c r="D69" i="104"/>
  <c r="C70" i="104"/>
  <c r="D70" i="104"/>
  <c r="C71" i="104"/>
  <c r="D71" i="104"/>
  <c r="C72" i="104"/>
  <c r="D72" i="104"/>
  <c r="C73" i="104"/>
  <c r="D73" i="104"/>
  <c r="C74" i="104"/>
  <c r="D74" i="104"/>
  <c r="C75" i="104"/>
  <c r="D75" i="104"/>
  <c r="C76" i="104"/>
  <c r="D76" i="104"/>
  <c r="C77" i="104"/>
  <c r="D77" i="104"/>
  <c r="C78" i="104"/>
  <c r="D78" i="104"/>
  <c r="C79" i="104"/>
  <c r="D79" i="104"/>
  <c r="C80" i="104"/>
  <c r="D80" i="104"/>
  <c r="C81" i="104"/>
  <c r="D81" i="104"/>
  <c r="C82" i="104"/>
  <c r="D82" i="104"/>
  <c r="C83" i="104"/>
  <c r="D83" i="104"/>
  <c r="C84" i="104"/>
  <c r="D84" i="104"/>
  <c r="C85" i="104"/>
  <c r="D85" i="104"/>
  <c r="C86" i="104"/>
  <c r="D86" i="104"/>
  <c r="C87" i="104"/>
  <c r="D87" i="104"/>
  <c r="C88" i="104"/>
  <c r="D88" i="104"/>
  <c r="C89" i="104"/>
  <c r="D89" i="104"/>
  <c r="C90" i="104"/>
  <c r="D90" i="104"/>
  <c r="C91" i="104"/>
  <c r="D91" i="104"/>
  <c r="C92" i="104"/>
  <c r="D92" i="104"/>
  <c r="C93" i="104"/>
  <c r="D93" i="104"/>
  <c r="C94" i="104"/>
  <c r="D94" i="104"/>
  <c r="C95" i="104"/>
  <c r="D95" i="104"/>
  <c r="C96" i="104"/>
  <c r="D96" i="104"/>
  <c r="C97" i="104"/>
  <c r="D97" i="104"/>
  <c r="C98" i="104"/>
  <c r="D98" i="104"/>
  <c r="C99" i="104"/>
  <c r="D99" i="104"/>
  <c r="C100" i="104"/>
  <c r="D100" i="104"/>
  <c r="C101" i="104"/>
  <c r="D101" i="104"/>
  <c r="C102" i="104"/>
  <c r="D102" i="104"/>
  <c r="C103" i="104"/>
  <c r="D103" i="104"/>
  <c r="C104" i="104"/>
  <c r="D104" i="104"/>
  <c r="C105" i="104"/>
  <c r="D105" i="104"/>
  <c r="C106" i="104"/>
  <c r="D106" i="104"/>
  <c r="C107" i="104"/>
  <c r="D107" i="104"/>
  <c r="C108" i="104"/>
  <c r="C109" i="104"/>
  <c r="C110" i="104"/>
  <c r="C111" i="104"/>
  <c r="C112" i="104"/>
  <c r="C113" i="104"/>
  <c r="C114" i="104"/>
  <c r="C115" i="104"/>
  <c r="C117" i="104"/>
  <c r="C118" i="104"/>
  <c r="C63" i="104"/>
  <c r="D63" i="104"/>
  <c r="E121" i="104"/>
  <c r="E122" i="104"/>
  <c r="E123" i="104"/>
  <c r="E124" i="104"/>
  <c r="E125" i="104"/>
  <c r="E126" i="104"/>
  <c r="E127" i="104"/>
  <c r="E128" i="104"/>
  <c r="E129" i="104"/>
  <c r="E130" i="104"/>
  <c r="E131" i="104"/>
  <c r="E132" i="104"/>
  <c r="E133" i="104"/>
  <c r="E134" i="104"/>
  <c r="E135" i="104"/>
  <c r="E136" i="104"/>
  <c r="E137" i="104"/>
  <c r="E138" i="104"/>
  <c r="E139" i="104"/>
  <c r="E140" i="104"/>
  <c r="E141" i="104"/>
  <c r="E142" i="104"/>
  <c r="E143" i="104"/>
  <c r="E144" i="104"/>
  <c r="E145" i="104"/>
  <c r="E146" i="104"/>
  <c r="E147" i="104"/>
  <c r="E148" i="104"/>
  <c r="E149" i="104"/>
  <c r="E150" i="104"/>
  <c r="E151" i="104"/>
  <c r="E152" i="104"/>
  <c r="E153" i="104"/>
  <c r="E154" i="104"/>
  <c r="E155" i="104"/>
  <c r="E156" i="104"/>
  <c r="E157" i="104"/>
  <c r="E158" i="104"/>
  <c r="E159" i="104"/>
  <c r="E160" i="104"/>
  <c r="E161" i="104"/>
  <c r="E162" i="104"/>
  <c r="E163" i="104"/>
  <c r="E164" i="104"/>
  <c r="E165" i="104"/>
  <c r="E166" i="104"/>
  <c r="E167" i="104"/>
  <c r="E168" i="104"/>
  <c r="E169" i="104"/>
  <c r="E170" i="104"/>
  <c r="E171" i="104"/>
  <c r="E172" i="104"/>
  <c r="E174" i="104"/>
  <c r="E175" i="104"/>
  <c r="E120" i="104"/>
  <c r="AB54" i="104" l="1"/>
  <c r="AC54" i="104" s="1"/>
  <c r="AD54" i="104" s="1"/>
  <c r="AE54" i="104" s="1"/>
  <c r="BQ113" i="104"/>
  <c r="BR113" i="104" s="1"/>
  <c r="BS113" i="104" s="1"/>
  <c r="BT113" i="104" s="1"/>
  <c r="BU113" i="104" s="1"/>
  <c r="BV113" i="104" s="1"/>
  <c r="BQ169" i="104"/>
  <c r="BR169" i="104" s="1"/>
  <c r="BS169" i="104" s="1"/>
  <c r="BT169" i="104" s="1"/>
  <c r="BU169" i="104" s="1"/>
  <c r="BV169" i="104" s="1"/>
  <c r="BQ137" i="104"/>
  <c r="BR137" i="104" s="1"/>
  <c r="BS137" i="104" s="1"/>
  <c r="BT137" i="104" s="1"/>
  <c r="BU137" i="104" s="1"/>
  <c r="BV137" i="104" s="1"/>
  <c r="BQ101" i="104"/>
  <c r="DN101" i="104" s="1"/>
  <c r="BQ157" i="104"/>
  <c r="DN157" i="104" s="1"/>
  <c r="BQ117" i="104"/>
  <c r="BR117" i="104" s="1"/>
  <c r="BS117" i="104" s="1"/>
  <c r="BT117" i="104" s="1"/>
  <c r="BU117" i="104" s="1"/>
  <c r="BV117" i="104" s="1"/>
  <c r="BQ72" i="104"/>
  <c r="DN72" i="104" s="1"/>
  <c r="BQ136" i="104"/>
  <c r="BR136" i="104" s="1"/>
  <c r="BS136" i="104" s="1"/>
  <c r="BT136" i="104" s="1"/>
  <c r="BU136" i="104" s="1"/>
  <c r="BV136" i="104" s="1"/>
  <c r="BQ118" i="104"/>
  <c r="BR118" i="104" s="1"/>
  <c r="BS118" i="104" s="1"/>
  <c r="BT118" i="104" s="1"/>
  <c r="BU118" i="104" s="1"/>
  <c r="BV118" i="104" s="1"/>
  <c r="BQ97" i="104"/>
  <c r="DN97" i="104" s="1"/>
  <c r="BQ73" i="104"/>
  <c r="DN73" i="104" s="1"/>
  <c r="BQ161" i="104"/>
  <c r="DN161" i="104" s="1"/>
  <c r="BQ141" i="104"/>
  <c r="BR141" i="104" s="1"/>
  <c r="BS141" i="104" s="1"/>
  <c r="BT141" i="104" s="1"/>
  <c r="BU141" i="104" s="1"/>
  <c r="BV141" i="104" s="1"/>
  <c r="BQ125" i="104"/>
  <c r="DN125" i="104" s="1"/>
  <c r="BQ104" i="104"/>
  <c r="DN104" i="104" s="1"/>
  <c r="BQ84" i="104"/>
  <c r="BR84" i="104" s="1"/>
  <c r="BS84" i="104" s="1"/>
  <c r="BT84" i="104" s="1"/>
  <c r="BU84" i="104" s="1"/>
  <c r="BV84" i="104" s="1"/>
  <c r="BQ64" i="104"/>
  <c r="DN64" i="104" s="1"/>
  <c r="BQ168" i="104"/>
  <c r="BR168" i="104" s="1"/>
  <c r="BS168" i="104" s="1"/>
  <c r="BT168" i="104" s="1"/>
  <c r="BU168" i="104" s="1"/>
  <c r="BV168" i="104" s="1"/>
  <c r="BQ156" i="104"/>
  <c r="DN156" i="104" s="1"/>
  <c r="BQ140" i="104"/>
  <c r="BR140" i="104" s="1"/>
  <c r="BS140" i="104" s="1"/>
  <c r="BT140" i="104" s="1"/>
  <c r="BU140" i="104" s="1"/>
  <c r="BV140" i="104" s="1"/>
  <c r="BQ105" i="104"/>
  <c r="DN105" i="104" s="1"/>
  <c r="BQ81" i="104"/>
  <c r="BR81" i="104" s="1"/>
  <c r="BS81" i="104" s="1"/>
  <c r="BT81" i="104" s="1"/>
  <c r="BU81" i="104" s="1"/>
  <c r="BV81" i="104" s="1"/>
  <c r="BQ174" i="104"/>
  <c r="BR174" i="104" s="1"/>
  <c r="BS174" i="104" s="1"/>
  <c r="BT174" i="104" s="1"/>
  <c r="BU174" i="104" s="1"/>
  <c r="BV174" i="104" s="1"/>
  <c r="BQ149" i="104"/>
  <c r="DN149" i="104" s="1"/>
  <c r="BQ129" i="104"/>
  <c r="DN129" i="104" s="1"/>
  <c r="BQ100" i="104"/>
  <c r="DN100" i="104" s="1"/>
  <c r="BQ164" i="104"/>
  <c r="BR164" i="104" s="1"/>
  <c r="BS164" i="104" s="1"/>
  <c r="BT164" i="104" s="1"/>
  <c r="BU164" i="104" s="1"/>
  <c r="BV164" i="104" s="1"/>
  <c r="BQ152" i="104"/>
  <c r="DN152" i="104" s="1"/>
  <c r="BQ132" i="104"/>
  <c r="DN132" i="104" s="1"/>
  <c r="BQ115" i="104"/>
  <c r="DN115" i="104" s="1"/>
  <c r="BQ111" i="104"/>
  <c r="BR111" i="104" s="1"/>
  <c r="BS111" i="104" s="1"/>
  <c r="BT111" i="104" s="1"/>
  <c r="BU111" i="104" s="1"/>
  <c r="BV111" i="104" s="1"/>
  <c r="BQ107" i="104"/>
  <c r="BR107" i="104" s="1"/>
  <c r="BS107" i="104" s="1"/>
  <c r="BT107" i="104" s="1"/>
  <c r="BU107" i="104" s="1"/>
  <c r="BV107" i="104" s="1"/>
  <c r="BQ103" i="104"/>
  <c r="DN103" i="104" s="1"/>
  <c r="BQ99" i="104"/>
  <c r="DN99" i="104" s="1"/>
  <c r="BQ95" i="104"/>
  <c r="DN95" i="104" s="1"/>
  <c r="BQ91" i="104"/>
  <c r="DN91" i="104" s="1"/>
  <c r="BQ87" i="104"/>
  <c r="BR87" i="104" s="1"/>
  <c r="BS87" i="104" s="1"/>
  <c r="BT87" i="104" s="1"/>
  <c r="BU87" i="104" s="1"/>
  <c r="BV87" i="104" s="1"/>
  <c r="BQ83" i="104"/>
  <c r="BR83" i="104" s="1"/>
  <c r="BS83" i="104" s="1"/>
  <c r="BT83" i="104" s="1"/>
  <c r="BU83" i="104" s="1"/>
  <c r="BV83" i="104" s="1"/>
  <c r="BQ75" i="104"/>
  <c r="DN75" i="104" s="1"/>
  <c r="BQ71" i="104"/>
  <c r="DN71" i="104" s="1"/>
  <c r="BQ67" i="104"/>
  <c r="DN67" i="104" s="1"/>
  <c r="BQ171" i="104"/>
  <c r="BR171" i="104" s="1"/>
  <c r="BS171" i="104" s="1"/>
  <c r="BT171" i="104" s="1"/>
  <c r="BU171" i="104" s="1"/>
  <c r="BV171" i="104" s="1"/>
  <c r="BQ167" i="104"/>
  <c r="BR167" i="104" s="1"/>
  <c r="BS167" i="104" s="1"/>
  <c r="BT167" i="104" s="1"/>
  <c r="BU167" i="104" s="1"/>
  <c r="BV167" i="104" s="1"/>
  <c r="BQ163" i="104"/>
  <c r="DN163" i="104" s="1"/>
  <c r="BQ159" i="104"/>
  <c r="DN159" i="104" s="1"/>
  <c r="BQ155" i="104"/>
  <c r="BR155" i="104" s="1"/>
  <c r="BS155" i="104" s="1"/>
  <c r="BT155" i="104" s="1"/>
  <c r="BU155" i="104" s="1"/>
  <c r="BV155" i="104" s="1"/>
  <c r="BQ151" i="104"/>
  <c r="BR151" i="104" s="1"/>
  <c r="BS151" i="104" s="1"/>
  <c r="BT151" i="104" s="1"/>
  <c r="BU151" i="104" s="1"/>
  <c r="BV151" i="104" s="1"/>
  <c r="BQ147" i="104"/>
  <c r="DN147" i="104" s="1"/>
  <c r="BQ143" i="104"/>
  <c r="BR143" i="104" s="1"/>
  <c r="BS143" i="104" s="1"/>
  <c r="BT143" i="104" s="1"/>
  <c r="BU143" i="104" s="1"/>
  <c r="BV143" i="104" s="1"/>
  <c r="BQ139" i="104"/>
  <c r="BR139" i="104" s="1"/>
  <c r="BS139" i="104" s="1"/>
  <c r="BT139" i="104" s="1"/>
  <c r="BU139" i="104" s="1"/>
  <c r="BV139" i="104" s="1"/>
  <c r="BQ135" i="104"/>
  <c r="BR135" i="104" s="1"/>
  <c r="BS135" i="104" s="1"/>
  <c r="BT135" i="104" s="1"/>
  <c r="BU135" i="104" s="1"/>
  <c r="BV135" i="104" s="1"/>
  <c r="BQ131" i="104"/>
  <c r="DN131" i="104" s="1"/>
  <c r="BQ127" i="104"/>
  <c r="DN127" i="104" s="1"/>
  <c r="BQ123" i="104"/>
  <c r="DN123" i="104" s="1"/>
  <c r="BQ89" i="104"/>
  <c r="DN89" i="104" s="1"/>
  <c r="BQ165" i="104"/>
  <c r="BR165" i="104" s="1"/>
  <c r="BS165" i="104" s="1"/>
  <c r="BT165" i="104" s="1"/>
  <c r="BU165" i="104" s="1"/>
  <c r="BV165" i="104" s="1"/>
  <c r="BQ92" i="104"/>
  <c r="DN92" i="104" s="1"/>
  <c r="BQ93" i="104"/>
  <c r="DN93" i="104" s="1"/>
  <c r="BQ69" i="104"/>
  <c r="DN69" i="104" s="1"/>
  <c r="BQ145" i="104"/>
  <c r="DN145" i="104" s="1"/>
  <c r="BQ121" i="104"/>
  <c r="DN121" i="104" s="1"/>
  <c r="BQ112" i="104"/>
  <c r="BR112" i="104" s="1"/>
  <c r="BS112" i="104" s="1"/>
  <c r="BT112" i="104" s="1"/>
  <c r="BU112" i="104" s="1"/>
  <c r="BV112" i="104" s="1"/>
  <c r="BQ96" i="104"/>
  <c r="DN96" i="104" s="1"/>
  <c r="BQ80" i="104"/>
  <c r="BR80" i="104" s="1"/>
  <c r="BS80" i="104" s="1"/>
  <c r="BT80" i="104" s="1"/>
  <c r="BU80" i="104" s="1"/>
  <c r="BV80" i="104" s="1"/>
  <c r="BQ172" i="104"/>
  <c r="DN172" i="104" s="1"/>
  <c r="BQ148" i="104"/>
  <c r="DN148" i="104" s="1"/>
  <c r="BQ128" i="104"/>
  <c r="DN128" i="104" s="1"/>
  <c r="BQ114" i="104"/>
  <c r="BR114" i="104" s="1"/>
  <c r="BS114" i="104" s="1"/>
  <c r="BT114" i="104" s="1"/>
  <c r="BU114" i="104" s="1"/>
  <c r="BV114" i="104" s="1"/>
  <c r="BQ110" i="104"/>
  <c r="BR110" i="104" s="1"/>
  <c r="BS110" i="104" s="1"/>
  <c r="BT110" i="104" s="1"/>
  <c r="BU110" i="104" s="1"/>
  <c r="BV110" i="104" s="1"/>
  <c r="BQ106" i="104"/>
  <c r="DN106" i="104" s="1"/>
  <c r="BQ102" i="104"/>
  <c r="DN102" i="104" s="1"/>
  <c r="BQ98" i="104"/>
  <c r="BR98" i="104" s="1"/>
  <c r="BS98" i="104" s="1"/>
  <c r="BT98" i="104" s="1"/>
  <c r="BU98" i="104" s="1"/>
  <c r="BV98" i="104" s="1"/>
  <c r="BQ94" i="104"/>
  <c r="BR94" i="104" s="1"/>
  <c r="BS94" i="104" s="1"/>
  <c r="BT94" i="104" s="1"/>
  <c r="BU94" i="104" s="1"/>
  <c r="BV94" i="104" s="1"/>
  <c r="BQ90" i="104"/>
  <c r="DN90" i="104" s="1"/>
  <c r="BQ86" i="104"/>
  <c r="BR86" i="104" s="1"/>
  <c r="BS86" i="104" s="1"/>
  <c r="BT86" i="104" s="1"/>
  <c r="BU86" i="104" s="1"/>
  <c r="BV86" i="104" s="1"/>
  <c r="BQ82" i="104"/>
  <c r="BR82" i="104" s="1"/>
  <c r="BS82" i="104" s="1"/>
  <c r="BT82" i="104" s="1"/>
  <c r="BU82" i="104" s="1"/>
  <c r="BV82" i="104" s="1"/>
  <c r="BQ74" i="104"/>
  <c r="DN74" i="104" s="1"/>
  <c r="BQ70" i="104"/>
  <c r="DN70" i="104" s="1"/>
  <c r="BQ66" i="104"/>
  <c r="DN66" i="104" s="1"/>
  <c r="BQ175" i="104"/>
  <c r="BR175" i="104" s="1"/>
  <c r="BS175" i="104" s="1"/>
  <c r="BT175" i="104" s="1"/>
  <c r="BU175" i="104" s="1"/>
  <c r="BV175" i="104" s="1"/>
  <c r="BQ170" i="104"/>
  <c r="BR170" i="104" s="1"/>
  <c r="BS170" i="104" s="1"/>
  <c r="BT170" i="104" s="1"/>
  <c r="BU170" i="104" s="1"/>
  <c r="BV170" i="104" s="1"/>
  <c r="BQ166" i="104"/>
  <c r="BR166" i="104" s="1"/>
  <c r="BS166" i="104" s="1"/>
  <c r="BT166" i="104" s="1"/>
  <c r="BU166" i="104" s="1"/>
  <c r="BV166" i="104" s="1"/>
  <c r="BQ162" i="104"/>
  <c r="DN162" i="104" s="1"/>
  <c r="BQ158" i="104"/>
  <c r="DN158" i="104" s="1"/>
  <c r="BQ154" i="104"/>
  <c r="DN154" i="104" s="1"/>
  <c r="BQ150" i="104"/>
  <c r="DN150" i="104" s="1"/>
  <c r="BQ146" i="104"/>
  <c r="DN146" i="104" s="1"/>
  <c r="BQ142" i="104"/>
  <c r="BR142" i="104" s="1"/>
  <c r="BS142" i="104" s="1"/>
  <c r="BT142" i="104" s="1"/>
  <c r="BU142" i="104" s="1"/>
  <c r="BV142" i="104" s="1"/>
  <c r="BQ138" i="104"/>
  <c r="BR138" i="104" s="1"/>
  <c r="BS138" i="104" s="1"/>
  <c r="BT138" i="104" s="1"/>
  <c r="BU138" i="104" s="1"/>
  <c r="BV138" i="104" s="1"/>
  <c r="BQ134" i="104"/>
  <c r="BR134" i="104" s="1"/>
  <c r="BS134" i="104" s="1"/>
  <c r="BT134" i="104" s="1"/>
  <c r="BU134" i="104" s="1"/>
  <c r="BV134" i="104" s="1"/>
  <c r="BQ130" i="104"/>
  <c r="DN130" i="104" s="1"/>
  <c r="BQ126" i="104"/>
  <c r="DN126" i="104" s="1"/>
  <c r="BQ122" i="104"/>
  <c r="DN122" i="104" s="1"/>
  <c r="BQ109" i="104"/>
  <c r="BR109" i="104" s="1"/>
  <c r="BS109" i="104" s="1"/>
  <c r="BT109" i="104" s="1"/>
  <c r="BU109" i="104" s="1"/>
  <c r="BV109" i="104" s="1"/>
  <c r="BQ85" i="104"/>
  <c r="BR85" i="104" s="1"/>
  <c r="BS85" i="104" s="1"/>
  <c r="BT85" i="104" s="1"/>
  <c r="BU85" i="104" s="1"/>
  <c r="BV85" i="104" s="1"/>
  <c r="BQ65" i="104"/>
  <c r="DN65" i="104" s="1"/>
  <c r="BQ153" i="104"/>
  <c r="DN153" i="104" s="1"/>
  <c r="BQ133" i="104"/>
  <c r="BR133" i="104" s="1"/>
  <c r="BS133" i="104" s="1"/>
  <c r="BT133" i="104" s="1"/>
  <c r="BU133" i="104" s="1"/>
  <c r="BV133" i="104" s="1"/>
  <c r="BQ108" i="104"/>
  <c r="BR108" i="104" s="1"/>
  <c r="BS108" i="104" s="1"/>
  <c r="BT108" i="104" s="1"/>
  <c r="BU108" i="104" s="1"/>
  <c r="BV108" i="104" s="1"/>
  <c r="BQ88" i="104"/>
  <c r="DN88" i="104" s="1"/>
  <c r="BQ68" i="104"/>
  <c r="DN68" i="104" s="1"/>
  <c r="BQ160" i="104"/>
  <c r="DN160" i="104" s="1"/>
  <c r="BQ144" i="104"/>
  <c r="BR144" i="104" s="1"/>
  <c r="BS144" i="104" s="1"/>
  <c r="BT144" i="104" s="1"/>
  <c r="BU144" i="104" s="1"/>
  <c r="BV144" i="104" s="1"/>
  <c r="BQ124" i="104"/>
  <c r="DN124" i="104" s="1"/>
  <c r="BD58" i="104"/>
  <c r="DA58" i="104" s="1"/>
  <c r="BF58" i="104"/>
  <c r="DC58" i="104" s="1"/>
  <c r="BE175" i="104"/>
  <c r="BH175" i="104" s="1"/>
  <c r="BG175" i="104"/>
  <c r="BE114" i="104"/>
  <c r="BH114" i="104" s="1"/>
  <c r="BG114" i="104"/>
  <c r="BE110" i="104"/>
  <c r="BH110" i="104" s="1"/>
  <c r="BG110" i="104"/>
  <c r="BE167" i="104"/>
  <c r="BH167" i="104" s="1"/>
  <c r="BG167" i="104"/>
  <c r="BE113" i="104"/>
  <c r="BH113" i="104" s="1"/>
  <c r="BG113" i="104"/>
  <c r="BE166" i="104"/>
  <c r="BH166" i="104" s="1"/>
  <c r="BG166" i="104"/>
  <c r="BE108" i="104"/>
  <c r="BH108" i="104" s="1"/>
  <c r="BG108" i="104"/>
  <c r="BE118" i="104"/>
  <c r="BH118" i="104" s="1"/>
  <c r="BG118" i="104"/>
  <c r="BG170" i="104"/>
  <c r="BE170" i="104"/>
  <c r="BH170" i="104" s="1"/>
  <c r="BG109" i="104"/>
  <c r="BE109" i="104"/>
  <c r="BH109" i="104" s="1"/>
  <c r="BG85" i="104"/>
  <c r="BE85" i="104"/>
  <c r="BH85" i="104" s="1"/>
  <c r="BG174" i="104"/>
  <c r="BE174" i="104"/>
  <c r="BH174" i="104" s="1"/>
  <c r="BG112" i="104"/>
  <c r="BE112" i="104"/>
  <c r="BH112" i="104" s="1"/>
  <c r="BE171" i="104"/>
  <c r="BH171" i="104" s="1"/>
  <c r="BG171" i="104"/>
  <c r="BE142" i="104"/>
  <c r="BH142" i="104" s="1"/>
  <c r="BG142" i="104"/>
  <c r="BE117" i="104"/>
  <c r="BH117" i="104" s="1"/>
  <c r="BG117" i="104"/>
  <c r="BC115" i="104"/>
  <c r="CZ115" i="104" s="1"/>
  <c r="BG165" i="104"/>
  <c r="BE165" i="104"/>
  <c r="BH165" i="104" s="1"/>
  <c r="BG84" i="104"/>
  <c r="BE84" i="104"/>
  <c r="BH84" i="104" s="1"/>
  <c r="BC172" i="104"/>
  <c r="CZ172" i="104" s="1"/>
  <c r="BG169" i="104"/>
  <c r="BE169" i="104"/>
  <c r="BH169" i="104" s="1"/>
  <c r="BE141" i="104"/>
  <c r="BH141" i="104" s="1"/>
  <c r="BG141" i="104"/>
  <c r="BE168" i="104"/>
  <c r="BH168" i="104" s="1"/>
  <c r="BG168" i="104"/>
  <c r="BE111" i="104"/>
  <c r="BH111" i="104" s="1"/>
  <c r="BG111" i="104"/>
  <c r="BJ114" i="104"/>
  <c r="BJ171" i="104"/>
  <c r="BJ172" i="104"/>
  <c r="DG172" i="104" s="1"/>
  <c r="BC107" i="104"/>
  <c r="BJ115" i="104"/>
  <c r="DG115" i="104" s="1"/>
  <c r="BC164" i="104"/>
  <c r="BD50" i="104"/>
  <c r="BF50" i="104"/>
  <c r="L127" i="104"/>
  <c r="L70" i="104"/>
  <c r="L138" i="104"/>
  <c r="L81" i="104"/>
  <c r="L171" i="104"/>
  <c r="L114" i="104"/>
  <c r="L132" i="104"/>
  <c r="L75" i="104"/>
  <c r="L166" i="104"/>
  <c r="L109" i="104"/>
  <c r="L126" i="104"/>
  <c r="L69" i="104"/>
  <c r="L137" i="104"/>
  <c r="L80" i="104"/>
  <c r="L131" i="104"/>
  <c r="L74" i="104"/>
  <c r="L167" i="104"/>
  <c r="L110" i="104"/>
  <c r="L172" i="104"/>
  <c r="L115" i="104"/>
  <c r="L72" i="104"/>
  <c r="L129" i="104"/>
  <c r="L140" i="104"/>
  <c r="L83" i="104"/>
  <c r="L136" i="104"/>
  <c r="L79" i="104"/>
  <c r="L164" i="104"/>
  <c r="L107" i="104"/>
  <c r="L168" i="104"/>
  <c r="L111" i="104"/>
  <c r="L174" i="104"/>
  <c r="L117" i="104"/>
  <c r="L128" i="104"/>
  <c r="L71" i="104"/>
  <c r="L139" i="104"/>
  <c r="L82" i="104"/>
  <c r="L135" i="104"/>
  <c r="L78" i="104"/>
  <c r="L108" i="104"/>
  <c r="L165" i="104"/>
  <c r="L169" i="104"/>
  <c r="L112" i="104"/>
  <c r="L118" i="104"/>
  <c r="L175" i="104"/>
  <c r="Z120" i="104"/>
  <c r="Z63" i="104"/>
  <c r="X175" i="104"/>
  <c r="X118" i="104"/>
  <c r="Z172" i="104"/>
  <c r="Z115" i="104"/>
  <c r="Y171" i="104"/>
  <c r="Y114" i="104"/>
  <c r="X170" i="104"/>
  <c r="X113" i="104"/>
  <c r="Z168" i="104"/>
  <c r="Z111" i="104"/>
  <c r="Y167" i="104"/>
  <c r="Y110" i="104"/>
  <c r="X166" i="104"/>
  <c r="X109" i="104"/>
  <c r="Z164" i="104"/>
  <c r="Z107" i="104"/>
  <c r="Y163" i="104"/>
  <c r="Y106" i="104"/>
  <c r="X162" i="104"/>
  <c r="X105" i="104"/>
  <c r="Z160" i="104"/>
  <c r="Z103" i="104"/>
  <c r="Y159" i="104"/>
  <c r="Y102" i="104"/>
  <c r="X158" i="104"/>
  <c r="X101" i="104"/>
  <c r="Z156" i="104"/>
  <c r="Z99" i="104"/>
  <c r="Y155" i="104"/>
  <c r="Y98" i="104"/>
  <c r="X154" i="104"/>
  <c r="X97" i="104"/>
  <c r="Z152" i="104"/>
  <c r="Z95" i="104"/>
  <c r="Y151" i="104"/>
  <c r="Y94" i="104"/>
  <c r="X150" i="104"/>
  <c r="X93" i="104"/>
  <c r="Z148" i="104"/>
  <c r="Z91" i="104"/>
  <c r="Y147" i="104"/>
  <c r="Y90" i="104"/>
  <c r="X146" i="104"/>
  <c r="X89" i="104"/>
  <c r="Z144" i="104"/>
  <c r="Z87" i="104"/>
  <c r="Y143" i="104"/>
  <c r="Y86" i="104"/>
  <c r="X142" i="104"/>
  <c r="X85" i="104"/>
  <c r="Z140" i="104"/>
  <c r="Z83" i="104"/>
  <c r="Y139" i="104"/>
  <c r="Y82" i="104"/>
  <c r="X138" i="104"/>
  <c r="X81" i="104"/>
  <c r="Z136" i="104"/>
  <c r="Z79" i="104"/>
  <c r="Y135" i="104"/>
  <c r="Y78" i="104"/>
  <c r="X134" i="104"/>
  <c r="X77" i="104"/>
  <c r="Z132" i="104"/>
  <c r="Z75" i="104"/>
  <c r="Y131" i="104"/>
  <c r="Y74" i="104"/>
  <c r="X130" i="104"/>
  <c r="X73" i="104"/>
  <c r="Z128" i="104"/>
  <c r="Z71" i="104"/>
  <c r="Y127" i="104"/>
  <c r="Y70" i="104"/>
  <c r="X126" i="104"/>
  <c r="X69" i="104"/>
  <c r="Z124" i="104"/>
  <c r="Z67" i="104"/>
  <c r="Y123" i="104"/>
  <c r="Y66" i="104"/>
  <c r="X122" i="104"/>
  <c r="X65" i="104"/>
  <c r="AA120" i="104"/>
  <c r="AA63" i="104"/>
  <c r="AA171" i="104"/>
  <c r="AA114" i="104"/>
  <c r="AA167" i="104"/>
  <c r="AA110" i="104"/>
  <c r="AA163" i="104"/>
  <c r="AA106" i="104"/>
  <c r="AA159" i="104"/>
  <c r="AA102" i="104"/>
  <c r="AA155" i="104"/>
  <c r="AA98" i="104"/>
  <c r="AA151" i="104"/>
  <c r="AA94" i="104"/>
  <c r="AA147" i="104"/>
  <c r="AA90" i="104"/>
  <c r="AA142" i="104"/>
  <c r="AA85" i="104"/>
  <c r="AA138" i="104"/>
  <c r="AA81" i="104"/>
  <c r="AA134" i="104"/>
  <c r="AA77" i="104"/>
  <c r="AA130" i="104"/>
  <c r="AA73" i="104"/>
  <c r="AA126" i="104"/>
  <c r="AA69" i="104"/>
  <c r="AA122" i="104"/>
  <c r="AA65" i="104"/>
  <c r="Y120" i="104"/>
  <c r="Y63" i="104"/>
  <c r="Z174" i="104"/>
  <c r="Z117" i="104"/>
  <c r="Y172" i="104"/>
  <c r="Y115" i="104"/>
  <c r="X171" i="104"/>
  <c r="X114" i="104"/>
  <c r="Z169" i="104"/>
  <c r="Z112" i="104"/>
  <c r="Y168" i="104"/>
  <c r="Y111" i="104"/>
  <c r="X167" i="104"/>
  <c r="X110" i="104"/>
  <c r="Z165" i="104"/>
  <c r="Z108" i="104"/>
  <c r="Y164" i="104"/>
  <c r="Y107" i="104"/>
  <c r="X163" i="104"/>
  <c r="X106" i="104"/>
  <c r="Z161" i="104"/>
  <c r="Z104" i="104"/>
  <c r="Y160" i="104"/>
  <c r="Y103" i="104"/>
  <c r="X159" i="104"/>
  <c r="X102" i="104"/>
  <c r="Z157" i="104"/>
  <c r="Z100" i="104"/>
  <c r="Y156" i="104"/>
  <c r="Y99" i="104"/>
  <c r="X155" i="104"/>
  <c r="X98" i="104"/>
  <c r="Z153" i="104"/>
  <c r="Z96" i="104"/>
  <c r="Y152" i="104"/>
  <c r="Y95" i="104"/>
  <c r="X151" i="104"/>
  <c r="X94" i="104"/>
  <c r="Z149" i="104"/>
  <c r="Z92" i="104"/>
  <c r="Y148" i="104"/>
  <c r="Y91" i="104"/>
  <c r="X147" i="104"/>
  <c r="X90" i="104"/>
  <c r="Z145" i="104"/>
  <c r="Z88" i="104"/>
  <c r="Y144" i="104"/>
  <c r="Y87" i="104"/>
  <c r="X143" i="104"/>
  <c r="X86" i="104"/>
  <c r="Z141" i="104"/>
  <c r="Z84" i="104"/>
  <c r="Y140" i="104"/>
  <c r="Y83" i="104"/>
  <c r="X139" i="104"/>
  <c r="X82" i="104"/>
  <c r="Z137" i="104"/>
  <c r="Z80" i="104"/>
  <c r="Y136" i="104"/>
  <c r="Y79" i="104"/>
  <c r="X135" i="104"/>
  <c r="X78" i="104"/>
  <c r="Z133" i="104"/>
  <c r="Z76" i="104"/>
  <c r="Y132" i="104"/>
  <c r="Y75" i="104"/>
  <c r="X131" i="104"/>
  <c r="X74" i="104"/>
  <c r="Z129" i="104"/>
  <c r="Z72" i="104"/>
  <c r="Y128" i="104"/>
  <c r="Y71" i="104"/>
  <c r="X127" i="104"/>
  <c r="X70" i="104"/>
  <c r="Z125" i="104"/>
  <c r="Z68" i="104"/>
  <c r="Y124" i="104"/>
  <c r="Y67" i="104"/>
  <c r="X123" i="104"/>
  <c r="X66" i="104"/>
  <c r="Z121" i="104"/>
  <c r="Z64" i="104"/>
  <c r="AA175" i="104"/>
  <c r="AA118" i="104"/>
  <c r="AA170" i="104"/>
  <c r="AA113" i="104"/>
  <c r="AA166" i="104"/>
  <c r="AA109" i="104"/>
  <c r="AA162" i="104"/>
  <c r="AA105" i="104"/>
  <c r="AA158" i="104"/>
  <c r="AA101" i="104"/>
  <c r="AA154" i="104"/>
  <c r="AA97" i="104"/>
  <c r="AA150" i="104"/>
  <c r="AA93" i="104"/>
  <c r="AA146" i="104"/>
  <c r="AA89" i="104"/>
  <c r="AA84" i="104"/>
  <c r="AA141" i="104"/>
  <c r="AA80" i="104"/>
  <c r="AA137" i="104"/>
  <c r="AA76" i="104"/>
  <c r="AA133" i="104"/>
  <c r="AA72" i="104"/>
  <c r="AA129" i="104"/>
  <c r="AA68" i="104"/>
  <c r="AA125" i="104"/>
  <c r="AA121" i="104"/>
  <c r="AA64" i="104"/>
  <c r="Z175" i="104"/>
  <c r="Z118" i="104"/>
  <c r="Y174" i="104"/>
  <c r="Y117" i="104"/>
  <c r="X172" i="104"/>
  <c r="X115" i="104"/>
  <c r="Z170" i="104"/>
  <c r="Z113" i="104"/>
  <c r="Y169" i="104"/>
  <c r="Y112" i="104"/>
  <c r="X168" i="104"/>
  <c r="X111" i="104"/>
  <c r="Z166" i="104"/>
  <c r="Z109" i="104"/>
  <c r="Y165" i="104"/>
  <c r="Y108" i="104"/>
  <c r="X164" i="104"/>
  <c r="X107" i="104"/>
  <c r="Z162" i="104"/>
  <c r="Z105" i="104"/>
  <c r="Y161" i="104"/>
  <c r="Y104" i="104"/>
  <c r="X160" i="104"/>
  <c r="X103" i="104"/>
  <c r="Z158" i="104"/>
  <c r="Z101" i="104"/>
  <c r="Y157" i="104"/>
  <c r="Y100" i="104"/>
  <c r="X156" i="104"/>
  <c r="X99" i="104"/>
  <c r="Z154" i="104"/>
  <c r="Z97" i="104"/>
  <c r="Y153" i="104"/>
  <c r="Y96" i="104"/>
  <c r="X152" i="104"/>
  <c r="X95" i="104"/>
  <c r="Z150" i="104"/>
  <c r="Z93" i="104"/>
  <c r="Y149" i="104"/>
  <c r="Y92" i="104"/>
  <c r="X148" i="104"/>
  <c r="X91" i="104"/>
  <c r="Z146" i="104"/>
  <c r="Z89" i="104"/>
  <c r="Y145" i="104"/>
  <c r="Y88" i="104"/>
  <c r="X144" i="104"/>
  <c r="X87" i="104"/>
  <c r="Z142" i="104"/>
  <c r="Z85" i="104"/>
  <c r="Y141" i="104"/>
  <c r="Y84" i="104"/>
  <c r="X140" i="104"/>
  <c r="X83" i="104"/>
  <c r="Z138" i="104"/>
  <c r="Z81" i="104"/>
  <c r="Y137" i="104"/>
  <c r="Y80" i="104"/>
  <c r="X136" i="104"/>
  <c r="X79" i="104"/>
  <c r="Z134" i="104"/>
  <c r="Z77" i="104"/>
  <c r="Y133" i="104"/>
  <c r="Y76" i="104"/>
  <c r="X132" i="104"/>
  <c r="X75" i="104"/>
  <c r="Z130" i="104"/>
  <c r="Z73" i="104"/>
  <c r="AB16" i="104"/>
  <c r="Y129" i="104"/>
  <c r="Y72" i="104"/>
  <c r="X128" i="104"/>
  <c r="X71" i="104"/>
  <c r="Z126" i="104"/>
  <c r="Z69" i="104"/>
  <c r="Y125" i="104"/>
  <c r="Y68" i="104"/>
  <c r="X124" i="104"/>
  <c r="X67" i="104"/>
  <c r="Z122" i="104"/>
  <c r="Z65" i="104"/>
  <c r="Y121" i="104"/>
  <c r="Y64" i="104"/>
  <c r="AA174" i="104"/>
  <c r="AA117" i="104"/>
  <c r="AA112" i="104"/>
  <c r="AA169" i="104"/>
  <c r="AA108" i="104"/>
  <c r="AA165" i="104"/>
  <c r="AA104" i="104"/>
  <c r="AA161" i="104"/>
  <c r="AA100" i="104"/>
  <c r="AA157" i="104"/>
  <c r="AA96" i="104"/>
  <c r="AA153" i="104"/>
  <c r="AA92" i="104"/>
  <c r="AA149" i="104"/>
  <c r="AA88" i="104"/>
  <c r="AA145" i="104"/>
  <c r="AA140" i="104"/>
  <c r="AA83" i="104"/>
  <c r="AA136" i="104"/>
  <c r="AA79" i="104"/>
  <c r="AA132" i="104"/>
  <c r="AA75" i="104"/>
  <c r="AA128" i="104"/>
  <c r="AA71" i="104"/>
  <c r="AA124" i="104"/>
  <c r="AA67" i="104"/>
  <c r="Y175" i="104"/>
  <c r="Y118" i="104"/>
  <c r="X174" i="104"/>
  <c r="X117" i="104"/>
  <c r="Z171" i="104"/>
  <c r="Z114" i="104"/>
  <c r="Y170" i="104"/>
  <c r="Y113" i="104"/>
  <c r="X169" i="104"/>
  <c r="X112" i="104"/>
  <c r="Z167" i="104"/>
  <c r="Z110" i="104"/>
  <c r="Y166" i="104"/>
  <c r="Y109" i="104"/>
  <c r="X165" i="104"/>
  <c r="X108" i="104"/>
  <c r="Z163" i="104"/>
  <c r="Z106" i="104"/>
  <c r="Y162" i="104"/>
  <c r="Y105" i="104"/>
  <c r="X161" i="104"/>
  <c r="X104" i="104"/>
  <c r="Z159" i="104"/>
  <c r="Z102" i="104"/>
  <c r="Y158" i="104"/>
  <c r="Y101" i="104"/>
  <c r="X157" i="104"/>
  <c r="X100" i="104"/>
  <c r="Z155" i="104"/>
  <c r="Z98" i="104"/>
  <c r="Y154" i="104"/>
  <c r="Y97" i="104"/>
  <c r="X153" i="104"/>
  <c r="X96" i="104"/>
  <c r="Z151" i="104"/>
  <c r="Z94" i="104"/>
  <c r="Y150" i="104"/>
  <c r="Y93" i="104"/>
  <c r="X149" i="104"/>
  <c r="X92" i="104"/>
  <c r="Z147" i="104"/>
  <c r="Z90" i="104"/>
  <c r="Y146" i="104"/>
  <c r="Y89" i="104"/>
  <c r="X145" i="104"/>
  <c r="X88" i="104"/>
  <c r="Z143" i="104"/>
  <c r="Z86" i="104"/>
  <c r="Y142" i="104"/>
  <c r="Y85" i="104"/>
  <c r="X141" i="104"/>
  <c r="X84" i="104"/>
  <c r="Z139" i="104"/>
  <c r="Z82" i="104"/>
  <c r="Y138" i="104"/>
  <c r="Y81" i="104"/>
  <c r="X137" i="104"/>
  <c r="X80" i="104"/>
  <c r="Z135" i="104"/>
  <c r="Z78" i="104"/>
  <c r="Y134" i="104"/>
  <c r="Y77" i="104"/>
  <c r="X133" i="104"/>
  <c r="X76" i="104"/>
  <c r="Z131" i="104"/>
  <c r="Z74" i="104"/>
  <c r="AB17" i="104"/>
  <c r="Y130" i="104"/>
  <c r="Y73" i="104"/>
  <c r="X129" i="104"/>
  <c r="X72" i="104"/>
  <c r="Z127" i="104"/>
  <c r="Z70" i="104"/>
  <c r="Y126" i="104"/>
  <c r="Y69" i="104"/>
  <c r="X125" i="104"/>
  <c r="X68" i="104"/>
  <c r="Z123" i="104"/>
  <c r="Z66" i="104"/>
  <c r="Y122" i="104"/>
  <c r="Y65" i="104"/>
  <c r="X121" i="104"/>
  <c r="X64" i="104"/>
  <c r="AA172" i="104"/>
  <c r="AA115" i="104"/>
  <c r="AA168" i="104"/>
  <c r="AA111" i="104"/>
  <c r="AA164" i="104"/>
  <c r="AA107" i="104"/>
  <c r="AA160" i="104"/>
  <c r="AA103" i="104"/>
  <c r="AA156" i="104"/>
  <c r="AA99" i="104"/>
  <c r="AA152" i="104"/>
  <c r="AA95" i="104"/>
  <c r="AA148" i="104"/>
  <c r="AA91" i="104"/>
  <c r="AA143" i="104"/>
  <c r="AA86" i="104"/>
  <c r="AA139" i="104"/>
  <c r="AA82" i="104"/>
  <c r="AA135" i="104"/>
  <c r="AA78" i="104"/>
  <c r="AA131" i="104"/>
  <c r="AA74" i="104"/>
  <c r="AA127" i="104"/>
  <c r="AA70" i="104"/>
  <c r="AA123" i="104"/>
  <c r="AA66" i="104"/>
  <c r="AC55" i="104"/>
  <c r="AD55" i="104" s="1"/>
  <c r="AE55" i="104" s="1"/>
  <c r="AB47" i="104"/>
  <c r="AB39" i="104"/>
  <c r="AB31" i="104"/>
  <c r="AB23" i="104"/>
  <c r="AC23" i="104" s="1"/>
  <c r="AB15" i="104"/>
  <c r="AB61" i="104"/>
  <c r="AC61" i="104" s="1"/>
  <c r="AC52" i="104"/>
  <c r="AD52" i="104" s="1"/>
  <c r="AE52" i="104" s="1"/>
  <c r="AB44" i="104"/>
  <c r="AB36" i="104"/>
  <c r="AB28" i="104"/>
  <c r="AC28" i="104" s="1"/>
  <c r="AC85" i="104" s="1"/>
  <c r="AB20" i="104"/>
  <c r="AC20" i="104" s="1"/>
  <c r="AB12" i="104"/>
  <c r="AC57" i="104"/>
  <c r="AD57" i="104" s="1"/>
  <c r="AE57" i="104" s="1"/>
  <c r="AB49" i="104"/>
  <c r="AB41" i="104"/>
  <c r="AC41" i="104" s="1"/>
  <c r="AB25" i="104"/>
  <c r="AC25" i="104" s="1"/>
  <c r="AB9" i="104"/>
  <c r="AB46" i="104"/>
  <c r="AB38" i="104"/>
  <c r="AB30" i="104"/>
  <c r="AC30" i="104" s="1"/>
  <c r="AB22" i="104"/>
  <c r="AC22" i="104" s="1"/>
  <c r="AB14" i="104"/>
  <c r="AB60" i="104"/>
  <c r="AC60" i="104" s="1"/>
  <c r="AB51" i="104"/>
  <c r="AC51" i="104" s="1"/>
  <c r="AD51" i="104" s="1"/>
  <c r="AE51" i="104" s="1"/>
  <c r="AB43" i="104"/>
  <c r="AB35" i="104"/>
  <c r="AB27" i="104"/>
  <c r="AC27" i="104" s="1"/>
  <c r="AC19" i="104"/>
  <c r="AD19" i="104" s="1"/>
  <c r="AB11" i="104"/>
  <c r="AC56" i="104"/>
  <c r="AD56" i="104" s="1"/>
  <c r="AE56" i="104" s="1"/>
  <c r="AB48" i="104"/>
  <c r="AB40" i="104"/>
  <c r="AB32" i="104"/>
  <c r="AB24" i="104"/>
  <c r="AC24" i="104" s="1"/>
  <c r="AB8" i="104"/>
  <c r="AC53" i="104"/>
  <c r="AD53" i="104" s="1"/>
  <c r="AE53" i="104" s="1"/>
  <c r="AB45" i="104"/>
  <c r="AB37" i="104"/>
  <c r="AC37" i="104" s="1"/>
  <c r="AB29" i="104"/>
  <c r="AC29" i="104" s="1"/>
  <c r="AB21" i="104"/>
  <c r="AC21" i="104" s="1"/>
  <c r="AB13" i="104"/>
  <c r="AB58" i="104"/>
  <c r="AB50" i="104"/>
  <c r="AC50" i="104" s="1"/>
  <c r="AD50" i="104" s="1"/>
  <c r="AE50" i="104" s="1"/>
  <c r="AB42" i="104"/>
  <c r="AB34" i="104"/>
  <c r="AB26" i="104"/>
  <c r="AC26" i="104" s="1"/>
  <c r="AB18" i="104"/>
  <c r="AB10" i="104"/>
  <c r="X63" i="104"/>
  <c r="AF7" i="159" l="1"/>
  <c r="AF51" i="104"/>
  <c r="AF11" i="159"/>
  <c r="AF55" i="104"/>
  <c r="AF8" i="159"/>
  <c r="AF52" i="104"/>
  <c r="AF12" i="159"/>
  <c r="AF56" i="104"/>
  <c r="AF10" i="159"/>
  <c r="AF54" i="104"/>
  <c r="AF6" i="159"/>
  <c r="AF50" i="104"/>
  <c r="AF13" i="159"/>
  <c r="AF57" i="104"/>
  <c r="AF9" i="159"/>
  <c r="AF53" i="104"/>
  <c r="EO19" i="104"/>
  <c r="EH19" i="104"/>
  <c r="EA19" i="104"/>
  <c r="DM19" i="104"/>
  <c r="DF19" i="104"/>
  <c r="DT19" i="104"/>
  <c r="AD26" i="104"/>
  <c r="AC140" i="104"/>
  <c r="AC83" i="104"/>
  <c r="AC168" i="104"/>
  <c r="AC111" i="104"/>
  <c r="AD28" i="104"/>
  <c r="AC142" i="104"/>
  <c r="BR129" i="104"/>
  <c r="DO129" i="104" s="1"/>
  <c r="BR132" i="104"/>
  <c r="DO132" i="104" s="1"/>
  <c r="AD21" i="104"/>
  <c r="AC135" i="104"/>
  <c r="AC78" i="104"/>
  <c r="AC165" i="104"/>
  <c r="AC108" i="104"/>
  <c r="BR157" i="104"/>
  <c r="DO157" i="104" s="1"/>
  <c r="BR93" i="104"/>
  <c r="DO93" i="104" s="1"/>
  <c r="BR126" i="104"/>
  <c r="DO126" i="104" s="1"/>
  <c r="BR154" i="104"/>
  <c r="DO154" i="104" s="1"/>
  <c r="BR90" i="104"/>
  <c r="DO90" i="104" s="1"/>
  <c r="BR123" i="104"/>
  <c r="DO123" i="104" s="1"/>
  <c r="BR159" i="104"/>
  <c r="DO159" i="104" s="1"/>
  <c r="BR95" i="104"/>
  <c r="DO95" i="104" s="1"/>
  <c r="BR160" i="104"/>
  <c r="DO160" i="104" s="1"/>
  <c r="BR92" i="104"/>
  <c r="DO92" i="104" s="1"/>
  <c r="AD60" i="104"/>
  <c r="AC174" i="104"/>
  <c r="AC117" i="104"/>
  <c r="AD25" i="104"/>
  <c r="AC139" i="104"/>
  <c r="AC82" i="104"/>
  <c r="AC169" i="104"/>
  <c r="AC112" i="104"/>
  <c r="BG58" i="104"/>
  <c r="DD58" i="104" s="1"/>
  <c r="BE58" i="104"/>
  <c r="DB58" i="104" s="1"/>
  <c r="AD41" i="104"/>
  <c r="AC155" i="104"/>
  <c r="AC98" i="104"/>
  <c r="AC166" i="104"/>
  <c r="AC109" i="104"/>
  <c r="BR145" i="104"/>
  <c r="DO145" i="104" s="1"/>
  <c r="BR161" i="104"/>
  <c r="DO161" i="104" s="1"/>
  <c r="BR97" i="104"/>
  <c r="DO97" i="104" s="1"/>
  <c r="BR130" i="104"/>
  <c r="DO130" i="104" s="1"/>
  <c r="BR158" i="104"/>
  <c r="DO158" i="104" s="1"/>
  <c r="BR102" i="104"/>
  <c r="DO102" i="104" s="1"/>
  <c r="BR127" i="104"/>
  <c r="DO127" i="104" s="1"/>
  <c r="BR163" i="104"/>
  <c r="DO163" i="104" s="1"/>
  <c r="BR99" i="104"/>
  <c r="DO99" i="104" s="1"/>
  <c r="BR148" i="104"/>
  <c r="DO148" i="104" s="1"/>
  <c r="BR172" i="104"/>
  <c r="DO172" i="104" s="1"/>
  <c r="BR96" i="104"/>
  <c r="DO96" i="104" s="1"/>
  <c r="AD61" i="104"/>
  <c r="AC175" i="104"/>
  <c r="AC118" i="104"/>
  <c r="BR131" i="104"/>
  <c r="DO131" i="104" s="1"/>
  <c r="AD37" i="104"/>
  <c r="AC151" i="104"/>
  <c r="AC94" i="104"/>
  <c r="AC164" i="104"/>
  <c r="AC107" i="104"/>
  <c r="AC171" i="104"/>
  <c r="AC114" i="104"/>
  <c r="BD115" i="104"/>
  <c r="DA115" i="104" s="1"/>
  <c r="BF115" i="104"/>
  <c r="DC115" i="104" s="1"/>
  <c r="BR149" i="104"/>
  <c r="DO149" i="104" s="1"/>
  <c r="BR65" i="104"/>
  <c r="DO65" i="104" s="1"/>
  <c r="BR101" i="104"/>
  <c r="DO101" i="104" s="1"/>
  <c r="BR146" i="104"/>
  <c r="DO146" i="104" s="1"/>
  <c r="BR162" i="104"/>
  <c r="DO162" i="104" s="1"/>
  <c r="BR106" i="104"/>
  <c r="DO106" i="104" s="1"/>
  <c r="BR67" i="104"/>
  <c r="DO67" i="104" s="1"/>
  <c r="BR103" i="104"/>
  <c r="DO103" i="104" s="1"/>
  <c r="BR124" i="104"/>
  <c r="DO124" i="104" s="1"/>
  <c r="BR152" i="104"/>
  <c r="DO152" i="104" s="1"/>
  <c r="BR64" i="104"/>
  <c r="DO64" i="104" s="1"/>
  <c r="BR100" i="104"/>
  <c r="DO100" i="104" s="1"/>
  <c r="AC170" i="104"/>
  <c r="AC113" i="104"/>
  <c r="AC167" i="104"/>
  <c r="AC110" i="104"/>
  <c r="AD30" i="104"/>
  <c r="AC144" i="104"/>
  <c r="AC87" i="104"/>
  <c r="AD27" i="104"/>
  <c r="AC141" i="104"/>
  <c r="AC84" i="104"/>
  <c r="AD23" i="104"/>
  <c r="AC137" i="104"/>
  <c r="AC80" i="104"/>
  <c r="BR128" i="104"/>
  <c r="DO128" i="104" s="1"/>
  <c r="AD29" i="104"/>
  <c r="AC143" i="104"/>
  <c r="AC86" i="104"/>
  <c r="AD22" i="104"/>
  <c r="AC136" i="104"/>
  <c r="AC79" i="104"/>
  <c r="AC133" i="104"/>
  <c r="AC76" i="104"/>
  <c r="AD24" i="104"/>
  <c r="AC138" i="104"/>
  <c r="AC81" i="104"/>
  <c r="AD20" i="104"/>
  <c r="AC134" i="104"/>
  <c r="AC77" i="104"/>
  <c r="BD172" i="104"/>
  <c r="DA172" i="104" s="1"/>
  <c r="BF172" i="104"/>
  <c r="DC172" i="104" s="1"/>
  <c r="BR121" i="104"/>
  <c r="DO121" i="104" s="1"/>
  <c r="BR153" i="104"/>
  <c r="DO153" i="104" s="1"/>
  <c r="BR89" i="104"/>
  <c r="DO89" i="104" s="1"/>
  <c r="BR105" i="104"/>
  <c r="DO105" i="104" s="1"/>
  <c r="BR122" i="104"/>
  <c r="DO122" i="104" s="1"/>
  <c r="BR150" i="104"/>
  <c r="DO150" i="104" s="1"/>
  <c r="BR66" i="104"/>
  <c r="DO66" i="104" s="1"/>
  <c r="BR147" i="104"/>
  <c r="DO147" i="104" s="1"/>
  <c r="BR91" i="104"/>
  <c r="DO91" i="104" s="1"/>
  <c r="BR115" i="104"/>
  <c r="DO115" i="104" s="1"/>
  <c r="BR156" i="104"/>
  <c r="DO156" i="104" s="1"/>
  <c r="BR88" i="104"/>
  <c r="DO88" i="104" s="1"/>
  <c r="BR104" i="104"/>
  <c r="DO104" i="104" s="1"/>
  <c r="BG50" i="104"/>
  <c r="BE50" i="104"/>
  <c r="BR125" i="104"/>
  <c r="DO125" i="104" s="1"/>
  <c r="BR75" i="104"/>
  <c r="DO75" i="104" s="1"/>
  <c r="BK171" i="104"/>
  <c r="BF164" i="104"/>
  <c r="BD164" i="104"/>
  <c r="BR69" i="104"/>
  <c r="DO69" i="104" s="1"/>
  <c r="BR68" i="104"/>
  <c r="DO68" i="104" s="1"/>
  <c r="BR74" i="104"/>
  <c r="DO74" i="104" s="1"/>
  <c r="BK115" i="104"/>
  <c r="DH115" i="104" s="1"/>
  <c r="BR76" i="104"/>
  <c r="BR71" i="104"/>
  <c r="DO71" i="104" s="1"/>
  <c r="BR72" i="104"/>
  <c r="DO72" i="104" s="1"/>
  <c r="BR70" i="104"/>
  <c r="DO70" i="104" s="1"/>
  <c r="BR79" i="104"/>
  <c r="BR78" i="104"/>
  <c r="BD107" i="104"/>
  <c r="BF107" i="104"/>
  <c r="BR73" i="104"/>
  <c r="DO73" i="104" s="1"/>
  <c r="BR77" i="104"/>
  <c r="BK172" i="104"/>
  <c r="DH172" i="104" s="1"/>
  <c r="BK114" i="104"/>
  <c r="AB140" i="104"/>
  <c r="AB83" i="104"/>
  <c r="AB172" i="104"/>
  <c r="AB115" i="104"/>
  <c r="AB143" i="104"/>
  <c r="AB86" i="104"/>
  <c r="AB122" i="104"/>
  <c r="AB65" i="104"/>
  <c r="AB162" i="104"/>
  <c r="AB105" i="104"/>
  <c r="AB141" i="104"/>
  <c r="AB84" i="104"/>
  <c r="AB174" i="104"/>
  <c r="AB117" i="104"/>
  <c r="AB152" i="104"/>
  <c r="AB95" i="104"/>
  <c r="AB139" i="104"/>
  <c r="AB82" i="104"/>
  <c r="AB171" i="104"/>
  <c r="AB114" i="104"/>
  <c r="AB150" i="104"/>
  <c r="AB93" i="104"/>
  <c r="AB129" i="104"/>
  <c r="AB72" i="104"/>
  <c r="AB161" i="104"/>
  <c r="AB104" i="104"/>
  <c r="AB131" i="104"/>
  <c r="AB74" i="104"/>
  <c r="AB164" i="104"/>
  <c r="AB107" i="104"/>
  <c r="AB154" i="104"/>
  <c r="AB97" i="104"/>
  <c r="AB144" i="104"/>
  <c r="AB87" i="104"/>
  <c r="AB175" i="104"/>
  <c r="AB118" i="104"/>
  <c r="AB148" i="104"/>
  <c r="AB91" i="104"/>
  <c r="AB151" i="104"/>
  <c r="AB94" i="104"/>
  <c r="AB170" i="104"/>
  <c r="AB113" i="104"/>
  <c r="AB128" i="104"/>
  <c r="AB71" i="104"/>
  <c r="AB147" i="104"/>
  <c r="AB90" i="104"/>
  <c r="AB137" i="104"/>
  <c r="AB80" i="104"/>
  <c r="AB135" i="104"/>
  <c r="AB78" i="104"/>
  <c r="AB133" i="104"/>
  <c r="AB76" i="104"/>
  <c r="AB123" i="104"/>
  <c r="AB66" i="104"/>
  <c r="AB142" i="104"/>
  <c r="AB85" i="104"/>
  <c r="AB120" i="104"/>
  <c r="AB63" i="104"/>
  <c r="AB138" i="104"/>
  <c r="AB81" i="104"/>
  <c r="AB149" i="104"/>
  <c r="AB92" i="104"/>
  <c r="AB160" i="104"/>
  <c r="AB103" i="104"/>
  <c r="AB126" i="104"/>
  <c r="AB69" i="104"/>
  <c r="AB158" i="104"/>
  <c r="AB101" i="104"/>
  <c r="AB169" i="104"/>
  <c r="AB112" i="104"/>
  <c r="AB124" i="104"/>
  <c r="AB67" i="104"/>
  <c r="AB156" i="104"/>
  <c r="AB99" i="104"/>
  <c r="AB127" i="104"/>
  <c r="AB70" i="104"/>
  <c r="AB159" i="104"/>
  <c r="AB102" i="104"/>
  <c r="AB146" i="104"/>
  <c r="AB89" i="104"/>
  <c r="AB125" i="104"/>
  <c r="AB68" i="104"/>
  <c r="AB157" i="104"/>
  <c r="AB100" i="104"/>
  <c r="AB136" i="104"/>
  <c r="AB79" i="104"/>
  <c r="AB168" i="104"/>
  <c r="AB111" i="104"/>
  <c r="AB155" i="104"/>
  <c r="AB98" i="104"/>
  <c r="AB134" i="104"/>
  <c r="AB77" i="104"/>
  <c r="AB166" i="104"/>
  <c r="AB109" i="104"/>
  <c r="AB145" i="104"/>
  <c r="AB88" i="104"/>
  <c r="AB132" i="104"/>
  <c r="AB75" i="104"/>
  <c r="AB167" i="104"/>
  <c r="AB110" i="104"/>
  <c r="AB165" i="104"/>
  <c r="AB108" i="104"/>
  <c r="AB163" i="104"/>
  <c r="AB106" i="104"/>
  <c r="AB153" i="104"/>
  <c r="AB96" i="104"/>
  <c r="AB130" i="104"/>
  <c r="AB73" i="104"/>
  <c r="AG6" i="159" l="1"/>
  <c r="AG11" i="159"/>
  <c r="AG10" i="159"/>
  <c r="AG7" i="159"/>
  <c r="AG13" i="159"/>
  <c r="AG8" i="159"/>
  <c r="AG9" i="159"/>
  <c r="AG12" i="159"/>
  <c r="EO27" i="104"/>
  <c r="EH27" i="104"/>
  <c r="EA27" i="104"/>
  <c r="DM27" i="104"/>
  <c r="DF27" i="104"/>
  <c r="CY27" i="104"/>
  <c r="DT27" i="104"/>
  <c r="EO24" i="104"/>
  <c r="EA24" i="104"/>
  <c r="EH24" i="104"/>
  <c r="DM24" i="104"/>
  <c r="DF24" i="104"/>
  <c r="CY24" i="104"/>
  <c r="DT24" i="104"/>
  <c r="EO29" i="104"/>
  <c r="EH29" i="104"/>
  <c r="EA29" i="104"/>
  <c r="DM29" i="104"/>
  <c r="CY29" i="104"/>
  <c r="DF29" i="104"/>
  <c r="DT29" i="104"/>
  <c r="EO56" i="104"/>
  <c r="EH56" i="104"/>
  <c r="EA56" i="104"/>
  <c r="DM56" i="104"/>
  <c r="DF56" i="104"/>
  <c r="CY56" i="104"/>
  <c r="DT56" i="104"/>
  <c r="EO60" i="104"/>
  <c r="EH60" i="104"/>
  <c r="EA60" i="104"/>
  <c r="DM60" i="104"/>
  <c r="DF60" i="104"/>
  <c r="CY60" i="104"/>
  <c r="DT60" i="104"/>
  <c r="EO21" i="104"/>
  <c r="EH21" i="104"/>
  <c r="EA21" i="104"/>
  <c r="DM21" i="104"/>
  <c r="DF21" i="104"/>
  <c r="CY21" i="104"/>
  <c r="DT21" i="104"/>
  <c r="EO57" i="104"/>
  <c r="EH57" i="104"/>
  <c r="EA57" i="104"/>
  <c r="DM57" i="104"/>
  <c r="DF57" i="104"/>
  <c r="CY57" i="104"/>
  <c r="DT57" i="104"/>
  <c r="EO30" i="104"/>
  <c r="EA30" i="104"/>
  <c r="EH30" i="104"/>
  <c r="DM30" i="104"/>
  <c r="CY30" i="104"/>
  <c r="DF30" i="104"/>
  <c r="DT30" i="104"/>
  <c r="EO52" i="104"/>
  <c r="EH52" i="104"/>
  <c r="EA52" i="104"/>
  <c r="DM52" i="104"/>
  <c r="DF52" i="104"/>
  <c r="CY52" i="104"/>
  <c r="DT52" i="104"/>
  <c r="EO55" i="104"/>
  <c r="EH55" i="104"/>
  <c r="EA55" i="104"/>
  <c r="DM55" i="104"/>
  <c r="DF55" i="104"/>
  <c r="CY55" i="104"/>
  <c r="DT55" i="104"/>
  <c r="EO26" i="104"/>
  <c r="EH26" i="104"/>
  <c r="EA26" i="104"/>
  <c r="DM26" i="104"/>
  <c r="DF26" i="104"/>
  <c r="CY26" i="104"/>
  <c r="DT26" i="104"/>
  <c r="EO61" i="104"/>
  <c r="EH61" i="104"/>
  <c r="EA61" i="104"/>
  <c r="DM61" i="104"/>
  <c r="CY61" i="104"/>
  <c r="DF61" i="104"/>
  <c r="DT61" i="104"/>
  <c r="DM37" i="104"/>
  <c r="DF37" i="104"/>
  <c r="DT37" i="104"/>
  <c r="EO23" i="104"/>
  <c r="EA23" i="104"/>
  <c r="EH23" i="104"/>
  <c r="DM23" i="104"/>
  <c r="DF23" i="104"/>
  <c r="CY23" i="104"/>
  <c r="DT23" i="104"/>
  <c r="EO50" i="104"/>
  <c r="EH50" i="104"/>
  <c r="EA50" i="104"/>
  <c r="DM50" i="104"/>
  <c r="DF50" i="104"/>
  <c r="CY50" i="104"/>
  <c r="DT50" i="104"/>
  <c r="EO28" i="104"/>
  <c r="EH28" i="104"/>
  <c r="EA28" i="104"/>
  <c r="DM28" i="104"/>
  <c r="DF28" i="104"/>
  <c r="CY28" i="104"/>
  <c r="DT28" i="104"/>
  <c r="EO20" i="104"/>
  <c r="EH20" i="104"/>
  <c r="EA20" i="104"/>
  <c r="DM20" i="104"/>
  <c r="DF20" i="104"/>
  <c r="DT20" i="104"/>
  <c r="EO22" i="104"/>
  <c r="EA22" i="104"/>
  <c r="EH22" i="104"/>
  <c r="DM22" i="104"/>
  <c r="DF22" i="104"/>
  <c r="CY22" i="104"/>
  <c r="DT22" i="104"/>
  <c r="EO53" i="104"/>
  <c r="EH53" i="104"/>
  <c r="EA53" i="104"/>
  <c r="DM53" i="104"/>
  <c r="DF53" i="104"/>
  <c r="CY53" i="104"/>
  <c r="DT53" i="104"/>
  <c r="DM41" i="104"/>
  <c r="DF41" i="104"/>
  <c r="DT41" i="104"/>
  <c r="EO25" i="104"/>
  <c r="EH25" i="104"/>
  <c r="EA25" i="104"/>
  <c r="DF25" i="104"/>
  <c r="DM25" i="104"/>
  <c r="CY25" i="104"/>
  <c r="DT25" i="104"/>
  <c r="EO51" i="104"/>
  <c r="EH51" i="104"/>
  <c r="EA51" i="104"/>
  <c r="DM51" i="104"/>
  <c r="DF51" i="104"/>
  <c r="CY51" i="104"/>
  <c r="DT51" i="104"/>
  <c r="EO54" i="104"/>
  <c r="EH54" i="104"/>
  <c r="EA54" i="104"/>
  <c r="DM54" i="104"/>
  <c r="DF54" i="104"/>
  <c r="CY54" i="104"/>
  <c r="DT54" i="104"/>
  <c r="AD29" i="159"/>
  <c r="AD22" i="159"/>
  <c r="EO11" i="159"/>
  <c r="EA7" i="159"/>
  <c r="DT10" i="159"/>
  <c r="DT12" i="159"/>
  <c r="DF9" i="159"/>
  <c r="BS88" i="104"/>
  <c r="DP88" i="104" s="1"/>
  <c r="BS128" i="104"/>
  <c r="DP128" i="104" s="1"/>
  <c r="BS99" i="104"/>
  <c r="DP99" i="104" s="1"/>
  <c r="BS95" i="104"/>
  <c r="DP95" i="104" s="1"/>
  <c r="BS154" i="104"/>
  <c r="DP154" i="104" s="1"/>
  <c r="BS132" i="104"/>
  <c r="DP132" i="104" s="1"/>
  <c r="BS66" i="104"/>
  <c r="DP66" i="104" s="1"/>
  <c r="BS89" i="104"/>
  <c r="DP89" i="104" s="1"/>
  <c r="AE29" i="104"/>
  <c r="AD143" i="104"/>
  <c r="AD86" i="104"/>
  <c r="AD167" i="104"/>
  <c r="AD110" i="104"/>
  <c r="BS152" i="104"/>
  <c r="DP152" i="104" s="1"/>
  <c r="AE41" i="104"/>
  <c r="AD155" i="104"/>
  <c r="AD98" i="104"/>
  <c r="BS92" i="104"/>
  <c r="DP92" i="104" s="1"/>
  <c r="BS123" i="104"/>
  <c r="DP123" i="104" s="1"/>
  <c r="AE21" i="104"/>
  <c r="AD135" i="104"/>
  <c r="AD78" i="104"/>
  <c r="BS106" i="104"/>
  <c r="DP106" i="104" s="1"/>
  <c r="BS172" i="104"/>
  <c r="DP172" i="104" s="1"/>
  <c r="BS115" i="104"/>
  <c r="DP115" i="104" s="1"/>
  <c r="BS150" i="104"/>
  <c r="DP150" i="104" s="1"/>
  <c r="BS153" i="104"/>
  <c r="DP153" i="104" s="1"/>
  <c r="AE23" i="104"/>
  <c r="AD137" i="104"/>
  <c r="AD80" i="104"/>
  <c r="AD170" i="104"/>
  <c r="AD113" i="104"/>
  <c r="BS124" i="104"/>
  <c r="DP124" i="104" s="1"/>
  <c r="AD166" i="104"/>
  <c r="AD109" i="104"/>
  <c r="AD169" i="104"/>
  <c r="AD112" i="104"/>
  <c r="BS160" i="104"/>
  <c r="DP160" i="104" s="1"/>
  <c r="AE20" i="104"/>
  <c r="AD134" i="104"/>
  <c r="AD77" i="104"/>
  <c r="BS65" i="104"/>
  <c r="DP65" i="104" s="1"/>
  <c r="BS97" i="104"/>
  <c r="DP97" i="104" s="1"/>
  <c r="BS104" i="104"/>
  <c r="DP104" i="104" s="1"/>
  <c r="AE24" i="104"/>
  <c r="AD138" i="104"/>
  <c r="AD81" i="104"/>
  <c r="BS162" i="104"/>
  <c r="DP162" i="104" s="1"/>
  <c r="BS149" i="104"/>
  <c r="DP149" i="104" s="1"/>
  <c r="BS148" i="104"/>
  <c r="DP148" i="104" s="1"/>
  <c r="BS102" i="104"/>
  <c r="DP102" i="104" s="1"/>
  <c r="BS161" i="104"/>
  <c r="DP161" i="104" s="1"/>
  <c r="BS90" i="104"/>
  <c r="DP90" i="104" s="1"/>
  <c r="BS157" i="104"/>
  <c r="DP157" i="104" s="1"/>
  <c r="AE28" i="104"/>
  <c r="AD142" i="104"/>
  <c r="AD85" i="104"/>
  <c r="BS127" i="104"/>
  <c r="DP127" i="104" s="1"/>
  <c r="BS93" i="104"/>
  <c r="DP93" i="104" s="1"/>
  <c r="BS91" i="104"/>
  <c r="DP91" i="104" s="1"/>
  <c r="BS122" i="104"/>
  <c r="DP122" i="104" s="1"/>
  <c r="BS121" i="104"/>
  <c r="DP121" i="104" s="1"/>
  <c r="AE19" i="104"/>
  <c r="AD133" i="104"/>
  <c r="AD76" i="104"/>
  <c r="AE27" i="104"/>
  <c r="AD141" i="104"/>
  <c r="AD84" i="104"/>
  <c r="BS100" i="104"/>
  <c r="DP100" i="104" s="1"/>
  <c r="BS103" i="104"/>
  <c r="DP103" i="104" s="1"/>
  <c r="AD171" i="104"/>
  <c r="AD114" i="104"/>
  <c r="AE37" i="104"/>
  <c r="AD151" i="104"/>
  <c r="AD94" i="104"/>
  <c r="BS131" i="104"/>
  <c r="DP131" i="104" s="1"/>
  <c r="BH58" i="104"/>
  <c r="DE58" i="104" s="1"/>
  <c r="EW58" i="104" s="1"/>
  <c r="AE25" i="104"/>
  <c r="AD139" i="104"/>
  <c r="AD82" i="104"/>
  <c r="BS158" i="104"/>
  <c r="DP158" i="104" s="1"/>
  <c r="BS146" i="104"/>
  <c r="DP146" i="104" s="1"/>
  <c r="BS145" i="104"/>
  <c r="DP145" i="104" s="1"/>
  <c r="BS147" i="104"/>
  <c r="DP147" i="104" s="1"/>
  <c r="BS105" i="104"/>
  <c r="DP105" i="104" s="1"/>
  <c r="AE22" i="104"/>
  <c r="AD136" i="104"/>
  <c r="AD79" i="104"/>
  <c r="AE30" i="104"/>
  <c r="AD144" i="104"/>
  <c r="AD87" i="104"/>
  <c r="BS64" i="104"/>
  <c r="DP64" i="104" s="1"/>
  <c r="BS67" i="104"/>
  <c r="DP67" i="104" s="1"/>
  <c r="BE115" i="104"/>
  <c r="DB115" i="104" s="1"/>
  <c r="BG115" i="104"/>
  <c r="DD115" i="104" s="1"/>
  <c r="AD164" i="104"/>
  <c r="AD107" i="104"/>
  <c r="AE60" i="104"/>
  <c r="AD174" i="104"/>
  <c r="AD117" i="104"/>
  <c r="AE61" i="104"/>
  <c r="AD175" i="104"/>
  <c r="AD118" i="104"/>
  <c r="AD168" i="104"/>
  <c r="AD111" i="104"/>
  <c r="BS156" i="104"/>
  <c r="DP156" i="104" s="1"/>
  <c r="BG172" i="104"/>
  <c r="DD172" i="104" s="1"/>
  <c r="BE172" i="104"/>
  <c r="DB172" i="104" s="1"/>
  <c r="BS101" i="104"/>
  <c r="DP101" i="104" s="1"/>
  <c r="BS96" i="104"/>
  <c r="DP96" i="104" s="1"/>
  <c r="BS163" i="104"/>
  <c r="DP163" i="104" s="1"/>
  <c r="BS130" i="104"/>
  <c r="DP130" i="104" s="1"/>
  <c r="BS159" i="104"/>
  <c r="DP159" i="104" s="1"/>
  <c r="BS126" i="104"/>
  <c r="DP126" i="104" s="1"/>
  <c r="AD165" i="104"/>
  <c r="AD108" i="104"/>
  <c r="BS129" i="104"/>
  <c r="DP129" i="104" s="1"/>
  <c r="AE26" i="104"/>
  <c r="AD140" i="104"/>
  <c r="AD83" i="104"/>
  <c r="BL115" i="104"/>
  <c r="DI115" i="104" s="1"/>
  <c r="BS79" i="104"/>
  <c r="BS70" i="104"/>
  <c r="DP70" i="104" s="1"/>
  <c r="BS72" i="104"/>
  <c r="DP72" i="104" s="1"/>
  <c r="BL171" i="104"/>
  <c r="BS75" i="104"/>
  <c r="DP75" i="104" s="1"/>
  <c r="BS125" i="104"/>
  <c r="DP125" i="104" s="1"/>
  <c r="BL172" i="104"/>
  <c r="DI172" i="104" s="1"/>
  <c r="BS77" i="104"/>
  <c r="BS71" i="104"/>
  <c r="DP71" i="104" s="1"/>
  <c r="BS74" i="104"/>
  <c r="DP74" i="104" s="1"/>
  <c r="BH50" i="104"/>
  <c r="BL114" i="104"/>
  <c r="BS73" i="104"/>
  <c r="DP73" i="104" s="1"/>
  <c r="BG107" i="104"/>
  <c r="BE107" i="104"/>
  <c r="BS78" i="104"/>
  <c r="BS76" i="104"/>
  <c r="BS68" i="104"/>
  <c r="DP68" i="104" s="1"/>
  <c r="BS69" i="104"/>
  <c r="DP69" i="104" s="1"/>
  <c r="BE164" i="104"/>
  <c r="BG164" i="104"/>
  <c r="AD26" i="159" l="1"/>
  <c r="DT26" i="159" s="1"/>
  <c r="CY9" i="159"/>
  <c r="DT9" i="159"/>
  <c r="EH6" i="159"/>
  <c r="EH10" i="159"/>
  <c r="DF10" i="159"/>
  <c r="AD20" i="159"/>
  <c r="DF20" i="159" s="1"/>
  <c r="EA6" i="159"/>
  <c r="EO6" i="159"/>
  <c r="DT7" i="159"/>
  <c r="CY6" i="159"/>
  <c r="DM9" i="159"/>
  <c r="AD27" i="159"/>
  <c r="DF27" i="159" s="1"/>
  <c r="EH9" i="159"/>
  <c r="DF11" i="159"/>
  <c r="AD19" i="159"/>
  <c r="DT19" i="159" s="1"/>
  <c r="EH11" i="159"/>
  <c r="AD32" i="159"/>
  <c r="DM32" i="159" s="1"/>
  <c r="DM11" i="159"/>
  <c r="EO13" i="159"/>
  <c r="DF12" i="159"/>
  <c r="DF13" i="159"/>
  <c r="DM12" i="159"/>
  <c r="EA13" i="159"/>
  <c r="EA12" i="159"/>
  <c r="DT8" i="159"/>
  <c r="EO7" i="159"/>
  <c r="EO9" i="159"/>
  <c r="DF6" i="159"/>
  <c r="AD16" i="159"/>
  <c r="DM16" i="159" s="1"/>
  <c r="AD23" i="159"/>
  <c r="EO23" i="159" s="1"/>
  <c r="EA9" i="159"/>
  <c r="AD18" i="159"/>
  <c r="DM18" i="159" s="1"/>
  <c r="AD33" i="159"/>
  <c r="DT33" i="159" s="1"/>
  <c r="DU10" i="159"/>
  <c r="EP7" i="159"/>
  <c r="DM8" i="159"/>
  <c r="AD28" i="159"/>
  <c r="EH28" i="159" s="1"/>
  <c r="EA10" i="159"/>
  <c r="DM7" i="159"/>
  <c r="EA8" i="159"/>
  <c r="CY13" i="159"/>
  <c r="EO10" i="159"/>
  <c r="CY7" i="159"/>
  <c r="DF8" i="159"/>
  <c r="CY10" i="159"/>
  <c r="DF7" i="159"/>
  <c r="CY8" i="159"/>
  <c r="EH8" i="159"/>
  <c r="EO8" i="159"/>
  <c r="DM13" i="159"/>
  <c r="AD30" i="159"/>
  <c r="DF30" i="159" s="1"/>
  <c r="AD17" i="159"/>
  <c r="DM17" i="159" s="1"/>
  <c r="EO140" i="104"/>
  <c r="EH140" i="104"/>
  <c r="EA140" i="104"/>
  <c r="DM140" i="104"/>
  <c r="DF140" i="104"/>
  <c r="CY140" i="104"/>
  <c r="DT140" i="104"/>
  <c r="EP61" i="104"/>
  <c r="EI61" i="104"/>
  <c r="EB61" i="104"/>
  <c r="DN61" i="104"/>
  <c r="DG61" i="104"/>
  <c r="CZ61" i="104"/>
  <c r="DU61" i="104"/>
  <c r="EP25" i="104"/>
  <c r="EB25" i="104"/>
  <c r="EI25" i="104"/>
  <c r="DN25" i="104"/>
  <c r="DG25" i="104"/>
  <c r="CZ25" i="104"/>
  <c r="DU25" i="104"/>
  <c r="EP57" i="104"/>
  <c r="EI57" i="104"/>
  <c r="EB57" i="104"/>
  <c r="DN57" i="104"/>
  <c r="DG57" i="104"/>
  <c r="CZ57" i="104"/>
  <c r="DU57" i="104"/>
  <c r="EP19" i="104"/>
  <c r="EI19" i="104"/>
  <c r="EB19" i="104"/>
  <c r="DN19" i="104"/>
  <c r="DG19" i="104"/>
  <c r="DU19" i="104"/>
  <c r="EO85" i="104"/>
  <c r="EH85" i="104"/>
  <c r="EA85" i="104"/>
  <c r="DM85" i="104"/>
  <c r="DF85" i="104"/>
  <c r="CY85" i="104"/>
  <c r="DT85" i="104"/>
  <c r="EP24" i="104"/>
  <c r="EB24" i="104"/>
  <c r="EI24" i="104"/>
  <c r="DN24" i="104"/>
  <c r="DG24" i="104"/>
  <c r="CZ24" i="104"/>
  <c r="DU24" i="104"/>
  <c r="EO113" i="104"/>
  <c r="EH113" i="104"/>
  <c r="EA113" i="104"/>
  <c r="DM113" i="104"/>
  <c r="DF113" i="104"/>
  <c r="CY113" i="104"/>
  <c r="DT113" i="104"/>
  <c r="EP21" i="104"/>
  <c r="EI21" i="104"/>
  <c r="EB21" i="104"/>
  <c r="DN21" i="104"/>
  <c r="DG21" i="104"/>
  <c r="CZ21" i="104"/>
  <c r="DU21" i="104"/>
  <c r="EA11" i="159"/>
  <c r="EH12" i="159"/>
  <c r="DU12" i="159"/>
  <c r="EO79" i="104"/>
  <c r="EH79" i="104"/>
  <c r="EA79" i="104"/>
  <c r="DM79" i="104"/>
  <c r="DF79" i="104"/>
  <c r="CY79" i="104"/>
  <c r="DT79" i="104"/>
  <c r="EO142" i="104"/>
  <c r="EH142" i="104"/>
  <c r="EA142" i="104"/>
  <c r="DM142" i="104"/>
  <c r="DF142" i="104"/>
  <c r="CY142" i="104"/>
  <c r="DT142" i="104"/>
  <c r="EO112" i="104"/>
  <c r="EH112" i="104"/>
  <c r="EA112" i="104"/>
  <c r="DM112" i="104"/>
  <c r="DF112" i="104"/>
  <c r="CY112" i="104"/>
  <c r="DT112" i="104"/>
  <c r="EO170" i="104"/>
  <c r="EH170" i="104"/>
  <c r="EA170" i="104"/>
  <c r="DM170" i="104"/>
  <c r="DF170" i="104"/>
  <c r="CY170" i="104"/>
  <c r="DT170" i="104"/>
  <c r="EO110" i="104"/>
  <c r="EH110" i="104"/>
  <c r="EA110" i="104"/>
  <c r="DM110" i="104"/>
  <c r="DF110" i="104"/>
  <c r="CY110" i="104"/>
  <c r="DT110" i="104"/>
  <c r="EO169" i="104"/>
  <c r="EH169" i="104"/>
  <c r="EA169" i="104"/>
  <c r="DF169" i="104"/>
  <c r="DM169" i="104"/>
  <c r="CY169" i="104"/>
  <c r="DT169" i="104"/>
  <c r="EH167" i="104"/>
  <c r="EO167" i="104"/>
  <c r="EA167" i="104"/>
  <c r="DM167" i="104"/>
  <c r="DF167" i="104"/>
  <c r="CY167" i="104"/>
  <c r="DT167" i="104"/>
  <c r="EO111" i="104"/>
  <c r="EH111" i="104"/>
  <c r="EA111" i="104"/>
  <c r="DM111" i="104"/>
  <c r="DF111" i="104"/>
  <c r="CY111" i="104"/>
  <c r="DT111" i="104"/>
  <c r="EP60" i="104"/>
  <c r="EI60" i="104"/>
  <c r="EB60" i="104"/>
  <c r="DN60" i="104"/>
  <c r="DG60" i="104"/>
  <c r="CZ60" i="104"/>
  <c r="DU60" i="104"/>
  <c r="EP22" i="104"/>
  <c r="EI22" i="104"/>
  <c r="EB22" i="104"/>
  <c r="DN22" i="104"/>
  <c r="DG22" i="104"/>
  <c r="CZ22" i="104"/>
  <c r="DU22" i="104"/>
  <c r="DM94" i="104"/>
  <c r="DF94" i="104"/>
  <c r="DT94" i="104"/>
  <c r="EO84" i="104"/>
  <c r="EH84" i="104"/>
  <c r="EA84" i="104"/>
  <c r="DM84" i="104"/>
  <c r="DF84" i="104"/>
  <c r="CY84" i="104"/>
  <c r="DT84" i="104"/>
  <c r="EP55" i="104"/>
  <c r="EI55" i="104"/>
  <c r="EB55" i="104"/>
  <c r="DN55" i="104"/>
  <c r="DG55" i="104"/>
  <c r="CZ55" i="104"/>
  <c r="DU55" i="104"/>
  <c r="EO80" i="104"/>
  <c r="EH80" i="104"/>
  <c r="EA80" i="104"/>
  <c r="DM80" i="104"/>
  <c r="DF80" i="104"/>
  <c r="CY80" i="104"/>
  <c r="DT80" i="104"/>
  <c r="EP53" i="104"/>
  <c r="EI53" i="104"/>
  <c r="EB53" i="104"/>
  <c r="DN53" i="104"/>
  <c r="DG53" i="104"/>
  <c r="CZ53" i="104"/>
  <c r="DU53" i="104"/>
  <c r="DT11" i="159"/>
  <c r="EO12" i="159"/>
  <c r="EO108" i="104"/>
  <c r="EH108" i="104"/>
  <c r="EA108" i="104"/>
  <c r="DM108" i="104"/>
  <c r="DF108" i="104"/>
  <c r="CY108" i="104"/>
  <c r="DT108" i="104"/>
  <c r="EO168" i="104"/>
  <c r="EH168" i="104"/>
  <c r="EA168" i="104"/>
  <c r="DM168" i="104"/>
  <c r="DF168" i="104"/>
  <c r="CY168" i="104"/>
  <c r="DT168" i="104"/>
  <c r="EO107" i="104"/>
  <c r="EH107" i="104"/>
  <c r="EA107" i="104"/>
  <c r="DM107" i="104"/>
  <c r="DF107" i="104"/>
  <c r="CY107" i="104"/>
  <c r="DT107" i="104"/>
  <c r="DM151" i="104"/>
  <c r="DF151" i="104"/>
  <c r="DT151" i="104"/>
  <c r="EO141" i="104"/>
  <c r="EA141" i="104"/>
  <c r="EH141" i="104"/>
  <c r="DM141" i="104"/>
  <c r="DF141" i="104"/>
  <c r="CY141" i="104"/>
  <c r="DT141" i="104"/>
  <c r="EO77" i="104"/>
  <c r="EH77" i="104"/>
  <c r="EA77" i="104"/>
  <c r="DM77" i="104"/>
  <c r="DF77" i="104"/>
  <c r="DT77" i="104"/>
  <c r="EO109" i="104"/>
  <c r="EH109" i="104"/>
  <c r="EA109" i="104"/>
  <c r="DM109" i="104"/>
  <c r="CY109" i="104"/>
  <c r="DF109" i="104"/>
  <c r="DT109" i="104"/>
  <c r="EO137" i="104"/>
  <c r="EH137" i="104"/>
  <c r="EA137" i="104"/>
  <c r="DM137" i="104"/>
  <c r="DF137" i="104"/>
  <c r="CY137" i="104"/>
  <c r="DT137" i="104"/>
  <c r="DM98" i="104"/>
  <c r="DF98" i="104"/>
  <c r="DT98" i="104"/>
  <c r="EO86" i="104"/>
  <c r="EH86" i="104"/>
  <c r="EA86" i="104"/>
  <c r="DM86" i="104"/>
  <c r="DF86" i="104"/>
  <c r="CY86" i="104"/>
  <c r="DT86" i="104"/>
  <c r="AD21" i="159"/>
  <c r="EA21" i="159" s="1"/>
  <c r="CY12" i="159"/>
  <c r="EP28" i="104"/>
  <c r="EI28" i="104"/>
  <c r="EB28" i="104"/>
  <c r="DN28" i="104"/>
  <c r="DG28" i="104"/>
  <c r="CZ28" i="104"/>
  <c r="DU28" i="104"/>
  <c r="EP56" i="104"/>
  <c r="EI56" i="104"/>
  <c r="EB56" i="104"/>
  <c r="DN56" i="104"/>
  <c r="DG56" i="104"/>
  <c r="CZ56" i="104"/>
  <c r="DU56" i="104"/>
  <c r="EP54" i="104"/>
  <c r="EB54" i="104"/>
  <c r="EI54" i="104"/>
  <c r="DN54" i="104"/>
  <c r="DG54" i="104"/>
  <c r="CZ54" i="104"/>
  <c r="DU54" i="104"/>
  <c r="EO164" i="104"/>
  <c r="EH164" i="104"/>
  <c r="EA164" i="104"/>
  <c r="DM164" i="104"/>
  <c r="DF164" i="104"/>
  <c r="CY164" i="104"/>
  <c r="DT164" i="104"/>
  <c r="EO87" i="104"/>
  <c r="EH87" i="104"/>
  <c r="EA87" i="104"/>
  <c r="DM87" i="104"/>
  <c r="DF87" i="104"/>
  <c r="CY87" i="104"/>
  <c r="DT87" i="104"/>
  <c r="DN37" i="104"/>
  <c r="DG37" i="104"/>
  <c r="DU37" i="104"/>
  <c r="EP27" i="104"/>
  <c r="EI27" i="104"/>
  <c r="EB27" i="104"/>
  <c r="DN27" i="104"/>
  <c r="DG27" i="104"/>
  <c r="CZ27" i="104"/>
  <c r="DU27" i="104"/>
  <c r="EO134" i="104"/>
  <c r="EH134" i="104"/>
  <c r="EA134" i="104"/>
  <c r="DM134" i="104"/>
  <c r="DF134" i="104"/>
  <c r="DT134" i="104"/>
  <c r="EO166" i="104"/>
  <c r="EH166" i="104"/>
  <c r="EA166" i="104"/>
  <c r="DM166" i="104"/>
  <c r="DF166" i="104"/>
  <c r="CY166" i="104"/>
  <c r="DT166" i="104"/>
  <c r="EP23" i="104"/>
  <c r="EB23" i="104"/>
  <c r="EI23" i="104"/>
  <c r="DN23" i="104"/>
  <c r="DG23" i="104"/>
  <c r="CZ23" i="104"/>
  <c r="DU23" i="104"/>
  <c r="DM155" i="104"/>
  <c r="DF155" i="104"/>
  <c r="DT155" i="104"/>
  <c r="EO143" i="104"/>
  <c r="EH143" i="104"/>
  <c r="EA143" i="104"/>
  <c r="DM143" i="104"/>
  <c r="DF143" i="104"/>
  <c r="CY143" i="104"/>
  <c r="DT143" i="104"/>
  <c r="EP26" i="104"/>
  <c r="EI26" i="104"/>
  <c r="EB26" i="104"/>
  <c r="DN26" i="104"/>
  <c r="DG26" i="104"/>
  <c r="CZ26" i="104"/>
  <c r="DU26" i="104"/>
  <c r="EO117" i="104"/>
  <c r="EH117" i="104"/>
  <c r="EA117" i="104"/>
  <c r="DM117" i="104"/>
  <c r="CY117" i="104"/>
  <c r="DF117" i="104"/>
  <c r="DT117" i="104"/>
  <c r="EH174" i="104"/>
  <c r="EO174" i="104"/>
  <c r="EA174" i="104"/>
  <c r="DM174" i="104"/>
  <c r="DF174" i="104"/>
  <c r="CY174" i="104"/>
  <c r="DT174" i="104"/>
  <c r="EP51" i="104"/>
  <c r="EI51" i="104"/>
  <c r="EB51" i="104"/>
  <c r="DN51" i="104"/>
  <c r="DG51" i="104"/>
  <c r="CZ51" i="104"/>
  <c r="DU51" i="104"/>
  <c r="EO118" i="104"/>
  <c r="EH118" i="104"/>
  <c r="EA118" i="104"/>
  <c r="DM118" i="104"/>
  <c r="DF118" i="104"/>
  <c r="CY118" i="104"/>
  <c r="DT118" i="104"/>
  <c r="EP50" i="104"/>
  <c r="EI50" i="104"/>
  <c r="EB50" i="104"/>
  <c r="DN50" i="104"/>
  <c r="DG50" i="104"/>
  <c r="CZ50" i="104"/>
  <c r="DU50" i="104"/>
  <c r="EO144" i="104"/>
  <c r="EH144" i="104"/>
  <c r="EA144" i="104"/>
  <c r="DM144" i="104"/>
  <c r="DF144" i="104"/>
  <c r="CY144" i="104"/>
  <c r="DT144" i="104"/>
  <c r="EO82" i="104"/>
  <c r="EH82" i="104"/>
  <c r="EA82" i="104"/>
  <c r="DM82" i="104"/>
  <c r="DF82" i="104"/>
  <c r="CY82" i="104"/>
  <c r="DT82" i="104"/>
  <c r="EO114" i="104"/>
  <c r="EH114" i="104"/>
  <c r="EA114" i="104"/>
  <c r="DM114" i="104"/>
  <c r="DF114" i="104"/>
  <c r="CY114" i="104"/>
  <c r="DT114" i="104"/>
  <c r="EO76" i="104"/>
  <c r="EH76" i="104"/>
  <c r="EA76" i="104"/>
  <c r="DM76" i="104"/>
  <c r="DF76" i="104"/>
  <c r="DT76" i="104"/>
  <c r="EO81" i="104"/>
  <c r="EH81" i="104"/>
  <c r="EA81" i="104"/>
  <c r="DM81" i="104"/>
  <c r="DF81" i="104"/>
  <c r="CY81" i="104"/>
  <c r="DT81" i="104"/>
  <c r="EP20" i="104"/>
  <c r="EI20" i="104"/>
  <c r="EB20" i="104"/>
  <c r="DN20" i="104"/>
  <c r="DG20" i="104"/>
  <c r="DU20" i="104"/>
  <c r="EP52" i="104"/>
  <c r="EI52" i="104"/>
  <c r="EB52" i="104"/>
  <c r="DN52" i="104"/>
  <c r="DG52" i="104"/>
  <c r="CZ52" i="104"/>
  <c r="DU52" i="104"/>
  <c r="EO78" i="104"/>
  <c r="EH78" i="104"/>
  <c r="EA78" i="104"/>
  <c r="DM78" i="104"/>
  <c r="DF78" i="104"/>
  <c r="CY78" i="104"/>
  <c r="DT78" i="104"/>
  <c r="DN41" i="104"/>
  <c r="DG41" i="104"/>
  <c r="DU41" i="104"/>
  <c r="EP29" i="104"/>
  <c r="EI29" i="104"/>
  <c r="EB29" i="104"/>
  <c r="DN29" i="104"/>
  <c r="DG29" i="104"/>
  <c r="CZ29" i="104"/>
  <c r="DU29" i="104"/>
  <c r="CY11" i="159"/>
  <c r="AD31" i="159"/>
  <c r="DT31" i="159" s="1"/>
  <c r="EO136" i="104"/>
  <c r="EH136" i="104"/>
  <c r="EA136" i="104"/>
  <c r="DM136" i="104"/>
  <c r="DF136" i="104"/>
  <c r="CY136" i="104"/>
  <c r="DT136" i="104"/>
  <c r="EO165" i="104"/>
  <c r="EH165" i="104"/>
  <c r="EA165" i="104"/>
  <c r="DM165" i="104"/>
  <c r="CY165" i="104"/>
  <c r="DF165" i="104"/>
  <c r="DT165" i="104"/>
  <c r="EO83" i="104"/>
  <c r="EH83" i="104"/>
  <c r="EA83" i="104"/>
  <c r="DM83" i="104"/>
  <c r="DF83" i="104"/>
  <c r="CY83" i="104"/>
  <c r="DT83" i="104"/>
  <c r="EO175" i="104"/>
  <c r="EH175" i="104"/>
  <c r="EA175" i="104"/>
  <c r="DM175" i="104"/>
  <c r="DF175" i="104"/>
  <c r="CY175" i="104"/>
  <c r="DT175" i="104"/>
  <c r="EP30" i="104"/>
  <c r="EI30" i="104"/>
  <c r="EB30" i="104"/>
  <c r="DN30" i="104"/>
  <c r="DG30" i="104"/>
  <c r="CZ30" i="104"/>
  <c r="DU30" i="104"/>
  <c r="EO139" i="104"/>
  <c r="EH139" i="104"/>
  <c r="EA139" i="104"/>
  <c r="DM139" i="104"/>
  <c r="DF139" i="104"/>
  <c r="CY139" i="104"/>
  <c r="DT139" i="104"/>
  <c r="EO171" i="104"/>
  <c r="EH171" i="104"/>
  <c r="EA171" i="104"/>
  <c r="DM171" i="104"/>
  <c r="DF171" i="104"/>
  <c r="CY171" i="104"/>
  <c r="DT171" i="104"/>
  <c r="EO133" i="104"/>
  <c r="EH133" i="104"/>
  <c r="EA133" i="104"/>
  <c r="DM133" i="104"/>
  <c r="DF133" i="104"/>
  <c r="DT133" i="104"/>
  <c r="EO138" i="104"/>
  <c r="EH138" i="104"/>
  <c r="EA138" i="104"/>
  <c r="DM138" i="104"/>
  <c r="DF138" i="104"/>
  <c r="CY138" i="104"/>
  <c r="DT138" i="104"/>
  <c r="EO135" i="104"/>
  <c r="EH135" i="104"/>
  <c r="EA135" i="104"/>
  <c r="DM135" i="104"/>
  <c r="DF135" i="104"/>
  <c r="CY135" i="104"/>
  <c r="DT135" i="104"/>
  <c r="DT13" i="159"/>
  <c r="DM10" i="159"/>
  <c r="EH7" i="159"/>
  <c r="DT6" i="159"/>
  <c r="EH13" i="159"/>
  <c r="DM6" i="159"/>
  <c r="AE30" i="159"/>
  <c r="AE20" i="159"/>
  <c r="EP10" i="159"/>
  <c r="DG10" i="159"/>
  <c r="EB10" i="159"/>
  <c r="CZ10" i="159"/>
  <c r="AE26" i="159"/>
  <c r="AE16" i="159"/>
  <c r="DN6" i="159"/>
  <c r="DU6" i="159"/>
  <c r="DG6" i="159"/>
  <c r="CZ6" i="159"/>
  <c r="EI6" i="159"/>
  <c r="EP6" i="159"/>
  <c r="EB6" i="159"/>
  <c r="EO28" i="159"/>
  <c r="CY28" i="159"/>
  <c r="DF17" i="159"/>
  <c r="AE28" i="159"/>
  <c r="AE18" i="159"/>
  <c r="DU8" i="159"/>
  <c r="EB8" i="159"/>
  <c r="DN8" i="159"/>
  <c r="DG8" i="159"/>
  <c r="CZ8" i="159"/>
  <c r="EI8" i="159"/>
  <c r="EP8" i="159"/>
  <c r="DM27" i="159"/>
  <c r="EO27" i="159"/>
  <c r="DT23" i="159"/>
  <c r="DU7" i="159"/>
  <c r="AE21" i="159"/>
  <c r="AE31" i="159"/>
  <c r="EB11" i="159"/>
  <c r="EP11" i="159"/>
  <c r="DG11" i="159"/>
  <c r="EI11" i="159"/>
  <c r="CZ11" i="159"/>
  <c r="AE23" i="159"/>
  <c r="AE33" i="159"/>
  <c r="DU13" i="159"/>
  <c r="DG13" i="159"/>
  <c r="DN13" i="159"/>
  <c r="EI13" i="159"/>
  <c r="EP13" i="159"/>
  <c r="EB13" i="159"/>
  <c r="CZ13" i="159"/>
  <c r="DF31" i="159"/>
  <c r="EH31" i="159"/>
  <c r="EA33" i="159"/>
  <c r="DM33" i="159"/>
  <c r="CY33" i="159"/>
  <c r="AE19" i="159"/>
  <c r="AE29" i="159"/>
  <c r="DU9" i="159"/>
  <c r="DG9" i="159"/>
  <c r="EP9" i="159"/>
  <c r="EI9" i="159"/>
  <c r="DN9" i="159"/>
  <c r="EB9" i="159"/>
  <c r="CZ9" i="159"/>
  <c r="EO32" i="159"/>
  <c r="DT29" i="159"/>
  <c r="DF29" i="159"/>
  <c r="EO29" i="159"/>
  <c r="DM29" i="159"/>
  <c r="CY29" i="159"/>
  <c r="EH29" i="159"/>
  <c r="EA29" i="159"/>
  <c r="EA26" i="159"/>
  <c r="CY26" i="159"/>
  <c r="EO26" i="159"/>
  <c r="EH26" i="159"/>
  <c r="DF26" i="159"/>
  <c r="DT22" i="159"/>
  <c r="DM22" i="159"/>
  <c r="EO22" i="159"/>
  <c r="DF22" i="159"/>
  <c r="EA22" i="159"/>
  <c r="EH22" i="159"/>
  <c r="CY22" i="159"/>
  <c r="DT20" i="159"/>
  <c r="CY20" i="159"/>
  <c r="DM20" i="159"/>
  <c r="EI12" i="159"/>
  <c r="CZ12" i="159"/>
  <c r="BT159" i="104"/>
  <c r="DQ159" i="104" s="1"/>
  <c r="BH172" i="104"/>
  <c r="DE172" i="104" s="1"/>
  <c r="EW172" i="104" s="1"/>
  <c r="BT130" i="104"/>
  <c r="DQ130" i="104" s="1"/>
  <c r="BT147" i="104"/>
  <c r="DQ147" i="104" s="1"/>
  <c r="BT158" i="104"/>
  <c r="DQ158" i="104" s="1"/>
  <c r="AF37" i="104"/>
  <c r="EV37" i="104" s="1"/>
  <c r="AE151" i="104"/>
  <c r="AE94" i="104"/>
  <c r="BT100" i="104"/>
  <c r="DQ100" i="104" s="1"/>
  <c r="BT91" i="104"/>
  <c r="DQ91" i="104" s="1"/>
  <c r="BT157" i="104"/>
  <c r="DQ157" i="104" s="1"/>
  <c r="BT162" i="104"/>
  <c r="DQ162" i="104" s="1"/>
  <c r="EV55" i="104"/>
  <c r="AE169" i="104"/>
  <c r="AE112" i="104"/>
  <c r="BT123" i="104"/>
  <c r="DQ123" i="104" s="1"/>
  <c r="AF41" i="104"/>
  <c r="EV41" i="104" s="1"/>
  <c r="AE155" i="104"/>
  <c r="AE98" i="104"/>
  <c r="BT89" i="104"/>
  <c r="DQ89" i="104" s="1"/>
  <c r="EV51" i="104"/>
  <c r="AE165" i="104"/>
  <c r="AE108" i="104"/>
  <c r="BT163" i="104"/>
  <c r="DQ163" i="104" s="1"/>
  <c r="BT156" i="104"/>
  <c r="DQ156" i="104" s="1"/>
  <c r="AF22" i="104"/>
  <c r="EV22" i="104" s="1"/>
  <c r="AE136" i="104"/>
  <c r="AE79" i="104"/>
  <c r="AF25" i="104"/>
  <c r="EV25" i="104" s="1"/>
  <c r="AE139" i="104"/>
  <c r="AE82" i="104"/>
  <c r="AF19" i="104"/>
  <c r="EV19" i="104" s="1"/>
  <c r="AE133" i="104"/>
  <c r="AE76" i="104"/>
  <c r="BT148" i="104"/>
  <c r="DQ148" i="104" s="1"/>
  <c r="BT97" i="104"/>
  <c r="DQ97" i="104" s="1"/>
  <c r="BT115" i="104"/>
  <c r="DQ115" i="104" s="1"/>
  <c r="BT152" i="104"/>
  <c r="DQ152" i="104" s="1"/>
  <c r="BT154" i="104"/>
  <c r="DQ154" i="104" s="1"/>
  <c r="BT128" i="104"/>
  <c r="DQ128" i="104" s="1"/>
  <c r="BT88" i="104"/>
  <c r="DQ88" i="104" s="1"/>
  <c r="BT131" i="104"/>
  <c r="DQ131" i="104" s="1"/>
  <c r="BT90" i="104"/>
  <c r="DQ90" i="104" s="1"/>
  <c r="AF24" i="104"/>
  <c r="EV24" i="104" s="1"/>
  <c r="AE138" i="104"/>
  <c r="AE81" i="104"/>
  <c r="AF23" i="104"/>
  <c r="EV23" i="104" s="1"/>
  <c r="AE137" i="104"/>
  <c r="AE80" i="104"/>
  <c r="AF29" i="104"/>
  <c r="EV29" i="104" s="1"/>
  <c r="AE143" i="104"/>
  <c r="AE86" i="104"/>
  <c r="BT66" i="104"/>
  <c r="DQ66" i="104" s="1"/>
  <c r="AF26" i="104"/>
  <c r="EV26" i="104" s="1"/>
  <c r="AE140" i="104"/>
  <c r="AE83" i="104"/>
  <c r="BH115" i="104"/>
  <c r="DE115" i="104" s="1"/>
  <c r="EW115" i="104" s="1"/>
  <c r="EV54" i="104"/>
  <c r="AE168" i="104"/>
  <c r="AE111" i="104"/>
  <c r="BT124" i="104"/>
  <c r="DQ124" i="104" s="1"/>
  <c r="BT95" i="104"/>
  <c r="DQ95" i="104" s="1"/>
  <c r="AF30" i="104"/>
  <c r="EV30" i="104" s="1"/>
  <c r="AE144" i="104"/>
  <c r="AE87" i="104"/>
  <c r="BT126" i="104"/>
  <c r="DQ126" i="104" s="1"/>
  <c r="BT96" i="104"/>
  <c r="DQ96" i="104" s="1"/>
  <c r="AF60" i="104"/>
  <c r="EV60" i="104" s="1"/>
  <c r="AE174" i="104"/>
  <c r="AE117" i="104"/>
  <c r="BT101" i="104"/>
  <c r="DQ101" i="104" s="1"/>
  <c r="BT67" i="104"/>
  <c r="DQ67" i="104" s="1"/>
  <c r="BT145" i="104"/>
  <c r="DQ145" i="104" s="1"/>
  <c r="EV57" i="104"/>
  <c r="AE171" i="104"/>
  <c r="AE114" i="104"/>
  <c r="BT121" i="104"/>
  <c r="DQ121" i="104" s="1"/>
  <c r="BT160" i="104"/>
  <c r="DQ160" i="104" s="1"/>
  <c r="EV52" i="104"/>
  <c r="AE166" i="104"/>
  <c r="AE109" i="104"/>
  <c r="BT172" i="104"/>
  <c r="DQ172" i="104" s="1"/>
  <c r="EV53" i="104"/>
  <c r="AE167" i="104"/>
  <c r="AE110" i="104"/>
  <c r="BT129" i="104"/>
  <c r="DQ129" i="104" s="1"/>
  <c r="AF27" i="104"/>
  <c r="EV27" i="104" s="1"/>
  <c r="AE141" i="104"/>
  <c r="AE84" i="104"/>
  <c r="BT93" i="104"/>
  <c r="DQ93" i="104" s="1"/>
  <c r="BT127" i="104"/>
  <c r="DQ127" i="104" s="1"/>
  <c r="BT161" i="104"/>
  <c r="DQ161" i="104" s="1"/>
  <c r="BT104" i="104"/>
  <c r="DQ104" i="104" s="1"/>
  <c r="BT65" i="104"/>
  <c r="DQ65" i="104" s="1"/>
  <c r="EV56" i="104"/>
  <c r="AE170" i="104"/>
  <c r="AE113" i="104"/>
  <c r="BT153" i="104"/>
  <c r="DQ153" i="104" s="1"/>
  <c r="AF21" i="104"/>
  <c r="EV21" i="104" s="1"/>
  <c r="AE135" i="104"/>
  <c r="AE78" i="104"/>
  <c r="BT99" i="104"/>
  <c r="DQ99" i="104" s="1"/>
  <c r="AF61" i="104"/>
  <c r="EV61" i="104" s="1"/>
  <c r="AE175" i="104"/>
  <c r="AE118" i="104"/>
  <c r="BT64" i="104"/>
  <c r="DQ64" i="104" s="1"/>
  <c r="BT105" i="104"/>
  <c r="DQ105" i="104" s="1"/>
  <c r="BT146" i="104"/>
  <c r="DQ146" i="104" s="1"/>
  <c r="BT103" i="104"/>
  <c r="DQ103" i="104" s="1"/>
  <c r="BT122" i="104"/>
  <c r="DQ122" i="104" s="1"/>
  <c r="AF28" i="104"/>
  <c r="EV28" i="104" s="1"/>
  <c r="AE142" i="104"/>
  <c r="AE85" i="104"/>
  <c r="BT149" i="104"/>
  <c r="DQ149" i="104" s="1"/>
  <c r="BT92" i="104"/>
  <c r="DQ92" i="104" s="1"/>
  <c r="BT132" i="104"/>
  <c r="DQ132" i="104" s="1"/>
  <c r="EV50" i="104"/>
  <c r="AE164" i="104"/>
  <c r="AE107" i="104"/>
  <c r="BT102" i="104"/>
  <c r="DQ102" i="104" s="1"/>
  <c r="AF20" i="104"/>
  <c r="EV20" i="104" s="1"/>
  <c r="AE134" i="104"/>
  <c r="AE77" i="104"/>
  <c r="BT150" i="104"/>
  <c r="DQ150" i="104" s="1"/>
  <c r="BT106" i="104"/>
  <c r="DQ106" i="104" s="1"/>
  <c r="BT76" i="104"/>
  <c r="BM114" i="104"/>
  <c r="BT74" i="104"/>
  <c r="DQ74" i="104" s="1"/>
  <c r="BT77" i="104"/>
  <c r="BT125" i="104"/>
  <c r="DQ125" i="104" s="1"/>
  <c r="BM171" i="104"/>
  <c r="BT70" i="104"/>
  <c r="DQ70" i="104" s="1"/>
  <c r="BM115" i="104"/>
  <c r="DJ115" i="104" s="1"/>
  <c r="BH107" i="104"/>
  <c r="BH164" i="104"/>
  <c r="BT68" i="104"/>
  <c r="DQ68" i="104" s="1"/>
  <c r="BT78" i="104"/>
  <c r="BT69" i="104"/>
  <c r="DQ69" i="104" s="1"/>
  <c r="BT73" i="104"/>
  <c r="DQ73" i="104" s="1"/>
  <c r="BT71" i="104"/>
  <c r="DQ71" i="104" s="1"/>
  <c r="BM172" i="104"/>
  <c r="DJ172" i="104" s="1"/>
  <c r="BT75" i="104"/>
  <c r="DQ75" i="104" s="1"/>
  <c r="BT72" i="104"/>
  <c r="DQ72" i="104" s="1"/>
  <c r="BT79" i="104"/>
  <c r="EH32" i="159" l="1"/>
  <c r="DT32" i="159"/>
  <c r="EA19" i="159"/>
  <c r="EA32" i="159"/>
  <c r="DF32" i="159"/>
  <c r="CY32" i="159"/>
  <c r="EO21" i="159"/>
  <c r="DT27" i="159"/>
  <c r="EH27" i="159"/>
  <c r="CY27" i="159"/>
  <c r="EA27" i="159"/>
  <c r="EH17" i="159"/>
  <c r="CY17" i="159"/>
  <c r="EO17" i="159"/>
  <c r="EA17" i="159"/>
  <c r="DM26" i="159"/>
  <c r="DN11" i="159"/>
  <c r="AE17" i="159"/>
  <c r="DN17" i="159" s="1"/>
  <c r="EI10" i="159"/>
  <c r="EH30" i="159"/>
  <c r="DU11" i="159"/>
  <c r="DF21" i="159"/>
  <c r="DT28" i="159"/>
  <c r="DN10" i="159"/>
  <c r="CZ7" i="159"/>
  <c r="DG7" i="159"/>
  <c r="AE22" i="159"/>
  <c r="DN22" i="159" s="1"/>
  <c r="EH20" i="159"/>
  <c r="EA20" i="159"/>
  <c r="EH16" i="159"/>
  <c r="EA28" i="159"/>
  <c r="AE32" i="159"/>
  <c r="DU32" i="159" s="1"/>
  <c r="EO20" i="159"/>
  <c r="EA16" i="159"/>
  <c r="DM28" i="159"/>
  <c r="DF28" i="159"/>
  <c r="DN12" i="159"/>
  <c r="EA23" i="159"/>
  <c r="CY19" i="159"/>
  <c r="EH23" i="159"/>
  <c r="EH19" i="159"/>
  <c r="DF19" i="159"/>
  <c r="DM19" i="159"/>
  <c r="EO19" i="159"/>
  <c r="DT17" i="159"/>
  <c r="EH18" i="159"/>
  <c r="CY31" i="159"/>
  <c r="EP12" i="159"/>
  <c r="DO12" i="159"/>
  <c r="EO33" i="159"/>
  <c r="DM31" i="159"/>
  <c r="DM23" i="159"/>
  <c r="CY21" i="159"/>
  <c r="EB12" i="159"/>
  <c r="DF33" i="159"/>
  <c r="EO31" i="159"/>
  <c r="DF23" i="159"/>
  <c r="DT21" i="159"/>
  <c r="DM21" i="159"/>
  <c r="EA31" i="159"/>
  <c r="EH21" i="159"/>
  <c r="DG12" i="159"/>
  <c r="EH33" i="159"/>
  <c r="CY23" i="159"/>
  <c r="AH7" i="159"/>
  <c r="AI7" i="159" s="1"/>
  <c r="AJ7" i="159" s="1"/>
  <c r="DN7" i="159"/>
  <c r="AE27" i="159"/>
  <c r="DU27" i="159" s="1"/>
  <c r="DF16" i="159"/>
  <c r="EI7" i="159"/>
  <c r="DT16" i="159"/>
  <c r="EB7" i="159"/>
  <c r="EO16" i="159"/>
  <c r="CY16" i="159"/>
  <c r="DT30" i="159"/>
  <c r="DF18" i="159"/>
  <c r="EA18" i="159"/>
  <c r="EA30" i="159"/>
  <c r="DT18" i="159"/>
  <c r="EO30" i="159"/>
  <c r="CY30" i="159"/>
  <c r="CY18" i="159"/>
  <c r="DM30" i="159"/>
  <c r="EO18" i="159"/>
  <c r="EP139" i="104"/>
  <c r="EI139" i="104"/>
  <c r="EB139" i="104"/>
  <c r="DN139" i="104"/>
  <c r="DG139" i="104"/>
  <c r="CZ139" i="104"/>
  <c r="DU139" i="104"/>
  <c r="EQ61" i="104"/>
  <c r="EJ61" i="104"/>
  <c r="EC61" i="104"/>
  <c r="DO61" i="104"/>
  <c r="DH61" i="104"/>
  <c r="DA61" i="104"/>
  <c r="DV61" i="104"/>
  <c r="EP137" i="104"/>
  <c r="EI137" i="104"/>
  <c r="EB137" i="104"/>
  <c r="DN137" i="104"/>
  <c r="DG137" i="104"/>
  <c r="CZ137" i="104"/>
  <c r="DU137" i="104"/>
  <c r="EP79" i="104"/>
  <c r="EI79" i="104"/>
  <c r="EB79" i="104"/>
  <c r="DN79" i="104"/>
  <c r="DG79" i="104"/>
  <c r="CZ79" i="104"/>
  <c r="DU79" i="104"/>
  <c r="EQ55" i="104"/>
  <c r="EJ55" i="104"/>
  <c r="EC55" i="104"/>
  <c r="DO55" i="104"/>
  <c r="DH55" i="104"/>
  <c r="DA55" i="104"/>
  <c r="DV55" i="104"/>
  <c r="EP80" i="104"/>
  <c r="EI80" i="104"/>
  <c r="EB80" i="104"/>
  <c r="DN80" i="104"/>
  <c r="DG80" i="104"/>
  <c r="CZ80" i="104"/>
  <c r="DU80" i="104"/>
  <c r="EQ25" i="104"/>
  <c r="EC25" i="104"/>
  <c r="EJ25" i="104"/>
  <c r="DO25" i="104"/>
  <c r="DH25" i="104"/>
  <c r="DA25" i="104"/>
  <c r="DV25" i="104"/>
  <c r="EQ56" i="104"/>
  <c r="EJ56" i="104"/>
  <c r="EC56" i="104"/>
  <c r="DO56" i="104"/>
  <c r="DH56" i="104"/>
  <c r="DA56" i="104"/>
  <c r="DV56" i="104"/>
  <c r="EP141" i="104"/>
  <c r="EI141" i="104"/>
  <c r="EB141" i="104"/>
  <c r="DN141" i="104"/>
  <c r="DG141" i="104"/>
  <c r="CZ141" i="104"/>
  <c r="DU141" i="104"/>
  <c r="EQ53" i="104"/>
  <c r="EJ53" i="104"/>
  <c r="EC53" i="104"/>
  <c r="DO53" i="104"/>
  <c r="DH53" i="104"/>
  <c r="DA53" i="104"/>
  <c r="DV53" i="104"/>
  <c r="EP144" i="104"/>
  <c r="EI144" i="104"/>
  <c r="EB144" i="104"/>
  <c r="DN144" i="104"/>
  <c r="DG144" i="104"/>
  <c r="CZ144" i="104"/>
  <c r="DU144" i="104"/>
  <c r="EQ26" i="104"/>
  <c r="EC26" i="104"/>
  <c r="EJ26" i="104"/>
  <c r="DO26" i="104"/>
  <c r="DH26" i="104"/>
  <c r="DA26" i="104"/>
  <c r="DV26" i="104"/>
  <c r="EQ23" i="104"/>
  <c r="EJ23" i="104"/>
  <c r="EC23" i="104"/>
  <c r="DO23" i="104"/>
  <c r="DA23" i="104"/>
  <c r="DH23" i="104"/>
  <c r="DV23" i="104"/>
  <c r="EP76" i="104"/>
  <c r="EI76" i="104"/>
  <c r="EB76" i="104"/>
  <c r="DN76" i="104"/>
  <c r="DG76" i="104"/>
  <c r="DU76" i="104"/>
  <c r="EP136" i="104"/>
  <c r="EI136" i="104"/>
  <c r="EB136" i="104"/>
  <c r="DN136" i="104"/>
  <c r="DG136" i="104"/>
  <c r="CZ136" i="104"/>
  <c r="DU136" i="104"/>
  <c r="DO37" i="104"/>
  <c r="DH37" i="104"/>
  <c r="DV37" i="104"/>
  <c r="EP84" i="104"/>
  <c r="EI84" i="104"/>
  <c r="EB84" i="104"/>
  <c r="DN84" i="104"/>
  <c r="DG84" i="104"/>
  <c r="CZ84" i="104"/>
  <c r="DU84" i="104"/>
  <c r="EQ50" i="104"/>
  <c r="EJ50" i="104"/>
  <c r="EC50" i="104"/>
  <c r="DO50" i="104"/>
  <c r="DH50" i="104"/>
  <c r="DA50" i="104"/>
  <c r="DV50" i="104"/>
  <c r="EP77" i="104"/>
  <c r="EI77" i="104"/>
  <c r="EB77" i="104"/>
  <c r="DN77" i="104"/>
  <c r="DG77" i="104"/>
  <c r="DU77" i="104"/>
  <c r="EP142" i="104"/>
  <c r="EI142" i="104"/>
  <c r="EB142" i="104"/>
  <c r="DN142" i="104"/>
  <c r="DG142" i="104"/>
  <c r="CZ142" i="104"/>
  <c r="DU142" i="104"/>
  <c r="EQ27" i="104"/>
  <c r="EJ27" i="104"/>
  <c r="EC27" i="104"/>
  <c r="DO27" i="104"/>
  <c r="DH27" i="104"/>
  <c r="DA27" i="104"/>
  <c r="DV27" i="104"/>
  <c r="EP114" i="104"/>
  <c r="EI114" i="104"/>
  <c r="EB114" i="104"/>
  <c r="DN114" i="104"/>
  <c r="DG114" i="104"/>
  <c r="CZ114" i="104"/>
  <c r="DU114" i="104"/>
  <c r="EP117" i="104"/>
  <c r="EI117" i="104"/>
  <c r="EB117" i="104"/>
  <c r="DN117" i="104"/>
  <c r="DG117" i="104"/>
  <c r="CZ117" i="104"/>
  <c r="DU117" i="104"/>
  <c r="EP111" i="104"/>
  <c r="EI111" i="104"/>
  <c r="EB111" i="104"/>
  <c r="DN111" i="104"/>
  <c r="DG111" i="104"/>
  <c r="CZ111" i="104"/>
  <c r="DU111" i="104"/>
  <c r="EP81" i="104"/>
  <c r="EI81" i="104"/>
  <c r="EB81" i="104"/>
  <c r="DN81" i="104"/>
  <c r="DG81" i="104"/>
  <c r="CZ81" i="104"/>
  <c r="DU81" i="104"/>
  <c r="EP133" i="104"/>
  <c r="EI133" i="104"/>
  <c r="EB133" i="104"/>
  <c r="DN133" i="104"/>
  <c r="DG133" i="104"/>
  <c r="DU133" i="104"/>
  <c r="EQ22" i="104"/>
  <c r="EJ22" i="104"/>
  <c r="EC22" i="104"/>
  <c r="DO22" i="104"/>
  <c r="DH22" i="104"/>
  <c r="DA22" i="104"/>
  <c r="DV22" i="104"/>
  <c r="DN98" i="104"/>
  <c r="DG98" i="104"/>
  <c r="DU98" i="104"/>
  <c r="EP112" i="104"/>
  <c r="EI112" i="104"/>
  <c r="EB112" i="104"/>
  <c r="DN112" i="104"/>
  <c r="DG112" i="104"/>
  <c r="CZ112" i="104"/>
  <c r="DU112" i="104"/>
  <c r="EP110" i="104"/>
  <c r="EI110" i="104"/>
  <c r="EB110" i="104"/>
  <c r="DN110" i="104"/>
  <c r="DG110" i="104"/>
  <c r="CZ110" i="104"/>
  <c r="DU110" i="104"/>
  <c r="EP169" i="104"/>
  <c r="EI169" i="104"/>
  <c r="EB169" i="104"/>
  <c r="DN169" i="104"/>
  <c r="DG169" i="104"/>
  <c r="CZ169" i="104"/>
  <c r="DU169" i="104"/>
  <c r="EP164" i="104"/>
  <c r="EI164" i="104"/>
  <c r="EB164" i="104"/>
  <c r="DN164" i="104"/>
  <c r="DG164" i="104"/>
  <c r="CZ164" i="104"/>
  <c r="DU164" i="104"/>
  <c r="EP170" i="104"/>
  <c r="EI170" i="104"/>
  <c r="EB170" i="104"/>
  <c r="DG170" i="104"/>
  <c r="DN170" i="104"/>
  <c r="CZ170" i="104"/>
  <c r="DU170" i="104"/>
  <c r="EP167" i="104"/>
  <c r="EI167" i="104"/>
  <c r="EB167" i="104"/>
  <c r="DN167" i="104"/>
  <c r="DG167" i="104"/>
  <c r="CZ167" i="104"/>
  <c r="DU167" i="104"/>
  <c r="EP87" i="104"/>
  <c r="EI87" i="104"/>
  <c r="EB87" i="104"/>
  <c r="DN87" i="104"/>
  <c r="DG87" i="104"/>
  <c r="CZ87" i="104"/>
  <c r="DU87" i="104"/>
  <c r="EP134" i="104"/>
  <c r="EB134" i="104"/>
  <c r="EI134" i="104"/>
  <c r="DN134" i="104"/>
  <c r="DG134" i="104"/>
  <c r="DU134" i="104"/>
  <c r="EP78" i="104"/>
  <c r="EI78" i="104"/>
  <c r="EB78" i="104"/>
  <c r="DN78" i="104"/>
  <c r="CZ78" i="104"/>
  <c r="DG78" i="104"/>
  <c r="DU78" i="104"/>
  <c r="EP109" i="104"/>
  <c r="EI109" i="104"/>
  <c r="EB109" i="104"/>
  <c r="DN109" i="104"/>
  <c r="DG109" i="104"/>
  <c r="CZ109" i="104"/>
  <c r="DU109" i="104"/>
  <c r="EP171" i="104"/>
  <c r="EI171" i="104"/>
  <c r="EB171" i="104"/>
  <c r="DN171" i="104"/>
  <c r="CZ171" i="104"/>
  <c r="DG171" i="104"/>
  <c r="DU171" i="104"/>
  <c r="EP174" i="104"/>
  <c r="EI174" i="104"/>
  <c r="EB174" i="104"/>
  <c r="DN174" i="104"/>
  <c r="CZ174" i="104"/>
  <c r="DG174" i="104"/>
  <c r="DU174" i="104"/>
  <c r="EQ30" i="104"/>
  <c r="EJ30" i="104"/>
  <c r="EC30" i="104"/>
  <c r="DO30" i="104"/>
  <c r="DH30" i="104"/>
  <c r="DA30" i="104"/>
  <c r="DV30" i="104"/>
  <c r="EP168" i="104"/>
  <c r="EI168" i="104"/>
  <c r="EB168" i="104"/>
  <c r="DN168" i="104"/>
  <c r="DG168" i="104"/>
  <c r="CZ168" i="104"/>
  <c r="DU168" i="104"/>
  <c r="EP86" i="104"/>
  <c r="EI86" i="104"/>
  <c r="EB86" i="104"/>
  <c r="DN86" i="104"/>
  <c r="DG86" i="104"/>
  <c r="CZ86" i="104"/>
  <c r="DU86" i="104"/>
  <c r="EP138" i="104"/>
  <c r="EI138" i="104"/>
  <c r="EB138" i="104"/>
  <c r="DN138" i="104"/>
  <c r="DG138" i="104"/>
  <c r="CZ138" i="104"/>
  <c r="DU138" i="104"/>
  <c r="EQ19" i="104"/>
  <c r="EJ19" i="104"/>
  <c r="EC19" i="104"/>
  <c r="DH19" i="104"/>
  <c r="DO19" i="104"/>
  <c r="DV19" i="104"/>
  <c r="DN155" i="104"/>
  <c r="DG155" i="104"/>
  <c r="DU155" i="104"/>
  <c r="EQ29" i="104"/>
  <c r="EJ29" i="104"/>
  <c r="EC29" i="104"/>
  <c r="DO29" i="104"/>
  <c r="DH29" i="104"/>
  <c r="DA29" i="104"/>
  <c r="DV29" i="104"/>
  <c r="DN94" i="104"/>
  <c r="DG94" i="104"/>
  <c r="DU94" i="104"/>
  <c r="EP83" i="104"/>
  <c r="EI83" i="104"/>
  <c r="EB83" i="104"/>
  <c r="DN83" i="104"/>
  <c r="DG83" i="104"/>
  <c r="CZ83" i="104"/>
  <c r="DU83" i="104"/>
  <c r="DN151" i="104"/>
  <c r="DG151" i="104"/>
  <c r="DU151" i="104"/>
  <c r="EP85" i="104"/>
  <c r="EI85" i="104"/>
  <c r="EB85" i="104"/>
  <c r="DN85" i="104"/>
  <c r="DG85" i="104"/>
  <c r="CZ85" i="104"/>
  <c r="DU85" i="104"/>
  <c r="EQ20" i="104"/>
  <c r="EJ20" i="104"/>
  <c r="EC20" i="104"/>
  <c r="DO20" i="104"/>
  <c r="DH20" i="104"/>
  <c r="DV20" i="104"/>
  <c r="EP118" i="104"/>
  <c r="EI118" i="104"/>
  <c r="EB118" i="104"/>
  <c r="DN118" i="104"/>
  <c r="CZ118" i="104"/>
  <c r="DG118" i="104"/>
  <c r="DU118" i="104"/>
  <c r="EI135" i="104"/>
  <c r="EP135" i="104"/>
  <c r="EB135" i="104"/>
  <c r="DN135" i="104"/>
  <c r="DG135" i="104"/>
  <c r="CZ135" i="104"/>
  <c r="DU135" i="104"/>
  <c r="EP166" i="104"/>
  <c r="EB166" i="104"/>
  <c r="EI166" i="104"/>
  <c r="DN166" i="104"/>
  <c r="DG166" i="104"/>
  <c r="CZ166" i="104"/>
  <c r="DU166" i="104"/>
  <c r="EQ57" i="104"/>
  <c r="EJ57" i="104"/>
  <c r="EC57" i="104"/>
  <c r="DO57" i="104"/>
  <c r="DH57" i="104"/>
  <c r="DA57" i="104"/>
  <c r="DV57" i="104"/>
  <c r="EQ60" i="104"/>
  <c r="EJ60" i="104"/>
  <c r="EC60" i="104"/>
  <c r="DO60" i="104"/>
  <c r="DH60" i="104"/>
  <c r="DA60" i="104"/>
  <c r="DV60" i="104"/>
  <c r="EQ54" i="104"/>
  <c r="EJ54" i="104"/>
  <c r="EC54" i="104"/>
  <c r="DO54" i="104"/>
  <c r="DH54" i="104"/>
  <c r="DA54" i="104"/>
  <c r="DV54" i="104"/>
  <c r="EP143" i="104"/>
  <c r="EI143" i="104"/>
  <c r="EB143" i="104"/>
  <c r="DN143" i="104"/>
  <c r="DG143" i="104"/>
  <c r="CZ143" i="104"/>
  <c r="DU143" i="104"/>
  <c r="DO41" i="104"/>
  <c r="DH41" i="104"/>
  <c r="DV41" i="104"/>
  <c r="EP165" i="104"/>
  <c r="EI165" i="104"/>
  <c r="EB165" i="104"/>
  <c r="DN165" i="104"/>
  <c r="CZ165" i="104"/>
  <c r="DG165" i="104"/>
  <c r="DU165" i="104"/>
  <c r="EP107" i="104"/>
  <c r="EI107" i="104"/>
  <c r="EB107" i="104"/>
  <c r="DN107" i="104"/>
  <c r="DG107" i="104"/>
  <c r="CZ107" i="104"/>
  <c r="DU107" i="104"/>
  <c r="EP113" i="104"/>
  <c r="EI113" i="104"/>
  <c r="EB113" i="104"/>
  <c r="DN113" i="104"/>
  <c r="DG113" i="104"/>
  <c r="CZ113" i="104"/>
  <c r="DU113" i="104"/>
  <c r="EQ51" i="104"/>
  <c r="EJ51" i="104"/>
  <c r="EC51" i="104"/>
  <c r="DO51" i="104"/>
  <c r="DH51" i="104"/>
  <c r="DA51" i="104"/>
  <c r="DV51" i="104"/>
  <c r="EP140" i="104"/>
  <c r="EI140" i="104"/>
  <c r="EB140" i="104"/>
  <c r="DN140" i="104"/>
  <c r="DG140" i="104"/>
  <c r="CZ140" i="104"/>
  <c r="DU140" i="104"/>
  <c r="EQ28" i="104"/>
  <c r="EJ28" i="104"/>
  <c r="EC28" i="104"/>
  <c r="DO28" i="104"/>
  <c r="DH28" i="104"/>
  <c r="DA28" i="104"/>
  <c r="DV28" i="104"/>
  <c r="EP175" i="104"/>
  <c r="EI175" i="104"/>
  <c r="EB175" i="104"/>
  <c r="DN175" i="104"/>
  <c r="DG175" i="104"/>
  <c r="CZ175" i="104"/>
  <c r="DU175" i="104"/>
  <c r="EQ21" i="104"/>
  <c r="EJ21" i="104"/>
  <c r="EC21" i="104"/>
  <c r="DO21" i="104"/>
  <c r="DH21" i="104"/>
  <c r="DA21" i="104"/>
  <c r="DV21" i="104"/>
  <c r="EQ52" i="104"/>
  <c r="EJ52" i="104"/>
  <c r="EC52" i="104"/>
  <c r="DO52" i="104"/>
  <c r="DH52" i="104"/>
  <c r="DA52" i="104"/>
  <c r="DV52" i="104"/>
  <c r="EQ24" i="104"/>
  <c r="EC24" i="104"/>
  <c r="EJ24" i="104"/>
  <c r="DO24" i="104"/>
  <c r="DH24" i="104"/>
  <c r="DA24" i="104"/>
  <c r="DV24" i="104"/>
  <c r="EP82" i="104"/>
  <c r="EI82" i="104"/>
  <c r="EB82" i="104"/>
  <c r="DN82" i="104"/>
  <c r="DG82" i="104"/>
  <c r="CZ82" i="104"/>
  <c r="DU82" i="104"/>
  <c r="EP108" i="104"/>
  <c r="EI108" i="104"/>
  <c r="EB108" i="104"/>
  <c r="DN108" i="104"/>
  <c r="DG108" i="104"/>
  <c r="CZ108" i="104"/>
  <c r="DU108" i="104"/>
  <c r="DU29" i="159"/>
  <c r="DG29" i="159"/>
  <c r="EP29" i="159"/>
  <c r="EB29" i="159"/>
  <c r="DN29" i="159"/>
  <c r="EI29" i="159"/>
  <c r="CZ29" i="159"/>
  <c r="DU33" i="159"/>
  <c r="EB33" i="159"/>
  <c r="DG33" i="159"/>
  <c r="EI33" i="159"/>
  <c r="EP33" i="159"/>
  <c r="DN33" i="159"/>
  <c r="CZ33" i="159"/>
  <c r="DU17" i="159"/>
  <c r="DG17" i="159"/>
  <c r="DU28" i="159"/>
  <c r="EI28" i="159"/>
  <c r="EB28" i="159"/>
  <c r="DN28" i="159"/>
  <c r="EP28" i="159"/>
  <c r="DG28" i="159"/>
  <c r="CZ28" i="159"/>
  <c r="DU20" i="159"/>
  <c r="EI20" i="159"/>
  <c r="DG20" i="159"/>
  <c r="EP20" i="159"/>
  <c r="DN20" i="159"/>
  <c r="EB20" i="159"/>
  <c r="CZ20" i="159"/>
  <c r="DU19" i="159"/>
  <c r="EI19" i="159"/>
  <c r="DN19" i="159"/>
  <c r="EB19" i="159"/>
  <c r="EP19" i="159"/>
  <c r="DG19" i="159"/>
  <c r="CZ19" i="159"/>
  <c r="DU23" i="159"/>
  <c r="CZ23" i="159"/>
  <c r="DG23" i="159"/>
  <c r="EB23" i="159"/>
  <c r="EP23" i="159"/>
  <c r="DN23" i="159"/>
  <c r="EI23" i="159"/>
  <c r="CZ27" i="159"/>
  <c r="EP27" i="159"/>
  <c r="EB27" i="159"/>
  <c r="EI27" i="159"/>
  <c r="DG27" i="159"/>
  <c r="DN27" i="159"/>
  <c r="DU30" i="159"/>
  <c r="EI30" i="159"/>
  <c r="EP30" i="159"/>
  <c r="EB30" i="159"/>
  <c r="CZ30" i="159"/>
  <c r="DG30" i="159"/>
  <c r="DN30" i="159"/>
  <c r="AF29" i="159"/>
  <c r="AF19" i="159"/>
  <c r="AH9" i="159"/>
  <c r="AI9" i="159" s="1"/>
  <c r="AJ9" i="159" s="1"/>
  <c r="DV9" i="159"/>
  <c r="DH9" i="159"/>
  <c r="DO9" i="159"/>
  <c r="EQ9" i="159"/>
  <c r="EJ9" i="159"/>
  <c r="EC9" i="159"/>
  <c r="DA9" i="159"/>
  <c r="AH13" i="159"/>
  <c r="AI13" i="159" s="1"/>
  <c r="AJ13" i="159" s="1"/>
  <c r="AF33" i="159"/>
  <c r="AF23" i="159"/>
  <c r="DV13" i="159"/>
  <c r="DH13" i="159"/>
  <c r="EC13" i="159"/>
  <c r="DO13" i="159"/>
  <c r="EQ13" i="159"/>
  <c r="EJ13" i="159"/>
  <c r="DA13" i="159"/>
  <c r="AF30" i="159"/>
  <c r="AH10" i="159"/>
  <c r="AI10" i="159" s="1"/>
  <c r="AJ10" i="159" s="1"/>
  <c r="AF20" i="159"/>
  <c r="DV10" i="159"/>
  <c r="EQ10" i="159"/>
  <c r="DO10" i="159"/>
  <c r="DH10" i="159"/>
  <c r="EJ10" i="159"/>
  <c r="DA10" i="159"/>
  <c r="EC10" i="159"/>
  <c r="DU18" i="159"/>
  <c r="DN18" i="159"/>
  <c r="EP18" i="159"/>
  <c r="DG18" i="159"/>
  <c r="EI18" i="159"/>
  <c r="EB18" i="159"/>
  <c r="CZ18" i="159"/>
  <c r="DU31" i="159"/>
  <c r="DN31" i="159"/>
  <c r="CZ31" i="159"/>
  <c r="EB31" i="159"/>
  <c r="DG31" i="159"/>
  <c r="EI31" i="159"/>
  <c r="EP31" i="159"/>
  <c r="EB32" i="159"/>
  <c r="EP32" i="159"/>
  <c r="AF21" i="159"/>
  <c r="AF31" i="159"/>
  <c r="AH11" i="159"/>
  <c r="AI11" i="159" s="1"/>
  <c r="AJ11" i="159" s="1"/>
  <c r="DV11" i="159"/>
  <c r="EC11" i="159"/>
  <c r="EQ11" i="159"/>
  <c r="DH11" i="159"/>
  <c r="DO11" i="159"/>
  <c r="EJ11" i="159"/>
  <c r="DA11" i="159"/>
  <c r="EI16" i="159"/>
  <c r="CZ16" i="159"/>
  <c r="DU16" i="159"/>
  <c r="EB16" i="159"/>
  <c r="DG16" i="159"/>
  <c r="EP16" i="159"/>
  <c r="DN16" i="159"/>
  <c r="AF22" i="159"/>
  <c r="DU21" i="159"/>
  <c r="DN21" i="159"/>
  <c r="DG21" i="159"/>
  <c r="CZ21" i="159"/>
  <c r="EB21" i="159"/>
  <c r="EI21" i="159"/>
  <c r="EP21" i="159"/>
  <c r="AF28" i="159"/>
  <c r="AF18" i="159"/>
  <c r="AH8" i="159"/>
  <c r="AI8" i="159" s="1"/>
  <c r="AJ8" i="159" s="1"/>
  <c r="DV8" i="159"/>
  <c r="EC8" i="159"/>
  <c r="DO8" i="159"/>
  <c r="EQ8" i="159"/>
  <c r="DA8" i="159"/>
  <c r="DH8" i="159"/>
  <c r="EJ8" i="159"/>
  <c r="DU26" i="159"/>
  <c r="DN26" i="159"/>
  <c r="DG26" i="159"/>
  <c r="EI26" i="159"/>
  <c r="EP26" i="159"/>
  <c r="EB26" i="159"/>
  <c r="CZ26" i="159"/>
  <c r="AF27" i="159"/>
  <c r="AF17" i="159"/>
  <c r="AH6" i="159"/>
  <c r="AI6" i="159" s="1"/>
  <c r="AJ6" i="159" s="1"/>
  <c r="AF26" i="159"/>
  <c r="AF16" i="159"/>
  <c r="DV6" i="159"/>
  <c r="DH6" i="159"/>
  <c r="DO6" i="159"/>
  <c r="DA6" i="159"/>
  <c r="EQ6" i="159"/>
  <c r="EJ6" i="159"/>
  <c r="EC6" i="159"/>
  <c r="FF58" i="104"/>
  <c r="AG20" i="104"/>
  <c r="AF134" i="104"/>
  <c r="EV134" i="104" s="1"/>
  <c r="AF77" i="104"/>
  <c r="EV77" i="104" s="1"/>
  <c r="AG28" i="104"/>
  <c r="AF142" i="104"/>
  <c r="EV142" i="104" s="1"/>
  <c r="AF85" i="104"/>
  <c r="EV85" i="104" s="1"/>
  <c r="AG61" i="104"/>
  <c r="AF175" i="104"/>
  <c r="EV175" i="104" s="1"/>
  <c r="AF118" i="104"/>
  <c r="EV118" i="104" s="1"/>
  <c r="BU104" i="104"/>
  <c r="DR104" i="104" s="1"/>
  <c r="AG27" i="104"/>
  <c r="AF141" i="104"/>
  <c r="EV141" i="104" s="1"/>
  <c r="AF84" i="104"/>
  <c r="EV84" i="104" s="1"/>
  <c r="AG30" i="104"/>
  <c r="AF144" i="104"/>
  <c r="EV144" i="104" s="1"/>
  <c r="AF87" i="104"/>
  <c r="EV87" i="104" s="1"/>
  <c r="BU154" i="104"/>
  <c r="DR154" i="104" s="1"/>
  <c r="AF165" i="104"/>
  <c r="EV165" i="104" s="1"/>
  <c r="AF108" i="104"/>
  <c r="EV108" i="104" s="1"/>
  <c r="AG37" i="104"/>
  <c r="AF151" i="104"/>
  <c r="EV151" i="104" s="1"/>
  <c r="AF94" i="104"/>
  <c r="EV94" i="104" s="1"/>
  <c r="BU127" i="104"/>
  <c r="DR127" i="104" s="1"/>
  <c r="BU129" i="104"/>
  <c r="DR129" i="104" s="1"/>
  <c r="BU172" i="104"/>
  <c r="DR172" i="104" s="1"/>
  <c r="BU145" i="104"/>
  <c r="DR145" i="104" s="1"/>
  <c r="BU101" i="104"/>
  <c r="DR101" i="104" s="1"/>
  <c r="BU96" i="104"/>
  <c r="DR96" i="104" s="1"/>
  <c r="BU131" i="104"/>
  <c r="DR131" i="104" s="1"/>
  <c r="AG19" i="104"/>
  <c r="AF133" i="104"/>
  <c r="EV133" i="104" s="1"/>
  <c r="AF76" i="104"/>
  <c r="EV76" i="104" s="1"/>
  <c r="BU100" i="104"/>
  <c r="DR100" i="104" s="1"/>
  <c r="BU147" i="104"/>
  <c r="DR147" i="104" s="1"/>
  <c r="BU153" i="104"/>
  <c r="DR153" i="104" s="1"/>
  <c r="BU106" i="104"/>
  <c r="DR106" i="104" s="1"/>
  <c r="BU92" i="104"/>
  <c r="DR92" i="104" s="1"/>
  <c r="BU160" i="104"/>
  <c r="DR160" i="104" s="1"/>
  <c r="BU121" i="104"/>
  <c r="DR121" i="104" s="1"/>
  <c r="BU126" i="104"/>
  <c r="DR126" i="104" s="1"/>
  <c r="AF168" i="104"/>
  <c r="EV168" i="104" s="1"/>
  <c r="AF111" i="104"/>
  <c r="EV111" i="104" s="1"/>
  <c r="AG26" i="104"/>
  <c r="AF140" i="104"/>
  <c r="EV140" i="104" s="1"/>
  <c r="AF83" i="104"/>
  <c r="EV83" i="104" s="1"/>
  <c r="AG29" i="104"/>
  <c r="AF143" i="104"/>
  <c r="EV143" i="104" s="1"/>
  <c r="AF86" i="104"/>
  <c r="EV86" i="104" s="1"/>
  <c r="BU148" i="104"/>
  <c r="DR148" i="104" s="1"/>
  <c r="BU156" i="104"/>
  <c r="DR156" i="104" s="1"/>
  <c r="BU123" i="104"/>
  <c r="DR123" i="104" s="1"/>
  <c r="BU90" i="104"/>
  <c r="DR90" i="104" s="1"/>
  <c r="BU88" i="104"/>
  <c r="DR88" i="104" s="1"/>
  <c r="BU115" i="104"/>
  <c r="DR115" i="104" s="1"/>
  <c r="AG22" i="104"/>
  <c r="AF136" i="104"/>
  <c r="EV136" i="104" s="1"/>
  <c r="AF79" i="104"/>
  <c r="EV79" i="104" s="1"/>
  <c r="AF169" i="104"/>
  <c r="EV169" i="104" s="1"/>
  <c r="AF112" i="104"/>
  <c r="EV112" i="104" s="1"/>
  <c r="BU162" i="104"/>
  <c r="DR162" i="104" s="1"/>
  <c r="BU105" i="104"/>
  <c r="DR105" i="104" s="1"/>
  <c r="BU132" i="104"/>
  <c r="DR132" i="104" s="1"/>
  <c r="BU149" i="104"/>
  <c r="DR149" i="104" s="1"/>
  <c r="BU122" i="104"/>
  <c r="DR122" i="104" s="1"/>
  <c r="AF167" i="104"/>
  <c r="EV167" i="104" s="1"/>
  <c r="AF110" i="104"/>
  <c r="EV110" i="104" s="1"/>
  <c r="BU150" i="104"/>
  <c r="DR150" i="104" s="1"/>
  <c r="BU64" i="104"/>
  <c r="DR64" i="104" s="1"/>
  <c r="BU93" i="104"/>
  <c r="DR93" i="104" s="1"/>
  <c r="AG60" i="104"/>
  <c r="AF174" i="104"/>
  <c r="EV174" i="104" s="1"/>
  <c r="AF117" i="104"/>
  <c r="EV117" i="104" s="1"/>
  <c r="BU95" i="104"/>
  <c r="DR95" i="104" s="1"/>
  <c r="BU161" i="104"/>
  <c r="DR161" i="104" s="1"/>
  <c r="BU67" i="104"/>
  <c r="DR67" i="104" s="1"/>
  <c r="BU128" i="104"/>
  <c r="DR128" i="104" s="1"/>
  <c r="BU97" i="104"/>
  <c r="DR97" i="104" s="1"/>
  <c r="BU91" i="104"/>
  <c r="DR91" i="104" s="1"/>
  <c r="AF164" i="104"/>
  <c r="EV164" i="104" s="1"/>
  <c r="AF107" i="104"/>
  <c r="EV107" i="104" s="1"/>
  <c r="BU103" i="104"/>
  <c r="DR103" i="104" s="1"/>
  <c r="BU146" i="104"/>
  <c r="DR146" i="104" s="1"/>
  <c r="BU99" i="104"/>
  <c r="DR99" i="104" s="1"/>
  <c r="AF170" i="104"/>
  <c r="EV170" i="104" s="1"/>
  <c r="AF113" i="104"/>
  <c r="EV113" i="104" s="1"/>
  <c r="BU65" i="104"/>
  <c r="DR65" i="104" s="1"/>
  <c r="BU124" i="104"/>
  <c r="DR124" i="104" s="1"/>
  <c r="AG23" i="104"/>
  <c r="AF137" i="104"/>
  <c r="EV137" i="104" s="1"/>
  <c r="AF80" i="104"/>
  <c r="EV80" i="104" s="1"/>
  <c r="AG24" i="104"/>
  <c r="AF138" i="104"/>
  <c r="EV138" i="104" s="1"/>
  <c r="AF81" i="104"/>
  <c r="EV81" i="104" s="1"/>
  <c r="BU152" i="104"/>
  <c r="DR152" i="104" s="1"/>
  <c r="AG25" i="104"/>
  <c r="AF139" i="104"/>
  <c r="EV139" i="104" s="1"/>
  <c r="AF82" i="104"/>
  <c r="EV82" i="104" s="1"/>
  <c r="BU163" i="104"/>
  <c r="DR163" i="104" s="1"/>
  <c r="BU89" i="104"/>
  <c r="DR89" i="104" s="1"/>
  <c r="AG41" i="104"/>
  <c r="AF155" i="104"/>
  <c r="EV155" i="104" s="1"/>
  <c r="AF98" i="104"/>
  <c r="EV98" i="104" s="1"/>
  <c r="BU158" i="104"/>
  <c r="DR158" i="104" s="1"/>
  <c r="BU130" i="104"/>
  <c r="DR130" i="104" s="1"/>
  <c r="BU102" i="104"/>
  <c r="DR102" i="104" s="1"/>
  <c r="AG21" i="104"/>
  <c r="AF135" i="104"/>
  <c r="EV135" i="104" s="1"/>
  <c r="AF78" i="104"/>
  <c r="EV78" i="104" s="1"/>
  <c r="AF166" i="104"/>
  <c r="EV166" i="104" s="1"/>
  <c r="AF109" i="104"/>
  <c r="EV109" i="104" s="1"/>
  <c r="AF171" i="104"/>
  <c r="EV171" i="104" s="1"/>
  <c r="AF114" i="104"/>
  <c r="EV114" i="104" s="1"/>
  <c r="BU66" i="104"/>
  <c r="DR66" i="104" s="1"/>
  <c r="BU157" i="104"/>
  <c r="DR157" i="104" s="1"/>
  <c r="BU159" i="104"/>
  <c r="DR159" i="104" s="1"/>
  <c r="BU79" i="104"/>
  <c r="BN115" i="104"/>
  <c r="DK115" i="104" s="1"/>
  <c r="BU77" i="104"/>
  <c r="BU68" i="104"/>
  <c r="DR68" i="104" s="1"/>
  <c r="BU76" i="104"/>
  <c r="BU69" i="104"/>
  <c r="DR69" i="104" s="1"/>
  <c r="BU78" i="104"/>
  <c r="BU75" i="104"/>
  <c r="DR75" i="104" s="1"/>
  <c r="BU71" i="104"/>
  <c r="DR71" i="104" s="1"/>
  <c r="BN171" i="104"/>
  <c r="BN114" i="104"/>
  <c r="BU72" i="104"/>
  <c r="DR72" i="104" s="1"/>
  <c r="BN172" i="104"/>
  <c r="DK172" i="104" s="1"/>
  <c r="BU73" i="104"/>
  <c r="DR73" i="104" s="1"/>
  <c r="BU70" i="104"/>
  <c r="DR70" i="104" s="1"/>
  <c r="BU125" i="104"/>
  <c r="DR125" i="104" s="1"/>
  <c r="BU74" i="104"/>
  <c r="DR74" i="104" s="1"/>
  <c r="EC7" i="159" l="1"/>
  <c r="EQ12" i="159"/>
  <c r="DV12" i="159"/>
  <c r="DA12" i="159"/>
  <c r="AF32" i="159"/>
  <c r="DV32" i="159" s="1"/>
  <c r="EK12" i="159"/>
  <c r="DA7" i="159"/>
  <c r="DO7" i="159"/>
  <c r="EJ7" i="159"/>
  <c r="EP22" i="159"/>
  <c r="EB22" i="159"/>
  <c r="DU22" i="159"/>
  <c r="CZ22" i="159"/>
  <c r="EI22" i="159"/>
  <c r="DG22" i="159"/>
  <c r="EQ7" i="159"/>
  <c r="DH12" i="159"/>
  <c r="DG32" i="159"/>
  <c r="DV7" i="159"/>
  <c r="EJ12" i="159"/>
  <c r="DN32" i="159"/>
  <c r="EP17" i="159"/>
  <c r="DH7" i="159"/>
  <c r="EC12" i="159"/>
  <c r="EI32" i="159"/>
  <c r="CZ17" i="159"/>
  <c r="EI17" i="159"/>
  <c r="CZ32" i="159"/>
  <c r="EB17" i="159"/>
  <c r="FE61" i="104"/>
  <c r="EQ166" i="104"/>
  <c r="EJ166" i="104"/>
  <c r="EC166" i="104"/>
  <c r="DO166" i="104"/>
  <c r="DH166" i="104"/>
  <c r="DA166" i="104"/>
  <c r="DV166" i="104"/>
  <c r="EQ82" i="104"/>
  <c r="EC82" i="104"/>
  <c r="EJ82" i="104"/>
  <c r="DO82" i="104"/>
  <c r="DH82" i="104"/>
  <c r="DA82" i="104"/>
  <c r="DV82" i="104"/>
  <c r="ER52" i="104"/>
  <c r="EK52" i="104"/>
  <c r="ED52" i="104"/>
  <c r="DI52" i="104"/>
  <c r="DP52" i="104"/>
  <c r="DB52" i="104"/>
  <c r="DW52" i="104"/>
  <c r="ER23" i="104"/>
  <c r="EK23" i="104"/>
  <c r="ED23" i="104"/>
  <c r="DP23" i="104"/>
  <c r="DI23" i="104"/>
  <c r="DB23" i="104"/>
  <c r="DW23" i="104"/>
  <c r="ER55" i="104"/>
  <c r="EK55" i="104"/>
  <c r="ED55" i="104"/>
  <c r="DP55" i="104"/>
  <c r="DI55" i="104"/>
  <c r="DB55" i="104"/>
  <c r="DW55" i="104"/>
  <c r="EQ111" i="104"/>
  <c r="EJ111" i="104"/>
  <c r="EC111" i="104"/>
  <c r="DO111" i="104"/>
  <c r="DH111" i="104"/>
  <c r="DA111" i="104"/>
  <c r="DV111" i="104"/>
  <c r="EQ175" i="104"/>
  <c r="EJ175" i="104"/>
  <c r="EC175" i="104"/>
  <c r="DO175" i="104"/>
  <c r="DH175" i="104"/>
  <c r="DA175" i="104"/>
  <c r="DV175" i="104"/>
  <c r="EQ78" i="104"/>
  <c r="EJ78" i="104"/>
  <c r="EC78" i="104"/>
  <c r="DO78" i="104"/>
  <c r="DH78" i="104"/>
  <c r="DA78" i="104"/>
  <c r="DV78" i="104"/>
  <c r="ER25" i="104"/>
  <c r="ED25" i="104"/>
  <c r="EK25" i="104"/>
  <c r="DP25" i="104"/>
  <c r="DI25" i="104"/>
  <c r="DB25" i="104"/>
  <c r="DW25" i="104"/>
  <c r="ER50" i="104"/>
  <c r="EK50" i="104"/>
  <c r="ED50" i="104"/>
  <c r="DP50" i="104"/>
  <c r="DI50" i="104"/>
  <c r="DB50" i="104"/>
  <c r="DW50" i="104"/>
  <c r="EQ79" i="104"/>
  <c r="EJ79" i="104"/>
  <c r="EC79" i="104"/>
  <c r="DA79" i="104"/>
  <c r="DH79" i="104"/>
  <c r="DO79" i="104"/>
  <c r="DV79" i="104"/>
  <c r="EQ168" i="104"/>
  <c r="EJ168" i="104"/>
  <c r="EC168" i="104"/>
  <c r="DO168" i="104"/>
  <c r="DH168" i="104"/>
  <c r="DA168" i="104"/>
  <c r="DV168" i="104"/>
  <c r="EQ76" i="104"/>
  <c r="EJ76" i="104"/>
  <c r="EC76" i="104"/>
  <c r="DO76" i="104"/>
  <c r="DH76" i="104"/>
  <c r="DV76" i="104"/>
  <c r="EQ108" i="104"/>
  <c r="EJ108" i="104"/>
  <c r="EC108" i="104"/>
  <c r="DO108" i="104"/>
  <c r="DH108" i="104"/>
  <c r="DA108" i="104"/>
  <c r="DV108" i="104"/>
  <c r="ER27" i="104"/>
  <c r="ED27" i="104"/>
  <c r="EK27" i="104"/>
  <c r="DP27" i="104"/>
  <c r="DI27" i="104"/>
  <c r="DB27" i="104"/>
  <c r="DW27" i="104"/>
  <c r="ER61" i="104"/>
  <c r="EK61" i="104"/>
  <c r="ED61" i="104"/>
  <c r="DP61" i="104"/>
  <c r="DI61" i="104"/>
  <c r="DB61" i="104"/>
  <c r="DW61" i="104"/>
  <c r="EQ107" i="104"/>
  <c r="EJ107" i="104"/>
  <c r="EC107" i="104"/>
  <c r="DO107" i="104"/>
  <c r="DH107" i="104"/>
  <c r="DA107" i="104"/>
  <c r="DV107" i="104"/>
  <c r="ER56" i="104"/>
  <c r="EK56" i="104"/>
  <c r="ED56" i="104"/>
  <c r="DP56" i="104"/>
  <c r="DI56" i="104"/>
  <c r="DB56" i="104"/>
  <c r="DW56" i="104"/>
  <c r="EQ141" i="104"/>
  <c r="EJ141" i="104"/>
  <c r="EC141" i="104"/>
  <c r="DO141" i="104"/>
  <c r="DH141" i="104"/>
  <c r="DA141" i="104"/>
  <c r="DV141" i="104"/>
  <c r="EQ135" i="104"/>
  <c r="EJ135" i="104"/>
  <c r="EC135" i="104"/>
  <c r="DO135" i="104"/>
  <c r="DA135" i="104"/>
  <c r="DH135" i="104"/>
  <c r="DV135" i="104"/>
  <c r="DO98" i="104"/>
  <c r="DH98" i="104"/>
  <c r="DV98" i="104"/>
  <c r="EQ136" i="104"/>
  <c r="EJ136" i="104"/>
  <c r="EC136" i="104"/>
  <c r="DO136" i="104"/>
  <c r="DH136" i="104"/>
  <c r="DA136" i="104"/>
  <c r="DV136" i="104"/>
  <c r="EQ86" i="104"/>
  <c r="EJ86" i="104"/>
  <c r="EC86" i="104"/>
  <c r="DO86" i="104"/>
  <c r="DH86" i="104"/>
  <c r="DA86" i="104"/>
  <c r="DV86" i="104"/>
  <c r="ER54" i="104"/>
  <c r="EK54" i="104"/>
  <c r="ED54" i="104"/>
  <c r="DP54" i="104"/>
  <c r="DI54" i="104"/>
  <c r="DB54" i="104"/>
  <c r="DW54" i="104"/>
  <c r="EQ133" i="104"/>
  <c r="EJ133" i="104"/>
  <c r="EC133" i="104"/>
  <c r="DO133" i="104"/>
  <c r="DH133" i="104"/>
  <c r="DV133" i="104"/>
  <c r="EQ165" i="104"/>
  <c r="EJ165" i="104"/>
  <c r="EC165" i="104"/>
  <c r="DO165" i="104"/>
  <c r="DH165" i="104"/>
  <c r="DA165" i="104"/>
  <c r="DV165" i="104"/>
  <c r="EQ85" i="104"/>
  <c r="EJ85" i="104"/>
  <c r="EC85" i="104"/>
  <c r="DO85" i="104"/>
  <c r="DH85" i="104"/>
  <c r="DA85" i="104"/>
  <c r="DV85" i="104"/>
  <c r="EQ114" i="104"/>
  <c r="EJ114" i="104"/>
  <c r="EC114" i="104"/>
  <c r="DO114" i="104"/>
  <c r="DH114" i="104"/>
  <c r="DA114" i="104"/>
  <c r="DV114" i="104"/>
  <c r="ER21" i="104"/>
  <c r="EK21" i="104"/>
  <c r="ED21" i="104"/>
  <c r="DP21" i="104"/>
  <c r="DI21" i="104"/>
  <c r="DB21" i="104"/>
  <c r="DW21" i="104"/>
  <c r="DO155" i="104"/>
  <c r="DH155" i="104"/>
  <c r="DV155" i="104"/>
  <c r="EQ81" i="104"/>
  <c r="EJ81" i="104"/>
  <c r="EC81" i="104"/>
  <c r="DO81" i="104"/>
  <c r="DH81" i="104"/>
  <c r="DA81" i="104"/>
  <c r="DV81" i="104"/>
  <c r="ER22" i="104"/>
  <c r="EK22" i="104"/>
  <c r="ED22" i="104"/>
  <c r="DP22" i="104"/>
  <c r="DI22" i="104"/>
  <c r="DB22" i="104"/>
  <c r="DW22" i="104"/>
  <c r="EQ143" i="104"/>
  <c r="EJ143" i="104"/>
  <c r="EC143" i="104"/>
  <c r="DO143" i="104"/>
  <c r="DH143" i="104"/>
  <c r="DA143" i="104"/>
  <c r="DV143" i="104"/>
  <c r="ER19" i="104"/>
  <c r="ED19" i="104"/>
  <c r="EK19" i="104"/>
  <c r="DP19" i="104"/>
  <c r="DI19" i="104"/>
  <c r="DW19" i="104"/>
  <c r="ER51" i="104"/>
  <c r="EK51" i="104"/>
  <c r="ED51" i="104"/>
  <c r="DP51" i="104"/>
  <c r="DI51" i="104"/>
  <c r="DB51" i="104"/>
  <c r="DW51" i="104"/>
  <c r="EQ87" i="104"/>
  <c r="EJ87" i="104"/>
  <c r="EC87" i="104"/>
  <c r="DO87" i="104"/>
  <c r="DA87" i="104"/>
  <c r="DH87" i="104"/>
  <c r="DV87" i="104"/>
  <c r="EQ142" i="104"/>
  <c r="EJ142" i="104"/>
  <c r="EC142" i="104"/>
  <c r="DO142" i="104"/>
  <c r="DH142" i="104"/>
  <c r="DA142" i="104"/>
  <c r="DV142" i="104"/>
  <c r="EQ171" i="104"/>
  <c r="EJ171" i="104"/>
  <c r="EC171" i="104"/>
  <c r="DO171" i="104"/>
  <c r="DH171" i="104"/>
  <c r="DA171" i="104"/>
  <c r="DV171" i="104"/>
  <c r="DP41" i="104"/>
  <c r="DI41" i="104"/>
  <c r="DW41" i="104"/>
  <c r="EQ138" i="104"/>
  <c r="EJ138" i="104"/>
  <c r="EC138" i="104"/>
  <c r="DO138" i="104"/>
  <c r="DH138" i="104"/>
  <c r="DA138" i="104"/>
  <c r="DV138" i="104"/>
  <c r="EQ117" i="104"/>
  <c r="EJ117" i="104"/>
  <c r="EC117" i="104"/>
  <c r="DO117" i="104"/>
  <c r="DH117" i="104"/>
  <c r="DA117" i="104"/>
  <c r="DV117" i="104"/>
  <c r="EQ110" i="104"/>
  <c r="EJ110" i="104"/>
  <c r="EC110" i="104"/>
  <c r="DO110" i="104"/>
  <c r="DH110" i="104"/>
  <c r="DA110" i="104"/>
  <c r="DV110" i="104"/>
  <c r="ER29" i="104"/>
  <c r="EK29" i="104"/>
  <c r="ED29" i="104"/>
  <c r="DP29" i="104"/>
  <c r="DI29" i="104"/>
  <c r="DB29" i="104"/>
  <c r="DW29" i="104"/>
  <c r="EJ144" i="104"/>
  <c r="EC144" i="104"/>
  <c r="EQ144" i="104"/>
  <c r="DO144" i="104"/>
  <c r="DH144" i="104"/>
  <c r="DA144" i="104"/>
  <c r="DV144" i="104"/>
  <c r="ER28" i="104"/>
  <c r="EK28" i="104"/>
  <c r="ED28" i="104"/>
  <c r="DI28" i="104"/>
  <c r="DP28" i="104"/>
  <c r="DB28" i="104"/>
  <c r="DW28" i="104"/>
  <c r="ER57" i="104"/>
  <c r="EK57" i="104"/>
  <c r="ED57" i="104"/>
  <c r="DP57" i="104"/>
  <c r="DI57" i="104"/>
  <c r="DB57" i="104"/>
  <c r="DW57" i="104"/>
  <c r="ER24" i="104"/>
  <c r="EK24" i="104"/>
  <c r="ED24" i="104"/>
  <c r="DP24" i="104"/>
  <c r="DI24" i="104"/>
  <c r="DB24" i="104"/>
  <c r="DW24" i="104"/>
  <c r="EQ174" i="104"/>
  <c r="EJ174" i="104"/>
  <c r="EC174" i="104"/>
  <c r="DO174" i="104"/>
  <c r="DA174" i="104"/>
  <c r="DH174" i="104"/>
  <c r="DV174" i="104"/>
  <c r="EQ167" i="104"/>
  <c r="EJ167" i="104"/>
  <c r="EC167" i="104"/>
  <c r="DO167" i="104"/>
  <c r="DA167" i="104"/>
  <c r="DH167" i="104"/>
  <c r="DV167" i="104"/>
  <c r="EQ83" i="104"/>
  <c r="EJ83" i="104"/>
  <c r="EC83" i="104"/>
  <c r="DO83" i="104"/>
  <c r="DH83" i="104"/>
  <c r="DA83" i="104"/>
  <c r="DV83" i="104"/>
  <c r="DO94" i="104"/>
  <c r="DH94" i="104"/>
  <c r="DV94" i="104"/>
  <c r="ER30" i="104"/>
  <c r="EK30" i="104"/>
  <c r="ED30" i="104"/>
  <c r="DP30" i="104"/>
  <c r="DI30" i="104"/>
  <c r="DB30" i="104"/>
  <c r="DW30" i="104"/>
  <c r="EQ77" i="104"/>
  <c r="EJ77" i="104"/>
  <c r="EC77" i="104"/>
  <c r="DO77" i="104"/>
  <c r="DH77" i="104"/>
  <c r="DV77" i="104"/>
  <c r="EQ137" i="104"/>
  <c r="EJ137" i="104"/>
  <c r="EC137" i="104"/>
  <c r="DO137" i="104"/>
  <c r="DH137" i="104"/>
  <c r="DA137" i="104"/>
  <c r="DV137" i="104"/>
  <c r="EQ139" i="104"/>
  <c r="EJ139" i="104"/>
  <c r="EC139" i="104"/>
  <c r="DO139" i="104"/>
  <c r="DH139" i="104"/>
  <c r="DA139" i="104"/>
  <c r="DV139" i="104"/>
  <c r="EQ164" i="104"/>
  <c r="EJ164" i="104"/>
  <c r="EC164" i="104"/>
  <c r="DO164" i="104"/>
  <c r="DH164" i="104"/>
  <c r="DA164" i="104"/>
  <c r="DV164" i="104"/>
  <c r="EQ109" i="104"/>
  <c r="EJ109" i="104"/>
  <c r="EC109" i="104"/>
  <c r="DO109" i="104"/>
  <c r="DH109" i="104"/>
  <c r="DA109" i="104"/>
  <c r="DV109" i="104"/>
  <c r="EQ80" i="104"/>
  <c r="EJ80" i="104"/>
  <c r="EC80" i="104"/>
  <c r="DO80" i="104"/>
  <c r="DH80" i="104"/>
  <c r="DA80" i="104"/>
  <c r="DV80" i="104"/>
  <c r="EQ113" i="104"/>
  <c r="EJ113" i="104"/>
  <c r="EC113" i="104"/>
  <c r="DO113" i="104"/>
  <c r="DH113" i="104"/>
  <c r="DA113" i="104"/>
  <c r="DV113" i="104"/>
  <c r="ER60" i="104"/>
  <c r="EK60" i="104"/>
  <c r="ED60" i="104"/>
  <c r="DP60" i="104"/>
  <c r="DI60" i="104"/>
  <c r="DB60" i="104"/>
  <c r="DW60" i="104"/>
  <c r="ER53" i="104"/>
  <c r="EK53" i="104"/>
  <c r="ED53" i="104"/>
  <c r="DP53" i="104"/>
  <c r="DI53" i="104"/>
  <c r="DB53" i="104"/>
  <c r="DW53" i="104"/>
  <c r="EQ112" i="104"/>
  <c r="EJ112" i="104"/>
  <c r="EC112" i="104"/>
  <c r="DO112" i="104"/>
  <c r="DH112" i="104"/>
  <c r="DA112" i="104"/>
  <c r="DV112" i="104"/>
  <c r="EQ140" i="104"/>
  <c r="EJ140" i="104"/>
  <c r="EC140" i="104"/>
  <c r="DO140" i="104"/>
  <c r="DH140" i="104"/>
  <c r="DA140" i="104"/>
  <c r="DV140" i="104"/>
  <c r="DO151" i="104"/>
  <c r="DH151" i="104"/>
  <c r="DV151" i="104"/>
  <c r="EQ134" i="104"/>
  <c r="EJ134" i="104"/>
  <c r="EC134" i="104"/>
  <c r="DO134" i="104"/>
  <c r="DH134" i="104"/>
  <c r="DV134" i="104"/>
  <c r="EQ170" i="104"/>
  <c r="EJ170" i="104"/>
  <c r="EC170" i="104"/>
  <c r="DO170" i="104"/>
  <c r="DH170" i="104"/>
  <c r="DA170" i="104"/>
  <c r="DV170" i="104"/>
  <c r="EJ169" i="104"/>
  <c r="EQ169" i="104"/>
  <c r="EC169" i="104"/>
  <c r="DO169" i="104"/>
  <c r="DH169" i="104"/>
  <c r="DA169" i="104"/>
  <c r="DV169" i="104"/>
  <c r="ER26" i="104"/>
  <c r="ED26" i="104"/>
  <c r="EK26" i="104"/>
  <c r="DP26" i="104"/>
  <c r="DI26" i="104"/>
  <c r="DB26" i="104"/>
  <c r="DW26" i="104"/>
  <c r="DP37" i="104"/>
  <c r="DI37" i="104"/>
  <c r="DW37" i="104"/>
  <c r="EQ84" i="104"/>
  <c r="EC84" i="104"/>
  <c r="EJ84" i="104"/>
  <c r="DO84" i="104"/>
  <c r="DH84" i="104"/>
  <c r="DA84" i="104"/>
  <c r="DV84" i="104"/>
  <c r="EQ118" i="104"/>
  <c r="EJ118" i="104"/>
  <c r="EC118" i="104"/>
  <c r="DO118" i="104"/>
  <c r="DH118" i="104"/>
  <c r="DA118" i="104"/>
  <c r="DV118" i="104"/>
  <c r="ER20" i="104"/>
  <c r="EK20" i="104"/>
  <c r="ED20" i="104"/>
  <c r="DI20" i="104"/>
  <c r="DP20" i="104"/>
  <c r="DW20" i="104"/>
  <c r="DV21" i="159"/>
  <c r="DH21" i="159"/>
  <c r="DO21" i="159"/>
  <c r="EQ21" i="159"/>
  <c r="EJ21" i="159"/>
  <c r="EC21" i="159"/>
  <c r="DA21" i="159"/>
  <c r="AG17" i="159"/>
  <c r="AG27" i="159"/>
  <c r="DW7" i="159"/>
  <c r="DB7" i="159"/>
  <c r="ER7" i="159"/>
  <c r="DI7" i="159"/>
  <c r="EK7" i="159"/>
  <c r="ED7" i="159"/>
  <c r="DP7" i="159"/>
  <c r="AG29" i="159"/>
  <c r="AG19" i="159"/>
  <c r="DW9" i="159"/>
  <c r="ER9" i="159"/>
  <c r="DP9" i="159"/>
  <c r="DI9" i="159"/>
  <c r="DB9" i="159"/>
  <c r="EK9" i="159"/>
  <c r="ED9" i="159"/>
  <c r="DV17" i="159"/>
  <c r="DA17" i="159"/>
  <c r="EJ17" i="159"/>
  <c r="DO17" i="159"/>
  <c r="DH17" i="159"/>
  <c r="EQ17" i="159"/>
  <c r="EC17" i="159"/>
  <c r="DV19" i="159"/>
  <c r="EJ19" i="159"/>
  <c r="DH19" i="159"/>
  <c r="EC19" i="159"/>
  <c r="EQ19" i="159"/>
  <c r="DO19" i="159"/>
  <c r="DA19" i="159"/>
  <c r="DV27" i="159"/>
  <c r="DA27" i="159"/>
  <c r="EC27" i="159"/>
  <c r="DH27" i="159"/>
  <c r="DO27" i="159"/>
  <c r="EJ27" i="159"/>
  <c r="EQ27" i="159"/>
  <c r="AG28" i="159"/>
  <c r="AG18" i="159"/>
  <c r="DW8" i="159"/>
  <c r="ED8" i="159"/>
  <c r="DB8" i="159"/>
  <c r="DP8" i="159"/>
  <c r="ER8" i="159"/>
  <c r="EK8" i="159"/>
  <c r="DI8" i="159"/>
  <c r="DV29" i="159"/>
  <c r="DH29" i="159"/>
  <c r="EC29" i="159"/>
  <c r="DO29" i="159"/>
  <c r="DA29" i="159"/>
  <c r="EQ29" i="159"/>
  <c r="EJ29" i="159"/>
  <c r="DV16" i="159"/>
  <c r="DO16" i="159"/>
  <c r="EJ16" i="159"/>
  <c r="EQ16" i="159"/>
  <c r="EC16" i="159"/>
  <c r="DH16" i="159"/>
  <c r="DA16" i="159"/>
  <c r="DV18" i="159"/>
  <c r="DO18" i="159"/>
  <c r="EJ18" i="159"/>
  <c r="EC18" i="159"/>
  <c r="EQ18" i="159"/>
  <c r="DH18" i="159"/>
  <c r="DA18" i="159"/>
  <c r="DV20" i="159"/>
  <c r="DH20" i="159"/>
  <c r="EJ20" i="159"/>
  <c r="DO20" i="159"/>
  <c r="DA20" i="159"/>
  <c r="EQ20" i="159"/>
  <c r="EC20" i="159"/>
  <c r="DV23" i="159"/>
  <c r="EC23" i="159"/>
  <c r="DH23" i="159"/>
  <c r="EJ23" i="159"/>
  <c r="DA23" i="159"/>
  <c r="EQ23" i="159"/>
  <c r="DO23" i="159"/>
  <c r="EQ26" i="159"/>
  <c r="EJ26" i="159"/>
  <c r="DV26" i="159"/>
  <c r="EC26" i="159"/>
  <c r="DO26" i="159"/>
  <c r="DH26" i="159"/>
  <c r="DA26" i="159"/>
  <c r="DV28" i="159"/>
  <c r="EJ28" i="159"/>
  <c r="EC28" i="159"/>
  <c r="DO28" i="159"/>
  <c r="EQ28" i="159"/>
  <c r="DH28" i="159"/>
  <c r="DA28" i="159"/>
  <c r="AG22" i="159"/>
  <c r="AG32" i="159"/>
  <c r="DW12" i="159"/>
  <c r="DP12" i="159"/>
  <c r="DB12" i="159"/>
  <c r="DI12" i="159"/>
  <c r="ER12" i="159"/>
  <c r="ED12" i="159"/>
  <c r="AG31" i="159"/>
  <c r="AG21" i="159"/>
  <c r="DW11" i="159"/>
  <c r="DB11" i="159"/>
  <c r="ED11" i="159"/>
  <c r="DI11" i="159"/>
  <c r="ER11" i="159"/>
  <c r="EK11" i="159"/>
  <c r="DP11" i="159"/>
  <c r="AG30" i="159"/>
  <c r="AG20" i="159"/>
  <c r="DW10" i="159"/>
  <c r="ER10" i="159"/>
  <c r="DP10" i="159"/>
  <c r="DB10" i="159"/>
  <c r="DI10" i="159"/>
  <c r="EK10" i="159"/>
  <c r="ED10" i="159"/>
  <c r="DV33" i="159"/>
  <c r="EJ33" i="159"/>
  <c r="EC33" i="159"/>
  <c r="EQ33" i="159"/>
  <c r="DH33" i="159"/>
  <c r="DO33" i="159"/>
  <c r="DA33" i="159"/>
  <c r="AG16" i="159"/>
  <c r="AG26" i="159"/>
  <c r="DB6" i="159"/>
  <c r="DW6" i="159"/>
  <c r="DI6" i="159"/>
  <c r="DP6" i="159"/>
  <c r="ER6" i="159"/>
  <c r="ED6" i="159"/>
  <c r="EK6" i="159"/>
  <c r="DV22" i="159"/>
  <c r="EC22" i="159"/>
  <c r="EQ22" i="159"/>
  <c r="DH22" i="159"/>
  <c r="DO22" i="159"/>
  <c r="EJ22" i="159"/>
  <c r="DA22" i="159"/>
  <c r="DV31" i="159"/>
  <c r="DO31" i="159"/>
  <c r="DA31" i="159"/>
  <c r="EC31" i="159"/>
  <c r="EJ31" i="159"/>
  <c r="DH31" i="159"/>
  <c r="EQ31" i="159"/>
  <c r="DV30" i="159"/>
  <c r="EQ30" i="159"/>
  <c r="EJ30" i="159"/>
  <c r="DO30" i="159"/>
  <c r="EC30" i="159"/>
  <c r="DH30" i="159"/>
  <c r="DA30" i="159"/>
  <c r="AG33" i="159"/>
  <c r="AG23" i="159"/>
  <c r="DW13" i="159"/>
  <c r="DI13" i="159"/>
  <c r="DB13" i="159"/>
  <c r="ER13" i="159"/>
  <c r="DP13" i="159"/>
  <c r="ED13" i="159"/>
  <c r="EK13" i="159"/>
  <c r="AH21" i="104"/>
  <c r="AG78" i="104"/>
  <c r="AG135" i="104"/>
  <c r="BV66" i="104"/>
  <c r="DS66" i="104" s="1"/>
  <c r="EY66" i="104" s="1"/>
  <c r="AG171" i="104"/>
  <c r="AG114" i="104"/>
  <c r="AH24" i="104"/>
  <c r="AG81" i="104"/>
  <c r="AG138" i="104"/>
  <c r="BV99" i="104"/>
  <c r="DS99" i="104" s="1"/>
  <c r="EY99" i="104" s="1"/>
  <c r="BV97" i="104"/>
  <c r="DS97" i="104" s="1"/>
  <c r="EY97" i="104" s="1"/>
  <c r="BV102" i="104"/>
  <c r="DS102" i="104" s="1"/>
  <c r="EY102" i="104" s="1"/>
  <c r="BV163" i="104"/>
  <c r="DS163" i="104" s="1"/>
  <c r="EY163" i="104" s="1"/>
  <c r="BV146" i="104"/>
  <c r="DS146" i="104" s="1"/>
  <c r="EY146" i="104" s="1"/>
  <c r="BV95" i="104"/>
  <c r="DS95" i="104" s="1"/>
  <c r="EY95" i="104" s="1"/>
  <c r="BV132" i="104"/>
  <c r="DS132" i="104" s="1"/>
  <c r="EY132" i="104" s="1"/>
  <c r="BV115" i="104"/>
  <c r="DS115" i="104" s="1"/>
  <c r="EY115" i="104" s="1"/>
  <c r="BV127" i="104"/>
  <c r="DS127" i="104" s="1"/>
  <c r="EY127" i="104" s="1"/>
  <c r="BV128" i="104"/>
  <c r="DS128" i="104" s="1"/>
  <c r="EY128" i="104" s="1"/>
  <c r="BV153" i="104"/>
  <c r="DS153" i="104" s="1"/>
  <c r="EY153" i="104" s="1"/>
  <c r="BV145" i="104"/>
  <c r="DS145" i="104" s="1"/>
  <c r="EY145" i="104" s="1"/>
  <c r="AG166" i="104"/>
  <c r="AG109" i="104"/>
  <c r="BV103" i="104"/>
  <c r="DS103" i="104" s="1"/>
  <c r="EY103" i="104" s="1"/>
  <c r="BV93" i="104"/>
  <c r="DS93" i="104" s="1"/>
  <c r="EY93" i="104" s="1"/>
  <c r="AG167" i="104"/>
  <c r="AG110" i="104"/>
  <c r="AG169" i="104"/>
  <c r="AG112" i="104"/>
  <c r="AH29" i="104"/>
  <c r="AG86" i="104"/>
  <c r="AG143" i="104"/>
  <c r="BV121" i="104"/>
  <c r="DS121" i="104" s="1"/>
  <c r="EY121" i="104" s="1"/>
  <c r="AH19" i="104"/>
  <c r="AG76" i="104"/>
  <c r="AG133" i="104"/>
  <c r="AH27" i="104"/>
  <c r="AG84" i="104"/>
  <c r="AG141" i="104"/>
  <c r="AH23" i="104"/>
  <c r="AG80" i="104"/>
  <c r="AG137" i="104"/>
  <c r="BV91" i="104"/>
  <c r="DS91" i="104" s="1"/>
  <c r="EY91" i="104" s="1"/>
  <c r="BV158" i="104"/>
  <c r="DS158" i="104" s="1"/>
  <c r="EY158" i="104" s="1"/>
  <c r="AH60" i="104"/>
  <c r="AG174" i="104"/>
  <c r="AG117" i="104"/>
  <c r="BV88" i="104"/>
  <c r="DS88" i="104" s="1"/>
  <c r="EY88" i="104" s="1"/>
  <c r="AH26" i="104"/>
  <c r="AG83" i="104"/>
  <c r="AG140" i="104"/>
  <c r="AH37" i="104"/>
  <c r="AG151" i="104"/>
  <c r="AG94" i="104"/>
  <c r="BV154" i="104"/>
  <c r="DS154" i="104" s="1"/>
  <c r="EY154" i="104" s="1"/>
  <c r="BV104" i="104"/>
  <c r="DS104" i="104" s="1"/>
  <c r="EY104" i="104" s="1"/>
  <c r="BV65" i="104"/>
  <c r="DS65" i="104" s="1"/>
  <c r="EY65" i="104" s="1"/>
  <c r="BV152" i="104"/>
  <c r="DS152" i="104" s="1"/>
  <c r="EY152" i="104" s="1"/>
  <c r="BV67" i="104"/>
  <c r="DS67" i="104" s="1"/>
  <c r="EY67" i="104" s="1"/>
  <c r="AH41" i="104"/>
  <c r="AG155" i="104"/>
  <c r="AG98" i="104"/>
  <c r="BV124" i="104"/>
  <c r="DS124" i="104" s="1"/>
  <c r="EY124" i="104" s="1"/>
  <c r="AG170" i="104"/>
  <c r="AG113" i="104"/>
  <c r="AG164" i="104"/>
  <c r="AG107" i="104"/>
  <c r="BV105" i="104"/>
  <c r="DS105" i="104" s="1"/>
  <c r="EY105" i="104" s="1"/>
  <c r="BV156" i="104"/>
  <c r="DS156" i="104" s="1"/>
  <c r="EY156" i="104" s="1"/>
  <c r="AG168" i="104"/>
  <c r="AG111" i="104"/>
  <c r="BV92" i="104"/>
  <c r="DS92" i="104" s="1"/>
  <c r="EY92" i="104" s="1"/>
  <c r="BV147" i="104"/>
  <c r="DS147" i="104" s="1"/>
  <c r="EY147" i="104" s="1"/>
  <c r="BV96" i="104"/>
  <c r="DS96" i="104" s="1"/>
  <c r="EY96" i="104" s="1"/>
  <c r="BV172" i="104"/>
  <c r="DS172" i="104" s="1"/>
  <c r="EY172" i="104" s="1"/>
  <c r="AH30" i="104"/>
  <c r="AG87" i="104"/>
  <c r="AG144" i="104"/>
  <c r="BV150" i="104"/>
  <c r="DS150" i="104" s="1"/>
  <c r="EY150" i="104" s="1"/>
  <c r="BV122" i="104"/>
  <c r="DS122" i="104" s="1"/>
  <c r="EY122" i="104" s="1"/>
  <c r="AH22" i="104"/>
  <c r="AG79" i="104"/>
  <c r="AG136" i="104"/>
  <c r="BV90" i="104"/>
  <c r="DS90" i="104" s="1"/>
  <c r="EY90" i="104" s="1"/>
  <c r="BV148" i="104"/>
  <c r="DS148" i="104" s="1"/>
  <c r="EY148" i="104" s="1"/>
  <c r="BV126" i="104"/>
  <c r="DS126" i="104" s="1"/>
  <c r="EY126" i="104" s="1"/>
  <c r="BV160" i="104"/>
  <c r="DS160" i="104" s="1"/>
  <c r="EY160" i="104" s="1"/>
  <c r="BV131" i="104"/>
  <c r="DS131" i="104" s="1"/>
  <c r="EY131" i="104" s="1"/>
  <c r="AH61" i="104"/>
  <c r="AG175" i="104"/>
  <c r="AG118" i="104"/>
  <c r="BV89" i="104"/>
  <c r="DS89" i="104" s="1"/>
  <c r="EY89" i="104" s="1"/>
  <c r="BV161" i="104"/>
  <c r="DS161" i="104" s="1"/>
  <c r="EY161" i="104" s="1"/>
  <c r="BV162" i="104"/>
  <c r="DS162" i="104" s="1"/>
  <c r="EY162" i="104" s="1"/>
  <c r="BV106" i="104"/>
  <c r="DS106" i="104" s="1"/>
  <c r="EY106" i="104" s="1"/>
  <c r="BV100" i="104"/>
  <c r="DS100" i="104" s="1"/>
  <c r="EY100" i="104" s="1"/>
  <c r="BV129" i="104"/>
  <c r="DS129" i="104" s="1"/>
  <c r="EY129" i="104" s="1"/>
  <c r="AH20" i="104"/>
  <c r="AG77" i="104"/>
  <c r="AG134" i="104"/>
  <c r="BV157" i="104"/>
  <c r="DS157" i="104" s="1"/>
  <c r="EY157" i="104" s="1"/>
  <c r="AH25" i="104"/>
  <c r="AG82" i="104"/>
  <c r="AG139" i="104"/>
  <c r="BV159" i="104"/>
  <c r="DS159" i="104" s="1"/>
  <c r="EY159" i="104" s="1"/>
  <c r="BV130" i="104"/>
  <c r="DS130" i="104" s="1"/>
  <c r="EY130" i="104" s="1"/>
  <c r="BV64" i="104"/>
  <c r="DS64" i="104" s="1"/>
  <c r="EY64" i="104" s="1"/>
  <c r="BV149" i="104"/>
  <c r="DS149" i="104" s="1"/>
  <c r="EY149" i="104" s="1"/>
  <c r="BV123" i="104"/>
  <c r="DS123" i="104" s="1"/>
  <c r="EY123" i="104" s="1"/>
  <c r="BV101" i="104"/>
  <c r="DS101" i="104" s="1"/>
  <c r="EY101" i="104" s="1"/>
  <c r="AG165" i="104"/>
  <c r="AG108" i="104"/>
  <c r="AH28" i="104"/>
  <c r="AG85" i="104"/>
  <c r="AG142" i="104"/>
  <c r="BO114" i="104"/>
  <c r="BV78" i="104"/>
  <c r="BV76" i="104"/>
  <c r="BV79" i="104"/>
  <c r="BV73" i="104"/>
  <c r="DS73" i="104" s="1"/>
  <c r="EY73" i="104" s="1"/>
  <c r="BV69" i="104"/>
  <c r="DS69" i="104" s="1"/>
  <c r="EY69" i="104" s="1"/>
  <c r="BV68" i="104"/>
  <c r="DS68" i="104" s="1"/>
  <c r="EY68" i="104" s="1"/>
  <c r="BO172" i="104"/>
  <c r="DL172" i="104" s="1"/>
  <c r="EX172" i="104" s="1"/>
  <c r="BV71" i="104"/>
  <c r="DS71" i="104" s="1"/>
  <c r="EY71" i="104" s="1"/>
  <c r="BV77" i="104"/>
  <c r="BV72" i="104"/>
  <c r="DS72" i="104" s="1"/>
  <c r="EY72" i="104" s="1"/>
  <c r="BV125" i="104"/>
  <c r="DS125" i="104" s="1"/>
  <c r="EY125" i="104" s="1"/>
  <c r="BO171" i="104"/>
  <c r="BV75" i="104"/>
  <c r="DS75" i="104" s="1"/>
  <c r="EY75" i="104" s="1"/>
  <c r="BO115" i="104"/>
  <c r="DL115" i="104" s="1"/>
  <c r="EX115" i="104" s="1"/>
  <c r="BV74" i="104"/>
  <c r="DS74" i="104" s="1"/>
  <c r="EY74" i="104" s="1"/>
  <c r="BV70" i="104"/>
  <c r="DS70" i="104" s="1"/>
  <c r="EY70" i="104" s="1"/>
  <c r="EC32" i="159" l="1"/>
  <c r="DA32" i="159"/>
  <c r="DH32" i="159"/>
  <c r="EJ32" i="159"/>
  <c r="EQ32" i="159"/>
  <c r="DO32" i="159"/>
  <c r="FH18" i="104"/>
  <c r="FH14" i="104"/>
  <c r="AH12" i="159"/>
  <c r="EL12" i="159" s="1"/>
  <c r="FH32" i="104"/>
  <c r="FH17" i="104"/>
  <c r="FH13" i="104"/>
  <c r="FH31" i="104"/>
  <c r="FH12" i="104"/>
  <c r="FH15" i="104"/>
  <c r="FH16" i="104"/>
  <c r="FH58" i="104"/>
  <c r="DJ37" i="104"/>
  <c r="DQ37" i="104"/>
  <c r="DX37" i="104"/>
  <c r="ER174" i="104"/>
  <c r="EK174" i="104"/>
  <c r="ED174" i="104"/>
  <c r="DP174" i="104"/>
  <c r="DI174" i="104"/>
  <c r="DB174" i="104"/>
  <c r="DW174" i="104"/>
  <c r="EK76" i="104"/>
  <c r="ER76" i="104"/>
  <c r="ED76" i="104"/>
  <c r="DP76" i="104"/>
  <c r="DI76" i="104"/>
  <c r="DW76" i="104"/>
  <c r="EK169" i="104"/>
  <c r="ER169" i="104"/>
  <c r="ED169" i="104"/>
  <c r="DP169" i="104"/>
  <c r="DI169" i="104"/>
  <c r="DB169" i="104"/>
  <c r="DW169" i="104"/>
  <c r="ES28" i="104"/>
  <c r="EE28" i="104"/>
  <c r="EL28" i="104"/>
  <c r="DQ28" i="104"/>
  <c r="DJ28" i="104"/>
  <c r="DC28" i="104"/>
  <c r="DX28" i="104"/>
  <c r="ER87" i="104"/>
  <c r="EK87" i="104"/>
  <c r="ED87" i="104"/>
  <c r="DP87" i="104"/>
  <c r="DI87" i="104"/>
  <c r="DB87" i="104"/>
  <c r="DW87" i="104"/>
  <c r="ER134" i="104"/>
  <c r="EK134" i="104"/>
  <c r="ED134" i="104"/>
  <c r="DP134" i="104"/>
  <c r="DI134" i="104"/>
  <c r="DW134" i="104"/>
  <c r="ER118" i="104"/>
  <c r="EK118" i="104"/>
  <c r="ED118" i="104"/>
  <c r="DP118" i="104"/>
  <c r="DI118" i="104"/>
  <c r="DB118" i="104"/>
  <c r="DW118" i="104"/>
  <c r="ER168" i="104"/>
  <c r="EK168" i="104"/>
  <c r="ED168" i="104"/>
  <c r="DP168" i="104"/>
  <c r="DB168" i="104"/>
  <c r="DI168" i="104"/>
  <c r="DW168" i="104"/>
  <c r="ES19" i="104"/>
  <c r="EE19" i="104"/>
  <c r="EL19" i="104"/>
  <c r="DQ19" i="104"/>
  <c r="DJ19" i="104"/>
  <c r="DX19" i="104"/>
  <c r="ES55" i="104"/>
  <c r="EL55" i="104"/>
  <c r="EE55" i="104"/>
  <c r="DQ55" i="104"/>
  <c r="DJ55" i="104"/>
  <c r="DC55" i="104"/>
  <c r="DX55" i="104"/>
  <c r="ER114" i="104"/>
  <c r="EK114" i="104"/>
  <c r="ED114" i="104"/>
  <c r="DP114" i="104"/>
  <c r="DI114" i="104"/>
  <c r="DB114" i="104"/>
  <c r="DW114" i="104"/>
  <c r="ER111" i="104"/>
  <c r="EK111" i="104"/>
  <c r="ED111" i="104"/>
  <c r="DP111" i="104"/>
  <c r="DI111" i="104"/>
  <c r="DB111" i="104"/>
  <c r="DW111" i="104"/>
  <c r="ES30" i="104"/>
  <c r="EL30" i="104"/>
  <c r="EE30" i="104"/>
  <c r="DQ30" i="104"/>
  <c r="DJ30" i="104"/>
  <c r="DC30" i="104"/>
  <c r="DX30" i="104"/>
  <c r="ES60" i="104"/>
  <c r="EL60" i="104"/>
  <c r="EE60" i="104"/>
  <c r="DQ60" i="104"/>
  <c r="DJ60" i="104"/>
  <c r="DC60" i="104"/>
  <c r="DX60" i="104"/>
  <c r="ER108" i="104"/>
  <c r="EK108" i="104"/>
  <c r="ED108" i="104"/>
  <c r="DP108" i="104"/>
  <c r="DI108" i="104"/>
  <c r="DB108" i="104"/>
  <c r="DW108" i="104"/>
  <c r="ER77" i="104"/>
  <c r="EK77" i="104"/>
  <c r="ED77" i="104"/>
  <c r="DP77" i="104"/>
  <c r="DI77" i="104"/>
  <c r="DW77" i="104"/>
  <c r="ER175" i="104"/>
  <c r="ED175" i="104"/>
  <c r="EK175" i="104"/>
  <c r="DP175" i="104"/>
  <c r="DI175" i="104"/>
  <c r="DB175" i="104"/>
  <c r="DW175" i="104"/>
  <c r="ES54" i="104"/>
  <c r="EL54" i="104"/>
  <c r="EE54" i="104"/>
  <c r="DQ54" i="104"/>
  <c r="DJ54" i="104"/>
  <c r="DC54" i="104"/>
  <c r="DX54" i="104"/>
  <c r="ER110" i="104"/>
  <c r="EK110" i="104"/>
  <c r="ED110" i="104"/>
  <c r="DP110" i="104"/>
  <c r="DI110" i="104"/>
  <c r="DB110" i="104"/>
  <c r="DW110" i="104"/>
  <c r="ER171" i="104"/>
  <c r="EK171" i="104"/>
  <c r="ED171" i="104"/>
  <c r="DP171" i="104"/>
  <c r="DI171" i="104"/>
  <c r="DB171" i="104"/>
  <c r="DW171" i="104"/>
  <c r="ES56" i="104"/>
  <c r="EL56" i="104"/>
  <c r="EE56" i="104"/>
  <c r="DQ56" i="104"/>
  <c r="DJ56" i="104"/>
  <c r="DC56" i="104"/>
  <c r="DX56" i="104"/>
  <c r="ER165" i="104"/>
  <c r="EK165" i="104"/>
  <c r="ED165" i="104"/>
  <c r="DP165" i="104"/>
  <c r="DI165" i="104"/>
  <c r="DB165" i="104"/>
  <c r="DW165" i="104"/>
  <c r="ER139" i="104"/>
  <c r="EK139" i="104"/>
  <c r="ED139" i="104"/>
  <c r="DP139" i="104"/>
  <c r="DI139" i="104"/>
  <c r="DB139" i="104"/>
  <c r="DW139" i="104"/>
  <c r="ES20" i="104"/>
  <c r="EE20" i="104"/>
  <c r="EL20" i="104"/>
  <c r="DQ20" i="104"/>
  <c r="DJ20" i="104"/>
  <c r="DX20" i="104"/>
  <c r="ES61" i="104"/>
  <c r="EL61" i="104"/>
  <c r="EE61" i="104"/>
  <c r="DQ61" i="104"/>
  <c r="DJ61" i="104"/>
  <c r="DC61" i="104"/>
  <c r="DX61" i="104"/>
  <c r="ER136" i="104"/>
  <c r="EK136" i="104"/>
  <c r="ED136" i="104"/>
  <c r="DB136" i="104"/>
  <c r="DP136" i="104"/>
  <c r="DI136" i="104"/>
  <c r="DW136" i="104"/>
  <c r="ER107" i="104"/>
  <c r="EK107" i="104"/>
  <c r="ED107" i="104"/>
  <c r="DP107" i="104"/>
  <c r="DI107" i="104"/>
  <c r="DB107" i="104"/>
  <c r="DW107" i="104"/>
  <c r="DP98" i="104"/>
  <c r="DI98" i="104"/>
  <c r="DW98" i="104"/>
  <c r="ER140" i="104"/>
  <c r="EK140" i="104"/>
  <c r="ED140" i="104"/>
  <c r="DP140" i="104"/>
  <c r="DI140" i="104"/>
  <c r="DB140" i="104"/>
  <c r="DW140" i="104"/>
  <c r="ER141" i="104"/>
  <c r="EK141" i="104"/>
  <c r="ED141" i="104"/>
  <c r="DP141" i="104"/>
  <c r="DI141" i="104"/>
  <c r="DB141" i="104"/>
  <c r="DW141" i="104"/>
  <c r="ER167" i="104"/>
  <c r="EK167" i="104"/>
  <c r="ED167" i="104"/>
  <c r="DP167" i="104"/>
  <c r="DB167" i="104"/>
  <c r="DI167" i="104"/>
  <c r="DW167" i="104"/>
  <c r="ES57" i="104"/>
  <c r="EL57" i="104"/>
  <c r="EE57" i="104"/>
  <c r="DQ57" i="104"/>
  <c r="DC57" i="104"/>
  <c r="DJ57" i="104"/>
  <c r="DX57" i="104"/>
  <c r="ER82" i="104"/>
  <c r="EK82" i="104"/>
  <c r="ED82" i="104"/>
  <c r="DP82" i="104"/>
  <c r="DI82" i="104"/>
  <c r="DB82" i="104"/>
  <c r="DW82" i="104"/>
  <c r="ER79" i="104"/>
  <c r="EK79" i="104"/>
  <c r="ED79" i="104"/>
  <c r="DP79" i="104"/>
  <c r="DI79" i="104"/>
  <c r="DB79" i="104"/>
  <c r="DW79" i="104"/>
  <c r="ER164" i="104"/>
  <c r="EK164" i="104"/>
  <c r="ED164" i="104"/>
  <c r="DP164" i="104"/>
  <c r="DI164" i="104"/>
  <c r="DB164" i="104"/>
  <c r="DW164" i="104"/>
  <c r="DP155" i="104"/>
  <c r="DI155" i="104"/>
  <c r="DW155" i="104"/>
  <c r="ER83" i="104"/>
  <c r="EK83" i="104"/>
  <c r="ED83" i="104"/>
  <c r="DP83" i="104"/>
  <c r="DI83" i="104"/>
  <c r="DB83" i="104"/>
  <c r="DW83" i="104"/>
  <c r="ER84" i="104"/>
  <c r="EK84" i="104"/>
  <c r="ED84" i="104"/>
  <c r="DP84" i="104"/>
  <c r="DI84" i="104"/>
  <c r="DB84" i="104"/>
  <c r="DW84" i="104"/>
  <c r="ER143" i="104"/>
  <c r="EK143" i="104"/>
  <c r="ED143" i="104"/>
  <c r="DP143" i="104"/>
  <c r="DI143" i="104"/>
  <c r="DB143" i="104"/>
  <c r="DW143" i="104"/>
  <c r="ES53" i="104"/>
  <c r="EL53" i="104"/>
  <c r="EE53" i="104"/>
  <c r="DQ53" i="104"/>
  <c r="DJ53" i="104"/>
  <c r="DC53" i="104"/>
  <c r="DX53" i="104"/>
  <c r="ES27" i="104"/>
  <c r="EE27" i="104"/>
  <c r="EL27" i="104"/>
  <c r="DQ27" i="104"/>
  <c r="DJ27" i="104"/>
  <c r="DC27" i="104"/>
  <c r="DX27" i="104"/>
  <c r="ER109" i="104"/>
  <c r="EK109" i="104"/>
  <c r="ED109" i="104"/>
  <c r="DP109" i="104"/>
  <c r="DI109" i="104"/>
  <c r="DB109" i="104"/>
  <c r="DW109" i="104"/>
  <c r="ER138" i="104"/>
  <c r="EK138" i="104"/>
  <c r="ED138" i="104"/>
  <c r="DP138" i="104"/>
  <c r="DI138" i="104"/>
  <c r="DB138" i="104"/>
  <c r="DW138" i="104"/>
  <c r="ES51" i="104"/>
  <c r="EL51" i="104"/>
  <c r="EE51" i="104"/>
  <c r="DQ51" i="104"/>
  <c r="DJ51" i="104"/>
  <c r="DC51" i="104"/>
  <c r="DX51" i="104"/>
  <c r="ES22" i="104"/>
  <c r="EL22" i="104"/>
  <c r="EE22" i="104"/>
  <c r="DQ22" i="104"/>
  <c r="DJ22" i="104"/>
  <c r="DC22" i="104"/>
  <c r="DX22" i="104"/>
  <c r="ES50" i="104"/>
  <c r="EL50" i="104"/>
  <c r="EE50" i="104"/>
  <c r="DQ50" i="104"/>
  <c r="DJ50" i="104"/>
  <c r="DC50" i="104"/>
  <c r="DX50" i="104"/>
  <c r="ES26" i="104"/>
  <c r="EE26" i="104"/>
  <c r="EL26" i="104"/>
  <c r="DQ26" i="104"/>
  <c r="DJ26" i="104"/>
  <c r="DC26" i="104"/>
  <c r="DX26" i="104"/>
  <c r="ER137" i="104"/>
  <c r="EK137" i="104"/>
  <c r="ED137" i="104"/>
  <c r="DP137" i="104"/>
  <c r="DI137" i="104"/>
  <c r="DB137" i="104"/>
  <c r="DW137" i="104"/>
  <c r="ER86" i="104"/>
  <c r="EK86" i="104"/>
  <c r="ED86" i="104"/>
  <c r="DP86" i="104"/>
  <c r="DI86" i="104"/>
  <c r="DB86" i="104"/>
  <c r="DW86" i="104"/>
  <c r="ER135" i="104"/>
  <c r="EK135" i="104"/>
  <c r="ED135" i="104"/>
  <c r="DP135" i="104"/>
  <c r="DI135" i="104"/>
  <c r="DB135" i="104"/>
  <c r="DW135" i="104"/>
  <c r="ER142" i="104"/>
  <c r="EK142" i="104"/>
  <c r="ED142" i="104"/>
  <c r="DP142" i="104"/>
  <c r="DI142" i="104"/>
  <c r="DB142" i="104"/>
  <c r="DW142" i="104"/>
  <c r="ER113" i="104"/>
  <c r="EK113" i="104"/>
  <c r="ED113" i="104"/>
  <c r="DP113" i="104"/>
  <c r="DI113" i="104"/>
  <c r="DB113" i="104"/>
  <c r="DW113" i="104"/>
  <c r="DP94" i="104"/>
  <c r="DI94" i="104"/>
  <c r="DW94" i="104"/>
  <c r="ER80" i="104"/>
  <c r="EK80" i="104"/>
  <c r="ED80" i="104"/>
  <c r="DP80" i="104"/>
  <c r="DB80" i="104"/>
  <c r="DI80" i="104"/>
  <c r="DW80" i="104"/>
  <c r="ES29" i="104"/>
  <c r="EL29" i="104"/>
  <c r="EE29" i="104"/>
  <c r="DJ29" i="104"/>
  <c r="DQ29" i="104"/>
  <c r="DC29" i="104"/>
  <c r="DX29" i="104"/>
  <c r="ER166" i="104"/>
  <c r="EK166" i="104"/>
  <c r="ED166" i="104"/>
  <c r="DP166" i="104"/>
  <c r="DI166" i="104"/>
  <c r="DB166" i="104"/>
  <c r="DW166" i="104"/>
  <c r="ER81" i="104"/>
  <c r="ED81" i="104"/>
  <c r="EK81" i="104"/>
  <c r="DP81" i="104"/>
  <c r="DI81" i="104"/>
  <c r="DB81" i="104"/>
  <c r="DW81" i="104"/>
  <c r="ER78" i="104"/>
  <c r="EK78" i="104"/>
  <c r="ED78" i="104"/>
  <c r="DP78" i="104"/>
  <c r="DI78" i="104"/>
  <c r="DB78" i="104"/>
  <c r="DW78" i="104"/>
  <c r="FG58" i="104"/>
  <c r="ES25" i="104"/>
  <c r="EL25" i="104"/>
  <c r="EE25" i="104"/>
  <c r="DQ25" i="104"/>
  <c r="DC25" i="104"/>
  <c r="DJ25" i="104"/>
  <c r="DX25" i="104"/>
  <c r="DQ41" i="104"/>
  <c r="DJ41" i="104"/>
  <c r="DX41" i="104"/>
  <c r="ER85" i="104"/>
  <c r="EK85" i="104"/>
  <c r="ED85" i="104"/>
  <c r="DP85" i="104"/>
  <c r="DI85" i="104"/>
  <c r="DB85" i="104"/>
  <c r="DW85" i="104"/>
  <c r="ER144" i="104"/>
  <c r="EK144" i="104"/>
  <c r="ED144" i="104"/>
  <c r="DP144" i="104"/>
  <c r="DB144" i="104"/>
  <c r="DI144" i="104"/>
  <c r="DW144" i="104"/>
  <c r="EK170" i="104"/>
  <c r="ER170" i="104"/>
  <c r="ED170" i="104"/>
  <c r="DP170" i="104"/>
  <c r="DI170" i="104"/>
  <c r="DB170" i="104"/>
  <c r="DW170" i="104"/>
  <c r="DI151" i="104"/>
  <c r="DP151" i="104"/>
  <c r="DW151" i="104"/>
  <c r="ER117" i="104"/>
  <c r="EK117" i="104"/>
  <c r="ED117" i="104"/>
  <c r="DP117" i="104"/>
  <c r="DI117" i="104"/>
  <c r="DB117" i="104"/>
  <c r="DW117" i="104"/>
  <c r="ES23" i="104"/>
  <c r="EL23" i="104"/>
  <c r="EE23" i="104"/>
  <c r="DQ23" i="104"/>
  <c r="DJ23" i="104"/>
  <c r="DC23" i="104"/>
  <c r="DX23" i="104"/>
  <c r="ER133" i="104"/>
  <c r="EK133" i="104"/>
  <c r="ED133" i="104"/>
  <c r="DP133" i="104"/>
  <c r="DI133" i="104"/>
  <c r="DW133" i="104"/>
  <c r="ER112" i="104"/>
  <c r="EK112" i="104"/>
  <c r="ED112" i="104"/>
  <c r="DP112" i="104"/>
  <c r="DI112" i="104"/>
  <c r="DB112" i="104"/>
  <c r="DW112" i="104"/>
  <c r="ES52" i="104"/>
  <c r="EL52" i="104"/>
  <c r="EE52" i="104"/>
  <c r="DQ52" i="104"/>
  <c r="DJ52" i="104"/>
  <c r="DC52" i="104"/>
  <c r="DX52" i="104"/>
  <c r="ES24" i="104"/>
  <c r="EL24" i="104"/>
  <c r="EE24" i="104"/>
  <c r="DQ24" i="104"/>
  <c r="DJ24" i="104"/>
  <c r="DC24" i="104"/>
  <c r="DX24" i="104"/>
  <c r="ES21" i="104"/>
  <c r="EL21" i="104"/>
  <c r="EE21" i="104"/>
  <c r="DQ21" i="104"/>
  <c r="DJ21" i="104"/>
  <c r="DC21" i="104"/>
  <c r="DX21" i="104"/>
  <c r="DW30" i="159"/>
  <c r="DB30" i="159"/>
  <c r="EK30" i="159"/>
  <c r="ER30" i="159"/>
  <c r="DP30" i="159"/>
  <c r="DI30" i="159"/>
  <c r="ED30" i="159"/>
  <c r="DW27" i="159"/>
  <c r="DB27" i="159"/>
  <c r="ED27" i="159"/>
  <c r="DP27" i="159"/>
  <c r="DI27" i="159"/>
  <c r="ER27" i="159"/>
  <c r="EK27" i="159"/>
  <c r="ER26" i="159"/>
  <c r="DW26" i="159"/>
  <c r="DI26" i="159"/>
  <c r="DP26" i="159"/>
  <c r="EK26" i="159"/>
  <c r="ED26" i="159"/>
  <c r="DB26" i="159"/>
  <c r="AH17" i="159"/>
  <c r="AH27" i="159"/>
  <c r="DX7" i="159"/>
  <c r="DC7" i="159"/>
  <c r="ES7" i="159"/>
  <c r="EL7" i="159"/>
  <c r="EE7" i="159"/>
  <c r="DQ7" i="159"/>
  <c r="DJ7" i="159"/>
  <c r="DP16" i="159"/>
  <c r="EK16" i="159"/>
  <c r="DB16" i="159"/>
  <c r="DW16" i="159"/>
  <c r="ER16" i="159"/>
  <c r="DI16" i="159"/>
  <c r="ED16" i="159"/>
  <c r="DW17" i="159"/>
  <c r="DB17" i="159"/>
  <c r="DP17" i="159"/>
  <c r="DI17" i="159"/>
  <c r="EK17" i="159"/>
  <c r="ER17" i="159"/>
  <c r="ED17" i="159"/>
  <c r="AH26" i="159"/>
  <c r="AH16" i="159"/>
  <c r="DX6" i="159"/>
  <c r="DC6" i="159"/>
  <c r="DJ6" i="159"/>
  <c r="DQ6" i="159"/>
  <c r="ES6" i="159"/>
  <c r="EE6" i="159"/>
  <c r="EL6" i="159"/>
  <c r="AH31" i="159"/>
  <c r="AH21" i="159"/>
  <c r="DX11" i="159"/>
  <c r="DC11" i="159"/>
  <c r="EE11" i="159"/>
  <c r="ES11" i="159"/>
  <c r="DJ11" i="159"/>
  <c r="DQ11" i="159"/>
  <c r="EL11" i="159"/>
  <c r="AH18" i="159"/>
  <c r="AH28" i="159"/>
  <c r="DX8" i="159"/>
  <c r="DC8" i="159"/>
  <c r="EE8" i="159"/>
  <c r="DQ8" i="159"/>
  <c r="EL8" i="159"/>
  <c r="DJ8" i="159"/>
  <c r="ES8" i="159"/>
  <c r="AH29" i="159"/>
  <c r="AH19" i="159"/>
  <c r="DX9" i="159"/>
  <c r="ES9" i="159"/>
  <c r="EL9" i="159"/>
  <c r="DJ9" i="159"/>
  <c r="DC9" i="159"/>
  <c r="DQ9" i="159"/>
  <c r="EE9" i="159"/>
  <c r="DW23" i="159"/>
  <c r="DB23" i="159"/>
  <c r="ED23" i="159"/>
  <c r="DP23" i="159"/>
  <c r="ER23" i="159"/>
  <c r="EK23" i="159"/>
  <c r="DI23" i="159"/>
  <c r="DW21" i="159"/>
  <c r="DB21" i="159"/>
  <c r="DP21" i="159"/>
  <c r="DI21" i="159"/>
  <c r="EK21" i="159"/>
  <c r="ED21" i="159"/>
  <c r="ER21" i="159"/>
  <c r="DW18" i="159"/>
  <c r="DB18" i="159"/>
  <c r="DP18" i="159"/>
  <c r="EK18" i="159"/>
  <c r="ER18" i="159"/>
  <c r="DI18" i="159"/>
  <c r="ED18" i="159"/>
  <c r="DW19" i="159"/>
  <c r="EK19" i="159"/>
  <c r="DB19" i="159"/>
  <c r="DI19" i="159"/>
  <c r="ED19" i="159"/>
  <c r="ER19" i="159"/>
  <c r="DP19" i="159"/>
  <c r="DW33" i="159"/>
  <c r="EK33" i="159"/>
  <c r="DB33" i="159"/>
  <c r="ED33" i="159"/>
  <c r="DP33" i="159"/>
  <c r="DI33" i="159"/>
  <c r="ER33" i="159"/>
  <c r="DW31" i="159"/>
  <c r="DB31" i="159"/>
  <c r="DP31" i="159"/>
  <c r="ER31" i="159"/>
  <c r="ED31" i="159"/>
  <c r="EK31" i="159"/>
  <c r="DI31" i="159"/>
  <c r="DW28" i="159"/>
  <c r="EK28" i="159"/>
  <c r="DP28" i="159"/>
  <c r="ED28" i="159"/>
  <c r="DB28" i="159"/>
  <c r="ER28" i="159"/>
  <c r="DI28" i="159"/>
  <c r="DW29" i="159"/>
  <c r="DB29" i="159"/>
  <c r="DI29" i="159"/>
  <c r="ED29" i="159"/>
  <c r="EK29" i="159"/>
  <c r="ER29" i="159"/>
  <c r="DP29" i="159"/>
  <c r="AH33" i="159"/>
  <c r="AH23" i="159"/>
  <c r="DX13" i="159"/>
  <c r="DJ13" i="159"/>
  <c r="DC13" i="159"/>
  <c r="EE13" i="159"/>
  <c r="ES13" i="159"/>
  <c r="DQ13" i="159"/>
  <c r="EL13" i="159"/>
  <c r="AH20" i="159"/>
  <c r="AH30" i="159"/>
  <c r="DX10" i="159"/>
  <c r="DC10" i="159"/>
  <c r="DQ10" i="159"/>
  <c r="ES10" i="159"/>
  <c r="EL10" i="159"/>
  <c r="DJ10" i="159"/>
  <c r="EE10" i="159"/>
  <c r="DW32" i="159"/>
  <c r="DB32" i="159"/>
  <c r="ED32" i="159"/>
  <c r="DI32" i="159"/>
  <c r="DP32" i="159"/>
  <c r="ER32" i="159"/>
  <c r="EK32" i="159"/>
  <c r="DW20" i="159"/>
  <c r="DB20" i="159"/>
  <c r="EK20" i="159"/>
  <c r="DI20" i="159"/>
  <c r="DP20" i="159"/>
  <c r="ER20" i="159"/>
  <c r="ED20" i="159"/>
  <c r="DW22" i="159"/>
  <c r="DB22" i="159"/>
  <c r="ED22" i="159"/>
  <c r="DI22" i="159"/>
  <c r="ER22" i="159"/>
  <c r="EK22" i="159"/>
  <c r="DP22" i="159"/>
  <c r="AI26" i="104"/>
  <c r="AH140" i="104"/>
  <c r="AH83" i="104"/>
  <c r="AH167" i="104"/>
  <c r="AH110" i="104"/>
  <c r="AH164" i="104"/>
  <c r="AH107" i="104"/>
  <c r="AI61" i="104"/>
  <c r="AH175" i="104"/>
  <c r="AH118" i="104"/>
  <c r="AI22" i="104"/>
  <c r="AH136" i="104"/>
  <c r="AH79" i="104"/>
  <c r="AI30" i="104"/>
  <c r="AH144" i="104"/>
  <c r="AH87" i="104"/>
  <c r="AI37" i="104"/>
  <c r="AH151" i="104"/>
  <c r="AH94" i="104"/>
  <c r="AI60" i="104"/>
  <c r="AH174" i="104"/>
  <c r="AH117" i="104"/>
  <c r="AI23" i="104"/>
  <c r="AH137" i="104"/>
  <c r="AH80" i="104"/>
  <c r="AI27" i="104"/>
  <c r="AH141" i="104"/>
  <c r="AH84" i="104"/>
  <c r="AI29" i="104"/>
  <c r="AH143" i="104"/>
  <c r="AH86" i="104"/>
  <c r="AH171" i="104"/>
  <c r="AH114" i="104"/>
  <c r="AI25" i="104"/>
  <c r="AH139" i="104"/>
  <c r="AH82" i="104"/>
  <c r="AH165" i="104"/>
  <c r="AH108" i="104"/>
  <c r="AI20" i="104"/>
  <c r="AH134" i="104"/>
  <c r="AH77" i="104"/>
  <c r="AH168" i="104"/>
  <c r="AH111" i="104"/>
  <c r="AI19" i="104"/>
  <c r="AH133" i="104"/>
  <c r="AH76" i="104"/>
  <c r="AI24" i="104"/>
  <c r="AH138" i="104"/>
  <c r="AH81" i="104"/>
  <c r="AH170" i="104"/>
  <c r="AH113" i="104"/>
  <c r="AI41" i="104"/>
  <c r="AH155" i="104"/>
  <c r="AH98" i="104"/>
  <c r="AH169" i="104"/>
  <c r="AH112" i="104"/>
  <c r="AH166" i="104"/>
  <c r="AH109" i="104"/>
  <c r="AI28" i="104"/>
  <c r="AH142" i="104"/>
  <c r="AH85" i="104"/>
  <c r="AI21" i="104"/>
  <c r="AH135" i="104"/>
  <c r="AH78" i="104"/>
  <c r="ES12" i="159" l="1"/>
  <c r="EE12" i="159"/>
  <c r="DQ12" i="159"/>
  <c r="DC12" i="159"/>
  <c r="AH22" i="159"/>
  <c r="DC22" i="159" s="1"/>
  <c r="DX12" i="159"/>
  <c r="AH32" i="159"/>
  <c r="DC32" i="159" s="1"/>
  <c r="DJ12" i="159"/>
  <c r="AI12" i="159"/>
  <c r="AJ12" i="159" s="1"/>
  <c r="DQ98" i="104"/>
  <c r="DJ98" i="104"/>
  <c r="DX98" i="104"/>
  <c r="ET27" i="104"/>
  <c r="EF27" i="104"/>
  <c r="EM27" i="104"/>
  <c r="DR27" i="104"/>
  <c r="DK27" i="104"/>
  <c r="DD27" i="104"/>
  <c r="DY27" i="104"/>
  <c r="ES175" i="104"/>
  <c r="EL175" i="104"/>
  <c r="EE175" i="104"/>
  <c r="DQ175" i="104"/>
  <c r="DJ175" i="104"/>
  <c r="DC175" i="104"/>
  <c r="DX175" i="104"/>
  <c r="ET24" i="104"/>
  <c r="EM24" i="104"/>
  <c r="EF24" i="104"/>
  <c r="DR24" i="104"/>
  <c r="DK24" i="104"/>
  <c r="DD24" i="104"/>
  <c r="DY24" i="104"/>
  <c r="ES171" i="104"/>
  <c r="EL171" i="104"/>
  <c r="EE171" i="104"/>
  <c r="DQ171" i="104"/>
  <c r="DJ171" i="104"/>
  <c r="DC171" i="104"/>
  <c r="DX171" i="104"/>
  <c r="ES137" i="104"/>
  <c r="EL137" i="104"/>
  <c r="EE137" i="104"/>
  <c r="DQ137" i="104"/>
  <c r="DC137" i="104"/>
  <c r="DJ137" i="104"/>
  <c r="DX137" i="104"/>
  <c r="ES140" i="104"/>
  <c r="EL140" i="104"/>
  <c r="EE140" i="104"/>
  <c r="DQ140" i="104"/>
  <c r="DJ140" i="104"/>
  <c r="DC140" i="104"/>
  <c r="DX140" i="104"/>
  <c r="ET20" i="104"/>
  <c r="EF20" i="104"/>
  <c r="EM20" i="104"/>
  <c r="DR20" i="104"/>
  <c r="DK20" i="104"/>
  <c r="DY20" i="104"/>
  <c r="ES133" i="104"/>
  <c r="EL133" i="104"/>
  <c r="EE133" i="104"/>
  <c r="DQ133" i="104"/>
  <c r="DJ133" i="104"/>
  <c r="DX133" i="104"/>
  <c r="ES113" i="104"/>
  <c r="EL113" i="104"/>
  <c r="EE113" i="104"/>
  <c r="DQ113" i="104"/>
  <c r="DJ113" i="104"/>
  <c r="DC113" i="104"/>
  <c r="DX113" i="104"/>
  <c r="ET23" i="104"/>
  <c r="EM23" i="104"/>
  <c r="EF23" i="104"/>
  <c r="DR23" i="104"/>
  <c r="DD23" i="104"/>
  <c r="DK23" i="104"/>
  <c r="DY23" i="104"/>
  <c r="ET26" i="104"/>
  <c r="EM26" i="104"/>
  <c r="EF26" i="104"/>
  <c r="DR26" i="104"/>
  <c r="DD26" i="104"/>
  <c r="DK26" i="104"/>
  <c r="DY26" i="104"/>
  <c r="ES134" i="104"/>
  <c r="EL134" i="104"/>
  <c r="EE134" i="104"/>
  <c r="DQ134" i="104"/>
  <c r="DJ134" i="104"/>
  <c r="DX134" i="104"/>
  <c r="DQ155" i="104"/>
  <c r="DJ155" i="104"/>
  <c r="DX155" i="104"/>
  <c r="ES83" i="104"/>
  <c r="EL83" i="104"/>
  <c r="EE83" i="104"/>
  <c r="DQ83" i="104"/>
  <c r="DJ83" i="104"/>
  <c r="DC83" i="104"/>
  <c r="DX83" i="104"/>
  <c r="ES109" i="104"/>
  <c r="EL109" i="104"/>
  <c r="EE109" i="104"/>
  <c r="DQ109" i="104"/>
  <c r="DJ109" i="104"/>
  <c r="DC109" i="104"/>
  <c r="DX109" i="104"/>
  <c r="ES108" i="104"/>
  <c r="EL108" i="104"/>
  <c r="EE108" i="104"/>
  <c r="DQ108" i="104"/>
  <c r="DJ108" i="104"/>
  <c r="DC108" i="104"/>
  <c r="DX108" i="104"/>
  <c r="ES87" i="104"/>
  <c r="EL87" i="104"/>
  <c r="EE87" i="104"/>
  <c r="DQ87" i="104"/>
  <c r="DJ87" i="104"/>
  <c r="DC87" i="104"/>
  <c r="DX87" i="104"/>
  <c r="ET61" i="104"/>
  <c r="EM61" i="104"/>
  <c r="EF61" i="104"/>
  <c r="DR61" i="104"/>
  <c r="DK61" i="104"/>
  <c r="DD61" i="104"/>
  <c r="DY61" i="104"/>
  <c r="ES166" i="104"/>
  <c r="EL166" i="104"/>
  <c r="EE166" i="104"/>
  <c r="DQ166" i="104"/>
  <c r="DJ166" i="104"/>
  <c r="DC166" i="104"/>
  <c r="DX166" i="104"/>
  <c r="ES165" i="104"/>
  <c r="EL165" i="104"/>
  <c r="EE165" i="104"/>
  <c r="DQ165" i="104"/>
  <c r="DJ165" i="104"/>
  <c r="DC165" i="104"/>
  <c r="DX165" i="104"/>
  <c r="ES107" i="104"/>
  <c r="EL107" i="104"/>
  <c r="EE107" i="104"/>
  <c r="DQ107" i="104"/>
  <c r="DJ107" i="104"/>
  <c r="DC107" i="104"/>
  <c r="DX107" i="104"/>
  <c r="ET52" i="104"/>
  <c r="EM52" i="104"/>
  <c r="EF52" i="104"/>
  <c r="DR52" i="104"/>
  <c r="DK52" i="104"/>
  <c r="DD52" i="104"/>
  <c r="DY52" i="104"/>
  <c r="ES111" i="104"/>
  <c r="EL111" i="104"/>
  <c r="EE111" i="104"/>
  <c r="DQ111" i="104"/>
  <c r="DJ111" i="104"/>
  <c r="DC111" i="104"/>
  <c r="DX111" i="104"/>
  <c r="ES143" i="104"/>
  <c r="EL143" i="104"/>
  <c r="EE143" i="104"/>
  <c r="DQ143" i="104"/>
  <c r="DJ143" i="104"/>
  <c r="DC143" i="104"/>
  <c r="DX143" i="104"/>
  <c r="ET30" i="104"/>
  <c r="EM30" i="104"/>
  <c r="EF30" i="104"/>
  <c r="DR30" i="104"/>
  <c r="DK30" i="104"/>
  <c r="DD30" i="104"/>
  <c r="DY30" i="104"/>
  <c r="ES164" i="104"/>
  <c r="EL164" i="104"/>
  <c r="EE164" i="104"/>
  <c r="DQ164" i="104"/>
  <c r="DJ164" i="104"/>
  <c r="DC164" i="104"/>
  <c r="DX164" i="104"/>
  <c r="ES142" i="104"/>
  <c r="EL142" i="104"/>
  <c r="EE142" i="104"/>
  <c r="DQ142" i="104"/>
  <c r="DJ142" i="104"/>
  <c r="DC142" i="104"/>
  <c r="DX142" i="104"/>
  <c r="ES118" i="104"/>
  <c r="EL118" i="104"/>
  <c r="EE118" i="104"/>
  <c r="DQ118" i="104"/>
  <c r="DJ118" i="104"/>
  <c r="DC118" i="104"/>
  <c r="DX118" i="104"/>
  <c r="ES80" i="104"/>
  <c r="EL80" i="104"/>
  <c r="EE80" i="104"/>
  <c r="DQ80" i="104"/>
  <c r="DJ80" i="104"/>
  <c r="DC80" i="104"/>
  <c r="DX80" i="104"/>
  <c r="DR41" i="104"/>
  <c r="DK41" i="104"/>
  <c r="DY41" i="104"/>
  <c r="ET57" i="104"/>
  <c r="EM57" i="104"/>
  <c r="EF57" i="104"/>
  <c r="DR57" i="104"/>
  <c r="DK57" i="104"/>
  <c r="DD57" i="104"/>
  <c r="DY57" i="104"/>
  <c r="ET19" i="104"/>
  <c r="EF19" i="104"/>
  <c r="EM19" i="104"/>
  <c r="DR19" i="104"/>
  <c r="DK19" i="104"/>
  <c r="DY19" i="104"/>
  <c r="ES86" i="104"/>
  <c r="EL86" i="104"/>
  <c r="EE86" i="104"/>
  <c r="DQ86" i="104"/>
  <c r="DJ86" i="104"/>
  <c r="DC86" i="104"/>
  <c r="DX86" i="104"/>
  <c r="ES144" i="104"/>
  <c r="EL144" i="104"/>
  <c r="EE144" i="104"/>
  <c r="DQ144" i="104"/>
  <c r="DJ144" i="104"/>
  <c r="DC144" i="104"/>
  <c r="DX144" i="104"/>
  <c r="ES78" i="104"/>
  <c r="EL78" i="104"/>
  <c r="EE78" i="104"/>
  <c r="DQ78" i="104"/>
  <c r="DJ78" i="104"/>
  <c r="DC78" i="104"/>
  <c r="DX78" i="104"/>
  <c r="ES170" i="104"/>
  <c r="EL170" i="104"/>
  <c r="EE170" i="104"/>
  <c r="DQ170" i="104"/>
  <c r="DJ170" i="104"/>
  <c r="DC170" i="104"/>
  <c r="DX170" i="104"/>
  <c r="ET51" i="104"/>
  <c r="EM51" i="104"/>
  <c r="EF51" i="104"/>
  <c r="DR51" i="104"/>
  <c r="DD51" i="104"/>
  <c r="DK51" i="104"/>
  <c r="DY51" i="104"/>
  <c r="ES117" i="104"/>
  <c r="EL117" i="104"/>
  <c r="EE117" i="104"/>
  <c r="DQ117" i="104"/>
  <c r="DJ117" i="104"/>
  <c r="DC117" i="104"/>
  <c r="DX117" i="104"/>
  <c r="ES135" i="104"/>
  <c r="EL135" i="104"/>
  <c r="EE135" i="104"/>
  <c r="DQ135" i="104"/>
  <c r="DJ135" i="104"/>
  <c r="DC135" i="104"/>
  <c r="DX135" i="104"/>
  <c r="ES112" i="104"/>
  <c r="EL112" i="104"/>
  <c r="EE112" i="104"/>
  <c r="DQ112" i="104"/>
  <c r="DJ112" i="104"/>
  <c r="DC112" i="104"/>
  <c r="DX112" i="104"/>
  <c r="ET56" i="104"/>
  <c r="EM56" i="104"/>
  <c r="EF56" i="104"/>
  <c r="DR56" i="104"/>
  <c r="DK56" i="104"/>
  <c r="DD56" i="104"/>
  <c r="DY56" i="104"/>
  <c r="ES168" i="104"/>
  <c r="EL168" i="104"/>
  <c r="EE168" i="104"/>
  <c r="DQ168" i="104"/>
  <c r="DJ168" i="104"/>
  <c r="DC168" i="104"/>
  <c r="DX168" i="104"/>
  <c r="ES82" i="104"/>
  <c r="EL82" i="104"/>
  <c r="EE82" i="104"/>
  <c r="DQ82" i="104"/>
  <c r="DJ82" i="104"/>
  <c r="DC82" i="104"/>
  <c r="DX82" i="104"/>
  <c r="ET29" i="104"/>
  <c r="EF29" i="104"/>
  <c r="EM29" i="104"/>
  <c r="DR29" i="104"/>
  <c r="DK29" i="104"/>
  <c r="DD29" i="104"/>
  <c r="DY29" i="104"/>
  <c r="ES174" i="104"/>
  <c r="EL174" i="104"/>
  <c r="EE174" i="104"/>
  <c r="DQ174" i="104"/>
  <c r="DC174" i="104"/>
  <c r="DJ174" i="104"/>
  <c r="DX174" i="104"/>
  <c r="ES79" i="104"/>
  <c r="EL79" i="104"/>
  <c r="EE79" i="104"/>
  <c r="DQ79" i="104"/>
  <c r="DJ79" i="104"/>
  <c r="DC79" i="104"/>
  <c r="DX79" i="104"/>
  <c r="ET50" i="104"/>
  <c r="EM50" i="104"/>
  <c r="EF50" i="104"/>
  <c r="DR50" i="104"/>
  <c r="DK50" i="104"/>
  <c r="DD50" i="104"/>
  <c r="DY50" i="104"/>
  <c r="DQ151" i="104"/>
  <c r="DJ151" i="104"/>
  <c r="DX151" i="104"/>
  <c r="ET28" i="104"/>
  <c r="EF28" i="104"/>
  <c r="EM28" i="104"/>
  <c r="DR28" i="104"/>
  <c r="DK28" i="104"/>
  <c r="DD28" i="104"/>
  <c r="DY28" i="104"/>
  <c r="DR37" i="104"/>
  <c r="DK37" i="104"/>
  <c r="DY37" i="104"/>
  <c r="ET21" i="104"/>
  <c r="EF21" i="104"/>
  <c r="EM21" i="104"/>
  <c r="DR21" i="104"/>
  <c r="DK21" i="104"/>
  <c r="DD21" i="104"/>
  <c r="DY21" i="104"/>
  <c r="ES169" i="104"/>
  <c r="EL169" i="104"/>
  <c r="EE169" i="104"/>
  <c r="DQ169" i="104"/>
  <c r="DJ169" i="104"/>
  <c r="DC169" i="104"/>
  <c r="DX169" i="104"/>
  <c r="ES81" i="104"/>
  <c r="EL81" i="104"/>
  <c r="EE81" i="104"/>
  <c r="DQ81" i="104"/>
  <c r="DC81" i="104"/>
  <c r="DJ81" i="104"/>
  <c r="DX81" i="104"/>
  <c r="ET54" i="104"/>
  <c r="EM54" i="104"/>
  <c r="EF54" i="104"/>
  <c r="DR54" i="104"/>
  <c r="DK54" i="104"/>
  <c r="DD54" i="104"/>
  <c r="DY54" i="104"/>
  <c r="ES139" i="104"/>
  <c r="EL139" i="104"/>
  <c r="EE139" i="104"/>
  <c r="DQ139" i="104"/>
  <c r="DJ139" i="104"/>
  <c r="DC139" i="104"/>
  <c r="DX139" i="104"/>
  <c r="ES84" i="104"/>
  <c r="EL84" i="104"/>
  <c r="EE84" i="104"/>
  <c r="DQ84" i="104"/>
  <c r="DJ84" i="104"/>
  <c r="DC84" i="104"/>
  <c r="DX84" i="104"/>
  <c r="ET60" i="104"/>
  <c r="EM60" i="104"/>
  <c r="EF60" i="104"/>
  <c r="DR60" i="104"/>
  <c r="DK60" i="104"/>
  <c r="DD60" i="104"/>
  <c r="DY60" i="104"/>
  <c r="ES136" i="104"/>
  <c r="EL136" i="104"/>
  <c r="EE136" i="104"/>
  <c r="DQ136" i="104"/>
  <c r="DJ136" i="104"/>
  <c r="DC136" i="104"/>
  <c r="DX136" i="104"/>
  <c r="ES110" i="104"/>
  <c r="EL110" i="104"/>
  <c r="EE110" i="104"/>
  <c r="DQ110" i="104"/>
  <c r="DJ110" i="104"/>
  <c r="DC110" i="104"/>
  <c r="DX110" i="104"/>
  <c r="ES114" i="104"/>
  <c r="EL114" i="104"/>
  <c r="EE114" i="104"/>
  <c r="DQ114" i="104"/>
  <c r="DJ114" i="104"/>
  <c r="DC114" i="104"/>
  <c r="DX114" i="104"/>
  <c r="ET53" i="104"/>
  <c r="EM53" i="104"/>
  <c r="EF53" i="104"/>
  <c r="DR53" i="104"/>
  <c r="DK53" i="104"/>
  <c r="DD53" i="104"/>
  <c r="DY53" i="104"/>
  <c r="ES76" i="104"/>
  <c r="EL76" i="104"/>
  <c r="EE76" i="104"/>
  <c r="DQ76" i="104"/>
  <c r="DJ76" i="104"/>
  <c r="DX76" i="104"/>
  <c r="ES85" i="104"/>
  <c r="EL85" i="104"/>
  <c r="EE85" i="104"/>
  <c r="DQ85" i="104"/>
  <c r="DJ85" i="104"/>
  <c r="DC85" i="104"/>
  <c r="DX85" i="104"/>
  <c r="ET55" i="104"/>
  <c r="EM55" i="104"/>
  <c r="EF55" i="104"/>
  <c r="DR55" i="104"/>
  <c r="DK55" i="104"/>
  <c r="DD55" i="104"/>
  <c r="DY55" i="104"/>
  <c r="ES138" i="104"/>
  <c r="EL138" i="104"/>
  <c r="EE138" i="104"/>
  <c r="DQ138" i="104"/>
  <c r="DJ138" i="104"/>
  <c r="DC138" i="104"/>
  <c r="DX138" i="104"/>
  <c r="ES77" i="104"/>
  <c r="EL77" i="104"/>
  <c r="EE77" i="104"/>
  <c r="DQ77" i="104"/>
  <c r="DJ77" i="104"/>
  <c r="DX77" i="104"/>
  <c r="ET25" i="104"/>
  <c r="EM25" i="104"/>
  <c r="EF25" i="104"/>
  <c r="DR25" i="104"/>
  <c r="DK25" i="104"/>
  <c r="DD25" i="104"/>
  <c r="DY25" i="104"/>
  <c r="ES141" i="104"/>
  <c r="EL141" i="104"/>
  <c r="EE141" i="104"/>
  <c r="DQ141" i="104"/>
  <c r="DJ141" i="104"/>
  <c r="DC141" i="104"/>
  <c r="DX141" i="104"/>
  <c r="DQ94" i="104"/>
  <c r="DJ94" i="104"/>
  <c r="DX94" i="104"/>
  <c r="ET22" i="104"/>
  <c r="EM22" i="104"/>
  <c r="EF22" i="104"/>
  <c r="DR22" i="104"/>
  <c r="DK22" i="104"/>
  <c r="DD22" i="104"/>
  <c r="DY22" i="104"/>
  <c r="ES167" i="104"/>
  <c r="EL167" i="104"/>
  <c r="EE167" i="104"/>
  <c r="DQ167" i="104"/>
  <c r="DJ167" i="104"/>
  <c r="DC167" i="104"/>
  <c r="DX167" i="104"/>
  <c r="DX19" i="159"/>
  <c r="DC19" i="159"/>
  <c r="EL19" i="159"/>
  <c r="DJ19" i="159"/>
  <c r="ES19" i="159"/>
  <c r="EE19" i="159"/>
  <c r="DQ19" i="159"/>
  <c r="DX18" i="159"/>
  <c r="DQ18" i="159"/>
  <c r="DC18" i="159"/>
  <c r="ES18" i="159"/>
  <c r="EL18" i="159"/>
  <c r="EE18" i="159"/>
  <c r="DJ18" i="159"/>
  <c r="AI26" i="159"/>
  <c r="AI16" i="159"/>
  <c r="DY6" i="159"/>
  <c r="DD6" i="159"/>
  <c r="DK6" i="159"/>
  <c r="ET6" i="159"/>
  <c r="DR6" i="159"/>
  <c r="EM6" i="159"/>
  <c r="EF6" i="159"/>
  <c r="DX17" i="159"/>
  <c r="DC17" i="159"/>
  <c r="DQ17" i="159"/>
  <c r="EL17" i="159"/>
  <c r="DJ17" i="159"/>
  <c r="ES17" i="159"/>
  <c r="EE17" i="159"/>
  <c r="DX23" i="159"/>
  <c r="DC23" i="159"/>
  <c r="EE23" i="159"/>
  <c r="DJ23" i="159"/>
  <c r="EL23" i="159"/>
  <c r="DQ23" i="159"/>
  <c r="ES23" i="159"/>
  <c r="DX29" i="159"/>
  <c r="DC29" i="159"/>
  <c r="DJ29" i="159"/>
  <c r="EE29" i="159"/>
  <c r="EL29" i="159"/>
  <c r="DQ29" i="159"/>
  <c r="ES29" i="159"/>
  <c r="AI17" i="159"/>
  <c r="AI27" i="159"/>
  <c r="DY7" i="159"/>
  <c r="DD7" i="159"/>
  <c r="ET7" i="159"/>
  <c r="EF7" i="159"/>
  <c r="DR7" i="159"/>
  <c r="EM7" i="159"/>
  <c r="DK7" i="159"/>
  <c r="DX33" i="159"/>
  <c r="DC33" i="159"/>
  <c r="EE33" i="159"/>
  <c r="EL33" i="159"/>
  <c r="DJ33" i="159"/>
  <c r="DQ33" i="159"/>
  <c r="ES33" i="159"/>
  <c r="AI29" i="159"/>
  <c r="AI19" i="159"/>
  <c r="DY9" i="159"/>
  <c r="ET9" i="159"/>
  <c r="EM9" i="159"/>
  <c r="DD9" i="159"/>
  <c r="DR9" i="159"/>
  <c r="DK9" i="159"/>
  <c r="EF9" i="159"/>
  <c r="DX30" i="159"/>
  <c r="DC30" i="159"/>
  <c r="ES30" i="159"/>
  <c r="EL30" i="159"/>
  <c r="EE30" i="159"/>
  <c r="DQ30" i="159"/>
  <c r="DJ30" i="159"/>
  <c r="AI23" i="159"/>
  <c r="AI33" i="159"/>
  <c r="DY13" i="159"/>
  <c r="DD13" i="159"/>
  <c r="DK13" i="159"/>
  <c r="ET13" i="159"/>
  <c r="EF13" i="159"/>
  <c r="DR13" i="159"/>
  <c r="EM13" i="159"/>
  <c r="AI31" i="159"/>
  <c r="AI21" i="159"/>
  <c r="DY11" i="159"/>
  <c r="DD11" i="159"/>
  <c r="ET11" i="159"/>
  <c r="DK11" i="159"/>
  <c r="EF11" i="159"/>
  <c r="DR11" i="159"/>
  <c r="EM11" i="159"/>
  <c r="EV11" i="159"/>
  <c r="AI20" i="159"/>
  <c r="AI30" i="159"/>
  <c r="DY10" i="159"/>
  <c r="DD10" i="159"/>
  <c r="DR10" i="159"/>
  <c r="ET10" i="159"/>
  <c r="DK10" i="159"/>
  <c r="EM10" i="159"/>
  <c r="EF10" i="159"/>
  <c r="DX21" i="159"/>
  <c r="DC21" i="159"/>
  <c r="DQ21" i="159"/>
  <c r="DJ21" i="159"/>
  <c r="ES21" i="159"/>
  <c r="EL21" i="159"/>
  <c r="EE21" i="159"/>
  <c r="DX20" i="159"/>
  <c r="DC20" i="159"/>
  <c r="DJ20" i="159"/>
  <c r="EL20" i="159"/>
  <c r="EE20" i="159"/>
  <c r="ES20" i="159"/>
  <c r="DQ20" i="159"/>
  <c r="DX31" i="159"/>
  <c r="DC31" i="159"/>
  <c r="DQ31" i="159"/>
  <c r="EE31" i="159"/>
  <c r="EL31" i="159"/>
  <c r="DJ31" i="159"/>
  <c r="ES31" i="159"/>
  <c r="AI28" i="159"/>
  <c r="AI18" i="159"/>
  <c r="DY8" i="159"/>
  <c r="EF8" i="159"/>
  <c r="DD8" i="159"/>
  <c r="DR8" i="159"/>
  <c r="DK8" i="159"/>
  <c r="EM8" i="159"/>
  <c r="ET8" i="159"/>
  <c r="DX16" i="159"/>
  <c r="ES16" i="159"/>
  <c r="DQ16" i="159"/>
  <c r="EL16" i="159"/>
  <c r="EE16" i="159"/>
  <c r="DJ16" i="159"/>
  <c r="DC16" i="159"/>
  <c r="DX28" i="159"/>
  <c r="EL28" i="159"/>
  <c r="DC28" i="159"/>
  <c r="DQ28" i="159"/>
  <c r="EE28" i="159"/>
  <c r="DJ28" i="159"/>
  <c r="ES28" i="159"/>
  <c r="DX26" i="159"/>
  <c r="ES26" i="159"/>
  <c r="DQ26" i="159"/>
  <c r="DJ26" i="159"/>
  <c r="EE26" i="159"/>
  <c r="EL26" i="159"/>
  <c r="DC26" i="159"/>
  <c r="DX27" i="159"/>
  <c r="DC27" i="159"/>
  <c r="EE27" i="159"/>
  <c r="DQ27" i="159"/>
  <c r="EL27" i="159"/>
  <c r="DJ27" i="159"/>
  <c r="ES27" i="159"/>
  <c r="AJ28" i="104"/>
  <c r="AI142" i="104"/>
  <c r="AI85" i="104"/>
  <c r="AJ61" i="104"/>
  <c r="AI175" i="104"/>
  <c r="AI118" i="104"/>
  <c r="AJ24" i="104"/>
  <c r="AI138" i="104"/>
  <c r="AI81" i="104"/>
  <c r="AJ19" i="104"/>
  <c r="AI133" i="104"/>
  <c r="AI76" i="104"/>
  <c r="AJ20" i="104"/>
  <c r="AI134" i="104"/>
  <c r="AI77" i="104"/>
  <c r="AJ25" i="104"/>
  <c r="AI139" i="104"/>
  <c r="AI82" i="104"/>
  <c r="AJ60" i="104"/>
  <c r="AI174" i="104"/>
  <c r="AI117" i="104"/>
  <c r="AI164" i="104"/>
  <c r="AI107" i="104"/>
  <c r="AI167" i="104"/>
  <c r="AI110" i="104"/>
  <c r="AI166" i="104"/>
  <c r="AI109" i="104"/>
  <c r="AJ26" i="104"/>
  <c r="AI140" i="104"/>
  <c r="AI83" i="104"/>
  <c r="AJ21" i="104"/>
  <c r="AI135" i="104"/>
  <c r="AI78" i="104"/>
  <c r="AJ41" i="104"/>
  <c r="AI155" i="104"/>
  <c r="AI98" i="104"/>
  <c r="AI171" i="104"/>
  <c r="AI114" i="104"/>
  <c r="AI169" i="104"/>
  <c r="AI112" i="104"/>
  <c r="AI170" i="104"/>
  <c r="AI113" i="104"/>
  <c r="AI165" i="104"/>
  <c r="AI108" i="104"/>
  <c r="AJ29" i="104"/>
  <c r="AI143" i="104"/>
  <c r="AI86" i="104"/>
  <c r="AJ30" i="104"/>
  <c r="AI144" i="104"/>
  <c r="AI87" i="104"/>
  <c r="AJ27" i="104"/>
  <c r="AI141" i="104"/>
  <c r="AI84" i="104"/>
  <c r="AJ22" i="104"/>
  <c r="AI136" i="104"/>
  <c r="AI79" i="104"/>
  <c r="AJ37" i="104"/>
  <c r="AI151" i="104"/>
  <c r="AI94" i="104"/>
  <c r="AI168" i="104"/>
  <c r="AI111" i="104"/>
  <c r="AJ23" i="104"/>
  <c r="AI137" i="104"/>
  <c r="AI80" i="104"/>
  <c r="DX22" i="159" l="1"/>
  <c r="X8" i="132"/>
  <c r="ES22" i="159"/>
  <c r="EF12" i="159"/>
  <c r="DK12" i="159"/>
  <c r="DJ22" i="159"/>
  <c r="DD12" i="159"/>
  <c r="DR12" i="159"/>
  <c r="EM12" i="159"/>
  <c r="DY12" i="159"/>
  <c r="AI22" i="159"/>
  <c r="EF22" i="159" s="1"/>
  <c r="ET12" i="159"/>
  <c r="AI32" i="159"/>
  <c r="DK32" i="159" s="1"/>
  <c r="DQ22" i="159"/>
  <c r="EL22" i="159"/>
  <c r="EE22" i="159"/>
  <c r="EE32" i="159"/>
  <c r="DX32" i="159"/>
  <c r="EL32" i="159"/>
  <c r="ES32" i="159"/>
  <c r="DQ32" i="159"/>
  <c r="DJ32" i="159"/>
  <c r="ET79" i="104"/>
  <c r="EM79" i="104"/>
  <c r="EF79" i="104"/>
  <c r="DR79" i="104"/>
  <c r="DK79" i="104"/>
  <c r="DD79" i="104"/>
  <c r="DY79" i="104"/>
  <c r="EU23" i="104"/>
  <c r="FC23" i="104" s="1"/>
  <c r="EN23" i="104"/>
  <c r="FB23" i="104" s="1"/>
  <c r="EG23" i="104"/>
  <c r="FA23" i="104" s="1"/>
  <c r="DL23" i="104"/>
  <c r="EX23" i="104" s="1"/>
  <c r="DS23" i="104"/>
  <c r="EY23" i="104" s="1"/>
  <c r="DE23" i="104"/>
  <c r="EW23" i="104" s="1"/>
  <c r="DZ23" i="104"/>
  <c r="EZ23" i="104" s="1"/>
  <c r="ET136" i="104"/>
  <c r="EM136" i="104"/>
  <c r="EF136" i="104"/>
  <c r="DR136" i="104"/>
  <c r="DK136" i="104"/>
  <c r="DD136" i="104"/>
  <c r="DY136" i="104"/>
  <c r="ET86" i="104"/>
  <c r="EM86" i="104"/>
  <c r="EF86" i="104"/>
  <c r="DR86" i="104"/>
  <c r="DK86" i="104"/>
  <c r="DD86" i="104"/>
  <c r="DY86" i="104"/>
  <c r="EU56" i="104"/>
  <c r="FC56" i="104" s="1"/>
  <c r="EN56" i="104"/>
  <c r="FB56" i="104" s="1"/>
  <c r="EG56" i="104"/>
  <c r="FA56" i="104" s="1"/>
  <c r="DS56" i="104"/>
  <c r="EY56" i="104" s="1"/>
  <c r="DL56" i="104"/>
  <c r="EX56" i="104" s="1"/>
  <c r="DE56" i="104"/>
  <c r="EW56" i="104" s="1"/>
  <c r="DZ56" i="104"/>
  <c r="EZ56" i="104" s="1"/>
  <c r="DR155" i="104"/>
  <c r="DK155" i="104"/>
  <c r="DY155" i="104"/>
  <c r="ET109" i="104"/>
  <c r="EM109" i="104"/>
  <c r="EF109" i="104"/>
  <c r="DR109" i="104"/>
  <c r="DK109" i="104"/>
  <c r="DD109" i="104"/>
  <c r="DY109" i="104"/>
  <c r="EU50" i="104"/>
  <c r="FC50" i="104" s="1"/>
  <c r="EN50" i="104"/>
  <c r="FB50" i="104" s="1"/>
  <c r="EG50" i="104"/>
  <c r="FA50" i="104" s="1"/>
  <c r="DS50" i="104"/>
  <c r="EY50" i="104" s="1"/>
  <c r="DL50" i="104"/>
  <c r="EX50" i="104" s="1"/>
  <c r="DE50" i="104"/>
  <c r="EW50" i="104" s="1"/>
  <c r="DZ50" i="104"/>
  <c r="EZ50" i="104" s="1"/>
  <c r="ET134" i="104"/>
  <c r="EM134" i="104"/>
  <c r="EF134" i="104"/>
  <c r="DR134" i="104"/>
  <c r="DK134" i="104"/>
  <c r="DY134" i="104"/>
  <c r="ET118" i="104"/>
  <c r="EM118" i="104"/>
  <c r="EF118" i="104"/>
  <c r="DR118" i="104"/>
  <c r="DK118" i="104"/>
  <c r="DD118" i="104"/>
  <c r="DY118" i="104"/>
  <c r="ET164" i="104"/>
  <c r="EM164" i="104"/>
  <c r="EF164" i="104"/>
  <c r="DR164" i="104"/>
  <c r="DK164" i="104"/>
  <c r="DD164" i="104"/>
  <c r="DY164" i="104"/>
  <c r="ET117" i="104"/>
  <c r="EM117" i="104"/>
  <c r="EF117" i="104"/>
  <c r="DR117" i="104"/>
  <c r="DK117" i="104"/>
  <c r="DD117" i="104"/>
  <c r="DY117" i="104"/>
  <c r="EU30" i="104"/>
  <c r="FC30" i="104" s="1"/>
  <c r="EG30" i="104"/>
  <c r="FA30" i="104" s="1"/>
  <c r="EN30" i="104"/>
  <c r="FB30" i="104" s="1"/>
  <c r="DS30" i="104"/>
  <c r="EY30" i="104" s="1"/>
  <c r="DL30" i="104"/>
  <c r="EX30" i="104" s="1"/>
  <c r="DE30" i="104"/>
  <c r="EW30" i="104" s="1"/>
  <c r="DZ30" i="104"/>
  <c r="EZ30" i="104" s="1"/>
  <c r="EU24" i="104"/>
  <c r="FC24" i="104" s="1"/>
  <c r="EN24" i="104"/>
  <c r="FB24" i="104" s="1"/>
  <c r="EG24" i="104"/>
  <c r="FA24" i="104" s="1"/>
  <c r="DS24" i="104"/>
  <c r="EY24" i="104" s="1"/>
  <c r="DL24" i="104"/>
  <c r="EX24" i="104" s="1"/>
  <c r="DE24" i="104"/>
  <c r="EW24" i="104" s="1"/>
  <c r="DZ24" i="104"/>
  <c r="EZ24" i="104" s="1"/>
  <c r="ET78" i="104"/>
  <c r="EM78" i="104"/>
  <c r="EF78" i="104"/>
  <c r="DR78" i="104"/>
  <c r="DK78" i="104"/>
  <c r="DD78" i="104"/>
  <c r="DY78" i="104"/>
  <c r="ET170" i="104"/>
  <c r="EM170" i="104"/>
  <c r="EF170" i="104"/>
  <c r="DR170" i="104"/>
  <c r="DD170" i="104"/>
  <c r="DK170" i="104"/>
  <c r="DY170" i="104"/>
  <c r="ET143" i="104"/>
  <c r="EM143" i="104"/>
  <c r="EF143" i="104"/>
  <c r="DR143" i="104"/>
  <c r="DK143" i="104"/>
  <c r="DD143" i="104"/>
  <c r="DY143" i="104"/>
  <c r="ET175" i="104"/>
  <c r="EM175" i="104"/>
  <c r="EF175" i="104"/>
  <c r="DR175" i="104"/>
  <c r="DK175" i="104"/>
  <c r="DD175" i="104"/>
  <c r="DY175" i="104"/>
  <c r="ET84" i="104"/>
  <c r="EM84" i="104"/>
  <c r="EF84" i="104"/>
  <c r="DR84" i="104"/>
  <c r="DK84" i="104"/>
  <c r="DD84" i="104"/>
  <c r="DY84" i="104"/>
  <c r="ET76" i="104"/>
  <c r="EM76" i="104"/>
  <c r="EF76" i="104"/>
  <c r="DR76" i="104"/>
  <c r="DK76" i="104"/>
  <c r="DY76" i="104"/>
  <c r="EU54" i="104"/>
  <c r="FC54" i="104" s="1"/>
  <c r="EN54" i="104"/>
  <c r="FB54" i="104" s="1"/>
  <c r="EG54" i="104"/>
  <c r="FA54" i="104" s="1"/>
  <c r="DS54" i="104"/>
  <c r="EY54" i="104" s="1"/>
  <c r="DL54" i="104"/>
  <c r="EX54" i="104" s="1"/>
  <c r="DE54" i="104"/>
  <c r="EW54" i="104" s="1"/>
  <c r="DZ54" i="104"/>
  <c r="EZ54" i="104" s="1"/>
  <c r="ET141" i="104"/>
  <c r="EM141" i="104"/>
  <c r="EF141" i="104"/>
  <c r="DR141" i="104"/>
  <c r="DK141" i="104"/>
  <c r="DD141" i="104"/>
  <c r="DY141" i="104"/>
  <c r="ET108" i="104"/>
  <c r="EM108" i="104"/>
  <c r="EF108" i="104"/>
  <c r="DR108" i="104"/>
  <c r="DK108" i="104"/>
  <c r="DD108" i="104"/>
  <c r="DY108" i="104"/>
  <c r="EU55" i="104"/>
  <c r="FC55" i="104" s="1"/>
  <c r="EN55" i="104"/>
  <c r="FB55" i="104" s="1"/>
  <c r="EG55" i="104"/>
  <c r="FA55" i="104" s="1"/>
  <c r="DS55" i="104"/>
  <c r="EY55" i="104" s="1"/>
  <c r="DL55" i="104"/>
  <c r="EX55" i="104" s="1"/>
  <c r="DE55" i="104"/>
  <c r="EW55" i="104" s="1"/>
  <c r="DZ55" i="104"/>
  <c r="EZ55" i="104" s="1"/>
  <c r="ET135" i="104"/>
  <c r="EF135" i="104"/>
  <c r="EM135" i="104"/>
  <c r="DR135" i="104"/>
  <c r="DK135" i="104"/>
  <c r="DD135" i="104"/>
  <c r="DY135" i="104"/>
  <c r="ET110" i="104"/>
  <c r="EM110" i="104"/>
  <c r="EF110" i="104"/>
  <c r="DR110" i="104"/>
  <c r="DK110" i="104"/>
  <c r="DD110" i="104"/>
  <c r="DY110" i="104"/>
  <c r="EU60" i="104"/>
  <c r="FC60" i="104" s="1"/>
  <c r="EN60" i="104"/>
  <c r="FB60" i="104" s="1"/>
  <c r="EG60" i="104"/>
  <c r="FA60" i="104" s="1"/>
  <c r="DS60" i="104"/>
  <c r="EY60" i="104" s="1"/>
  <c r="DL60" i="104"/>
  <c r="EX60" i="104" s="1"/>
  <c r="DE60" i="104"/>
  <c r="EW60" i="104" s="1"/>
  <c r="DZ60" i="104"/>
  <c r="EZ60" i="104" s="1"/>
  <c r="ET133" i="104"/>
  <c r="EM133" i="104"/>
  <c r="EF133" i="104"/>
  <c r="DR133" i="104"/>
  <c r="DK133" i="104"/>
  <c r="DY133" i="104"/>
  <c r="ET85" i="104"/>
  <c r="EM85" i="104"/>
  <c r="EF85" i="104"/>
  <c r="DR85" i="104"/>
  <c r="DK85" i="104"/>
  <c r="DD85" i="104"/>
  <c r="DY85" i="104"/>
  <c r="DR98" i="104"/>
  <c r="DK98" i="104"/>
  <c r="DY98" i="104"/>
  <c r="ET112" i="104"/>
  <c r="EF112" i="104"/>
  <c r="EM112" i="104"/>
  <c r="DR112" i="104"/>
  <c r="DK112" i="104"/>
  <c r="DD112" i="104"/>
  <c r="DY112" i="104"/>
  <c r="EU29" i="104"/>
  <c r="FC29" i="104" s="1"/>
  <c r="EG29" i="104"/>
  <c r="FA29" i="104" s="1"/>
  <c r="EN29" i="104"/>
  <c r="FB29" i="104" s="1"/>
  <c r="DS29" i="104"/>
  <c r="EY29" i="104" s="1"/>
  <c r="DL29" i="104"/>
  <c r="EX29" i="104" s="1"/>
  <c r="DE29" i="104"/>
  <c r="EW29" i="104" s="1"/>
  <c r="DZ29" i="104"/>
  <c r="EZ29" i="104" s="1"/>
  <c r="ET174" i="104"/>
  <c r="EM174" i="104"/>
  <c r="EF174" i="104"/>
  <c r="DR174" i="104"/>
  <c r="DK174" i="104"/>
  <c r="DD174" i="104"/>
  <c r="DY174" i="104"/>
  <c r="DR94" i="104"/>
  <c r="DK94" i="104"/>
  <c r="DY94" i="104"/>
  <c r="EU27" i="104"/>
  <c r="FC27" i="104" s="1"/>
  <c r="EN27" i="104"/>
  <c r="FB27" i="104" s="1"/>
  <c r="EG27" i="104"/>
  <c r="FA27" i="104" s="1"/>
  <c r="DS27" i="104"/>
  <c r="EY27" i="104" s="1"/>
  <c r="DL27" i="104"/>
  <c r="EX27" i="104" s="1"/>
  <c r="DE27" i="104"/>
  <c r="EW27" i="104" s="1"/>
  <c r="DZ27" i="104"/>
  <c r="EZ27" i="104" s="1"/>
  <c r="ET165" i="104"/>
  <c r="EM165" i="104"/>
  <c r="EF165" i="104"/>
  <c r="DR165" i="104"/>
  <c r="DK165" i="104"/>
  <c r="DD165" i="104"/>
  <c r="DY165" i="104"/>
  <c r="ET114" i="104"/>
  <c r="EM114" i="104"/>
  <c r="EF114" i="104"/>
  <c r="DR114" i="104"/>
  <c r="DD114" i="104"/>
  <c r="DK114" i="104"/>
  <c r="DY114" i="104"/>
  <c r="EU21" i="104"/>
  <c r="FC21" i="104" s="1"/>
  <c r="EG21" i="104"/>
  <c r="FA21" i="104" s="1"/>
  <c r="EN21" i="104"/>
  <c r="FB21" i="104" s="1"/>
  <c r="DS21" i="104"/>
  <c r="EY21" i="104" s="1"/>
  <c r="DL21" i="104"/>
  <c r="EX21" i="104" s="1"/>
  <c r="DE21" i="104"/>
  <c r="EW21" i="104" s="1"/>
  <c r="DZ21" i="104"/>
  <c r="EZ21" i="104" s="1"/>
  <c r="ET167" i="104"/>
  <c r="EM167" i="104"/>
  <c r="EF167" i="104"/>
  <c r="DR167" i="104"/>
  <c r="DK167" i="104"/>
  <c r="DD167" i="104"/>
  <c r="DY167" i="104"/>
  <c r="ET82" i="104"/>
  <c r="EM82" i="104"/>
  <c r="EF82" i="104"/>
  <c r="DR82" i="104"/>
  <c r="DD82" i="104"/>
  <c r="DK82" i="104"/>
  <c r="DY82" i="104"/>
  <c r="EU19" i="104"/>
  <c r="FC19" i="104" s="1"/>
  <c r="EN19" i="104"/>
  <c r="FB19" i="104" s="1"/>
  <c r="EG19" i="104"/>
  <c r="FA19" i="104" s="1"/>
  <c r="DS19" i="104"/>
  <c r="EY19" i="104" s="1"/>
  <c r="DL19" i="104"/>
  <c r="EX19" i="104" s="1"/>
  <c r="DZ19" i="104"/>
  <c r="EZ19" i="104" s="1"/>
  <c r="ET142" i="104"/>
  <c r="EM142" i="104"/>
  <c r="EF142" i="104"/>
  <c r="DR142" i="104"/>
  <c r="DK142" i="104"/>
  <c r="DD142" i="104"/>
  <c r="DY142" i="104"/>
  <c r="EU26" i="104"/>
  <c r="FC26" i="104" s="1"/>
  <c r="EN26" i="104"/>
  <c r="FB26" i="104" s="1"/>
  <c r="EG26" i="104"/>
  <c r="FA26" i="104" s="1"/>
  <c r="DS26" i="104"/>
  <c r="EY26" i="104" s="1"/>
  <c r="DL26" i="104"/>
  <c r="EX26" i="104" s="1"/>
  <c r="DE26" i="104"/>
  <c r="EW26" i="104" s="1"/>
  <c r="DZ26" i="104"/>
  <c r="EZ26" i="104" s="1"/>
  <c r="ET111" i="104"/>
  <c r="EM111" i="104"/>
  <c r="EF111" i="104"/>
  <c r="DR111" i="104"/>
  <c r="DK111" i="104"/>
  <c r="DD111" i="104"/>
  <c r="DY111" i="104"/>
  <c r="DS41" i="104"/>
  <c r="EY41" i="104" s="1"/>
  <c r="DL41" i="104"/>
  <c r="EX41" i="104" s="1"/>
  <c r="DZ41" i="104"/>
  <c r="EZ41" i="104" s="1"/>
  <c r="EU20" i="104"/>
  <c r="FC20" i="104" s="1"/>
  <c r="EG20" i="104"/>
  <c r="FA20" i="104" s="1"/>
  <c r="EN20" i="104"/>
  <c r="FB20" i="104" s="1"/>
  <c r="DS20" i="104"/>
  <c r="EY20" i="104" s="1"/>
  <c r="DL20" i="104"/>
  <c r="EX20" i="104" s="1"/>
  <c r="DZ20" i="104"/>
  <c r="EZ20" i="104" s="1"/>
  <c r="ET168" i="104"/>
  <c r="EM168" i="104"/>
  <c r="EF168" i="104"/>
  <c r="DR168" i="104"/>
  <c r="DK168" i="104"/>
  <c r="DD168" i="104"/>
  <c r="DY168" i="104"/>
  <c r="EU52" i="104"/>
  <c r="FC52" i="104" s="1"/>
  <c r="EN52" i="104"/>
  <c r="FB52" i="104" s="1"/>
  <c r="EG52" i="104"/>
  <c r="FA52" i="104" s="1"/>
  <c r="DS52" i="104"/>
  <c r="EY52" i="104" s="1"/>
  <c r="DL52" i="104"/>
  <c r="EX52" i="104" s="1"/>
  <c r="DE52" i="104"/>
  <c r="EW52" i="104" s="1"/>
  <c r="DZ52" i="104"/>
  <c r="EZ52" i="104" s="1"/>
  <c r="DR151" i="104"/>
  <c r="DK151" i="104"/>
  <c r="DY151" i="104"/>
  <c r="ET87" i="104"/>
  <c r="EM87" i="104"/>
  <c r="EF87" i="104"/>
  <c r="DR87" i="104"/>
  <c r="DK87" i="104"/>
  <c r="DD87" i="104"/>
  <c r="DY87" i="104"/>
  <c r="EU51" i="104"/>
  <c r="FC51" i="104" s="1"/>
  <c r="EN51" i="104"/>
  <c r="FB51" i="104" s="1"/>
  <c r="EG51" i="104"/>
  <c r="FA51" i="104" s="1"/>
  <c r="DS51" i="104"/>
  <c r="EY51" i="104" s="1"/>
  <c r="DL51" i="104"/>
  <c r="EX51" i="104" s="1"/>
  <c r="DE51" i="104"/>
  <c r="EW51" i="104" s="1"/>
  <c r="DZ51" i="104"/>
  <c r="EZ51" i="104" s="1"/>
  <c r="ET171" i="104"/>
  <c r="EM171" i="104"/>
  <c r="EF171" i="104"/>
  <c r="DR171" i="104"/>
  <c r="DK171" i="104"/>
  <c r="DD171" i="104"/>
  <c r="DY171" i="104"/>
  <c r="ET83" i="104"/>
  <c r="EM83" i="104"/>
  <c r="EF83" i="104"/>
  <c r="DR83" i="104"/>
  <c r="DK83" i="104"/>
  <c r="DD83" i="104"/>
  <c r="DY83" i="104"/>
  <c r="EU53" i="104"/>
  <c r="FC53" i="104" s="1"/>
  <c r="EN53" i="104"/>
  <c r="FB53" i="104" s="1"/>
  <c r="EG53" i="104"/>
  <c r="FA53" i="104" s="1"/>
  <c r="DS53" i="104"/>
  <c r="EY53" i="104" s="1"/>
  <c r="DL53" i="104"/>
  <c r="EX53" i="104" s="1"/>
  <c r="DE53" i="104"/>
  <c r="EW53" i="104" s="1"/>
  <c r="DZ53" i="104"/>
  <c r="EZ53" i="104" s="1"/>
  <c r="ET139" i="104"/>
  <c r="EM139" i="104"/>
  <c r="EF139" i="104"/>
  <c r="DR139" i="104"/>
  <c r="DK139" i="104"/>
  <c r="DD139" i="104"/>
  <c r="DY139" i="104"/>
  <c r="ET81" i="104"/>
  <c r="EM81" i="104"/>
  <c r="EF81" i="104"/>
  <c r="DR81" i="104"/>
  <c r="DK81" i="104"/>
  <c r="DD81" i="104"/>
  <c r="DY81" i="104"/>
  <c r="EU28" i="104"/>
  <c r="FC28" i="104" s="1"/>
  <c r="EG28" i="104"/>
  <c r="FA28" i="104" s="1"/>
  <c r="EN28" i="104"/>
  <c r="FB28" i="104" s="1"/>
  <c r="DS28" i="104"/>
  <c r="EY28" i="104" s="1"/>
  <c r="DL28" i="104"/>
  <c r="EX28" i="104" s="1"/>
  <c r="DE28" i="104"/>
  <c r="EW28" i="104" s="1"/>
  <c r="DZ28" i="104"/>
  <c r="EZ28" i="104" s="1"/>
  <c r="ET137" i="104"/>
  <c r="EM137" i="104"/>
  <c r="EF137" i="104"/>
  <c r="DR137" i="104"/>
  <c r="DK137" i="104"/>
  <c r="DD137" i="104"/>
  <c r="DY137" i="104"/>
  <c r="ET77" i="104"/>
  <c r="EM77" i="104"/>
  <c r="EF77" i="104"/>
  <c r="DR77" i="104"/>
  <c r="DK77" i="104"/>
  <c r="DY77" i="104"/>
  <c r="EU22" i="104"/>
  <c r="FC22" i="104" s="1"/>
  <c r="EG22" i="104"/>
  <c r="FA22" i="104" s="1"/>
  <c r="EN22" i="104"/>
  <c r="FB22" i="104" s="1"/>
  <c r="DS22" i="104"/>
  <c r="EY22" i="104" s="1"/>
  <c r="DL22" i="104"/>
  <c r="EX22" i="104" s="1"/>
  <c r="DE22" i="104"/>
  <c r="EW22" i="104" s="1"/>
  <c r="DZ22" i="104"/>
  <c r="EZ22" i="104" s="1"/>
  <c r="ET166" i="104"/>
  <c r="EM166" i="104"/>
  <c r="EF166" i="104"/>
  <c r="DK166" i="104"/>
  <c r="DR166" i="104"/>
  <c r="DD166" i="104"/>
  <c r="DY166" i="104"/>
  <c r="ET169" i="104"/>
  <c r="EM169" i="104"/>
  <c r="EF169" i="104"/>
  <c r="DR169" i="104"/>
  <c r="DK169" i="104"/>
  <c r="DD169" i="104"/>
  <c r="DY169" i="104"/>
  <c r="EU61" i="104"/>
  <c r="FC61" i="104" s="1"/>
  <c r="EN61" i="104"/>
  <c r="FB61" i="104" s="1"/>
  <c r="EG61" i="104"/>
  <c r="FA61" i="104" s="1"/>
  <c r="DS61" i="104"/>
  <c r="EY61" i="104" s="1"/>
  <c r="DL61" i="104"/>
  <c r="EX61" i="104" s="1"/>
  <c r="DE61" i="104"/>
  <c r="EW61" i="104" s="1"/>
  <c r="DZ61" i="104"/>
  <c r="EZ61" i="104" s="1"/>
  <c r="ET80" i="104"/>
  <c r="EM80" i="104"/>
  <c r="EF80" i="104"/>
  <c r="DR80" i="104"/>
  <c r="DK80" i="104"/>
  <c r="DD80" i="104"/>
  <c r="DY80" i="104"/>
  <c r="DS37" i="104"/>
  <c r="EY37" i="104" s="1"/>
  <c r="DL37" i="104"/>
  <c r="EX37" i="104" s="1"/>
  <c r="DZ37" i="104"/>
  <c r="EZ37" i="104" s="1"/>
  <c r="ET144" i="104"/>
  <c r="EM144" i="104"/>
  <c r="EF144" i="104"/>
  <c r="DR144" i="104"/>
  <c r="DK144" i="104"/>
  <c r="DD144" i="104"/>
  <c r="DY144" i="104"/>
  <c r="ET113" i="104"/>
  <c r="EM113" i="104"/>
  <c r="EF113" i="104"/>
  <c r="DR113" i="104"/>
  <c r="DK113" i="104"/>
  <c r="DD113" i="104"/>
  <c r="DY113" i="104"/>
  <c r="EU57" i="104"/>
  <c r="FC57" i="104" s="1"/>
  <c r="EG57" i="104"/>
  <c r="FA57" i="104" s="1"/>
  <c r="EN57" i="104"/>
  <c r="FB57" i="104" s="1"/>
  <c r="DS57" i="104"/>
  <c r="EY57" i="104" s="1"/>
  <c r="DL57" i="104"/>
  <c r="EX57" i="104" s="1"/>
  <c r="DE57" i="104"/>
  <c r="EW57" i="104" s="1"/>
  <c r="DZ57" i="104"/>
  <c r="EZ57" i="104" s="1"/>
  <c r="ET140" i="104"/>
  <c r="EM140" i="104"/>
  <c r="EF140" i="104"/>
  <c r="DR140" i="104"/>
  <c r="DK140" i="104"/>
  <c r="DD140" i="104"/>
  <c r="DY140" i="104"/>
  <c r="ET107" i="104"/>
  <c r="EM107" i="104"/>
  <c r="EF107" i="104"/>
  <c r="DR107" i="104"/>
  <c r="DK107" i="104"/>
  <c r="DD107" i="104"/>
  <c r="DY107" i="104"/>
  <c r="EU25" i="104"/>
  <c r="FC25" i="104" s="1"/>
  <c r="EN25" i="104"/>
  <c r="FB25" i="104" s="1"/>
  <c r="EG25" i="104"/>
  <c r="FA25" i="104" s="1"/>
  <c r="DS25" i="104"/>
  <c r="EY25" i="104" s="1"/>
  <c r="DL25" i="104"/>
  <c r="EX25" i="104" s="1"/>
  <c r="DE25" i="104"/>
  <c r="EW25" i="104" s="1"/>
  <c r="DZ25" i="104"/>
  <c r="EZ25" i="104" s="1"/>
  <c r="ET138" i="104"/>
  <c r="EM138" i="104"/>
  <c r="EF138" i="104"/>
  <c r="DR138" i="104"/>
  <c r="DD138" i="104"/>
  <c r="DK138" i="104"/>
  <c r="DY138" i="104"/>
  <c r="EV7" i="159"/>
  <c r="DY23" i="159"/>
  <c r="DD23" i="159"/>
  <c r="EF23" i="159"/>
  <c r="EM23" i="159"/>
  <c r="ET23" i="159"/>
  <c r="DK23" i="159"/>
  <c r="DR23" i="159"/>
  <c r="AJ27" i="159"/>
  <c r="AJ17" i="159"/>
  <c r="DZ7" i="159"/>
  <c r="EZ7" i="159" s="1"/>
  <c r="DE7" i="159"/>
  <c r="EU7" i="159"/>
  <c r="EN7" i="159"/>
  <c r="DL7" i="159"/>
  <c r="DS7" i="159"/>
  <c r="EG7" i="159"/>
  <c r="DY19" i="159"/>
  <c r="DD19" i="159"/>
  <c r="EM19" i="159"/>
  <c r="DK19" i="159"/>
  <c r="EF19" i="159"/>
  <c r="ET19" i="159"/>
  <c r="DR19" i="159"/>
  <c r="DY17" i="159"/>
  <c r="DD17" i="159"/>
  <c r="DR17" i="159"/>
  <c r="EM17" i="159"/>
  <c r="DK17" i="159"/>
  <c r="EF17" i="159"/>
  <c r="ET17" i="159"/>
  <c r="DY30" i="159"/>
  <c r="DD30" i="159"/>
  <c r="EM30" i="159"/>
  <c r="ET30" i="159"/>
  <c r="EF30" i="159"/>
  <c r="DR30" i="159"/>
  <c r="DK30" i="159"/>
  <c r="AJ31" i="159"/>
  <c r="AJ21" i="159"/>
  <c r="DZ11" i="159"/>
  <c r="EZ11" i="159" s="1"/>
  <c r="DE11" i="159"/>
  <c r="EU11" i="159"/>
  <c r="DL11" i="159"/>
  <c r="EG11" i="159"/>
  <c r="DS11" i="159"/>
  <c r="EN11" i="159"/>
  <c r="DY29" i="159"/>
  <c r="DD29" i="159"/>
  <c r="DK29" i="159"/>
  <c r="EF29" i="159"/>
  <c r="ET29" i="159"/>
  <c r="DR29" i="159"/>
  <c r="EM29" i="159"/>
  <c r="AJ30" i="159"/>
  <c r="AJ20" i="159"/>
  <c r="DZ10" i="159"/>
  <c r="EZ10" i="159" s="1"/>
  <c r="DE10" i="159"/>
  <c r="EU10" i="159"/>
  <c r="DS10" i="159"/>
  <c r="DL10" i="159"/>
  <c r="EN10" i="159"/>
  <c r="EG10" i="159"/>
  <c r="EV10" i="159"/>
  <c r="DY21" i="159"/>
  <c r="DD21" i="159"/>
  <c r="DR21" i="159"/>
  <c r="DK21" i="159"/>
  <c r="EM21" i="159"/>
  <c r="ET21" i="159"/>
  <c r="EF21" i="159"/>
  <c r="AJ19" i="159"/>
  <c r="AJ29" i="159"/>
  <c r="DZ9" i="159"/>
  <c r="EZ9" i="159" s="1"/>
  <c r="DE9" i="159"/>
  <c r="EU9" i="159"/>
  <c r="FC9" i="159" s="1"/>
  <c r="DS9" i="159"/>
  <c r="EN9" i="159"/>
  <c r="DL9" i="159"/>
  <c r="EG9" i="159"/>
  <c r="EV9" i="159"/>
  <c r="AJ28" i="159"/>
  <c r="AJ18" i="159"/>
  <c r="DZ8" i="159"/>
  <c r="EZ8" i="159" s="1"/>
  <c r="DE8" i="159"/>
  <c r="EG8" i="159"/>
  <c r="DS8" i="159"/>
  <c r="EU8" i="159"/>
  <c r="DL8" i="159"/>
  <c r="EN8" i="159"/>
  <c r="EV8" i="159"/>
  <c r="DY20" i="159"/>
  <c r="DD20" i="159"/>
  <c r="EM20" i="159"/>
  <c r="DK20" i="159"/>
  <c r="EF20" i="159"/>
  <c r="ET20" i="159"/>
  <c r="DR20" i="159"/>
  <c r="DY31" i="159"/>
  <c r="DD31" i="159"/>
  <c r="DR31" i="159"/>
  <c r="DK31" i="159"/>
  <c r="ET31" i="159"/>
  <c r="EM31" i="159"/>
  <c r="EF31" i="159"/>
  <c r="ET16" i="159"/>
  <c r="DY16" i="159"/>
  <c r="DR16" i="159"/>
  <c r="EM16" i="159"/>
  <c r="EF16" i="159"/>
  <c r="DD16" i="159"/>
  <c r="DK16" i="159"/>
  <c r="DY18" i="159"/>
  <c r="DR18" i="159"/>
  <c r="DD18" i="159"/>
  <c r="DK18" i="159"/>
  <c r="ET18" i="159"/>
  <c r="EF18" i="159"/>
  <c r="EM18" i="159"/>
  <c r="AJ32" i="159"/>
  <c r="AJ22" i="159"/>
  <c r="DZ12" i="159"/>
  <c r="DE12" i="159"/>
  <c r="DS12" i="159"/>
  <c r="DL12" i="159"/>
  <c r="EN12" i="159"/>
  <c r="EG12" i="159"/>
  <c r="EU12" i="159"/>
  <c r="EV12" i="159"/>
  <c r="DY26" i="159"/>
  <c r="DR26" i="159"/>
  <c r="ET26" i="159"/>
  <c r="DK26" i="159"/>
  <c r="EF26" i="159"/>
  <c r="EM26" i="159"/>
  <c r="DD26" i="159"/>
  <c r="DY33" i="159"/>
  <c r="EF33" i="159"/>
  <c r="DD33" i="159"/>
  <c r="EM33" i="159"/>
  <c r="ET33" i="159"/>
  <c r="DK33" i="159"/>
  <c r="DR33" i="159"/>
  <c r="DY28" i="159"/>
  <c r="EM28" i="159"/>
  <c r="EF28" i="159"/>
  <c r="DR28" i="159"/>
  <c r="DD28" i="159"/>
  <c r="DK28" i="159"/>
  <c r="ET28" i="159"/>
  <c r="AJ26" i="159"/>
  <c r="AJ16" i="159"/>
  <c r="DZ6" i="159"/>
  <c r="DE6" i="159"/>
  <c r="DL6" i="159"/>
  <c r="DS6" i="159"/>
  <c r="EU6" i="159"/>
  <c r="EG6" i="159"/>
  <c r="EN6" i="159"/>
  <c r="EV6" i="159"/>
  <c r="AJ33" i="159"/>
  <c r="AJ23" i="159"/>
  <c r="DZ13" i="159"/>
  <c r="EZ13" i="159" s="1"/>
  <c r="DE13" i="159"/>
  <c r="DL13" i="159"/>
  <c r="EU13" i="159"/>
  <c r="EG13" i="159"/>
  <c r="DS13" i="159"/>
  <c r="EN13" i="159"/>
  <c r="EV13" i="159"/>
  <c r="DY27" i="159"/>
  <c r="DD27" i="159"/>
  <c r="EF27" i="159"/>
  <c r="DK27" i="159"/>
  <c r="EM27" i="159"/>
  <c r="DR27" i="159"/>
  <c r="ET27" i="159"/>
  <c r="AJ137" i="104"/>
  <c r="AJ80" i="104"/>
  <c r="AJ155" i="104"/>
  <c r="AJ98" i="104"/>
  <c r="AJ140" i="104"/>
  <c r="AJ83" i="104"/>
  <c r="AJ139" i="104"/>
  <c r="AJ82" i="104"/>
  <c r="AJ168" i="104"/>
  <c r="AJ111" i="104"/>
  <c r="AJ166" i="104"/>
  <c r="AJ109" i="104"/>
  <c r="AJ174" i="104"/>
  <c r="AJ117" i="104"/>
  <c r="AJ134" i="104"/>
  <c r="AJ77" i="104"/>
  <c r="AJ133" i="104"/>
  <c r="AJ76" i="104"/>
  <c r="AJ142" i="104"/>
  <c r="AJ85" i="104"/>
  <c r="AJ144" i="104"/>
  <c r="AJ87" i="104"/>
  <c r="AJ167" i="104"/>
  <c r="AJ110" i="104"/>
  <c r="AJ138" i="104"/>
  <c r="AJ81" i="104"/>
  <c r="AJ175" i="104"/>
  <c r="AJ118" i="104"/>
  <c r="AJ151" i="104"/>
  <c r="AJ94" i="104"/>
  <c r="AJ136" i="104"/>
  <c r="AJ79" i="104"/>
  <c r="AJ143" i="104"/>
  <c r="AJ86" i="104"/>
  <c r="AJ170" i="104"/>
  <c r="AJ113" i="104"/>
  <c r="AJ164" i="104"/>
  <c r="AJ107" i="104"/>
  <c r="AJ141" i="104"/>
  <c r="AJ84" i="104"/>
  <c r="AJ135" i="104"/>
  <c r="AJ78" i="104"/>
  <c r="AJ165" i="104"/>
  <c r="AJ108" i="104"/>
  <c r="AJ169" i="104"/>
  <c r="AJ112" i="104"/>
  <c r="AJ171" i="104"/>
  <c r="AJ114" i="104"/>
  <c r="BJ8" i="132" l="1"/>
  <c r="DG8" i="132" s="1"/>
  <c r="Y8" i="132"/>
  <c r="DK22" i="159"/>
  <c r="DR32" i="159"/>
  <c r="EM32" i="159"/>
  <c r="EV32" i="159"/>
  <c r="EF32" i="159"/>
  <c r="DY22" i="159"/>
  <c r="DY32" i="159"/>
  <c r="ET32" i="159"/>
  <c r="EM22" i="159"/>
  <c r="DD32" i="159"/>
  <c r="DR22" i="159"/>
  <c r="ET22" i="159"/>
  <c r="DD22" i="159"/>
  <c r="EZ12" i="159"/>
  <c r="EZ6" i="159"/>
  <c r="DL151" i="104"/>
  <c r="EX151" i="104" s="1"/>
  <c r="DS151" i="104"/>
  <c r="EY151" i="104" s="1"/>
  <c r="DZ151" i="104"/>
  <c r="EU144" i="104"/>
  <c r="EN144" i="104"/>
  <c r="EG144" i="104"/>
  <c r="DS144" i="104"/>
  <c r="EY144" i="104" s="1"/>
  <c r="DL144" i="104"/>
  <c r="EX144" i="104" s="1"/>
  <c r="DE144" i="104"/>
  <c r="EW144" i="104" s="1"/>
  <c r="DZ144" i="104"/>
  <c r="EU140" i="104"/>
  <c r="FC140" i="104" s="1"/>
  <c r="EN140" i="104"/>
  <c r="FB140" i="104" s="1"/>
  <c r="EG140" i="104"/>
  <c r="FA140" i="104" s="1"/>
  <c r="DS140" i="104"/>
  <c r="EY140" i="104" s="1"/>
  <c r="DL140" i="104"/>
  <c r="EX140" i="104" s="1"/>
  <c r="DE140" i="104"/>
  <c r="EW140" i="104" s="1"/>
  <c r="DZ140" i="104"/>
  <c r="EU108" i="104"/>
  <c r="FC108" i="104" s="1"/>
  <c r="EN108" i="104"/>
  <c r="FB108" i="104" s="1"/>
  <c r="EG108" i="104"/>
  <c r="FA108" i="104" s="1"/>
  <c r="DS108" i="104"/>
  <c r="EY108" i="104" s="1"/>
  <c r="DL108" i="104"/>
  <c r="EX108" i="104" s="1"/>
  <c r="DE108" i="104"/>
  <c r="EW108" i="104" s="1"/>
  <c r="DZ108" i="104"/>
  <c r="FE51" i="104"/>
  <c r="EU113" i="104"/>
  <c r="FC113" i="104" s="1"/>
  <c r="EN113" i="104"/>
  <c r="FB113" i="104" s="1"/>
  <c r="EG113" i="104"/>
  <c r="FA113" i="104" s="1"/>
  <c r="DS113" i="104"/>
  <c r="EY113" i="104" s="1"/>
  <c r="DL113" i="104"/>
  <c r="EX113" i="104" s="1"/>
  <c r="DE113" i="104"/>
  <c r="EW113" i="104" s="1"/>
  <c r="DZ113" i="104"/>
  <c r="EU118" i="104"/>
  <c r="FC118" i="104" s="1"/>
  <c r="EN118" i="104"/>
  <c r="FB118" i="104" s="1"/>
  <c r="EG118" i="104"/>
  <c r="FA118" i="104" s="1"/>
  <c r="DS118" i="104"/>
  <c r="EY118" i="104" s="1"/>
  <c r="DL118" i="104"/>
  <c r="EX118" i="104" s="1"/>
  <c r="DE118" i="104"/>
  <c r="EW118" i="104" s="1"/>
  <c r="DZ118" i="104"/>
  <c r="EU85" i="104"/>
  <c r="FC85" i="104" s="1"/>
  <c r="EN85" i="104"/>
  <c r="FB85" i="104" s="1"/>
  <c r="EG85" i="104"/>
  <c r="FA85" i="104" s="1"/>
  <c r="DS85" i="104"/>
  <c r="EY85" i="104" s="1"/>
  <c r="DL85" i="104"/>
  <c r="EX85" i="104" s="1"/>
  <c r="DE85" i="104"/>
  <c r="EW85" i="104" s="1"/>
  <c r="DZ85" i="104"/>
  <c r="FE28" i="104"/>
  <c r="EU109" i="104"/>
  <c r="FC109" i="104" s="1"/>
  <c r="EN109" i="104"/>
  <c r="FB109" i="104" s="1"/>
  <c r="EG109" i="104"/>
  <c r="FA109" i="104" s="1"/>
  <c r="DS109" i="104"/>
  <c r="EY109" i="104" s="1"/>
  <c r="DL109" i="104"/>
  <c r="EX109" i="104" s="1"/>
  <c r="DE109" i="104"/>
  <c r="EW109" i="104" s="1"/>
  <c r="DZ109" i="104"/>
  <c r="FE52" i="104"/>
  <c r="DS98" i="104"/>
  <c r="EY98" i="104" s="1"/>
  <c r="DL98" i="104"/>
  <c r="EX98" i="104" s="1"/>
  <c r="DZ98" i="104"/>
  <c r="EU107" i="104"/>
  <c r="FC107" i="104" s="1"/>
  <c r="EN107" i="104"/>
  <c r="FB107" i="104" s="1"/>
  <c r="EG107" i="104"/>
  <c r="FA107" i="104" s="1"/>
  <c r="DS107" i="104"/>
  <c r="EY107" i="104" s="1"/>
  <c r="DE107" i="104"/>
  <c r="EW107" i="104" s="1"/>
  <c r="DL107" i="104"/>
  <c r="DZ107" i="104"/>
  <c r="EU175" i="104"/>
  <c r="FC175" i="104" s="1"/>
  <c r="EN175" i="104"/>
  <c r="FB175" i="104" s="1"/>
  <c r="EG175" i="104"/>
  <c r="FA175" i="104" s="1"/>
  <c r="DL175" i="104"/>
  <c r="DS175" i="104"/>
  <c r="EY175" i="104" s="1"/>
  <c r="DE175" i="104"/>
  <c r="EW175" i="104" s="1"/>
  <c r="DZ175" i="104"/>
  <c r="FE56" i="104"/>
  <c r="EU166" i="104"/>
  <c r="EN166" i="104"/>
  <c r="EG166" i="104"/>
  <c r="DS166" i="104"/>
  <c r="EY166" i="104" s="1"/>
  <c r="DL166" i="104"/>
  <c r="EX166" i="104" s="1"/>
  <c r="DE166" i="104"/>
  <c r="DZ166" i="104"/>
  <c r="EU87" i="104"/>
  <c r="FC87" i="104" s="1"/>
  <c r="EN87" i="104"/>
  <c r="FB87" i="104" s="1"/>
  <c r="EG87" i="104"/>
  <c r="FA87" i="104" s="1"/>
  <c r="DS87" i="104"/>
  <c r="EY87" i="104" s="1"/>
  <c r="DL87" i="104"/>
  <c r="DE87" i="104"/>
  <c r="EW87" i="104" s="1"/>
  <c r="DZ87" i="104"/>
  <c r="EU170" i="104"/>
  <c r="EG170" i="104"/>
  <c r="EN170" i="104"/>
  <c r="DS170" i="104"/>
  <c r="EY170" i="104" s="1"/>
  <c r="DE170" i="104"/>
  <c r="EW170" i="104" s="1"/>
  <c r="DL170" i="104"/>
  <c r="EX170" i="104" s="1"/>
  <c r="DZ170" i="104"/>
  <c r="DS155" i="104"/>
  <c r="EY155" i="104" s="1"/>
  <c r="DL155" i="104"/>
  <c r="EX155" i="104" s="1"/>
  <c r="DZ155" i="104"/>
  <c r="EU86" i="104"/>
  <c r="FC86" i="104" s="1"/>
  <c r="EG86" i="104"/>
  <c r="FA86" i="104" s="1"/>
  <c r="EN86" i="104"/>
  <c r="FB86" i="104" s="1"/>
  <c r="DS86" i="104"/>
  <c r="EY86" i="104" s="1"/>
  <c r="DL86" i="104"/>
  <c r="EX86" i="104" s="1"/>
  <c r="DE86" i="104"/>
  <c r="EW86" i="104" s="1"/>
  <c r="DZ86" i="104"/>
  <c r="EU80" i="104"/>
  <c r="FC80" i="104" s="1"/>
  <c r="EN80" i="104"/>
  <c r="FB80" i="104" s="1"/>
  <c r="EG80" i="104"/>
  <c r="FA80" i="104" s="1"/>
  <c r="DS80" i="104"/>
  <c r="EY80" i="104" s="1"/>
  <c r="DL80" i="104"/>
  <c r="EX80" i="104" s="1"/>
  <c r="DE80" i="104"/>
  <c r="DZ80" i="104"/>
  <c r="EU133" i="104"/>
  <c r="FC133" i="104" s="1"/>
  <c r="EN133" i="104"/>
  <c r="FB133" i="104" s="1"/>
  <c r="EG133" i="104"/>
  <c r="FA133" i="104" s="1"/>
  <c r="DS133" i="104"/>
  <c r="EY133" i="104" s="1"/>
  <c r="DL133" i="104"/>
  <c r="EX133" i="104" s="1"/>
  <c r="DZ133" i="104"/>
  <c r="DS94" i="104"/>
  <c r="EY94" i="104" s="1"/>
  <c r="DL94" i="104"/>
  <c r="EX94" i="104" s="1"/>
  <c r="DZ94" i="104"/>
  <c r="EU164" i="104"/>
  <c r="EN164" i="104"/>
  <c r="EG164" i="104"/>
  <c r="DS164" i="104"/>
  <c r="EY164" i="104" s="1"/>
  <c r="DL164" i="104"/>
  <c r="EX164" i="104" s="1"/>
  <c r="DE164" i="104"/>
  <c r="EW164" i="104" s="1"/>
  <c r="DZ164" i="104"/>
  <c r="FE50" i="104"/>
  <c r="EU142" i="104"/>
  <c r="EN142" i="104"/>
  <c r="EG142" i="104"/>
  <c r="DS142" i="104"/>
  <c r="EY142" i="104" s="1"/>
  <c r="DL142" i="104"/>
  <c r="DE142" i="104"/>
  <c r="EW142" i="104" s="1"/>
  <c r="DZ142" i="104"/>
  <c r="EU81" i="104"/>
  <c r="FC81" i="104" s="1"/>
  <c r="EN81" i="104"/>
  <c r="FB81" i="104" s="1"/>
  <c r="EG81" i="104"/>
  <c r="FA81" i="104" s="1"/>
  <c r="DS81" i="104"/>
  <c r="EY81" i="104" s="1"/>
  <c r="DL81" i="104"/>
  <c r="DE81" i="104"/>
  <c r="EW81" i="104" s="1"/>
  <c r="DZ81" i="104"/>
  <c r="EU111" i="104"/>
  <c r="FC111" i="104" s="1"/>
  <c r="EN111" i="104"/>
  <c r="FB111" i="104" s="1"/>
  <c r="EG111" i="104"/>
  <c r="FA111" i="104" s="1"/>
  <c r="DS111" i="104"/>
  <c r="EY111" i="104" s="1"/>
  <c r="DL111" i="104"/>
  <c r="DE111" i="104"/>
  <c r="EW111" i="104" s="1"/>
  <c r="DZ111" i="104"/>
  <c r="EU135" i="104"/>
  <c r="FC135" i="104" s="1"/>
  <c r="EN135" i="104"/>
  <c r="FB135" i="104" s="1"/>
  <c r="EG135" i="104"/>
  <c r="FA135" i="104" s="1"/>
  <c r="DS135" i="104"/>
  <c r="EY135" i="104" s="1"/>
  <c r="DL135" i="104"/>
  <c r="EX135" i="104" s="1"/>
  <c r="DE135" i="104"/>
  <c r="EW135" i="104" s="1"/>
  <c r="DZ135" i="104"/>
  <c r="EU138" i="104"/>
  <c r="FC138" i="104" s="1"/>
  <c r="EN138" i="104"/>
  <c r="FB138" i="104" s="1"/>
  <c r="EG138" i="104"/>
  <c r="FA138" i="104" s="1"/>
  <c r="DS138" i="104"/>
  <c r="EY138" i="104" s="1"/>
  <c r="DL138" i="104"/>
  <c r="EX138" i="104" s="1"/>
  <c r="DE138" i="104"/>
  <c r="EW138" i="104" s="1"/>
  <c r="DZ138" i="104"/>
  <c r="EU137" i="104"/>
  <c r="FC137" i="104" s="1"/>
  <c r="EN137" i="104"/>
  <c r="FB137" i="104" s="1"/>
  <c r="EG137" i="104"/>
  <c r="FA137" i="104" s="1"/>
  <c r="DS137" i="104"/>
  <c r="EY137" i="104" s="1"/>
  <c r="DL137" i="104"/>
  <c r="DE137" i="104"/>
  <c r="EW137" i="104" s="1"/>
  <c r="DZ137" i="104"/>
  <c r="EU114" i="104"/>
  <c r="FC114" i="104" s="1"/>
  <c r="EN114" i="104"/>
  <c r="FB114" i="104" s="1"/>
  <c r="EG114" i="104"/>
  <c r="FA114" i="104" s="1"/>
  <c r="DS114" i="104"/>
  <c r="EY114" i="104" s="1"/>
  <c r="DL114" i="104"/>
  <c r="EX114" i="104" s="1"/>
  <c r="DE114" i="104"/>
  <c r="DZ114" i="104"/>
  <c r="FE57" i="104"/>
  <c r="EU84" i="104"/>
  <c r="FC84" i="104" s="1"/>
  <c r="EN84" i="104"/>
  <c r="FB84" i="104" s="1"/>
  <c r="EG84" i="104"/>
  <c r="FA84" i="104" s="1"/>
  <c r="DS84" i="104"/>
  <c r="EY84" i="104" s="1"/>
  <c r="DL84" i="104"/>
  <c r="DE84" i="104"/>
  <c r="EW84" i="104" s="1"/>
  <c r="DZ84" i="104"/>
  <c r="EU79" i="104"/>
  <c r="FC79" i="104" s="1"/>
  <c r="EN79" i="104"/>
  <c r="FB79" i="104" s="1"/>
  <c r="EG79" i="104"/>
  <c r="FA79" i="104" s="1"/>
  <c r="DS79" i="104"/>
  <c r="EY79" i="104" s="1"/>
  <c r="DL79" i="104"/>
  <c r="EX79" i="104" s="1"/>
  <c r="DE79" i="104"/>
  <c r="EW79" i="104" s="1"/>
  <c r="DZ79" i="104"/>
  <c r="FE22" i="104"/>
  <c r="EU110" i="104"/>
  <c r="FC110" i="104" s="1"/>
  <c r="EN110" i="104"/>
  <c r="FB110" i="104" s="1"/>
  <c r="EG110" i="104"/>
  <c r="FA110" i="104" s="1"/>
  <c r="DS110" i="104"/>
  <c r="EY110" i="104" s="1"/>
  <c r="DL110" i="104"/>
  <c r="EX110" i="104" s="1"/>
  <c r="DE110" i="104"/>
  <c r="EW110" i="104" s="1"/>
  <c r="DZ110" i="104"/>
  <c r="FE53" i="104"/>
  <c r="EU77" i="104"/>
  <c r="FC77" i="104" s="1"/>
  <c r="EN77" i="104"/>
  <c r="FB77" i="104" s="1"/>
  <c r="EG77" i="104"/>
  <c r="FA77" i="104" s="1"/>
  <c r="DS77" i="104"/>
  <c r="EY77" i="104" s="1"/>
  <c r="DL77" i="104"/>
  <c r="DZ77" i="104"/>
  <c r="EU82" i="104"/>
  <c r="FC82" i="104" s="1"/>
  <c r="EN82" i="104"/>
  <c r="FB82" i="104" s="1"/>
  <c r="EG82" i="104"/>
  <c r="FA82" i="104" s="1"/>
  <c r="DS82" i="104"/>
  <c r="EY82" i="104" s="1"/>
  <c r="DL82" i="104"/>
  <c r="EX82" i="104" s="1"/>
  <c r="DE82" i="104"/>
  <c r="DZ82" i="104"/>
  <c r="FE25" i="104"/>
  <c r="EU117" i="104"/>
  <c r="FC117" i="104" s="1"/>
  <c r="EN117" i="104"/>
  <c r="FB117" i="104" s="1"/>
  <c r="EG117" i="104"/>
  <c r="FA117" i="104" s="1"/>
  <c r="DS117" i="104"/>
  <c r="EY117" i="104" s="1"/>
  <c r="DL117" i="104"/>
  <c r="EX117" i="104" s="1"/>
  <c r="DE117" i="104"/>
  <c r="DZ117" i="104"/>
  <c r="FE60" i="104"/>
  <c r="EU165" i="104"/>
  <c r="EN165" i="104"/>
  <c r="EG165" i="104"/>
  <c r="DS165" i="104"/>
  <c r="EY165" i="104" s="1"/>
  <c r="DL165" i="104"/>
  <c r="DE165" i="104"/>
  <c r="DZ165" i="104"/>
  <c r="EU78" i="104"/>
  <c r="FC78" i="104" s="1"/>
  <c r="EN78" i="104"/>
  <c r="FB78" i="104" s="1"/>
  <c r="EG78" i="104"/>
  <c r="FA78" i="104" s="1"/>
  <c r="DS78" i="104"/>
  <c r="EY78" i="104" s="1"/>
  <c r="DL78" i="104"/>
  <c r="DE78" i="104"/>
  <c r="DZ78" i="104"/>
  <c r="EU76" i="104"/>
  <c r="FC76" i="104" s="1"/>
  <c r="EN76" i="104"/>
  <c r="FB76" i="104" s="1"/>
  <c r="EG76" i="104"/>
  <c r="FA76" i="104" s="1"/>
  <c r="DS76" i="104"/>
  <c r="EY76" i="104" s="1"/>
  <c r="DL76" i="104"/>
  <c r="DZ76" i="104"/>
  <c r="FE19" i="104"/>
  <c r="EU143" i="104"/>
  <c r="EN143" i="104"/>
  <c r="EG143" i="104"/>
  <c r="DS143" i="104"/>
  <c r="EY143" i="104" s="1"/>
  <c r="DL143" i="104"/>
  <c r="EX143" i="104" s="1"/>
  <c r="DE143" i="104"/>
  <c r="EW143" i="104" s="1"/>
  <c r="DZ143" i="104"/>
  <c r="FE29" i="104"/>
  <c r="EU168" i="104"/>
  <c r="EN168" i="104"/>
  <c r="EG168" i="104"/>
  <c r="DS168" i="104"/>
  <c r="EY168" i="104" s="1"/>
  <c r="DL168" i="104"/>
  <c r="EX168" i="104" s="1"/>
  <c r="DE168" i="104"/>
  <c r="EW168" i="104" s="1"/>
  <c r="DZ168" i="104"/>
  <c r="EU171" i="104"/>
  <c r="EN171" i="104"/>
  <c r="EG171" i="104"/>
  <c r="DS171" i="104"/>
  <c r="EY171" i="104" s="1"/>
  <c r="DE171" i="104"/>
  <c r="EW171" i="104" s="1"/>
  <c r="DL171" i="104"/>
  <c r="EX171" i="104" s="1"/>
  <c r="DZ171" i="104"/>
  <c r="EU141" i="104"/>
  <c r="EN141" i="104"/>
  <c r="EG141" i="104"/>
  <c r="DS141" i="104"/>
  <c r="DL141" i="104"/>
  <c r="EX141" i="104" s="1"/>
  <c r="DE141" i="104"/>
  <c r="EW141" i="104" s="1"/>
  <c r="DZ141" i="104"/>
  <c r="EU136" i="104"/>
  <c r="FC136" i="104" s="1"/>
  <c r="EN136" i="104"/>
  <c r="FB136" i="104" s="1"/>
  <c r="EG136" i="104"/>
  <c r="FA136" i="104" s="1"/>
  <c r="DS136" i="104"/>
  <c r="EY136" i="104" s="1"/>
  <c r="DL136" i="104"/>
  <c r="EX136" i="104" s="1"/>
  <c r="DE136" i="104"/>
  <c r="EW136" i="104" s="1"/>
  <c r="DZ136" i="104"/>
  <c r="EU167" i="104"/>
  <c r="EN167" i="104"/>
  <c r="EG167" i="104"/>
  <c r="DS167" i="104"/>
  <c r="EY167" i="104" s="1"/>
  <c r="DL167" i="104"/>
  <c r="EX167" i="104" s="1"/>
  <c r="DE167" i="104"/>
  <c r="EW167" i="104" s="1"/>
  <c r="DZ167" i="104"/>
  <c r="EU134" i="104"/>
  <c r="FC134" i="104" s="1"/>
  <c r="EN134" i="104"/>
  <c r="FB134" i="104" s="1"/>
  <c r="EG134" i="104"/>
  <c r="FA134" i="104" s="1"/>
  <c r="DS134" i="104"/>
  <c r="EY134" i="104" s="1"/>
  <c r="DL134" i="104"/>
  <c r="EX134" i="104" s="1"/>
  <c r="DZ134" i="104"/>
  <c r="EU139" i="104"/>
  <c r="FC139" i="104" s="1"/>
  <c r="EN139" i="104"/>
  <c r="FB139" i="104" s="1"/>
  <c r="EG139" i="104"/>
  <c r="FA139" i="104" s="1"/>
  <c r="DS139" i="104"/>
  <c r="EY139" i="104" s="1"/>
  <c r="DE139" i="104"/>
  <c r="EW139" i="104" s="1"/>
  <c r="DL139" i="104"/>
  <c r="EX139" i="104" s="1"/>
  <c r="DZ139" i="104"/>
  <c r="FE27" i="104"/>
  <c r="FE24" i="104"/>
  <c r="FE30" i="104"/>
  <c r="EU83" i="104"/>
  <c r="FC83" i="104" s="1"/>
  <c r="EN83" i="104"/>
  <c r="FB83" i="104" s="1"/>
  <c r="EG83" i="104"/>
  <c r="FA83" i="104" s="1"/>
  <c r="DS83" i="104"/>
  <c r="EY83" i="104" s="1"/>
  <c r="DL83" i="104"/>
  <c r="DE83" i="104"/>
  <c r="EW83" i="104" s="1"/>
  <c r="DZ83" i="104"/>
  <c r="FE26" i="104"/>
  <c r="FE20" i="104"/>
  <c r="FE54" i="104"/>
  <c r="EU112" i="104"/>
  <c r="FC112" i="104" s="1"/>
  <c r="EN112" i="104"/>
  <c r="FB112" i="104" s="1"/>
  <c r="EG112" i="104"/>
  <c r="FA112" i="104" s="1"/>
  <c r="DS112" i="104"/>
  <c r="EY112" i="104" s="1"/>
  <c r="DL112" i="104"/>
  <c r="DE112" i="104"/>
  <c r="DZ112" i="104"/>
  <c r="FE55" i="104"/>
  <c r="EU169" i="104"/>
  <c r="EN169" i="104"/>
  <c r="EG169" i="104"/>
  <c r="DS169" i="104"/>
  <c r="EY169" i="104" s="1"/>
  <c r="DL169" i="104"/>
  <c r="EX169" i="104" s="1"/>
  <c r="DE169" i="104"/>
  <c r="EW169" i="104" s="1"/>
  <c r="DZ169" i="104"/>
  <c r="EU174" i="104"/>
  <c r="FC174" i="104" s="1"/>
  <c r="EN174" i="104"/>
  <c r="FB174" i="104" s="1"/>
  <c r="EG174" i="104"/>
  <c r="FA174" i="104" s="1"/>
  <c r="DS174" i="104"/>
  <c r="EY174" i="104" s="1"/>
  <c r="DL174" i="104"/>
  <c r="DE174" i="104"/>
  <c r="EW174" i="104" s="1"/>
  <c r="DZ174" i="104"/>
  <c r="FE21" i="104"/>
  <c r="FE23" i="104"/>
  <c r="FA13" i="159"/>
  <c r="FA12" i="159"/>
  <c r="FB10" i="159"/>
  <c r="FC13" i="159"/>
  <c r="FA6" i="159"/>
  <c r="FB12" i="159"/>
  <c r="EW8" i="159"/>
  <c r="EY9" i="159"/>
  <c r="EX10" i="159"/>
  <c r="EX11" i="159"/>
  <c r="EW7" i="159"/>
  <c r="FB9" i="159"/>
  <c r="FA11" i="159"/>
  <c r="EX13" i="159"/>
  <c r="FC6" i="159"/>
  <c r="EX12" i="159"/>
  <c r="EY10" i="159"/>
  <c r="FC11" i="159"/>
  <c r="EY13" i="159"/>
  <c r="FC12" i="159"/>
  <c r="EX9" i="159"/>
  <c r="FA10" i="159"/>
  <c r="FB7" i="159"/>
  <c r="FB6" i="159"/>
  <c r="FA8" i="159"/>
  <c r="EW13" i="159"/>
  <c r="EY6" i="159"/>
  <c r="EY12" i="159"/>
  <c r="EW9" i="159"/>
  <c r="FC10" i="159"/>
  <c r="EW11" i="159"/>
  <c r="EY8" i="159"/>
  <c r="EY11" i="159"/>
  <c r="FC7" i="159"/>
  <c r="EX6" i="159"/>
  <c r="EW12" i="159"/>
  <c r="FB8" i="159"/>
  <c r="EW10" i="159"/>
  <c r="FA7" i="159"/>
  <c r="EW6" i="159"/>
  <c r="EX8" i="159"/>
  <c r="EY7" i="159"/>
  <c r="FB13" i="159"/>
  <c r="FC8" i="159"/>
  <c r="FA9" i="159"/>
  <c r="FB11" i="159"/>
  <c r="EX7" i="159"/>
  <c r="DZ18" i="159"/>
  <c r="DE18" i="159"/>
  <c r="DS18" i="159"/>
  <c r="EU18" i="159"/>
  <c r="EN18" i="159"/>
  <c r="DL18" i="159"/>
  <c r="EG18" i="159"/>
  <c r="EV18" i="159"/>
  <c r="DZ28" i="159"/>
  <c r="DE28" i="159"/>
  <c r="EW28" i="159" s="1"/>
  <c r="EN28" i="159"/>
  <c r="EG28" i="159"/>
  <c r="FA28" i="159" s="1"/>
  <c r="DS28" i="159"/>
  <c r="DL28" i="159"/>
  <c r="EU28" i="159"/>
  <c r="FC28" i="159" s="1"/>
  <c r="EV28" i="159"/>
  <c r="DZ29" i="159"/>
  <c r="DE29" i="159"/>
  <c r="EW29" i="159" s="1"/>
  <c r="DL29" i="159"/>
  <c r="EG29" i="159"/>
  <c r="DS29" i="159"/>
  <c r="EN29" i="159"/>
  <c r="EU29" i="159"/>
  <c r="FC29" i="159" s="1"/>
  <c r="EV29" i="159"/>
  <c r="DZ19" i="159"/>
  <c r="DE19" i="159"/>
  <c r="EW19" i="159" s="1"/>
  <c r="EN19" i="159"/>
  <c r="EG19" i="159"/>
  <c r="FA19" i="159" s="1"/>
  <c r="DL19" i="159"/>
  <c r="EU19" i="159"/>
  <c r="DS19" i="159"/>
  <c r="EY19" i="159" s="1"/>
  <c r="EV19" i="159"/>
  <c r="FE9" i="159" s="1"/>
  <c r="DZ23" i="159"/>
  <c r="DE23" i="159"/>
  <c r="EW23" i="159" s="1"/>
  <c r="EG23" i="159"/>
  <c r="DL23" i="159"/>
  <c r="EN23" i="159"/>
  <c r="DS23" i="159"/>
  <c r="EY23" i="159" s="1"/>
  <c r="EU23" i="159"/>
  <c r="EV23" i="159"/>
  <c r="DZ22" i="159"/>
  <c r="DE22" i="159"/>
  <c r="EG22" i="159"/>
  <c r="DL22" i="159"/>
  <c r="EN22" i="159"/>
  <c r="EU22" i="159"/>
  <c r="DS22" i="159"/>
  <c r="EV22" i="159"/>
  <c r="DZ17" i="159"/>
  <c r="DE17" i="159"/>
  <c r="EW17" i="159" s="1"/>
  <c r="DS17" i="159"/>
  <c r="EY17" i="159" s="1"/>
  <c r="EN17" i="159"/>
  <c r="DL17" i="159"/>
  <c r="EX17" i="159" s="1"/>
  <c r="EG17" i="159"/>
  <c r="EU17" i="159"/>
  <c r="EV17" i="159"/>
  <c r="FE7" i="159" s="1"/>
  <c r="DZ33" i="159"/>
  <c r="DE33" i="159"/>
  <c r="EN33" i="159"/>
  <c r="EG33" i="159"/>
  <c r="DL33" i="159"/>
  <c r="DS33" i="159"/>
  <c r="EU33" i="159"/>
  <c r="FC33" i="159" s="1"/>
  <c r="EV33" i="159"/>
  <c r="DS16" i="159"/>
  <c r="DZ16" i="159"/>
  <c r="DE16" i="159"/>
  <c r="EU16" i="159"/>
  <c r="EN16" i="159"/>
  <c r="EG16" i="159"/>
  <c r="DL16" i="159"/>
  <c r="EV16" i="159"/>
  <c r="DZ32" i="159"/>
  <c r="DE32" i="159"/>
  <c r="EG32" i="159"/>
  <c r="DS32" i="159"/>
  <c r="EU32" i="159"/>
  <c r="EN32" i="159"/>
  <c r="DL32" i="159"/>
  <c r="DZ20" i="159"/>
  <c r="DE20" i="159"/>
  <c r="DL20" i="159"/>
  <c r="EN20" i="159"/>
  <c r="EU20" i="159"/>
  <c r="FC20" i="159" s="1"/>
  <c r="DS20" i="159"/>
  <c r="EG20" i="159"/>
  <c r="EV20" i="159"/>
  <c r="FE10" i="159" s="1"/>
  <c r="DZ27" i="159"/>
  <c r="DE27" i="159"/>
  <c r="EW27" i="159" s="1"/>
  <c r="EG27" i="159"/>
  <c r="EN27" i="159"/>
  <c r="FB27" i="159" s="1"/>
  <c r="DS27" i="159"/>
  <c r="DL27" i="159"/>
  <c r="EU27" i="159"/>
  <c r="FC27" i="159" s="1"/>
  <c r="EV27" i="159"/>
  <c r="EU26" i="159"/>
  <c r="DZ26" i="159"/>
  <c r="DS26" i="159"/>
  <c r="DL26" i="159"/>
  <c r="EX26" i="159" s="1"/>
  <c r="DE26" i="159"/>
  <c r="EG26" i="159"/>
  <c r="EN26" i="159"/>
  <c r="FB26" i="159" s="1"/>
  <c r="EV26" i="159"/>
  <c r="DZ30" i="159"/>
  <c r="DE30" i="159"/>
  <c r="EU30" i="159"/>
  <c r="EN30" i="159"/>
  <c r="EG30" i="159"/>
  <c r="DS30" i="159"/>
  <c r="EY30" i="159" s="1"/>
  <c r="DL30" i="159"/>
  <c r="EV30" i="159"/>
  <c r="DZ21" i="159"/>
  <c r="DE21" i="159"/>
  <c r="DS21" i="159"/>
  <c r="DL21" i="159"/>
  <c r="EG21" i="159"/>
  <c r="EU21" i="159"/>
  <c r="EN21" i="159"/>
  <c r="EV21" i="159"/>
  <c r="DZ31" i="159"/>
  <c r="DE31" i="159"/>
  <c r="DS31" i="159"/>
  <c r="EU31" i="159"/>
  <c r="DL31" i="159"/>
  <c r="EN31" i="159"/>
  <c r="FB31" i="159" s="1"/>
  <c r="EG31" i="159"/>
  <c r="EV31" i="159"/>
  <c r="X18" i="132"/>
  <c r="BJ18" i="132" s="1"/>
  <c r="X28" i="132"/>
  <c r="BJ28" i="132" s="1"/>
  <c r="DU8" i="132"/>
  <c r="DN8" i="132"/>
  <c r="CS8" i="132"/>
  <c r="EI8" i="132"/>
  <c r="CZ8" i="132"/>
  <c r="EB8" i="132"/>
  <c r="FE12" i="159" l="1"/>
  <c r="FF27" i="104"/>
  <c r="FE13" i="159"/>
  <c r="FE8" i="159"/>
  <c r="FF7" i="159"/>
  <c r="FF9" i="159"/>
  <c r="FE11" i="159"/>
  <c r="FF22" i="104"/>
  <c r="FF30" i="104"/>
  <c r="Z8" i="132"/>
  <c r="BK8" i="132"/>
  <c r="DH8" i="132" s="1"/>
  <c r="BJ6" i="132"/>
  <c r="DG6" i="132" s="1"/>
  <c r="CZ6" i="132"/>
  <c r="DU6" i="132"/>
  <c r="EI6" i="132"/>
  <c r="DN6" i="132"/>
  <c r="CS6" i="132"/>
  <c r="FC22" i="159"/>
  <c r="EY32" i="159"/>
  <c r="FF61" i="104"/>
  <c r="FL23" i="104"/>
  <c r="FH26" i="104"/>
  <c r="FH21" i="104"/>
  <c r="FK19" i="104"/>
  <c r="FL26" i="104"/>
  <c r="FF56" i="104"/>
  <c r="FJ61" i="104"/>
  <c r="FL19" i="104"/>
  <c r="FF26" i="104"/>
  <c r="FH20" i="104"/>
  <c r="FH29" i="104"/>
  <c r="FF28" i="104"/>
  <c r="FG25" i="104"/>
  <c r="FL20" i="104"/>
  <c r="FJ25" i="104"/>
  <c r="FK26" i="104"/>
  <c r="FJ21" i="104"/>
  <c r="FF53" i="104"/>
  <c r="FJ26" i="104"/>
  <c r="FJ60" i="104"/>
  <c r="FH52" i="104"/>
  <c r="FH28" i="104"/>
  <c r="FL61" i="104"/>
  <c r="FL21" i="104"/>
  <c r="FH55" i="104"/>
  <c r="FG22" i="104"/>
  <c r="FF29" i="104"/>
  <c r="FF50" i="104"/>
  <c r="FF24" i="104"/>
  <c r="FH50" i="104"/>
  <c r="EZ134" i="104"/>
  <c r="EZ78" i="104"/>
  <c r="FH22" i="104"/>
  <c r="EZ111" i="104"/>
  <c r="EZ139" i="104"/>
  <c r="FJ20" i="104"/>
  <c r="FF54" i="104"/>
  <c r="EZ133" i="104"/>
  <c r="EZ76" i="104"/>
  <c r="FH60" i="104"/>
  <c r="FH25" i="104"/>
  <c r="FK20" i="104"/>
  <c r="FK22" i="104"/>
  <c r="EZ138" i="104"/>
  <c r="FH24" i="104"/>
  <c r="FH23" i="104"/>
  <c r="FH30" i="104"/>
  <c r="FH51" i="104"/>
  <c r="EZ16" i="159"/>
  <c r="FH61" i="104"/>
  <c r="EZ117" i="104"/>
  <c r="EZ83" i="104"/>
  <c r="EZ26" i="159"/>
  <c r="EZ32" i="159"/>
  <c r="EZ22" i="159"/>
  <c r="EZ28" i="159"/>
  <c r="FG57" i="104"/>
  <c r="FH19" i="104"/>
  <c r="FK60" i="104"/>
  <c r="EZ114" i="104"/>
  <c r="FK23" i="104"/>
  <c r="EZ98" i="104"/>
  <c r="EZ151" i="104"/>
  <c r="FL22" i="104"/>
  <c r="EZ137" i="104"/>
  <c r="FJ24" i="104"/>
  <c r="FJ23" i="104"/>
  <c r="EZ33" i="159"/>
  <c r="EZ17" i="159"/>
  <c r="EZ23" i="159"/>
  <c r="EZ19" i="159"/>
  <c r="EZ29" i="159"/>
  <c r="EZ18" i="159"/>
  <c r="FG29" i="104"/>
  <c r="FK25" i="104"/>
  <c r="EZ84" i="104"/>
  <c r="FK24" i="104"/>
  <c r="EZ31" i="159"/>
  <c r="EZ21" i="159"/>
  <c r="EZ30" i="159"/>
  <c r="EZ27" i="159"/>
  <c r="EZ20" i="159"/>
  <c r="FI10" i="159" s="1"/>
  <c r="EZ136" i="104"/>
  <c r="FJ19" i="104"/>
  <c r="FK21" i="104"/>
  <c r="FL60" i="104"/>
  <c r="FL25" i="104"/>
  <c r="EZ110" i="104"/>
  <c r="EZ79" i="104"/>
  <c r="FL24" i="104"/>
  <c r="EZ94" i="104"/>
  <c r="EZ155" i="104"/>
  <c r="EZ107" i="104"/>
  <c r="FK61" i="104"/>
  <c r="EZ77" i="104"/>
  <c r="EZ86" i="104"/>
  <c r="EZ175" i="104"/>
  <c r="EZ140" i="104"/>
  <c r="EZ82" i="104"/>
  <c r="EZ81" i="104"/>
  <c r="FI24" i="104" s="1"/>
  <c r="EZ80" i="104"/>
  <c r="EZ87" i="104"/>
  <c r="EZ113" i="104"/>
  <c r="EZ108" i="104"/>
  <c r="EZ112" i="104"/>
  <c r="EZ109" i="104"/>
  <c r="EZ85" i="104"/>
  <c r="EZ118" i="104"/>
  <c r="EZ174" i="104"/>
  <c r="FJ22" i="104"/>
  <c r="EZ135" i="104"/>
  <c r="FB165" i="104"/>
  <c r="FK51" i="104" s="1"/>
  <c r="FC142" i="104"/>
  <c r="FL28" i="104" s="1"/>
  <c r="FC164" i="104"/>
  <c r="FL50" i="104" s="1"/>
  <c r="FC144" i="104"/>
  <c r="FL30" i="104" s="1"/>
  <c r="FC165" i="104"/>
  <c r="FL51" i="104" s="1"/>
  <c r="EX137" i="104"/>
  <c r="FG23" i="104" s="1"/>
  <c r="EZ141" i="104"/>
  <c r="FA143" i="104"/>
  <c r="FJ29" i="104" s="1"/>
  <c r="EX84" i="104"/>
  <c r="FG27" i="104" s="1"/>
  <c r="EZ142" i="104"/>
  <c r="EZ164" i="104"/>
  <c r="EZ144" i="104"/>
  <c r="EY141" i="104"/>
  <c r="FH27" i="104" s="1"/>
  <c r="FB143" i="104"/>
  <c r="FK29" i="104" s="1"/>
  <c r="EZ165" i="104"/>
  <c r="EX77" i="104"/>
  <c r="FG20" i="104" s="1"/>
  <c r="FG53" i="104"/>
  <c r="FH57" i="104"/>
  <c r="EX107" i="104"/>
  <c r="FG50" i="104" s="1"/>
  <c r="FA141" i="104"/>
  <c r="FJ27" i="104" s="1"/>
  <c r="FC143" i="104"/>
  <c r="FL29" i="104" s="1"/>
  <c r="EW165" i="104"/>
  <c r="FF51" i="104" s="1"/>
  <c r="EW117" i="104"/>
  <c r="FF60" i="104" s="1"/>
  <c r="EW82" i="104"/>
  <c r="FF25" i="104" s="1"/>
  <c r="FH53" i="104"/>
  <c r="EX142" i="104"/>
  <c r="FG28" i="104" s="1"/>
  <c r="EX83" i="104"/>
  <c r="FG26" i="104" s="1"/>
  <c r="EX174" i="104"/>
  <c r="FG60" i="104" s="1"/>
  <c r="FB141" i="104"/>
  <c r="FK27" i="104" s="1"/>
  <c r="EW78" i="104"/>
  <c r="FF21" i="104" s="1"/>
  <c r="EX165" i="104"/>
  <c r="FG51" i="104" s="1"/>
  <c r="EX81" i="104"/>
  <c r="FG24" i="104" s="1"/>
  <c r="EW80" i="104"/>
  <c r="FF23" i="104" s="1"/>
  <c r="FC141" i="104"/>
  <c r="FL27" i="104" s="1"/>
  <c r="EZ143" i="104"/>
  <c r="EX78" i="104"/>
  <c r="FG21" i="104" s="1"/>
  <c r="FA142" i="104"/>
  <c r="FJ28" i="104" s="1"/>
  <c r="FA164" i="104"/>
  <c r="FJ50" i="104" s="1"/>
  <c r="EX87" i="104"/>
  <c r="FG30" i="104" s="1"/>
  <c r="EX175" i="104"/>
  <c r="FG61" i="104" s="1"/>
  <c r="FG56" i="104"/>
  <c r="FA144" i="104"/>
  <c r="FJ30" i="104" s="1"/>
  <c r="EX76" i="104"/>
  <c r="FG19" i="104" s="1"/>
  <c r="FA165" i="104"/>
  <c r="FJ51" i="104" s="1"/>
  <c r="FH54" i="104"/>
  <c r="FB142" i="104"/>
  <c r="FK28" i="104" s="1"/>
  <c r="FB164" i="104"/>
  <c r="FK50" i="104" s="1"/>
  <c r="FG52" i="104"/>
  <c r="FH56" i="104"/>
  <c r="FB144" i="104"/>
  <c r="FK30" i="104" s="1"/>
  <c r="FA169" i="104"/>
  <c r="FJ55" i="104" s="1"/>
  <c r="FC171" i="104"/>
  <c r="FL57" i="104" s="1"/>
  <c r="FB169" i="104"/>
  <c r="FK55" i="104" s="1"/>
  <c r="FA167" i="104"/>
  <c r="FJ53" i="104" s="1"/>
  <c r="EZ170" i="104"/>
  <c r="FC167" i="104"/>
  <c r="FL53" i="104" s="1"/>
  <c r="FA166" i="104"/>
  <c r="FJ52" i="104" s="1"/>
  <c r="EZ167" i="104"/>
  <c r="FA168" i="104"/>
  <c r="FJ54" i="104" s="1"/>
  <c r="EW114" i="104"/>
  <c r="FF57" i="104" s="1"/>
  <c r="FB170" i="104"/>
  <c r="FK56" i="104" s="1"/>
  <c r="FB166" i="104"/>
  <c r="FK52" i="104" s="1"/>
  <c r="EX112" i="104"/>
  <c r="FG55" i="104" s="1"/>
  <c r="FA171" i="104"/>
  <c r="FJ57" i="104" s="1"/>
  <c r="FB168" i="104"/>
  <c r="FK54" i="104" s="1"/>
  <c r="FA170" i="104"/>
  <c r="FJ56" i="104" s="1"/>
  <c r="FC166" i="104"/>
  <c r="FL52" i="104" s="1"/>
  <c r="EZ169" i="104"/>
  <c r="EW112" i="104"/>
  <c r="FF55" i="104" s="1"/>
  <c r="FB171" i="104"/>
  <c r="FK57" i="104" s="1"/>
  <c r="FC168" i="104"/>
  <c r="FL54" i="104" s="1"/>
  <c r="FC170" i="104"/>
  <c r="FL56" i="104" s="1"/>
  <c r="EZ166" i="104"/>
  <c r="EZ168" i="104"/>
  <c r="EW166" i="104"/>
  <c r="FF52" i="104" s="1"/>
  <c r="FC169" i="104"/>
  <c r="FL55" i="104" s="1"/>
  <c r="FB167" i="104"/>
  <c r="FK53" i="104" s="1"/>
  <c r="EZ171" i="104"/>
  <c r="EX111" i="104"/>
  <c r="FG54" i="104" s="1"/>
  <c r="EX31" i="159"/>
  <c r="FB21" i="159"/>
  <c r="FK11" i="159" s="1"/>
  <c r="EW30" i="159"/>
  <c r="EY26" i="159"/>
  <c r="EX32" i="159"/>
  <c r="EX16" i="159"/>
  <c r="FA22" i="159"/>
  <c r="FB23" i="159"/>
  <c r="FC31" i="159"/>
  <c r="FC21" i="159"/>
  <c r="FB20" i="159"/>
  <c r="FB32" i="159"/>
  <c r="FA16" i="159"/>
  <c r="EW26" i="159"/>
  <c r="EW22" i="159"/>
  <c r="FC19" i="159"/>
  <c r="FL9" i="159" s="1"/>
  <c r="FB29" i="159"/>
  <c r="FA18" i="159"/>
  <c r="FJ8" i="159" s="1"/>
  <c r="FA27" i="159"/>
  <c r="EY31" i="159"/>
  <c r="FA23" i="159"/>
  <c r="FJ13" i="159" s="1"/>
  <c r="EX19" i="159"/>
  <c r="EY29" i="159"/>
  <c r="FH9" i="159" s="1"/>
  <c r="EY28" i="159"/>
  <c r="EX18" i="159"/>
  <c r="FC26" i="159"/>
  <c r="FC32" i="159"/>
  <c r="FA21" i="159"/>
  <c r="EX20" i="159"/>
  <c r="EW31" i="159"/>
  <c r="EX21" i="159"/>
  <c r="FG11" i="159" s="1"/>
  <c r="EX30" i="159"/>
  <c r="EW20" i="159"/>
  <c r="FC16" i="159"/>
  <c r="EX33" i="159"/>
  <c r="FC17" i="159"/>
  <c r="FL7" i="159" s="1"/>
  <c r="FA29" i="159"/>
  <c r="FJ9" i="159" s="1"/>
  <c r="FB18" i="159"/>
  <c r="EY33" i="159"/>
  <c r="FH13" i="159" s="1"/>
  <c r="FB16" i="159"/>
  <c r="EY21" i="159"/>
  <c r="FB17" i="159"/>
  <c r="FK7" i="159" s="1"/>
  <c r="FA32" i="159"/>
  <c r="EW16" i="159"/>
  <c r="FA33" i="159"/>
  <c r="FA17" i="159"/>
  <c r="EY22" i="159"/>
  <c r="FH12" i="159" s="1"/>
  <c r="FB19" i="159"/>
  <c r="FK9" i="159" s="1"/>
  <c r="EX29" i="159"/>
  <c r="FB28" i="159"/>
  <c r="FC18" i="159"/>
  <c r="FL8" i="159" s="1"/>
  <c r="EW21" i="159"/>
  <c r="FA30" i="159"/>
  <c r="FA26" i="159"/>
  <c r="EW32" i="159"/>
  <c r="FB33" i="159"/>
  <c r="EY18" i="159"/>
  <c r="FA20" i="159"/>
  <c r="EY16" i="159"/>
  <c r="FB22" i="159"/>
  <c r="FC23" i="159"/>
  <c r="FL13" i="159" s="1"/>
  <c r="EW18" i="159"/>
  <c r="FF8" i="159" s="1"/>
  <c r="FA31" i="159"/>
  <c r="FB30" i="159"/>
  <c r="EX27" i="159"/>
  <c r="FG7" i="159" s="1"/>
  <c r="EW33" i="159"/>
  <c r="FF13" i="159" s="1"/>
  <c r="FC30" i="159"/>
  <c r="FL10" i="159" s="1"/>
  <c r="EY27" i="159"/>
  <c r="FH7" i="159" s="1"/>
  <c r="EY20" i="159"/>
  <c r="FH10" i="159" s="1"/>
  <c r="FE6" i="159"/>
  <c r="EX22" i="159"/>
  <c r="EX23" i="159"/>
  <c r="EX28" i="159"/>
  <c r="Y18" i="132"/>
  <c r="BK18" i="132" s="1"/>
  <c r="Y28" i="132"/>
  <c r="BK28" i="132" s="1"/>
  <c r="DV8" i="132"/>
  <c r="DO8" i="132"/>
  <c r="CT8" i="132"/>
  <c r="DA8" i="132"/>
  <c r="EJ8" i="132"/>
  <c r="EC8" i="132"/>
  <c r="DU18" i="132"/>
  <c r="DN18" i="132"/>
  <c r="CS18" i="132"/>
  <c r="DG18" i="132"/>
  <c r="EI18" i="132"/>
  <c r="CZ18" i="132"/>
  <c r="EB18" i="132"/>
  <c r="DU28" i="132"/>
  <c r="DN28" i="132"/>
  <c r="EI28" i="132"/>
  <c r="CZ28" i="132"/>
  <c r="DG28" i="132"/>
  <c r="CS28" i="132"/>
  <c r="EB28" i="132"/>
  <c r="FF10" i="159" l="1"/>
  <c r="FI9" i="159"/>
  <c r="FH8" i="159"/>
  <c r="FJ12" i="159"/>
  <c r="FI25" i="104"/>
  <c r="FI13" i="159"/>
  <c r="FL12" i="159"/>
  <c r="FK12" i="159"/>
  <c r="FJ10" i="159"/>
  <c r="FF12" i="159"/>
  <c r="FI7" i="159"/>
  <c r="FI12" i="159"/>
  <c r="FJ7" i="159"/>
  <c r="FG13" i="159"/>
  <c r="FG12" i="159"/>
  <c r="FG10" i="159"/>
  <c r="FI11" i="159"/>
  <c r="FK13" i="159"/>
  <c r="FH11" i="159"/>
  <c r="FJ11" i="159"/>
  <c r="FG9" i="159"/>
  <c r="FG8" i="159"/>
  <c r="FK10" i="159"/>
  <c r="FF11" i="159"/>
  <c r="FK8" i="159"/>
  <c r="FL11" i="159"/>
  <c r="FI8" i="159"/>
  <c r="AA8" i="132"/>
  <c r="BL8" i="132"/>
  <c r="DI8" i="132" s="1"/>
  <c r="FI19" i="104"/>
  <c r="FI30" i="104"/>
  <c r="FI29" i="104"/>
  <c r="FI23" i="104"/>
  <c r="FI6" i="159"/>
  <c r="FI28" i="104"/>
  <c r="FI22" i="104"/>
  <c r="FI52" i="104"/>
  <c r="FI51" i="104"/>
  <c r="FI56" i="104"/>
  <c r="FI61" i="104"/>
  <c r="FI26" i="104"/>
  <c r="FI54" i="104"/>
  <c r="FI53" i="104"/>
  <c r="FI50" i="104"/>
  <c r="FI27" i="104"/>
  <c r="FI57" i="104"/>
  <c r="FI55" i="104"/>
  <c r="FI60" i="104"/>
  <c r="FI21" i="104"/>
  <c r="FI20" i="104"/>
  <c r="FL6" i="159"/>
  <c r="FF6" i="159"/>
  <c r="FJ6" i="159"/>
  <c r="FG6" i="159"/>
  <c r="FH6" i="159"/>
  <c r="FK6" i="159"/>
  <c r="DV28" i="132"/>
  <c r="DO28" i="132"/>
  <c r="EJ28" i="132"/>
  <c r="DA28" i="132"/>
  <c r="CT28" i="132"/>
  <c r="DH28" i="132"/>
  <c r="EC28" i="132"/>
  <c r="Z28" i="132"/>
  <c r="BL28" i="132" s="1"/>
  <c r="Z18" i="132"/>
  <c r="BL18" i="132" s="1"/>
  <c r="DW8" i="132"/>
  <c r="DP8" i="132"/>
  <c r="CU8" i="132"/>
  <c r="EK8" i="132"/>
  <c r="DB8" i="132"/>
  <c r="ED8" i="132"/>
  <c r="DV18" i="132"/>
  <c r="DO18" i="132"/>
  <c r="CT18" i="132"/>
  <c r="DA18" i="132"/>
  <c r="DH18" i="132"/>
  <c r="EJ18" i="132"/>
  <c r="EC18" i="132"/>
  <c r="AB8" i="132" l="1"/>
  <c r="BN8" i="132" s="1"/>
  <c r="BM8" i="132"/>
  <c r="DJ8" i="132" s="1"/>
  <c r="AA28" i="132"/>
  <c r="BM28" i="132" s="1"/>
  <c r="AA18" i="132"/>
  <c r="BM18" i="132" s="1"/>
  <c r="DX8" i="132"/>
  <c r="DQ8" i="132"/>
  <c r="CV8" i="132"/>
  <c r="EL8" i="132"/>
  <c r="DC8" i="132"/>
  <c r="EE8" i="132"/>
  <c r="DW18" i="132"/>
  <c r="DP18" i="132"/>
  <c r="CU18" i="132"/>
  <c r="DI18" i="132"/>
  <c r="EK18" i="132"/>
  <c r="DB18" i="132"/>
  <c r="ED18" i="132"/>
  <c r="DW28" i="132"/>
  <c r="DP28" i="132"/>
  <c r="CU28" i="132"/>
  <c r="DI28" i="132"/>
  <c r="EK28" i="132"/>
  <c r="DB28" i="132"/>
  <c r="ED28" i="132"/>
  <c r="AC8" i="132" l="1"/>
  <c r="BO8" i="132" s="1"/>
  <c r="DK8" i="132"/>
  <c r="DX18" i="132"/>
  <c r="DQ18" i="132"/>
  <c r="CV18" i="132"/>
  <c r="DC18" i="132"/>
  <c r="DJ18" i="132"/>
  <c r="EL18" i="132"/>
  <c r="EE18" i="132"/>
  <c r="DX28" i="132"/>
  <c r="DQ28" i="132"/>
  <c r="CV28" i="132"/>
  <c r="DJ28" i="132"/>
  <c r="DC28" i="132"/>
  <c r="EL28" i="132"/>
  <c r="EE28" i="132"/>
  <c r="AB18" i="132"/>
  <c r="BN18" i="132" s="1"/>
  <c r="AB28" i="132"/>
  <c r="BN28" i="132" s="1"/>
  <c r="DY8" i="132"/>
  <c r="DR8" i="132"/>
  <c r="CW8" i="132"/>
  <c r="EM8" i="132"/>
  <c r="DD8" i="132"/>
  <c r="EF8" i="132"/>
  <c r="AJ1" i="104"/>
  <c r="EO8" i="132" l="1"/>
  <c r="AC18" i="132"/>
  <c r="DE8" i="132"/>
  <c r="DL8" i="132"/>
  <c r="EN8" i="132"/>
  <c r="EV8" i="132" s="1"/>
  <c r="DS8" i="132"/>
  <c r="DZ8" i="132"/>
  <c r="ET8" i="132" s="1"/>
  <c r="CX8" i="132"/>
  <c r="EP8" i="132" s="1"/>
  <c r="AC28" i="132"/>
  <c r="EG8" i="132"/>
  <c r="EU8" i="132" s="1"/>
  <c r="DY18" i="132"/>
  <c r="DR18" i="132"/>
  <c r="CW18" i="132"/>
  <c r="DK18" i="132"/>
  <c r="EM18" i="132"/>
  <c r="DD18" i="132"/>
  <c r="EF18" i="132"/>
  <c r="DY28" i="132"/>
  <c r="DR28" i="132"/>
  <c r="CW28" i="132"/>
  <c r="DK28" i="132"/>
  <c r="EM28" i="132"/>
  <c r="DD28" i="132"/>
  <c r="EF28" i="132"/>
  <c r="BO18" i="132" l="1"/>
  <c r="DL18" i="132" s="1"/>
  <c r="ER18" i="132" s="1"/>
  <c r="EN28" i="132"/>
  <c r="EV28" i="132" s="1"/>
  <c r="BO28" i="132"/>
  <c r="DL28" i="132" s="1"/>
  <c r="ER28" i="132" s="1"/>
  <c r="DZ18" i="132"/>
  <c r="ET18" i="132" s="1"/>
  <c r="DE18" i="132"/>
  <c r="EQ18" i="132" s="1"/>
  <c r="ES8" i="132"/>
  <c r="EO18" i="132"/>
  <c r="EN18" i="132"/>
  <c r="EV18" i="132" s="1"/>
  <c r="ER8" i="132"/>
  <c r="CX18" i="132"/>
  <c r="EP18" i="132" s="1"/>
  <c r="EQ8" i="132"/>
  <c r="DS18" i="132"/>
  <c r="EG18" i="132"/>
  <c r="EU18" i="132" s="1"/>
  <c r="EO28" i="132"/>
  <c r="CX28" i="132"/>
  <c r="EP28" i="132" s="1"/>
  <c r="DE28" i="132"/>
  <c r="EQ28" i="132" s="1"/>
  <c r="DS28" i="132"/>
  <c r="DZ28" i="132"/>
  <c r="EG28" i="132"/>
  <c r="EU28" i="132" s="1"/>
  <c r="EX8" i="132" l="1"/>
  <c r="ES28" i="132"/>
  <c r="ES18" i="132"/>
  <c r="FD8" i="132"/>
  <c r="EY8" i="132"/>
  <c r="ET28" i="132"/>
  <c r="EZ8" i="132"/>
  <c r="FA8" i="132"/>
  <c r="FE8" i="132"/>
  <c r="FB8" i="132" l="1"/>
  <c r="FC8" i="132"/>
  <c r="M108" i="104" l="1"/>
  <c r="M109" i="104"/>
  <c r="M110" i="104"/>
  <c r="M111" i="104"/>
  <c r="M112" i="104"/>
  <c r="M113" i="104"/>
  <c r="M114" i="104"/>
  <c r="M115" i="104"/>
  <c r="M117" i="104"/>
  <c r="M118" i="104"/>
  <c r="M107" i="104"/>
  <c r="M165" i="104"/>
  <c r="M166" i="104"/>
  <c r="M167" i="104"/>
  <c r="M168" i="104"/>
  <c r="M169" i="104"/>
  <c r="M170" i="104"/>
  <c r="M171" i="104"/>
  <c r="M172" i="104"/>
  <c r="M174" i="104"/>
  <c r="M175" i="104"/>
  <c r="M164" i="104"/>
  <c r="M135" i="104"/>
  <c r="M136" i="104"/>
  <c r="M137" i="104"/>
  <c r="M138" i="104"/>
  <c r="M139" i="104"/>
  <c r="M140" i="104"/>
  <c r="M126" i="104"/>
  <c r="M127" i="104"/>
  <c r="M128" i="104"/>
  <c r="M129" i="104"/>
  <c r="M130" i="104"/>
  <c r="M131" i="104"/>
  <c r="M132" i="104"/>
  <c r="M78" i="104" l="1"/>
  <c r="M79" i="104"/>
  <c r="M80" i="104"/>
  <c r="M81" i="104"/>
  <c r="M82" i="104"/>
  <c r="M83" i="104"/>
  <c r="M74" i="104"/>
  <c r="M75" i="104"/>
  <c r="M69" i="104"/>
  <c r="M70" i="104"/>
  <c r="M71" i="104"/>
  <c r="M72" i="104"/>
  <c r="CM10" i="128" l="1"/>
  <c r="CN10" i="128" s="1"/>
  <c r="CO10" i="128" s="1"/>
  <c r="CP10" i="128" s="1"/>
  <c r="CQ10" i="128" s="1"/>
  <c r="CR10" i="128" s="1"/>
  <c r="EO10" i="128" s="1"/>
  <c r="BV10" i="128"/>
  <c r="BU10" i="128"/>
  <c r="BT10" i="128"/>
  <c r="BS10" i="128"/>
  <c r="BR10" i="128"/>
  <c r="BQ10" i="128"/>
  <c r="BD10" i="128"/>
  <c r="BE10" i="128" s="1"/>
  <c r="BF10" i="128" s="1"/>
  <c r="BG10" i="128" s="1"/>
  <c r="BH10" i="128" s="1"/>
  <c r="BI10" i="128" s="1"/>
  <c r="DF10" i="128" s="1"/>
  <c r="BY10" i="128"/>
  <c r="BZ10" i="128" s="1"/>
  <c r="CA10" i="128" s="1"/>
  <c r="CB10" i="128" s="1"/>
  <c r="CC10" i="128" s="1"/>
  <c r="CD10" i="128" s="1"/>
  <c r="EA10" i="128" s="1"/>
  <c r="EU10" i="128" s="1"/>
  <c r="CM8" i="128"/>
  <c r="CN8" i="128" s="1"/>
  <c r="CO8" i="128" s="1"/>
  <c r="CP8" i="128" s="1"/>
  <c r="CQ8" i="128" s="1"/>
  <c r="CR8" i="128" s="1"/>
  <c r="EO8" i="128" s="1"/>
  <c r="BV8" i="128"/>
  <c r="BU8" i="128"/>
  <c r="BT8" i="128"/>
  <c r="BS8" i="128"/>
  <c r="BR8" i="128"/>
  <c r="BQ8" i="128"/>
  <c r="BD8" i="128"/>
  <c r="BE8" i="128" s="1"/>
  <c r="BF8" i="128" s="1"/>
  <c r="BG8" i="128" s="1"/>
  <c r="BH8" i="128" s="1"/>
  <c r="BI8" i="128" s="1"/>
  <c r="DF8" i="128" s="1"/>
  <c r="BY8" i="128"/>
  <c r="BZ8" i="128" s="1"/>
  <c r="CA8" i="128" s="1"/>
  <c r="CB8" i="128" s="1"/>
  <c r="CC8" i="128" s="1"/>
  <c r="CD8" i="128" s="1"/>
  <c r="EA8" i="128" s="1"/>
  <c r="EU8" i="128" s="1"/>
  <c r="CM6" i="128"/>
  <c r="CN6" i="128" s="1"/>
  <c r="CO6" i="128" s="1"/>
  <c r="CP6" i="128" s="1"/>
  <c r="CQ6" i="128" s="1"/>
  <c r="CR6" i="128" s="1"/>
  <c r="EO6" i="128" s="1"/>
  <c r="BV6" i="128"/>
  <c r="BU6" i="128"/>
  <c r="BT6" i="128"/>
  <c r="BS6" i="128"/>
  <c r="BR6" i="128"/>
  <c r="BQ6" i="128"/>
  <c r="BE6" i="128"/>
  <c r="BF6" i="128" s="1"/>
  <c r="BG6" i="128" s="1"/>
  <c r="BH6" i="128" s="1"/>
  <c r="BI6" i="128" s="1"/>
  <c r="DF6" i="128" s="1"/>
  <c r="BY6" i="128"/>
  <c r="BZ6" i="128" s="1"/>
  <c r="CA6" i="128" s="1"/>
  <c r="CB6" i="128" s="1"/>
  <c r="CC6" i="128" s="1"/>
  <c r="CD6" i="128" s="1"/>
  <c r="EA6" i="128" s="1"/>
  <c r="EU6" i="128" s="1"/>
  <c r="EW1" i="128"/>
  <c r="EV1" i="128"/>
  <c r="EU1" i="128"/>
  <c r="ET1" i="128"/>
  <c r="ES1" i="128"/>
  <c r="ER1" i="128"/>
  <c r="EQ1" i="128"/>
  <c r="EP1" i="128"/>
  <c r="EN1" i="128"/>
  <c r="EM1" i="128"/>
  <c r="EL1" i="128"/>
  <c r="EK1" i="128"/>
  <c r="EJ1" i="128"/>
  <c r="EI1" i="128"/>
  <c r="EG1" i="128"/>
  <c r="EF1" i="128"/>
  <c r="EE1" i="128"/>
  <c r="ED1" i="128"/>
  <c r="EC1" i="128"/>
  <c r="EB1" i="128"/>
  <c r="DZ1" i="128"/>
  <c r="DY1" i="128"/>
  <c r="DX1" i="128"/>
  <c r="DW1" i="128"/>
  <c r="DV1" i="128"/>
  <c r="DU1" i="128"/>
  <c r="DS1" i="128"/>
  <c r="DR1" i="128"/>
  <c r="DQ1" i="128"/>
  <c r="DP1" i="128"/>
  <c r="DO1" i="128"/>
  <c r="DN1" i="128"/>
  <c r="DL1" i="128"/>
  <c r="DK1" i="128"/>
  <c r="DJ1" i="128"/>
  <c r="DI1" i="128"/>
  <c r="DH1" i="128"/>
  <c r="DG1" i="128"/>
  <c r="DE1" i="128"/>
  <c r="DD1" i="128"/>
  <c r="DC1" i="128"/>
  <c r="DB1" i="128"/>
  <c r="DA1" i="128"/>
  <c r="CZ1" i="128"/>
  <c r="CX1" i="128"/>
  <c r="CW1" i="128"/>
  <c r="CV1" i="128"/>
  <c r="CU1" i="128"/>
  <c r="CT1" i="128"/>
  <c r="CS1" i="128"/>
  <c r="CQ1" i="128"/>
  <c r="CP1" i="128"/>
  <c r="CO1" i="128"/>
  <c r="CN1" i="128"/>
  <c r="CM1" i="128"/>
  <c r="CL1" i="128"/>
  <c r="CJ1" i="128"/>
  <c r="CI1" i="128"/>
  <c r="CH1" i="128"/>
  <c r="CG1" i="128"/>
  <c r="CF1" i="128"/>
  <c r="CE1" i="128"/>
  <c r="CC1" i="128"/>
  <c r="CB1" i="128"/>
  <c r="CA1" i="128"/>
  <c r="BZ1" i="128"/>
  <c r="BY1" i="128"/>
  <c r="BX1" i="128"/>
  <c r="BV1" i="128"/>
  <c r="BU1" i="128"/>
  <c r="BT1" i="128"/>
  <c r="BS1" i="128"/>
  <c r="BR1" i="128"/>
  <c r="BQ1" i="128"/>
  <c r="BO1" i="128"/>
  <c r="BN1" i="128"/>
  <c r="BM1" i="128"/>
  <c r="BL1" i="128"/>
  <c r="BK1" i="128"/>
  <c r="BJ1" i="128"/>
  <c r="BH1" i="128"/>
  <c r="BG1" i="128"/>
  <c r="BF1" i="128"/>
  <c r="BE1" i="128"/>
  <c r="BD1" i="128"/>
  <c r="BC1" i="128"/>
  <c r="BA1" i="128"/>
  <c r="AZ1" i="128"/>
  <c r="AY1" i="128"/>
  <c r="AX1" i="128"/>
  <c r="AW1" i="128"/>
  <c r="AV1" i="128"/>
  <c r="AU1" i="128"/>
  <c r="AT1" i="128"/>
  <c r="AS1" i="128"/>
  <c r="AR1" i="128"/>
  <c r="AQ1" i="128"/>
  <c r="AP1" i="128"/>
  <c r="AO1" i="128"/>
  <c r="AN1" i="128"/>
  <c r="AM1" i="128"/>
  <c r="AL1" i="128"/>
  <c r="AK1" i="128"/>
  <c r="AJ1" i="128"/>
  <c r="AI1" i="128"/>
  <c r="AH1" i="128"/>
  <c r="AG1" i="128"/>
  <c r="AF1" i="128"/>
  <c r="AE1" i="128"/>
  <c r="AC1" i="128"/>
  <c r="AB1" i="128"/>
  <c r="AA1" i="128"/>
  <c r="Z1" i="128"/>
  <c r="Y1" i="128"/>
  <c r="X1" i="128"/>
  <c r="W1" i="128"/>
  <c r="V1" i="128"/>
  <c r="U1" i="128"/>
  <c r="T1" i="128"/>
  <c r="S1" i="128"/>
  <c r="R1" i="128"/>
  <c r="Q1" i="128"/>
  <c r="P1" i="128"/>
  <c r="O1" i="128"/>
  <c r="N1" i="128"/>
  <c r="M1" i="128"/>
  <c r="L1" i="128"/>
  <c r="K1" i="128"/>
  <c r="J1" i="128"/>
  <c r="I1" i="128"/>
  <c r="H1" i="128"/>
  <c r="G1" i="128"/>
  <c r="F1" i="128"/>
  <c r="E1" i="128"/>
  <c r="D1" i="128"/>
  <c r="C1" i="128"/>
  <c r="B1" i="128"/>
  <c r="A1" i="128"/>
  <c r="I10" i="128" l="1"/>
  <c r="AV10" i="128" s="1"/>
  <c r="I6" i="128"/>
  <c r="AV6" i="128" s="1"/>
  <c r="AW10" i="128" l="1"/>
  <c r="AY10" i="128"/>
  <c r="BB10" i="128" s="1"/>
  <c r="CY10" i="128" s="1"/>
  <c r="I8" i="128"/>
  <c r="AV8" i="128" s="1"/>
  <c r="AW6" i="128"/>
  <c r="AY6" i="128"/>
  <c r="BB6" i="128" s="1"/>
  <c r="CY6" i="128" s="1"/>
  <c r="AZ10" i="128" l="1"/>
  <c r="AX10" i="128"/>
  <c r="BA10" i="128" s="1"/>
  <c r="AX6" i="128"/>
  <c r="BA6" i="128" s="1"/>
  <c r="AZ6" i="128"/>
  <c r="AY8" i="128"/>
  <c r="BB8" i="128" s="1"/>
  <c r="CY8" i="128" s="1"/>
  <c r="AW8" i="128"/>
  <c r="AZ8" i="128" l="1"/>
  <c r="AX8" i="128"/>
  <c r="BA8" i="128" s="1"/>
  <c r="BN1" i="89" l="1"/>
  <c r="BO1" i="89"/>
  <c r="EM1" i="89" l="1"/>
  <c r="EN1" i="89"/>
  <c r="EF1" i="89"/>
  <c r="EG1" i="89"/>
  <c r="DY1" i="89"/>
  <c r="DZ1" i="89"/>
  <c r="DR1" i="89"/>
  <c r="DS1" i="89"/>
  <c r="DK1" i="89"/>
  <c r="DL1" i="89"/>
  <c r="DD1" i="89"/>
  <c r="DE1" i="89"/>
  <c r="CW1" i="89"/>
  <c r="CX1" i="89"/>
  <c r="CP1" i="89"/>
  <c r="CQ1" i="89"/>
  <c r="CI1" i="89"/>
  <c r="CJ1" i="89"/>
  <c r="CB1" i="89"/>
  <c r="CC1" i="89"/>
  <c r="BU6" i="89"/>
  <c r="BV6" i="89"/>
  <c r="BU9" i="89"/>
  <c r="BV9" i="89"/>
  <c r="BU12" i="89"/>
  <c r="BV12" i="89"/>
  <c r="BU1" i="89"/>
  <c r="BV1" i="89"/>
  <c r="BG1" i="89"/>
  <c r="BH1" i="89"/>
  <c r="AZ1" i="89"/>
  <c r="BA1" i="89"/>
  <c r="AB1" i="89"/>
  <c r="AC1" i="89"/>
  <c r="EE1" i="78"/>
  <c r="EF1" i="78"/>
  <c r="EL1" i="78"/>
  <c r="EM1" i="78"/>
  <c r="DX1" i="78"/>
  <c r="DY1" i="78"/>
  <c r="DQ1" i="78"/>
  <c r="DR1" i="78"/>
  <c r="DJ1" i="78"/>
  <c r="DK1" i="78"/>
  <c r="DC1" i="78"/>
  <c r="DD1" i="78"/>
  <c r="CV1" i="78"/>
  <c r="CW1" i="78"/>
  <c r="CO1" i="78"/>
  <c r="CP1" i="78"/>
  <c r="CH1" i="78"/>
  <c r="CI1" i="78"/>
  <c r="CA1" i="78"/>
  <c r="CB1" i="78"/>
  <c r="BT1" i="78"/>
  <c r="BU1" i="78"/>
  <c r="BT6" i="78"/>
  <c r="BU6" i="78"/>
  <c r="BT7" i="78"/>
  <c r="BU7" i="78"/>
  <c r="BT8" i="78"/>
  <c r="BU8" i="78"/>
  <c r="BT9" i="78"/>
  <c r="BU9" i="78"/>
  <c r="BT10" i="78"/>
  <c r="BU10" i="78"/>
  <c r="BT11" i="78"/>
  <c r="BU11" i="78"/>
  <c r="BT12" i="78"/>
  <c r="BU12" i="78"/>
  <c r="BT13" i="78"/>
  <c r="BU13" i="78"/>
  <c r="BT15" i="78"/>
  <c r="BU15" i="78"/>
  <c r="BT16" i="78"/>
  <c r="BU16" i="78"/>
  <c r="BT17" i="78"/>
  <c r="BU17" i="78"/>
  <c r="BT18" i="78"/>
  <c r="BU18" i="78"/>
  <c r="BT19" i="78"/>
  <c r="BU19" i="78"/>
  <c r="BT20" i="78"/>
  <c r="BU20" i="78"/>
  <c r="BT21" i="78"/>
  <c r="BU21" i="78"/>
  <c r="BT22" i="78"/>
  <c r="BU22" i="78"/>
  <c r="BT24" i="78"/>
  <c r="BU24" i="78"/>
  <c r="BT25" i="78"/>
  <c r="BU25" i="78"/>
  <c r="BT26" i="78"/>
  <c r="BU26" i="78"/>
  <c r="BT27" i="78"/>
  <c r="BU27" i="78"/>
  <c r="BT28" i="78"/>
  <c r="BU28" i="78"/>
  <c r="BT29" i="78"/>
  <c r="BU29" i="78"/>
  <c r="BT30" i="78"/>
  <c r="BU30" i="78"/>
  <c r="BT31" i="78"/>
  <c r="BU31" i="78"/>
  <c r="BM1" i="78"/>
  <c r="BN1" i="78"/>
  <c r="BF1" i="78"/>
  <c r="BG1" i="78"/>
  <c r="AY1" i="78"/>
  <c r="AZ1" i="78"/>
  <c r="AA1" i="78"/>
  <c r="AB1" i="78"/>
  <c r="ET1" i="104"/>
  <c r="EU1" i="104"/>
  <c r="EM1" i="104"/>
  <c r="EN1" i="104"/>
  <c r="EF1" i="104"/>
  <c r="EG1" i="104"/>
  <c r="DZ1" i="104"/>
  <c r="DY1" i="104"/>
  <c r="DR1" i="104"/>
  <c r="DS1" i="104"/>
  <c r="DK1" i="104"/>
  <c r="DD1" i="104"/>
  <c r="DE1" i="104"/>
  <c r="CW1" i="104"/>
  <c r="CX1" i="104"/>
  <c r="CP1" i="104"/>
  <c r="CQ1" i="104"/>
  <c r="CI1" i="104"/>
  <c r="CJ1" i="104"/>
  <c r="CB1" i="104"/>
  <c r="CC1" i="104"/>
  <c r="CB6" i="104"/>
  <c r="CC6" i="104"/>
  <c r="BU1" i="104"/>
  <c r="BV1" i="104"/>
  <c r="BN1" i="104"/>
  <c r="BO1" i="104"/>
  <c r="BG1" i="104"/>
  <c r="BH1" i="104"/>
  <c r="AI1" i="104"/>
  <c r="E279" i="113" l="1"/>
  <c r="E268" i="113"/>
  <c r="H98" i="148" l="1"/>
  <c r="BI37" i="135"/>
  <c r="BJ37" i="135" s="1"/>
  <c r="H302" i="148"/>
  <c r="DF37" i="135" l="1"/>
  <c r="BK37" i="135"/>
  <c r="DG37" i="135"/>
  <c r="J22" i="135"/>
  <c r="BI22" i="135" s="1"/>
  <c r="BI7" i="135"/>
  <c r="BJ7" i="135" l="1"/>
  <c r="DF7" i="135"/>
  <c r="BJ22" i="135"/>
  <c r="DF22" i="135"/>
  <c r="BL37" i="135"/>
  <c r="DH37" i="135"/>
  <c r="J13" i="148"/>
  <c r="BI6" i="148"/>
  <c r="DF6" i="148" s="1"/>
  <c r="BI7" i="148"/>
  <c r="DF7" i="148" s="1"/>
  <c r="J14" i="148"/>
  <c r="BK22" i="135" l="1"/>
  <c r="DG22" i="135"/>
  <c r="BM37" i="135"/>
  <c r="DI37" i="135"/>
  <c r="BK7" i="135"/>
  <c r="DG7" i="135"/>
  <c r="J21" i="148"/>
  <c r="BI21" i="148" s="1"/>
  <c r="DF21" i="148" s="1"/>
  <c r="BI14" i="148"/>
  <c r="DF14" i="148" s="1"/>
  <c r="BJ7" i="148"/>
  <c r="DG7" i="148" s="1"/>
  <c r="BJ6" i="148"/>
  <c r="DG6" i="148" s="1"/>
  <c r="BI13" i="148"/>
  <c r="DF13" i="148" s="1"/>
  <c r="J20" i="148"/>
  <c r="BI20" i="148" s="1"/>
  <c r="DF20" i="148" s="1"/>
  <c r="BL7" i="135" l="1"/>
  <c r="DH7" i="135"/>
  <c r="BN37" i="135"/>
  <c r="DJ37" i="135"/>
  <c r="BL22" i="135"/>
  <c r="DH22" i="135"/>
  <c r="BJ13" i="148"/>
  <c r="DG13" i="148" s="1"/>
  <c r="BK6" i="148"/>
  <c r="DH6" i="148" s="1"/>
  <c r="BJ20" i="148"/>
  <c r="DG20" i="148" s="1"/>
  <c r="BK7" i="148"/>
  <c r="DH7" i="148" s="1"/>
  <c r="BJ14" i="148"/>
  <c r="DG14" i="148" s="1"/>
  <c r="BJ21" i="148"/>
  <c r="DG21" i="148" s="1"/>
  <c r="BO37" i="135" l="1"/>
  <c r="DL37" i="135" s="1"/>
  <c r="DK37" i="135"/>
  <c r="BM22" i="135"/>
  <c r="DI22" i="135"/>
  <c r="BM7" i="135"/>
  <c r="DI7" i="135"/>
  <c r="BL7" i="148"/>
  <c r="DI7" i="148" s="1"/>
  <c r="BK20" i="148"/>
  <c r="DH20" i="148" s="1"/>
  <c r="BK21" i="148"/>
  <c r="DH21" i="148" s="1"/>
  <c r="BL6" i="148"/>
  <c r="DI6" i="148" s="1"/>
  <c r="BK14" i="148"/>
  <c r="DH14" i="148" s="1"/>
  <c r="BK13" i="148"/>
  <c r="DH13" i="148" s="1"/>
  <c r="EX37" i="135" l="1"/>
  <c r="BN7" i="135"/>
  <c r="DJ7" i="135"/>
  <c r="BN22" i="135"/>
  <c r="DJ22" i="135"/>
  <c r="BM6" i="148"/>
  <c r="DJ6" i="148" s="1"/>
  <c r="BL21" i="148"/>
  <c r="DI21" i="148" s="1"/>
  <c r="BL13" i="148"/>
  <c r="DI13" i="148" s="1"/>
  <c r="BL20" i="148"/>
  <c r="DI20" i="148" s="1"/>
  <c r="BL14" i="148"/>
  <c r="DI14" i="148" s="1"/>
  <c r="BM7" i="148"/>
  <c r="DJ7" i="148" s="1"/>
  <c r="AA48" i="113"/>
  <c r="AO64" i="113"/>
  <c r="BV55" i="113"/>
  <c r="K122" i="64"/>
  <c r="AH58" i="113"/>
  <c r="Y53" i="113"/>
  <c r="BP244" i="113"/>
  <c r="O68" i="113"/>
  <c r="BM251" i="113"/>
  <c r="U30" i="64"/>
  <c r="Q127" i="64"/>
  <c r="H65" i="113"/>
  <c r="J54" i="113"/>
  <c r="P51" i="113"/>
  <c r="I31" i="64"/>
  <c r="AE41" i="113"/>
  <c r="AU56" i="113"/>
  <c r="AC245" i="113"/>
  <c r="AU85" i="113"/>
  <c r="AV60" i="113"/>
  <c r="AS50" i="113"/>
  <c r="S54" i="113"/>
  <c r="AP45" i="113"/>
  <c r="AR82" i="113"/>
  <c r="V235" i="113"/>
  <c r="AD122" i="64"/>
  <c r="R41" i="113"/>
  <c r="O247" i="113"/>
  <c r="AC34" i="64"/>
  <c r="O65" i="113"/>
  <c r="AB28" i="64"/>
  <c r="AH44" i="113"/>
  <c r="G29" i="64"/>
  <c r="X128" i="64"/>
  <c r="AM64" i="113"/>
  <c r="BP242" i="113"/>
  <c r="AD58" i="113"/>
  <c r="BH27" i="64"/>
  <c r="AB124" i="64"/>
  <c r="AC84" i="113"/>
  <c r="BQ71" i="113"/>
  <c r="BX57" i="113"/>
  <c r="BV51" i="113"/>
  <c r="Z52" i="113"/>
  <c r="Y60" i="113"/>
  <c r="I124" i="64"/>
  <c r="AQ244" i="113"/>
  <c r="V59" i="113"/>
  <c r="AR57" i="113"/>
  <c r="L55" i="113"/>
  <c r="AK85" i="113"/>
  <c r="AV57" i="113"/>
  <c r="P68" i="113"/>
  <c r="AV62" i="113"/>
  <c r="AH61" i="113"/>
  <c r="AJ73" i="113"/>
  <c r="AS59" i="113"/>
  <c r="AU54" i="113"/>
  <c r="AB121" i="64"/>
  <c r="AX242" i="113"/>
  <c r="AB33" i="64"/>
  <c r="AG55" i="113"/>
  <c r="BC59" i="113"/>
  <c r="AG49" i="113"/>
  <c r="X64" i="113"/>
  <c r="BS43" i="113"/>
  <c r="AJ78" i="113"/>
  <c r="BK242" i="113"/>
  <c r="BC65" i="113"/>
  <c r="AS53" i="113"/>
  <c r="T55" i="113"/>
  <c r="AP85" i="113"/>
  <c r="BT76" i="113"/>
  <c r="F43" i="113"/>
  <c r="AJ85" i="113"/>
  <c r="AW62" i="113"/>
  <c r="F80" i="113"/>
  <c r="AL121" i="64"/>
  <c r="E67" i="113"/>
  <c r="AE127" i="64"/>
  <c r="BN240" i="113"/>
  <c r="K48" i="113"/>
  <c r="AJ80" i="113"/>
  <c r="AS45" i="113"/>
  <c r="BS57" i="113"/>
  <c r="BX55" i="113"/>
  <c r="Q44" i="113"/>
  <c r="I236" i="113"/>
  <c r="O47" i="113"/>
  <c r="AM47" i="113"/>
  <c r="I63" i="113"/>
  <c r="BY44" i="113"/>
  <c r="AU55" i="113"/>
  <c r="AG60" i="113"/>
  <c r="X51" i="113"/>
  <c r="AT46" i="113"/>
  <c r="AY61" i="113"/>
  <c r="AQ58" i="113"/>
  <c r="I122" i="64"/>
  <c r="H123" i="64"/>
  <c r="AZ125" i="64"/>
  <c r="V33" i="64"/>
  <c r="AX237" i="113"/>
  <c r="M52" i="113"/>
  <c r="AS56" i="113"/>
  <c r="I25" i="64"/>
  <c r="BY63" i="113"/>
  <c r="BS66" i="113"/>
  <c r="G57" i="113"/>
  <c r="G81" i="113"/>
  <c r="AY84" i="113"/>
  <c r="W52" i="113"/>
  <c r="AP121" i="64"/>
  <c r="AQ47" i="113"/>
  <c r="AC251" i="113"/>
  <c r="AX123" i="64"/>
  <c r="K54" i="113"/>
  <c r="BD64" i="113"/>
  <c r="AT60" i="113"/>
  <c r="AL42" i="113"/>
  <c r="AM65" i="113"/>
  <c r="BT45" i="113"/>
  <c r="BB67" i="113"/>
  <c r="AC46" i="113"/>
  <c r="AY43" i="113"/>
  <c r="BK236" i="113"/>
  <c r="AE46" i="113"/>
  <c r="H30" i="64"/>
  <c r="H248" i="113"/>
  <c r="BW64" i="113"/>
  <c r="AF62" i="113"/>
  <c r="AZ122" i="64"/>
  <c r="W76" i="113"/>
  <c r="G59" i="113"/>
  <c r="Q50" i="113"/>
  <c r="BV62" i="113"/>
  <c r="BK245" i="113"/>
  <c r="H60" i="113"/>
  <c r="AR85" i="113"/>
  <c r="R46" i="113"/>
  <c r="AI28" i="64"/>
  <c r="BN248" i="113"/>
  <c r="AJ82" i="113"/>
  <c r="BO245" i="113"/>
  <c r="K128" i="64"/>
  <c r="BA65" i="113"/>
  <c r="K42" i="113"/>
  <c r="AQ76" i="113"/>
  <c r="AH48" i="113"/>
  <c r="AP76" i="113"/>
  <c r="P57" i="113"/>
  <c r="W82" i="113"/>
  <c r="AQ54" i="113"/>
  <c r="AC238" i="113"/>
  <c r="AR128" i="64"/>
  <c r="X53" i="113"/>
  <c r="BO239" i="113"/>
  <c r="F44" i="113"/>
  <c r="V244" i="113"/>
  <c r="V239" i="113"/>
  <c r="F64" i="113"/>
  <c r="W63" i="113"/>
  <c r="H251" i="113"/>
  <c r="AI67" i="113"/>
  <c r="R66" i="113"/>
  <c r="O59" i="113"/>
  <c r="BA60" i="113"/>
  <c r="AJ35" i="64"/>
  <c r="AK43" i="113"/>
  <c r="P61" i="113"/>
  <c r="L51" i="113"/>
  <c r="AH50" i="113"/>
  <c r="O84" i="113"/>
  <c r="AH53" i="113"/>
  <c r="Y48" i="113"/>
  <c r="I249" i="113"/>
  <c r="E49" i="113"/>
  <c r="AK61" i="113"/>
  <c r="AQ45" i="113"/>
  <c r="O71" i="113"/>
  <c r="BL236" i="113"/>
  <c r="AX125" i="64"/>
  <c r="AB126" i="64"/>
  <c r="H55" i="113"/>
  <c r="AS42" i="113"/>
  <c r="I30" i="64"/>
  <c r="R51" i="113"/>
  <c r="AJ28" i="64"/>
  <c r="AX128" i="64"/>
  <c r="BN246" i="113"/>
  <c r="S58" i="113"/>
  <c r="I36" i="64"/>
  <c r="BO242" i="113"/>
  <c r="I126" i="64"/>
  <c r="BW53" i="113"/>
  <c r="M66" i="113"/>
  <c r="BK248" i="113"/>
  <c r="AB60" i="113"/>
  <c r="BX42" i="113"/>
  <c r="AA67" i="113"/>
  <c r="O50" i="113"/>
  <c r="BA58" i="113"/>
  <c r="AJ64" i="113"/>
  <c r="AM67" i="113"/>
  <c r="G123" i="64"/>
  <c r="L85" i="113"/>
  <c r="BS61" i="113"/>
  <c r="L47" i="113"/>
  <c r="BN235" i="113"/>
  <c r="BT55" i="113"/>
  <c r="I34" i="64"/>
  <c r="AC57" i="113"/>
  <c r="R50" i="113"/>
  <c r="AX55" i="113"/>
  <c r="I128" i="64"/>
  <c r="BX45" i="113"/>
  <c r="O31" i="64"/>
  <c r="AS57" i="113"/>
  <c r="BA48" i="113"/>
  <c r="AJ67" i="113"/>
  <c r="BK244" i="113"/>
  <c r="BQ239" i="113"/>
  <c r="I247" i="113"/>
  <c r="I239" i="113"/>
  <c r="J76" i="113"/>
  <c r="W53" i="113"/>
  <c r="AT50" i="113"/>
  <c r="AI44" i="113"/>
  <c r="BW42" i="113"/>
  <c r="G74" i="113"/>
  <c r="BU52" i="113"/>
  <c r="AY62" i="113"/>
  <c r="AZ123" i="64"/>
  <c r="W61" i="113"/>
  <c r="AP122" i="64"/>
  <c r="AR47" i="113"/>
  <c r="BX76" i="113"/>
  <c r="H34" i="64"/>
  <c r="AX46" i="113"/>
  <c r="J56" i="113"/>
  <c r="G65" i="113"/>
  <c r="AZ66" i="113"/>
  <c r="Z51" i="113"/>
  <c r="E64" i="113"/>
  <c r="AK57" i="113"/>
  <c r="F71" i="113"/>
  <c r="I45" i="113"/>
  <c r="O49" i="113"/>
  <c r="V63" i="113"/>
  <c r="BS55" i="113"/>
  <c r="BA67" i="113"/>
  <c r="H46" i="113"/>
  <c r="H245" i="113"/>
  <c r="O245" i="113"/>
  <c r="AK67" i="113"/>
  <c r="O57" i="113"/>
  <c r="BC48" i="113"/>
  <c r="BA59" i="113"/>
  <c r="BN241" i="113"/>
  <c r="F76" i="113"/>
  <c r="J48" i="113"/>
  <c r="AW56" i="113"/>
  <c r="BD44" i="113"/>
  <c r="V36" i="64"/>
  <c r="AX250" i="113"/>
  <c r="U65" i="113"/>
  <c r="W59" i="113"/>
  <c r="W51" i="113"/>
  <c r="BM238" i="113"/>
  <c r="K126" i="64"/>
  <c r="BY46" i="113"/>
  <c r="O27" i="64"/>
  <c r="AV54" i="113"/>
  <c r="O67" i="113"/>
  <c r="AI53" i="113"/>
  <c r="BB41" i="113"/>
  <c r="BL241" i="113"/>
  <c r="AE52" i="113"/>
  <c r="G54" i="113"/>
  <c r="AW45" i="113"/>
  <c r="Q48" i="113"/>
  <c r="AQ53" i="113"/>
  <c r="AX124" i="64"/>
  <c r="L59" i="113"/>
  <c r="AC35" i="64"/>
  <c r="U125" i="64"/>
  <c r="AP55" i="113"/>
  <c r="G41" i="113"/>
  <c r="AC66" i="113"/>
  <c r="AX29" i="64"/>
  <c r="AS55" i="113"/>
  <c r="H69" i="113"/>
  <c r="BS41" i="113"/>
  <c r="AC59" i="113"/>
  <c r="AT65" i="113"/>
  <c r="G50" i="113"/>
  <c r="R60" i="113"/>
  <c r="AC28" i="64"/>
  <c r="AU42" i="113"/>
  <c r="AV76" i="113"/>
  <c r="U124" i="64"/>
  <c r="AU46" i="113"/>
  <c r="AC45" i="64"/>
  <c r="BQ240" i="113"/>
  <c r="V52" i="113"/>
  <c r="U76" i="113"/>
  <c r="AK59" i="113"/>
  <c r="O251" i="113"/>
  <c r="R67" i="113"/>
  <c r="W85" i="113"/>
  <c r="P49" i="113"/>
  <c r="G40" i="64"/>
  <c r="G30" i="64"/>
  <c r="S48" i="113"/>
  <c r="BA62" i="113"/>
  <c r="W65" i="113"/>
  <c r="BW59" i="113"/>
  <c r="BB55" i="113"/>
  <c r="AJ25" i="64"/>
  <c r="V31" i="64"/>
  <c r="AU44" i="113"/>
  <c r="AW55" i="113"/>
  <c r="AI35" i="64"/>
  <c r="AL126" i="64"/>
  <c r="AN52" i="113"/>
  <c r="W84" i="113"/>
  <c r="BM250" i="113"/>
  <c r="BL244" i="113"/>
  <c r="AJ27" i="64"/>
  <c r="BS85" i="113"/>
  <c r="AA60" i="113"/>
  <c r="AW65" i="113"/>
  <c r="V62" i="113"/>
  <c r="AK52" i="113"/>
  <c r="BU41" i="113"/>
  <c r="W121" i="64"/>
  <c r="M43" i="113"/>
  <c r="AY59" i="113"/>
  <c r="N67" i="113"/>
  <c r="AM42" i="113"/>
  <c r="BW43" i="113"/>
  <c r="U26" i="64"/>
  <c r="BX56" i="113"/>
  <c r="BW50" i="113"/>
  <c r="BU64" i="113"/>
  <c r="BM248" i="113"/>
  <c r="AT56" i="113"/>
  <c r="F75" i="113"/>
  <c r="AC241" i="113"/>
  <c r="G70" i="113"/>
  <c r="AR62" i="113"/>
  <c r="AE66" i="113"/>
  <c r="N28" i="64"/>
  <c r="AN67" i="113"/>
  <c r="AD65" i="113"/>
  <c r="BB44" i="113"/>
  <c r="R59" i="113"/>
  <c r="K60" i="113"/>
  <c r="N44" i="113"/>
  <c r="AJ29" i="64"/>
  <c r="BT46" i="113"/>
  <c r="AJ121" i="64"/>
  <c r="BY66" i="113"/>
  <c r="AG45" i="113"/>
  <c r="AI25" i="64"/>
  <c r="BQ236" i="113"/>
  <c r="AG66" i="113"/>
  <c r="AB42" i="64"/>
  <c r="AS51" i="113"/>
  <c r="AY125" i="64"/>
  <c r="AN66" i="113"/>
  <c r="J124" i="64"/>
  <c r="N31" i="64"/>
  <c r="AX246" i="113"/>
  <c r="T43" i="113"/>
  <c r="BV58" i="113"/>
  <c r="AI41" i="113"/>
  <c r="AG57" i="113"/>
  <c r="AG76" i="113"/>
  <c r="AR55" i="113"/>
  <c r="AJ236" i="113"/>
  <c r="AF59" i="113"/>
  <c r="AO48" i="113"/>
  <c r="AJ241" i="113"/>
  <c r="S59" i="113"/>
  <c r="S51" i="113"/>
  <c r="Y66" i="113"/>
  <c r="H42" i="113"/>
  <c r="AQ127" i="64"/>
  <c r="BU56" i="113"/>
  <c r="S64" i="113"/>
  <c r="AJ246" i="113"/>
  <c r="AF66" i="113"/>
  <c r="BA68" i="113"/>
  <c r="AS52" i="113"/>
  <c r="L65" i="113"/>
  <c r="I60" i="113"/>
  <c r="AE125" i="64"/>
  <c r="H247" i="113"/>
  <c r="Q59" i="113"/>
  <c r="Q58" i="113"/>
  <c r="BT47" i="113"/>
  <c r="Q43" i="113"/>
  <c r="I58" i="113"/>
  <c r="AB62" i="113"/>
  <c r="AK44" i="113"/>
  <c r="AF53" i="113"/>
  <c r="X126" i="64"/>
  <c r="AR126" i="64"/>
  <c r="L50" i="113"/>
  <c r="BC61" i="113"/>
  <c r="Q65" i="113"/>
  <c r="Q126" i="64"/>
  <c r="F85" i="113"/>
  <c r="AG52" i="113"/>
  <c r="V32" i="64"/>
  <c r="F65" i="113"/>
  <c r="Q123" i="64"/>
  <c r="O244" i="113"/>
  <c r="BA66" i="113"/>
  <c r="AC239" i="113"/>
  <c r="AM44" i="113"/>
  <c r="U45" i="64"/>
  <c r="W55" i="113"/>
  <c r="BV46" i="113"/>
  <c r="H67" i="113"/>
  <c r="AT45" i="113"/>
  <c r="AZ55" i="113"/>
  <c r="AJ33" i="64"/>
  <c r="AL41" i="113"/>
  <c r="BQ241" i="113"/>
  <c r="AK53" i="113"/>
  <c r="AO85" i="113"/>
  <c r="G82" i="113"/>
  <c r="BH26" i="64"/>
  <c r="BB60" i="113"/>
  <c r="AO57" i="113"/>
  <c r="M44" i="113"/>
  <c r="Z85" i="113"/>
  <c r="AC123" i="64"/>
  <c r="BW61" i="113"/>
  <c r="N58" i="113"/>
  <c r="AU67" i="113"/>
  <c r="S45" i="113"/>
  <c r="AB51" i="113"/>
  <c r="AZ44" i="113"/>
  <c r="AJ240" i="113"/>
  <c r="AB66" i="113"/>
  <c r="AK64" i="113"/>
  <c r="R62" i="113"/>
  <c r="BX62" i="113"/>
  <c r="AP33" i="64"/>
  <c r="F67" i="113"/>
  <c r="O125" i="64"/>
  <c r="AG62" i="113"/>
  <c r="Y67" i="113"/>
  <c r="AI57" i="113"/>
  <c r="V248" i="113"/>
  <c r="AC50" i="113"/>
  <c r="V49" i="113"/>
  <c r="AI66" i="113"/>
  <c r="Q121" i="64"/>
  <c r="BU49" i="113"/>
  <c r="AQ251" i="113"/>
  <c r="AI64" i="113"/>
  <c r="AV44" i="113"/>
  <c r="AT48" i="113"/>
  <c r="AL62" i="113"/>
  <c r="BV63" i="113"/>
  <c r="AU58" i="113"/>
  <c r="O42" i="113"/>
  <c r="E53" i="113"/>
  <c r="G122" i="64"/>
  <c r="X48" i="113"/>
  <c r="AW127" i="64"/>
  <c r="K50" i="113"/>
  <c r="AG46" i="113"/>
  <c r="Y85" i="113"/>
  <c r="N35" i="64"/>
  <c r="BV49" i="113"/>
  <c r="T67" i="113"/>
  <c r="M56" i="113"/>
  <c r="AI62" i="113"/>
  <c r="AJ69" i="113"/>
  <c r="BV48" i="113"/>
  <c r="AW53" i="113"/>
  <c r="AF48" i="113"/>
  <c r="BK78" i="113"/>
  <c r="AO52" i="113"/>
  <c r="AS126" i="64"/>
  <c r="BX53" i="113"/>
  <c r="BM244" i="113"/>
  <c r="AP61" i="113"/>
  <c r="K53" i="113"/>
  <c r="F81" i="113"/>
  <c r="I84" i="113"/>
  <c r="N50" i="113"/>
  <c r="Q55" i="113"/>
  <c r="N34" i="64"/>
  <c r="AC64" i="113"/>
  <c r="BB62" i="113"/>
  <c r="L45" i="113"/>
  <c r="BO246" i="113"/>
  <c r="AL68" i="113"/>
  <c r="BM246" i="113"/>
  <c r="AC124" i="64"/>
  <c r="M60" i="113"/>
  <c r="AN41" i="113"/>
  <c r="BN238" i="113"/>
  <c r="AL53" i="113"/>
  <c r="AP59" i="113"/>
  <c r="AH56" i="113"/>
  <c r="AL64" i="113"/>
  <c r="AQ121" i="64"/>
  <c r="BA46" i="113"/>
  <c r="BV85" i="113"/>
  <c r="P67" i="113"/>
  <c r="N46" i="113"/>
  <c r="AH76" i="113"/>
  <c r="AR84" i="113"/>
  <c r="AX47" i="113"/>
  <c r="F45" i="113"/>
  <c r="AF57" i="113"/>
  <c r="BA43" i="113"/>
  <c r="BC63" i="113"/>
  <c r="AV41" i="113"/>
  <c r="AT66" i="113"/>
  <c r="AJ251" i="113"/>
  <c r="G42" i="64"/>
  <c r="AQ250" i="113"/>
  <c r="E59" i="113"/>
  <c r="V44" i="64"/>
  <c r="BD68" i="113"/>
  <c r="BA85" i="113"/>
  <c r="O43" i="113"/>
  <c r="AJ34" i="64"/>
  <c r="Q51" i="113"/>
  <c r="AT58" i="113"/>
  <c r="BQ250" i="113"/>
  <c r="AQ67" i="113"/>
  <c r="H71" i="113"/>
  <c r="AO51" i="113"/>
  <c r="BN236" i="113"/>
  <c r="O61" i="113"/>
  <c r="H249" i="113"/>
  <c r="AQ69" i="113"/>
  <c r="AZ64" i="113"/>
  <c r="BV57" i="113"/>
  <c r="AN62" i="113"/>
  <c r="AB32" i="64"/>
  <c r="AF64" i="113"/>
  <c r="AQ236" i="113"/>
  <c r="U34" i="64"/>
  <c r="M50" i="113"/>
  <c r="X85" i="113"/>
  <c r="AJ36" i="64"/>
  <c r="AS127" i="64"/>
  <c r="V238" i="113"/>
  <c r="AS76" i="113"/>
  <c r="BB68" i="113"/>
  <c r="AS123" i="64"/>
  <c r="I50" i="113"/>
  <c r="AP46" i="113"/>
  <c r="Q45" i="113"/>
  <c r="O236" i="113"/>
  <c r="AR16" i="64"/>
  <c r="I56" i="113"/>
  <c r="K76" i="113"/>
  <c r="O128" i="64"/>
  <c r="T42" i="113"/>
  <c r="V82" i="113"/>
  <c r="L61" i="113"/>
  <c r="AJ76" i="113"/>
  <c r="U35" i="64"/>
  <c r="AD44" i="113"/>
  <c r="AN43" i="113"/>
  <c r="Q49" i="113"/>
  <c r="H44" i="64"/>
  <c r="N66" i="113"/>
  <c r="P43" i="113"/>
  <c r="BU48" i="113"/>
  <c r="T57" i="113"/>
  <c r="AQ51" i="113"/>
  <c r="N49" i="113"/>
  <c r="BU66" i="113"/>
  <c r="J62" i="113"/>
  <c r="BK241" i="113"/>
  <c r="O54" i="113"/>
  <c r="V80" i="113"/>
  <c r="Z65" i="113"/>
  <c r="I246" i="113"/>
  <c r="BL245" i="113"/>
  <c r="AG63" i="113"/>
  <c r="H28" i="64"/>
  <c r="N52" i="113"/>
  <c r="I45" i="64"/>
  <c r="AI85" i="113"/>
  <c r="O60" i="113"/>
  <c r="AX31" i="64"/>
  <c r="I127" i="64"/>
  <c r="BT41" i="113"/>
  <c r="AQ78" i="113"/>
  <c r="AJ248" i="113"/>
  <c r="AI123" i="64"/>
  <c r="AX61" i="113"/>
  <c r="O45" i="113"/>
  <c r="AG53" i="113"/>
  <c r="W128" i="64"/>
  <c r="AA49" i="113"/>
  <c r="BX51" i="113"/>
  <c r="J47" i="113"/>
  <c r="K47" i="113"/>
  <c r="G28" i="64"/>
  <c r="AQ41" i="113"/>
  <c r="AJ126" i="64"/>
  <c r="AE58" i="113"/>
  <c r="AP41" i="113"/>
  <c r="BU43" i="113"/>
  <c r="AE67" i="113"/>
  <c r="N27" i="64"/>
  <c r="BN247" i="113"/>
  <c r="AM50" i="113"/>
  <c r="F68" i="113"/>
  <c r="BB65" i="113"/>
  <c r="AP29" i="64"/>
  <c r="AC63" i="113"/>
  <c r="V245" i="113"/>
  <c r="R53" i="113"/>
  <c r="I248" i="113"/>
  <c r="AC36" i="64"/>
  <c r="BT60" i="113"/>
  <c r="AD50" i="113"/>
  <c r="AM46" i="113"/>
  <c r="AO60" i="113"/>
  <c r="AW57" i="113"/>
  <c r="AD121" i="64"/>
  <c r="S63" i="113"/>
  <c r="AJ244" i="113"/>
  <c r="S46" i="113"/>
  <c r="AQ242" i="113"/>
  <c r="AT41" i="113"/>
  <c r="F60" i="113"/>
  <c r="AK84" i="113"/>
  <c r="H61" i="113"/>
  <c r="AE121" i="64"/>
  <c r="AL45" i="113"/>
  <c r="F83" i="113"/>
  <c r="J41" i="113"/>
  <c r="N57" i="113"/>
  <c r="AY44" i="113"/>
  <c r="AD128" i="64"/>
  <c r="AX64" i="113"/>
  <c r="O48" i="113"/>
  <c r="BW66" i="113"/>
  <c r="N128" i="64"/>
  <c r="AV50" i="113"/>
  <c r="AP31" i="64"/>
  <c r="G42" i="113"/>
  <c r="I237" i="113"/>
  <c r="AV55" i="113"/>
  <c r="L63" i="113"/>
  <c r="BS46" i="113"/>
  <c r="AC25" i="64"/>
  <c r="BD76" i="113"/>
  <c r="M49" i="113"/>
  <c r="Q56" i="113"/>
  <c r="AF56" i="113"/>
  <c r="AQ61" i="113"/>
  <c r="BA55" i="113"/>
  <c r="U32" i="64"/>
  <c r="BX61" i="113"/>
  <c r="AJ123" i="64"/>
  <c r="AK121" i="64"/>
  <c r="BM71" i="113"/>
  <c r="AX249" i="113"/>
  <c r="N63" i="113"/>
  <c r="AF65" i="113"/>
  <c r="O249" i="113"/>
  <c r="U57" i="113"/>
  <c r="AC27" i="64"/>
  <c r="BH31" i="64"/>
  <c r="AP51" i="113"/>
  <c r="AP58" i="113"/>
  <c r="AE56" i="113"/>
  <c r="H68" i="113"/>
  <c r="AZ62" i="113"/>
  <c r="BS50" i="113"/>
  <c r="AM56" i="113"/>
  <c r="AE51" i="113"/>
  <c r="AK76" i="113"/>
  <c r="L44" i="113"/>
  <c r="BM245" i="113"/>
  <c r="AR60" i="113"/>
  <c r="AR75" i="113"/>
  <c r="H32" i="64"/>
  <c r="AJ242" i="113"/>
  <c r="G66" i="113"/>
  <c r="AX73" i="113"/>
  <c r="Y47" i="113"/>
  <c r="N56" i="113"/>
  <c r="AK125" i="64"/>
  <c r="AR54" i="113"/>
  <c r="BT85" i="113"/>
  <c r="AZ61" i="113"/>
  <c r="S52" i="113"/>
  <c r="AD67" i="113"/>
  <c r="U64" i="113"/>
  <c r="W64" i="113"/>
  <c r="G35" i="64"/>
  <c r="AR127" i="64"/>
  <c r="AF55" i="113"/>
  <c r="N29" i="64"/>
  <c r="BV43" i="113"/>
  <c r="AB45" i="64"/>
  <c r="S57" i="113"/>
  <c r="J128" i="64"/>
  <c r="Y59" i="113"/>
  <c r="AP125" i="64"/>
  <c r="AV43" i="113"/>
  <c r="AJ75" i="113"/>
  <c r="F58" i="113"/>
  <c r="S67" i="113"/>
  <c r="K55" i="113"/>
  <c r="V54" i="113"/>
  <c r="V26" i="64"/>
  <c r="F47" i="113"/>
  <c r="AV52" i="113"/>
  <c r="BY58" i="113"/>
  <c r="AX241" i="113"/>
  <c r="BU60" i="113"/>
  <c r="AE65" i="113"/>
  <c r="AK41" i="113"/>
  <c r="BX48" i="113"/>
  <c r="BW62" i="113"/>
  <c r="S60" i="113"/>
  <c r="P65" i="113"/>
  <c r="BG34" i="64"/>
  <c r="AJ68" i="113"/>
  <c r="G52" i="113"/>
  <c r="P84" i="113"/>
  <c r="AT53" i="113"/>
  <c r="P85" i="113"/>
  <c r="R57" i="113"/>
  <c r="BP71" i="113"/>
  <c r="AG42" i="113"/>
  <c r="BH34" i="64"/>
  <c r="G33" i="64"/>
  <c r="J50" i="113"/>
  <c r="U29" i="64"/>
  <c r="N76" i="113"/>
  <c r="BO249" i="113"/>
  <c r="L66" i="113"/>
  <c r="AC249" i="113"/>
  <c r="AD125" i="64"/>
  <c r="AY60" i="113"/>
  <c r="AN47" i="113"/>
  <c r="AW68" i="113"/>
  <c r="W46" i="113"/>
  <c r="AC44" i="113"/>
  <c r="BP245" i="113"/>
  <c r="O127" i="64"/>
  <c r="V42" i="64"/>
  <c r="BD46" i="113"/>
  <c r="BW67" i="113"/>
  <c r="E47" i="113"/>
  <c r="BW54" i="113"/>
  <c r="BV60" i="113"/>
  <c r="AN85" i="113"/>
  <c r="AB63" i="113"/>
  <c r="K58" i="113"/>
  <c r="G84" i="113"/>
  <c r="T47" i="113"/>
  <c r="BX47" i="113"/>
  <c r="U85" i="113"/>
  <c r="N124" i="64"/>
  <c r="G26" i="64"/>
  <c r="AI58" i="113"/>
  <c r="AI51" i="113"/>
  <c r="AE47" i="113"/>
  <c r="O75" i="113"/>
  <c r="K65" i="113"/>
  <c r="W47" i="113"/>
  <c r="G45" i="64"/>
  <c r="AY128" i="64"/>
  <c r="AM60" i="113"/>
  <c r="AD63" i="113"/>
  <c r="AQ249" i="113"/>
  <c r="BQ251" i="113"/>
  <c r="Q67" i="113"/>
  <c r="N53" i="113"/>
  <c r="G51" i="113"/>
  <c r="I61" i="113"/>
  <c r="BC85" i="113"/>
  <c r="BC64" i="113"/>
  <c r="H29" i="64"/>
  <c r="AF63" i="113"/>
  <c r="AZ85" i="113"/>
  <c r="AT62" i="113"/>
  <c r="AR51" i="113"/>
  <c r="AS68" i="113"/>
  <c r="V50" i="113"/>
  <c r="BM237" i="113"/>
  <c r="AS122" i="64"/>
  <c r="AJ31" i="64"/>
  <c r="H52" i="113"/>
  <c r="AA46" i="113"/>
  <c r="AV53" i="113"/>
  <c r="AD54" i="113"/>
  <c r="AQ71" i="113"/>
  <c r="AE48" i="113"/>
  <c r="AL128" i="64"/>
  <c r="P82" i="113"/>
  <c r="E9" i="113"/>
  <c r="AG41" i="113"/>
  <c r="BW68" i="113"/>
  <c r="BB63" i="113"/>
  <c r="AO47" i="113"/>
  <c r="P41" i="113"/>
  <c r="H25" i="64"/>
  <c r="P125" i="64"/>
  <c r="O35" i="64"/>
  <c r="AJ51" i="113"/>
  <c r="AM48" i="113"/>
  <c r="AU48" i="113"/>
  <c r="H242" i="113"/>
  <c r="H31" i="64"/>
  <c r="G69" i="113"/>
  <c r="AV48" i="113"/>
  <c r="V29" i="64"/>
  <c r="AW60" i="113"/>
  <c r="AX238" i="113"/>
  <c r="AA55" i="113"/>
  <c r="I235" i="113"/>
  <c r="E50" i="113"/>
  <c r="AO68" i="113"/>
  <c r="U122" i="64"/>
  <c r="AO62" i="113"/>
  <c r="AW128" i="64"/>
  <c r="W73" i="113"/>
  <c r="BD63" i="113"/>
  <c r="AB34" i="64"/>
  <c r="U44" i="64"/>
  <c r="AB50" i="113"/>
  <c r="BV44" i="113"/>
  <c r="BM241" i="113"/>
  <c r="F41" i="113"/>
  <c r="BD59" i="113"/>
  <c r="X49" i="113"/>
  <c r="P44" i="113"/>
  <c r="AZ76" i="113"/>
  <c r="M58" i="113"/>
  <c r="N60" i="113"/>
  <c r="T85" i="113"/>
  <c r="H51" i="113"/>
  <c r="AP57" i="113"/>
  <c r="AD51" i="113"/>
  <c r="H235" i="113"/>
  <c r="S43" i="113"/>
  <c r="BY48" i="113"/>
  <c r="M54" i="113"/>
  <c r="AE53" i="113"/>
  <c r="AM41" i="113"/>
  <c r="H45" i="113"/>
  <c r="T76" i="113"/>
  <c r="AQ46" i="113"/>
  <c r="AC78" i="113"/>
  <c r="Q41" i="113"/>
  <c r="Q122" i="64"/>
  <c r="AJ250" i="113"/>
  <c r="AS58" i="113"/>
  <c r="G53" i="113"/>
  <c r="U40" i="64"/>
  <c r="Y51" i="113"/>
  <c r="E10" i="64"/>
  <c r="K45" i="113"/>
  <c r="AI45" i="113"/>
  <c r="AP28" i="64"/>
  <c r="AF42" i="113"/>
  <c r="T60" i="113"/>
  <c r="AN58" i="113"/>
  <c r="AE42" i="113"/>
  <c r="BX67" i="113"/>
  <c r="T51" i="113"/>
  <c r="P42" i="113"/>
  <c r="AJ53" i="113"/>
  <c r="X123" i="64"/>
  <c r="AT42" i="113"/>
  <c r="N123" i="64"/>
  <c r="AH49" i="113"/>
  <c r="F52" i="113"/>
  <c r="I123" i="64"/>
  <c r="O85" i="113"/>
  <c r="E44" i="113"/>
  <c r="AK55" i="113"/>
  <c r="AA66" i="113"/>
  <c r="N127" i="64"/>
  <c r="V126" i="64"/>
  <c r="BX64" i="113"/>
  <c r="AS64" i="113"/>
  <c r="E42" i="113"/>
  <c r="AX245" i="113"/>
  <c r="AZ43" i="113"/>
  <c r="H84" i="113"/>
  <c r="AF60" i="113"/>
  <c r="AA65" i="113"/>
  <c r="AY122" i="64"/>
  <c r="J126" i="64"/>
  <c r="AJ238" i="113"/>
  <c r="AQ34" i="64"/>
  <c r="AT67" i="113"/>
  <c r="AB85" i="113"/>
  <c r="P124" i="64"/>
  <c r="BL249" i="113"/>
  <c r="AW61" i="113"/>
  <c r="BM240" i="113"/>
  <c r="BS63" i="113"/>
  <c r="BJ16" i="64"/>
  <c r="S50" i="113"/>
  <c r="AH57" i="113"/>
  <c r="I53" i="113"/>
  <c r="BS59" i="113"/>
  <c r="N32" i="64"/>
  <c r="AC38" i="64"/>
  <c r="AI122" i="64"/>
  <c r="X55" i="113"/>
  <c r="H122" i="64"/>
  <c r="AY121" i="64"/>
  <c r="BN80" i="113"/>
  <c r="AP50" i="113"/>
  <c r="BW58" i="113"/>
  <c r="BU46" i="113"/>
  <c r="J46" i="113"/>
  <c r="BA45" i="113"/>
  <c r="G128" i="64"/>
  <c r="Y41" i="113"/>
  <c r="AC248" i="113"/>
  <c r="F56" i="113"/>
  <c r="AD42" i="113"/>
  <c r="AQ30" i="64"/>
  <c r="R42" i="113"/>
  <c r="AS61" i="113"/>
  <c r="M65" i="113"/>
  <c r="AU68" i="113"/>
  <c r="AB45" i="113"/>
  <c r="U33" i="64"/>
  <c r="AF41" i="113"/>
  <c r="BH30" i="64"/>
  <c r="AS43" i="113"/>
  <c r="AP42" i="113"/>
  <c r="AW124" i="64"/>
  <c r="AZ59" i="113"/>
  <c r="L43" i="113"/>
  <c r="BA63" i="113"/>
  <c r="P45" i="113"/>
  <c r="AC48" i="113"/>
  <c r="X60" i="113"/>
  <c r="AV61" i="113"/>
  <c r="AL58" i="113"/>
  <c r="G63" i="113"/>
  <c r="AR59" i="113"/>
  <c r="G27" i="64"/>
  <c r="AN53" i="113"/>
  <c r="BD48" i="113"/>
  <c r="U43" i="113"/>
  <c r="R65" i="113"/>
  <c r="AD57" i="113"/>
  <c r="G80" i="113"/>
  <c r="AA62" i="113"/>
  <c r="G32" i="64"/>
  <c r="AH67" i="113"/>
  <c r="BT50" i="113"/>
  <c r="AE49" i="113"/>
  <c r="T53" i="113"/>
  <c r="AX48" i="113"/>
  <c r="AI36" i="64"/>
  <c r="BD41" i="113"/>
  <c r="AC68" i="113"/>
  <c r="AC235" i="113"/>
  <c r="BN245" i="113"/>
  <c r="AH68" i="113"/>
  <c r="O248" i="113"/>
  <c r="AN44" i="113"/>
  <c r="AA64" i="113"/>
  <c r="BT52" i="113"/>
  <c r="AH59" i="113"/>
  <c r="AA63" i="113"/>
  <c r="AL46" i="113"/>
  <c r="BW41" i="113"/>
  <c r="AZ65" i="113"/>
  <c r="AB35" i="64"/>
  <c r="I26" i="64"/>
  <c r="BQ244" i="113"/>
  <c r="BT63" i="113"/>
  <c r="AA41" i="113"/>
  <c r="AQ80" i="113"/>
  <c r="AQ29" i="64"/>
  <c r="F10" i="64"/>
  <c r="AV16" i="64"/>
  <c r="BO235" i="113"/>
  <c r="I57" i="113"/>
  <c r="BO247" i="113"/>
  <c r="I48" i="113"/>
  <c r="AU76" i="113"/>
  <c r="AZ68" i="113"/>
  <c r="H85" i="113"/>
  <c r="J66" i="113"/>
  <c r="AY67" i="113"/>
  <c r="AX126" i="64"/>
  <c r="AJ48" i="113"/>
  <c r="AE124" i="64"/>
  <c r="F73" i="113"/>
  <c r="I29" i="64"/>
  <c r="AL50" i="113"/>
  <c r="P127" i="64"/>
  <c r="L64" i="113"/>
  <c r="P58" i="113"/>
  <c r="AC61" i="113"/>
  <c r="G125" i="64"/>
  <c r="I85" i="113"/>
  <c r="V68" i="113"/>
  <c r="BC43" i="113"/>
  <c r="BU50" i="113"/>
  <c r="V249" i="113"/>
  <c r="F70" i="113"/>
  <c r="AT52" i="113"/>
  <c r="Y65" i="113"/>
  <c r="AL66" i="113"/>
  <c r="F69" i="113"/>
  <c r="AB64" i="113"/>
  <c r="AG50" i="113"/>
  <c r="BV76" i="113"/>
  <c r="N51" i="113"/>
  <c r="AG65" i="113"/>
  <c r="V237" i="113"/>
  <c r="AD53" i="113"/>
  <c r="AQ65" i="113"/>
  <c r="AM68" i="113"/>
  <c r="BS47" i="113"/>
  <c r="BB61" i="113"/>
  <c r="P53" i="113"/>
  <c r="AJ26" i="64"/>
  <c r="BV50" i="113"/>
  <c r="AL59" i="113"/>
  <c r="BV67" i="113"/>
  <c r="I66" i="113"/>
  <c r="AC43" i="113"/>
  <c r="AC127" i="64"/>
  <c r="AW46" i="113"/>
  <c r="AK58" i="113"/>
  <c r="O28" i="64"/>
  <c r="AF44" i="113"/>
  <c r="AX235" i="113"/>
  <c r="R44" i="113"/>
  <c r="BS42" i="113"/>
  <c r="I42" i="113"/>
  <c r="BD85" i="113"/>
  <c r="AW42" i="113"/>
  <c r="G43" i="113"/>
  <c r="AR56" i="113"/>
  <c r="S61" i="113"/>
  <c r="AK66" i="113"/>
  <c r="M76" i="113"/>
  <c r="AB25" i="64"/>
  <c r="N122" i="64"/>
  <c r="I47" i="113"/>
  <c r="AR125" i="64"/>
  <c r="BV47" i="113"/>
  <c r="H236" i="113"/>
  <c r="AC58" i="113"/>
  <c r="E63" i="113"/>
  <c r="F51" i="113"/>
  <c r="V242" i="113"/>
  <c r="BL250" i="113"/>
  <c r="AC240" i="113"/>
  <c r="BK239" i="113"/>
  <c r="BU53" i="113"/>
  <c r="AK73" i="113"/>
  <c r="AB128" i="64"/>
  <c r="AH47" i="113"/>
  <c r="V53" i="113"/>
  <c r="BN249" i="113"/>
  <c r="H82" i="113"/>
  <c r="AZ46" i="113"/>
  <c r="S42" i="113"/>
  <c r="AK60" i="113"/>
  <c r="BU45" i="113"/>
  <c r="BH33" i="64"/>
  <c r="N47" i="113"/>
  <c r="AR44" i="113"/>
  <c r="V84" i="113"/>
  <c r="AW31" i="64"/>
  <c r="AA50" i="113"/>
  <c r="AX71" i="113"/>
  <c r="AU59" i="113"/>
  <c r="AY123" i="64"/>
  <c r="BQ246" i="113"/>
  <c r="BP246" i="113"/>
  <c r="Q57" i="113"/>
  <c r="BW76" i="113"/>
  <c r="AG43" i="113"/>
  <c r="AD61" i="113"/>
  <c r="AC250" i="113"/>
  <c r="G31" i="64"/>
  <c r="K123" i="64"/>
  <c r="U50" i="113"/>
  <c r="I82" i="113"/>
  <c r="AQ122" i="64"/>
  <c r="R76" i="113"/>
  <c r="O235" i="113"/>
  <c r="BC76" i="113"/>
  <c r="AI60" i="113"/>
  <c r="AA47" i="113"/>
  <c r="BM236" i="113"/>
  <c r="G44" i="113"/>
  <c r="AE122" i="64"/>
  <c r="S68" i="113"/>
  <c r="AD68" i="113"/>
  <c r="O122" i="64"/>
  <c r="AT51" i="113"/>
  <c r="AQ50" i="113"/>
  <c r="I35" i="64"/>
  <c r="V51" i="113"/>
  <c r="G45" i="113"/>
  <c r="AQ128" i="64"/>
  <c r="O121" i="64"/>
  <c r="BA47" i="113"/>
  <c r="BB66" i="113"/>
  <c r="G75" i="113"/>
  <c r="AP64" i="113"/>
  <c r="AX244" i="113"/>
  <c r="BC41" i="113"/>
  <c r="BV56" i="113"/>
  <c r="BQ80" i="113"/>
  <c r="AW76" i="113"/>
  <c r="AA53" i="113"/>
  <c r="BV53" i="113"/>
  <c r="AI127" i="64"/>
  <c r="AM55" i="113"/>
  <c r="V85" i="113"/>
  <c r="AQ36" i="64"/>
  <c r="BD65" i="113"/>
  <c r="BT64" i="113"/>
  <c r="AK46" i="113"/>
  <c r="AJ128" i="64"/>
  <c r="AH62" i="113"/>
  <c r="K124" i="64"/>
  <c r="AJ84" i="113"/>
  <c r="G46" i="113"/>
  <c r="U48" i="113"/>
  <c r="AI42" i="113"/>
  <c r="BX65" i="113"/>
  <c r="AT76" i="113"/>
  <c r="AX247" i="113"/>
  <c r="G56" i="113"/>
  <c r="AW41" i="113"/>
  <c r="BK247" i="113"/>
  <c r="H43" i="113"/>
  <c r="AX239" i="113"/>
  <c r="AY46" i="113"/>
  <c r="AW27" i="64"/>
  <c r="AA68" i="113"/>
  <c r="G34" i="64"/>
  <c r="BA61" i="113"/>
  <c r="I54" i="113"/>
  <c r="AV68" i="113"/>
  <c r="AT57" i="113"/>
  <c r="AI26" i="64"/>
  <c r="AH64" i="113"/>
  <c r="BT53" i="113"/>
  <c r="AR53" i="113"/>
  <c r="N48" i="113"/>
  <c r="N62" i="113"/>
  <c r="AQ43" i="113"/>
  <c r="AK122" i="64"/>
  <c r="R58" i="113"/>
  <c r="BV41" i="113"/>
  <c r="AQ82" i="113"/>
  <c r="R45" i="113"/>
  <c r="AV66" i="113"/>
  <c r="M51" i="113"/>
  <c r="H59" i="113"/>
  <c r="AE44" i="113"/>
  <c r="AZ45" i="113"/>
  <c r="U62" i="113"/>
  <c r="AP30" i="64"/>
  <c r="AN51" i="113"/>
  <c r="AX78" i="113"/>
  <c r="AW48" i="113"/>
  <c r="AW28" i="64"/>
  <c r="BB58" i="113"/>
  <c r="BW45" i="113"/>
  <c r="H45" i="64"/>
  <c r="AS60" i="113"/>
  <c r="AO43" i="113"/>
  <c r="BB43" i="113"/>
  <c r="BT59" i="113"/>
  <c r="L58" i="113"/>
  <c r="S76" i="113"/>
  <c r="H54" i="113"/>
  <c r="Q47" i="113"/>
  <c r="AC75" i="113"/>
  <c r="AB67" i="113"/>
  <c r="AL123" i="64"/>
  <c r="AB127" i="64"/>
  <c r="BY45" i="113"/>
  <c r="AJ56" i="113"/>
  <c r="AX59" i="113"/>
  <c r="AN55" i="113"/>
  <c r="N41" i="113"/>
  <c r="AB30" i="64"/>
  <c r="BL251" i="113"/>
  <c r="V251" i="113"/>
  <c r="AX76" i="113"/>
  <c r="AP16" i="64"/>
  <c r="G67" i="113"/>
  <c r="S56" i="113"/>
  <c r="I76" i="113"/>
  <c r="AE61" i="113"/>
  <c r="BU85" i="113"/>
  <c r="AE57" i="113"/>
  <c r="BN242" i="113"/>
  <c r="AM54" i="113"/>
  <c r="BK235" i="113"/>
  <c r="BV52" i="113"/>
  <c r="O41" i="113"/>
  <c r="H73" i="113"/>
  <c r="AM62" i="113"/>
  <c r="G60" i="113"/>
  <c r="N30" i="64"/>
  <c r="X63" i="113"/>
  <c r="H75" i="113"/>
  <c r="BN237" i="113"/>
  <c r="BK69" i="113"/>
  <c r="AD46" i="113"/>
  <c r="AM76" i="113"/>
  <c r="AC44" i="64"/>
  <c r="AB38" i="64"/>
  <c r="BH28" i="64"/>
  <c r="AP128" i="64"/>
  <c r="X59" i="113"/>
  <c r="AW64" i="113"/>
  <c r="AG56" i="113"/>
  <c r="AL43" i="113"/>
  <c r="AX80" i="113"/>
  <c r="I32" i="64"/>
  <c r="BS56" i="113"/>
  <c r="AP26" i="64"/>
  <c r="X54" i="113"/>
  <c r="P59" i="113"/>
  <c r="M59" i="113"/>
  <c r="AJ42" i="113"/>
  <c r="AJ249" i="113"/>
  <c r="AQ235" i="113"/>
  <c r="N43" i="113"/>
  <c r="AC246" i="113"/>
  <c r="AG85" i="113"/>
  <c r="AZ63" i="113"/>
  <c r="H238" i="113"/>
  <c r="E41" i="113"/>
  <c r="S65" i="113"/>
  <c r="O76" i="113"/>
  <c r="AX236" i="113"/>
  <c r="O73" i="113"/>
  <c r="Q68" i="113"/>
  <c r="I242" i="113"/>
  <c r="AJ47" i="113"/>
  <c r="BD43" i="113"/>
  <c r="V66" i="113"/>
  <c r="AJ127" i="64"/>
  <c r="H58" i="113"/>
  <c r="BO236" i="113"/>
  <c r="O56" i="113"/>
  <c r="BP249" i="113"/>
  <c r="AP47" i="113"/>
  <c r="X52" i="113"/>
  <c r="AP27" i="64"/>
  <c r="F84" i="113"/>
  <c r="G71" i="113"/>
  <c r="AH66" i="113"/>
  <c r="G72" i="113"/>
  <c r="AQ240" i="113"/>
  <c r="Y54" i="113"/>
  <c r="AT47" i="113"/>
  <c r="AL65" i="113"/>
  <c r="BM239" i="113"/>
  <c r="AQ84" i="113"/>
  <c r="W60" i="113"/>
  <c r="AA45" i="113"/>
  <c r="I240" i="113"/>
  <c r="AF50" i="113"/>
  <c r="Z68" i="113"/>
  <c r="AW59" i="113"/>
  <c r="AZ127" i="64"/>
  <c r="AQ52" i="113"/>
  <c r="V122" i="64"/>
  <c r="AY66" i="113"/>
  <c r="AQ25" i="64"/>
  <c r="F53" i="113"/>
  <c r="G62" i="113"/>
  <c r="L42" i="113"/>
  <c r="AF46" i="113"/>
  <c r="AN57" i="113"/>
  <c r="AR52" i="113"/>
  <c r="AX28" i="64"/>
  <c r="H56" i="113"/>
  <c r="AL125" i="64"/>
  <c r="E43" i="113"/>
  <c r="H124" i="64"/>
  <c r="G78" i="113"/>
  <c r="O237" i="113"/>
  <c r="AE126" i="64"/>
  <c r="AH65" i="113"/>
  <c r="M55" i="113"/>
  <c r="J49" i="113"/>
  <c r="AT59" i="113"/>
  <c r="AR42" i="113"/>
  <c r="BA44" i="113"/>
  <c r="V45" i="113"/>
  <c r="AZ41" i="113"/>
  <c r="AH63" i="113"/>
  <c r="Q54" i="113"/>
  <c r="AL57" i="113"/>
  <c r="AF68" i="113"/>
  <c r="BS65" i="113"/>
  <c r="AS121" i="64"/>
  <c r="AI59" i="113"/>
  <c r="AX82" i="113"/>
  <c r="BW55" i="113"/>
  <c r="BY67" i="113"/>
  <c r="BC58" i="113"/>
  <c r="AH51" i="113"/>
  <c r="H244" i="113"/>
  <c r="AC128" i="64"/>
  <c r="AO67" i="113"/>
  <c r="P52" i="113"/>
  <c r="BP248" i="113"/>
  <c r="AC122" i="64"/>
  <c r="BX52" i="113"/>
  <c r="AG61" i="113"/>
  <c r="AC29" i="64"/>
  <c r="BW85" i="113"/>
  <c r="AU50" i="113"/>
  <c r="AN64" i="113"/>
  <c r="BY60" i="113"/>
  <c r="AL85" i="113"/>
  <c r="F61" i="113"/>
  <c r="P123" i="64"/>
  <c r="H76" i="113"/>
  <c r="BH45" i="64"/>
  <c r="AP48" i="113"/>
  <c r="U36" i="64"/>
  <c r="V71" i="113"/>
  <c r="T58" i="113"/>
  <c r="AD56" i="113"/>
  <c r="AV42" i="113"/>
  <c r="O55" i="113"/>
  <c r="AH42" i="113"/>
  <c r="AW122" i="64"/>
  <c r="AH60" i="113"/>
  <c r="AQ57" i="113"/>
  <c r="BX60" i="113"/>
  <c r="X76" i="113"/>
  <c r="AE43" i="113"/>
  <c r="BH32" i="64"/>
  <c r="BN239" i="113"/>
  <c r="AJ122" i="64"/>
  <c r="J63" i="113"/>
  <c r="AC52" i="113"/>
  <c r="AM51" i="113"/>
  <c r="BU54" i="113"/>
  <c r="AS62" i="113"/>
  <c r="K121" i="64"/>
  <c r="Q61" i="113"/>
  <c r="K85" i="113"/>
  <c r="H239" i="113"/>
  <c r="H241" i="113"/>
  <c r="AR73" i="113"/>
  <c r="BT68" i="113"/>
  <c r="E51" i="113"/>
  <c r="BP251" i="113"/>
  <c r="BB64" i="113"/>
  <c r="AV51" i="113"/>
  <c r="AB48" i="113"/>
  <c r="AQ62" i="113"/>
  <c r="V47" i="113"/>
  <c r="H63" i="113"/>
  <c r="AX121" i="64"/>
  <c r="BD66" i="113"/>
  <c r="AR76" i="113"/>
  <c r="AJ58" i="113"/>
  <c r="U42" i="64"/>
  <c r="AB44" i="64"/>
  <c r="P62" i="113"/>
  <c r="H64" i="113"/>
  <c r="BP238" i="113"/>
  <c r="I244" i="113"/>
  <c r="AL127" i="64"/>
  <c r="K44" i="113"/>
  <c r="BB46" i="113"/>
  <c r="Y46" i="113"/>
  <c r="BN250" i="113"/>
  <c r="AB59" i="113"/>
  <c r="AN45" i="113"/>
  <c r="AY41" i="113"/>
  <c r="U45" i="113"/>
  <c r="X47" i="113"/>
  <c r="E46" i="113"/>
  <c r="BL237" i="113"/>
  <c r="P46" i="113"/>
  <c r="BY64" i="113"/>
  <c r="AS48" i="113"/>
  <c r="U55" i="113"/>
  <c r="E62" i="113"/>
  <c r="AD75" i="113"/>
  <c r="BC66" i="113"/>
  <c r="AC65" i="113"/>
  <c r="AI54" i="113"/>
  <c r="G83" i="113"/>
  <c r="AC244" i="113"/>
  <c r="BD45" i="113"/>
  <c r="I125" i="64"/>
  <c r="BX68" i="113"/>
  <c r="AB54" i="113"/>
  <c r="S62" i="113"/>
  <c r="AL54" i="113"/>
  <c r="V41" i="113"/>
  <c r="N54" i="113"/>
  <c r="AN60" i="113"/>
  <c r="V67" i="113"/>
  <c r="X68" i="113"/>
  <c r="AQ60" i="113"/>
  <c r="G124" i="64"/>
  <c r="AQ64" i="113"/>
  <c r="O242" i="113"/>
  <c r="AN56" i="113"/>
  <c r="AQ31" i="64"/>
  <c r="AE76" i="113"/>
  <c r="AC26" i="64"/>
  <c r="BP241" i="113"/>
  <c r="L68" i="113"/>
  <c r="O69" i="113"/>
  <c r="AX30" i="64"/>
  <c r="BW60" i="113"/>
  <c r="W127" i="64"/>
  <c r="Y63" i="113"/>
  <c r="AO56" i="113"/>
  <c r="M62" i="113"/>
  <c r="H47" i="113"/>
  <c r="AL122" i="64"/>
  <c r="I64" i="113"/>
  <c r="AS54" i="113"/>
  <c r="K127" i="64"/>
  <c r="L49" i="113"/>
  <c r="AG67" i="113"/>
  <c r="BT65" i="113"/>
  <c r="J51" i="113"/>
  <c r="I75" i="113"/>
  <c r="BT66" i="113"/>
  <c r="Q128" i="64"/>
  <c r="AB61" i="113"/>
  <c r="AW50" i="113"/>
  <c r="O241" i="113"/>
  <c r="N59" i="113"/>
  <c r="AH52" i="113"/>
  <c r="AC126" i="64"/>
  <c r="E56" i="113"/>
  <c r="AQ124" i="64"/>
  <c r="BL246" i="113"/>
  <c r="Z46" i="113"/>
  <c r="AW51" i="113"/>
  <c r="AY68" i="113"/>
  <c r="F78" i="113"/>
  <c r="BO244" i="113"/>
  <c r="F66" i="113"/>
  <c r="AC62" i="113"/>
  <c r="AX84" i="113"/>
  <c r="AE68" i="113"/>
  <c r="AH46" i="113"/>
  <c r="J68" i="113"/>
  <c r="AM45" i="113"/>
  <c r="AD123" i="64"/>
  <c r="BS67" i="113"/>
  <c r="AF47" i="113"/>
  <c r="BV59" i="113"/>
  <c r="AO50" i="113"/>
  <c r="J58" i="113"/>
  <c r="BO250" i="113"/>
  <c r="AD60" i="113"/>
  <c r="BT61" i="113"/>
  <c r="X46" i="113"/>
  <c r="AP123" i="64"/>
  <c r="G127" i="64"/>
  <c r="E48" i="113"/>
  <c r="S53" i="113"/>
  <c r="AQ35" i="64"/>
  <c r="S66" i="113"/>
  <c r="V61" i="113"/>
  <c r="AQ48" i="113"/>
  <c r="Z66" i="113"/>
  <c r="BS58" i="113"/>
  <c r="M46" i="113"/>
  <c r="J53" i="113"/>
  <c r="AX85" i="113"/>
  <c r="AN68" i="113"/>
  <c r="K49" i="113"/>
  <c r="AV59" i="113"/>
  <c r="V127" i="64"/>
  <c r="N65" i="113"/>
  <c r="BH36" i="64"/>
  <c r="AM57" i="113"/>
  <c r="AQ42" i="113"/>
  <c r="P48" i="113"/>
  <c r="U51" i="113"/>
  <c r="BP80" i="113"/>
  <c r="AJ41" i="113"/>
  <c r="AI47" i="113"/>
  <c r="AL55" i="113"/>
  <c r="K66" i="113"/>
  <c r="AP25" i="64"/>
  <c r="T45" i="113"/>
  <c r="P64" i="113"/>
  <c r="AA85" i="113"/>
  <c r="AC45" i="113"/>
  <c r="AB76" i="113"/>
  <c r="BW65" i="113"/>
  <c r="V65" i="113"/>
  <c r="BU67" i="113"/>
  <c r="AH45" i="113"/>
  <c r="E57" i="113"/>
  <c r="AO61" i="113"/>
  <c r="F50" i="113"/>
  <c r="R85" i="113"/>
  <c r="AF67" i="113"/>
  <c r="BC62" i="113"/>
  <c r="AI76" i="113"/>
  <c r="J59" i="113"/>
  <c r="V125" i="64"/>
  <c r="X61" i="113"/>
  <c r="BL248" i="113"/>
  <c r="AQ123" i="64"/>
  <c r="AP36" i="64"/>
  <c r="I121" i="64"/>
  <c r="BQ245" i="113"/>
  <c r="AL67" i="113"/>
  <c r="BK246" i="113"/>
  <c r="AB55" i="113"/>
  <c r="AD52" i="113"/>
  <c r="BB59" i="113"/>
  <c r="AN46" i="113"/>
  <c r="G126" i="64"/>
  <c r="BW56" i="113"/>
  <c r="AU51" i="113"/>
  <c r="T49" i="113"/>
  <c r="O32" i="64"/>
  <c r="M85" i="113"/>
  <c r="AB26" i="64"/>
  <c r="N33" i="64"/>
  <c r="AZ67" i="113"/>
  <c r="H237" i="113"/>
  <c r="O51" i="113"/>
  <c r="BL247" i="113"/>
  <c r="Y61" i="113"/>
  <c r="BL235" i="113"/>
  <c r="U49" i="113"/>
  <c r="Q42" i="113"/>
  <c r="AA76" i="113"/>
  <c r="S47" i="113"/>
  <c r="AP54" i="113"/>
  <c r="BH29" i="64"/>
  <c r="BU63" i="113"/>
  <c r="R56" i="113"/>
  <c r="BN71" i="113"/>
  <c r="L53" i="113"/>
  <c r="BL239" i="113"/>
  <c r="AL52" i="113"/>
  <c r="AV45" i="113"/>
  <c r="R52" i="113"/>
  <c r="V123" i="64"/>
  <c r="BH35" i="64"/>
  <c r="P121" i="64"/>
  <c r="AL76" i="113"/>
  <c r="AV64" i="113"/>
  <c r="AS125" i="64"/>
  <c r="X41" i="113"/>
  <c r="I68" i="113"/>
  <c r="N55" i="113"/>
  <c r="BS52" i="113"/>
  <c r="M42" i="113"/>
  <c r="AJ237" i="113"/>
  <c r="AR58" i="113"/>
  <c r="AU60" i="113"/>
  <c r="AY64" i="113"/>
  <c r="U126" i="64"/>
  <c r="AQ241" i="113"/>
  <c r="T62" i="113"/>
  <c r="I44" i="113"/>
  <c r="S85" i="113"/>
  <c r="H36" i="64"/>
  <c r="AW123" i="64"/>
  <c r="BD60" i="113"/>
  <c r="Q124" i="64"/>
  <c r="J45" i="113"/>
  <c r="AB40" i="64"/>
  <c r="AX251" i="113"/>
  <c r="BU55" i="113"/>
  <c r="Y52" i="113"/>
  <c r="O82" i="113"/>
  <c r="Y62" i="113"/>
  <c r="R49" i="113"/>
  <c r="U128" i="64"/>
  <c r="AV47" i="113"/>
  <c r="AI63" i="113"/>
  <c r="H128" i="64"/>
  <c r="AF52" i="113"/>
  <c r="AX65" i="113"/>
  <c r="AP65" i="113"/>
  <c r="BV65" i="113"/>
  <c r="AT85" i="113"/>
  <c r="G48" i="113"/>
  <c r="AS65" i="113"/>
  <c r="AS124" i="64"/>
  <c r="BM247" i="113"/>
  <c r="G85" i="113"/>
  <c r="J61" i="113"/>
  <c r="AQ73" i="113"/>
  <c r="Z49" i="113"/>
  <c r="AO58" i="113"/>
  <c r="AJ46" i="113"/>
  <c r="O44" i="113"/>
  <c r="BL71" i="113"/>
  <c r="T59" i="113"/>
  <c r="AR122" i="64"/>
  <c r="R43" i="113"/>
  <c r="G36" i="64"/>
  <c r="AY73" i="113"/>
  <c r="G58" i="113"/>
  <c r="AW126" i="64"/>
  <c r="AI48" i="113"/>
  <c r="BU47" i="113"/>
  <c r="AE55" i="113"/>
  <c r="M45" i="113"/>
  <c r="AC67" i="113"/>
  <c r="BN251" i="113"/>
  <c r="N126" i="64"/>
  <c r="M48" i="113"/>
  <c r="AN59" i="113"/>
  <c r="L41" i="113"/>
  <c r="AU43" i="113"/>
  <c r="AS128" i="64"/>
  <c r="BY47" i="113"/>
  <c r="O64" i="113"/>
  <c r="AU65" i="113"/>
  <c r="W75" i="113"/>
  <c r="AB53" i="113"/>
  <c r="Z41" i="113"/>
  <c r="E10" i="113"/>
  <c r="BS49" i="113"/>
  <c r="J64" i="113"/>
  <c r="BW48" i="113"/>
  <c r="BY55" i="113"/>
  <c r="AE123" i="64"/>
  <c r="J122" i="64"/>
  <c r="O250" i="113"/>
  <c r="AJ125" i="64"/>
  <c r="AX43" i="113"/>
  <c r="AE60" i="113"/>
  <c r="AT61" i="113"/>
  <c r="AK127" i="64"/>
  <c r="BD67" i="113"/>
  <c r="T44" i="113"/>
  <c r="V128" i="64"/>
  <c r="E58" i="113"/>
  <c r="BC44" i="113"/>
  <c r="I65" i="113"/>
  <c r="BS54" i="113"/>
  <c r="AJ247" i="113"/>
  <c r="AE62" i="113"/>
  <c r="AL61" i="113"/>
  <c r="U60" i="113"/>
  <c r="BU59" i="113"/>
  <c r="V64" i="113"/>
  <c r="AS85" i="113"/>
  <c r="AC71" i="113"/>
  <c r="AD85" i="113"/>
  <c r="K64" i="113"/>
  <c r="AO53" i="113"/>
  <c r="BO238" i="113"/>
  <c r="F74" i="113"/>
  <c r="I67" i="113"/>
  <c r="AC54" i="113"/>
  <c r="AK48" i="113"/>
  <c r="BS44" i="113"/>
  <c r="O126" i="64"/>
  <c r="AO65" i="113"/>
  <c r="AN42" i="113"/>
  <c r="BY41" i="113"/>
  <c r="AP43" i="113"/>
  <c r="AE45" i="113"/>
  <c r="AT44" i="113"/>
  <c r="AY124" i="64"/>
  <c r="AH85" i="113"/>
  <c r="O34" i="64"/>
  <c r="BD58" i="113"/>
  <c r="R48" i="113"/>
  <c r="AC73" i="113"/>
  <c r="AG44" i="113"/>
  <c r="AP35" i="64"/>
  <c r="Z53" i="113"/>
  <c r="P128" i="64"/>
  <c r="N68" i="113"/>
  <c r="AY82" i="113"/>
  <c r="AC236" i="113"/>
  <c r="BV64" i="113"/>
  <c r="BY62" i="113"/>
  <c r="AF58" i="113"/>
  <c r="BA41" i="113"/>
  <c r="BU44" i="113"/>
  <c r="U67" i="113"/>
  <c r="H240" i="113"/>
  <c r="AL51" i="113"/>
  <c r="V45" i="64"/>
  <c r="AL124" i="64"/>
  <c r="J65" i="113"/>
  <c r="E68" i="113"/>
  <c r="K41" i="113"/>
  <c r="Q66" i="113"/>
  <c r="AK56" i="113"/>
  <c r="O66" i="113"/>
  <c r="BQ249" i="113"/>
  <c r="V121" i="64"/>
  <c r="AD48" i="113"/>
  <c r="U28" i="64"/>
  <c r="AW52" i="113"/>
  <c r="BS62" i="113"/>
  <c r="AX122" i="64"/>
  <c r="P55" i="113"/>
  <c r="AI56" i="113"/>
  <c r="AD62" i="113"/>
  <c r="AW58" i="113"/>
  <c r="W68" i="113"/>
  <c r="H66" i="113"/>
  <c r="U44" i="113"/>
  <c r="Q76" i="113"/>
  <c r="BT54" i="113"/>
  <c r="AJ54" i="113"/>
  <c r="AI55" i="113"/>
  <c r="W66" i="113"/>
  <c r="AW47" i="113"/>
  <c r="Y76" i="113"/>
  <c r="H126" i="64"/>
  <c r="AD76" i="113"/>
  <c r="H78" i="113"/>
  <c r="AY76" i="113"/>
  <c r="AP68" i="113"/>
  <c r="BU62" i="113"/>
  <c r="AQ125" i="64"/>
  <c r="I251" i="113"/>
  <c r="AD66" i="113"/>
  <c r="M64" i="113"/>
  <c r="U53" i="113"/>
  <c r="AS67" i="113"/>
  <c r="H50" i="113"/>
  <c r="G64" i="113"/>
  <c r="L54" i="113"/>
  <c r="AI121" i="64"/>
  <c r="AM61" i="113"/>
  <c r="AP53" i="113"/>
  <c r="O62" i="113"/>
  <c r="V34" i="64"/>
  <c r="AC32" i="64"/>
  <c r="AI27" i="64"/>
  <c r="AW66" i="113"/>
  <c r="I27" i="64"/>
  <c r="H62" i="113"/>
  <c r="AZ124" i="64"/>
  <c r="AI33" i="64"/>
  <c r="AX67" i="113"/>
  <c r="G25" i="64"/>
  <c r="BT67" i="113"/>
  <c r="V35" i="64"/>
  <c r="AZ60" i="113"/>
  <c r="AE59" i="113"/>
  <c r="AB46" i="113"/>
  <c r="BC55" i="113"/>
  <c r="G76" i="113"/>
  <c r="AQ247" i="113"/>
  <c r="V247" i="113"/>
  <c r="AO44" i="113"/>
  <c r="AY47" i="113"/>
  <c r="E52" i="113"/>
  <c r="Z67" i="113"/>
  <c r="X127" i="64"/>
  <c r="BM235" i="113"/>
  <c r="F42" i="113"/>
  <c r="P126" i="64"/>
  <c r="AI49" i="113"/>
  <c r="AT16" i="64"/>
  <c r="O124" i="64"/>
  <c r="L56" i="113"/>
  <c r="BC45" i="113"/>
  <c r="AC237" i="113"/>
  <c r="BV42" i="113"/>
  <c r="AI43" i="113"/>
  <c r="Q85" i="113"/>
  <c r="J125" i="64"/>
  <c r="M63" i="113"/>
  <c r="AR41" i="113"/>
  <c r="Z48" i="113"/>
  <c r="BD47" i="113"/>
  <c r="BF28" i="64"/>
  <c r="I238" i="113"/>
  <c r="AD41" i="113"/>
  <c r="AD126" i="64"/>
  <c r="BU65" i="113"/>
  <c r="AH54" i="113"/>
  <c r="Y68" i="113"/>
  <c r="BL80" i="113"/>
  <c r="K61" i="113"/>
  <c r="BX46" i="113"/>
  <c r="AO41" i="113"/>
  <c r="BX54" i="113"/>
  <c r="V240" i="113"/>
  <c r="AX63" i="113"/>
  <c r="AJ71" i="113"/>
  <c r="AQ85" i="113"/>
  <c r="AX45" i="113"/>
  <c r="Z62" i="113"/>
  <c r="AP52" i="113"/>
  <c r="V76" i="113"/>
  <c r="H41" i="113"/>
  <c r="H49" i="113"/>
  <c r="Z64" i="113"/>
  <c r="BU42" i="113"/>
  <c r="AO45" i="113"/>
  <c r="AJ50" i="113"/>
  <c r="AC76" i="113"/>
  <c r="AK126" i="64"/>
  <c r="AJ124" i="64"/>
  <c r="BP236" i="113"/>
  <c r="F55" i="113"/>
  <c r="H38" i="64"/>
  <c r="BL240" i="113"/>
  <c r="X67" i="113"/>
  <c r="R55" i="113"/>
  <c r="T68" i="113"/>
  <c r="AQ44" i="113"/>
  <c r="AY127" i="64"/>
  <c r="M68" i="113"/>
  <c r="AB36" i="64"/>
  <c r="AQ26" i="64"/>
  <c r="U52" i="113"/>
  <c r="F57" i="113"/>
  <c r="AJ45" i="113"/>
  <c r="AC47" i="113"/>
  <c r="Z45" i="113"/>
  <c r="AC53" i="113"/>
  <c r="F59" i="113"/>
  <c r="V75" i="113"/>
  <c r="AE64" i="113"/>
  <c r="AX66" i="113"/>
  <c r="AM43" i="113"/>
  <c r="L76" i="113"/>
  <c r="BK238" i="113"/>
  <c r="AY48" i="113"/>
  <c r="AE54" i="113"/>
  <c r="AR121" i="64"/>
  <c r="V73" i="113"/>
  <c r="AJ61" i="113"/>
  <c r="AF43" i="113"/>
  <c r="L52" i="113"/>
  <c r="O46" i="113"/>
  <c r="AC80" i="113"/>
  <c r="BP239" i="113"/>
  <c r="AC247" i="113"/>
  <c r="AS16" i="64"/>
  <c r="V246" i="113"/>
  <c r="BC67" i="113"/>
  <c r="H42" i="64"/>
  <c r="E65" i="113"/>
  <c r="V250" i="113"/>
  <c r="AR64" i="113"/>
  <c r="Q52" i="113"/>
  <c r="E61" i="113"/>
  <c r="AU45" i="113"/>
  <c r="W50" i="113"/>
  <c r="V78" i="113"/>
  <c r="I73" i="113"/>
  <c r="J55" i="113"/>
  <c r="AV46" i="113"/>
  <c r="J42" i="113"/>
  <c r="U123" i="64"/>
  <c r="F46" i="113"/>
  <c r="I33" i="64"/>
  <c r="AF54" i="113"/>
  <c r="BO71" i="113"/>
  <c r="AD82" i="113"/>
  <c r="AI50" i="113"/>
  <c r="BK251" i="113"/>
  <c r="P73" i="113"/>
  <c r="AZ126" i="64"/>
  <c r="AD45" i="113"/>
  <c r="AG68" i="113"/>
  <c r="S41" i="113"/>
  <c r="AM59" i="113"/>
  <c r="AI52" i="113"/>
  <c r="K51" i="113"/>
  <c r="AB27" i="64"/>
  <c r="T61" i="113"/>
  <c r="BS76" i="113"/>
  <c r="BU76" i="113"/>
  <c r="BP240" i="113"/>
  <c r="BX44" i="113"/>
  <c r="J43" i="113"/>
  <c r="AV58" i="113"/>
  <c r="Z50" i="113"/>
  <c r="AF45" i="113"/>
  <c r="AU16" i="64"/>
  <c r="W124" i="64"/>
  <c r="BQ237" i="113"/>
  <c r="AC33" i="64"/>
  <c r="BV61" i="113"/>
  <c r="AV67" i="113"/>
  <c r="H48" i="113"/>
  <c r="Y49" i="113"/>
  <c r="K125" i="64"/>
  <c r="V38" i="64"/>
  <c r="W62" i="113"/>
  <c r="AQ59" i="113"/>
  <c r="AX41" i="113"/>
  <c r="AC49" i="113"/>
  <c r="AM52" i="113"/>
  <c r="P50" i="113"/>
  <c r="I51" i="113"/>
  <c r="AQ16" i="64"/>
  <c r="BY85" i="113"/>
  <c r="AR46" i="113"/>
  <c r="AK50" i="113"/>
  <c r="AG54" i="113"/>
  <c r="AK51" i="113"/>
  <c r="AY65" i="113"/>
  <c r="N85" i="113"/>
  <c r="G79" i="113"/>
  <c r="K57" i="113"/>
  <c r="AZ58" i="113"/>
  <c r="U41" i="113"/>
  <c r="H57" i="113"/>
  <c r="O246" i="113"/>
  <c r="AW67" i="113"/>
  <c r="Z47" i="113"/>
  <c r="BW46" i="113"/>
  <c r="BC47" i="113"/>
  <c r="AQ55" i="113"/>
  <c r="U38" i="64"/>
  <c r="AT43" i="113"/>
  <c r="AA59" i="113"/>
  <c r="U63" i="113"/>
  <c r="BM242" i="113"/>
  <c r="J121" i="64"/>
  <c r="AJ52" i="113"/>
  <c r="AC121" i="64"/>
  <c r="AK82" i="113"/>
  <c r="AL44" i="113"/>
  <c r="AO59" i="113"/>
  <c r="BB45" i="113"/>
  <c r="R68" i="113"/>
  <c r="BB48" i="113"/>
  <c r="AS46" i="113"/>
  <c r="H27" i="64"/>
  <c r="L46" i="113"/>
  <c r="H26" i="64"/>
  <c r="AJ62" i="113"/>
  <c r="AR66" i="113"/>
  <c r="F79" i="113"/>
  <c r="BS68" i="113"/>
  <c r="BS60" i="113"/>
  <c r="AA61" i="113"/>
  <c r="O53" i="113"/>
  <c r="BW47" i="113"/>
  <c r="BQ235" i="113"/>
  <c r="AP60" i="113"/>
  <c r="K43" i="113"/>
  <c r="AC82" i="113"/>
  <c r="AI30" i="64"/>
  <c r="K67" i="113"/>
  <c r="G121" i="64"/>
  <c r="AA54" i="113"/>
  <c r="I41" i="113"/>
  <c r="I49" i="113"/>
  <c r="BY43" i="113"/>
  <c r="BT51" i="113"/>
  <c r="R61" i="113"/>
  <c r="AC42" i="64"/>
  <c r="R54" i="113"/>
  <c r="Y55" i="113"/>
  <c r="AA52" i="113"/>
  <c r="AF76" i="113"/>
  <c r="J52" i="113"/>
  <c r="AC242" i="113"/>
  <c r="AD124" i="64"/>
  <c r="Q46" i="113"/>
  <c r="AB47" i="113"/>
  <c r="AE50" i="113"/>
  <c r="BO251" i="113"/>
  <c r="BU51" i="113"/>
  <c r="AS47" i="113"/>
  <c r="N121" i="64"/>
  <c r="AA51" i="113"/>
  <c r="M47" i="113"/>
  <c r="AU64" i="113"/>
  <c r="F72" i="113"/>
  <c r="AT68" i="113"/>
  <c r="AK75" i="113"/>
  <c r="BP235" i="113"/>
  <c r="AJ60" i="113"/>
  <c r="AI61" i="113"/>
  <c r="BX58" i="113"/>
  <c r="Q125" i="64"/>
  <c r="BW52" i="113"/>
  <c r="S55" i="113"/>
  <c r="U66" i="113"/>
  <c r="BL238" i="113"/>
  <c r="G68" i="113"/>
  <c r="AM58" i="113"/>
  <c r="I52" i="113"/>
  <c r="G47" i="113"/>
  <c r="AN54" i="113"/>
  <c r="AG51" i="113"/>
  <c r="AU47" i="113"/>
  <c r="BM80" i="113"/>
  <c r="AI126" i="64"/>
  <c r="BC60" i="113"/>
  <c r="AT64" i="113"/>
  <c r="I62" i="113"/>
  <c r="AD84" i="113"/>
  <c r="AR124" i="64"/>
  <c r="AQ68" i="113"/>
  <c r="AC42" i="113"/>
  <c r="W123" i="64"/>
  <c r="AO55" i="113"/>
  <c r="AQ33" i="64"/>
  <c r="AW125" i="64"/>
  <c r="O52" i="113"/>
  <c r="AQ56" i="113"/>
  <c r="BP237" i="113"/>
  <c r="W49" i="113"/>
  <c r="J57" i="113"/>
  <c r="E60" i="113"/>
  <c r="J123" i="64"/>
  <c r="AY75" i="113"/>
  <c r="P75" i="113"/>
  <c r="U31" i="64"/>
  <c r="H33" i="64"/>
  <c r="AO76" i="113"/>
  <c r="AU41" i="113"/>
  <c r="BB76" i="113"/>
  <c r="AQ237" i="113"/>
  <c r="V48" i="113"/>
  <c r="L60" i="113"/>
  <c r="W67" i="113"/>
  <c r="BK240" i="113"/>
  <c r="AQ75" i="113"/>
  <c r="O240" i="113"/>
  <c r="BD62" i="113"/>
  <c r="O58" i="113"/>
  <c r="E45" i="113"/>
  <c r="H250" i="113"/>
  <c r="U59" i="113"/>
  <c r="K59" i="113"/>
  <c r="AW29" i="64"/>
  <c r="AD59" i="113"/>
  <c r="M57" i="113"/>
  <c r="AB123" i="64"/>
  <c r="AO46" i="113"/>
  <c r="AJ245" i="113"/>
  <c r="AY45" i="113"/>
  <c r="D9" i="64"/>
  <c r="G73" i="113"/>
  <c r="U54" i="113"/>
  <c r="AC51" i="113"/>
  <c r="BK249" i="113"/>
  <c r="H80" i="113"/>
  <c r="V236" i="113"/>
  <c r="E54" i="113"/>
  <c r="AQ238" i="113"/>
  <c r="AB125" i="64"/>
  <c r="BC46" i="113"/>
  <c r="BY65" i="113"/>
  <c r="AF85" i="113"/>
  <c r="H53" i="113"/>
  <c r="BO237" i="113"/>
  <c r="BH25" i="64"/>
  <c r="W48" i="113"/>
  <c r="S44" i="113"/>
  <c r="AJ55" i="113"/>
  <c r="BY76" i="113"/>
  <c r="AB68" i="113"/>
  <c r="BY68" i="113"/>
  <c r="Q60" i="113"/>
  <c r="AK123" i="64"/>
  <c r="AW43" i="113"/>
  <c r="N64" i="113"/>
  <c r="AX58" i="113"/>
  <c r="AZ47" i="113"/>
  <c r="AD43" i="113"/>
  <c r="AM53" i="113"/>
  <c r="T52" i="113"/>
  <c r="BY59" i="113"/>
  <c r="X50" i="113"/>
  <c r="I55" i="113"/>
  <c r="BQ247" i="113"/>
  <c r="AC41" i="113"/>
  <c r="AY126" i="64"/>
  <c r="U42" i="113"/>
  <c r="L67" i="113"/>
  <c r="K68" i="113"/>
  <c r="AQ248" i="113"/>
  <c r="T64" i="113"/>
  <c r="T46" i="113"/>
  <c r="I28" i="64"/>
  <c r="BQ242" i="113"/>
  <c r="Q64" i="113"/>
  <c r="AL56" i="113"/>
  <c r="AC56" i="113"/>
  <c r="BK237" i="113"/>
  <c r="AJ43" i="113"/>
  <c r="AM85" i="113"/>
  <c r="AO42" i="113"/>
  <c r="BQ238" i="113"/>
  <c r="O123" i="64"/>
  <c r="Y64" i="113"/>
  <c r="AT54" i="113"/>
  <c r="Q53" i="113"/>
  <c r="AJ59" i="113"/>
  <c r="AW121" i="64"/>
  <c r="N45" i="113"/>
  <c r="BW57" i="113"/>
  <c r="P60" i="113"/>
  <c r="U58" i="113"/>
  <c r="Z63" i="113"/>
  <c r="G61" i="113"/>
  <c r="AI46" i="113"/>
  <c r="T63" i="113"/>
  <c r="BK250" i="113"/>
  <c r="BS51" i="113"/>
  <c r="AU61" i="113"/>
  <c r="AS44" i="113"/>
  <c r="BU61" i="113"/>
  <c r="R64" i="113"/>
  <c r="M41" i="113"/>
  <c r="N125" i="64"/>
  <c r="BS48" i="113"/>
  <c r="AX248" i="113"/>
  <c r="Y45" i="113"/>
  <c r="E66" i="113"/>
  <c r="AU57" i="113"/>
  <c r="AE85" i="113"/>
  <c r="AE63" i="113"/>
  <c r="X121" i="64"/>
  <c r="AU62" i="113"/>
  <c r="AP34" i="64"/>
  <c r="BO80" i="113"/>
  <c r="AH43" i="113"/>
  <c r="BX85" i="113"/>
  <c r="AX27" i="64"/>
  <c r="F54" i="113"/>
  <c r="AI68" i="113"/>
  <c r="O29" i="64"/>
  <c r="AU53" i="113"/>
  <c r="AY85" i="113"/>
  <c r="BD61" i="113"/>
  <c r="P54" i="113"/>
  <c r="AZ48" i="113"/>
  <c r="AX240" i="113"/>
  <c r="J127" i="64"/>
  <c r="T54" i="113"/>
  <c r="AD55" i="113"/>
  <c r="AX60" i="113"/>
  <c r="AY63" i="113"/>
  <c r="D8" i="64"/>
  <c r="Z59" i="113"/>
  <c r="H44" i="113"/>
  <c r="AP126" i="64"/>
  <c r="AR68" i="113"/>
  <c r="AB65" i="113"/>
  <c r="AK47" i="113"/>
  <c r="AW30" i="64"/>
  <c r="R47" i="113"/>
  <c r="AL48" i="113"/>
  <c r="BP250" i="113"/>
  <c r="H121" i="64"/>
  <c r="AE128" i="64"/>
  <c r="AR43" i="113"/>
  <c r="X122" i="64"/>
  <c r="AR65" i="113"/>
  <c r="V241" i="113"/>
  <c r="K52" i="113"/>
  <c r="AC125" i="64"/>
  <c r="N61" i="113"/>
  <c r="L62" i="113"/>
  <c r="K56" i="113"/>
  <c r="AQ66" i="113"/>
  <c r="AG58" i="113"/>
  <c r="T65" i="113"/>
  <c r="BX59" i="113"/>
  <c r="AP66" i="113"/>
  <c r="AJ44" i="113"/>
  <c r="G44" i="64"/>
  <c r="S49" i="113"/>
  <c r="BD55" i="113"/>
  <c r="H35" i="64"/>
  <c r="AI29" i="64"/>
  <c r="AQ27" i="64"/>
  <c r="P56" i="113"/>
  <c r="BT62" i="113"/>
  <c r="AY55" i="113"/>
  <c r="AK68" i="113"/>
  <c r="AI34" i="64"/>
  <c r="I59" i="113"/>
  <c r="W45" i="113"/>
  <c r="AD64" i="113"/>
  <c r="BO241" i="113"/>
  <c r="AC69" i="113"/>
  <c r="Z55" i="113"/>
  <c r="P122" i="64"/>
  <c r="AQ239" i="113"/>
  <c r="AR45" i="113"/>
  <c r="AQ246" i="113"/>
  <c r="I241" i="113"/>
  <c r="I46" i="113"/>
  <c r="AN61" i="113"/>
  <c r="AL60" i="113"/>
  <c r="AO54" i="113"/>
  <c r="AQ245" i="113"/>
  <c r="AM66" i="113"/>
  <c r="BB47" i="113"/>
  <c r="AG59" i="113"/>
  <c r="AI65" i="113"/>
  <c r="BV45" i="113"/>
  <c r="W126" i="64"/>
  <c r="T48" i="113"/>
  <c r="BX50" i="113"/>
  <c r="V69" i="113"/>
  <c r="BX43" i="113"/>
  <c r="U127" i="64"/>
  <c r="AG47" i="113"/>
  <c r="AF61" i="113"/>
  <c r="F63" i="113"/>
  <c r="T56" i="113"/>
  <c r="X62" i="113"/>
  <c r="AN76" i="113"/>
  <c r="AR48" i="113"/>
  <c r="AI31" i="64"/>
  <c r="H127" i="64"/>
  <c r="BY61" i="113"/>
  <c r="AP56" i="113"/>
  <c r="AH41" i="113"/>
  <c r="T41" i="113"/>
  <c r="J44" i="113"/>
  <c r="W41" i="113"/>
  <c r="V124" i="64"/>
  <c r="BS64" i="113"/>
  <c r="BV54" i="113"/>
  <c r="AC85" i="113"/>
  <c r="H246" i="113"/>
  <c r="Y50" i="113"/>
  <c r="AI125" i="64"/>
  <c r="AB52" i="113"/>
  <c r="AX127" i="64"/>
  <c r="AK54" i="113"/>
  <c r="O36" i="64"/>
  <c r="AJ65" i="113"/>
  <c r="AD49" i="113"/>
  <c r="AS41" i="113"/>
  <c r="AQ126" i="64"/>
  <c r="O238" i="113"/>
  <c r="BS53" i="113"/>
  <c r="X45" i="113"/>
  <c r="U56" i="113"/>
  <c r="Z76" i="113"/>
  <c r="N36" i="64"/>
  <c r="V30" i="64"/>
  <c r="AK62" i="113"/>
  <c r="BO248" i="113"/>
  <c r="AC55" i="113"/>
  <c r="AN50" i="113"/>
  <c r="BN244" i="113"/>
  <c r="AS66" i="113"/>
  <c r="AJ57" i="113"/>
  <c r="AX44" i="113"/>
  <c r="L57" i="113"/>
  <c r="V28" i="64"/>
  <c r="M61" i="113"/>
  <c r="R63" i="113"/>
  <c r="AV65" i="113"/>
  <c r="AB29" i="64"/>
  <c r="AC31" i="64"/>
  <c r="AD73" i="113"/>
  <c r="G49" i="113"/>
  <c r="AV85" i="113"/>
  <c r="W54" i="113"/>
  <c r="AN48" i="113"/>
  <c r="P66" i="113"/>
  <c r="BM249" i="113"/>
  <c r="AK65" i="113"/>
  <c r="X124" i="64"/>
  <c r="O80" i="113"/>
  <c r="AV56" i="113"/>
  <c r="AH55" i="113"/>
  <c r="AP44" i="113"/>
  <c r="Q63" i="113"/>
  <c r="O239" i="113"/>
  <c r="AD127" i="64"/>
  <c r="G38" i="64"/>
  <c r="AN65" i="113"/>
  <c r="AR61" i="113"/>
  <c r="Q62" i="113"/>
  <c r="BU68" i="113"/>
  <c r="P47" i="113"/>
  <c r="BX41" i="113"/>
  <c r="BX66" i="113"/>
  <c r="AB122" i="64"/>
  <c r="BQ248" i="113"/>
  <c r="AC30" i="64"/>
  <c r="AB31" i="64"/>
  <c r="I245" i="113"/>
  <c r="BL242" i="113"/>
  <c r="AK42" i="113"/>
  <c r="AR123" i="64"/>
  <c r="BB85" i="113"/>
  <c r="AJ239" i="113"/>
  <c r="U46" i="113"/>
  <c r="AW44" i="113"/>
  <c r="O78" i="113"/>
  <c r="BW44" i="113"/>
  <c r="BO240" i="113"/>
  <c r="W122" i="64"/>
  <c r="T66" i="113"/>
  <c r="BU57" i="113"/>
  <c r="AF49" i="113"/>
  <c r="X65" i="113"/>
  <c r="AT55" i="113"/>
  <c r="BJ31" i="64"/>
  <c r="Z54" i="113"/>
  <c r="U121" i="64"/>
  <c r="AZ128" i="64"/>
  <c r="K62" i="113"/>
  <c r="BU58" i="113"/>
  <c r="AP127" i="64"/>
  <c r="P63" i="113"/>
  <c r="U68" i="113"/>
  <c r="AI128" i="64"/>
  <c r="AQ28" i="64"/>
  <c r="BT48" i="113"/>
  <c r="AX68" i="113"/>
  <c r="K46" i="113"/>
  <c r="I43" i="113"/>
  <c r="AR67" i="113"/>
  <c r="F62" i="113"/>
  <c r="BV66" i="113"/>
  <c r="X125" i="64"/>
  <c r="Z60" i="113"/>
  <c r="F48" i="113"/>
  <c r="AW54" i="113"/>
  <c r="AB49" i="113"/>
  <c r="AP124" i="64"/>
  <c r="I250" i="113"/>
  <c r="J67" i="113"/>
  <c r="AK45" i="113"/>
  <c r="AU52" i="113"/>
  <c r="AI124" i="64"/>
  <c r="AJ30" i="64"/>
  <c r="Z61" i="113"/>
  <c r="AP67" i="113"/>
  <c r="P76" i="113"/>
  <c r="AO66" i="113"/>
  <c r="AC60" i="113"/>
  <c r="O33" i="64"/>
  <c r="BA76" i="113"/>
  <c r="T50" i="113"/>
  <c r="J85" i="113"/>
  <c r="V60" i="113"/>
  <c r="AK124" i="64"/>
  <c r="F82" i="113"/>
  <c r="J60" i="113"/>
  <c r="U47" i="113"/>
  <c r="AK128" i="64"/>
  <c r="E55" i="113"/>
  <c r="AL47" i="113"/>
  <c r="AB41" i="113"/>
  <c r="AZ121" i="64"/>
  <c r="V46" i="113"/>
  <c r="M67" i="113"/>
  <c r="AX75" i="113"/>
  <c r="AG48" i="113"/>
  <c r="AU66" i="113"/>
  <c r="BV68" i="113"/>
  <c r="AR50" i="113"/>
  <c r="BW51" i="113"/>
  <c r="AJ66" i="113"/>
  <c r="AD47" i="113"/>
  <c r="W125" i="64"/>
  <c r="BC68" i="113"/>
  <c r="V55" i="113"/>
  <c r="BA64" i="113"/>
  <c r="AP62" i="113"/>
  <c r="U61" i="113"/>
  <c r="BP247" i="113"/>
  <c r="BT49" i="113"/>
  <c r="G55" i="113"/>
  <c r="AW85" i="113"/>
  <c r="AG64" i="113"/>
  <c r="O63" i="113"/>
  <c r="AF51" i="113"/>
  <c r="N42" i="113"/>
  <c r="AJ235" i="113"/>
  <c r="AX62" i="113"/>
  <c r="K63" i="113"/>
  <c r="BG36" i="64"/>
  <c r="H125" i="64"/>
  <c r="L48" i="113"/>
  <c r="M53" i="113"/>
  <c r="AX69" i="113"/>
  <c r="X66" i="113"/>
  <c r="AY58" i="113"/>
  <c r="O30" i="64"/>
  <c r="F49" i="113"/>
  <c r="BS45" i="113"/>
  <c r="AJ272" i="113" l="1"/>
  <c r="AD38" i="71" s="1"/>
  <c r="AZ148" i="64"/>
  <c r="AU18" i="71" s="1"/>
  <c r="A55" i="113"/>
  <c r="U148" i="64"/>
  <c r="H148" i="64"/>
  <c r="J18" i="71" s="1"/>
  <c r="BR44" i="113"/>
  <c r="X148" i="64"/>
  <c r="A66" i="113"/>
  <c r="AW148" i="64"/>
  <c r="AR18" i="71" s="1"/>
  <c r="BH140" i="64"/>
  <c r="BR53" i="113"/>
  <c r="A54" i="113"/>
  <c r="A45" i="113"/>
  <c r="A60" i="113"/>
  <c r="N148" i="64"/>
  <c r="G148" i="64"/>
  <c r="I18" i="71" s="1"/>
  <c r="AC148" i="64"/>
  <c r="J148" i="64"/>
  <c r="L18" i="71" s="1"/>
  <c r="BR57" i="113"/>
  <c r="AQ138" i="64"/>
  <c r="BM138" i="64" s="1"/>
  <c r="BR48" i="113"/>
  <c r="AU138" i="64"/>
  <c r="BQ138" i="64" s="1"/>
  <c r="A61" i="113"/>
  <c r="A65" i="113"/>
  <c r="AS138" i="64"/>
  <c r="AN8" i="71" s="1"/>
  <c r="AR148" i="64"/>
  <c r="AM18" i="71" s="1"/>
  <c r="BR49" i="113"/>
  <c r="BR41" i="113"/>
  <c r="AT138" i="64"/>
  <c r="AO8" i="71" s="1"/>
  <c r="A52" i="113"/>
  <c r="G140" i="64"/>
  <c r="I10" i="71" s="1"/>
  <c r="BR62" i="113"/>
  <c r="AI148" i="64"/>
  <c r="AD18" i="71" s="1"/>
  <c r="BR50" i="113"/>
  <c r="BR66" i="113"/>
  <c r="V148" i="64"/>
  <c r="A68" i="113"/>
  <c r="A58" i="113"/>
  <c r="A10" i="113"/>
  <c r="P148" i="64"/>
  <c r="I148" i="64"/>
  <c r="K18" i="71" s="1"/>
  <c r="A57" i="113"/>
  <c r="A48" i="113"/>
  <c r="A56" i="113"/>
  <c r="BR47" i="113"/>
  <c r="AC288" i="113"/>
  <c r="A62" i="113"/>
  <c r="A46" i="113"/>
  <c r="I288" i="113"/>
  <c r="J58" i="71" s="1"/>
  <c r="BR64" i="113"/>
  <c r="AX148" i="64"/>
  <c r="AS18" i="71" s="1"/>
  <c r="BR63" i="113"/>
  <c r="A51" i="113"/>
  <c r="K148" i="64"/>
  <c r="M18" i="71" s="1"/>
  <c r="BR76" i="113"/>
  <c r="H288" i="113"/>
  <c r="I58" i="71" s="1"/>
  <c r="AS148" i="64"/>
  <c r="AN18" i="71" s="1"/>
  <c r="A43" i="113"/>
  <c r="BR56" i="113"/>
  <c r="BR58" i="113"/>
  <c r="A41" i="113"/>
  <c r="AQ272" i="113"/>
  <c r="AK38" i="71" s="1"/>
  <c r="AP138" i="64"/>
  <c r="AK8" i="71" s="1"/>
  <c r="BR54" i="113"/>
  <c r="BR59" i="113"/>
  <c r="BR43" i="113"/>
  <c r="AX288" i="113"/>
  <c r="AR58" i="71" s="1"/>
  <c r="O148" i="64"/>
  <c r="O272" i="113"/>
  <c r="A63" i="113"/>
  <c r="AB140" i="64"/>
  <c r="AX272" i="113"/>
  <c r="AR38" i="71" s="1"/>
  <c r="BR85" i="113"/>
  <c r="AV138" i="64"/>
  <c r="AU152" i="64" s="1"/>
  <c r="AC272" i="113"/>
  <c r="AY148" i="64"/>
  <c r="AT18" i="71" s="1"/>
  <c r="BJ138" i="64"/>
  <c r="A42" i="113"/>
  <c r="A44" i="113"/>
  <c r="BR45" i="113"/>
  <c r="H272" i="113"/>
  <c r="I38" i="71" s="1"/>
  <c r="BR51" i="113"/>
  <c r="A50" i="113"/>
  <c r="I272" i="113"/>
  <c r="J38" i="71" s="1"/>
  <c r="H140" i="64"/>
  <c r="J10" i="71" s="1"/>
  <c r="A9" i="113"/>
  <c r="BR52" i="113"/>
  <c r="A47" i="113"/>
  <c r="BR68" i="113"/>
  <c r="AK148" i="64"/>
  <c r="AF18" i="71" s="1"/>
  <c r="AC140" i="64"/>
  <c r="AE148" i="64"/>
  <c r="BR61" i="113"/>
  <c r="AJ288" i="113"/>
  <c r="AD58" i="71" s="1"/>
  <c r="AD148" i="64"/>
  <c r="AR138" i="64"/>
  <c r="BN138" i="64" s="1"/>
  <c r="A59" i="113"/>
  <c r="AQ148" i="64"/>
  <c r="AL18" i="71" s="1"/>
  <c r="A53" i="113"/>
  <c r="Q148" i="64"/>
  <c r="BR67" i="113"/>
  <c r="O288" i="113"/>
  <c r="BR42" i="113"/>
  <c r="AJ148" i="64"/>
  <c r="AE18" i="71" s="1"/>
  <c r="W148" i="64"/>
  <c r="BR46" i="113"/>
  <c r="A64" i="113"/>
  <c r="BR55" i="113"/>
  <c r="A49" i="113"/>
  <c r="V288" i="113"/>
  <c r="BR60" i="113"/>
  <c r="AP148" i="64"/>
  <c r="AK18" i="71" s="1"/>
  <c r="I140" i="64"/>
  <c r="K10" i="71" s="1"/>
  <c r="A67" i="113"/>
  <c r="AL148" i="64"/>
  <c r="AG18" i="71" s="1"/>
  <c r="AB148" i="64"/>
  <c r="AQ288" i="113"/>
  <c r="AK58" i="71" s="1"/>
  <c r="V272" i="113"/>
  <c r="BR65" i="113"/>
  <c r="AP8" i="71"/>
  <c r="BO138" i="64"/>
  <c r="BO22" i="135"/>
  <c r="DL22" i="135" s="1"/>
  <c r="DK22" i="135"/>
  <c r="BO7" i="135"/>
  <c r="DL7" i="135" s="1"/>
  <c r="DK7" i="135"/>
  <c r="BM13" i="148"/>
  <c r="DJ13" i="148" s="1"/>
  <c r="BN7" i="148"/>
  <c r="DK7" i="148" s="1"/>
  <c r="BM21" i="148"/>
  <c r="DJ21" i="148" s="1"/>
  <c r="BM20" i="148"/>
  <c r="DJ20" i="148" s="1"/>
  <c r="BM14" i="148"/>
  <c r="DJ14" i="148" s="1"/>
  <c r="BN6" i="148"/>
  <c r="DK6" i="148" s="1"/>
  <c r="AQ8" i="71" l="1"/>
  <c r="BR138" i="64"/>
  <c r="BT138" i="64"/>
  <c r="AL8" i="71"/>
  <c r="BR264" i="113"/>
  <c r="AM8" i="71"/>
  <c r="BM148" i="64"/>
  <c r="BP138" i="64"/>
  <c r="BO148" i="64"/>
  <c r="BT148" i="64"/>
  <c r="BL148" i="64"/>
  <c r="BS148" i="64"/>
  <c r="BS138" i="64"/>
  <c r="BL138" i="64"/>
  <c r="BN148" i="64"/>
  <c r="EX22" i="135"/>
  <c r="FG7" i="135" s="1"/>
  <c r="BN21" i="148"/>
  <c r="DK21" i="148" s="1"/>
  <c r="BO6" i="148"/>
  <c r="DL6" i="148" s="1"/>
  <c r="BO7" i="148"/>
  <c r="DL7" i="148" s="1"/>
  <c r="EX7" i="148" s="1"/>
  <c r="BN14" i="148"/>
  <c r="DK14" i="148" s="1"/>
  <c r="BN20" i="148"/>
  <c r="DK20" i="148" s="1"/>
  <c r="BN13" i="148"/>
  <c r="DK13" i="148" s="1"/>
  <c r="G8" i="71" l="1"/>
  <c r="EX6" i="148"/>
  <c r="BO13" i="148"/>
  <c r="DL13" i="148" s="1"/>
  <c r="EX13" i="148" s="1"/>
  <c r="BO14" i="148"/>
  <c r="DL14" i="148" s="1"/>
  <c r="EX14" i="148" s="1"/>
  <c r="BO20" i="148"/>
  <c r="DL20" i="148" s="1"/>
  <c r="EX20" i="148" s="1"/>
  <c r="BO21" i="148"/>
  <c r="DL21" i="148" s="1"/>
  <c r="EX21" i="148" s="1"/>
  <c r="FG7" i="148" l="1"/>
  <c r="FG6" i="148"/>
  <c r="E280" i="113" l="1"/>
  <c r="E278" i="113"/>
  <c r="E276" i="113"/>
  <c r="E269" i="113"/>
  <c r="E266" i="113"/>
  <c r="E260" i="113"/>
  <c r="AI280" i="113" l="1"/>
  <c r="N280" i="113"/>
  <c r="U280" i="113"/>
  <c r="O50" i="71" l="1"/>
  <c r="AC63" i="104" l="1"/>
  <c r="AC120" i="104"/>
  <c r="AE6" i="104" l="1"/>
  <c r="AD120" i="104"/>
  <c r="AD63" i="104"/>
  <c r="Q63" i="104"/>
  <c r="P63" i="104"/>
  <c r="P120" i="104" s="1"/>
  <c r="DN6" i="104" l="1"/>
  <c r="DG6" i="104"/>
  <c r="H264" i="113"/>
  <c r="AE120" i="104"/>
  <c r="AE63" i="104"/>
  <c r="AF6" i="104"/>
  <c r="Q120" i="104"/>
  <c r="CB63" i="104"/>
  <c r="CC63" i="104"/>
  <c r="I30" i="71" l="1"/>
  <c r="EV6" i="104"/>
  <c r="DO6" i="104"/>
  <c r="I264" i="113"/>
  <c r="AF120" i="104"/>
  <c r="EV120" i="104" s="1"/>
  <c r="AF63" i="104"/>
  <c r="EV63" i="104" s="1"/>
  <c r="AG6" i="104"/>
  <c r="CC120" i="104"/>
  <c r="CB120" i="104"/>
  <c r="J30" i="71" l="1"/>
  <c r="J264" i="113"/>
  <c r="AG63" i="104"/>
  <c r="AG120" i="104"/>
  <c r="AH6" i="104"/>
  <c r="K30" i="71" l="1"/>
  <c r="K264" i="113"/>
  <c r="AI6" i="104"/>
  <c r="AH63" i="104"/>
  <c r="AH120" i="104"/>
  <c r="CA120" i="104"/>
  <c r="BZ120" i="104"/>
  <c r="DW120" i="104" s="1"/>
  <c r="BY120" i="104"/>
  <c r="DV120" i="104" s="1"/>
  <c r="BX120" i="104"/>
  <c r="DU120" i="104" s="1"/>
  <c r="BW120" i="104"/>
  <c r="DT120" i="104" s="1"/>
  <c r="CA63" i="104"/>
  <c r="BZ63" i="104"/>
  <c r="DW63" i="104" s="1"/>
  <c r="BY63" i="104"/>
  <c r="DV63" i="104" s="1"/>
  <c r="BX63" i="104"/>
  <c r="DU63" i="104" s="1"/>
  <c r="BW63" i="104"/>
  <c r="DT63" i="104" s="1"/>
  <c r="BT12" i="89"/>
  <c r="BS12" i="89"/>
  <c r="BR12" i="89"/>
  <c r="BQ12" i="89"/>
  <c r="BT9" i="89"/>
  <c r="BS9" i="89"/>
  <c r="BR9" i="89"/>
  <c r="BQ9" i="89"/>
  <c r="BS31" i="78"/>
  <c r="BR31" i="78"/>
  <c r="BQ31" i="78"/>
  <c r="BP31" i="78"/>
  <c r="BS30" i="78"/>
  <c r="BR30" i="78"/>
  <c r="BQ30" i="78"/>
  <c r="BP30" i="78"/>
  <c r="BS29" i="78"/>
  <c r="BR29" i="78"/>
  <c r="BQ29" i="78"/>
  <c r="BP29" i="78"/>
  <c r="BS28" i="78"/>
  <c r="BR28" i="78"/>
  <c r="BQ28" i="78"/>
  <c r="BP28" i="78"/>
  <c r="BS27" i="78"/>
  <c r="BR27" i="78"/>
  <c r="BQ27" i="78"/>
  <c r="BP27" i="78"/>
  <c r="BS26" i="78"/>
  <c r="BR26" i="78"/>
  <c r="BQ26" i="78"/>
  <c r="BP26" i="78"/>
  <c r="BS25" i="78"/>
  <c r="BR25" i="78"/>
  <c r="BQ25" i="78"/>
  <c r="BP25" i="78"/>
  <c r="BS24" i="78"/>
  <c r="BR24" i="78"/>
  <c r="BQ24" i="78"/>
  <c r="BP24" i="78"/>
  <c r="BS22" i="78"/>
  <c r="BR22" i="78"/>
  <c r="BQ22" i="78"/>
  <c r="BP22" i="78"/>
  <c r="BS21" i="78"/>
  <c r="BR21" i="78"/>
  <c r="BQ21" i="78"/>
  <c r="BP21" i="78"/>
  <c r="BS20" i="78"/>
  <c r="BR20" i="78"/>
  <c r="BQ20" i="78"/>
  <c r="BP20" i="78"/>
  <c r="BS19" i="78"/>
  <c r="BR19" i="78"/>
  <c r="BQ19" i="78"/>
  <c r="BP19" i="78"/>
  <c r="BS18" i="78"/>
  <c r="BR18" i="78"/>
  <c r="BQ18" i="78"/>
  <c r="BP18" i="78"/>
  <c r="BS17" i="78"/>
  <c r="BR17" i="78"/>
  <c r="BQ17" i="78"/>
  <c r="BP17" i="78"/>
  <c r="BS16" i="78"/>
  <c r="BR16" i="78"/>
  <c r="BQ16" i="78"/>
  <c r="BP16" i="78"/>
  <c r="BS15" i="78"/>
  <c r="BR15" i="78"/>
  <c r="BQ15" i="78"/>
  <c r="BP15" i="78"/>
  <c r="BS13" i="78"/>
  <c r="BR13" i="78"/>
  <c r="BQ13" i="78"/>
  <c r="BP13" i="78"/>
  <c r="BS12" i="78"/>
  <c r="BR12" i="78"/>
  <c r="BQ12" i="78"/>
  <c r="BP12" i="78"/>
  <c r="BS11" i="78"/>
  <c r="BR11" i="78"/>
  <c r="BQ11" i="78"/>
  <c r="BP11" i="78"/>
  <c r="BS10" i="78"/>
  <c r="BR10" i="78"/>
  <c r="BQ10" i="78"/>
  <c r="BP10" i="78"/>
  <c r="BS9" i="78"/>
  <c r="BR9" i="78"/>
  <c r="BQ9" i="78"/>
  <c r="BP9" i="78"/>
  <c r="BS8" i="78"/>
  <c r="BR8" i="78"/>
  <c r="BQ8" i="78"/>
  <c r="BP8" i="78"/>
  <c r="BS7" i="78"/>
  <c r="BR7" i="78"/>
  <c r="BQ7" i="78"/>
  <c r="BP7" i="78"/>
  <c r="S123" i="64"/>
  <c r="Q240" i="113"/>
  <c r="AI80" i="113"/>
  <c r="BF36" i="64"/>
  <c r="BD232" i="113"/>
  <c r="S30" i="64"/>
  <c r="AM126" i="64"/>
  <c r="BE127" i="64"/>
  <c r="AD246" i="113"/>
  <c r="AU248" i="113"/>
  <c r="AH238" i="113"/>
  <c r="AA239" i="113"/>
  <c r="BK28" i="64"/>
  <c r="AK250" i="113"/>
  <c r="AP80" i="113"/>
  <c r="R235" i="113"/>
  <c r="BV241" i="113"/>
  <c r="BJ125" i="64"/>
  <c r="AO251" i="113"/>
  <c r="BF35" i="64"/>
  <c r="S35" i="64"/>
  <c r="AL235" i="113"/>
  <c r="BV245" i="113"/>
  <c r="AR248" i="113"/>
  <c r="R121" i="64"/>
  <c r="BD248" i="113"/>
  <c r="AD242" i="113"/>
  <c r="AL246" i="113"/>
  <c r="AZ236" i="113"/>
  <c r="AA58" i="113"/>
  <c r="AN33" i="64"/>
  <c r="AP246" i="113"/>
  <c r="Y29" i="64"/>
  <c r="Z32" i="64"/>
  <c r="AS34" i="64"/>
  <c r="R32" i="64"/>
  <c r="BD238" i="113"/>
  <c r="AV236" i="113"/>
  <c r="J119" i="64"/>
  <c r="BG28" i="64"/>
  <c r="AL36" i="64"/>
  <c r="AK71" i="113"/>
  <c r="AT246" i="113"/>
  <c r="Q242" i="113"/>
  <c r="S248" i="113"/>
  <c r="BB126" i="64"/>
  <c r="AO237" i="113"/>
  <c r="AI236" i="113"/>
  <c r="AY242" i="113"/>
  <c r="BT43" i="113"/>
  <c r="BJ122" i="64"/>
  <c r="AI250" i="113"/>
  <c r="R240" i="113"/>
  <c r="AV71" i="113"/>
  <c r="BT238" i="113"/>
  <c r="W80" i="113"/>
  <c r="E232" i="113"/>
  <c r="L239" i="113"/>
  <c r="R245" i="113"/>
  <c r="AG29" i="64"/>
  <c r="AR30" i="64"/>
  <c r="AA35" i="64"/>
  <c r="R127" i="64"/>
  <c r="X20" i="113"/>
  <c r="P248" i="113"/>
  <c r="Y33" i="64"/>
  <c r="BG40" i="64"/>
  <c r="X58" i="113"/>
  <c r="AB247" i="113"/>
  <c r="AB245" i="113"/>
  <c r="K29" i="64"/>
  <c r="BA251" i="113"/>
  <c r="BD245" i="113"/>
  <c r="BV237" i="113"/>
  <c r="BA235" i="113"/>
  <c r="E231" i="113"/>
  <c r="BT71" i="113"/>
  <c r="S125" i="64"/>
  <c r="AN249" i="113"/>
  <c r="BE126" i="64"/>
  <c r="BE32" i="64"/>
  <c r="AM122" i="64"/>
  <c r="AE80" i="113"/>
  <c r="BK127" i="64"/>
  <c r="Y128" i="64"/>
  <c r="Y245" i="113"/>
  <c r="BE29" i="64"/>
  <c r="AB240" i="113"/>
  <c r="K30" i="64"/>
  <c r="BV71" i="113"/>
  <c r="AD240" i="113"/>
  <c r="BE35" i="64"/>
  <c r="W249" i="113"/>
  <c r="Y34" i="64"/>
  <c r="AF127" i="64"/>
  <c r="AG27" i="64"/>
  <c r="AF25" i="64"/>
  <c r="AE25" i="64"/>
  <c r="AE29" i="64"/>
  <c r="BD244" i="113"/>
  <c r="AP242" i="113"/>
  <c r="AK30" i="64"/>
  <c r="K119" i="64"/>
  <c r="AP232" i="113"/>
  <c r="BF128" i="64"/>
  <c r="K248" i="113"/>
  <c r="AY235" i="113"/>
  <c r="BC250" i="113"/>
  <c r="AP239" i="113"/>
  <c r="W34" i="64"/>
  <c r="AB248" i="113"/>
  <c r="AH242" i="113"/>
  <c r="Q34" i="64"/>
  <c r="M25" i="64"/>
  <c r="AE238" i="113"/>
  <c r="BV251" i="113"/>
  <c r="BI34" i="64"/>
  <c r="AZ31" i="64"/>
  <c r="T251" i="113"/>
  <c r="S124" i="64"/>
  <c r="AO236" i="113"/>
  <c r="AV127" i="64"/>
  <c r="BY239" i="113"/>
  <c r="T238" i="113"/>
  <c r="BT240" i="113"/>
  <c r="BA126" i="64"/>
  <c r="J248" i="113"/>
  <c r="BK124" i="64"/>
  <c r="BS235" i="113"/>
  <c r="T36" i="64"/>
  <c r="BK27" i="64"/>
  <c r="K245" i="113"/>
  <c r="AA244" i="113"/>
  <c r="BD246" i="113"/>
  <c r="L236" i="113"/>
  <c r="BJ26" i="64"/>
  <c r="BK30" i="64"/>
  <c r="AG128" i="64"/>
  <c r="BE34" i="64"/>
  <c r="AU125" i="64"/>
  <c r="AD34" i="64"/>
  <c r="AM31" i="64"/>
  <c r="X239" i="113"/>
  <c r="AD30" i="64"/>
  <c r="AD244" i="113"/>
  <c r="Y25" i="64"/>
  <c r="AN125" i="64"/>
  <c r="S36" i="64"/>
  <c r="AO245" i="113"/>
  <c r="Y27" i="64"/>
  <c r="BG30" i="64"/>
  <c r="AF28" i="64"/>
  <c r="BG35" i="64"/>
  <c r="BB249" i="113"/>
  <c r="BI126" i="64"/>
  <c r="L121" i="64"/>
  <c r="AA241" i="113"/>
  <c r="BI30" i="64"/>
  <c r="AW237" i="113"/>
  <c r="U239" i="113"/>
  <c r="L125" i="64"/>
  <c r="AA56" i="113"/>
  <c r="BC246" i="113"/>
  <c r="AL31" i="64"/>
  <c r="AV80" i="113"/>
  <c r="AY80" i="113"/>
  <c r="AU123" i="64"/>
  <c r="S122" i="64"/>
  <c r="AO247" i="113"/>
  <c r="M45" i="64"/>
  <c r="AV34" i="64"/>
  <c r="P27" i="64"/>
  <c r="N236" i="113"/>
  <c r="AZ238" i="113"/>
  <c r="P242" i="113"/>
  <c r="U245" i="113"/>
  <c r="AK236" i="113"/>
  <c r="J235" i="113"/>
  <c r="P239" i="113"/>
  <c r="AE244" i="113"/>
  <c r="BW244" i="113"/>
  <c r="BV246" i="113"/>
  <c r="M239" i="113"/>
  <c r="L249" i="113"/>
  <c r="S247" i="113"/>
  <c r="AH125" i="64"/>
  <c r="Q71" i="113"/>
  <c r="BS245" i="113"/>
  <c r="BE30" i="64"/>
  <c r="BT44" i="113"/>
  <c r="AS244" i="113"/>
  <c r="AW241" i="113"/>
  <c r="BG31" i="64"/>
  <c r="AR33" i="64"/>
  <c r="Y251" i="113"/>
  <c r="K36" i="64"/>
  <c r="Z250" i="113"/>
  <c r="BI28" i="64"/>
  <c r="AV122" i="64"/>
  <c r="Y44" i="113"/>
  <c r="AK35" i="64"/>
  <c r="S239" i="113"/>
  <c r="AR31" i="64"/>
  <c r="AU128" i="64"/>
  <c r="AR71" i="113"/>
  <c r="AF30" i="64"/>
  <c r="Q236" i="113"/>
  <c r="BU238" i="113"/>
  <c r="BX246" i="113"/>
  <c r="AD40" i="64"/>
  <c r="BI27" i="64"/>
  <c r="BI121" i="64"/>
  <c r="BE123" i="64"/>
  <c r="AD247" i="113"/>
  <c r="Z19" i="113"/>
  <c r="BJ29" i="64"/>
  <c r="BK29" i="64"/>
  <c r="AS251" i="113"/>
  <c r="R27" i="64"/>
  <c r="BY248" i="113"/>
  <c r="AA123" i="64"/>
  <c r="BT13" i="113"/>
  <c r="AH123" i="64"/>
  <c r="AU237" i="113"/>
  <c r="BT247" i="113"/>
  <c r="AM128" i="64"/>
  <c r="AA128" i="64"/>
  <c r="AH249" i="113"/>
  <c r="BS250" i="113"/>
  <c r="AE242" i="113"/>
  <c r="W244" i="113"/>
  <c r="AO127" i="64"/>
  <c r="BA80" i="113"/>
  <c r="R29" i="64"/>
  <c r="BC240" i="113"/>
  <c r="Z121" i="64"/>
  <c r="AG238" i="113"/>
  <c r="BC244" i="113"/>
  <c r="W251" i="113"/>
  <c r="BB31" i="64"/>
  <c r="Z235" i="113"/>
  <c r="X31" i="64"/>
  <c r="W43" i="113"/>
  <c r="AP245" i="113"/>
  <c r="BK123" i="64"/>
  <c r="BF30" i="64"/>
  <c r="M242" i="113"/>
  <c r="BE128" i="64"/>
  <c r="BE124" i="64"/>
  <c r="BS242" i="113"/>
  <c r="AH250" i="113"/>
  <c r="Z251" i="113"/>
  <c r="W241" i="113"/>
  <c r="V58" i="113"/>
  <c r="AF26" i="64"/>
  <c r="Q248" i="113"/>
  <c r="L71" i="113"/>
  <c r="BU249" i="113"/>
  <c r="AE248" i="113"/>
  <c r="AD71" i="113"/>
  <c r="AH80" i="113"/>
  <c r="AU35" i="64"/>
  <c r="X241" i="113"/>
  <c r="Q28" i="64"/>
  <c r="BW249" i="113"/>
  <c r="BG33" i="64"/>
  <c r="U248" i="113"/>
  <c r="L31" i="64"/>
  <c r="AM30" i="64"/>
  <c r="AP235" i="113"/>
  <c r="BW241" i="113"/>
  <c r="AM123" i="64"/>
  <c r="AO242" i="113"/>
  <c r="AM241" i="113"/>
  <c r="AU244" i="113"/>
  <c r="AU240" i="113"/>
  <c r="BC249" i="113"/>
  <c r="AD36" i="64"/>
  <c r="AE247" i="113"/>
  <c r="AF71" i="113"/>
  <c r="AH239" i="113"/>
  <c r="BE122" i="64"/>
  <c r="AI237" i="113"/>
  <c r="AT245" i="113"/>
  <c r="BA238" i="113"/>
  <c r="BA236" i="113"/>
  <c r="AG126" i="64"/>
  <c r="AF242" i="113"/>
  <c r="X71" i="113"/>
  <c r="BW246" i="113"/>
  <c r="AP237" i="113"/>
  <c r="P28" i="64"/>
  <c r="AB57" i="113"/>
  <c r="BW80" i="113"/>
  <c r="AM125" i="64"/>
  <c r="Y247" i="113"/>
  <c r="N244" i="113"/>
  <c r="AN34" i="64"/>
  <c r="Q235" i="113"/>
  <c r="AE245" i="113"/>
  <c r="Y80" i="113"/>
  <c r="BT58" i="113"/>
  <c r="W32" i="64"/>
  <c r="Q246" i="113"/>
  <c r="Z44" i="113"/>
  <c r="AL250" i="113"/>
  <c r="K35" i="64"/>
  <c r="AS26" i="64"/>
  <c r="AA235" i="113"/>
  <c r="AR235" i="113"/>
  <c r="K247" i="113"/>
  <c r="K250" i="113"/>
  <c r="BJ28" i="64"/>
  <c r="AK241" i="113"/>
  <c r="BY242" i="113"/>
  <c r="X10" i="64"/>
  <c r="U251" i="113"/>
  <c r="V42" i="113"/>
  <c r="U241" i="113"/>
  <c r="M250" i="113"/>
  <c r="E11" i="113"/>
  <c r="T244" i="113"/>
  <c r="AA245" i="113"/>
  <c r="AG36" i="64"/>
  <c r="M80" i="113"/>
  <c r="W27" i="64"/>
  <c r="X42" i="113"/>
  <c r="BH122" i="64"/>
  <c r="BX238" i="113"/>
  <c r="AB235" i="113"/>
  <c r="AB13" i="113"/>
  <c r="BB122" i="64"/>
  <c r="BB124" i="64"/>
  <c r="AE45" i="64"/>
  <c r="J80" i="113"/>
  <c r="V19" i="113"/>
  <c r="AB80" i="113"/>
  <c r="W42" i="113"/>
  <c r="BW235" i="113"/>
  <c r="AG250" i="113"/>
  <c r="Y241" i="113"/>
  <c r="AT237" i="113"/>
  <c r="AS235" i="113"/>
  <c r="BH40" i="64"/>
  <c r="P250" i="113"/>
  <c r="BA250" i="113"/>
  <c r="AI71" i="113"/>
  <c r="AE26" i="64"/>
  <c r="AF122" i="64"/>
  <c r="AN28" i="64"/>
  <c r="AT25" i="64"/>
  <c r="BB235" i="113"/>
  <c r="BF123" i="64"/>
  <c r="AS27" i="64"/>
  <c r="Z239" i="113"/>
  <c r="AM250" i="113"/>
  <c r="M28" i="64"/>
  <c r="AU26" i="64"/>
  <c r="Y122" i="64"/>
  <c r="T33" i="64"/>
  <c r="Q36" i="64"/>
  <c r="AV124" i="64"/>
  <c r="S28" i="64"/>
  <c r="X56" i="113"/>
  <c r="AW239" i="113"/>
  <c r="M124" i="64"/>
  <c r="AS31" i="64"/>
  <c r="AM71" i="113"/>
  <c r="AT247" i="113"/>
  <c r="L45" i="64"/>
  <c r="X251" i="113"/>
  <c r="K251" i="113"/>
  <c r="AS238" i="113"/>
  <c r="BY238" i="113"/>
  <c r="BB125" i="64"/>
  <c r="R125" i="64"/>
  <c r="AO241" i="113"/>
  <c r="X245" i="113"/>
  <c r="AH247" i="113"/>
  <c r="AT242" i="113"/>
  <c r="S249" i="113"/>
  <c r="AA80" i="113"/>
  <c r="AG239" i="113"/>
  <c r="BY71" i="113"/>
  <c r="Z124" i="64"/>
  <c r="X34" i="64"/>
  <c r="AO80" i="113"/>
  <c r="BA240" i="113"/>
  <c r="W28" i="64"/>
  <c r="AM238" i="113"/>
  <c r="AY246" i="113"/>
  <c r="BT236" i="113"/>
  <c r="AO239" i="113"/>
  <c r="K25" i="64"/>
  <c r="BX242" i="113"/>
  <c r="AR240" i="113"/>
  <c r="AT29" i="64"/>
  <c r="BA249" i="113"/>
  <c r="BC242" i="113"/>
  <c r="W242" i="113"/>
  <c r="BC31" i="64"/>
  <c r="AD26" i="64"/>
  <c r="AG71" i="113"/>
  <c r="W14" i="113"/>
  <c r="S237" i="113"/>
  <c r="BD250" i="113"/>
  <c r="BU245" i="113"/>
  <c r="BY240" i="113"/>
  <c r="Y40" i="64"/>
  <c r="V10" i="64"/>
  <c r="AG248" i="113"/>
  <c r="S127" i="64"/>
  <c r="S27" i="64"/>
  <c r="AL30" i="64"/>
  <c r="K33" i="64"/>
  <c r="K26" i="64"/>
  <c r="Y250" i="113"/>
  <c r="N245" i="113"/>
  <c r="BF33" i="64"/>
  <c r="AL26" i="64"/>
  <c r="AH235" i="113"/>
  <c r="BH127" i="64"/>
  <c r="BY80" i="113"/>
  <c r="BD231" i="113"/>
  <c r="BS247" i="113"/>
  <c r="R241" i="113"/>
  <c r="AR245" i="113"/>
  <c r="BK122" i="64"/>
  <c r="AM251" i="113"/>
  <c r="AH28" i="64"/>
  <c r="Z127" i="64"/>
  <c r="BI128" i="64"/>
  <c r="BS249" i="113"/>
  <c r="Z36" i="64"/>
  <c r="AP244" i="113"/>
  <c r="AF125" i="64"/>
  <c r="Y236" i="113"/>
  <c r="AG26" i="64"/>
  <c r="J71" i="113"/>
  <c r="AM34" i="64"/>
  <c r="BG122" i="64"/>
  <c r="P245" i="113"/>
  <c r="M121" i="64"/>
  <c r="AO244" i="113"/>
  <c r="N231" i="113"/>
  <c r="AG235" i="113"/>
  <c r="N246" i="113"/>
  <c r="K240" i="113"/>
  <c r="BT248" i="113"/>
  <c r="AE40" i="64"/>
  <c r="BI33" i="64"/>
  <c r="BB239" i="113"/>
  <c r="P30" i="64"/>
  <c r="AT251" i="113"/>
  <c r="W40" i="64"/>
  <c r="K31" i="64"/>
  <c r="L80" i="113"/>
  <c r="BX241" i="113"/>
  <c r="BJ25" i="64"/>
  <c r="BJ121" i="64"/>
  <c r="AD237" i="113"/>
  <c r="AZ29" i="64"/>
  <c r="BE28" i="64"/>
  <c r="BB28" i="64"/>
  <c r="M246" i="113"/>
  <c r="BG126" i="64"/>
  <c r="N232" i="113"/>
  <c r="L250" i="113"/>
  <c r="AM249" i="113"/>
  <c r="U237" i="113"/>
  <c r="BE36" i="64"/>
  <c r="AZ246" i="113"/>
  <c r="AT122" i="64"/>
  <c r="J247" i="113"/>
  <c r="U240" i="113"/>
  <c r="R31" i="64"/>
  <c r="R80" i="113"/>
  <c r="AF40" i="64"/>
  <c r="AM244" i="113"/>
  <c r="BD235" i="113"/>
  <c r="AD250" i="113"/>
  <c r="AS250" i="113"/>
  <c r="AR34" i="64"/>
  <c r="BS238" i="113"/>
  <c r="BF32" i="64"/>
  <c r="BK121" i="64"/>
  <c r="K249" i="113"/>
  <c r="M245" i="113"/>
  <c r="BB123" i="64"/>
  <c r="X235" i="113"/>
  <c r="N247" i="113"/>
  <c r="X44" i="113"/>
  <c r="AH236" i="113"/>
  <c r="M249" i="113"/>
  <c r="AV241" i="113"/>
  <c r="AO124" i="64"/>
  <c r="F231" i="113"/>
  <c r="AA57" i="113"/>
  <c r="AO121" i="64"/>
  <c r="AB250" i="113"/>
  <c r="BB127" i="64"/>
  <c r="I80" i="113"/>
  <c r="BT250" i="113"/>
  <c r="Y235" i="113"/>
  <c r="Z31" i="64"/>
  <c r="BA128" i="64"/>
  <c r="BB80" i="113"/>
  <c r="AH245" i="113"/>
  <c r="BJ30" i="64"/>
  <c r="AG236" i="113"/>
  <c r="N240" i="113"/>
  <c r="G231" i="113"/>
  <c r="AN35" i="64"/>
  <c r="AV26" i="64"/>
  <c r="BF25" i="64"/>
  <c r="M40" i="64"/>
  <c r="AN27" i="64"/>
  <c r="BA122" i="64"/>
  <c r="S235" i="113"/>
  <c r="AV36" i="64"/>
  <c r="AH251" i="113"/>
  <c r="AD236" i="113"/>
  <c r="AV25" i="64"/>
  <c r="BC124" i="64"/>
  <c r="BE31" i="64"/>
  <c r="S29" i="64"/>
  <c r="BV244" i="113"/>
  <c r="T29" i="64"/>
  <c r="AU247" i="113"/>
  <c r="BW250" i="113"/>
  <c r="L238" i="113"/>
  <c r="AR249" i="113"/>
  <c r="AG30" i="64"/>
  <c r="AS25" i="64"/>
  <c r="AW80" i="113"/>
  <c r="S251" i="113"/>
  <c r="AA27" i="64"/>
  <c r="Q30" i="64"/>
  <c r="AU236" i="113"/>
  <c r="AZ241" i="113"/>
  <c r="AT241" i="113"/>
  <c r="AE32" i="64"/>
  <c r="AF32" i="64"/>
  <c r="Z29" i="64"/>
  <c r="T237" i="113"/>
  <c r="AW71" i="113"/>
  <c r="AF247" i="113"/>
  <c r="S33" i="64"/>
  <c r="E119" i="64"/>
  <c r="Z58" i="113"/>
  <c r="AP71" i="113"/>
  <c r="AB42" i="113"/>
  <c r="AO29" i="64"/>
  <c r="BV248" i="113"/>
  <c r="AR241" i="113"/>
  <c r="BW240" i="113"/>
  <c r="X14" i="113"/>
  <c r="P36" i="64"/>
  <c r="R34" i="64"/>
  <c r="AU238" i="113"/>
  <c r="AS36" i="64"/>
  <c r="AS239" i="113"/>
  <c r="BA124" i="64"/>
  <c r="AB244" i="113"/>
  <c r="Y30" i="64"/>
  <c r="AU33" i="64"/>
  <c r="AE236" i="113"/>
  <c r="AK244" i="113"/>
  <c r="AY251" i="113"/>
  <c r="J34" i="64"/>
  <c r="Q244" i="113"/>
  <c r="BX71" i="113"/>
  <c r="AF237" i="113"/>
  <c r="Y242" i="113"/>
  <c r="AV31" i="64"/>
  <c r="AW238" i="113"/>
  <c r="AY247" i="113"/>
  <c r="AN251" i="113"/>
  <c r="AF235" i="113"/>
  <c r="P33" i="64"/>
  <c r="BG32" i="64"/>
  <c r="AB246" i="113"/>
  <c r="J27" i="64"/>
  <c r="BH121" i="64"/>
  <c r="AG45" i="64"/>
  <c r="BK125" i="64"/>
  <c r="Z237" i="113"/>
  <c r="AN250" i="113"/>
  <c r="AG247" i="113"/>
  <c r="BJ127" i="64"/>
  <c r="J30" i="64"/>
  <c r="X244" i="113"/>
  <c r="BD242" i="113"/>
  <c r="BD237" i="113"/>
  <c r="M32" i="64"/>
  <c r="P235" i="113"/>
  <c r="AK239" i="113"/>
  <c r="N235" i="113"/>
  <c r="AB44" i="113"/>
  <c r="J35" i="64"/>
  <c r="AO246" i="113"/>
  <c r="AM239" i="113"/>
  <c r="AL245" i="113"/>
  <c r="Y239" i="113"/>
  <c r="BJ126" i="64"/>
  <c r="AO31" i="64"/>
  <c r="Q247" i="113"/>
  <c r="AO128" i="64"/>
  <c r="BG121" i="64"/>
  <c r="BA248" i="113"/>
  <c r="BY236" i="113"/>
  <c r="Z128" i="64"/>
  <c r="AB238" i="113"/>
  <c r="BJ35" i="64"/>
  <c r="AA28" i="64"/>
  <c r="AY236" i="113"/>
  <c r="BG123" i="64"/>
  <c r="AD239" i="113"/>
  <c r="AU31" i="64"/>
  <c r="AT123" i="64"/>
  <c r="BG125" i="64"/>
  <c r="BS239" i="113"/>
  <c r="AF248" i="113"/>
  <c r="R249" i="113"/>
  <c r="BC30" i="64"/>
  <c r="AE241" i="113"/>
  <c r="AD27" i="64"/>
  <c r="V20" i="113"/>
  <c r="BA241" i="113"/>
  <c r="AU239" i="113"/>
  <c r="AN30" i="64"/>
  <c r="AZ27" i="64"/>
  <c r="BV240" i="113"/>
  <c r="BF121" i="64"/>
  <c r="BC119" i="64"/>
  <c r="AN242" i="113"/>
  <c r="L242" i="113"/>
  <c r="R239" i="113"/>
  <c r="AL34" i="64"/>
  <c r="X28" i="64"/>
  <c r="Z30" i="64"/>
  <c r="AL238" i="113"/>
  <c r="AZ248" i="113"/>
  <c r="AO28" i="64"/>
  <c r="BV239" i="113"/>
  <c r="Z57" i="113"/>
  <c r="J25" i="64"/>
  <c r="AM236" i="113"/>
  <c r="BC121" i="64"/>
  <c r="M36" i="64"/>
  <c r="X240" i="113"/>
  <c r="AN26" i="64"/>
  <c r="AM240" i="113"/>
  <c r="AP240" i="113"/>
  <c r="L28" i="64"/>
  <c r="AR29" i="64"/>
  <c r="AW245" i="113"/>
  <c r="AY31" i="64"/>
  <c r="AH26" i="64"/>
  <c r="BT14" i="113"/>
  <c r="AM36" i="64"/>
  <c r="AD25" i="64"/>
  <c r="AR238" i="113"/>
  <c r="BK128" i="64"/>
  <c r="AW246" i="113"/>
  <c r="Q80" i="113"/>
  <c r="AO250" i="113"/>
  <c r="AF124" i="64"/>
  <c r="AY27" i="64"/>
  <c r="AS240" i="113"/>
  <c r="AA14" i="113"/>
  <c r="AU246" i="113"/>
  <c r="AE31" i="64"/>
  <c r="X57" i="113"/>
  <c r="J32" i="64"/>
  <c r="G232" i="113"/>
  <c r="E7" i="113"/>
  <c r="BC29" i="64"/>
  <c r="AD28" i="64"/>
  <c r="I40" i="64"/>
  <c r="BY244" i="113"/>
  <c r="AH71" i="113"/>
  <c r="AF250" i="113"/>
  <c r="AY238" i="113"/>
  <c r="BU246" i="113"/>
  <c r="AF128" i="64"/>
  <c r="AW240" i="113"/>
  <c r="T125" i="64"/>
  <c r="AN241" i="113"/>
  <c r="AA240" i="113"/>
  <c r="AZ244" i="113"/>
  <c r="BD249" i="113"/>
  <c r="AO33" i="64"/>
  <c r="BG29" i="64"/>
  <c r="AA19" i="113"/>
  <c r="AH29" i="64"/>
  <c r="U10" i="64"/>
  <c r="BH125" i="64"/>
  <c r="BJ33" i="64"/>
  <c r="AT244" i="113"/>
  <c r="T127" i="64"/>
  <c r="AT249" i="113"/>
  <c r="BA244" i="113"/>
  <c r="BA237" i="113"/>
  <c r="AU241" i="113"/>
  <c r="BU236" i="113"/>
  <c r="M33" i="64"/>
  <c r="Y127" i="64"/>
  <c r="BU239" i="113"/>
  <c r="AM25" i="64"/>
  <c r="AW249" i="113"/>
  <c r="W237" i="113"/>
  <c r="X237" i="113"/>
  <c r="T236" i="113"/>
  <c r="AG241" i="113"/>
  <c r="L119" i="64"/>
  <c r="AA250" i="113"/>
  <c r="AO35" i="64"/>
  <c r="AK247" i="113"/>
  <c r="AH27" i="64"/>
  <c r="AR27" i="64"/>
  <c r="W57" i="113"/>
  <c r="Q239" i="113"/>
  <c r="BB121" i="64"/>
  <c r="AG249" i="113"/>
  <c r="BY247" i="113"/>
  <c r="AK36" i="64"/>
  <c r="AY241" i="113"/>
  <c r="AE235" i="113"/>
  <c r="AV30" i="64"/>
  <c r="AK33" i="64"/>
  <c r="K239" i="113"/>
  <c r="N237" i="113"/>
  <c r="T242" i="113"/>
  <c r="BX245" i="113"/>
  <c r="AK31" i="64"/>
  <c r="BC123" i="64"/>
  <c r="AF33" i="64"/>
  <c r="AN245" i="113"/>
  <c r="AN247" i="113"/>
  <c r="AZ247" i="113"/>
  <c r="N71" i="113"/>
  <c r="BV236" i="113"/>
  <c r="AR35" i="64"/>
  <c r="AG237" i="113"/>
  <c r="AA121" i="64"/>
  <c r="BW237" i="113"/>
  <c r="AG121" i="64"/>
  <c r="AY28" i="64"/>
  <c r="AG240" i="113"/>
  <c r="U71" i="113"/>
  <c r="AF245" i="113"/>
  <c r="R36" i="64"/>
  <c r="R35" i="64"/>
  <c r="M27" i="64"/>
  <c r="X43" i="113"/>
  <c r="AS249" i="113"/>
  <c r="AH31" i="64"/>
  <c r="BA27" i="64"/>
  <c r="BB241" i="113"/>
  <c r="J237" i="113"/>
  <c r="AH121" i="64"/>
  <c r="BH128" i="64"/>
  <c r="AA13" i="113"/>
  <c r="BF31" i="64"/>
  <c r="L32" i="64"/>
  <c r="Y31" i="64"/>
  <c r="AS29" i="64"/>
  <c r="AL240" i="113"/>
  <c r="AB242" i="113"/>
  <c r="Y19" i="113"/>
  <c r="AN246" i="113"/>
  <c r="AW251" i="113"/>
  <c r="Z244" i="113"/>
  <c r="M244" i="113"/>
  <c r="U247" i="113"/>
  <c r="AV248" i="113"/>
  <c r="BF29" i="64"/>
  <c r="S121" i="64"/>
  <c r="AF238" i="113"/>
  <c r="AA237" i="113"/>
  <c r="V44" i="113"/>
  <c r="U25" i="64"/>
  <c r="S128" i="64"/>
  <c r="AU121" i="64"/>
  <c r="BS246" i="113"/>
  <c r="BC247" i="113"/>
  <c r="AG127" i="64"/>
  <c r="M35" i="64"/>
  <c r="AY71" i="113"/>
  <c r="M125" i="64"/>
  <c r="AL251" i="113"/>
  <c r="BB251" i="113"/>
  <c r="AH32" i="64"/>
  <c r="X27" i="64"/>
  <c r="AG244" i="113"/>
  <c r="Y71" i="113"/>
  <c r="P249" i="113"/>
  <c r="BC236" i="113"/>
  <c r="Y123" i="64"/>
  <c r="R251" i="113"/>
  <c r="AE34" i="64"/>
  <c r="BC27" i="64"/>
  <c r="X250" i="113"/>
  <c r="AS33" i="64"/>
  <c r="BY249" i="113"/>
  <c r="K71" i="113"/>
  <c r="BX240" i="113"/>
  <c r="Y20" i="113"/>
  <c r="AV242" i="113"/>
  <c r="BX249" i="113"/>
  <c r="N80" i="113"/>
  <c r="AL35" i="64"/>
  <c r="S80" i="113"/>
  <c r="AN248" i="113"/>
  <c r="V40" i="64"/>
  <c r="Z20" i="113"/>
  <c r="T235" i="113"/>
  <c r="BT19" i="113"/>
  <c r="N248" i="113"/>
  <c r="W235" i="113"/>
  <c r="AO119" i="64"/>
  <c r="T121" i="64"/>
  <c r="L244" i="113"/>
  <c r="AS245" i="113"/>
  <c r="BW236" i="113"/>
  <c r="AZ249" i="113"/>
  <c r="BG26" i="64"/>
  <c r="P29" i="64"/>
  <c r="AK251" i="113"/>
  <c r="R250" i="113"/>
  <c r="AS242" i="113"/>
  <c r="AU124" i="64"/>
  <c r="U80" i="113"/>
  <c r="U238" i="113"/>
  <c r="AH40" i="64"/>
  <c r="M247" i="113"/>
  <c r="AU27" i="64"/>
  <c r="BW247" i="113"/>
  <c r="M30" i="64"/>
  <c r="Y35" i="64"/>
  <c r="AL236" i="113"/>
  <c r="AH25" i="64"/>
  <c r="Q250" i="113"/>
  <c r="Z45" i="64"/>
  <c r="BJ27" i="64"/>
  <c r="BB250" i="113"/>
  <c r="BB71" i="113"/>
  <c r="M238" i="113"/>
  <c r="AK245" i="113"/>
  <c r="AM28" i="64"/>
  <c r="BB246" i="113"/>
  <c r="BX80" i="113"/>
  <c r="L128" i="64"/>
  <c r="BX236" i="113"/>
  <c r="AH122" i="64"/>
  <c r="L127" i="64"/>
  <c r="BU71" i="113"/>
  <c r="AU127" i="64"/>
  <c r="AH34" i="64"/>
  <c r="AG28" i="64"/>
  <c r="AT80" i="113"/>
  <c r="BI127" i="64"/>
  <c r="AI235" i="113"/>
  <c r="BC237" i="113"/>
  <c r="AA34" i="64"/>
  <c r="BA127" i="64"/>
  <c r="K241" i="113"/>
  <c r="W246" i="113"/>
  <c r="R238" i="113"/>
  <c r="BX250" i="113"/>
  <c r="AV35" i="64"/>
  <c r="AU71" i="113"/>
  <c r="Q35" i="64"/>
  <c r="AB14" i="113"/>
  <c r="BG45" i="64"/>
  <c r="P237" i="113"/>
  <c r="X236" i="113"/>
  <c r="W25" i="64"/>
  <c r="U235" i="113"/>
  <c r="L248" i="113"/>
  <c r="AP241" i="113"/>
  <c r="E12" i="113"/>
  <c r="X25" i="64"/>
  <c r="AF240" i="113"/>
  <c r="V14" i="113"/>
  <c r="AA40" i="64"/>
  <c r="BI31" i="64"/>
  <c r="V25" i="64"/>
  <c r="Z240" i="113"/>
  <c r="R28" i="64"/>
  <c r="W250" i="113"/>
  <c r="BU248" i="113"/>
  <c r="AT126" i="64"/>
  <c r="AU29" i="64"/>
  <c r="T123" i="64"/>
  <c r="L25" i="64"/>
  <c r="BC127" i="64"/>
  <c r="AT236" i="113"/>
  <c r="M26" i="64"/>
  <c r="BB244" i="113"/>
  <c r="AV237" i="113"/>
  <c r="AN126" i="64"/>
  <c r="N242" i="113"/>
  <c r="BC239" i="113"/>
  <c r="AD245" i="113"/>
  <c r="W35" i="64"/>
  <c r="AW236" i="113"/>
  <c r="BC245" i="113"/>
  <c r="AN235" i="113"/>
  <c r="W19" i="113"/>
  <c r="BH123" i="64"/>
  <c r="J40" i="64"/>
  <c r="Y124" i="64"/>
  <c r="X45" i="64"/>
  <c r="BA123" i="64"/>
  <c r="W56" i="113"/>
  <c r="V27" i="64"/>
  <c r="AZ30" i="64"/>
  <c r="V43" i="113"/>
  <c r="I119" i="64"/>
  <c r="AK29" i="64"/>
  <c r="AR251" i="113"/>
  <c r="BS237" i="113"/>
  <c r="AI246" i="113"/>
  <c r="Y237" i="113"/>
  <c r="AV247" i="113"/>
  <c r="AS247" i="113"/>
  <c r="AS30" i="64"/>
  <c r="AD31" i="64"/>
  <c r="BS80" i="113"/>
  <c r="Z56" i="113"/>
  <c r="R30" i="64"/>
  <c r="T32" i="64"/>
  <c r="AF45" i="64"/>
  <c r="AV240" i="113"/>
  <c r="AL247" i="113"/>
  <c r="AB20" i="113"/>
  <c r="AL241" i="113"/>
  <c r="AB232" i="113"/>
  <c r="R248" i="113"/>
  <c r="T124" i="64"/>
  <c r="V13" i="113"/>
  <c r="K236" i="113"/>
  <c r="AG251" i="113"/>
  <c r="AG32" i="64"/>
  <c r="L124" i="64"/>
  <c r="BS248" i="113"/>
  <c r="BW251" i="113"/>
  <c r="I11" i="64"/>
  <c r="S246" i="113"/>
  <c r="AZ242" i="113"/>
  <c r="M240" i="113"/>
  <c r="AR250" i="113"/>
  <c r="AO248" i="113"/>
  <c r="Q249" i="113"/>
  <c r="BW245" i="113"/>
  <c r="BW239" i="113"/>
  <c r="S71" i="113"/>
  <c r="M34" i="64"/>
  <c r="U236" i="113"/>
  <c r="Z123" i="64"/>
  <c r="Y121" i="64"/>
  <c r="AM35" i="64"/>
  <c r="AF244" i="113"/>
  <c r="AN25" i="64"/>
  <c r="BI36" i="64"/>
  <c r="AS35" i="64"/>
  <c r="R242" i="113"/>
  <c r="T27" i="64"/>
  <c r="F232" i="113"/>
  <c r="M29" i="64"/>
  <c r="BI26" i="64"/>
  <c r="S32" i="64"/>
  <c r="BC128" i="64"/>
  <c r="AM248" i="113"/>
  <c r="N251" i="113"/>
  <c r="BV247" i="113"/>
  <c r="J241" i="113"/>
  <c r="AZ251" i="113"/>
  <c r="T247" i="113"/>
  <c r="AV244" i="113"/>
  <c r="X248" i="113"/>
  <c r="M235" i="113"/>
  <c r="Z126" i="64"/>
  <c r="X242" i="113"/>
  <c r="S31" i="64"/>
  <c r="AI249" i="113"/>
  <c r="AL28" i="64"/>
  <c r="AH246" i="113"/>
  <c r="AO30" i="64"/>
  <c r="Y244" i="113"/>
  <c r="X80" i="113"/>
  <c r="AA44" i="113"/>
  <c r="BC241" i="113"/>
  <c r="W236" i="113"/>
  <c r="BD71" i="113"/>
  <c r="BY245" i="113"/>
  <c r="AE251" i="113"/>
  <c r="AH45" i="64"/>
  <c r="AD32" i="64"/>
  <c r="BT242" i="113"/>
  <c r="BC125" i="64"/>
  <c r="Y56" i="113"/>
  <c r="BK126" i="64"/>
  <c r="BA246" i="113"/>
  <c r="V56" i="113"/>
  <c r="Z122" i="64"/>
  <c r="L245" i="113"/>
  <c r="BW248" i="113"/>
  <c r="L27" i="64"/>
  <c r="AH36" i="64"/>
  <c r="Q241" i="113"/>
  <c r="R33" i="64"/>
  <c r="AD45" i="64"/>
  <c r="BG25" i="64"/>
  <c r="AA20" i="113"/>
  <c r="BD247" i="113"/>
  <c r="BS240" i="113"/>
  <c r="AE246" i="113"/>
  <c r="T31" i="64"/>
  <c r="AV126" i="64"/>
  <c r="R71" i="113"/>
  <c r="AT248" i="113"/>
  <c r="AM245" i="113"/>
  <c r="BB242" i="113"/>
  <c r="U232" i="113"/>
  <c r="BB236" i="113"/>
  <c r="BJ36" i="64"/>
  <c r="AS237" i="113"/>
  <c r="AY240" i="113"/>
  <c r="S34" i="64"/>
  <c r="AL29" i="64"/>
  <c r="AM242" i="113"/>
  <c r="AT35" i="64"/>
  <c r="AG34" i="64"/>
  <c r="BC248" i="113"/>
  <c r="Y26" i="64"/>
  <c r="Z42" i="113"/>
  <c r="AF251" i="113"/>
  <c r="X19" i="113"/>
  <c r="AS236" i="113"/>
  <c r="BE121" i="64"/>
  <c r="AP251" i="113"/>
  <c r="BD80" i="113"/>
  <c r="AD29" i="64"/>
  <c r="AZ28" i="64"/>
  <c r="AL33" i="64"/>
  <c r="AT124" i="64"/>
  <c r="AI247" i="113"/>
  <c r="AB236" i="113"/>
  <c r="J244" i="113"/>
  <c r="M71" i="113"/>
  <c r="BI124" i="64"/>
  <c r="Z26" i="64"/>
  <c r="AL242" i="113"/>
  <c r="BK31" i="64"/>
  <c r="BU241" i="113"/>
  <c r="BW242" i="113"/>
  <c r="Z10" i="64"/>
  <c r="BC71" i="113"/>
  <c r="N250" i="113"/>
  <c r="BA31" i="64"/>
  <c r="R237" i="113"/>
  <c r="W29" i="64"/>
  <c r="AM246" i="113"/>
  <c r="T119" i="64"/>
  <c r="AG40" i="64"/>
  <c r="AL80" i="113"/>
  <c r="BT237" i="113"/>
  <c r="J28" i="64"/>
  <c r="AK240" i="113"/>
  <c r="AI242" i="113"/>
  <c r="AL71" i="113"/>
  <c r="AY244" i="113"/>
  <c r="AN127" i="64"/>
  <c r="T246" i="113"/>
  <c r="Z13" i="113"/>
  <c r="BU240" i="113"/>
  <c r="AG33" i="64"/>
  <c r="W247" i="113"/>
  <c r="BF27" i="64"/>
  <c r="R246" i="113"/>
  <c r="T80" i="113"/>
  <c r="G11" i="64"/>
  <c r="AZ240" i="113"/>
  <c r="AE30" i="64"/>
  <c r="AM237" i="113"/>
  <c r="AT240" i="113"/>
  <c r="J245" i="113"/>
  <c r="Z28" i="64"/>
  <c r="P31" i="64"/>
  <c r="BV250" i="113"/>
  <c r="BA239" i="113"/>
  <c r="AU30" i="64"/>
  <c r="J36" i="64"/>
  <c r="AE35" i="64"/>
  <c r="J251" i="113"/>
  <c r="AO240" i="113"/>
  <c r="AL244" i="113"/>
  <c r="AI240" i="113"/>
  <c r="AH124" i="64"/>
  <c r="P244" i="113"/>
  <c r="AN80" i="113"/>
  <c r="Y28" i="64"/>
  <c r="AR25" i="64"/>
  <c r="AN124" i="64"/>
  <c r="AE33" i="64"/>
  <c r="S236" i="113"/>
  <c r="BC251" i="113"/>
  <c r="J249" i="113"/>
  <c r="Z43" i="113"/>
  <c r="P71" i="113"/>
  <c r="AT30" i="64"/>
  <c r="BU235" i="113"/>
  <c r="BX247" i="113"/>
  <c r="BC28" i="64"/>
  <c r="AA45" i="64"/>
  <c r="AB237" i="113"/>
  <c r="K238" i="113"/>
  <c r="BH126" i="64"/>
  <c r="I71" i="113"/>
  <c r="BG127" i="64"/>
  <c r="AW250" i="113"/>
  <c r="W71" i="113"/>
  <c r="AK26" i="64"/>
  <c r="AK28" i="64"/>
  <c r="T28" i="64"/>
  <c r="AY248" i="113"/>
  <c r="Z27" i="64"/>
  <c r="AR246" i="113"/>
  <c r="P241" i="113"/>
  <c r="X249" i="113"/>
  <c r="AR28" i="64"/>
  <c r="AA247" i="113"/>
  <c r="AS71" i="113"/>
  <c r="U27" i="64"/>
  <c r="AA29" i="64"/>
  <c r="W26" i="64"/>
  <c r="R244" i="113"/>
  <c r="AS28" i="64"/>
  <c r="Z34" i="64"/>
  <c r="AH128" i="64"/>
  <c r="AU245" i="113"/>
  <c r="AD80" i="113"/>
  <c r="BF45" i="64"/>
  <c r="X33" i="64"/>
  <c r="AN122" i="64"/>
  <c r="Z246" i="113"/>
  <c r="BB27" i="64"/>
  <c r="AN236" i="113"/>
  <c r="M119" i="64"/>
  <c r="L247" i="113"/>
  <c r="AT238" i="113"/>
  <c r="AK242" i="113"/>
  <c r="AZ239" i="113"/>
  <c r="AI244" i="113"/>
  <c r="AR237" i="113"/>
  <c r="AM247" i="113"/>
  <c r="AU36" i="64"/>
  <c r="AY250" i="113"/>
  <c r="AV123" i="64"/>
  <c r="AH35" i="64"/>
  <c r="AK235" i="113"/>
  <c r="J250" i="113"/>
  <c r="AK246" i="113"/>
  <c r="AE28" i="64"/>
  <c r="BV249" i="113"/>
  <c r="AM33" i="64"/>
  <c r="AT28" i="64"/>
  <c r="AK25" i="64"/>
  <c r="AK34" i="64"/>
  <c r="BJ124" i="64"/>
  <c r="BE33" i="64"/>
  <c r="W33" i="64"/>
  <c r="AO123" i="64"/>
  <c r="BH124" i="64"/>
  <c r="BT57" i="113"/>
  <c r="BT249" i="113"/>
  <c r="BW71" i="113"/>
  <c r="BI122" i="64"/>
  <c r="BF26" i="64"/>
  <c r="AO26" i="64"/>
  <c r="AL27" i="64"/>
  <c r="AV249" i="113"/>
  <c r="AE27" i="64"/>
  <c r="BA247" i="113"/>
  <c r="BB29" i="64"/>
  <c r="Z80" i="113"/>
  <c r="K237" i="113"/>
  <c r="W248" i="113"/>
  <c r="U246" i="113"/>
  <c r="S238" i="113"/>
  <c r="AN31" i="64"/>
  <c r="BC122" i="64"/>
  <c r="AH30" i="64"/>
  <c r="BI25" i="64"/>
  <c r="AG25" i="64"/>
  <c r="AY29" i="64"/>
  <c r="BI35" i="64"/>
  <c r="AW235" i="113"/>
  <c r="Y238" i="113"/>
  <c r="N238" i="113"/>
  <c r="T241" i="113"/>
  <c r="K242" i="113"/>
  <c r="AL239" i="113"/>
  <c r="AA42" i="113"/>
  <c r="T250" i="113"/>
  <c r="BF122" i="64"/>
  <c r="BA125" i="64"/>
  <c r="T249" i="113"/>
  <c r="AP249" i="113"/>
  <c r="AE239" i="113"/>
  <c r="W44" i="113"/>
  <c r="AI238" i="113"/>
  <c r="K11" i="64"/>
  <c r="X26" i="64"/>
  <c r="AF249" i="113"/>
  <c r="AD248" i="113"/>
  <c r="AT121" i="64"/>
  <c r="J11" i="64"/>
  <c r="T34" i="64"/>
  <c r="BV235" i="113"/>
  <c r="AH248" i="113"/>
  <c r="J239" i="113"/>
  <c r="M127" i="64"/>
  <c r="BT42" i="113"/>
  <c r="W239" i="113"/>
  <c r="AH240" i="113"/>
  <c r="T245" i="113"/>
  <c r="AO249" i="113"/>
  <c r="W13" i="113"/>
  <c r="AU242" i="113"/>
  <c r="M122" i="64"/>
  <c r="Q31" i="64"/>
  <c r="AV250" i="113"/>
  <c r="AT128" i="64"/>
  <c r="AM26" i="64"/>
  <c r="BT56" i="113"/>
  <c r="L26" i="64"/>
  <c r="Q32" i="64"/>
  <c r="AE36" i="64"/>
  <c r="R123" i="64"/>
  <c r="AY245" i="113"/>
  <c r="BT246" i="113"/>
  <c r="AG123" i="64"/>
  <c r="BI123" i="64"/>
  <c r="M31" i="64"/>
  <c r="M241" i="113"/>
  <c r="AD251" i="113"/>
  <c r="AN71" i="113"/>
  <c r="AA26" i="64"/>
  <c r="K45" i="64"/>
  <c r="AG125" i="64"/>
  <c r="Y42" i="113"/>
  <c r="BS236" i="113"/>
  <c r="P80" i="113"/>
  <c r="BI29" i="64"/>
  <c r="BY250" i="113"/>
  <c r="N239" i="113"/>
  <c r="AA124" i="64"/>
  <c r="W240" i="113"/>
  <c r="AG31" i="64"/>
  <c r="AO122" i="64"/>
  <c r="Y13" i="113"/>
  <c r="AG246" i="113"/>
  <c r="Z125" i="64"/>
  <c r="AN240" i="113"/>
  <c r="Y32" i="64"/>
  <c r="BC235" i="113"/>
  <c r="AA33" i="64"/>
  <c r="AB249" i="113"/>
  <c r="L33" i="64"/>
  <c r="L126" i="64"/>
  <c r="G119" i="64"/>
  <c r="L40" i="64"/>
  <c r="BU80" i="113"/>
  <c r="M126" i="64"/>
  <c r="AG122" i="64"/>
  <c r="BS241" i="113"/>
  <c r="BT251" i="113"/>
  <c r="AT239" i="113"/>
  <c r="AA126" i="64"/>
  <c r="AG245" i="113"/>
  <c r="AT34" i="64"/>
  <c r="AV27" i="64"/>
  <c r="K244" i="113"/>
  <c r="AU25" i="64"/>
  <c r="BF10" i="64"/>
  <c r="H40" i="64"/>
  <c r="P34" i="64"/>
  <c r="T30" i="64"/>
  <c r="BU242" i="113"/>
  <c r="AG242" i="113"/>
  <c r="BY235" i="113"/>
  <c r="AR80" i="113"/>
  <c r="R247" i="113"/>
  <c r="J26" i="64"/>
  <c r="X13" i="113"/>
  <c r="BB128" i="64"/>
  <c r="AF80" i="113"/>
  <c r="R128" i="64"/>
  <c r="K34" i="64"/>
  <c r="AA238" i="113"/>
  <c r="AN238" i="113"/>
  <c r="AV125" i="64"/>
  <c r="T35" i="64"/>
  <c r="BU251" i="113"/>
  <c r="J238" i="113"/>
  <c r="W36" i="64"/>
  <c r="R124" i="64"/>
  <c r="AW247" i="113"/>
  <c r="AS241" i="113"/>
  <c r="BX235" i="113"/>
  <c r="BU247" i="113"/>
  <c r="AH33" i="64"/>
  <c r="Z71" i="113"/>
  <c r="T248" i="113"/>
  <c r="S240" i="113"/>
  <c r="AB251" i="113"/>
  <c r="L240" i="113"/>
  <c r="BV80" i="113"/>
  <c r="P246" i="113"/>
  <c r="AO235" i="113"/>
  <c r="AU235" i="113"/>
  <c r="AK27" i="64"/>
  <c r="Y248" i="113"/>
  <c r="AT250" i="113"/>
  <c r="AO125" i="64"/>
  <c r="AH244" i="113"/>
  <c r="P236" i="113"/>
  <c r="J246" i="113"/>
  <c r="X32" i="64"/>
  <c r="AM80" i="113"/>
  <c r="AH241" i="113"/>
  <c r="AF241" i="113"/>
  <c r="AR36" i="64"/>
  <c r="BS71" i="113"/>
  <c r="AV235" i="113"/>
  <c r="Z241" i="113"/>
  <c r="K246" i="113"/>
  <c r="AU251" i="113"/>
  <c r="AA31" i="64"/>
  <c r="S241" i="113"/>
  <c r="AE237" i="113"/>
  <c r="AL25" i="64"/>
  <c r="AY239" i="113"/>
  <c r="AP247" i="113"/>
  <c r="AT31" i="64"/>
  <c r="J33" i="64"/>
  <c r="BF127" i="64"/>
  <c r="AZ250" i="113"/>
  <c r="F119" i="64"/>
  <c r="R122" i="64"/>
  <c r="H119" i="64"/>
  <c r="BY246" i="113"/>
  <c r="AN121" i="64"/>
  <c r="AZ71" i="113"/>
  <c r="BT80" i="113"/>
  <c r="K235" i="113"/>
  <c r="AR242" i="113"/>
  <c r="M237" i="113"/>
  <c r="AF126" i="64"/>
  <c r="Y57" i="113"/>
  <c r="AO71" i="113"/>
  <c r="AY30" i="64"/>
  <c r="Z35" i="64"/>
  <c r="AA248" i="113"/>
  <c r="AM27" i="64"/>
  <c r="Q27" i="64"/>
  <c r="AN123" i="64"/>
  <c r="AA25" i="64"/>
  <c r="X35" i="64"/>
  <c r="K40" i="64"/>
  <c r="L29" i="64"/>
  <c r="Z245" i="113"/>
  <c r="BJ128" i="64"/>
  <c r="AF36" i="64"/>
  <c r="L251" i="113"/>
  <c r="AV128" i="64"/>
  <c r="Q33" i="64"/>
  <c r="Y43" i="113"/>
  <c r="AE249" i="113"/>
  <c r="AI239" i="113"/>
  <c r="BA28" i="64"/>
  <c r="AP236" i="113"/>
  <c r="AZ237" i="113"/>
  <c r="Z248" i="113"/>
  <c r="AN29" i="64"/>
  <c r="AS248" i="113"/>
  <c r="L122" i="64"/>
  <c r="AK237" i="113"/>
  <c r="AG35" i="64"/>
  <c r="AB231" i="113"/>
  <c r="S244" i="113"/>
  <c r="L35" i="64"/>
  <c r="AB71" i="113"/>
  <c r="BB248" i="113"/>
  <c r="BD239" i="113"/>
  <c r="J236" i="113"/>
  <c r="L235" i="113"/>
  <c r="Z33" i="64"/>
  <c r="AK249" i="113"/>
  <c r="BE125" i="64"/>
  <c r="M251" i="113"/>
  <c r="P238" i="113"/>
  <c r="BD240" i="113"/>
  <c r="AF121" i="64"/>
  <c r="J29" i="64"/>
  <c r="AA249" i="113"/>
  <c r="X36" i="64"/>
  <c r="AM235" i="113"/>
  <c r="W58" i="113"/>
  <c r="BA242" i="113"/>
  <c r="AD35" i="64"/>
  <c r="M123" i="64"/>
  <c r="AI248" i="113"/>
  <c r="AW242" i="113"/>
  <c r="BF40" i="64"/>
  <c r="W30" i="64"/>
  <c r="BT244" i="113"/>
  <c r="AM127" i="64"/>
  <c r="AD238" i="113"/>
  <c r="BD251" i="113"/>
  <c r="X29" i="64"/>
  <c r="AD249" i="113"/>
  <c r="P32" i="64"/>
  <c r="AS246" i="113"/>
  <c r="AF31" i="64"/>
  <c r="AL249" i="113"/>
  <c r="BJ123" i="64"/>
  <c r="BU244" i="113"/>
  <c r="BA30" i="64"/>
  <c r="AV121" i="64"/>
  <c r="AT33" i="64"/>
  <c r="AR244" i="113"/>
  <c r="AA122" i="64"/>
  <c r="AA71" i="113"/>
  <c r="AB58" i="113"/>
  <c r="Y126" i="64"/>
  <c r="AV28" i="64"/>
  <c r="S126" i="64"/>
  <c r="AT27" i="64"/>
  <c r="X247" i="113"/>
  <c r="AM124" i="64"/>
  <c r="AU28" i="64"/>
  <c r="U249" i="113"/>
  <c r="T240" i="113"/>
  <c r="BX244" i="113"/>
  <c r="BX237" i="113"/>
  <c r="AV238" i="113"/>
  <c r="AI245" i="113"/>
  <c r="BI125" i="64"/>
  <c r="Y58" i="113"/>
  <c r="W31" i="64"/>
  <c r="BU250" i="113"/>
  <c r="BT245" i="113"/>
  <c r="L30" i="64"/>
  <c r="T126" i="64"/>
  <c r="AZ245" i="113"/>
  <c r="AA43" i="113"/>
  <c r="AC40" i="64"/>
  <c r="BF125" i="64"/>
  <c r="AT36" i="64"/>
  <c r="AK238" i="113"/>
  <c r="AN239" i="113"/>
  <c r="Z236" i="113"/>
  <c r="H11" i="64"/>
  <c r="Z40" i="64"/>
  <c r="AU250" i="113"/>
  <c r="AE240" i="113"/>
  <c r="AA251" i="113"/>
  <c r="BY241" i="113"/>
  <c r="K80" i="113"/>
  <c r="AO25" i="64"/>
  <c r="AK248" i="113"/>
  <c r="BG27" i="64"/>
  <c r="M128" i="64"/>
  <c r="BV238" i="113"/>
  <c r="W20" i="113"/>
  <c r="V57" i="113"/>
  <c r="AO36" i="64"/>
  <c r="AA10" i="64"/>
  <c r="BU237" i="113"/>
  <c r="T122" i="64"/>
  <c r="U242" i="113"/>
  <c r="BS244" i="113"/>
  <c r="Y125" i="64"/>
  <c r="S245" i="113"/>
  <c r="BB30" i="64"/>
  <c r="L246" i="113"/>
  <c r="AS80" i="113"/>
  <c r="AM121" i="64"/>
  <c r="T128" i="64"/>
  <c r="AT71" i="113"/>
  <c r="BG128" i="64"/>
  <c r="AT26" i="64"/>
  <c r="W245" i="113"/>
  <c r="AA242" i="113"/>
  <c r="AD241" i="113"/>
  <c r="BA71" i="113"/>
  <c r="W10" i="64"/>
  <c r="AE71" i="113"/>
  <c r="Z238" i="113"/>
  <c r="AV29" i="64"/>
  <c r="BA29" i="64"/>
  <c r="AM29" i="64"/>
  <c r="P247" i="113"/>
  <c r="AD235" i="113"/>
  <c r="BC238" i="113"/>
  <c r="BS251" i="113"/>
  <c r="AB43" i="113"/>
  <c r="X246" i="113"/>
  <c r="AA119" i="64"/>
  <c r="BB237" i="113"/>
  <c r="AA32" i="64"/>
  <c r="T239" i="113"/>
  <c r="L241" i="113"/>
  <c r="T71" i="113"/>
  <c r="AF29" i="64"/>
  <c r="AT127" i="64"/>
  <c r="BY237" i="113"/>
  <c r="AT235" i="113"/>
  <c r="BF34" i="64"/>
  <c r="U231" i="113"/>
  <c r="AP248" i="113"/>
  <c r="AA127" i="64"/>
  <c r="J242" i="113"/>
  <c r="AR26" i="64"/>
  <c r="BX239" i="113"/>
  <c r="BG124" i="64"/>
  <c r="W45" i="64"/>
  <c r="BT235" i="113"/>
  <c r="AP250" i="113"/>
  <c r="AA30" i="64"/>
  <c r="X40" i="64"/>
  <c r="J31" i="64"/>
  <c r="BD236" i="113"/>
  <c r="BY251" i="113"/>
  <c r="BC80" i="113"/>
  <c r="AZ80" i="113"/>
  <c r="BW238" i="113"/>
  <c r="K32" i="64"/>
  <c r="AF236" i="113"/>
  <c r="K28" i="64"/>
  <c r="Q237" i="113"/>
  <c r="AF123" i="64"/>
  <c r="Q245" i="113"/>
  <c r="W238" i="113"/>
  <c r="AN128" i="64"/>
  <c r="AU126" i="64"/>
  <c r="Q251" i="113"/>
  <c r="AV246" i="113"/>
  <c r="AN36" i="64"/>
  <c r="U244" i="113"/>
  <c r="BV242" i="113"/>
  <c r="AA246" i="113"/>
  <c r="J45" i="64"/>
  <c r="AF34" i="64"/>
  <c r="AI241" i="113"/>
  <c r="S242" i="113"/>
  <c r="N241" i="113"/>
  <c r="AO126" i="64"/>
  <c r="AU122" i="64"/>
  <c r="N249" i="113"/>
  <c r="Z14" i="113"/>
  <c r="AV239" i="113"/>
  <c r="BT241" i="113"/>
  <c r="Z247" i="113"/>
  <c r="AZ235" i="113"/>
  <c r="AY237" i="113"/>
  <c r="BB238" i="113"/>
  <c r="Y10" i="64"/>
  <c r="AA125" i="64"/>
  <c r="R126" i="64"/>
  <c r="AO238" i="113"/>
  <c r="AI251" i="113"/>
  <c r="AB56" i="113"/>
  <c r="Y240" i="113"/>
  <c r="BC126" i="64"/>
  <c r="AU34" i="64"/>
  <c r="BX248" i="113"/>
  <c r="U250" i="113"/>
  <c r="AN244" i="113"/>
  <c r="Y249" i="113"/>
  <c r="AF246" i="113"/>
  <c r="AD33" i="64"/>
  <c r="L123" i="64"/>
  <c r="Q238" i="113"/>
  <c r="P240" i="113"/>
  <c r="Y14" i="113"/>
  <c r="BB247" i="113"/>
  <c r="BA121" i="64"/>
  <c r="M248" i="113"/>
  <c r="AK80" i="113"/>
  <c r="Z249" i="113"/>
  <c r="AF27" i="64"/>
  <c r="J240" i="113"/>
  <c r="AR247" i="113"/>
  <c r="BX251" i="113"/>
  <c r="AV245" i="113"/>
  <c r="AU80" i="113"/>
  <c r="AB19" i="113"/>
  <c r="BF126" i="64"/>
  <c r="AE250" i="113"/>
  <c r="AV251" i="113"/>
  <c r="AH127" i="64"/>
  <c r="AO27" i="64"/>
  <c r="L237" i="113"/>
  <c r="S250" i="113"/>
  <c r="P35" i="64"/>
  <c r="AL237" i="113"/>
  <c r="AY249" i="113"/>
  <c r="BT20" i="113"/>
  <c r="AG80" i="113"/>
  <c r="BE27" i="64"/>
  <c r="Y36" i="64"/>
  <c r="BB245" i="113"/>
  <c r="Z242" i="113"/>
  <c r="AR236" i="113"/>
  <c r="AF239" i="113"/>
  <c r="AA236" i="113"/>
  <c r="AH237" i="113"/>
  <c r="AB239" i="113"/>
  <c r="AH126" i="64"/>
  <c r="AW248" i="113"/>
  <c r="AN237" i="113"/>
  <c r="AU249" i="113"/>
  <c r="Q29" i="64"/>
  <c r="BB240" i="113"/>
  <c r="AF35" i="64"/>
  <c r="L36" i="64"/>
  <c r="BD241" i="113"/>
  <c r="Z25" i="64"/>
  <c r="R236" i="113"/>
  <c r="AG124" i="64"/>
  <c r="BT239" i="113"/>
  <c r="Y45" i="64"/>
  <c r="AP231" i="113"/>
  <c r="AW244" i="113"/>
  <c r="K27" i="64"/>
  <c r="M236" i="113"/>
  <c r="X30" i="64"/>
  <c r="BJ34" i="64"/>
  <c r="BF124" i="64"/>
  <c r="AV33" i="64"/>
  <c r="AL248" i="113"/>
  <c r="AT125" i="64"/>
  <c r="AB241" i="113"/>
  <c r="AR239" i="113"/>
  <c r="Y246" i="113"/>
  <c r="BA245" i="113"/>
  <c r="AP238" i="113"/>
  <c r="X238" i="113"/>
  <c r="L34" i="64"/>
  <c r="AA36" i="64"/>
  <c r="P251" i="113"/>
  <c r="AO34" i="64"/>
  <c r="L11" i="64"/>
  <c r="AW288" i="113" l="1"/>
  <c r="AQ58" i="71" s="1"/>
  <c r="AP270" i="113"/>
  <c r="AJ36" i="71" s="1"/>
  <c r="Z140" i="64"/>
  <c r="AB277" i="113"/>
  <c r="BR240" i="113"/>
  <c r="BA148" i="64"/>
  <c r="AV18" i="71" s="1"/>
  <c r="BD123" i="64"/>
  <c r="AN288" i="113"/>
  <c r="AH58" i="71" s="1"/>
  <c r="AB280" i="113"/>
  <c r="AZ272" i="113"/>
  <c r="AT38" i="71" s="1"/>
  <c r="BD45" i="64"/>
  <c r="U288" i="113"/>
  <c r="BD31" i="64"/>
  <c r="BT272" i="113"/>
  <c r="BR242" i="113"/>
  <c r="U270" i="113"/>
  <c r="AT272" i="113"/>
  <c r="AN38" i="71" s="1"/>
  <c r="AA146" i="64"/>
  <c r="AD272" i="113"/>
  <c r="AM148" i="64"/>
  <c r="AH18" i="71" s="1"/>
  <c r="BS288" i="113"/>
  <c r="H137" i="64"/>
  <c r="J7" i="71" s="1"/>
  <c r="BX288" i="113"/>
  <c r="AR288" i="113"/>
  <c r="AL58" i="71" s="1"/>
  <c r="AV148" i="64"/>
  <c r="BU288" i="113"/>
  <c r="BT288" i="113"/>
  <c r="AM272" i="113"/>
  <c r="AG38" i="71" s="1"/>
  <c r="BD29" i="64"/>
  <c r="AF148" i="64"/>
  <c r="L272" i="113"/>
  <c r="M38" i="71" s="1"/>
  <c r="BR236" i="113"/>
  <c r="S288" i="113"/>
  <c r="AB270" i="113"/>
  <c r="BD122" i="64"/>
  <c r="AA140" i="64"/>
  <c r="K272" i="113"/>
  <c r="L38" i="71" s="1"/>
  <c r="AN148" i="64"/>
  <c r="AI18" i="71" s="1"/>
  <c r="H146" i="64"/>
  <c r="J16" i="71" s="1"/>
  <c r="BD33" i="64"/>
  <c r="AV272" i="113"/>
  <c r="AP38" i="71" s="1"/>
  <c r="BR246" i="113"/>
  <c r="AH288" i="113"/>
  <c r="AU272" i="113"/>
  <c r="AO38" i="71" s="1"/>
  <c r="AO272" i="113"/>
  <c r="AI38" i="71" s="1"/>
  <c r="BX272" i="113"/>
  <c r="BR238" i="113"/>
  <c r="X261" i="113"/>
  <c r="BD26" i="64"/>
  <c r="BY272" i="113"/>
  <c r="BD40" i="64"/>
  <c r="K288" i="113"/>
  <c r="L58" i="71" s="1"/>
  <c r="BD119" i="64"/>
  <c r="BD146" i="64" s="1"/>
  <c r="G146" i="64"/>
  <c r="I16" i="71" s="1"/>
  <c r="BD126" i="64"/>
  <c r="BC272" i="113"/>
  <c r="AW38" i="71" s="1"/>
  <c r="Y261" i="113"/>
  <c r="W261" i="113"/>
  <c r="BR239" i="113"/>
  <c r="BV272" i="113"/>
  <c r="J137" i="64"/>
  <c r="L7" i="71" s="1"/>
  <c r="AT148" i="64"/>
  <c r="BP148" i="64" s="1"/>
  <c r="K137" i="64"/>
  <c r="M7" i="71" s="1"/>
  <c r="AW272" i="113"/>
  <c r="AQ38" i="71" s="1"/>
  <c r="AG140" i="64"/>
  <c r="BR250" i="113"/>
  <c r="AK272" i="113"/>
  <c r="AE38" i="71" s="1"/>
  <c r="AI288" i="113"/>
  <c r="M146" i="64"/>
  <c r="O16" i="71" s="1"/>
  <c r="R288" i="113"/>
  <c r="BR71" i="113"/>
  <c r="BU272" i="113"/>
  <c r="BR249" i="113"/>
  <c r="P288" i="113"/>
  <c r="AL288" i="113"/>
  <c r="AF58" i="71" s="1"/>
  <c r="BR251" i="113"/>
  <c r="BD36" i="64"/>
  <c r="BR245" i="113"/>
  <c r="G137" i="64"/>
  <c r="I7" i="71" s="1"/>
  <c r="Z261" i="113"/>
  <c r="AY288" i="113"/>
  <c r="AS58" i="71" s="1"/>
  <c r="BD28" i="64"/>
  <c r="T146" i="64"/>
  <c r="J288" i="113"/>
  <c r="K58" i="71" s="1"/>
  <c r="BR244" i="113"/>
  <c r="BE148" i="64"/>
  <c r="X277" i="113"/>
  <c r="U286" i="113"/>
  <c r="BG140" i="64"/>
  <c r="Y288" i="113"/>
  <c r="M272" i="113"/>
  <c r="N38" i="71" s="1"/>
  <c r="AV288" i="113"/>
  <c r="AP58" i="71" s="1"/>
  <c r="BR241" i="113"/>
  <c r="AF288" i="113"/>
  <c r="Y148" i="64"/>
  <c r="I137" i="64"/>
  <c r="K7" i="71" s="1"/>
  <c r="BD124" i="64"/>
  <c r="V261" i="113"/>
  <c r="AB286" i="113"/>
  <c r="I146" i="64"/>
  <c r="K16" i="71" s="1"/>
  <c r="W277" i="113"/>
  <c r="AN272" i="113"/>
  <c r="AH38" i="71" s="1"/>
  <c r="BB288" i="113"/>
  <c r="AV58" i="71" s="1"/>
  <c r="L140" i="64"/>
  <c r="N10" i="71" s="1"/>
  <c r="V140" i="64"/>
  <c r="X140" i="64"/>
  <c r="A12" i="113"/>
  <c r="U272" i="113"/>
  <c r="W140" i="64"/>
  <c r="AI272" i="113"/>
  <c r="BD127" i="64"/>
  <c r="BD128" i="64"/>
  <c r="AH140" i="64"/>
  <c r="L288" i="113"/>
  <c r="M58" i="71" s="1"/>
  <c r="T148" i="64"/>
  <c r="AO146" i="64"/>
  <c r="AJ16" i="71" s="1"/>
  <c r="W272" i="113"/>
  <c r="BT277" i="113"/>
  <c r="T272" i="113"/>
  <c r="AG288" i="113"/>
  <c r="AU148" i="64"/>
  <c r="AP18" i="71" s="1"/>
  <c r="U140" i="64"/>
  <c r="S148" i="64"/>
  <c r="M288" i="113"/>
  <c r="N58" i="71" s="1"/>
  <c r="Z288" i="113"/>
  <c r="Y277" i="113"/>
  <c r="AA261" i="113"/>
  <c r="AH148" i="64"/>
  <c r="BR237" i="113"/>
  <c r="AG148" i="64"/>
  <c r="AA148" i="64"/>
  <c r="AE272" i="113"/>
  <c r="BB148" i="64"/>
  <c r="AW18" i="71" s="1"/>
  <c r="L146" i="64"/>
  <c r="N16" i="71" s="1"/>
  <c r="BA288" i="113"/>
  <c r="AU58" i="71" s="1"/>
  <c r="AT288" i="113"/>
  <c r="AN58" i="71" s="1"/>
  <c r="AA277" i="113"/>
  <c r="AZ288" i="113"/>
  <c r="AT58" i="71" s="1"/>
  <c r="BY288" i="113"/>
  <c r="A7" i="113"/>
  <c r="BD32" i="64"/>
  <c r="AD140" i="64"/>
  <c r="BC148" i="64"/>
  <c r="AX18" i="71" s="1"/>
  <c r="J140" i="64"/>
  <c r="L10" i="71" s="1"/>
  <c r="BD25" i="64"/>
  <c r="BC146" i="64"/>
  <c r="AX16" i="71" s="1"/>
  <c r="BF148" i="64"/>
  <c r="BG148" i="64"/>
  <c r="BD35" i="64"/>
  <c r="N272" i="113"/>
  <c r="O38" i="71" s="1"/>
  <c r="P272" i="113"/>
  <c r="X288" i="113"/>
  <c r="BD30" i="64"/>
  <c r="BH148" i="64"/>
  <c r="BD27" i="64"/>
  <c r="AF272" i="113"/>
  <c r="Q288" i="113"/>
  <c r="BD34" i="64"/>
  <c r="AK288" i="113"/>
  <c r="AE58" i="71" s="1"/>
  <c r="AB288" i="113"/>
  <c r="S272" i="113"/>
  <c r="BF140" i="64"/>
  <c r="Y272" i="113"/>
  <c r="BR80" i="113"/>
  <c r="AO148" i="64"/>
  <c r="AJ18" i="71" s="1"/>
  <c r="X272" i="113"/>
  <c r="BK148" i="64"/>
  <c r="BD272" i="113"/>
  <c r="AX38" i="71" s="1"/>
  <c r="AM288" i="113"/>
  <c r="AG58" i="71" s="1"/>
  <c r="BR247" i="113"/>
  <c r="N286" i="113"/>
  <c r="O56" i="71" s="1"/>
  <c r="BJ148" i="64"/>
  <c r="AG272" i="113"/>
  <c r="N270" i="113"/>
  <c r="O36" i="71" s="1"/>
  <c r="AO288" i="113"/>
  <c r="AI58" i="71" s="1"/>
  <c r="M148" i="64"/>
  <c r="O18" i="71" s="1"/>
  <c r="AP288" i="113"/>
  <c r="AJ58" i="71" s="1"/>
  <c r="BD270" i="113"/>
  <c r="AX36" i="71" s="1"/>
  <c r="AH272" i="113"/>
  <c r="K140" i="64"/>
  <c r="M10" i="71" s="1"/>
  <c r="BB272" i="113"/>
  <c r="AV38" i="71" s="1"/>
  <c r="AS272" i="113"/>
  <c r="AM38" i="71" s="1"/>
  <c r="BW272" i="113"/>
  <c r="V277" i="113"/>
  <c r="AB261" i="113"/>
  <c r="AB272" i="113"/>
  <c r="T288" i="113"/>
  <c r="A11" i="113"/>
  <c r="AR272" i="113"/>
  <c r="AL38" i="71" s="1"/>
  <c r="AA272" i="113"/>
  <c r="Q272" i="113"/>
  <c r="N288" i="113"/>
  <c r="O58" i="71" s="1"/>
  <c r="AU288" i="113"/>
  <c r="AO58" i="71" s="1"/>
  <c r="AP272" i="113"/>
  <c r="AJ38" i="71" s="1"/>
  <c r="Z272" i="113"/>
  <c r="BC288" i="113"/>
  <c r="AW58" i="71" s="1"/>
  <c r="Z148" i="64"/>
  <c r="W288" i="113"/>
  <c r="BT261" i="113"/>
  <c r="Z277" i="113"/>
  <c r="BI148" i="64"/>
  <c r="AS288" i="113"/>
  <c r="AM58" i="71" s="1"/>
  <c r="BW288" i="113"/>
  <c r="AE288" i="113"/>
  <c r="BR235" i="113"/>
  <c r="BR272" i="113" s="1"/>
  <c r="J272" i="113"/>
  <c r="K38" i="71" s="1"/>
  <c r="C38" i="71" s="1"/>
  <c r="BD125" i="64"/>
  <c r="L148" i="64"/>
  <c r="N18" i="71" s="1"/>
  <c r="BD121" i="64"/>
  <c r="Y140" i="64"/>
  <c r="AD288" i="113"/>
  <c r="AA288" i="113"/>
  <c r="BS272" i="113"/>
  <c r="BR248" i="113"/>
  <c r="M140" i="64"/>
  <c r="O10" i="71" s="1"/>
  <c r="AY272" i="113"/>
  <c r="AS38" i="71" s="1"/>
  <c r="AP286" i="113"/>
  <c r="AJ56" i="71" s="1"/>
  <c r="K146" i="64"/>
  <c r="M16" i="71" s="1"/>
  <c r="BD288" i="113"/>
  <c r="AX58" i="71" s="1"/>
  <c r="AE140" i="64"/>
  <c r="AF140" i="64"/>
  <c r="A231" i="113"/>
  <c r="BA272" i="113"/>
  <c r="AU38" i="71" s="1"/>
  <c r="A232" i="113"/>
  <c r="J146" i="64"/>
  <c r="L16" i="71" s="1"/>
  <c r="R148" i="64"/>
  <c r="AL272" i="113"/>
  <c r="AF38" i="71" s="1"/>
  <c r="R272" i="113"/>
  <c r="BD286" i="113"/>
  <c r="AX56" i="71" s="1"/>
  <c r="F58" i="71"/>
  <c r="H18" i="71"/>
  <c r="AO18" i="71"/>
  <c r="BQ148" i="64"/>
  <c r="L30" i="71"/>
  <c r="DX63" i="104"/>
  <c r="DY6" i="104"/>
  <c r="DX120" i="104"/>
  <c r="L137" i="64"/>
  <c r="N7" i="71" s="1"/>
  <c r="L264" i="113"/>
  <c r="AJ6" i="104"/>
  <c r="AI63" i="104"/>
  <c r="AI120" i="104"/>
  <c r="ES1" i="78"/>
  <c r="ET1" i="89"/>
  <c r="EZ1" i="104"/>
  <c r="DU1" i="78"/>
  <c r="DT1" i="78"/>
  <c r="DP1" i="78"/>
  <c r="DO1" i="78"/>
  <c r="DN1" i="78"/>
  <c r="DM1" i="78"/>
  <c r="DV1" i="89"/>
  <c r="DU1" i="89"/>
  <c r="DQ1" i="89"/>
  <c r="DP1" i="89"/>
  <c r="DO1" i="89"/>
  <c r="DN1" i="89"/>
  <c r="EC1" i="104"/>
  <c r="EB1" i="104"/>
  <c r="EA1" i="104"/>
  <c r="DX1" i="104"/>
  <c r="DW1" i="104"/>
  <c r="DV1" i="104"/>
  <c r="DU1" i="104"/>
  <c r="DT1" i="104"/>
  <c r="BS1" i="78"/>
  <c r="BR1" i="78"/>
  <c r="BQ1" i="78"/>
  <c r="BP1" i="78"/>
  <c r="BT1" i="89"/>
  <c r="BS1" i="89"/>
  <c r="BR1" i="89"/>
  <c r="BQ1" i="89"/>
  <c r="CD1" i="104"/>
  <c r="CA1" i="104"/>
  <c r="BZ1" i="104"/>
  <c r="BY1" i="104"/>
  <c r="BX1" i="104"/>
  <c r="BW1" i="104"/>
  <c r="P1" i="78"/>
  <c r="P1" i="89"/>
  <c r="Q1" i="104"/>
  <c r="BS6" i="78"/>
  <c r="BR6" i="78"/>
  <c r="BQ6" i="78"/>
  <c r="BP6" i="78"/>
  <c r="BT6" i="89"/>
  <c r="BS6" i="89"/>
  <c r="BR6" i="89"/>
  <c r="BQ6" i="89"/>
  <c r="CA6" i="104"/>
  <c r="DX6" i="104" s="1"/>
  <c r="BZ6" i="104"/>
  <c r="DW6" i="104" s="1"/>
  <c r="BY6" i="104"/>
  <c r="DV6" i="104" s="1"/>
  <c r="BX6" i="104"/>
  <c r="DU6" i="104" s="1"/>
  <c r="BW6" i="104"/>
  <c r="DT6" i="104" s="1"/>
  <c r="M11" i="64"/>
  <c r="G58" i="71" l="1"/>
  <c r="C16" i="71"/>
  <c r="BD140" i="64"/>
  <c r="C10" i="71"/>
  <c r="BD148" i="64"/>
  <c r="C18" i="71"/>
  <c r="G38" i="71"/>
  <c r="C58" i="71"/>
  <c r="BR288" i="113"/>
  <c r="H58" i="71"/>
  <c r="F38" i="71"/>
  <c r="H38" i="71"/>
  <c r="AQ18" i="71"/>
  <c r="G18" i="71" s="1"/>
  <c r="BR148" i="64"/>
  <c r="F18" i="71"/>
  <c r="M30" i="71"/>
  <c r="BD11" i="64"/>
  <c r="BD137" i="64" s="1"/>
  <c r="DY120" i="104"/>
  <c r="DY63" i="104"/>
  <c r="DZ6" i="104"/>
  <c r="EZ6" i="104" s="1"/>
  <c r="M137" i="64"/>
  <c r="M264" i="113"/>
  <c r="BV264" i="113"/>
  <c r="AJ120" i="104"/>
  <c r="AJ63" i="104"/>
  <c r="N30" i="71" l="1"/>
  <c r="O7" i="71"/>
  <c r="C7" i="71" s="1"/>
  <c r="DZ63" i="104"/>
  <c r="FE6" i="104"/>
  <c r="DZ120" i="104"/>
  <c r="N264" i="113"/>
  <c r="N278" i="113"/>
  <c r="BH11" i="64"/>
  <c r="O48" i="71" l="1"/>
  <c r="O30" i="71"/>
  <c r="C30" i="71" s="1"/>
  <c r="EZ63" i="104"/>
  <c r="EZ120" i="104"/>
  <c r="BH137" i="64"/>
  <c r="Y7" i="71"/>
  <c r="Y6" i="71"/>
  <c r="Q10" i="71"/>
  <c r="X13" i="71"/>
  <c r="S9" i="71"/>
  <c r="X18" i="71"/>
  <c r="R18" i="71"/>
  <c r="S10" i="71"/>
  <c r="AA8" i="71"/>
  <c r="Y18" i="71"/>
  <c r="S12" i="71"/>
  <c r="AA7" i="71"/>
  <c r="Y17" i="71"/>
  <c r="T7" i="71"/>
  <c r="T12" i="71"/>
  <c r="X6" i="71"/>
  <c r="AA18" i="71"/>
  <c r="Y8" i="71"/>
  <c r="Q12" i="71"/>
  <c r="Q13" i="71"/>
  <c r="T10" i="71"/>
  <c r="W18" i="71"/>
  <c r="R14" i="71"/>
  <c r="X7" i="71"/>
  <c r="W12" i="71"/>
  <c r="Q14" i="71"/>
  <c r="Z7" i="71"/>
  <c r="X17" i="71"/>
  <c r="Y10" i="71"/>
  <c r="Z6" i="71"/>
  <c r="R10" i="71"/>
  <c r="AA9" i="71"/>
  <c r="S13" i="71"/>
  <c r="R13" i="71"/>
  <c r="Y13" i="71"/>
  <c r="R7" i="71"/>
  <c r="W9" i="71"/>
  <c r="Y12" i="71"/>
  <c r="R15" i="71"/>
  <c r="S15" i="71"/>
  <c r="Z18" i="71"/>
  <c r="S14" i="71"/>
  <c r="Z17" i="71"/>
  <c r="W10" i="71"/>
  <c r="R17" i="71"/>
  <c r="X8" i="71"/>
  <c r="T13" i="71"/>
  <c r="R9" i="71"/>
  <c r="Q15" i="71"/>
  <c r="Z8" i="71"/>
  <c r="Q7" i="71"/>
  <c r="X10" i="71"/>
  <c r="X9" i="71"/>
  <c r="W17" i="71"/>
  <c r="S17" i="71"/>
  <c r="Q18" i="71"/>
  <c r="W13" i="71"/>
  <c r="S7" i="71"/>
  <c r="Q17" i="71"/>
  <c r="Z10" i="71"/>
  <c r="W7" i="71"/>
  <c r="AA13" i="71"/>
  <c r="AA17" i="71"/>
  <c r="X12" i="71"/>
  <c r="T17" i="71"/>
  <c r="Y9" i="71"/>
  <c r="T15" i="71"/>
  <c r="T18" i="71"/>
  <c r="AA10" i="71"/>
  <c r="T9" i="71"/>
  <c r="Z13" i="71"/>
  <c r="W6" i="71"/>
  <c r="S18" i="71"/>
  <c r="T14" i="71"/>
  <c r="W8" i="71"/>
  <c r="Z9" i="71"/>
  <c r="AA6" i="71"/>
  <c r="Q9" i="71"/>
  <c r="R12" i="71"/>
  <c r="P15" i="71" l="1"/>
  <c r="P10" i="71"/>
  <c r="P12" i="71"/>
  <c r="V13" i="71"/>
  <c r="U13" i="71"/>
  <c r="AC17" i="71"/>
  <c r="AB17" i="71"/>
  <c r="P14" i="71"/>
  <c r="V16" i="71"/>
  <c r="V18" i="71"/>
  <c r="U18" i="71"/>
  <c r="P13" i="71"/>
  <c r="P7" i="71"/>
  <c r="V17" i="71"/>
  <c r="U17" i="71"/>
  <c r="AB8" i="71"/>
  <c r="AC8" i="71"/>
  <c r="P17" i="71"/>
  <c r="AC6" i="71"/>
  <c r="AB6" i="71"/>
  <c r="U12" i="71"/>
  <c r="V12" i="71"/>
  <c r="U7" i="71"/>
  <c r="V7" i="71"/>
  <c r="P9" i="71"/>
  <c r="AB10" i="71"/>
  <c r="AC10" i="71"/>
  <c r="AC18" i="71"/>
  <c r="AB18" i="71"/>
  <c r="U10" i="71"/>
  <c r="V10" i="71"/>
  <c r="P18" i="71"/>
  <c r="AC7" i="71"/>
  <c r="AB7" i="71"/>
  <c r="V9" i="71"/>
  <c r="U9" i="71"/>
  <c r="AB13" i="71"/>
  <c r="AC13" i="71"/>
  <c r="U15" i="71"/>
  <c r="V15" i="71"/>
  <c r="U14" i="71"/>
  <c r="V14" i="71"/>
  <c r="AB9" i="71"/>
  <c r="AC9" i="71"/>
  <c r="AA50" i="71"/>
  <c r="AA30" i="71"/>
  <c r="W47" i="71"/>
  <c r="W27" i="71"/>
  <c r="Z48" i="71"/>
  <c r="Z28" i="71"/>
  <c r="X48" i="71"/>
  <c r="X28" i="71"/>
  <c r="Z57" i="71"/>
  <c r="Z37" i="71"/>
  <c r="Z26" i="71"/>
  <c r="Z46" i="71"/>
  <c r="Y48" i="71"/>
  <c r="Y28" i="71"/>
  <c r="AA28" i="71"/>
  <c r="AA48" i="71"/>
  <c r="Z50" i="71"/>
  <c r="Z30" i="71"/>
  <c r="X47" i="71"/>
  <c r="X27" i="71"/>
  <c r="AA46" i="71"/>
  <c r="AA26" i="71"/>
  <c r="W48" i="71"/>
  <c r="W28" i="71"/>
  <c r="X30" i="71"/>
  <c r="X50" i="71"/>
  <c r="Y52" i="71"/>
  <c r="Y32" i="71"/>
  <c r="Y57" i="71"/>
  <c r="Y37" i="71"/>
  <c r="Y26" i="71"/>
  <c r="Y46" i="71"/>
  <c r="Z53" i="71"/>
  <c r="Z33" i="71"/>
  <c r="Y49" i="71"/>
  <c r="Y29" i="71"/>
  <c r="W57" i="71"/>
  <c r="W37" i="71"/>
  <c r="W29" i="71"/>
  <c r="W49" i="71"/>
  <c r="Y50" i="71"/>
  <c r="Y30" i="71"/>
  <c r="W58" i="71"/>
  <c r="W38" i="71"/>
  <c r="AA27" i="71"/>
  <c r="AA47" i="71"/>
  <c r="X58" i="71"/>
  <c r="X38" i="71"/>
  <c r="AA57" i="71"/>
  <c r="AA37" i="71"/>
  <c r="Y53" i="71"/>
  <c r="Y33" i="71"/>
  <c r="X37" i="71"/>
  <c r="X57" i="71"/>
  <c r="AA58" i="71"/>
  <c r="AA38" i="71"/>
  <c r="W46" i="71"/>
  <c r="W26" i="71"/>
  <c r="W53" i="71"/>
  <c r="W33" i="71"/>
  <c r="W50" i="71"/>
  <c r="W30" i="71"/>
  <c r="Z58" i="71"/>
  <c r="Z38" i="71"/>
  <c r="AA49" i="71"/>
  <c r="AA29" i="71"/>
  <c r="Z27" i="71"/>
  <c r="Z47" i="71"/>
  <c r="Z49" i="71"/>
  <c r="Z29" i="71"/>
  <c r="X32" i="71"/>
  <c r="X52" i="71"/>
  <c r="AA33" i="71"/>
  <c r="AA53" i="71"/>
  <c r="X49" i="71"/>
  <c r="X29" i="71"/>
  <c r="X33" i="71"/>
  <c r="X53" i="71"/>
  <c r="W32" i="71"/>
  <c r="W52" i="71"/>
  <c r="X26" i="71"/>
  <c r="X46" i="71"/>
  <c r="Y38" i="71"/>
  <c r="Y58" i="71"/>
  <c r="Y27" i="71"/>
  <c r="Y47" i="71"/>
  <c r="R35" i="71" l="1"/>
  <c r="Q50" i="71"/>
  <c r="R54" i="71"/>
  <c r="R55" i="71"/>
  <c r="Q32" i="71"/>
  <c r="R30" i="71"/>
  <c r="T29" i="71"/>
  <c r="S33" i="71"/>
  <c r="S27" i="71"/>
  <c r="Q57" i="71"/>
  <c r="R58" i="71"/>
  <c r="R57" i="71"/>
  <c r="S35" i="71"/>
  <c r="S32" i="71"/>
  <c r="Q52" i="71"/>
  <c r="R50" i="71"/>
  <c r="T49" i="71"/>
  <c r="T33" i="71"/>
  <c r="S53" i="71"/>
  <c r="S47" i="71"/>
  <c r="Q35" i="71"/>
  <c r="T35" i="71"/>
  <c r="S55" i="71"/>
  <c r="Q55" i="71"/>
  <c r="T55" i="71"/>
  <c r="T38" i="71"/>
  <c r="S50" i="71"/>
  <c r="T54" i="71"/>
  <c r="Q54" i="71"/>
  <c r="S29" i="71"/>
  <c r="T27" i="71"/>
  <c r="R33" i="71"/>
  <c r="R29" i="71"/>
  <c r="Q33" i="71"/>
  <c r="Q27" i="71"/>
  <c r="S49" i="71"/>
  <c r="T58" i="71"/>
  <c r="S30" i="71"/>
  <c r="S57" i="71"/>
  <c r="Q37" i="71"/>
  <c r="T53" i="71"/>
  <c r="T47" i="71"/>
  <c r="R27" i="71"/>
  <c r="R49" i="71"/>
  <c r="Q53" i="71"/>
  <c r="Q47" i="71"/>
  <c r="T32" i="71"/>
  <c r="S34" i="71"/>
  <c r="T50" i="71"/>
  <c r="S37" i="71"/>
  <c r="S52" i="71"/>
  <c r="R53" i="71"/>
  <c r="Q38" i="71"/>
  <c r="Q29" i="71"/>
  <c r="R47" i="71"/>
  <c r="T37" i="71"/>
  <c r="R32" i="71"/>
  <c r="T52" i="71"/>
  <c r="S54" i="71"/>
  <c r="S38" i="71"/>
  <c r="T30" i="71"/>
  <c r="Q58" i="71"/>
  <c r="T34" i="71"/>
  <c r="Q49" i="71"/>
  <c r="Q34" i="71"/>
  <c r="T57" i="71"/>
  <c r="R52" i="71"/>
  <c r="R38" i="71"/>
  <c r="R37" i="71"/>
  <c r="S58" i="71"/>
  <c r="Q30" i="71"/>
  <c r="R34" i="71"/>
  <c r="E17" i="71"/>
  <c r="E6" i="71"/>
  <c r="E7" i="71"/>
  <c r="E10" i="71"/>
  <c r="D17" i="71"/>
  <c r="D18" i="71"/>
  <c r="E13" i="71"/>
  <c r="E18" i="71"/>
  <c r="D13" i="71"/>
  <c r="D14" i="71"/>
  <c r="E8" i="71"/>
  <c r="E9" i="71"/>
  <c r="V35" i="71"/>
  <c r="U35" i="71"/>
  <c r="P38" i="71"/>
  <c r="AC38" i="71"/>
  <c r="AB38" i="71"/>
  <c r="V52" i="71"/>
  <c r="U52" i="71"/>
  <c r="AC33" i="71"/>
  <c r="AB33" i="71"/>
  <c r="P49" i="71"/>
  <c r="V47" i="71"/>
  <c r="U47" i="71"/>
  <c r="AC27" i="71"/>
  <c r="AB27" i="71"/>
  <c r="AC37" i="71"/>
  <c r="AB37" i="71"/>
  <c r="P58" i="71"/>
  <c r="AC58" i="71"/>
  <c r="AB58" i="71"/>
  <c r="P30" i="71"/>
  <c r="AC53" i="71"/>
  <c r="AB53" i="71"/>
  <c r="V27" i="71"/>
  <c r="U27" i="71"/>
  <c r="AC57" i="71"/>
  <c r="AB57" i="71"/>
  <c r="D12" i="71"/>
  <c r="P50" i="71"/>
  <c r="V34" i="71"/>
  <c r="U34" i="71"/>
  <c r="V30" i="71"/>
  <c r="U30" i="71"/>
  <c r="V36" i="71"/>
  <c r="P57" i="71"/>
  <c r="V54" i="71"/>
  <c r="U54" i="71"/>
  <c r="P33" i="71"/>
  <c r="V55" i="71"/>
  <c r="U55" i="71"/>
  <c r="P35" i="71"/>
  <c r="AC48" i="71"/>
  <c r="AB48" i="71"/>
  <c r="V38" i="71"/>
  <c r="U38" i="71"/>
  <c r="U50" i="71"/>
  <c r="V50" i="71"/>
  <c r="V56" i="71"/>
  <c r="P34" i="71"/>
  <c r="P37" i="71"/>
  <c r="P53" i="71"/>
  <c r="D9" i="71"/>
  <c r="D7" i="71"/>
  <c r="D10" i="71"/>
  <c r="P55" i="71"/>
  <c r="AC28" i="71"/>
  <c r="AB28" i="71"/>
  <c r="V58" i="71"/>
  <c r="U58" i="71"/>
  <c r="V37" i="71"/>
  <c r="U37" i="71"/>
  <c r="P54" i="71"/>
  <c r="AC49" i="71"/>
  <c r="AB49" i="71"/>
  <c r="P32" i="71"/>
  <c r="P27" i="71"/>
  <c r="U33" i="71"/>
  <c r="V33" i="71"/>
  <c r="AC30" i="71"/>
  <c r="AB30" i="71"/>
  <c r="AC26" i="71"/>
  <c r="AB26" i="71"/>
  <c r="U57" i="71"/>
  <c r="V57" i="71"/>
  <c r="AC29" i="71"/>
  <c r="AB29" i="71"/>
  <c r="P52" i="71"/>
  <c r="P47" i="71"/>
  <c r="V53" i="71"/>
  <c r="U53" i="71"/>
  <c r="U29" i="71"/>
  <c r="V29" i="71"/>
  <c r="D15" i="71"/>
  <c r="AC50" i="71"/>
  <c r="AB50" i="71"/>
  <c r="AC46" i="71"/>
  <c r="AB46" i="71"/>
  <c r="V32" i="71"/>
  <c r="U32" i="71"/>
  <c r="P29" i="71"/>
  <c r="AC47" i="71"/>
  <c r="AB47" i="71"/>
  <c r="V49" i="71"/>
  <c r="U49" i="71"/>
  <c r="E30" i="71" l="1"/>
  <c r="E46" i="71"/>
  <c r="D47" i="71"/>
  <c r="D52" i="71"/>
  <c r="D27" i="71"/>
  <c r="E37" i="71"/>
  <c r="E38" i="71"/>
  <c r="D34" i="71"/>
  <c r="E27" i="71"/>
  <c r="E33" i="71"/>
  <c r="E29" i="71"/>
  <c r="E49" i="71"/>
  <c r="D54" i="71"/>
  <c r="E57" i="71"/>
  <c r="E48" i="71"/>
  <c r="D29" i="71"/>
  <c r="E26" i="71"/>
  <c r="D53" i="71"/>
  <c r="E50" i="71"/>
  <c r="E28" i="71"/>
  <c r="E53" i="71"/>
  <c r="D33" i="71"/>
  <c r="E47" i="71"/>
  <c r="E58" i="71"/>
  <c r="D35" i="71"/>
  <c r="D57" i="71"/>
  <c r="D55" i="71"/>
  <c r="D37" i="71"/>
  <c r="D58" i="71"/>
  <c r="D32" i="71"/>
  <c r="D30" i="71"/>
  <c r="D38" i="71"/>
  <c r="D49" i="71"/>
  <c r="D50" i="71"/>
  <c r="BC30" i="78" l="1"/>
  <c r="BD30" i="78" s="1"/>
  <c r="BE30" i="78" s="1"/>
  <c r="BF30" i="78" s="1"/>
  <c r="BG30" i="78" s="1"/>
  <c r="BH30" i="78" s="1"/>
  <c r="BX30" i="78"/>
  <c r="BY30" i="78" s="1"/>
  <c r="BZ30" i="78" s="1"/>
  <c r="CA30" i="78" s="1"/>
  <c r="CB30" i="78" s="1"/>
  <c r="CC30" i="78" s="1"/>
  <c r="CE30" i="78"/>
  <c r="CF30" i="78" s="1"/>
  <c r="CG30" i="78" s="1"/>
  <c r="CH30" i="78" s="1"/>
  <c r="CI30" i="78" s="1"/>
  <c r="CJ30" i="78" s="1"/>
  <c r="CL30" i="78"/>
  <c r="CM30" i="78" s="1"/>
  <c r="CN30" i="78" s="1"/>
  <c r="CO30" i="78" s="1"/>
  <c r="CP30" i="78" s="1"/>
  <c r="CQ30" i="78" s="1"/>
  <c r="BC31" i="78"/>
  <c r="BD31" i="78" s="1"/>
  <c r="BE31" i="78" s="1"/>
  <c r="BF31" i="78" s="1"/>
  <c r="BG31" i="78" s="1"/>
  <c r="BH31" i="78" s="1"/>
  <c r="BX31" i="78"/>
  <c r="BY31" i="78" s="1"/>
  <c r="BZ31" i="78" s="1"/>
  <c r="CA31" i="78" s="1"/>
  <c r="CB31" i="78" s="1"/>
  <c r="CC31" i="78" s="1"/>
  <c r="CE31" i="78"/>
  <c r="CF31" i="78" s="1"/>
  <c r="CG31" i="78" s="1"/>
  <c r="CH31" i="78" s="1"/>
  <c r="CI31" i="78" s="1"/>
  <c r="CJ31" i="78" s="1"/>
  <c r="CL31" i="78"/>
  <c r="CM31" i="78" s="1"/>
  <c r="CN31" i="78" s="1"/>
  <c r="CO31" i="78" s="1"/>
  <c r="CP31" i="78" s="1"/>
  <c r="CQ31" i="78" s="1"/>
  <c r="BC21" i="78"/>
  <c r="BD21" i="78" s="1"/>
  <c r="BE21" i="78" s="1"/>
  <c r="BF21" i="78" s="1"/>
  <c r="BG21" i="78" s="1"/>
  <c r="BH21" i="78" s="1"/>
  <c r="BX21" i="78"/>
  <c r="BY21" i="78" s="1"/>
  <c r="BZ21" i="78" s="1"/>
  <c r="CA21" i="78" s="1"/>
  <c r="CB21" i="78" s="1"/>
  <c r="CC21" i="78" s="1"/>
  <c r="CE21" i="78"/>
  <c r="CF21" i="78" s="1"/>
  <c r="CG21" i="78" s="1"/>
  <c r="CH21" i="78" s="1"/>
  <c r="CI21" i="78" s="1"/>
  <c r="CJ21" i="78" s="1"/>
  <c r="CL21" i="78"/>
  <c r="CM21" i="78" s="1"/>
  <c r="CN21" i="78" s="1"/>
  <c r="CO21" i="78" s="1"/>
  <c r="CP21" i="78" s="1"/>
  <c r="CQ21" i="78" s="1"/>
  <c r="BC22" i="78"/>
  <c r="BD22" i="78" s="1"/>
  <c r="BE22" i="78" s="1"/>
  <c r="BF22" i="78" s="1"/>
  <c r="BG22" i="78" s="1"/>
  <c r="BH22" i="78" s="1"/>
  <c r="BX22" i="78"/>
  <c r="BY22" i="78" s="1"/>
  <c r="BZ22" i="78" s="1"/>
  <c r="CA22" i="78" s="1"/>
  <c r="CB22" i="78" s="1"/>
  <c r="CC22" i="78" s="1"/>
  <c r="CE22" i="78"/>
  <c r="CF22" i="78" s="1"/>
  <c r="CG22" i="78" s="1"/>
  <c r="CH22" i="78" s="1"/>
  <c r="CI22" i="78" s="1"/>
  <c r="CJ22" i="78" s="1"/>
  <c r="CL22" i="78"/>
  <c r="CM22" i="78" s="1"/>
  <c r="CN22" i="78" s="1"/>
  <c r="CO22" i="78" s="1"/>
  <c r="CP22" i="78" s="1"/>
  <c r="CQ22" i="78" s="1"/>
  <c r="CL9" i="89"/>
  <c r="BD9" i="89"/>
  <c r="BE9" i="89" s="1"/>
  <c r="BF9" i="89" s="1"/>
  <c r="BG9" i="89" s="1"/>
  <c r="BH9" i="89" s="1"/>
  <c r="BI9" i="89" s="1"/>
  <c r="BX9" i="89"/>
  <c r="BC12" i="78"/>
  <c r="BD12" i="78" s="1"/>
  <c r="BE12" i="78" s="1"/>
  <c r="BF12" i="78" s="1"/>
  <c r="BG12" i="78" s="1"/>
  <c r="BH12" i="78" s="1"/>
  <c r="BX12" i="78"/>
  <c r="BY12" i="78" s="1"/>
  <c r="BZ12" i="78" s="1"/>
  <c r="CA12" i="78" s="1"/>
  <c r="CB12" i="78" s="1"/>
  <c r="CC12" i="78" s="1"/>
  <c r="CE12" i="78"/>
  <c r="CF12" i="78" s="1"/>
  <c r="CG12" i="78" s="1"/>
  <c r="CH12" i="78" s="1"/>
  <c r="CI12" i="78" s="1"/>
  <c r="CJ12" i="78" s="1"/>
  <c r="CL12" i="78"/>
  <c r="CM12" i="78" s="1"/>
  <c r="CN12" i="78" s="1"/>
  <c r="CO12" i="78" s="1"/>
  <c r="CP12" i="78" s="1"/>
  <c r="CQ12" i="78" s="1"/>
  <c r="BC13" i="78"/>
  <c r="BD13" i="78" s="1"/>
  <c r="BE13" i="78" s="1"/>
  <c r="BF13" i="78" s="1"/>
  <c r="BG13" i="78" s="1"/>
  <c r="BH13" i="78" s="1"/>
  <c r="BX13" i="78"/>
  <c r="BY13" i="78" s="1"/>
  <c r="BZ13" i="78" s="1"/>
  <c r="CA13" i="78" s="1"/>
  <c r="CB13" i="78" s="1"/>
  <c r="CC13" i="78" s="1"/>
  <c r="CE13" i="78"/>
  <c r="CF13" i="78" s="1"/>
  <c r="CG13" i="78" s="1"/>
  <c r="CH13" i="78" s="1"/>
  <c r="CI13" i="78" s="1"/>
  <c r="CJ13" i="78" s="1"/>
  <c r="CL13" i="78"/>
  <c r="CM13" i="78" s="1"/>
  <c r="CN13" i="78" s="1"/>
  <c r="CO13" i="78" s="1"/>
  <c r="CP13" i="78" s="1"/>
  <c r="CQ13" i="78" s="1"/>
  <c r="BY9" i="89" l="1"/>
  <c r="BZ9" i="89" s="1"/>
  <c r="CA9" i="89" s="1"/>
  <c r="CB9" i="89" s="1"/>
  <c r="CC9" i="89" s="1"/>
  <c r="CD9" i="89" s="1"/>
  <c r="DU9" i="89"/>
  <c r="CM9" i="89"/>
  <c r="CN9" i="89" s="1"/>
  <c r="CO9" i="89" s="1"/>
  <c r="CP9" i="89" s="1"/>
  <c r="CQ9" i="89" s="1"/>
  <c r="CR9" i="89" s="1"/>
  <c r="EI9" i="89"/>
  <c r="BJ22" i="78"/>
  <c r="BK22" i="78" s="1"/>
  <c r="BL22" i="78" s="1"/>
  <c r="BM22" i="78" s="1"/>
  <c r="BN22" i="78" s="1"/>
  <c r="BO22" i="78" s="1"/>
  <c r="I22" i="78"/>
  <c r="I13" i="78"/>
  <c r="AU13" i="78" l="1"/>
  <c r="AX13" i="78" s="1"/>
  <c r="BA13" i="78" s="1"/>
  <c r="AU22" i="78"/>
  <c r="AX22" i="78" s="1"/>
  <c r="BA22" i="78" s="1"/>
  <c r="AV22" i="78"/>
  <c r="I31" i="78"/>
  <c r="BJ31" i="78"/>
  <c r="BK31" i="78" s="1"/>
  <c r="BL31" i="78" s="1"/>
  <c r="BM31" i="78" s="1"/>
  <c r="BN31" i="78" s="1"/>
  <c r="BO31" i="78" s="1"/>
  <c r="BJ13" i="78"/>
  <c r="BK13" i="78" s="1"/>
  <c r="BL13" i="78" s="1"/>
  <c r="BM13" i="78" s="1"/>
  <c r="BN13" i="78" s="1"/>
  <c r="BO13" i="78" s="1"/>
  <c r="AV13" i="78"/>
  <c r="AU31" i="78" l="1"/>
  <c r="AX31" i="78" s="1"/>
  <c r="BA31" i="78" s="1"/>
  <c r="AW13" i="78"/>
  <c r="AZ13" i="78" s="1"/>
  <c r="AY13" i="78"/>
  <c r="AW22" i="78"/>
  <c r="AZ22" i="78" s="1"/>
  <c r="AY22" i="78"/>
  <c r="CR41" i="104"/>
  <c r="EO41" i="104" s="1"/>
  <c r="CD41" i="104"/>
  <c r="EA41" i="104" s="1"/>
  <c r="CR40" i="104"/>
  <c r="EO40" i="104" s="1"/>
  <c r="CD40" i="104"/>
  <c r="EA40" i="104" s="1"/>
  <c r="CR39" i="104"/>
  <c r="EO39" i="104" s="1"/>
  <c r="CD39" i="104"/>
  <c r="EA39" i="104" s="1"/>
  <c r="CR38" i="104"/>
  <c r="EO38" i="104" s="1"/>
  <c r="CD38" i="104"/>
  <c r="EA38" i="104" s="1"/>
  <c r="CR37" i="104"/>
  <c r="EO37" i="104" s="1"/>
  <c r="CD37" i="104"/>
  <c r="EA37" i="104" s="1"/>
  <c r="CR36" i="104"/>
  <c r="EO36" i="104" s="1"/>
  <c r="CD36" i="104"/>
  <c r="EA36" i="104" s="1"/>
  <c r="CR35" i="104"/>
  <c r="EO35" i="104" s="1"/>
  <c r="CD35" i="104"/>
  <c r="EA35" i="104" s="1"/>
  <c r="CR34" i="104" l="1"/>
  <c r="EO34" i="104" s="1"/>
  <c r="T91" i="104"/>
  <c r="CR91" i="104" s="1"/>
  <c r="EO91" i="104" s="1"/>
  <c r="CD34" i="104"/>
  <c r="EA34" i="104" s="1"/>
  <c r="H34" i="104"/>
  <c r="AV31" i="78"/>
  <c r="CK35" i="104"/>
  <c r="EH35" i="104" s="1"/>
  <c r="CK38" i="104"/>
  <c r="EH38" i="104" s="1"/>
  <c r="CK41" i="104"/>
  <c r="EH41" i="104" s="1"/>
  <c r="CK36" i="104"/>
  <c r="EH36" i="104" s="1"/>
  <c r="CK39" i="104"/>
  <c r="EH39" i="104" s="1"/>
  <c r="CK34" i="104"/>
  <c r="EH34" i="104" s="1"/>
  <c r="CK40" i="104"/>
  <c r="EH40" i="104" s="1"/>
  <c r="CK37" i="104"/>
  <c r="EH37" i="104" s="1"/>
  <c r="CE39" i="104"/>
  <c r="EB39" i="104" s="1"/>
  <c r="CS36" i="104"/>
  <c r="EP36" i="104" s="1"/>
  <c r="CE38" i="104"/>
  <c r="EB38" i="104" s="1"/>
  <c r="CS40" i="104"/>
  <c r="EP40" i="104" s="1"/>
  <c r="CE41" i="104"/>
  <c r="EB41" i="104" s="1"/>
  <c r="CE35" i="104"/>
  <c r="EB35" i="104" s="1"/>
  <c r="CS37" i="104"/>
  <c r="EP37" i="104" s="1"/>
  <c r="CS41" i="104"/>
  <c r="EP41" i="104" s="1"/>
  <c r="CS35" i="104"/>
  <c r="EP35" i="104" s="1"/>
  <c r="CE37" i="104"/>
  <c r="EB37" i="104" s="1"/>
  <c r="CS39" i="104"/>
  <c r="EP39" i="104" s="1"/>
  <c r="CE36" i="104"/>
  <c r="EB36" i="104" s="1"/>
  <c r="CS38" i="104"/>
  <c r="EP38" i="104" s="1"/>
  <c r="CE40" i="104"/>
  <c r="EB40" i="104" s="1"/>
  <c r="R149" i="104"/>
  <c r="CD149" i="104" s="1"/>
  <c r="EA149" i="104" s="1"/>
  <c r="R92" i="104"/>
  <c r="CD92" i="104" s="1"/>
  <c r="EA92" i="104" s="1"/>
  <c r="S150" i="104"/>
  <c r="CK150" i="104" s="1"/>
  <c r="EH150" i="104" s="1"/>
  <c r="S93" i="104"/>
  <c r="CK93" i="104" s="1"/>
  <c r="EH93" i="104" s="1"/>
  <c r="T94" i="104"/>
  <c r="CR94" i="104" s="1"/>
  <c r="EO94" i="104" s="1"/>
  <c r="CR151" i="104"/>
  <c r="EO151" i="104" s="1"/>
  <c r="R153" i="104"/>
  <c r="CD153" i="104" s="1"/>
  <c r="EA153" i="104" s="1"/>
  <c r="R96" i="104"/>
  <c r="CD96" i="104" s="1"/>
  <c r="EA96" i="104" s="1"/>
  <c r="S154" i="104"/>
  <c r="CK154" i="104" s="1"/>
  <c r="EH154" i="104" s="1"/>
  <c r="S97" i="104"/>
  <c r="CK97" i="104" s="1"/>
  <c r="EH97" i="104" s="1"/>
  <c r="CR155" i="104"/>
  <c r="EO155" i="104" s="1"/>
  <c r="T98" i="104"/>
  <c r="CR98" i="104" s="1"/>
  <c r="EO98" i="104" s="1"/>
  <c r="R148" i="104"/>
  <c r="CD148" i="104" s="1"/>
  <c r="EA148" i="104" s="1"/>
  <c r="R91" i="104"/>
  <c r="CD91" i="104" s="1"/>
  <c r="EA91" i="104" s="1"/>
  <c r="S149" i="104"/>
  <c r="CK149" i="104" s="1"/>
  <c r="EH149" i="104" s="1"/>
  <c r="S92" i="104"/>
  <c r="CK92" i="104" s="1"/>
  <c r="EH92" i="104" s="1"/>
  <c r="CR150" i="104"/>
  <c r="EO150" i="104" s="1"/>
  <c r="T93" i="104"/>
  <c r="CR93" i="104" s="1"/>
  <c r="EO93" i="104" s="1"/>
  <c r="R152" i="104"/>
  <c r="CD152" i="104" s="1"/>
  <c r="EA152" i="104" s="1"/>
  <c r="R95" i="104"/>
  <c r="CD95" i="104" s="1"/>
  <c r="EA95" i="104" s="1"/>
  <c r="S153" i="104"/>
  <c r="CK153" i="104" s="1"/>
  <c r="EH153" i="104" s="1"/>
  <c r="S96" i="104"/>
  <c r="CK96" i="104" s="1"/>
  <c r="EH96" i="104" s="1"/>
  <c r="CR154" i="104"/>
  <c r="EO154" i="104" s="1"/>
  <c r="T97" i="104"/>
  <c r="CR97" i="104" s="1"/>
  <c r="EO97" i="104" s="1"/>
  <c r="S91" i="104"/>
  <c r="CK91" i="104" s="1"/>
  <c r="EH91" i="104" s="1"/>
  <c r="S148" i="104"/>
  <c r="CK148" i="104" s="1"/>
  <c r="EH148" i="104" s="1"/>
  <c r="T92" i="104"/>
  <c r="CR92" i="104" s="1"/>
  <c r="EO92" i="104" s="1"/>
  <c r="CR149" i="104"/>
  <c r="EO149" i="104" s="1"/>
  <c r="R151" i="104"/>
  <c r="CD151" i="104" s="1"/>
  <c r="EA151" i="104" s="1"/>
  <c r="R94" i="104"/>
  <c r="CD94" i="104" s="1"/>
  <c r="EA94" i="104" s="1"/>
  <c r="S95" i="104"/>
  <c r="CK95" i="104" s="1"/>
  <c r="EH95" i="104" s="1"/>
  <c r="S152" i="104"/>
  <c r="CK152" i="104" s="1"/>
  <c r="EH152" i="104" s="1"/>
  <c r="T96" i="104"/>
  <c r="CR96" i="104" s="1"/>
  <c r="EO96" i="104" s="1"/>
  <c r="CR153" i="104"/>
  <c r="EO153" i="104" s="1"/>
  <c r="R155" i="104"/>
  <c r="CD155" i="104" s="1"/>
  <c r="EA155" i="104" s="1"/>
  <c r="R98" i="104"/>
  <c r="CD98" i="104" s="1"/>
  <c r="EA98" i="104" s="1"/>
  <c r="CR148" i="104"/>
  <c r="EO148" i="104" s="1"/>
  <c r="R150" i="104"/>
  <c r="CD150" i="104" s="1"/>
  <c r="EA150" i="104" s="1"/>
  <c r="R93" i="104"/>
  <c r="CD93" i="104" s="1"/>
  <c r="EA93" i="104" s="1"/>
  <c r="S151" i="104"/>
  <c r="CK151" i="104" s="1"/>
  <c r="EH151" i="104" s="1"/>
  <c r="S94" i="104"/>
  <c r="CK94" i="104" s="1"/>
  <c r="EH94" i="104" s="1"/>
  <c r="T95" i="104"/>
  <c r="CR95" i="104" s="1"/>
  <c r="EO95" i="104" s="1"/>
  <c r="CR152" i="104"/>
  <c r="EO152" i="104" s="1"/>
  <c r="R154" i="104"/>
  <c r="CD154" i="104" s="1"/>
  <c r="EA154" i="104" s="1"/>
  <c r="R97" i="104"/>
  <c r="CD97" i="104" s="1"/>
  <c r="EA97" i="104" s="1"/>
  <c r="S155" i="104"/>
  <c r="CK155" i="104" s="1"/>
  <c r="EH155" i="104" s="1"/>
  <c r="S98" i="104"/>
  <c r="CK98" i="104" s="1"/>
  <c r="EH98" i="104" s="1"/>
  <c r="AW31" i="78"/>
  <c r="AZ31" i="78" s="1"/>
  <c r="AY31" i="78"/>
  <c r="AW38" i="64"/>
  <c r="AW44" i="64"/>
  <c r="AW40" i="64"/>
  <c r="AW45" i="64"/>
  <c r="AI45" i="64"/>
  <c r="AI44" i="64"/>
  <c r="AW42" i="64"/>
  <c r="AI38" i="64"/>
  <c r="AI40" i="64"/>
  <c r="AI42" i="64"/>
  <c r="CE34" i="104" l="1"/>
  <c r="EB34" i="104" s="1"/>
  <c r="CS34" i="104"/>
  <c r="EP34" i="104" s="1"/>
  <c r="CL40" i="104"/>
  <c r="EI40" i="104" s="1"/>
  <c r="CL34" i="104"/>
  <c r="EI34" i="104" s="1"/>
  <c r="CL36" i="104"/>
  <c r="EI36" i="104" s="1"/>
  <c r="CL41" i="104"/>
  <c r="EI41" i="104" s="1"/>
  <c r="CL38" i="104"/>
  <c r="EI38" i="104" s="1"/>
  <c r="CL37" i="104"/>
  <c r="EI37" i="104" s="1"/>
  <c r="CL35" i="104"/>
  <c r="EI35" i="104" s="1"/>
  <c r="CL39" i="104"/>
  <c r="EI39" i="104" s="1"/>
  <c r="CE93" i="104"/>
  <c r="EB93" i="104" s="1"/>
  <c r="CS149" i="104"/>
  <c r="EP149" i="104" s="1"/>
  <c r="CE95" i="104"/>
  <c r="EB95" i="104" s="1"/>
  <c r="CE96" i="104"/>
  <c r="EB96" i="104" s="1"/>
  <c r="CL93" i="104"/>
  <c r="EI93" i="104" s="1"/>
  <c r="CT38" i="104"/>
  <c r="EQ38" i="104" s="1"/>
  <c r="CF38" i="104"/>
  <c r="EC38" i="104" s="1"/>
  <c r="CF39" i="104"/>
  <c r="EC39" i="104" s="1"/>
  <c r="CL155" i="104"/>
  <c r="EI155" i="104" s="1"/>
  <c r="CS95" i="104"/>
  <c r="EP95" i="104" s="1"/>
  <c r="CE150" i="104"/>
  <c r="EB150" i="104" s="1"/>
  <c r="CE155" i="104"/>
  <c r="EB155" i="104" s="1"/>
  <c r="CL95" i="104"/>
  <c r="EI95" i="104" s="1"/>
  <c r="CS92" i="104"/>
  <c r="EP92" i="104" s="1"/>
  <c r="CS154" i="104"/>
  <c r="EP154" i="104" s="1"/>
  <c r="CE152" i="104"/>
  <c r="EB152" i="104" s="1"/>
  <c r="CL149" i="104"/>
  <c r="EI149" i="104" s="1"/>
  <c r="CS155" i="104"/>
  <c r="EP155" i="104" s="1"/>
  <c r="CE153" i="104"/>
  <c r="EB153" i="104" s="1"/>
  <c r="CL150" i="104"/>
  <c r="EI150" i="104" s="1"/>
  <c r="CF36" i="104"/>
  <c r="EC36" i="104" s="1"/>
  <c r="CT39" i="104"/>
  <c r="EQ39" i="104" s="1"/>
  <c r="CF37" i="104"/>
  <c r="EC37" i="104" s="1"/>
  <c r="CT37" i="104"/>
  <c r="EQ37" i="104" s="1"/>
  <c r="CF41" i="104"/>
  <c r="EC41" i="104" s="1"/>
  <c r="CT40" i="104"/>
  <c r="EQ40" i="104" s="1"/>
  <c r="CS152" i="104"/>
  <c r="EP152" i="104" s="1"/>
  <c r="CL152" i="104"/>
  <c r="EI152" i="104" s="1"/>
  <c r="CL92" i="104"/>
  <c r="EI92" i="104" s="1"/>
  <c r="CE97" i="104"/>
  <c r="EB97" i="104" s="1"/>
  <c r="CL94" i="104"/>
  <c r="EI94" i="104" s="1"/>
  <c r="CS148" i="104"/>
  <c r="EP148" i="104" s="1"/>
  <c r="CS153" i="104"/>
  <c r="EP153" i="104" s="1"/>
  <c r="CE94" i="104"/>
  <c r="EB94" i="104" s="1"/>
  <c r="CL148" i="104"/>
  <c r="EI148" i="104" s="1"/>
  <c r="CL96" i="104"/>
  <c r="EI96" i="104" s="1"/>
  <c r="CS93" i="104"/>
  <c r="EP93" i="104" s="1"/>
  <c r="CE91" i="104"/>
  <c r="EB91" i="104" s="1"/>
  <c r="CL97" i="104"/>
  <c r="EI97" i="104" s="1"/>
  <c r="CS151" i="104"/>
  <c r="EP151" i="104" s="1"/>
  <c r="CE92" i="104"/>
  <c r="EB92" i="104" s="1"/>
  <c r="CF35" i="104"/>
  <c r="EC35" i="104" s="1"/>
  <c r="CL98" i="104"/>
  <c r="EI98" i="104" s="1"/>
  <c r="CE98" i="104"/>
  <c r="EB98" i="104" s="1"/>
  <c r="CS97" i="104"/>
  <c r="EP97" i="104" s="1"/>
  <c r="CS98" i="104"/>
  <c r="EP98" i="104" s="1"/>
  <c r="CE154" i="104"/>
  <c r="EB154" i="104" s="1"/>
  <c r="CL151" i="104"/>
  <c r="EI151" i="104" s="1"/>
  <c r="CS91" i="104"/>
  <c r="EP91" i="104" s="1"/>
  <c r="CS96" i="104"/>
  <c r="EP96" i="104" s="1"/>
  <c r="CE151" i="104"/>
  <c r="EB151" i="104" s="1"/>
  <c r="CL91" i="104"/>
  <c r="EI91" i="104" s="1"/>
  <c r="CL153" i="104"/>
  <c r="EI153" i="104" s="1"/>
  <c r="CS150" i="104"/>
  <c r="EP150" i="104" s="1"/>
  <c r="CE148" i="104"/>
  <c r="EB148" i="104" s="1"/>
  <c r="CL154" i="104"/>
  <c r="EI154" i="104" s="1"/>
  <c r="CS94" i="104"/>
  <c r="EP94" i="104" s="1"/>
  <c r="CE149" i="104"/>
  <c r="EB149" i="104" s="1"/>
  <c r="CF40" i="104"/>
  <c r="EC40" i="104" s="1"/>
  <c r="CT35" i="104"/>
  <c r="EQ35" i="104" s="1"/>
  <c r="CT41" i="104"/>
  <c r="EQ41" i="104" s="1"/>
  <c r="CT36" i="104"/>
  <c r="EQ36" i="104" s="1"/>
  <c r="AP44" i="64"/>
  <c r="AX44" i="64"/>
  <c r="AJ40" i="64"/>
  <c r="AJ45" i="64"/>
  <c r="AP38" i="64"/>
  <c r="AX38" i="64"/>
  <c r="AP45" i="64"/>
  <c r="AJ38" i="64"/>
  <c r="AP40" i="64"/>
  <c r="AX42" i="64"/>
  <c r="AJ42" i="64"/>
  <c r="AJ44" i="64"/>
  <c r="AP42" i="64"/>
  <c r="AX40" i="64"/>
  <c r="AX45" i="64"/>
  <c r="CF34" i="104" l="1"/>
  <c r="EC34" i="104" s="1"/>
  <c r="CT34" i="104"/>
  <c r="EQ34" i="104" s="1"/>
  <c r="CM39" i="104"/>
  <c r="CM36" i="104"/>
  <c r="CM40" i="104"/>
  <c r="CM37" i="104"/>
  <c r="CM38" i="104"/>
  <c r="EJ38" i="104" s="1"/>
  <c r="CM34" i="104"/>
  <c r="EJ34" i="104" s="1"/>
  <c r="CM41" i="104"/>
  <c r="EJ41" i="104" s="1"/>
  <c r="CM35" i="104"/>
  <c r="EJ35" i="104" s="1"/>
  <c r="CU36" i="104"/>
  <c r="ER36" i="104" s="1"/>
  <c r="CT150" i="104"/>
  <c r="EQ150" i="104" s="1"/>
  <c r="CM96" i="104"/>
  <c r="EJ96" i="104" s="1"/>
  <c r="CT148" i="104"/>
  <c r="EQ148" i="104" s="1"/>
  <c r="CM152" i="104"/>
  <c r="EJ152" i="104" s="1"/>
  <c r="CU37" i="104"/>
  <c r="ER37" i="104" s="1"/>
  <c r="CG36" i="104"/>
  <c r="ED36" i="104" s="1"/>
  <c r="CM150" i="104"/>
  <c r="EJ150" i="104" s="1"/>
  <c r="CF152" i="104"/>
  <c r="EC152" i="104" s="1"/>
  <c r="CT92" i="104"/>
  <c r="EQ92" i="104" s="1"/>
  <c r="CT95" i="104"/>
  <c r="EQ95" i="104" s="1"/>
  <c r="CG38" i="104"/>
  <c r="ED38" i="104" s="1"/>
  <c r="CT94" i="104"/>
  <c r="EQ94" i="104" s="1"/>
  <c r="CF148" i="104"/>
  <c r="EC148" i="104" s="1"/>
  <c r="CM153" i="104"/>
  <c r="EJ153" i="104" s="1"/>
  <c r="CF151" i="104"/>
  <c r="EC151" i="104" s="1"/>
  <c r="CF98" i="104"/>
  <c r="EC98" i="104" s="1"/>
  <c r="CM148" i="104"/>
  <c r="EJ148" i="104" s="1"/>
  <c r="CM94" i="104"/>
  <c r="EJ94" i="104" s="1"/>
  <c r="CU39" i="104"/>
  <c r="ER39" i="104" s="1"/>
  <c r="CM155" i="104"/>
  <c r="EJ155" i="104" s="1"/>
  <c r="CF96" i="104"/>
  <c r="EC96" i="104" s="1"/>
  <c r="CT149" i="104"/>
  <c r="EQ149" i="104" s="1"/>
  <c r="CF149" i="104"/>
  <c r="EC149" i="104" s="1"/>
  <c r="CU41" i="104"/>
  <c r="ER41" i="104" s="1"/>
  <c r="CG40" i="104"/>
  <c r="ED40" i="104" s="1"/>
  <c r="CT91" i="104"/>
  <c r="EQ91" i="104" s="1"/>
  <c r="CF154" i="104"/>
  <c r="EC154" i="104" s="1"/>
  <c r="CM98" i="104"/>
  <c r="EJ98" i="104" s="1"/>
  <c r="CF92" i="104"/>
  <c r="EC92" i="104" s="1"/>
  <c r="CM97" i="104"/>
  <c r="EJ97" i="104" s="1"/>
  <c r="CT93" i="104"/>
  <c r="EQ93" i="104" s="1"/>
  <c r="CT153" i="104"/>
  <c r="EQ153" i="104" s="1"/>
  <c r="CM92" i="104"/>
  <c r="EJ92" i="104" s="1"/>
  <c r="CG41" i="104"/>
  <c r="ED41" i="104" s="1"/>
  <c r="CF153" i="104"/>
  <c r="EC153" i="104" s="1"/>
  <c r="CM149" i="104"/>
  <c r="EJ149" i="104" s="1"/>
  <c r="CT154" i="104"/>
  <c r="EQ154" i="104" s="1"/>
  <c r="CM95" i="104"/>
  <c r="EJ95" i="104" s="1"/>
  <c r="CF150" i="104"/>
  <c r="EC150" i="104" s="1"/>
  <c r="CU38" i="104"/>
  <c r="ER38" i="104" s="1"/>
  <c r="CM154" i="104"/>
  <c r="EJ154" i="104" s="1"/>
  <c r="CM91" i="104"/>
  <c r="EJ91" i="104" s="1"/>
  <c r="CT96" i="104"/>
  <c r="EQ96" i="104" s="1"/>
  <c r="CT98" i="104"/>
  <c r="EQ98" i="104" s="1"/>
  <c r="CF97" i="104"/>
  <c r="EC97" i="104" s="1"/>
  <c r="CU40" i="104"/>
  <c r="ER40" i="104" s="1"/>
  <c r="CG37" i="104"/>
  <c r="ED37" i="104" s="1"/>
  <c r="CU35" i="104"/>
  <c r="ER35" i="104" s="1"/>
  <c r="CM151" i="104"/>
  <c r="EJ151" i="104" s="1"/>
  <c r="CT97" i="104"/>
  <c r="EQ97" i="104" s="1"/>
  <c r="CG35" i="104"/>
  <c r="ED35" i="104" s="1"/>
  <c r="CT151" i="104"/>
  <c r="EQ151" i="104" s="1"/>
  <c r="CF91" i="104"/>
  <c r="EC91" i="104" s="1"/>
  <c r="CF94" i="104"/>
  <c r="EC94" i="104" s="1"/>
  <c r="CT152" i="104"/>
  <c r="EQ152" i="104" s="1"/>
  <c r="CT155" i="104"/>
  <c r="EQ155" i="104" s="1"/>
  <c r="CF155" i="104"/>
  <c r="EC155" i="104" s="1"/>
  <c r="CG39" i="104"/>
  <c r="ED39" i="104" s="1"/>
  <c r="CM93" i="104"/>
  <c r="EJ93" i="104" s="1"/>
  <c r="CF95" i="104"/>
  <c r="EC95" i="104" s="1"/>
  <c r="CF93" i="104"/>
  <c r="EC93" i="104" s="1"/>
  <c r="M163" i="104"/>
  <c r="M162" i="104"/>
  <c r="M161" i="104"/>
  <c r="M160" i="104"/>
  <c r="M159" i="104"/>
  <c r="M158" i="104"/>
  <c r="M157" i="104"/>
  <c r="M156" i="104"/>
  <c r="M155" i="104"/>
  <c r="M154" i="104"/>
  <c r="M153" i="104"/>
  <c r="M152" i="104"/>
  <c r="M151" i="104"/>
  <c r="M150" i="104"/>
  <c r="M149" i="104"/>
  <c r="M148" i="104"/>
  <c r="M147" i="104"/>
  <c r="M145" i="104"/>
  <c r="M141" i="104"/>
  <c r="M134" i="104"/>
  <c r="M133" i="104"/>
  <c r="M125" i="104"/>
  <c r="M121" i="104"/>
  <c r="V120" i="104"/>
  <c r="U120" i="104"/>
  <c r="T120" i="104"/>
  <c r="S120" i="104"/>
  <c r="R120" i="104"/>
  <c r="M120" i="104"/>
  <c r="L120" i="104"/>
  <c r="K120" i="104"/>
  <c r="H120" i="104"/>
  <c r="M106" i="104"/>
  <c r="M105" i="104"/>
  <c r="M104" i="104"/>
  <c r="M103" i="104"/>
  <c r="M102" i="104"/>
  <c r="M101" i="104"/>
  <c r="M100" i="104"/>
  <c r="M99" i="104"/>
  <c r="M98" i="104"/>
  <c r="M97" i="104"/>
  <c r="M96" i="104"/>
  <c r="M95" i="104"/>
  <c r="M94" i="104"/>
  <c r="M93" i="104"/>
  <c r="M92" i="104"/>
  <c r="M91" i="104"/>
  <c r="M90" i="104"/>
  <c r="M88" i="104"/>
  <c r="M84" i="104"/>
  <c r="M77" i="104"/>
  <c r="M76" i="104"/>
  <c r="M73" i="104"/>
  <c r="M68" i="104"/>
  <c r="M64" i="104"/>
  <c r="AK45" i="64"/>
  <c r="AK40" i="64"/>
  <c r="AY45" i="64"/>
  <c r="AQ44" i="64"/>
  <c r="BI40" i="64"/>
  <c r="AY40" i="64"/>
  <c r="AQ40" i="64"/>
  <c r="AQ42" i="64"/>
  <c r="AQ45" i="64"/>
  <c r="CG34" i="104" l="1"/>
  <c r="ED34" i="104" s="1"/>
  <c r="CU34" i="104"/>
  <c r="ER34" i="104" s="1"/>
  <c r="EJ37" i="104"/>
  <c r="EJ40" i="104"/>
  <c r="EJ36" i="104"/>
  <c r="EJ39" i="104"/>
  <c r="CN40" i="104"/>
  <c r="EK40" i="104" s="1"/>
  <c r="CN39" i="104"/>
  <c r="EK39" i="104" s="1"/>
  <c r="CN38" i="104"/>
  <c r="EK38" i="104" s="1"/>
  <c r="CN34" i="104"/>
  <c r="EK34" i="104" s="1"/>
  <c r="CN36" i="104"/>
  <c r="EK36" i="104" s="1"/>
  <c r="CN35" i="104"/>
  <c r="EK35" i="104" s="1"/>
  <c r="CN37" i="104"/>
  <c r="EK37" i="104" s="1"/>
  <c r="CN41" i="104"/>
  <c r="EK41" i="104" s="1"/>
  <c r="CU96" i="104"/>
  <c r="ER96" i="104" s="1"/>
  <c r="CN154" i="104"/>
  <c r="EK154" i="104" s="1"/>
  <c r="CN149" i="104"/>
  <c r="EK149" i="104" s="1"/>
  <c r="CG149" i="104"/>
  <c r="ED149" i="104" s="1"/>
  <c r="CN155" i="104"/>
  <c r="EK155" i="104" s="1"/>
  <c r="CN94" i="104"/>
  <c r="EK94" i="104" s="1"/>
  <c r="CU92" i="104"/>
  <c r="ER92" i="104" s="1"/>
  <c r="CV37" i="104"/>
  <c r="ES37" i="104" s="1"/>
  <c r="CU148" i="104"/>
  <c r="ER148" i="104" s="1"/>
  <c r="CG93" i="104"/>
  <c r="ED93" i="104" s="1"/>
  <c r="CU152" i="104"/>
  <c r="ER152" i="104" s="1"/>
  <c r="CV38" i="104"/>
  <c r="ES38" i="104" s="1"/>
  <c r="CU93" i="104"/>
  <c r="ER93" i="104" s="1"/>
  <c r="CG92" i="104"/>
  <c r="ED92" i="104" s="1"/>
  <c r="CN98" i="104"/>
  <c r="EK98" i="104" s="1"/>
  <c r="CN153" i="104"/>
  <c r="EK153" i="104" s="1"/>
  <c r="CU94" i="104"/>
  <c r="ER94" i="104" s="1"/>
  <c r="CG152" i="104"/>
  <c r="ED152" i="104" s="1"/>
  <c r="CH36" i="104"/>
  <c r="EE36" i="104" s="1"/>
  <c r="CN152" i="104"/>
  <c r="EK152" i="104" s="1"/>
  <c r="CU150" i="104"/>
  <c r="ER150" i="104" s="1"/>
  <c r="CH41" i="104"/>
  <c r="EE41" i="104" s="1"/>
  <c r="CH40" i="104"/>
  <c r="EE40" i="104" s="1"/>
  <c r="CG96" i="104"/>
  <c r="ED96" i="104" s="1"/>
  <c r="CH38" i="104"/>
  <c r="EE38" i="104" s="1"/>
  <c r="CN150" i="104"/>
  <c r="EK150" i="104" s="1"/>
  <c r="CN93" i="104"/>
  <c r="EK93" i="104" s="1"/>
  <c r="CG155" i="104"/>
  <c r="ED155" i="104" s="1"/>
  <c r="CU155" i="104"/>
  <c r="ER155" i="104" s="1"/>
  <c r="CG94" i="104"/>
  <c r="ED94" i="104" s="1"/>
  <c r="CU97" i="104"/>
  <c r="ER97" i="104" s="1"/>
  <c r="CV35" i="104"/>
  <c r="ES35" i="104" s="1"/>
  <c r="CH37" i="104"/>
  <c r="EE37" i="104" s="1"/>
  <c r="CG97" i="104"/>
  <c r="ED97" i="104" s="1"/>
  <c r="CU98" i="104"/>
  <c r="ER98" i="104" s="1"/>
  <c r="CN91" i="104"/>
  <c r="EK91" i="104" s="1"/>
  <c r="CG150" i="104"/>
  <c r="ED150" i="104" s="1"/>
  <c r="CU154" i="104"/>
  <c r="ER154" i="104" s="1"/>
  <c r="CG153" i="104"/>
  <c r="ED153" i="104" s="1"/>
  <c r="CU153" i="104"/>
  <c r="ER153" i="104" s="1"/>
  <c r="CU91" i="104"/>
  <c r="ER91" i="104" s="1"/>
  <c r="CV41" i="104"/>
  <c r="ES41" i="104" s="1"/>
  <c r="CU149" i="104"/>
  <c r="ER149" i="104" s="1"/>
  <c r="CV39" i="104"/>
  <c r="ES39" i="104" s="1"/>
  <c r="CN148" i="104"/>
  <c r="EK148" i="104" s="1"/>
  <c r="CG98" i="104"/>
  <c r="ED98" i="104" s="1"/>
  <c r="CG148" i="104"/>
  <c r="ED148" i="104" s="1"/>
  <c r="CU95" i="104"/>
  <c r="ER95" i="104" s="1"/>
  <c r="CN96" i="104"/>
  <c r="EK96" i="104" s="1"/>
  <c r="CV36" i="104"/>
  <c r="ES36" i="104" s="1"/>
  <c r="CG91" i="104"/>
  <c r="ED91" i="104" s="1"/>
  <c r="CN151" i="104"/>
  <c r="EK151" i="104" s="1"/>
  <c r="CG154" i="104"/>
  <c r="ED154" i="104" s="1"/>
  <c r="CG95" i="104"/>
  <c r="ED95" i="104" s="1"/>
  <c r="CH39" i="104"/>
  <c r="EE39" i="104" s="1"/>
  <c r="CU151" i="104"/>
  <c r="ER151" i="104" s="1"/>
  <c r="CH35" i="104"/>
  <c r="EE35" i="104" s="1"/>
  <c r="CV40" i="104"/>
  <c r="ES40" i="104" s="1"/>
  <c r="CN95" i="104"/>
  <c r="EK95" i="104" s="1"/>
  <c r="CN92" i="104"/>
  <c r="EK92" i="104" s="1"/>
  <c r="CN97" i="104"/>
  <c r="EK97" i="104" s="1"/>
  <c r="CG151" i="104"/>
  <c r="ED151" i="104" s="1"/>
  <c r="V63" i="104"/>
  <c r="U63" i="104"/>
  <c r="T63" i="104"/>
  <c r="CR63" i="104" s="1"/>
  <c r="EO63" i="104" s="1"/>
  <c r="S63" i="104"/>
  <c r="CK63" i="104" s="1"/>
  <c r="EH63" i="104" s="1"/>
  <c r="R63" i="104"/>
  <c r="CD63" i="104" s="1"/>
  <c r="EA63" i="104" s="1"/>
  <c r="N63" i="104"/>
  <c r="M63" i="104"/>
  <c r="L63" i="104"/>
  <c r="K63" i="104"/>
  <c r="H63" i="104"/>
  <c r="CR120" i="104"/>
  <c r="EO120" i="104" s="1"/>
  <c r="CK120" i="104"/>
  <c r="EH120" i="104" s="1"/>
  <c r="CD120" i="104"/>
  <c r="EA120" i="104" s="1"/>
  <c r="J49" i="104"/>
  <c r="BB49" i="104" s="1"/>
  <c r="CY49" i="104" s="1"/>
  <c r="J48" i="104"/>
  <c r="BB48" i="104" s="1"/>
  <c r="CY48" i="104" s="1"/>
  <c r="J47" i="104"/>
  <c r="BB47" i="104" s="1"/>
  <c r="CY47" i="104" s="1"/>
  <c r="J46" i="104"/>
  <c r="BB46" i="104" s="1"/>
  <c r="CY46" i="104" s="1"/>
  <c r="J45" i="104"/>
  <c r="BB45" i="104" s="1"/>
  <c r="CY45" i="104" s="1"/>
  <c r="J44" i="104"/>
  <c r="BB44" i="104" s="1"/>
  <c r="CY44" i="104" s="1"/>
  <c r="J43" i="104"/>
  <c r="J42" i="104"/>
  <c r="BB42" i="104" s="1"/>
  <c r="CY42" i="104" s="1"/>
  <c r="AR45" i="64"/>
  <c r="BJ40" i="64"/>
  <c r="AL40" i="64"/>
  <c r="BK40" i="64"/>
  <c r="AL45" i="64"/>
  <c r="BI45" i="64"/>
  <c r="BJ45" i="64"/>
  <c r="BK45" i="64"/>
  <c r="AZ40" i="64"/>
  <c r="AR40" i="64"/>
  <c r="AZ45" i="64"/>
  <c r="CH34" i="104" l="1"/>
  <c r="EE34" i="104" s="1"/>
  <c r="CV34" i="104"/>
  <c r="ES34" i="104" s="1"/>
  <c r="CO40" i="104"/>
  <c r="EL40" i="104" s="1"/>
  <c r="CO39" i="104"/>
  <c r="EL39" i="104" s="1"/>
  <c r="CO36" i="104"/>
  <c r="EL36" i="104" s="1"/>
  <c r="CO34" i="104"/>
  <c r="EL34" i="104" s="1"/>
  <c r="CO38" i="104"/>
  <c r="EL38" i="104" s="1"/>
  <c r="CV148" i="104"/>
  <c r="ES148" i="104" s="1"/>
  <c r="CO35" i="104"/>
  <c r="EL35" i="104" s="1"/>
  <c r="CO37" i="104"/>
  <c r="EL37" i="104" s="1"/>
  <c r="BB43" i="104"/>
  <c r="CY43" i="104" s="1"/>
  <c r="CO41" i="104"/>
  <c r="EL41" i="104" s="1"/>
  <c r="BC48" i="104"/>
  <c r="CZ48" i="104" s="1"/>
  <c r="BC49" i="104"/>
  <c r="CZ49" i="104" s="1"/>
  <c r="BC42" i="104"/>
  <c r="CZ42" i="104" s="1"/>
  <c r="CE120" i="104"/>
  <c r="EB120" i="104" s="1"/>
  <c r="CE63" i="104"/>
  <c r="EB63" i="104" s="1"/>
  <c r="CL120" i="104"/>
  <c r="EI120" i="104" s="1"/>
  <c r="CL63" i="104"/>
  <c r="EI63" i="104" s="1"/>
  <c r="BC44" i="104"/>
  <c r="CZ44" i="104" s="1"/>
  <c r="CS120" i="104"/>
  <c r="EP120" i="104" s="1"/>
  <c r="CS63" i="104"/>
  <c r="EP63" i="104" s="1"/>
  <c r="BC45" i="104"/>
  <c r="CZ45" i="104" s="1"/>
  <c r="BC46" i="104"/>
  <c r="CZ46" i="104" s="1"/>
  <c r="BC47" i="104"/>
  <c r="CZ47" i="104" s="1"/>
  <c r="CH151" i="104"/>
  <c r="EE151" i="104" s="1"/>
  <c r="CO95" i="104"/>
  <c r="EL95" i="104" s="1"/>
  <c r="CH153" i="104"/>
  <c r="EE153" i="104" s="1"/>
  <c r="CH97" i="104"/>
  <c r="EE97" i="104" s="1"/>
  <c r="CO98" i="104"/>
  <c r="EL98" i="104" s="1"/>
  <c r="CI35" i="104"/>
  <c r="EF35" i="104" s="1"/>
  <c r="CI39" i="104"/>
  <c r="EF39" i="104" s="1"/>
  <c r="CH154" i="104"/>
  <c r="EE154" i="104" s="1"/>
  <c r="CH91" i="104"/>
  <c r="EE91" i="104" s="1"/>
  <c r="CH148" i="104"/>
  <c r="EE148" i="104" s="1"/>
  <c r="CO148" i="104"/>
  <c r="EL148" i="104" s="1"/>
  <c r="CW41" i="104"/>
  <c r="ET41" i="104" s="1"/>
  <c r="CV153" i="104"/>
  <c r="ES153" i="104" s="1"/>
  <c r="CH94" i="104"/>
  <c r="EE94" i="104" s="1"/>
  <c r="CH155" i="104"/>
  <c r="EE155" i="104" s="1"/>
  <c r="CO150" i="104"/>
  <c r="EL150" i="104" s="1"/>
  <c r="CH93" i="104"/>
  <c r="EE93" i="104" s="1"/>
  <c r="CW37" i="104"/>
  <c r="ET37" i="104" s="1"/>
  <c r="CO94" i="104"/>
  <c r="EL94" i="104" s="1"/>
  <c r="CO154" i="104"/>
  <c r="EL154" i="104" s="1"/>
  <c r="CO97" i="104"/>
  <c r="EL97" i="104" s="1"/>
  <c r="CO96" i="104"/>
  <c r="EL96" i="104" s="1"/>
  <c r="CO91" i="104"/>
  <c r="EL91" i="104" s="1"/>
  <c r="CV93" i="104"/>
  <c r="ES93" i="104" s="1"/>
  <c r="CO92" i="104"/>
  <c r="EL92" i="104" s="1"/>
  <c r="CW40" i="104"/>
  <c r="ET40" i="104" s="1"/>
  <c r="CW36" i="104"/>
  <c r="ET36" i="104" s="1"/>
  <c r="CV149" i="104"/>
  <c r="ES149" i="104" s="1"/>
  <c r="CV154" i="104"/>
  <c r="ES154" i="104" s="1"/>
  <c r="CV98" i="104"/>
  <c r="ES98" i="104" s="1"/>
  <c r="CI37" i="104"/>
  <c r="EF37" i="104" s="1"/>
  <c r="CV97" i="104"/>
  <c r="ES97" i="104" s="1"/>
  <c r="CO93" i="104"/>
  <c r="EL93" i="104" s="1"/>
  <c r="CH96" i="104"/>
  <c r="EE96" i="104" s="1"/>
  <c r="CI41" i="104"/>
  <c r="EF41" i="104" s="1"/>
  <c r="CV150" i="104"/>
  <c r="ES150" i="104" s="1"/>
  <c r="CO152" i="104"/>
  <c r="EL152" i="104" s="1"/>
  <c r="CH152" i="104"/>
  <c r="EE152" i="104" s="1"/>
  <c r="CV94" i="104"/>
  <c r="ES94" i="104" s="1"/>
  <c r="CH92" i="104"/>
  <c r="EE92" i="104" s="1"/>
  <c r="CW38" i="104"/>
  <c r="ET38" i="104" s="1"/>
  <c r="CV92" i="104"/>
  <c r="ES92" i="104" s="1"/>
  <c r="CV96" i="104"/>
  <c r="ES96" i="104" s="1"/>
  <c r="CH150" i="104"/>
  <c r="EE150" i="104" s="1"/>
  <c r="CW35" i="104"/>
  <c r="ET35" i="104" s="1"/>
  <c r="CI40" i="104"/>
  <c r="EF40" i="104" s="1"/>
  <c r="CI36" i="104"/>
  <c r="EF36" i="104" s="1"/>
  <c r="CO153" i="104"/>
  <c r="EL153" i="104" s="1"/>
  <c r="CH149" i="104"/>
  <c r="EE149" i="104" s="1"/>
  <c r="CV151" i="104"/>
  <c r="ES151" i="104" s="1"/>
  <c r="CH95" i="104"/>
  <c r="EE95" i="104" s="1"/>
  <c r="CO151" i="104"/>
  <c r="EL151" i="104" s="1"/>
  <c r="CV95" i="104"/>
  <c r="ES95" i="104" s="1"/>
  <c r="CH98" i="104"/>
  <c r="EE98" i="104" s="1"/>
  <c r="CW39" i="104"/>
  <c r="ET39" i="104" s="1"/>
  <c r="CV91" i="104"/>
  <c r="ES91" i="104" s="1"/>
  <c r="CV155" i="104"/>
  <c r="ES155" i="104" s="1"/>
  <c r="CI38" i="104"/>
  <c r="EF38" i="104" s="1"/>
  <c r="CV152" i="104"/>
  <c r="ES152" i="104" s="1"/>
  <c r="CO155" i="104"/>
  <c r="EL155" i="104" s="1"/>
  <c r="CO149" i="104"/>
  <c r="EL149" i="104" s="1"/>
  <c r="L43" i="104"/>
  <c r="J157" i="104"/>
  <c r="BB157" i="104" s="1"/>
  <c r="CY157" i="104" s="1"/>
  <c r="J100" i="104"/>
  <c r="BB100" i="104" s="1"/>
  <c r="CY100" i="104" s="1"/>
  <c r="L44" i="104"/>
  <c r="J158" i="104"/>
  <c r="BB158" i="104" s="1"/>
  <c r="CY158" i="104" s="1"/>
  <c r="J101" i="104"/>
  <c r="BB101" i="104" s="1"/>
  <c r="CY101" i="104" s="1"/>
  <c r="L48" i="104"/>
  <c r="J162" i="104"/>
  <c r="BB162" i="104" s="1"/>
  <c r="CY162" i="104" s="1"/>
  <c r="J105" i="104"/>
  <c r="BB105" i="104" s="1"/>
  <c r="CY105" i="104" s="1"/>
  <c r="L47" i="104"/>
  <c r="J161" i="104"/>
  <c r="BB161" i="104" s="1"/>
  <c r="CY161" i="104" s="1"/>
  <c r="J104" i="104"/>
  <c r="BB104" i="104" s="1"/>
  <c r="CY104" i="104" s="1"/>
  <c r="L45" i="104"/>
  <c r="J159" i="104"/>
  <c r="BB159" i="104" s="1"/>
  <c r="CY159" i="104" s="1"/>
  <c r="J102" i="104"/>
  <c r="BB102" i="104" s="1"/>
  <c r="CY102" i="104" s="1"/>
  <c r="L49" i="104"/>
  <c r="J163" i="104"/>
  <c r="BB163" i="104" s="1"/>
  <c r="CY163" i="104" s="1"/>
  <c r="J106" i="104"/>
  <c r="BB106" i="104" s="1"/>
  <c r="CY106" i="104" s="1"/>
  <c r="L42" i="104"/>
  <c r="J156" i="104"/>
  <c r="BB156" i="104" s="1"/>
  <c r="CY156" i="104" s="1"/>
  <c r="J99" i="104"/>
  <c r="BB99" i="104" s="1"/>
  <c r="CY99" i="104" s="1"/>
  <c r="L46" i="104"/>
  <c r="J160" i="104"/>
  <c r="BB160" i="104" s="1"/>
  <c r="CY160" i="104" s="1"/>
  <c r="J103" i="104"/>
  <c r="BB103" i="104" s="1"/>
  <c r="CY103" i="104" s="1"/>
  <c r="I6" i="104"/>
  <c r="BP120" i="104"/>
  <c r="DM120" i="104" s="1"/>
  <c r="BI120" i="104"/>
  <c r="DF120" i="104" s="1"/>
  <c r="BI63" i="104"/>
  <c r="DF63" i="104" s="1"/>
  <c r="BP63" i="104"/>
  <c r="DM63" i="104" s="1"/>
  <c r="AM45" i="64"/>
  <c r="AS45" i="64"/>
  <c r="AM40" i="64"/>
  <c r="AS40" i="64"/>
  <c r="BA45" i="64"/>
  <c r="BA40" i="64"/>
  <c r="CI34" i="104" l="1"/>
  <c r="EF34" i="104" s="1"/>
  <c r="CW34" i="104"/>
  <c r="ET34" i="104" s="1"/>
  <c r="CP40" i="104"/>
  <c r="EM40" i="104" s="1"/>
  <c r="BQ120" i="104"/>
  <c r="DN120" i="104" s="1"/>
  <c r="BQ63" i="104"/>
  <c r="DN63" i="104" s="1"/>
  <c r="CP36" i="104"/>
  <c r="EM36" i="104" s="1"/>
  <c r="CP39" i="104"/>
  <c r="EM39" i="104" s="1"/>
  <c r="CP34" i="104"/>
  <c r="EM34" i="104" s="1"/>
  <c r="CP35" i="104"/>
  <c r="EM35" i="104" s="1"/>
  <c r="CP38" i="104"/>
  <c r="EM38" i="104" s="1"/>
  <c r="CP41" i="104"/>
  <c r="EM41" i="104" s="1"/>
  <c r="BC43" i="104"/>
  <c r="CZ43" i="104" s="1"/>
  <c r="CP37" i="104"/>
  <c r="EM37" i="104" s="1"/>
  <c r="BC104" i="104"/>
  <c r="CZ104" i="104" s="1"/>
  <c r="BD42" i="104"/>
  <c r="DA42" i="104" s="1"/>
  <c r="BF42" i="104"/>
  <c r="DC42" i="104" s="1"/>
  <c r="BC156" i="104"/>
  <c r="CZ156" i="104" s="1"/>
  <c r="BC161" i="104"/>
  <c r="CZ161" i="104" s="1"/>
  <c r="BC100" i="104"/>
  <c r="CZ100" i="104" s="1"/>
  <c r="CT63" i="104"/>
  <c r="EQ63" i="104" s="1"/>
  <c r="BC106" i="104"/>
  <c r="CZ106" i="104" s="1"/>
  <c r="BC157" i="104"/>
  <c r="CZ157" i="104" s="1"/>
  <c r="BC163" i="104"/>
  <c r="CZ163" i="104" s="1"/>
  <c r="BC105" i="104"/>
  <c r="CZ105" i="104" s="1"/>
  <c r="CT120" i="104"/>
  <c r="EQ120" i="104" s="1"/>
  <c r="BC162" i="104"/>
  <c r="CZ162" i="104" s="1"/>
  <c r="BD47" i="104"/>
  <c r="DA47" i="104" s="1"/>
  <c r="BF47" i="104"/>
  <c r="DC47" i="104" s="1"/>
  <c r="BD45" i="104"/>
  <c r="DA45" i="104" s="1"/>
  <c r="BF45" i="104"/>
  <c r="DC45" i="104" s="1"/>
  <c r="CM63" i="104"/>
  <c r="EJ63" i="104" s="1"/>
  <c r="CF63" i="104"/>
  <c r="EC63" i="104" s="1"/>
  <c r="BJ120" i="104"/>
  <c r="DG120" i="104" s="1"/>
  <c r="BC103" i="104"/>
  <c r="CZ103" i="104" s="1"/>
  <c r="BC160" i="104"/>
  <c r="CZ160" i="104" s="1"/>
  <c r="BC102" i="104"/>
  <c r="CZ102" i="104" s="1"/>
  <c r="BD46" i="104"/>
  <c r="DA46" i="104" s="1"/>
  <c r="BF46" i="104"/>
  <c r="DC46" i="104" s="1"/>
  <c r="BD44" i="104"/>
  <c r="DA44" i="104" s="1"/>
  <c r="BF44" i="104"/>
  <c r="DC44" i="104" s="1"/>
  <c r="BD49" i="104"/>
  <c r="DA49" i="104" s="1"/>
  <c r="BF49" i="104"/>
  <c r="DC49" i="104" s="1"/>
  <c r="BC159" i="104"/>
  <c r="CZ159" i="104" s="1"/>
  <c r="BC101" i="104"/>
  <c r="CZ101" i="104" s="1"/>
  <c r="CM120" i="104"/>
  <c r="EJ120" i="104" s="1"/>
  <c r="CF120" i="104"/>
  <c r="EC120" i="104" s="1"/>
  <c r="BJ63" i="104"/>
  <c r="DG63" i="104" s="1"/>
  <c r="BC99" i="104"/>
  <c r="CZ99" i="104" s="1"/>
  <c r="BC158" i="104"/>
  <c r="CZ158" i="104" s="1"/>
  <c r="BF48" i="104"/>
  <c r="DC48" i="104" s="1"/>
  <c r="BD48" i="104"/>
  <c r="DA48" i="104" s="1"/>
  <c r="CP155" i="104"/>
  <c r="EM155" i="104" s="1"/>
  <c r="CW151" i="104"/>
  <c r="ET151" i="104" s="1"/>
  <c r="CI152" i="104"/>
  <c r="EF152" i="104" s="1"/>
  <c r="CW150" i="104"/>
  <c r="ET150" i="104" s="1"/>
  <c r="CI96" i="104"/>
  <c r="EF96" i="104" s="1"/>
  <c r="CW97" i="104"/>
  <c r="ET97" i="104" s="1"/>
  <c r="CW154" i="104"/>
  <c r="ET154" i="104" s="1"/>
  <c r="CX40" i="104"/>
  <c r="EU40" i="104" s="1"/>
  <c r="FC40" i="104" s="1"/>
  <c r="CI94" i="104"/>
  <c r="EF94" i="104" s="1"/>
  <c r="CX41" i="104"/>
  <c r="EU41" i="104" s="1"/>
  <c r="FC41" i="104" s="1"/>
  <c r="CP148" i="104"/>
  <c r="EM148" i="104" s="1"/>
  <c r="CI91" i="104"/>
  <c r="EF91" i="104" s="1"/>
  <c r="CJ39" i="104"/>
  <c r="EG39" i="104" s="1"/>
  <c r="FA39" i="104" s="1"/>
  <c r="CP151" i="104"/>
  <c r="EM151" i="104" s="1"/>
  <c r="CI149" i="104"/>
  <c r="EF149" i="104" s="1"/>
  <c r="CW152" i="104"/>
  <c r="ET152" i="104" s="1"/>
  <c r="CW155" i="104"/>
  <c r="ET155" i="104" s="1"/>
  <c r="CX39" i="104"/>
  <c r="EU39" i="104" s="1"/>
  <c r="FC39" i="104" s="1"/>
  <c r="CW95" i="104"/>
  <c r="ET95" i="104" s="1"/>
  <c r="CJ36" i="104"/>
  <c r="EG36" i="104" s="1"/>
  <c r="FA36" i="104" s="1"/>
  <c r="CI150" i="104"/>
  <c r="EF150" i="104" s="1"/>
  <c r="CW96" i="104"/>
  <c r="ET96" i="104" s="1"/>
  <c r="CW92" i="104"/>
  <c r="ET92" i="104" s="1"/>
  <c r="CW98" i="104"/>
  <c r="ET98" i="104" s="1"/>
  <c r="CW93" i="104"/>
  <c r="ET93" i="104" s="1"/>
  <c r="CP96" i="104"/>
  <c r="EM96" i="104" s="1"/>
  <c r="CP154" i="104"/>
  <c r="EM154" i="104" s="1"/>
  <c r="CP94" i="104"/>
  <c r="EM94" i="104" s="1"/>
  <c r="CI93" i="104"/>
  <c r="EF93" i="104" s="1"/>
  <c r="CI154" i="104"/>
  <c r="EF154" i="104" s="1"/>
  <c r="CI153" i="104"/>
  <c r="EF153" i="104" s="1"/>
  <c r="CP95" i="104"/>
  <c r="EM95" i="104" s="1"/>
  <c r="CP149" i="104"/>
  <c r="EM149" i="104" s="1"/>
  <c r="CI95" i="104"/>
  <c r="EF95" i="104" s="1"/>
  <c r="CI92" i="104"/>
  <c r="EF92" i="104" s="1"/>
  <c r="CW94" i="104"/>
  <c r="ET94" i="104" s="1"/>
  <c r="CP152" i="104"/>
  <c r="EM152" i="104" s="1"/>
  <c r="CJ41" i="104"/>
  <c r="EG41" i="104" s="1"/>
  <c r="FA41" i="104" s="1"/>
  <c r="CP93" i="104"/>
  <c r="EM93" i="104" s="1"/>
  <c r="CX36" i="104"/>
  <c r="EU36" i="104" s="1"/>
  <c r="FC36" i="104" s="1"/>
  <c r="CP92" i="104"/>
  <c r="EM92" i="104" s="1"/>
  <c r="CI155" i="104"/>
  <c r="EF155" i="104" s="1"/>
  <c r="CW153" i="104"/>
  <c r="ET153" i="104" s="1"/>
  <c r="CI148" i="104"/>
  <c r="EF148" i="104" s="1"/>
  <c r="CJ35" i="104"/>
  <c r="EG35" i="104" s="1"/>
  <c r="FA35" i="104" s="1"/>
  <c r="CW148" i="104"/>
  <c r="ET148" i="104" s="1"/>
  <c r="CJ38" i="104"/>
  <c r="EG38" i="104" s="1"/>
  <c r="FA38" i="104" s="1"/>
  <c r="CW91" i="104"/>
  <c r="ET91" i="104" s="1"/>
  <c r="CI98" i="104"/>
  <c r="EF98" i="104" s="1"/>
  <c r="CP153" i="104"/>
  <c r="EM153" i="104" s="1"/>
  <c r="CJ40" i="104"/>
  <c r="EG40" i="104" s="1"/>
  <c r="FA40" i="104" s="1"/>
  <c r="CX35" i="104"/>
  <c r="EU35" i="104" s="1"/>
  <c r="FC35" i="104" s="1"/>
  <c r="CX38" i="104"/>
  <c r="EU38" i="104" s="1"/>
  <c r="FC38" i="104" s="1"/>
  <c r="CJ37" i="104"/>
  <c r="EG37" i="104" s="1"/>
  <c r="FA37" i="104" s="1"/>
  <c r="CW149" i="104"/>
  <c r="ET149" i="104" s="1"/>
  <c r="CP91" i="104"/>
  <c r="EM91" i="104" s="1"/>
  <c r="CP97" i="104"/>
  <c r="EM97" i="104" s="1"/>
  <c r="CX37" i="104"/>
  <c r="EU37" i="104" s="1"/>
  <c r="FC37" i="104" s="1"/>
  <c r="CP150" i="104"/>
  <c r="EM150" i="104" s="1"/>
  <c r="CP98" i="104"/>
  <c r="EM98" i="104" s="1"/>
  <c r="CI97" i="104"/>
  <c r="EF97" i="104" s="1"/>
  <c r="CI151" i="104"/>
  <c r="EF151" i="104" s="1"/>
  <c r="L163" i="104"/>
  <c r="L106" i="104"/>
  <c r="L158" i="104"/>
  <c r="L101" i="104"/>
  <c r="L156" i="104"/>
  <c r="L99" i="104"/>
  <c r="L162" i="104"/>
  <c r="L105" i="104"/>
  <c r="L160" i="104"/>
  <c r="L103" i="104"/>
  <c r="L161" i="104"/>
  <c r="L104" i="104"/>
  <c r="L159" i="104"/>
  <c r="L102" i="104"/>
  <c r="L100" i="104"/>
  <c r="L157" i="104"/>
  <c r="I120" i="104"/>
  <c r="I63" i="104"/>
  <c r="AT40" i="64"/>
  <c r="AT45" i="64"/>
  <c r="CJ34" i="104" l="1"/>
  <c r="EG34" i="104" s="1"/>
  <c r="FA34" i="104" s="1"/>
  <c r="CX34" i="104"/>
  <c r="EU34" i="104" s="1"/>
  <c r="FC34" i="104" s="1"/>
  <c r="CQ40" i="104"/>
  <c r="EN40" i="104" s="1"/>
  <c r="FB40" i="104" s="1"/>
  <c r="BD43" i="104"/>
  <c r="DA43" i="104" s="1"/>
  <c r="CQ41" i="104"/>
  <c r="EN41" i="104" s="1"/>
  <c r="FB41" i="104" s="1"/>
  <c r="CQ36" i="104"/>
  <c r="EN36" i="104" s="1"/>
  <c r="FB36" i="104" s="1"/>
  <c r="CQ35" i="104"/>
  <c r="EN35" i="104" s="1"/>
  <c r="FB35" i="104" s="1"/>
  <c r="BF43" i="104"/>
  <c r="DC43" i="104" s="1"/>
  <c r="CQ39" i="104"/>
  <c r="EN39" i="104" s="1"/>
  <c r="FB39" i="104" s="1"/>
  <c r="AC264" i="113"/>
  <c r="V264" i="113"/>
  <c r="CQ38" i="104"/>
  <c r="EN38" i="104" s="1"/>
  <c r="FB38" i="104" s="1"/>
  <c r="CQ34" i="104"/>
  <c r="EN34" i="104" s="1"/>
  <c r="FB34" i="104" s="1"/>
  <c r="CQ37" i="104"/>
  <c r="EN37" i="104" s="1"/>
  <c r="FB37" i="104" s="1"/>
  <c r="CN120" i="104"/>
  <c r="EK120" i="104" s="1"/>
  <c r="BF163" i="104"/>
  <c r="DC163" i="104" s="1"/>
  <c r="BD163" i="104"/>
  <c r="DA163" i="104" s="1"/>
  <c r="BK63" i="104"/>
  <c r="DH63" i="104" s="1"/>
  <c r="BD102" i="104"/>
  <c r="DA102" i="104" s="1"/>
  <c r="BF102" i="104"/>
  <c r="DC102" i="104" s="1"/>
  <c r="CU63" i="104"/>
  <c r="ER63" i="104" s="1"/>
  <c r="BG42" i="104"/>
  <c r="DD42" i="104" s="1"/>
  <c r="BE42" i="104"/>
  <c r="DB42" i="104" s="1"/>
  <c r="BD101" i="104"/>
  <c r="DA101" i="104" s="1"/>
  <c r="BF101" i="104"/>
  <c r="DC101" i="104" s="1"/>
  <c r="CG63" i="104"/>
  <c r="ED63" i="104" s="1"/>
  <c r="CU120" i="104"/>
  <c r="ER120" i="104" s="1"/>
  <c r="BR120" i="104"/>
  <c r="DO120" i="104" s="1"/>
  <c r="BR63" i="104"/>
  <c r="DO63" i="104" s="1"/>
  <c r="BF160" i="104"/>
  <c r="DC160" i="104" s="1"/>
  <c r="BD160" i="104"/>
  <c r="DA160" i="104" s="1"/>
  <c r="BG47" i="104"/>
  <c r="DD47" i="104" s="1"/>
  <c r="BE47" i="104"/>
  <c r="DB47" i="104" s="1"/>
  <c r="BD100" i="104"/>
  <c r="DA100" i="104" s="1"/>
  <c r="BF100" i="104"/>
  <c r="DC100" i="104" s="1"/>
  <c r="BF159" i="104"/>
  <c r="DC159" i="104" s="1"/>
  <c r="BD159" i="104"/>
  <c r="DA159" i="104" s="1"/>
  <c r="BG44" i="104"/>
  <c r="DD44" i="104" s="1"/>
  <c r="BE44" i="104"/>
  <c r="DB44" i="104" s="1"/>
  <c r="CN63" i="104"/>
  <c r="EK63" i="104" s="1"/>
  <c r="BF157" i="104"/>
  <c r="DC157" i="104" s="1"/>
  <c r="BD157" i="104"/>
  <c r="DA157" i="104" s="1"/>
  <c r="BF158" i="104"/>
  <c r="DC158" i="104" s="1"/>
  <c r="BD158" i="104"/>
  <c r="DA158" i="104" s="1"/>
  <c r="BD103" i="104"/>
  <c r="DA103" i="104" s="1"/>
  <c r="BF103" i="104"/>
  <c r="DC103" i="104" s="1"/>
  <c r="BF161" i="104"/>
  <c r="DC161" i="104" s="1"/>
  <c r="BD161" i="104"/>
  <c r="DA161" i="104" s="1"/>
  <c r="BE43" i="104"/>
  <c r="DB43" i="104" s="1"/>
  <c r="BG43" i="104"/>
  <c r="DD43" i="104" s="1"/>
  <c r="CG120" i="104"/>
  <c r="ED120" i="104" s="1"/>
  <c r="BG46" i="104"/>
  <c r="DD46" i="104" s="1"/>
  <c r="BE46" i="104"/>
  <c r="DB46" i="104" s="1"/>
  <c r="BF162" i="104"/>
  <c r="DC162" i="104" s="1"/>
  <c r="BD162" i="104"/>
  <c r="DA162" i="104" s="1"/>
  <c r="BD105" i="104"/>
  <c r="DA105" i="104" s="1"/>
  <c r="BF105" i="104"/>
  <c r="DC105" i="104" s="1"/>
  <c r="BG48" i="104"/>
  <c r="DD48" i="104" s="1"/>
  <c r="BE48" i="104"/>
  <c r="DB48" i="104" s="1"/>
  <c r="BF99" i="104"/>
  <c r="DC99" i="104" s="1"/>
  <c r="BD99" i="104"/>
  <c r="DA99" i="104" s="1"/>
  <c r="BG49" i="104"/>
  <c r="DD49" i="104" s="1"/>
  <c r="BE49" i="104"/>
  <c r="DB49" i="104" s="1"/>
  <c r="BK120" i="104"/>
  <c r="DH120" i="104" s="1"/>
  <c r="BG45" i="104"/>
  <c r="DD45" i="104" s="1"/>
  <c r="BE45" i="104"/>
  <c r="DB45" i="104" s="1"/>
  <c r="BD106" i="104"/>
  <c r="DA106" i="104" s="1"/>
  <c r="BF106" i="104"/>
  <c r="DC106" i="104" s="1"/>
  <c r="BF156" i="104"/>
  <c r="DC156" i="104" s="1"/>
  <c r="BD156" i="104"/>
  <c r="DA156" i="104" s="1"/>
  <c r="BD104" i="104"/>
  <c r="DA104" i="104" s="1"/>
  <c r="BF104" i="104"/>
  <c r="DC104" i="104" s="1"/>
  <c r="CJ151" i="104"/>
  <c r="EG151" i="104" s="1"/>
  <c r="FA151" i="104" s="1"/>
  <c r="CX149" i="104"/>
  <c r="EU149" i="104" s="1"/>
  <c r="FC149" i="104" s="1"/>
  <c r="CJ155" i="104"/>
  <c r="EG155" i="104" s="1"/>
  <c r="FA155" i="104" s="1"/>
  <c r="CQ95" i="104"/>
  <c r="EN95" i="104" s="1"/>
  <c r="FB95" i="104" s="1"/>
  <c r="CQ94" i="104"/>
  <c r="EN94" i="104" s="1"/>
  <c r="FB94" i="104" s="1"/>
  <c r="CX92" i="104"/>
  <c r="EU92" i="104" s="1"/>
  <c r="FC92" i="104" s="1"/>
  <c r="CJ150" i="104"/>
  <c r="EG150" i="104" s="1"/>
  <c r="FA150" i="104" s="1"/>
  <c r="CX152" i="104"/>
  <c r="EU152" i="104" s="1"/>
  <c r="FC152" i="104" s="1"/>
  <c r="CQ155" i="104"/>
  <c r="EN155" i="104" s="1"/>
  <c r="FB155" i="104" s="1"/>
  <c r="CQ98" i="104"/>
  <c r="EN98" i="104" s="1"/>
  <c r="FB98" i="104" s="1"/>
  <c r="CQ97" i="104"/>
  <c r="EN97" i="104" s="1"/>
  <c r="FB97" i="104" s="1"/>
  <c r="CQ153" i="104"/>
  <c r="EN153" i="104" s="1"/>
  <c r="FB153" i="104" s="1"/>
  <c r="CX91" i="104"/>
  <c r="EU91" i="104" s="1"/>
  <c r="FC91" i="104" s="1"/>
  <c r="CX148" i="104"/>
  <c r="EU148" i="104" s="1"/>
  <c r="FC148" i="104" s="1"/>
  <c r="CJ148" i="104"/>
  <c r="EG148" i="104" s="1"/>
  <c r="FA148" i="104" s="1"/>
  <c r="CQ92" i="104"/>
  <c r="EN92" i="104" s="1"/>
  <c r="FB92" i="104" s="1"/>
  <c r="CX94" i="104"/>
  <c r="EU94" i="104" s="1"/>
  <c r="FC94" i="104" s="1"/>
  <c r="CQ149" i="104"/>
  <c r="EN149" i="104" s="1"/>
  <c r="FB149" i="104" s="1"/>
  <c r="CQ96" i="104"/>
  <c r="EN96" i="104" s="1"/>
  <c r="FB96" i="104" s="1"/>
  <c r="CQ151" i="104"/>
  <c r="EN151" i="104" s="1"/>
  <c r="FB151" i="104" s="1"/>
  <c r="CJ91" i="104"/>
  <c r="EG91" i="104" s="1"/>
  <c r="FA91" i="104" s="1"/>
  <c r="CX154" i="104"/>
  <c r="EU154" i="104" s="1"/>
  <c r="FC154" i="104" s="1"/>
  <c r="CJ96" i="104"/>
  <c r="EG96" i="104" s="1"/>
  <c r="FA96" i="104" s="1"/>
  <c r="CJ152" i="104"/>
  <c r="EG152" i="104" s="1"/>
  <c r="FA152" i="104" s="1"/>
  <c r="CJ95" i="104"/>
  <c r="EG95" i="104" s="1"/>
  <c r="FA95" i="104" s="1"/>
  <c r="CJ153" i="104"/>
  <c r="EG153" i="104" s="1"/>
  <c r="FA153" i="104" s="1"/>
  <c r="CJ154" i="104"/>
  <c r="EG154" i="104" s="1"/>
  <c r="FA154" i="104" s="1"/>
  <c r="CX98" i="104"/>
  <c r="EU98" i="104" s="1"/>
  <c r="FC98" i="104" s="1"/>
  <c r="CX96" i="104"/>
  <c r="EU96" i="104" s="1"/>
  <c r="FC96" i="104" s="1"/>
  <c r="CX95" i="104"/>
  <c r="EU95" i="104" s="1"/>
  <c r="FC95" i="104" s="1"/>
  <c r="CX155" i="104"/>
  <c r="EU155" i="104" s="1"/>
  <c r="CJ94" i="104"/>
  <c r="EG94" i="104" s="1"/>
  <c r="FA94" i="104" s="1"/>
  <c r="CX151" i="104"/>
  <c r="EU151" i="104" s="1"/>
  <c r="CJ97" i="104"/>
  <c r="EG97" i="104" s="1"/>
  <c r="FA97" i="104" s="1"/>
  <c r="CQ150" i="104"/>
  <c r="EN150" i="104" s="1"/>
  <c r="FB150" i="104" s="1"/>
  <c r="CQ91" i="104"/>
  <c r="EN91" i="104" s="1"/>
  <c r="FB91" i="104" s="1"/>
  <c r="CJ98" i="104"/>
  <c r="EG98" i="104" s="1"/>
  <c r="FA98" i="104" s="1"/>
  <c r="CX153" i="104"/>
  <c r="EU153" i="104" s="1"/>
  <c r="FC153" i="104" s="1"/>
  <c r="CQ93" i="104"/>
  <c r="EN93" i="104" s="1"/>
  <c r="FB93" i="104" s="1"/>
  <c r="CQ152" i="104"/>
  <c r="EN152" i="104" s="1"/>
  <c r="FB152" i="104" s="1"/>
  <c r="CJ92" i="104"/>
  <c r="EG92" i="104" s="1"/>
  <c r="FA92" i="104" s="1"/>
  <c r="CJ93" i="104"/>
  <c r="EG93" i="104" s="1"/>
  <c r="FA93" i="104" s="1"/>
  <c r="CQ154" i="104"/>
  <c r="EN154" i="104" s="1"/>
  <c r="FB154" i="104" s="1"/>
  <c r="CX93" i="104"/>
  <c r="EU93" i="104" s="1"/>
  <c r="FC93" i="104" s="1"/>
  <c r="CJ149" i="104"/>
  <c r="EG149" i="104" s="1"/>
  <c r="FA149" i="104" s="1"/>
  <c r="CQ148" i="104"/>
  <c r="EN148" i="104" s="1"/>
  <c r="FB148" i="104" s="1"/>
  <c r="CX97" i="104"/>
  <c r="EU97" i="104" s="1"/>
  <c r="FC97" i="104" s="1"/>
  <c r="CX150" i="104"/>
  <c r="EU150" i="104" s="1"/>
  <c r="FC150" i="104" s="1"/>
  <c r="BB40" i="64"/>
  <c r="AN40" i="64"/>
  <c r="BB45" i="64"/>
  <c r="AO40" i="64"/>
  <c r="AV45" i="64"/>
  <c r="AN45" i="64"/>
  <c r="AU40" i="64"/>
  <c r="BC40" i="64"/>
  <c r="BC45" i="64"/>
  <c r="AU45" i="64"/>
  <c r="AO45" i="64"/>
  <c r="FC155" i="104" l="1"/>
  <c r="FL41" i="104" s="1"/>
  <c r="FC151" i="104"/>
  <c r="FL37" i="104" s="1"/>
  <c r="FL35" i="104"/>
  <c r="FL36" i="104"/>
  <c r="FL38" i="104"/>
  <c r="FL39" i="104"/>
  <c r="FL34" i="104"/>
  <c r="FL40" i="104"/>
  <c r="W264" i="113"/>
  <c r="AD264" i="113"/>
  <c r="BH48" i="104"/>
  <c r="DE48" i="104" s="1"/>
  <c r="EW48" i="104" s="1"/>
  <c r="BE105" i="104"/>
  <c r="DB105" i="104" s="1"/>
  <c r="BG105" i="104"/>
  <c r="DD105" i="104" s="1"/>
  <c r="BH47" i="104"/>
  <c r="DE47" i="104" s="1"/>
  <c r="EW47" i="104" s="1"/>
  <c r="BS63" i="104"/>
  <c r="DP63" i="104" s="1"/>
  <c r="BL63" i="104"/>
  <c r="DI63" i="104" s="1"/>
  <c r="BL120" i="104"/>
  <c r="DI120" i="104" s="1"/>
  <c r="CH120" i="104"/>
  <c r="EE120" i="104" s="1"/>
  <c r="BE158" i="104"/>
  <c r="DB158" i="104" s="1"/>
  <c r="BG158" i="104"/>
  <c r="DD158" i="104" s="1"/>
  <c r="CO63" i="104"/>
  <c r="EL63" i="104" s="1"/>
  <c r="CV63" i="104"/>
  <c r="ES63" i="104" s="1"/>
  <c r="BG106" i="104"/>
  <c r="DD106" i="104" s="1"/>
  <c r="BE106" i="104"/>
  <c r="DB106" i="104" s="1"/>
  <c r="BH49" i="104"/>
  <c r="DE49" i="104" s="1"/>
  <c r="EW49" i="104" s="1"/>
  <c r="BE162" i="104"/>
  <c r="DB162" i="104" s="1"/>
  <c r="BG162" i="104"/>
  <c r="DD162" i="104" s="1"/>
  <c r="BE163" i="104"/>
  <c r="DB163" i="104" s="1"/>
  <c r="BG163" i="104"/>
  <c r="DD163" i="104" s="1"/>
  <c r="BH44" i="104"/>
  <c r="DE44" i="104" s="1"/>
  <c r="EW44" i="104" s="1"/>
  <c r="BS120" i="104"/>
  <c r="DP120" i="104" s="1"/>
  <c r="BE101" i="104"/>
  <c r="DB101" i="104" s="1"/>
  <c r="BG101" i="104"/>
  <c r="DD101" i="104" s="1"/>
  <c r="BE104" i="104"/>
  <c r="DB104" i="104" s="1"/>
  <c r="BG104" i="104"/>
  <c r="DD104" i="104" s="1"/>
  <c r="BH43" i="104"/>
  <c r="DE43" i="104" s="1"/>
  <c r="EW43" i="104" s="1"/>
  <c r="BE160" i="104"/>
  <c r="DB160" i="104" s="1"/>
  <c r="BG160" i="104"/>
  <c r="DD160" i="104" s="1"/>
  <c r="BH45" i="104"/>
  <c r="DE45" i="104" s="1"/>
  <c r="EW45" i="104" s="1"/>
  <c r="BH46" i="104"/>
  <c r="DE46" i="104" s="1"/>
  <c r="EW46" i="104" s="1"/>
  <c r="BE157" i="104"/>
  <c r="DB157" i="104" s="1"/>
  <c r="BG157" i="104"/>
  <c r="DD157" i="104" s="1"/>
  <c r="BE100" i="104"/>
  <c r="DB100" i="104" s="1"/>
  <c r="BG100" i="104"/>
  <c r="DD100" i="104" s="1"/>
  <c r="CV120" i="104"/>
  <c r="ES120" i="104" s="1"/>
  <c r="BH42" i="104"/>
  <c r="DE42" i="104" s="1"/>
  <c r="EW42" i="104" s="1"/>
  <c r="BG102" i="104"/>
  <c r="DD102" i="104" s="1"/>
  <c r="BE102" i="104"/>
  <c r="DB102" i="104" s="1"/>
  <c r="BE156" i="104"/>
  <c r="DB156" i="104" s="1"/>
  <c r="BG156" i="104"/>
  <c r="DD156" i="104" s="1"/>
  <c r="BG99" i="104"/>
  <c r="DD99" i="104" s="1"/>
  <c r="BE99" i="104"/>
  <c r="DB99" i="104" s="1"/>
  <c r="CO120" i="104"/>
  <c r="EL120" i="104" s="1"/>
  <c r="BE161" i="104"/>
  <c r="DB161" i="104" s="1"/>
  <c r="BG161" i="104"/>
  <c r="DD161" i="104" s="1"/>
  <c r="BG103" i="104"/>
  <c r="DD103" i="104" s="1"/>
  <c r="BE103" i="104"/>
  <c r="DB103" i="104" s="1"/>
  <c r="BE159" i="104"/>
  <c r="DB159" i="104" s="1"/>
  <c r="BG159" i="104"/>
  <c r="DD159" i="104" s="1"/>
  <c r="CH63" i="104"/>
  <c r="EE63" i="104" s="1"/>
  <c r="AV40" i="64"/>
  <c r="BU264" i="113" l="1"/>
  <c r="AE264" i="113"/>
  <c r="X264" i="113"/>
  <c r="BH159" i="104"/>
  <c r="DE159" i="104" s="1"/>
  <c r="EW159" i="104" s="1"/>
  <c r="BH104" i="104"/>
  <c r="DE104" i="104" s="1"/>
  <c r="EW104" i="104" s="1"/>
  <c r="CP63" i="104"/>
  <c r="EM63" i="104" s="1"/>
  <c r="BH156" i="104"/>
  <c r="DE156" i="104" s="1"/>
  <c r="EW156" i="104" s="1"/>
  <c r="BH160" i="104"/>
  <c r="DE160" i="104" s="1"/>
  <c r="EW160" i="104" s="1"/>
  <c r="BM63" i="104"/>
  <c r="DJ63" i="104" s="1"/>
  <c r="CP120" i="104"/>
  <c r="EM120" i="104" s="1"/>
  <c r="BH103" i="104"/>
  <c r="DE103" i="104" s="1"/>
  <c r="EW103" i="104" s="1"/>
  <c r="BH101" i="104"/>
  <c r="DE101" i="104" s="1"/>
  <c r="EW101" i="104" s="1"/>
  <c r="BH163" i="104"/>
  <c r="DE163" i="104" s="1"/>
  <c r="EW163" i="104" s="1"/>
  <c r="BH106" i="104"/>
  <c r="DE106" i="104" s="1"/>
  <c r="EW106" i="104" s="1"/>
  <c r="BH158" i="104"/>
  <c r="DE158" i="104" s="1"/>
  <c r="EW158" i="104" s="1"/>
  <c r="BH105" i="104"/>
  <c r="DE105" i="104" s="1"/>
  <c r="EW105" i="104" s="1"/>
  <c r="CI63" i="104"/>
  <c r="EF63" i="104" s="1"/>
  <c r="BH100" i="104"/>
  <c r="DE100" i="104" s="1"/>
  <c r="EW100" i="104" s="1"/>
  <c r="BT63" i="104"/>
  <c r="DQ63" i="104" s="1"/>
  <c r="BH102" i="104"/>
  <c r="DE102" i="104" s="1"/>
  <c r="EW102" i="104" s="1"/>
  <c r="BH99" i="104"/>
  <c r="DE99" i="104" s="1"/>
  <c r="EW99" i="104" s="1"/>
  <c r="BT120" i="104"/>
  <c r="DQ120" i="104" s="1"/>
  <c r="CI120" i="104"/>
  <c r="EF120" i="104" s="1"/>
  <c r="CW63" i="104"/>
  <c r="ET63" i="104" s="1"/>
  <c r="BH161" i="104"/>
  <c r="DE161" i="104" s="1"/>
  <c r="EW161" i="104" s="1"/>
  <c r="BH157" i="104"/>
  <c r="DE157" i="104" s="1"/>
  <c r="EW157" i="104" s="1"/>
  <c r="BH162" i="104"/>
  <c r="DE162" i="104" s="1"/>
  <c r="EW162" i="104" s="1"/>
  <c r="BM120" i="104"/>
  <c r="DJ120" i="104" s="1"/>
  <c r="CW120" i="104"/>
  <c r="ET120" i="104" s="1"/>
  <c r="Y264" i="113" l="1"/>
  <c r="AF264" i="113"/>
  <c r="BT264" i="113"/>
  <c r="CX63" i="104"/>
  <c r="EU63" i="104" s="1"/>
  <c r="FC63" i="104" s="1"/>
  <c r="CJ63" i="104"/>
  <c r="EG63" i="104" s="1"/>
  <c r="FA63" i="104" s="1"/>
  <c r="CQ120" i="104"/>
  <c r="EN120" i="104" s="1"/>
  <c r="FB120" i="104" s="1"/>
  <c r="CJ120" i="104"/>
  <c r="EG120" i="104" s="1"/>
  <c r="FA120" i="104" s="1"/>
  <c r="BU63" i="104"/>
  <c r="DR63" i="104" s="1"/>
  <c r="BN63" i="104"/>
  <c r="DK63" i="104" s="1"/>
  <c r="CX120" i="104"/>
  <c r="EU120" i="104" s="1"/>
  <c r="FC120" i="104" s="1"/>
  <c r="BU120" i="104"/>
  <c r="DR120" i="104" s="1"/>
  <c r="CQ63" i="104"/>
  <c r="EN63" i="104" s="1"/>
  <c r="FB63" i="104" s="1"/>
  <c r="BN120" i="104"/>
  <c r="DK120" i="104" s="1"/>
  <c r="Z264" i="113" l="1"/>
  <c r="AG264" i="113"/>
  <c r="BV120" i="104"/>
  <c r="DS120" i="104" s="1"/>
  <c r="EY120" i="104" s="1"/>
  <c r="BO120" i="104"/>
  <c r="DL120" i="104" s="1"/>
  <c r="EX120" i="104" s="1"/>
  <c r="BO63" i="104"/>
  <c r="DL63" i="104" s="1"/>
  <c r="EX63" i="104" s="1"/>
  <c r="BV63" i="104"/>
  <c r="DS63" i="104" s="1"/>
  <c r="EY63" i="104" s="1"/>
  <c r="FI6" i="104"/>
  <c r="BD278" i="113" l="1"/>
  <c r="FI33" i="104"/>
  <c r="AX48" i="71" l="1"/>
  <c r="AB264" i="113"/>
  <c r="AI264" i="113"/>
  <c r="AH264" i="113"/>
  <c r="AA264" i="113"/>
  <c r="AB278" i="113"/>
  <c r="AI278" i="113"/>
  <c r="C106" i="110"/>
  <c r="F15" i="110" s="1"/>
  <c r="C105" i="110"/>
  <c r="E15" i="110" s="1"/>
  <c r="F94" i="110"/>
  <c r="F93" i="110"/>
  <c r="F92" i="110"/>
  <c r="F91" i="110"/>
  <c r="P80" i="110"/>
  <c r="Q80" i="110" s="1"/>
  <c r="E74" i="110"/>
  <c r="C17" i="110" s="1"/>
  <c r="D74" i="110"/>
  <c r="E17" i="110" s="1"/>
  <c r="L42" i="110"/>
  <c r="K42" i="110"/>
  <c r="J42" i="110"/>
  <c r="I42" i="110"/>
  <c r="L41" i="110"/>
  <c r="K41" i="110"/>
  <c r="J41" i="110"/>
  <c r="I41" i="110"/>
  <c r="L40" i="110"/>
  <c r="K40" i="110"/>
  <c r="J40" i="110"/>
  <c r="I40" i="110"/>
  <c r="L39" i="110"/>
  <c r="K39" i="110"/>
  <c r="J39" i="110"/>
  <c r="I39" i="110"/>
  <c r="L38" i="110"/>
  <c r="K38" i="110"/>
  <c r="J38" i="110"/>
  <c r="I38" i="110"/>
  <c r="L37" i="110"/>
  <c r="K37" i="110"/>
  <c r="J37" i="110"/>
  <c r="I37" i="110"/>
  <c r="L36" i="110"/>
  <c r="K36" i="110"/>
  <c r="J36" i="110"/>
  <c r="I36" i="110"/>
  <c r="L35" i="110"/>
  <c r="K35" i="110"/>
  <c r="J35" i="110"/>
  <c r="I35" i="110"/>
  <c r="L34" i="110"/>
  <c r="Q33" i="110" s="1"/>
  <c r="C16" i="110" s="1"/>
  <c r="K34" i="110"/>
  <c r="J34" i="110"/>
  <c r="I34" i="110"/>
  <c r="O28" i="110"/>
  <c r="N28" i="110"/>
  <c r="M28" i="110"/>
  <c r="L28" i="110"/>
  <c r="K28" i="110"/>
  <c r="J28" i="110"/>
  <c r="I28" i="110"/>
  <c r="H28" i="110"/>
  <c r="R24" i="110"/>
  <c r="D13" i="110" s="1"/>
  <c r="V23" i="110"/>
  <c r="H13" i="110" s="1"/>
  <c r="Q23" i="110"/>
  <c r="G17" i="110"/>
  <c r="U33" i="110" l="1"/>
  <c r="G16" i="110" s="1"/>
  <c r="C13" i="110"/>
  <c r="FI7" i="104"/>
  <c r="T24" i="110"/>
  <c r="F13" i="110" s="1"/>
  <c r="F18" i="110" s="1"/>
  <c r="S33" i="110"/>
  <c r="E16" i="110" s="1"/>
  <c r="F95" i="110"/>
  <c r="AV145" i="104" l="1"/>
  <c r="AV88" i="104"/>
  <c r="AX144" i="104"/>
  <c r="AV144" i="104"/>
  <c r="AV87" i="104"/>
  <c r="AX145" i="104"/>
  <c r="H39" i="104"/>
  <c r="H35" i="104"/>
  <c r="H40" i="104"/>
  <c r="H37" i="104"/>
  <c r="H41" i="104"/>
  <c r="H38" i="104"/>
  <c r="H36" i="104"/>
  <c r="AW87" i="104" l="1"/>
  <c r="AW144" i="104"/>
  <c r="AW88" i="104"/>
  <c r="AW145" i="104"/>
  <c r="J36" i="104"/>
  <c r="BB36" i="104" s="1"/>
  <c r="CY36" i="104" s="1"/>
  <c r="H150" i="104"/>
  <c r="H93" i="104"/>
  <c r="H151" i="104"/>
  <c r="H94" i="104"/>
  <c r="H152" i="104"/>
  <c r="H95" i="104"/>
  <c r="H154" i="104"/>
  <c r="H97" i="104"/>
  <c r="H155" i="104"/>
  <c r="H98" i="104"/>
  <c r="H92" i="104"/>
  <c r="H149" i="104"/>
  <c r="H148" i="104"/>
  <c r="H91" i="104"/>
  <c r="H153" i="104"/>
  <c r="H96" i="104"/>
  <c r="J39" i="104"/>
  <c r="BB39" i="104" s="1"/>
  <c r="CY39" i="104" s="1"/>
  <c r="J37" i="104"/>
  <c r="BB37" i="104" s="1"/>
  <c r="CY37" i="104" s="1"/>
  <c r="J34" i="104"/>
  <c r="BB34" i="104" s="1"/>
  <c r="CY34" i="104" s="1"/>
  <c r="J38" i="104"/>
  <c r="BB38" i="104" s="1"/>
  <c r="CY38" i="104" s="1"/>
  <c r="J40" i="104"/>
  <c r="BB40" i="104" s="1"/>
  <c r="CY40" i="104" s="1"/>
  <c r="J41" i="104"/>
  <c r="BB41" i="104" s="1"/>
  <c r="CY41" i="104" s="1"/>
  <c r="J35" i="104"/>
  <c r="BB35" i="104" s="1"/>
  <c r="CY35" i="104" s="1"/>
  <c r="M144" i="104"/>
  <c r="M87" i="104"/>
  <c r="AV142" i="104" l="1"/>
  <c r="AV85" i="104"/>
  <c r="AX142" i="104"/>
  <c r="AV143" i="104"/>
  <c r="AV86" i="104"/>
  <c r="AX143" i="104"/>
  <c r="BC38" i="104"/>
  <c r="CZ38" i="104" s="1"/>
  <c r="BC35" i="104"/>
  <c r="CZ35" i="104" s="1"/>
  <c r="BC34" i="104"/>
  <c r="CZ34" i="104" s="1"/>
  <c r="BC41" i="104"/>
  <c r="CZ41" i="104" s="1"/>
  <c r="BC37" i="104"/>
  <c r="CZ37" i="104" s="1"/>
  <c r="BC40" i="104"/>
  <c r="CZ40" i="104" s="1"/>
  <c r="BC39" i="104"/>
  <c r="CZ39" i="104" s="1"/>
  <c r="BC36" i="104"/>
  <c r="CZ36" i="104" s="1"/>
  <c r="L38" i="104"/>
  <c r="J152" i="104"/>
  <c r="BB152" i="104" s="1"/>
  <c r="CY152" i="104" s="1"/>
  <c r="J95" i="104"/>
  <c r="BB95" i="104" s="1"/>
  <c r="CY95" i="104" s="1"/>
  <c r="L35" i="104"/>
  <c r="J149" i="104"/>
  <c r="BB149" i="104" s="1"/>
  <c r="CY149" i="104" s="1"/>
  <c r="J92" i="104"/>
  <c r="BB92" i="104" s="1"/>
  <c r="CY92" i="104" s="1"/>
  <c r="L34" i="104"/>
  <c r="J148" i="104"/>
  <c r="BB148" i="104" s="1"/>
  <c r="CY148" i="104" s="1"/>
  <c r="J91" i="104"/>
  <c r="BB91" i="104" s="1"/>
  <c r="CY91" i="104" s="1"/>
  <c r="L36" i="104"/>
  <c r="J150" i="104"/>
  <c r="BB150" i="104" s="1"/>
  <c r="CY150" i="104" s="1"/>
  <c r="J93" i="104"/>
  <c r="BB93" i="104" s="1"/>
  <c r="CY93" i="104" s="1"/>
  <c r="L41" i="104"/>
  <c r="J98" i="104"/>
  <c r="BB98" i="104" s="1"/>
  <c r="CY98" i="104" s="1"/>
  <c r="J155" i="104"/>
  <c r="BB155" i="104" s="1"/>
  <c r="CY155" i="104" s="1"/>
  <c r="L37" i="104"/>
  <c r="J151" i="104"/>
  <c r="BB151" i="104" s="1"/>
  <c r="CY151" i="104" s="1"/>
  <c r="J94" i="104"/>
  <c r="BB94" i="104" s="1"/>
  <c r="CY94" i="104" s="1"/>
  <c r="L40" i="104"/>
  <c r="J154" i="104"/>
  <c r="BB154" i="104" s="1"/>
  <c r="CY154" i="104" s="1"/>
  <c r="J97" i="104"/>
  <c r="BB97" i="104" s="1"/>
  <c r="CY97" i="104" s="1"/>
  <c r="L39" i="104"/>
  <c r="J153" i="104"/>
  <c r="BB153" i="104" s="1"/>
  <c r="CY153" i="104" s="1"/>
  <c r="J96" i="104"/>
  <c r="BB96" i="104" s="1"/>
  <c r="CY96" i="104" s="1"/>
  <c r="M86" i="104"/>
  <c r="M143" i="104"/>
  <c r="L29" i="104"/>
  <c r="N42" i="64"/>
  <c r="N44" i="64"/>
  <c r="N38" i="64"/>
  <c r="N40" i="64"/>
  <c r="N45" i="64"/>
  <c r="AW142" i="104" l="1"/>
  <c r="AW85" i="104"/>
  <c r="AW86" i="104"/>
  <c r="AW143" i="104"/>
  <c r="BC148" i="104"/>
  <c r="CZ148" i="104" s="1"/>
  <c r="BC150" i="104"/>
  <c r="CZ150" i="104" s="1"/>
  <c r="BC95" i="104"/>
  <c r="CZ95" i="104" s="1"/>
  <c r="BF36" i="104"/>
  <c r="DC36" i="104" s="1"/>
  <c r="BD36" i="104"/>
  <c r="DA36" i="104" s="1"/>
  <c r="BD40" i="104"/>
  <c r="DA40" i="104" s="1"/>
  <c r="BF40" i="104"/>
  <c r="DC40" i="104" s="1"/>
  <c r="BD41" i="104"/>
  <c r="DA41" i="104" s="1"/>
  <c r="BF41" i="104"/>
  <c r="DC41" i="104" s="1"/>
  <c r="BF35" i="104"/>
  <c r="DC35" i="104" s="1"/>
  <c r="BD35" i="104"/>
  <c r="DA35" i="104" s="1"/>
  <c r="BC154" i="104"/>
  <c r="CZ154" i="104" s="1"/>
  <c r="BC153" i="104"/>
  <c r="CZ153" i="104" s="1"/>
  <c r="BC94" i="104"/>
  <c r="CZ94" i="104" s="1"/>
  <c r="BC92" i="104"/>
  <c r="CZ92" i="104" s="1"/>
  <c r="BC152" i="104"/>
  <c r="CZ152" i="104" s="1"/>
  <c r="BC96" i="104"/>
  <c r="CZ96" i="104" s="1"/>
  <c r="BC93" i="104"/>
  <c r="CZ93" i="104" s="1"/>
  <c r="BC155" i="104"/>
  <c r="CZ155" i="104" s="1"/>
  <c r="BC98" i="104"/>
  <c r="CZ98" i="104" s="1"/>
  <c r="BC97" i="104"/>
  <c r="CZ97" i="104" s="1"/>
  <c r="BC151" i="104"/>
  <c r="CZ151" i="104" s="1"/>
  <c r="BC91" i="104"/>
  <c r="CZ91" i="104" s="1"/>
  <c r="BC149" i="104"/>
  <c r="CZ149" i="104" s="1"/>
  <c r="BD39" i="104"/>
  <c r="DA39" i="104" s="1"/>
  <c r="BF39" i="104"/>
  <c r="DC39" i="104" s="1"/>
  <c r="BF37" i="104"/>
  <c r="DC37" i="104" s="1"/>
  <c r="BD37" i="104"/>
  <c r="DA37" i="104" s="1"/>
  <c r="BF34" i="104"/>
  <c r="DC34" i="104" s="1"/>
  <c r="BD34" i="104"/>
  <c r="DA34" i="104" s="1"/>
  <c r="BF38" i="104"/>
  <c r="DC38" i="104" s="1"/>
  <c r="BD38" i="104"/>
  <c r="DA38" i="104" s="1"/>
  <c r="L149" i="104"/>
  <c r="L92" i="104"/>
  <c r="L154" i="104"/>
  <c r="L97" i="104"/>
  <c r="L155" i="104"/>
  <c r="L98" i="104"/>
  <c r="L148" i="104"/>
  <c r="L91" i="104"/>
  <c r="L153" i="104"/>
  <c r="L96" i="104"/>
  <c r="L151" i="104"/>
  <c r="L94" i="104"/>
  <c r="L150" i="104"/>
  <c r="L93" i="104"/>
  <c r="L143" i="104"/>
  <c r="L86" i="104"/>
  <c r="L152" i="104"/>
  <c r="L95" i="104"/>
  <c r="M142" i="104"/>
  <c r="M85" i="104"/>
  <c r="L28" i="104"/>
  <c r="O42" i="64"/>
  <c r="O38" i="64"/>
  <c r="O40" i="64"/>
  <c r="O44" i="64"/>
  <c r="O45" i="64"/>
  <c r="BF151" i="104" l="1"/>
  <c r="DC151" i="104" s="1"/>
  <c r="BD151" i="104"/>
  <c r="DA151" i="104" s="1"/>
  <c r="BE38" i="104"/>
  <c r="DB38" i="104" s="1"/>
  <c r="BG38" i="104"/>
  <c r="DD38" i="104" s="1"/>
  <c r="BD149" i="104"/>
  <c r="DA149" i="104" s="1"/>
  <c r="BF149" i="104"/>
  <c r="DC149" i="104" s="1"/>
  <c r="BF93" i="104"/>
  <c r="DC93" i="104" s="1"/>
  <c r="BD93" i="104"/>
  <c r="DA93" i="104" s="1"/>
  <c r="BF152" i="104"/>
  <c r="DC152" i="104" s="1"/>
  <c r="BD152" i="104"/>
  <c r="DA152" i="104" s="1"/>
  <c r="BF94" i="104"/>
  <c r="DC94" i="104" s="1"/>
  <c r="BD94" i="104"/>
  <c r="DA94" i="104" s="1"/>
  <c r="BF154" i="104"/>
  <c r="DC154" i="104" s="1"/>
  <c r="BD154" i="104"/>
  <c r="DA154" i="104" s="1"/>
  <c r="BD150" i="104"/>
  <c r="DA150" i="104" s="1"/>
  <c r="BF150" i="104"/>
  <c r="DC150" i="104" s="1"/>
  <c r="BF92" i="104"/>
  <c r="DC92" i="104" s="1"/>
  <c r="BD92" i="104"/>
  <c r="DA92" i="104" s="1"/>
  <c r="BF153" i="104"/>
  <c r="DC153" i="104" s="1"/>
  <c r="BD153" i="104"/>
  <c r="DA153" i="104" s="1"/>
  <c r="BE35" i="104"/>
  <c r="DB35" i="104" s="1"/>
  <c r="BG35" i="104"/>
  <c r="DD35" i="104" s="1"/>
  <c r="BG40" i="104"/>
  <c r="DD40" i="104" s="1"/>
  <c r="BE40" i="104"/>
  <c r="DB40" i="104" s="1"/>
  <c r="BD148" i="104"/>
  <c r="DA148" i="104" s="1"/>
  <c r="BF148" i="104"/>
  <c r="DC148" i="104" s="1"/>
  <c r="BD98" i="104"/>
  <c r="DA98" i="104" s="1"/>
  <c r="BF98" i="104"/>
  <c r="DC98" i="104" s="1"/>
  <c r="BE37" i="104"/>
  <c r="DB37" i="104" s="1"/>
  <c r="BG37" i="104"/>
  <c r="DD37" i="104" s="1"/>
  <c r="BF91" i="104"/>
  <c r="DC91" i="104" s="1"/>
  <c r="BD91" i="104"/>
  <c r="DA91" i="104" s="1"/>
  <c r="BD96" i="104"/>
  <c r="DA96" i="104" s="1"/>
  <c r="BF96" i="104"/>
  <c r="DC96" i="104" s="1"/>
  <c r="BE34" i="104"/>
  <c r="DB34" i="104" s="1"/>
  <c r="BG34" i="104"/>
  <c r="DD34" i="104" s="1"/>
  <c r="BG39" i="104"/>
  <c r="DD39" i="104" s="1"/>
  <c r="BE39" i="104"/>
  <c r="DB39" i="104" s="1"/>
  <c r="BF97" i="104"/>
  <c r="DC97" i="104" s="1"/>
  <c r="BD97" i="104"/>
  <c r="DA97" i="104" s="1"/>
  <c r="BF155" i="104"/>
  <c r="DC155" i="104" s="1"/>
  <c r="BD155" i="104"/>
  <c r="DA155" i="104" s="1"/>
  <c r="BG41" i="104"/>
  <c r="DD41" i="104" s="1"/>
  <c r="BE41" i="104"/>
  <c r="DB41" i="104" s="1"/>
  <c r="BE36" i="104"/>
  <c r="DB36" i="104" s="1"/>
  <c r="BG36" i="104"/>
  <c r="DD36" i="104" s="1"/>
  <c r="BF95" i="104"/>
  <c r="DC95" i="104" s="1"/>
  <c r="BD95" i="104"/>
  <c r="DA95" i="104" s="1"/>
  <c r="L142" i="104"/>
  <c r="L85" i="104"/>
  <c r="R45" i="64"/>
  <c r="T45" i="64"/>
  <c r="Q40" i="64"/>
  <c r="Q45" i="64"/>
  <c r="R40" i="64"/>
  <c r="T40" i="64"/>
  <c r="P40" i="64"/>
  <c r="P45" i="64"/>
  <c r="BG97" i="104" l="1"/>
  <c r="DD97" i="104" s="1"/>
  <c r="BE97" i="104"/>
  <c r="DB97" i="104" s="1"/>
  <c r="BH39" i="104"/>
  <c r="DE39" i="104" s="1"/>
  <c r="EW39" i="104" s="1"/>
  <c r="BH34" i="104"/>
  <c r="DE34" i="104" s="1"/>
  <c r="EW34" i="104" s="1"/>
  <c r="BG96" i="104"/>
  <c r="DD96" i="104" s="1"/>
  <c r="BE96" i="104"/>
  <c r="DB96" i="104" s="1"/>
  <c r="BG98" i="104"/>
  <c r="DD98" i="104" s="1"/>
  <c r="BE98" i="104"/>
  <c r="DB98" i="104" s="1"/>
  <c r="BE153" i="104"/>
  <c r="DB153" i="104" s="1"/>
  <c r="BG153" i="104"/>
  <c r="DD153" i="104" s="1"/>
  <c r="BE150" i="104"/>
  <c r="DB150" i="104" s="1"/>
  <c r="BG150" i="104"/>
  <c r="DD150" i="104" s="1"/>
  <c r="BH37" i="104"/>
  <c r="DE37" i="104" s="1"/>
  <c r="EW37" i="104" s="1"/>
  <c r="BE94" i="104"/>
  <c r="DB94" i="104" s="1"/>
  <c r="BG94" i="104"/>
  <c r="DD94" i="104" s="1"/>
  <c r="BG93" i="104"/>
  <c r="DD93" i="104" s="1"/>
  <c r="BE93" i="104"/>
  <c r="DB93" i="104" s="1"/>
  <c r="BE151" i="104"/>
  <c r="DB151" i="104" s="1"/>
  <c r="BG151" i="104"/>
  <c r="DD151" i="104" s="1"/>
  <c r="BH36" i="104"/>
  <c r="DE36" i="104" s="1"/>
  <c r="EW36" i="104" s="1"/>
  <c r="BE155" i="104"/>
  <c r="DB155" i="104" s="1"/>
  <c r="BG155" i="104"/>
  <c r="DD155" i="104" s="1"/>
  <c r="BG91" i="104"/>
  <c r="DD91" i="104" s="1"/>
  <c r="BE91" i="104"/>
  <c r="DB91" i="104" s="1"/>
  <c r="BH40" i="104"/>
  <c r="DE40" i="104" s="1"/>
  <c r="EW40" i="104" s="1"/>
  <c r="BH35" i="104"/>
  <c r="DE35" i="104" s="1"/>
  <c r="EW35" i="104" s="1"/>
  <c r="BE154" i="104"/>
  <c r="DB154" i="104" s="1"/>
  <c r="BG154" i="104"/>
  <c r="DD154" i="104" s="1"/>
  <c r="BH38" i="104"/>
  <c r="DE38" i="104" s="1"/>
  <c r="EW38" i="104" s="1"/>
  <c r="BG95" i="104"/>
  <c r="DD95" i="104" s="1"/>
  <c r="BE95" i="104"/>
  <c r="DB95" i="104" s="1"/>
  <c r="BH41" i="104"/>
  <c r="DE41" i="104" s="1"/>
  <c r="EW41" i="104" s="1"/>
  <c r="BG148" i="104"/>
  <c r="DD148" i="104" s="1"/>
  <c r="BE148" i="104"/>
  <c r="DB148" i="104" s="1"/>
  <c r="BG92" i="104"/>
  <c r="DD92" i="104" s="1"/>
  <c r="BE92" i="104"/>
  <c r="DB92" i="104" s="1"/>
  <c r="BG152" i="104"/>
  <c r="DD152" i="104" s="1"/>
  <c r="BE152" i="104"/>
  <c r="DB152" i="104" s="1"/>
  <c r="BE149" i="104"/>
  <c r="DB149" i="104" s="1"/>
  <c r="BG149" i="104"/>
  <c r="DD149" i="104" s="1"/>
  <c r="S45" i="64"/>
  <c r="BE45" i="64"/>
  <c r="S40" i="64"/>
  <c r="BE40" i="64"/>
  <c r="BH148" i="104" l="1"/>
  <c r="DE148" i="104" s="1"/>
  <c r="EW148" i="104" s="1"/>
  <c r="BH152" i="104"/>
  <c r="DE152" i="104" s="1"/>
  <c r="EW152" i="104" s="1"/>
  <c r="BH92" i="104"/>
  <c r="DE92" i="104" s="1"/>
  <c r="EW92" i="104" s="1"/>
  <c r="BH95" i="104"/>
  <c r="DE95" i="104" s="1"/>
  <c r="EW95" i="104" s="1"/>
  <c r="BH98" i="104"/>
  <c r="DE98" i="104" s="1"/>
  <c r="EW98" i="104" s="1"/>
  <c r="BH91" i="104"/>
  <c r="DE91" i="104" s="1"/>
  <c r="EW91" i="104" s="1"/>
  <c r="BH93" i="104"/>
  <c r="DE93" i="104" s="1"/>
  <c r="EW93" i="104" s="1"/>
  <c r="BH94" i="104"/>
  <c r="DE94" i="104" s="1"/>
  <c r="EW94" i="104" s="1"/>
  <c r="BH149" i="104"/>
  <c r="DE149" i="104" s="1"/>
  <c r="EW149" i="104" s="1"/>
  <c r="BH154" i="104"/>
  <c r="DE154" i="104" s="1"/>
  <c r="EW154" i="104" s="1"/>
  <c r="BH155" i="104"/>
  <c r="DE155" i="104" s="1"/>
  <c r="EW155" i="104" s="1"/>
  <c r="BH153" i="104"/>
  <c r="DE153" i="104" s="1"/>
  <c r="EW153" i="104" s="1"/>
  <c r="BH97" i="104"/>
  <c r="DE97" i="104" s="1"/>
  <c r="EW97" i="104" s="1"/>
  <c r="BH151" i="104"/>
  <c r="DE151" i="104" s="1"/>
  <c r="EW151" i="104" s="1"/>
  <c r="BH150" i="104"/>
  <c r="DE150" i="104" s="1"/>
  <c r="EW150" i="104" s="1"/>
  <c r="BH96" i="104"/>
  <c r="DE96" i="104" s="1"/>
  <c r="EW96" i="104" s="1"/>
  <c r="B1" i="78" l="1"/>
  <c r="C1" i="78"/>
  <c r="D1" i="78"/>
  <c r="E1" i="78"/>
  <c r="F1" i="78"/>
  <c r="G1" i="78"/>
  <c r="H1" i="78"/>
  <c r="I1" i="78"/>
  <c r="J1" i="78"/>
  <c r="K1" i="78"/>
  <c r="L1" i="78"/>
  <c r="M1" i="78"/>
  <c r="N1" i="78"/>
  <c r="O1" i="78"/>
  <c r="Q1" i="78"/>
  <c r="R1" i="78"/>
  <c r="S1" i="78"/>
  <c r="T1" i="78"/>
  <c r="U1" i="78"/>
  <c r="V1" i="78"/>
  <c r="W1" i="78"/>
  <c r="X1" i="78"/>
  <c r="Y1" i="78"/>
  <c r="Z1" i="78"/>
  <c r="AD1" i="78"/>
  <c r="AE1" i="78"/>
  <c r="AF1" i="78"/>
  <c r="AG1" i="78"/>
  <c r="AH1" i="78"/>
  <c r="AI1" i="78"/>
  <c r="AJ1" i="78"/>
  <c r="AK1" i="78"/>
  <c r="AL1" i="78"/>
  <c r="AM1" i="78"/>
  <c r="AN1" i="78"/>
  <c r="AO1" i="78"/>
  <c r="AP1" i="78"/>
  <c r="AQ1" i="78"/>
  <c r="AR1" i="78"/>
  <c r="AS1" i="78"/>
  <c r="AT1" i="78"/>
  <c r="AU1" i="78"/>
  <c r="AV1" i="78"/>
  <c r="AW1" i="78"/>
  <c r="AX1" i="78"/>
  <c r="BB1" i="78"/>
  <c r="BC1" i="78"/>
  <c r="BD1" i="78"/>
  <c r="BE1" i="78"/>
  <c r="BI1" i="78"/>
  <c r="BJ1" i="78"/>
  <c r="BK1" i="78"/>
  <c r="BL1" i="78"/>
  <c r="BW1" i="78"/>
  <c r="BX1" i="78"/>
  <c r="BY1" i="78"/>
  <c r="BZ1" i="78"/>
  <c r="CD1" i="78"/>
  <c r="CE1" i="78"/>
  <c r="CF1" i="78"/>
  <c r="CG1" i="78"/>
  <c r="CK1" i="78"/>
  <c r="CL1" i="78"/>
  <c r="CM1" i="78"/>
  <c r="CN1" i="78"/>
  <c r="CR1" i="78"/>
  <c r="CS1" i="78"/>
  <c r="CT1" i="78"/>
  <c r="CU1" i="78"/>
  <c r="CY1" i="78"/>
  <c r="CZ1" i="78"/>
  <c r="DA1" i="78"/>
  <c r="DB1" i="78"/>
  <c r="DF1" i="78"/>
  <c r="DG1" i="78"/>
  <c r="DH1" i="78"/>
  <c r="DI1" i="78"/>
  <c r="DV1" i="78"/>
  <c r="DW1" i="78"/>
  <c r="EA1" i="78"/>
  <c r="EB1" i="78"/>
  <c r="EC1" i="78"/>
  <c r="ED1" i="78"/>
  <c r="EH1" i="78"/>
  <c r="EI1" i="78"/>
  <c r="EJ1" i="78"/>
  <c r="EK1" i="78"/>
  <c r="EO1" i="78"/>
  <c r="EP1" i="78"/>
  <c r="EQ1" i="78"/>
  <c r="ER1" i="78"/>
  <c r="ET1" i="78"/>
  <c r="EU1" i="78"/>
  <c r="EV1" i="78"/>
  <c r="B1" i="89"/>
  <c r="C1" i="89"/>
  <c r="D1" i="89"/>
  <c r="E1" i="89"/>
  <c r="F1" i="89"/>
  <c r="G1" i="89"/>
  <c r="H1" i="89"/>
  <c r="I1" i="89"/>
  <c r="J1" i="89"/>
  <c r="K1" i="89"/>
  <c r="L1" i="89"/>
  <c r="M1" i="89"/>
  <c r="N1" i="89"/>
  <c r="O1" i="89"/>
  <c r="Q1" i="89"/>
  <c r="R1" i="89"/>
  <c r="S1" i="89"/>
  <c r="T1" i="89"/>
  <c r="U1" i="89"/>
  <c r="V1" i="89"/>
  <c r="W1" i="89"/>
  <c r="X1" i="89"/>
  <c r="Y1" i="89"/>
  <c r="Z1" i="89"/>
  <c r="AA1" i="89"/>
  <c r="AE1" i="89"/>
  <c r="AF1" i="89"/>
  <c r="AG1" i="89"/>
  <c r="AH1" i="89"/>
  <c r="AI1" i="89"/>
  <c r="AJ1" i="89"/>
  <c r="AK1" i="89"/>
  <c r="AL1" i="89"/>
  <c r="AM1" i="89"/>
  <c r="AN1" i="89"/>
  <c r="AO1" i="89"/>
  <c r="AP1" i="89"/>
  <c r="AQ1" i="89"/>
  <c r="AR1" i="89"/>
  <c r="AS1" i="89"/>
  <c r="AT1" i="89"/>
  <c r="AU1" i="89"/>
  <c r="AV1" i="89"/>
  <c r="AW1" i="89"/>
  <c r="AX1" i="89"/>
  <c r="AY1" i="89"/>
  <c r="BC1" i="89"/>
  <c r="BD1" i="89"/>
  <c r="BE1" i="89"/>
  <c r="BF1" i="89"/>
  <c r="BJ1" i="89"/>
  <c r="BK1" i="89"/>
  <c r="BL1" i="89"/>
  <c r="BM1" i="89"/>
  <c r="BX1" i="89"/>
  <c r="BY1" i="89"/>
  <c r="BZ1" i="89"/>
  <c r="CA1" i="89"/>
  <c r="CE1" i="89"/>
  <c r="CF1" i="89"/>
  <c r="CG1" i="89"/>
  <c r="CH1" i="89"/>
  <c r="CL1" i="89"/>
  <c r="CM1" i="89"/>
  <c r="CN1" i="89"/>
  <c r="CO1" i="89"/>
  <c r="CS1" i="89"/>
  <c r="CT1" i="89"/>
  <c r="CU1" i="89"/>
  <c r="CV1" i="89"/>
  <c r="CZ1" i="89"/>
  <c r="DA1" i="89"/>
  <c r="DB1" i="89"/>
  <c r="DC1" i="89"/>
  <c r="DG1" i="89"/>
  <c r="DH1" i="89"/>
  <c r="DI1" i="89"/>
  <c r="DJ1" i="89"/>
  <c r="DW1" i="89"/>
  <c r="DX1" i="89"/>
  <c r="EB1" i="89"/>
  <c r="EC1" i="89"/>
  <c r="ED1" i="89"/>
  <c r="EE1" i="89"/>
  <c r="EI1" i="89"/>
  <c r="EJ1" i="89"/>
  <c r="EK1" i="89"/>
  <c r="EL1" i="89"/>
  <c r="EP1" i="89"/>
  <c r="EQ1" i="89"/>
  <c r="ER1" i="89"/>
  <c r="ES1" i="89"/>
  <c r="EU1" i="89"/>
  <c r="EV1" i="89"/>
  <c r="EW1" i="89"/>
  <c r="B1" i="104"/>
  <c r="C1" i="104"/>
  <c r="D1" i="104"/>
  <c r="E1" i="104"/>
  <c r="G1" i="104"/>
  <c r="H1" i="104"/>
  <c r="I1" i="104"/>
  <c r="J1" i="104"/>
  <c r="K1" i="104"/>
  <c r="L1" i="104"/>
  <c r="M1" i="104"/>
  <c r="N1" i="104"/>
  <c r="O1" i="104"/>
  <c r="P1" i="104"/>
  <c r="R1" i="104"/>
  <c r="S1" i="104"/>
  <c r="T1" i="104"/>
  <c r="U1" i="104"/>
  <c r="V1" i="104"/>
  <c r="W1" i="104"/>
  <c r="X1" i="104"/>
  <c r="Y1" i="104"/>
  <c r="Z1" i="104"/>
  <c r="AA1" i="104"/>
  <c r="AC1" i="104"/>
  <c r="AD1" i="104"/>
  <c r="AE1" i="104"/>
  <c r="AF1" i="104"/>
  <c r="AG1" i="104"/>
  <c r="AH1" i="104"/>
  <c r="AK1" i="104"/>
  <c r="AL1" i="104"/>
  <c r="AM1" i="104"/>
  <c r="AN1" i="104"/>
  <c r="AO1" i="104"/>
  <c r="AP1" i="104"/>
  <c r="AQ1" i="104"/>
  <c r="AR1" i="104"/>
  <c r="AS1" i="104"/>
  <c r="AT1" i="104"/>
  <c r="AU1" i="104"/>
  <c r="AV1" i="104"/>
  <c r="AW1" i="104"/>
  <c r="AX1" i="104"/>
  <c r="AY1" i="104"/>
  <c r="AZ1" i="104"/>
  <c r="BA1" i="104"/>
  <c r="BB1" i="104"/>
  <c r="BC1" i="104"/>
  <c r="BD1" i="104"/>
  <c r="BE1" i="104"/>
  <c r="BF1" i="104"/>
  <c r="BI1" i="104"/>
  <c r="BJ1" i="104"/>
  <c r="BK1" i="104"/>
  <c r="BL1" i="104"/>
  <c r="BM1" i="104"/>
  <c r="BP1" i="104"/>
  <c r="BQ1" i="104"/>
  <c r="BR1" i="104"/>
  <c r="BS1" i="104"/>
  <c r="BT1" i="104"/>
  <c r="CE1" i="104"/>
  <c r="CF1" i="104"/>
  <c r="CG1" i="104"/>
  <c r="CH1" i="104"/>
  <c r="CK1" i="104"/>
  <c r="CL1" i="104"/>
  <c r="CM1" i="104"/>
  <c r="CN1" i="104"/>
  <c r="CO1" i="104"/>
  <c r="CR1" i="104"/>
  <c r="CS1" i="104"/>
  <c r="CT1" i="104"/>
  <c r="CU1" i="104"/>
  <c r="CV1" i="104"/>
  <c r="CY1" i="104"/>
  <c r="CZ1" i="104"/>
  <c r="DA1" i="104"/>
  <c r="DB1" i="104"/>
  <c r="DC1" i="104"/>
  <c r="DF1" i="104"/>
  <c r="DG1" i="104"/>
  <c r="DH1" i="104"/>
  <c r="DI1" i="104"/>
  <c r="DJ1" i="104"/>
  <c r="DM1" i="104"/>
  <c r="DN1" i="104"/>
  <c r="DO1" i="104"/>
  <c r="DP1" i="104"/>
  <c r="DQ1" i="104"/>
  <c r="ED1" i="104"/>
  <c r="EE1" i="104"/>
  <c r="EH1" i="104"/>
  <c r="EI1" i="104"/>
  <c r="EJ1" i="104"/>
  <c r="EK1" i="104"/>
  <c r="EL1" i="104"/>
  <c r="EO1" i="104"/>
  <c r="EP1" i="104"/>
  <c r="EQ1" i="104"/>
  <c r="ER1" i="104"/>
  <c r="ES1" i="104"/>
  <c r="EV1" i="104"/>
  <c r="EW1" i="104"/>
  <c r="EX1" i="104"/>
  <c r="EY1" i="104"/>
  <c r="FA1" i="104"/>
  <c r="FB1" i="104"/>
  <c r="A1" i="78"/>
  <c r="A1" i="89"/>
  <c r="A1" i="104"/>
  <c r="BF9" i="113"/>
  <c r="BO12" i="113"/>
  <c r="BI10" i="113"/>
  <c r="BM9" i="113"/>
  <c r="AQ9" i="113"/>
  <c r="K9" i="113"/>
  <c r="AW9" i="64"/>
  <c r="AK8" i="64"/>
  <c r="R9" i="64"/>
  <c r="AL9" i="64"/>
  <c r="BK9" i="64"/>
  <c r="P9" i="113"/>
  <c r="Q9" i="64"/>
  <c r="BW228" i="113"/>
  <c r="BQ12" i="113"/>
  <c r="BH8" i="64"/>
  <c r="AY9" i="64"/>
  <c r="AB8" i="64"/>
  <c r="BT230" i="113"/>
  <c r="Z10" i="113"/>
  <c r="AY8" i="64"/>
  <c r="V8" i="64"/>
  <c r="BG9" i="64"/>
  <c r="Q10" i="113"/>
  <c r="AI9" i="113"/>
  <c r="BH11" i="113"/>
  <c r="AI10" i="113"/>
  <c r="O10" i="113"/>
  <c r="BF11" i="113"/>
  <c r="K10" i="113"/>
  <c r="BS10" i="113"/>
  <c r="BM10" i="113"/>
  <c r="BP12" i="113"/>
  <c r="AX8" i="64"/>
  <c r="BO11" i="113"/>
  <c r="BA10" i="113"/>
  <c r="G8" i="64"/>
  <c r="K8" i="64"/>
  <c r="O8" i="64"/>
  <c r="AF10" i="113"/>
  <c r="AQ10" i="113"/>
  <c r="L9" i="64"/>
  <c r="AX9" i="64"/>
  <c r="R8" i="64"/>
  <c r="F9" i="64"/>
  <c r="V10" i="113"/>
  <c r="BO9" i="113"/>
  <c r="I9" i="64"/>
  <c r="BE9" i="64"/>
  <c r="BQ9" i="113"/>
  <c r="BK118" i="64"/>
  <c r="AG8" i="64"/>
  <c r="BJ8" i="64"/>
  <c r="AB9" i="64"/>
  <c r="BL10" i="113"/>
  <c r="T9" i="64"/>
  <c r="AK10" i="113"/>
  <c r="J8" i="64"/>
  <c r="N10" i="113"/>
  <c r="BH9" i="113"/>
  <c r="BX230" i="113"/>
  <c r="T8" i="64"/>
  <c r="Z8" i="64"/>
  <c r="M10" i="113"/>
  <c r="BX9" i="113"/>
  <c r="J9" i="113"/>
  <c r="BW10" i="113"/>
  <c r="BE12" i="113"/>
  <c r="AF9" i="64"/>
  <c r="AV8" i="64"/>
  <c r="BA9" i="64"/>
  <c r="BA9" i="113"/>
  <c r="BF118" i="64"/>
  <c r="BG9" i="113"/>
  <c r="AS9" i="64"/>
  <c r="AQ8" i="64"/>
  <c r="P10" i="113"/>
  <c r="AA9" i="64"/>
  <c r="BK10" i="113"/>
  <c r="AO9" i="113"/>
  <c r="S8" i="64"/>
  <c r="BG118" i="64"/>
  <c r="AE8" i="64"/>
  <c r="AO9" i="64"/>
  <c r="G10" i="113"/>
  <c r="BS228" i="113"/>
  <c r="AR9" i="64"/>
  <c r="AQ9" i="64"/>
  <c r="N9" i="64"/>
  <c r="AZ9" i="113"/>
  <c r="AE9" i="64"/>
  <c r="AW10" i="113"/>
  <c r="AJ8" i="64"/>
  <c r="AI8" i="64"/>
  <c r="Y9" i="64"/>
  <c r="BW230" i="113"/>
  <c r="AK9" i="113"/>
  <c r="BV228" i="113"/>
  <c r="AX10" i="113"/>
  <c r="BN10" i="113"/>
  <c r="I8" i="64"/>
  <c r="BF8" i="64"/>
  <c r="Z9" i="113"/>
  <c r="BI118" i="64"/>
  <c r="O9" i="113"/>
  <c r="BI11" i="113"/>
  <c r="AM10" i="113"/>
  <c r="AD9" i="64"/>
  <c r="U9" i="64"/>
  <c r="BV9" i="113"/>
  <c r="AP8" i="64"/>
  <c r="BV230" i="113"/>
  <c r="AY9" i="113"/>
  <c r="I10" i="113"/>
  <c r="AW8" i="64"/>
  <c r="BG11" i="113"/>
  <c r="BJ12" i="113"/>
  <c r="BB10" i="113"/>
  <c r="U9" i="113"/>
  <c r="AH10" i="113"/>
  <c r="X10" i="113"/>
  <c r="AR8" i="64"/>
  <c r="BU228" i="113"/>
  <c r="AU8" i="64"/>
  <c r="BK8" i="64"/>
  <c r="AR9" i="113"/>
  <c r="AO8" i="64"/>
  <c r="W8" i="64"/>
  <c r="BB9" i="113"/>
  <c r="N8" i="64"/>
  <c r="BB9" i="64"/>
  <c r="AD9" i="113"/>
  <c r="BE10" i="113"/>
  <c r="BJ9" i="64"/>
  <c r="BT10" i="113"/>
  <c r="BJ11" i="113"/>
  <c r="BY9" i="113"/>
  <c r="BE8" i="64"/>
  <c r="L8" i="64"/>
  <c r="BY230" i="113"/>
  <c r="AM9" i="113"/>
  <c r="Y10" i="113"/>
  <c r="AC10" i="113"/>
  <c r="AL10" i="113"/>
  <c r="BF10" i="113"/>
  <c r="BL9" i="113"/>
  <c r="BG8" i="64"/>
  <c r="BE118" i="64"/>
  <c r="BH9" i="64"/>
  <c r="P8" i="64"/>
  <c r="AP10" i="113"/>
  <c r="BQ11" i="113"/>
  <c r="BK12" i="113"/>
  <c r="W9" i="64"/>
  <c r="AL9" i="113"/>
  <c r="BI9" i="64"/>
  <c r="BS230" i="113"/>
  <c r="AF9" i="113"/>
  <c r="Y9" i="113"/>
  <c r="AN9" i="64"/>
  <c r="AW9" i="113"/>
  <c r="H10" i="113"/>
  <c r="BU10" i="113"/>
  <c r="BP11" i="113"/>
  <c r="BX10" i="113"/>
  <c r="J10" i="113"/>
  <c r="AJ10" i="113"/>
  <c r="H9" i="113"/>
  <c r="H8" i="64"/>
  <c r="M9" i="113"/>
  <c r="BO10" i="113"/>
  <c r="AI9" i="64"/>
  <c r="S9" i="64"/>
  <c r="BG12" i="113"/>
  <c r="AM9" i="64"/>
  <c r="AP9" i="64"/>
  <c r="BH118" i="64"/>
  <c r="BP9" i="113"/>
  <c r="BC10" i="113"/>
  <c r="M8" i="64"/>
  <c r="AY10" i="113"/>
  <c r="J9" i="64"/>
  <c r="AV9" i="113"/>
  <c r="U10" i="113"/>
  <c r="BD10" i="113"/>
  <c r="AB10" i="113"/>
  <c r="AA8" i="64"/>
  <c r="AA9" i="113"/>
  <c r="BD9" i="113"/>
  <c r="AO10" i="113"/>
  <c r="I9" i="113"/>
  <c r="X8" i="64"/>
  <c r="BN11" i="113"/>
  <c r="AB9" i="113"/>
  <c r="Z9" i="64"/>
  <c r="BC9" i="113"/>
  <c r="E9" i="64"/>
  <c r="AS9" i="113"/>
  <c r="U8" i="64"/>
  <c r="BT228" i="113"/>
  <c r="L10" i="113"/>
  <c r="BU9" i="113"/>
  <c r="AZ10" i="113"/>
  <c r="AD8" i="64"/>
  <c r="R10" i="113"/>
  <c r="AG10" i="113"/>
  <c r="AM8" i="64"/>
  <c r="AR10" i="113"/>
  <c r="BH12" i="113"/>
  <c r="BJ9" i="113"/>
  <c r="S10" i="113"/>
  <c r="AC9" i="64"/>
  <c r="V9" i="113"/>
  <c r="BJ10" i="113"/>
  <c r="BW9" i="113"/>
  <c r="F9" i="113"/>
  <c r="AZ8" i="64"/>
  <c r="X9" i="113"/>
  <c r="AT10" i="113"/>
  <c r="G9" i="64"/>
  <c r="BA8" i="64"/>
  <c r="R9" i="113"/>
  <c r="P9" i="64"/>
  <c r="BQ10" i="113"/>
  <c r="AL8" i="64"/>
  <c r="AZ9" i="64"/>
  <c r="BL12" i="113"/>
  <c r="X9" i="64"/>
  <c r="AJ9" i="64"/>
  <c r="AU9" i="113"/>
  <c r="BN12" i="113"/>
  <c r="BC8" i="64"/>
  <c r="T10" i="113"/>
  <c r="AV10" i="113"/>
  <c r="W10" i="113"/>
  <c r="AC9" i="113"/>
  <c r="AN8" i="64"/>
  <c r="BS9" i="113"/>
  <c r="BK11" i="113"/>
  <c r="BP10" i="113"/>
  <c r="BX228" i="113"/>
  <c r="AT8" i="64"/>
  <c r="V9" i="64"/>
  <c r="BJ118" i="64"/>
  <c r="BM11" i="113"/>
  <c r="O9" i="64"/>
  <c r="Y8" i="64"/>
  <c r="AD10" i="113"/>
  <c r="AH9" i="64"/>
  <c r="H9" i="64"/>
  <c r="BN9" i="113"/>
  <c r="BB8" i="64"/>
  <c r="BI12" i="113"/>
  <c r="K9" i="64"/>
  <c r="AS10" i="113"/>
  <c r="W9" i="113"/>
  <c r="AP9" i="113"/>
  <c r="BL11" i="113"/>
  <c r="BY10" i="113"/>
  <c r="BY228" i="113"/>
  <c r="AJ9" i="113"/>
  <c r="BH10" i="113"/>
  <c r="Q8" i="64"/>
  <c r="M9" i="64"/>
  <c r="S9" i="113"/>
  <c r="AE10" i="113"/>
  <c r="AF8" i="64"/>
  <c r="BV10" i="113"/>
  <c r="BK9" i="113"/>
  <c r="AS8" i="64"/>
  <c r="BE9" i="113"/>
  <c r="BE11" i="113"/>
  <c r="BT9" i="113"/>
  <c r="AG9" i="113"/>
  <c r="G9" i="113"/>
  <c r="AV9" i="64"/>
  <c r="BI8" i="64"/>
  <c r="F10" i="113"/>
  <c r="BC9" i="64"/>
  <c r="BF12" i="113"/>
  <c r="AA10" i="113"/>
  <c r="AC8" i="64"/>
  <c r="AT9" i="113"/>
  <c r="AH8" i="64"/>
  <c r="N9" i="113"/>
  <c r="AT9" i="64"/>
  <c r="Q9" i="113"/>
  <c r="BI9" i="113"/>
  <c r="AH9" i="113"/>
  <c r="AN10" i="113"/>
  <c r="BU230" i="113"/>
  <c r="AX9" i="113"/>
  <c r="AU10" i="113"/>
  <c r="AU9" i="64"/>
  <c r="BM12" i="113"/>
  <c r="AE9" i="113"/>
  <c r="AK9" i="64"/>
  <c r="AN9" i="113"/>
  <c r="BF9" i="64"/>
  <c r="L9" i="113"/>
  <c r="AG9" i="64"/>
  <c r="BG10" i="113"/>
  <c r="T9" i="113"/>
  <c r="K136" i="64" l="1"/>
  <c r="M6" i="71" s="1"/>
  <c r="J136" i="64"/>
  <c r="L6" i="71" s="1"/>
  <c r="L136" i="64"/>
  <c r="N6" i="71" s="1"/>
  <c r="M136" i="64"/>
  <c r="O6" i="71" s="1"/>
  <c r="H136" i="64"/>
  <c r="J6" i="71" s="1"/>
  <c r="BR9" i="113"/>
  <c r="I136" i="64"/>
  <c r="K6" i="71" s="1"/>
  <c r="G136" i="64"/>
  <c r="I6" i="71" s="1"/>
  <c r="BD8" i="64"/>
  <c r="AB136" i="64"/>
  <c r="BD9" i="64"/>
  <c r="BR10" i="113"/>
  <c r="AC136" i="64"/>
  <c r="AD136" i="64"/>
  <c r="BE136" i="64"/>
  <c r="AF136" i="64"/>
  <c r="Q136" i="64"/>
  <c r="S136" i="64"/>
  <c r="BG136" i="64"/>
  <c r="R136" i="64"/>
  <c r="AE136" i="64"/>
  <c r="T136" i="64"/>
  <c r="AG136" i="64"/>
  <c r="AW136" i="64"/>
  <c r="P136" i="64"/>
  <c r="AI136" i="64"/>
  <c r="O136" i="64"/>
  <c r="N136" i="64"/>
  <c r="AH136" i="64"/>
  <c r="U136" i="64"/>
  <c r="BH136" i="64"/>
  <c r="AP136" i="64"/>
  <c r="AX136" i="64"/>
  <c r="AY136" i="64"/>
  <c r="AT6" i="71" s="1"/>
  <c r="AJ136" i="64"/>
  <c r="AZ136" i="64"/>
  <c r="AU6" i="71" s="1"/>
  <c r="AQ136" i="64"/>
  <c r="AK136" i="64"/>
  <c r="AR136" i="64"/>
  <c r="V136" i="64"/>
  <c r="BA136" i="64"/>
  <c r="AV6" i="71" s="1"/>
  <c r="AL136" i="64"/>
  <c r="AS136" i="64"/>
  <c r="BB136" i="64"/>
  <c r="AW6" i="71" s="1"/>
  <c r="AM136" i="64"/>
  <c r="W136" i="64"/>
  <c r="AO136" i="64"/>
  <c r="AT136" i="64"/>
  <c r="BC136" i="64"/>
  <c r="AX6" i="71" s="1"/>
  <c r="X136" i="64"/>
  <c r="AN136" i="64"/>
  <c r="Y136" i="64"/>
  <c r="BI136" i="64"/>
  <c r="BK136" i="64"/>
  <c r="AU136" i="64"/>
  <c r="AV136" i="64"/>
  <c r="AU150" i="64" s="1"/>
  <c r="AA136" i="64"/>
  <c r="BJ136" i="64"/>
  <c r="Z136" i="64"/>
  <c r="BF136" i="64"/>
  <c r="AF6" i="71" l="1"/>
  <c r="AI6" i="71"/>
  <c r="AE6" i="71"/>
  <c r="AH6" i="71"/>
  <c r="AG6" i="71"/>
  <c r="AD6" i="71"/>
  <c r="AJ6" i="71"/>
  <c r="AV150" i="64"/>
  <c r="AQ6" i="71"/>
  <c r="BR136" i="64"/>
  <c r="AM6" i="71"/>
  <c r="BN136" i="64"/>
  <c r="AR6" i="71"/>
  <c r="BS136" i="64"/>
  <c r="AL6" i="71"/>
  <c r="BM136" i="64"/>
  <c r="AO6" i="71"/>
  <c r="BP136" i="64"/>
  <c r="AS6" i="71"/>
  <c r="BT136" i="64"/>
  <c r="AP6" i="71"/>
  <c r="BQ136" i="64"/>
  <c r="AN6" i="71"/>
  <c r="BO136" i="64"/>
  <c r="AK6" i="71"/>
  <c r="BL136" i="64"/>
  <c r="BD136" i="64"/>
  <c r="C6" i="71"/>
  <c r="AX122" i="104"/>
  <c r="AW125" i="104"/>
  <c r="AW68" i="104"/>
  <c r="AX134" i="104"/>
  <c r="AX123" i="104"/>
  <c r="AX130" i="104"/>
  <c r="AV133" i="104"/>
  <c r="AV76" i="104"/>
  <c r="AV123" i="104"/>
  <c r="AV66" i="104"/>
  <c r="AX125" i="104"/>
  <c r="AV141" i="104"/>
  <c r="AV84" i="104"/>
  <c r="AW66" i="104"/>
  <c r="AW123" i="104"/>
  <c r="AV130" i="104"/>
  <c r="AV73" i="104"/>
  <c r="AX141" i="104"/>
  <c r="AW130" i="104"/>
  <c r="AW73" i="104"/>
  <c r="AV67" i="104"/>
  <c r="AV124" i="104"/>
  <c r="AW124" i="104"/>
  <c r="AW67" i="104"/>
  <c r="AV122" i="104"/>
  <c r="AV65" i="104"/>
  <c r="AX124" i="104"/>
  <c r="AX133" i="104"/>
  <c r="AW122" i="104"/>
  <c r="AW65" i="104"/>
  <c r="AV125" i="104"/>
  <c r="AV68" i="104"/>
  <c r="AV134" i="104"/>
  <c r="AV77" i="104"/>
  <c r="R147" i="104"/>
  <c r="CD147" i="104" s="1"/>
  <c r="EA147" i="104" s="1"/>
  <c r="R90" i="104"/>
  <c r="CD90" i="104" s="1"/>
  <c r="EA90" i="104" s="1"/>
  <c r="S147" i="104"/>
  <c r="CK147" i="104" s="1"/>
  <c r="EH147" i="104" s="1"/>
  <c r="S90" i="104"/>
  <c r="CK90" i="104" s="1"/>
  <c r="EH90" i="104" s="1"/>
  <c r="F6" i="71" l="1"/>
  <c r="G6" i="71"/>
  <c r="H6" i="71"/>
  <c r="AW134" i="104"/>
  <c r="AW77" i="104"/>
  <c r="AW133" i="104"/>
  <c r="AW76" i="104"/>
  <c r="AW141" i="104"/>
  <c r="AW84" i="104"/>
  <c r="CL90" i="104"/>
  <c r="EI90" i="104" s="1"/>
  <c r="CL147" i="104"/>
  <c r="EI147" i="104" s="1"/>
  <c r="CE90" i="104"/>
  <c r="EB90" i="104" s="1"/>
  <c r="CE147" i="104"/>
  <c r="EB147" i="104" s="1"/>
  <c r="H147" i="104"/>
  <c r="H90" i="104"/>
  <c r="L27" i="104"/>
  <c r="J19" i="104"/>
  <c r="BB19" i="104" s="1"/>
  <c r="CY19" i="104" s="1"/>
  <c r="L147" i="104" l="1"/>
  <c r="CF147" i="104"/>
  <c r="EC147" i="104" s="1"/>
  <c r="CM147" i="104"/>
  <c r="EJ147" i="104" s="1"/>
  <c r="BC19" i="104"/>
  <c r="CZ19" i="104" s="1"/>
  <c r="BC33" i="104"/>
  <c r="CZ33" i="104" s="1"/>
  <c r="CF90" i="104"/>
  <c r="EC90" i="104" s="1"/>
  <c r="CM90" i="104"/>
  <c r="EJ90" i="104" s="1"/>
  <c r="H130" i="104"/>
  <c r="H73" i="104"/>
  <c r="L19" i="104"/>
  <c r="J133" i="104"/>
  <c r="BB133" i="104" s="1"/>
  <c r="CY133" i="104" s="1"/>
  <c r="J76" i="104"/>
  <c r="BB76" i="104" s="1"/>
  <c r="CY76" i="104" s="1"/>
  <c r="L84" i="104"/>
  <c r="L141" i="104"/>
  <c r="J147" i="104"/>
  <c r="BB147" i="104" s="1"/>
  <c r="CY147" i="104" s="1"/>
  <c r="J90" i="104"/>
  <c r="BB90" i="104" s="1"/>
  <c r="CY90" i="104" s="1"/>
  <c r="L90" i="104" l="1"/>
  <c r="BD33" i="104"/>
  <c r="DA33" i="104" s="1"/>
  <c r="BF33" i="104"/>
  <c r="DC33" i="104" s="1"/>
  <c r="BD19" i="104"/>
  <c r="DA19" i="104" s="1"/>
  <c r="BF19" i="104"/>
  <c r="DC19" i="104" s="1"/>
  <c r="BC90" i="104"/>
  <c r="CZ90" i="104" s="1"/>
  <c r="BC76" i="104"/>
  <c r="CZ76" i="104" s="1"/>
  <c r="CN90" i="104"/>
  <c r="EK90" i="104" s="1"/>
  <c r="CG147" i="104"/>
  <c r="ED147" i="104" s="1"/>
  <c r="BC147" i="104"/>
  <c r="CZ147" i="104" s="1"/>
  <c r="BC133" i="104"/>
  <c r="CZ133" i="104" s="1"/>
  <c r="CG90" i="104"/>
  <c r="ED90" i="104" s="1"/>
  <c r="CN147" i="104"/>
  <c r="EK147" i="104" s="1"/>
  <c r="R125" i="104"/>
  <c r="CD125" i="104" s="1"/>
  <c r="EA125" i="104" s="1"/>
  <c r="R68" i="104"/>
  <c r="CD68" i="104" s="1"/>
  <c r="EA68" i="104" s="1"/>
  <c r="J130" i="104"/>
  <c r="BB130" i="104" s="1"/>
  <c r="CY130" i="104" s="1"/>
  <c r="J73" i="104"/>
  <c r="BB73" i="104" s="1"/>
  <c r="CY73" i="104" s="1"/>
  <c r="S68" i="104"/>
  <c r="CK68" i="104" s="1"/>
  <c r="EH68" i="104" s="1"/>
  <c r="S125" i="104"/>
  <c r="CK125" i="104" s="1"/>
  <c r="EH125" i="104" s="1"/>
  <c r="R130" i="104"/>
  <c r="CD130" i="104" s="1"/>
  <c r="EA130" i="104" s="1"/>
  <c r="R73" i="104"/>
  <c r="CD73" i="104" s="1"/>
  <c r="EA73" i="104" s="1"/>
  <c r="J125" i="104"/>
  <c r="BB125" i="104" s="1"/>
  <c r="CY125" i="104" s="1"/>
  <c r="J68" i="104"/>
  <c r="BB68" i="104" s="1"/>
  <c r="CY68" i="104" s="1"/>
  <c r="S130" i="104"/>
  <c r="CK130" i="104" s="1"/>
  <c r="EH130" i="104" s="1"/>
  <c r="S73" i="104"/>
  <c r="CK73" i="104" s="1"/>
  <c r="EH73" i="104" s="1"/>
  <c r="L133" i="104"/>
  <c r="L76" i="104"/>
  <c r="M122" i="104"/>
  <c r="M65" i="104"/>
  <c r="M123" i="104"/>
  <c r="M66" i="104"/>
  <c r="M124" i="104"/>
  <c r="J7" i="104"/>
  <c r="BB7" i="104" s="1"/>
  <c r="CY7" i="104" s="1"/>
  <c r="J8" i="104"/>
  <c r="BB8" i="104" s="1"/>
  <c r="CY8" i="104" s="1"/>
  <c r="J9" i="104"/>
  <c r="BB9" i="104" s="1"/>
  <c r="CY9" i="104" s="1"/>
  <c r="J10" i="104"/>
  <c r="BB10" i="104" s="1"/>
  <c r="CY10" i="104" s="1"/>
  <c r="BR260" i="113" l="1"/>
  <c r="N260" i="113"/>
  <c r="L260" i="113"/>
  <c r="AP260" i="113"/>
  <c r="AJ26" i="71" s="1"/>
  <c r="AW260" i="113"/>
  <c r="AQ26" i="71" s="1"/>
  <c r="BD260" i="113"/>
  <c r="AX26" i="71" s="1"/>
  <c r="I260" i="113"/>
  <c r="AI260" i="113"/>
  <c r="H260" i="113"/>
  <c r="U260" i="113"/>
  <c r="K260" i="113"/>
  <c r="AB260" i="113"/>
  <c r="M260" i="113"/>
  <c r="J260" i="113"/>
  <c r="BC8" i="104"/>
  <c r="CZ8" i="104" s="1"/>
  <c r="BC7" i="104"/>
  <c r="CZ7" i="104" s="1"/>
  <c r="CL73" i="104"/>
  <c r="EI73" i="104" s="1"/>
  <c r="CE73" i="104"/>
  <c r="EB73" i="104" s="1"/>
  <c r="BC73" i="104"/>
  <c r="CZ73" i="104" s="1"/>
  <c r="BE19" i="104"/>
  <c r="DB19" i="104" s="1"/>
  <c r="BG19" i="104"/>
  <c r="DD19" i="104" s="1"/>
  <c r="CL130" i="104"/>
  <c r="EI130" i="104" s="1"/>
  <c r="CE130" i="104"/>
  <c r="EB130" i="104" s="1"/>
  <c r="BC130" i="104"/>
  <c r="CZ130" i="104" s="1"/>
  <c r="CO147" i="104"/>
  <c r="EL147" i="104" s="1"/>
  <c r="BF133" i="104"/>
  <c r="DC133" i="104" s="1"/>
  <c r="BD133" i="104"/>
  <c r="DA133" i="104" s="1"/>
  <c r="CH147" i="104"/>
  <c r="EE147" i="104" s="1"/>
  <c r="CO90" i="104"/>
  <c r="EL90" i="104" s="1"/>
  <c r="BF90" i="104"/>
  <c r="DC90" i="104" s="1"/>
  <c r="BD90" i="104"/>
  <c r="DA90" i="104" s="1"/>
  <c r="BC10" i="104"/>
  <c r="CZ10" i="104" s="1"/>
  <c r="BC68" i="104"/>
  <c r="CZ68" i="104" s="1"/>
  <c r="CL125" i="104"/>
  <c r="EI125" i="104" s="1"/>
  <c r="CE68" i="104"/>
  <c r="EB68" i="104" s="1"/>
  <c r="BE33" i="104"/>
  <c r="DB33" i="104" s="1"/>
  <c r="BG33" i="104"/>
  <c r="DD33" i="104" s="1"/>
  <c r="BC9" i="104"/>
  <c r="CZ9" i="104" s="1"/>
  <c r="BC125" i="104"/>
  <c r="CZ125" i="104" s="1"/>
  <c r="CL68" i="104"/>
  <c r="EI68" i="104" s="1"/>
  <c r="CE125" i="104"/>
  <c r="EB125" i="104" s="1"/>
  <c r="CH90" i="104"/>
  <c r="EE90" i="104" s="1"/>
  <c r="BF147" i="104"/>
  <c r="DC147" i="104" s="1"/>
  <c r="BD147" i="104"/>
  <c r="DA147" i="104" s="1"/>
  <c r="BF76" i="104"/>
  <c r="DC76" i="104" s="1"/>
  <c r="BD76" i="104"/>
  <c r="DA76" i="104" s="1"/>
  <c r="L10" i="104"/>
  <c r="J124" i="104"/>
  <c r="BB124" i="104" s="1"/>
  <c r="CY124" i="104" s="1"/>
  <c r="J67" i="104"/>
  <c r="BB67" i="104" s="1"/>
  <c r="CY67" i="104" s="1"/>
  <c r="L9" i="104"/>
  <c r="J123" i="104"/>
  <c r="BB123" i="104" s="1"/>
  <c r="CY123" i="104" s="1"/>
  <c r="J66" i="104"/>
  <c r="BB66" i="104" s="1"/>
  <c r="CY66" i="104" s="1"/>
  <c r="L7" i="104"/>
  <c r="J121" i="104"/>
  <c r="BB121" i="104" s="1"/>
  <c r="CY121" i="104" s="1"/>
  <c r="J64" i="104"/>
  <c r="BB64" i="104" s="1"/>
  <c r="CY64" i="104" s="1"/>
  <c r="J122" i="104"/>
  <c r="BB122" i="104" s="1"/>
  <c r="CY122" i="104" s="1"/>
  <c r="J65" i="104"/>
  <c r="BB65" i="104" s="1"/>
  <c r="CY65" i="104" s="1"/>
  <c r="L130" i="104"/>
  <c r="L73" i="104"/>
  <c r="L125" i="104"/>
  <c r="L68" i="104"/>
  <c r="L8" i="104"/>
  <c r="J20" i="104"/>
  <c r="BB20" i="104" s="1"/>
  <c r="CY20" i="104" s="1"/>
  <c r="J26" i="71" l="1"/>
  <c r="K26" i="71"/>
  <c r="N26" i="71"/>
  <c r="L26" i="71"/>
  <c r="M26" i="71"/>
  <c r="O26" i="71"/>
  <c r="I26" i="71"/>
  <c r="BC64" i="104"/>
  <c r="CZ64" i="104" s="1"/>
  <c r="BC121" i="104"/>
  <c r="CZ121" i="104" s="1"/>
  <c r="BD7" i="104"/>
  <c r="DA7" i="104" s="1"/>
  <c r="BF7" i="104"/>
  <c r="DC7" i="104" s="1"/>
  <c r="BC65" i="104"/>
  <c r="CZ65" i="104" s="1"/>
  <c r="BF8" i="104"/>
  <c r="DC8" i="104" s="1"/>
  <c r="BD8" i="104"/>
  <c r="DA8" i="104" s="1"/>
  <c r="BC122" i="104"/>
  <c r="CZ122" i="104" s="1"/>
  <c r="BC20" i="104"/>
  <c r="CZ20" i="104" s="1"/>
  <c r="BC67" i="104"/>
  <c r="CZ67" i="104" s="1"/>
  <c r="CF125" i="104"/>
  <c r="EC125" i="104" s="1"/>
  <c r="BH33" i="104"/>
  <c r="DE33" i="104" s="1"/>
  <c r="EW33" i="104" s="1"/>
  <c r="BF68" i="104"/>
  <c r="DC68" i="104" s="1"/>
  <c r="BD68" i="104"/>
  <c r="DA68" i="104" s="1"/>
  <c r="CP90" i="104"/>
  <c r="EM90" i="104" s="1"/>
  <c r="BG133" i="104"/>
  <c r="DD133" i="104" s="1"/>
  <c r="BE133" i="104"/>
  <c r="DB133" i="104" s="1"/>
  <c r="BF130" i="104"/>
  <c r="DC130" i="104" s="1"/>
  <c r="BD130" i="104"/>
  <c r="DA130" i="104" s="1"/>
  <c r="BH19" i="104"/>
  <c r="DE19" i="104" s="1"/>
  <c r="EW19" i="104" s="1"/>
  <c r="CM73" i="104"/>
  <c r="EJ73" i="104" s="1"/>
  <c r="BC66" i="104"/>
  <c r="CZ66" i="104" s="1"/>
  <c r="BC124" i="104"/>
  <c r="CZ124" i="104" s="1"/>
  <c r="CM68" i="104"/>
  <c r="EJ68" i="104" s="1"/>
  <c r="CF68" i="104"/>
  <c r="EC68" i="104" s="1"/>
  <c r="BG90" i="104"/>
  <c r="DD90" i="104" s="1"/>
  <c r="BE90" i="104"/>
  <c r="DB90" i="104" s="1"/>
  <c r="CM130" i="104"/>
  <c r="EJ130" i="104" s="1"/>
  <c r="CI90" i="104"/>
  <c r="EF90" i="104" s="1"/>
  <c r="BC123" i="104"/>
  <c r="CZ123" i="104" s="1"/>
  <c r="BD9" i="104"/>
  <c r="DA9" i="104" s="1"/>
  <c r="BF9" i="104"/>
  <c r="DC9" i="104" s="1"/>
  <c r="CI147" i="104"/>
  <c r="EF147" i="104" s="1"/>
  <c r="CF73" i="104"/>
  <c r="EC73" i="104" s="1"/>
  <c r="BE147" i="104"/>
  <c r="DB147" i="104" s="1"/>
  <c r="BG147" i="104"/>
  <c r="DD147" i="104" s="1"/>
  <c r="BF125" i="104"/>
  <c r="DC125" i="104" s="1"/>
  <c r="BD125" i="104"/>
  <c r="DA125" i="104" s="1"/>
  <c r="CM125" i="104"/>
  <c r="EJ125" i="104" s="1"/>
  <c r="BD10" i="104"/>
  <c r="DA10" i="104" s="1"/>
  <c r="BF10" i="104"/>
  <c r="DC10" i="104" s="1"/>
  <c r="CP147" i="104"/>
  <c r="EM147" i="104" s="1"/>
  <c r="CF130" i="104"/>
  <c r="EC130" i="104" s="1"/>
  <c r="BF73" i="104"/>
  <c r="DC73" i="104" s="1"/>
  <c r="BD73" i="104"/>
  <c r="DA73" i="104" s="1"/>
  <c r="BG76" i="104"/>
  <c r="DD76" i="104" s="1"/>
  <c r="BE76" i="104"/>
  <c r="DB76" i="104" s="1"/>
  <c r="L123" i="104"/>
  <c r="L66" i="104"/>
  <c r="L20" i="104"/>
  <c r="J134" i="104"/>
  <c r="BB134" i="104" s="1"/>
  <c r="CY134" i="104" s="1"/>
  <c r="J77" i="104"/>
  <c r="BB77" i="104" s="1"/>
  <c r="CY77" i="104" s="1"/>
  <c r="L121" i="104"/>
  <c r="L64" i="104"/>
  <c r="L122" i="104"/>
  <c r="L65" i="104"/>
  <c r="L124" i="104"/>
  <c r="L67" i="104"/>
  <c r="C26" i="71" l="1"/>
  <c r="BF122" i="104"/>
  <c r="DC122" i="104" s="1"/>
  <c r="BD122" i="104"/>
  <c r="DA122" i="104" s="1"/>
  <c r="BE8" i="104"/>
  <c r="DB8" i="104" s="1"/>
  <c r="BG8" i="104"/>
  <c r="DD8" i="104" s="1"/>
  <c r="BF121" i="104"/>
  <c r="DC121" i="104" s="1"/>
  <c r="BD121" i="104"/>
  <c r="DA121" i="104" s="1"/>
  <c r="BG7" i="104"/>
  <c r="DD7" i="104" s="1"/>
  <c r="BE7" i="104"/>
  <c r="DB7" i="104" s="1"/>
  <c r="BF64" i="104"/>
  <c r="DC64" i="104" s="1"/>
  <c r="BD64" i="104"/>
  <c r="DA64" i="104" s="1"/>
  <c r="BF65" i="104"/>
  <c r="DC65" i="104" s="1"/>
  <c r="BD65" i="104"/>
  <c r="DA65" i="104" s="1"/>
  <c r="CQ147" i="104"/>
  <c r="EN147" i="104" s="1"/>
  <c r="FB147" i="104" s="1"/>
  <c r="BH147" i="104"/>
  <c r="DE147" i="104" s="1"/>
  <c r="EW147" i="104" s="1"/>
  <c r="CJ90" i="104"/>
  <c r="EG90" i="104" s="1"/>
  <c r="FA90" i="104" s="1"/>
  <c r="BF124" i="104"/>
  <c r="DC124" i="104" s="1"/>
  <c r="BD124" i="104"/>
  <c r="DA124" i="104" s="1"/>
  <c r="CN73" i="104"/>
  <c r="EK73" i="104" s="1"/>
  <c r="CQ90" i="104"/>
  <c r="EN90" i="104" s="1"/>
  <c r="FB90" i="104" s="1"/>
  <c r="BD20" i="104"/>
  <c r="DA20" i="104" s="1"/>
  <c r="BF20" i="104"/>
  <c r="DC20" i="104" s="1"/>
  <c r="BC77" i="104"/>
  <c r="CZ77" i="104" s="1"/>
  <c r="CN125" i="104"/>
  <c r="EK125" i="104" s="1"/>
  <c r="BF123" i="104"/>
  <c r="DC123" i="104" s="1"/>
  <c r="BD123" i="104"/>
  <c r="DA123" i="104" s="1"/>
  <c r="BF66" i="104"/>
  <c r="DC66" i="104" s="1"/>
  <c r="BD66" i="104"/>
  <c r="DA66" i="104" s="1"/>
  <c r="BG130" i="104"/>
  <c r="DD130" i="104" s="1"/>
  <c r="BE130" i="104"/>
  <c r="DB130" i="104" s="1"/>
  <c r="BH133" i="104"/>
  <c r="DE133" i="104" s="1"/>
  <c r="EW133" i="104" s="1"/>
  <c r="BG68" i="104"/>
  <c r="DD68" i="104" s="1"/>
  <c r="BE68" i="104"/>
  <c r="DB68" i="104" s="1"/>
  <c r="CG125" i="104"/>
  <c r="ED125" i="104" s="1"/>
  <c r="BC134" i="104"/>
  <c r="CZ134" i="104" s="1"/>
  <c r="BG73" i="104"/>
  <c r="DD73" i="104" s="1"/>
  <c r="BE73" i="104"/>
  <c r="DB73" i="104" s="1"/>
  <c r="CG130" i="104"/>
  <c r="ED130" i="104" s="1"/>
  <c r="BG125" i="104"/>
  <c r="DD125" i="104" s="1"/>
  <c r="BE125" i="104"/>
  <c r="DB125" i="104" s="1"/>
  <c r="CG73" i="104"/>
  <c r="ED73" i="104" s="1"/>
  <c r="CJ147" i="104"/>
  <c r="EG147" i="104" s="1"/>
  <c r="FA147" i="104" s="1"/>
  <c r="BH90" i="104"/>
  <c r="DE90" i="104" s="1"/>
  <c r="EW90" i="104" s="1"/>
  <c r="CG68" i="104"/>
  <c r="ED68" i="104" s="1"/>
  <c r="CN68" i="104"/>
  <c r="EK68" i="104" s="1"/>
  <c r="BF67" i="104"/>
  <c r="DC67" i="104" s="1"/>
  <c r="BD67" i="104"/>
  <c r="DA67" i="104" s="1"/>
  <c r="BH76" i="104"/>
  <c r="DE76" i="104" s="1"/>
  <c r="EW76" i="104" s="1"/>
  <c r="BG10" i="104"/>
  <c r="DD10" i="104" s="1"/>
  <c r="BE10" i="104"/>
  <c r="DB10" i="104" s="1"/>
  <c r="BG9" i="104"/>
  <c r="DD9" i="104" s="1"/>
  <c r="BE9" i="104"/>
  <c r="DB9" i="104" s="1"/>
  <c r="CN130" i="104"/>
  <c r="EK130" i="104" s="1"/>
  <c r="L134" i="104"/>
  <c r="L77" i="104"/>
  <c r="FF19" i="104" l="1"/>
  <c r="BG65" i="104"/>
  <c r="DD65" i="104" s="1"/>
  <c r="BE65" i="104"/>
  <c r="DB65" i="104" s="1"/>
  <c r="BH8" i="104"/>
  <c r="DE8" i="104" s="1"/>
  <c r="EW8" i="104" s="1"/>
  <c r="BG64" i="104"/>
  <c r="DD64" i="104" s="1"/>
  <c r="BE64" i="104"/>
  <c r="DB64" i="104" s="1"/>
  <c r="BG121" i="104"/>
  <c r="DD121" i="104" s="1"/>
  <c r="BE121" i="104"/>
  <c r="DB121" i="104" s="1"/>
  <c r="BH7" i="104"/>
  <c r="DE7" i="104" s="1"/>
  <c r="EW7" i="104" s="1"/>
  <c r="BG122" i="104"/>
  <c r="DD122" i="104" s="1"/>
  <c r="BE122" i="104"/>
  <c r="DB122" i="104" s="1"/>
  <c r="CH73" i="104"/>
  <c r="EE73" i="104" s="1"/>
  <c r="BH130" i="104"/>
  <c r="DE130" i="104" s="1"/>
  <c r="EW130" i="104" s="1"/>
  <c r="BF77" i="104"/>
  <c r="DC77" i="104" s="1"/>
  <c r="BD77" i="104"/>
  <c r="DA77" i="104" s="1"/>
  <c r="CO73" i="104"/>
  <c r="EL73" i="104" s="1"/>
  <c r="CO130" i="104"/>
  <c r="EL130" i="104" s="1"/>
  <c r="BH10" i="104"/>
  <c r="DE10" i="104" s="1"/>
  <c r="EW10" i="104" s="1"/>
  <c r="CH68" i="104"/>
  <c r="EE68" i="104" s="1"/>
  <c r="BH125" i="104"/>
  <c r="DE125" i="104" s="1"/>
  <c r="EW125" i="104" s="1"/>
  <c r="CH130" i="104"/>
  <c r="EE130" i="104" s="1"/>
  <c r="BG124" i="104"/>
  <c r="DD124" i="104" s="1"/>
  <c r="BE124" i="104"/>
  <c r="DB124" i="104" s="1"/>
  <c r="BH9" i="104"/>
  <c r="DE9" i="104" s="1"/>
  <c r="EW9" i="104" s="1"/>
  <c r="BG67" i="104"/>
  <c r="DD67" i="104" s="1"/>
  <c r="BE67" i="104"/>
  <c r="DB67" i="104" s="1"/>
  <c r="BH73" i="104"/>
  <c r="DE73" i="104" s="1"/>
  <c r="EW73" i="104" s="1"/>
  <c r="CH125" i="104"/>
  <c r="EE125" i="104" s="1"/>
  <c r="BG123" i="104"/>
  <c r="DD123" i="104" s="1"/>
  <c r="BE123" i="104"/>
  <c r="DB123" i="104" s="1"/>
  <c r="CO125" i="104"/>
  <c r="EL125" i="104" s="1"/>
  <c r="CO68" i="104"/>
  <c r="EL68" i="104" s="1"/>
  <c r="BF134" i="104"/>
  <c r="DC134" i="104" s="1"/>
  <c r="BD134" i="104"/>
  <c r="DA134" i="104" s="1"/>
  <c r="BH68" i="104"/>
  <c r="DE68" i="104" s="1"/>
  <c r="EW68" i="104" s="1"/>
  <c r="BG66" i="104"/>
  <c r="DD66" i="104" s="1"/>
  <c r="BE66" i="104"/>
  <c r="DB66" i="104" s="1"/>
  <c r="BE20" i="104"/>
  <c r="DB20" i="104" s="1"/>
  <c r="BG20" i="104"/>
  <c r="DD20" i="104" s="1"/>
  <c r="FF16" i="104" l="1"/>
  <c r="BH64" i="104"/>
  <c r="DE64" i="104" s="1"/>
  <c r="EW64" i="104" s="1"/>
  <c r="BH122" i="104"/>
  <c r="DE122" i="104" s="1"/>
  <c r="EW122" i="104" s="1"/>
  <c r="BH121" i="104"/>
  <c r="DE121" i="104" s="1"/>
  <c r="EW121" i="104" s="1"/>
  <c r="BH65" i="104"/>
  <c r="DE65" i="104" s="1"/>
  <c r="EW65" i="104" s="1"/>
  <c r="BH20" i="104"/>
  <c r="DE20" i="104" s="1"/>
  <c r="EW20" i="104" s="1"/>
  <c r="BG134" i="104"/>
  <c r="DD134" i="104" s="1"/>
  <c r="BE134" i="104"/>
  <c r="DB134" i="104" s="1"/>
  <c r="CP125" i="104"/>
  <c r="EM125" i="104" s="1"/>
  <c r="BH67" i="104"/>
  <c r="DE67" i="104" s="1"/>
  <c r="EW67" i="104" s="1"/>
  <c r="CI130" i="104"/>
  <c r="EF130" i="104" s="1"/>
  <c r="CI68" i="104"/>
  <c r="EF68" i="104" s="1"/>
  <c r="CP130" i="104"/>
  <c r="EM130" i="104" s="1"/>
  <c r="BG77" i="104"/>
  <c r="DD77" i="104" s="1"/>
  <c r="BE77" i="104"/>
  <c r="DB77" i="104" s="1"/>
  <c r="CI73" i="104"/>
  <c r="EF73" i="104" s="1"/>
  <c r="BH66" i="104"/>
  <c r="DE66" i="104" s="1"/>
  <c r="EW66" i="104" s="1"/>
  <c r="BH123" i="104"/>
  <c r="DE123" i="104" s="1"/>
  <c r="EW123" i="104" s="1"/>
  <c r="CP68" i="104"/>
  <c r="EM68" i="104" s="1"/>
  <c r="CI125" i="104"/>
  <c r="EF125" i="104" s="1"/>
  <c r="BH124" i="104"/>
  <c r="DE124" i="104" s="1"/>
  <c r="EW124" i="104" s="1"/>
  <c r="CP73" i="104"/>
  <c r="EM73" i="104" s="1"/>
  <c r="CJ73" i="104" l="1"/>
  <c r="EG73" i="104" s="1"/>
  <c r="FA73" i="104" s="1"/>
  <c r="BH134" i="104"/>
  <c r="DE134" i="104" s="1"/>
  <c r="EW134" i="104" s="1"/>
  <c r="CQ68" i="104"/>
  <c r="EN68" i="104" s="1"/>
  <c r="FB68" i="104" s="1"/>
  <c r="CQ130" i="104"/>
  <c r="EN130" i="104" s="1"/>
  <c r="FB130" i="104" s="1"/>
  <c r="CJ130" i="104"/>
  <c r="EG130" i="104" s="1"/>
  <c r="FA130" i="104" s="1"/>
  <c r="BH77" i="104"/>
  <c r="DE77" i="104" s="1"/>
  <c r="EW77" i="104" s="1"/>
  <c r="CQ125" i="104"/>
  <c r="EN125" i="104" s="1"/>
  <c r="FB125" i="104" s="1"/>
  <c r="CQ73" i="104"/>
  <c r="EN73" i="104" s="1"/>
  <c r="FB73" i="104" s="1"/>
  <c r="CJ125" i="104"/>
  <c r="EG125" i="104" s="1"/>
  <c r="FA125" i="104" s="1"/>
  <c r="CJ68" i="104"/>
  <c r="EG68" i="104" s="1"/>
  <c r="FA68" i="104" s="1"/>
  <c r="FJ16" i="104" l="1"/>
  <c r="FK16" i="104"/>
  <c r="FF20" i="104"/>
  <c r="AP278" i="113" l="1"/>
  <c r="AJ48" i="71" s="1"/>
  <c r="AW278" i="113"/>
  <c r="AQ48" i="71" s="1"/>
  <c r="J6" i="104" l="1"/>
  <c r="BB6" i="104" s="1"/>
  <c r="CY6" i="104" s="1"/>
  <c r="CE6" i="104" l="1"/>
  <c r="CS6" i="104"/>
  <c r="EP6" i="104" s="1"/>
  <c r="J120" i="104"/>
  <c r="BB120" i="104" s="1"/>
  <c r="CY120" i="104" s="1"/>
  <c r="J63" i="104"/>
  <c r="BB63" i="104" s="1"/>
  <c r="CY63" i="104" s="1"/>
  <c r="CL6" i="104"/>
  <c r="EI6" i="104" s="1"/>
  <c r="CF6" i="104" l="1"/>
  <c r="EC6" i="104" s="1"/>
  <c r="EB6" i="104"/>
  <c r="CT6" i="104"/>
  <c r="EQ6" i="104" s="1"/>
  <c r="BK6" i="104"/>
  <c r="DH6" i="104" s="1"/>
  <c r="CM6" i="104"/>
  <c r="EJ6" i="104" s="1"/>
  <c r="BC6" i="104"/>
  <c r="CZ6" i="104" s="1"/>
  <c r="BC63" i="104"/>
  <c r="CZ63" i="104" s="1"/>
  <c r="BC120" i="104"/>
  <c r="CZ120" i="104" s="1"/>
  <c r="O264" i="113" l="1"/>
  <c r="CU6" i="104"/>
  <c r="ER6" i="104" s="1"/>
  <c r="CN6" i="104"/>
  <c r="EK6" i="104" s="1"/>
  <c r="CG6" i="104"/>
  <c r="ED6" i="104" s="1"/>
  <c r="BS6" i="104"/>
  <c r="BL6" i="104"/>
  <c r="DI6" i="104" s="1"/>
  <c r="BF6" i="104"/>
  <c r="DC6" i="104" s="1"/>
  <c r="BD6" i="104"/>
  <c r="DA6" i="104" s="1"/>
  <c r="BD120" i="104"/>
  <c r="DA120" i="104" s="1"/>
  <c r="BF120" i="104"/>
  <c r="DC120" i="104" s="1"/>
  <c r="BD63" i="104"/>
  <c r="DA63" i="104" s="1"/>
  <c r="BF63" i="104"/>
  <c r="DC63" i="104" s="1"/>
  <c r="BT6" i="104" l="1"/>
  <c r="DQ6" i="104" s="1"/>
  <c r="DP6" i="104"/>
  <c r="P264" i="113"/>
  <c r="BG63" i="104"/>
  <c r="DD63" i="104" s="1"/>
  <c r="CV6" i="104"/>
  <c r="ES6" i="104" s="1"/>
  <c r="BG120" i="104"/>
  <c r="DD120" i="104" s="1"/>
  <c r="CH6" i="104"/>
  <c r="EE6" i="104" s="1"/>
  <c r="BM6" i="104"/>
  <c r="CO6" i="104"/>
  <c r="EL6" i="104" s="1"/>
  <c r="BE6" i="104"/>
  <c r="DB6" i="104" s="1"/>
  <c r="BG6" i="104"/>
  <c r="DD6" i="104" s="1"/>
  <c r="BE120" i="104"/>
  <c r="DB120" i="104" s="1"/>
  <c r="BE63" i="104"/>
  <c r="DB63" i="104" s="1"/>
  <c r="Z12" i="71" l="1"/>
  <c r="AA12" i="71"/>
  <c r="BN6" i="104"/>
  <c r="DK6" i="104" s="1"/>
  <c r="DJ6" i="104"/>
  <c r="R264" i="113"/>
  <c r="U264" i="113"/>
  <c r="Q264" i="113"/>
  <c r="S264" i="113"/>
  <c r="U278" i="113"/>
  <c r="BU6" i="104"/>
  <c r="DR6" i="104" s="1"/>
  <c r="CP6" i="104"/>
  <c r="EM6" i="104" s="1"/>
  <c r="BH6" i="104"/>
  <c r="DE6" i="104" s="1"/>
  <c r="EW6" i="104" s="1"/>
  <c r="CW6" i="104"/>
  <c r="ET6" i="104" s="1"/>
  <c r="CI6" i="104"/>
  <c r="EF6" i="104" s="1"/>
  <c r="BH120" i="104"/>
  <c r="DE120" i="104" s="1"/>
  <c r="EW120" i="104" s="1"/>
  <c r="BH63" i="104"/>
  <c r="DE63" i="104" s="1"/>
  <c r="EW63" i="104" s="1"/>
  <c r="FE33" i="104"/>
  <c r="FE7" i="104"/>
  <c r="AA52" i="71" l="1"/>
  <c r="AA32" i="71"/>
  <c r="Z32" i="71"/>
  <c r="Z52" i="71"/>
  <c r="BS264" i="113"/>
  <c r="T264" i="113"/>
  <c r="CX6" i="104"/>
  <c r="EU6" i="104" s="1"/>
  <c r="FC6" i="104" s="1"/>
  <c r="CQ6" i="104"/>
  <c r="EN6" i="104" s="1"/>
  <c r="FB6" i="104" s="1"/>
  <c r="BV6" i="104"/>
  <c r="DS6" i="104" s="1"/>
  <c r="BO6" i="104"/>
  <c r="DL6" i="104" s="1"/>
  <c r="EX6" i="104" s="1"/>
  <c r="CJ6" i="104"/>
  <c r="EG6" i="104" s="1"/>
  <c r="FA6" i="104" s="1"/>
  <c r="AB12" i="71" l="1"/>
  <c r="EY6" i="104"/>
  <c r="FH6" i="104" s="1"/>
  <c r="FI46" i="104"/>
  <c r="FI44" i="104"/>
  <c r="FI39" i="104"/>
  <c r="FI43" i="104"/>
  <c r="FI38" i="104"/>
  <c r="FI48" i="104"/>
  <c r="FI41" i="104"/>
  <c r="FI34" i="104"/>
  <c r="FJ7" i="104"/>
  <c r="FI47" i="104"/>
  <c r="FK6" i="104"/>
  <c r="FL33" i="104"/>
  <c r="FK33" i="104"/>
  <c r="FJ33" i="104"/>
  <c r="FG33" i="104"/>
  <c r="FI40" i="104"/>
  <c r="FI45" i="104"/>
  <c r="FI11" i="104"/>
  <c r="FL6" i="104"/>
  <c r="FF6" i="104"/>
  <c r="FG7" i="104"/>
  <c r="FI35" i="104"/>
  <c r="FI9" i="104"/>
  <c r="FH33" i="104"/>
  <c r="FL7" i="104"/>
  <c r="FJ6" i="104"/>
  <c r="FF33" i="104"/>
  <c r="FF7" i="104"/>
  <c r="FG6" i="104"/>
  <c r="FI42" i="104"/>
  <c r="FI36" i="104"/>
  <c r="FI37" i="104"/>
  <c r="FI49" i="104"/>
  <c r="FE42" i="104"/>
  <c r="FE48" i="104"/>
  <c r="FE9" i="104"/>
  <c r="FE40" i="104"/>
  <c r="FE35" i="104"/>
  <c r="FE38" i="104"/>
  <c r="FE43" i="104"/>
  <c r="FE47" i="104"/>
  <c r="FE34" i="104"/>
  <c r="FE41" i="104"/>
  <c r="AB32" i="71" l="1"/>
  <c r="AB52" i="71"/>
  <c r="AC12" i="71"/>
  <c r="E12" i="71" s="1"/>
  <c r="FI10" i="104"/>
  <c r="FE10" i="104"/>
  <c r="FE8" i="104"/>
  <c r="FJ43" i="104"/>
  <c r="FH43" i="104"/>
  <c r="FL47" i="104"/>
  <c r="FK49" i="104"/>
  <c r="FL49" i="104"/>
  <c r="FJ45" i="104"/>
  <c r="FK37" i="104"/>
  <c r="FH40" i="104"/>
  <c r="FL11" i="104"/>
  <c r="FG11" i="104"/>
  <c r="FE49" i="104"/>
  <c r="FE45" i="104"/>
  <c r="FE11" i="104"/>
  <c r="FE36" i="104"/>
  <c r="FE37" i="104"/>
  <c r="FE44" i="104"/>
  <c r="FE39" i="104"/>
  <c r="FE46" i="104"/>
  <c r="AC52" i="71" l="1"/>
  <c r="E52" i="71" s="1"/>
  <c r="AC32" i="71"/>
  <c r="E32" i="71" s="1"/>
  <c r="FI8" i="104"/>
  <c r="FF48" i="104"/>
  <c r="FH37" i="104"/>
  <c r="FH45" i="104"/>
  <c r="FJ36" i="104"/>
  <c r="FF43" i="104"/>
  <c r="FK47" i="104"/>
  <c r="FG34" i="104"/>
  <c r="FK35" i="104"/>
  <c r="FJ37" i="104"/>
  <c r="FK38" i="104"/>
  <c r="FK39" i="104"/>
  <c r="FK40" i="104"/>
  <c r="FH41" i="104"/>
  <c r="FJ44" i="104"/>
  <c r="FK46" i="104"/>
  <c r="FJ47" i="104"/>
  <c r="FG42" i="104"/>
  <c r="FL8" i="104"/>
  <c r="FJ9" i="104"/>
  <c r="FK42" i="104"/>
  <c r="FL44" i="104"/>
  <c r="FG10" i="104"/>
  <c r="FG49" i="104"/>
  <c r="FH48" i="104"/>
  <c r="FG45" i="104"/>
  <c r="FF44" i="104"/>
  <c r="FL48" i="104"/>
  <c r="FK44" i="104"/>
  <c r="FF10" i="104"/>
  <c r="FL42" i="104"/>
  <c r="FG40" i="104"/>
  <c r="FH35" i="104"/>
  <c r="FH39" i="104"/>
  <c r="FK34" i="104"/>
  <c r="FG35" i="104"/>
  <c r="FF38" i="104"/>
  <c r="FJ41" i="104"/>
  <c r="FK11" i="104"/>
  <c r="FJ11" i="104"/>
  <c r="FL9" i="104"/>
  <c r="FH9" i="104"/>
  <c r="FH44" i="104"/>
  <c r="FF34" i="104"/>
  <c r="FH34" i="104"/>
  <c r="FF36" i="104"/>
  <c r="FJ38" i="104"/>
  <c r="FG39" i="104"/>
  <c r="FF40" i="104"/>
  <c r="FG41" i="104"/>
  <c r="FF11" i="104"/>
  <c r="FL10" i="104"/>
  <c r="FF9" i="104"/>
  <c r="FG43" i="104"/>
  <c r="FG48" i="104"/>
  <c r="FL43" i="104"/>
  <c r="FK48" i="104"/>
  <c r="FJ46" i="104"/>
  <c r="FF42" i="104"/>
  <c r="FH49" i="104"/>
  <c r="FJ42" i="104"/>
  <c r="FH47" i="104"/>
  <c r="FK41" i="104"/>
  <c r="FH8" i="104"/>
  <c r="FH46" i="104"/>
  <c r="FF39" i="104"/>
  <c r="FH36" i="104"/>
  <c r="FG36" i="104"/>
  <c r="FG37" i="104"/>
  <c r="FK43" i="104"/>
  <c r="FH10" i="104"/>
  <c r="FH42" i="104"/>
  <c r="FK10" i="104"/>
  <c r="FJ49" i="104"/>
  <c r="FG46" i="104"/>
  <c r="FG44" i="104"/>
  <c r="FJ34" i="104"/>
  <c r="FJ35" i="104"/>
  <c r="FF35" i="104"/>
  <c r="FK36" i="104"/>
  <c r="FF37" i="104"/>
  <c r="FH38" i="104"/>
  <c r="FJ39" i="104"/>
  <c r="FK8" i="104"/>
  <c r="FK9" i="104"/>
  <c r="FF49" i="104"/>
  <c r="FF8" i="104"/>
  <c r="FK45" i="104"/>
  <c r="FJ48" i="104"/>
  <c r="FJ10" i="104"/>
  <c r="FH11" i="104"/>
  <c r="FF46" i="104"/>
  <c r="FF47" i="104"/>
  <c r="FG8" i="104"/>
  <c r="FF45" i="104"/>
  <c r="FG9" i="104"/>
  <c r="FJ8" i="104"/>
  <c r="FL45" i="104"/>
  <c r="FL46" i="104"/>
  <c r="FJ40" i="104"/>
  <c r="FG47" i="104"/>
  <c r="FF41" i="104"/>
  <c r="FG38" i="104"/>
  <c r="CL12" i="89" l="1"/>
  <c r="BD12" i="89"/>
  <c r="BE12" i="89" s="1"/>
  <c r="BF12" i="89" s="1"/>
  <c r="BG12" i="89" s="1"/>
  <c r="BH12" i="89" s="1"/>
  <c r="BI12" i="89" s="1"/>
  <c r="BX12" i="89"/>
  <c r="BD6" i="89"/>
  <c r="CL6" i="89"/>
  <c r="BX6" i="89"/>
  <c r="CM6" i="89" l="1"/>
  <c r="EI6" i="89"/>
  <c r="BY6" i="89"/>
  <c r="BZ6" i="89" s="1"/>
  <c r="CA6" i="89" s="1"/>
  <c r="CB6" i="89" s="1"/>
  <c r="CC6" i="89" s="1"/>
  <c r="CD6" i="89" s="1"/>
  <c r="EA6" i="89" s="1"/>
  <c r="EU6" i="89" s="1"/>
  <c r="DU6" i="89"/>
  <c r="BY12" i="89"/>
  <c r="BZ12" i="89" s="1"/>
  <c r="CA12" i="89" s="1"/>
  <c r="CB12" i="89" s="1"/>
  <c r="CC12" i="89" s="1"/>
  <c r="CD12" i="89" s="1"/>
  <c r="DU12" i="89"/>
  <c r="CM12" i="89"/>
  <c r="CN12" i="89" s="1"/>
  <c r="CO12" i="89" s="1"/>
  <c r="CP12" i="89" s="1"/>
  <c r="CQ12" i="89" s="1"/>
  <c r="CR12" i="89" s="1"/>
  <c r="EI12" i="89"/>
  <c r="BE6" i="89"/>
  <c r="BF6" i="89" l="1"/>
  <c r="BG6" i="89" s="1"/>
  <c r="BH6" i="89" s="1"/>
  <c r="BI6" i="89" s="1"/>
  <c r="CN6" i="89" l="1"/>
  <c r="CO6" i="89" l="1"/>
  <c r="CP6" i="89" s="1"/>
  <c r="CQ6" i="89" s="1"/>
  <c r="CR6" i="89" s="1"/>
  <c r="CL29" i="78" l="1"/>
  <c r="CM29" i="78" s="1"/>
  <c r="CN29" i="78" s="1"/>
  <c r="CO29" i="78" s="1"/>
  <c r="CP29" i="78" s="1"/>
  <c r="CQ29" i="78" s="1"/>
  <c r="EN29" i="78" s="1"/>
  <c r="CE29" i="78"/>
  <c r="CF29" i="78" s="1"/>
  <c r="CG29" i="78" s="1"/>
  <c r="CH29" i="78" s="1"/>
  <c r="CI29" i="78" s="1"/>
  <c r="CJ29" i="78" s="1"/>
  <c r="EG29" i="78" s="1"/>
  <c r="BX29" i="78"/>
  <c r="BY29" i="78" s="1"/>
  <c r="BZ29" i="78" s="1"/>
  <c r="CA29" i="78" s="1"/>
  <c r="CB29" i="78" s="1"/>
  <c r="CC29" i="78" s="1"/>
  <c r="DZ29" i="78" s="1"/>
  <c r="ET29" i="78" s="1"/>
  <c r="BC29" i="78"/>
  <c r="BD29" i="78" s="1"/>
  <c r="BE29" i="78" s="1"/>
  <c r="BF29" i="78" s="1"/>
  <c r="BG29" i="78" s="1"/>
  <c r="BH29" i="78" s="1"/>
  <c r="DE29" i="78" s="1"/>
  <c r="I29" i="78"/>
  <c r="CL28" i="78"/>
  <c r="CM28" i="78" s="1"/>
  <c r="CN28" i="78" s="1"/>
  <c r="CO28" i="78" s="1"/>
  <c r="CP28" i="78" s="1"/>
  <c r="CQ28" i="78" s="1"/>
  <c r="CE28" i="78"/>
  <c r="CF28" i="78" s="1"/>
  <c r="CG28" i="78" s="1"/>
  <c r="CH28" i="78" s="1"/>
  <c r="CI28" i="78" s="1"/>
  <c r="CJ28" i="78" s="1"/>
  <c r="BX28" i="78"/>
  <c r="BY28" i="78" s="1"/>
  <c r="BZ28" i="78" s="1"/>
  <c r="CA28" i="78" s="1"/>
  <c r="CB28" i="78" s="1"/>
  <c r="CC28" i="78" s="1"/>
  <c r="BC28" i="78"/>
  <c r="BD28" i="78" s="1"/>
  <c r="BE28" i="78" s="1"/>
  <c r="BF28" i="78" s="1"/>
  <c r="BG28" i="78" s="1"/>
  <c r="BH28" i="78" s="1"/>
  <c r="I28" i="78"/>
  <c r="CL27" i="78"/>
  <c r="CM27" i="78" s="1"/>
  <c r="CN27" i="78" s="1"/>
  <c r="CO27" i="78" s="1"/>
  <c r="CP27" i="78" s="1"/>
  <c r="CQ27" i="78" s="1"/>
  <c r="CE27" i="78"/>
  <c r="CF27" i="78" s="1"/>
  <c r="CG27" i="78" s="1"/>
  <c r="CH27" i="78" s="1"/>
  <c r="CI27" i="78" s="1"/>
  <c r="CJ27" i="78" s="1"/>
  <c r="BX27" i="78"/>
  <c r="BY27" i="78" s="1"/>
  <c r="BZ27" i="78" s="1"/>
  <c r="CA27" i="78" s="1"/>
  <c r="CB27" i="78" s="1"/>
  <c r="CC27" i="78" s="1"/>
  <c r="BC27" i="78"/>
  <c r="BD27" i="78" s="1"/>
  <c r="BE27" i="78" s="1"/>
  <c r="BF27" i="78" s="1"/>
  <c r="BG27" i="78" s="1"/>
  <c r="BH27" i="78" s="1"/>
  <c r="I27" i="78"/>
  <c r="CL26" i="78"/>
  <c r="CM26" i="78" s="1"/>
  <c r="CN26" i="78" s="1"/>
  <c r="CO26" i="78" s="1"/>
  <c r="CP26" i="78" s="1"/>
  <c r="CQ26" i="78" s="1"/>
  <c r="CE26" i="78"/>
  <c r="CF26" i="78" s="1"/>
  <c r="CG26" i="78" s="1"/>
  <c r="CH26" i="78" s="1"/>
  <c r="CI26" i="78" s="1"/>
  <c r="CJ26" i="78" s="1"/>
  <c r="BX26" i="78"/>
  <c r="BY26" i="78" s="1"/>
  <c r="BZ26" i="78" s="1"/>
  <c r="CA26" i="78" s="1"/>
  <c r="CB26" i="78" s="1"/>
  <c r="CC26" i="78" s="1"/>
  <c r="BC26" i="78"/>
  <c r="BD26" i="78" s="1"/>
  <c r="BE26" i="78" s="1"/>
  <c r="BF26" i="78" s="1"/>
  <c r="BG26" i="78" s="1"/>
  <c r="BH26" i="78" s="1"/>
  <c r="I26" i="78"/>
  <c r="CL25" i="78"/>
  <c r="CM25" i="78" s="1"/>
  <c r="CN25" i="78" s="1"/>
  <c r="CO25" i="78" s="1"/>
  <c r="CP25" i="78" s="1"/>
  <c r="CQ25" i="78" s="1"/>
  <c r="CE25" i="78"/>
  <c r="CF25" i="78" s="1"/>
  <c r="CG25" i="78" s="1"/>
  <c r="CH25" i="78" s="1"/>
  <c r="CI25" i="78" s="1"/>
  <c r="CJ25" i="78" s="1"/>
  <c r="BX25" i="78"/>
  <c r="BY25" i="78" s="1"/>
  <c r="BZ25" i="78" s="1"/>
  <c r="CA25" i="78" s="1"/>
  <c r="CB25" i="78" s="1"/>
  <c r="CC25" i="78" s="1"/>
  <c r="BC25" i="78"/>
  <c r="BD25" i="78" s="1"/>
  <c r="BE25" i="78" s="1"/>
  <c r="BF25" i="78" s="1"/>
  <c r="BG25" i="78" s="1"/>
  <c r="BH25" i="78" s="1"/>
  <c r="BJ25" i="78"/>
  <c r="BK25" i="78" s="1"/>
  <c r="BL25" i="78" s="1"/>
  <c r="BM25" i="78" s="1"/>
  <c r="BN25" i="78" s="1"/>
  <c r="BO25" i="78" s="1"/>
  <c r="CL24" i="78"/>
  <c r="CM24" i="78" s="1"/>
  <c r="CN24" i="78" s="1"/>
  <c r="CO24" i="78" s="1"/>
  <c r="CP24" i="78" s="1"/>
  <c r="CQ24" i="78" s="1"/>
  <c r="CE24" i="78"/>
  <c r="CF24" i="78" s="1"/>
  <c r="CG24" i="78" s="1"/>
  <c r="CH24" i="78" s="1"/>
  <c r="CI24" i="78" s="1"/>
  <c r="CJ24" i="78" s="1"/>
  <c r="BX24" i="78"/>
  <c r="BY24" i="78" s="1"/>
  <c r="BZ24" i="78" s="1"/>
  <c r="CA24" i="78" s="1"/>
  <c r="CB24" i="78" s="1"/>
  <c r="CC24" i="78" s="1"/>
  <c r="BC24" i="78"/>
  <c r="BD24" i="78" s="1"/>
  <c r="BE24" i="78" s="1"/>
  <c r="BF24" i="78" s="1"/>
  <c r="BG24" i="78" s="1"/>
  <c r="BH24" i="78" s="1"/>
  <c r="I24" i="78"/>
  <c r="CL20" i="78"/>
  <c r="CM20" i="78" s="1"/>
  <c r="CN20" i="78" s="1"/>
  <c r="CO20" i="78" s="1"/>
  <c r="CP20" i="78" s="1"/>
  <c r="CQ20" i="78" s="1"/>
  <c r="EN20" i="78" s="1"/>
  <c r="CE20" i="78"/>
  <c r="CF20" i="78" s="1"/>
  <c r="CG20" i="78" s="1"/>
  <c r="CH20" i="78" s="1"/>
  <c r="CI20" i="78" s="1"/>
  <c r="CJ20" i="78" s="1"/>
  <c r="EG20" i="78" s="1"/>
  <c r="BX20" i="78"/>
  <c r="BY20" i="78" s="1"/>
  <c r="BZ20" i="78" s="1"/>
  <c r="CA20" i="78" s="1"/>
  <c r="CB20" i="78" s="1"/>
  <c r="CC20" i="78" s="1"/>
  <c r="DZ20" i="78" s="1"/>
  <c r="ET20" i="78" s="1"/>
  <c r="BC20" i="78"/>
  <c r="BD20" i="78" s="1"/>
  <c r="BE20" i="78" s="1"/>
  <c r="BF20" i="78" s="1"/>
  <c r="BG20" i="78" s="1"/>
  <c r="BH20" i="78" s="1"/>
  <c r="DE20" i="78" s="1"/>
  <c r="I20" i="78"/>
  <c r="CL19" i="78"/>
  <c r="CM19" i="78" s="1"/>
  <c r="CN19" i="78" s="1"/>
  <c r="CO19" i="78" s="1"/>
  <c r="CP19" i="78" s="1"/>
  <c r="CQ19" i="78" s="1"/>
  <c r="CE19" i="78"/>
  <c r="CF19" i="78" s="1"/>
  <c r="CG19" i="78" s="1"/>
  <c r="CH19" i="78" s="1"/>
  <c r="CI19" i="78" s="1"/>
  <c r="CJ19" i="78" s="1"/>
  <c r="BX19" i="78"/>
  <c r="BY19" i="78" s="1"/>
  <c r="BZ19" i="78" s="1"/>
  <c r="CA19" i="78" s="1"/>
  <c r="CB19" i="78" s="1"/>
  <c r="CC19" i="78" s="1"/>
  <c r="BC19" i="78"/>
  <c r="BD19" i="78" s="1"/>
  <c r="BE19" i="78" s="1"/>
  <c r="BF19" i="78" s="1"/>
  <c r="BG19" i="78" s="1"/>
  <c r="BH19" i="78" s="1"/>
  <c r="I19" i="78"/>
  <c r="CL18" i="78"/>
  <c r="CM18" i="78" s="1"/>
  <c r="CN18" i="78" s="1"/>
  <c r="CO18" i="78" s="1"/>
  <c r="CP18" i="78" s="1"/>
  <c r="CQ18" i="78" s="1"/>
  <c r="CE18" i="78"/>
  <c r="CF18" i="78" s="1"/>
  <c r="CG18" i="78" s="1"/>
  <c r="CH18" i="78" s="1"/>
  <c r="CI18" i="78" s="1"/>
  <c r="CJ18" i="78" s="1"/>
  <c r="BX18" i="78"/>
  <c r="BY18" i="78" s="1"/>
  <c r="BZ18" i="78" s="1"/>
  <c r="CA18" i="78" s="1"/>
  <c r="CB18" i="78" s="1"/>
  <c r="CC18" i="78" s="1"/>
  <c r="BC18" i="78"/>
  <c r="BD18" i="78" s="1"/>
  <c r="BE18" i="78" s="1"/>
  <c r="BF18" i="78" s="1"/>
  <c r="BG18" i="78" s="1"/>
  <c r="BH18" i="78" s="1"/>
  <c r="I18" i="78"/>
  <c r="CL17" i="78"/>
  <c r="CM17" i="78" s="1"/>
  <c r="CN17" i="78" s="1"/>
  <c r="CO17" i="78" s="1"/>
  <c r="CP17" i="78" s="1"/>
  <c r="CQ17" i="78" s="1"/>
  <c r="CE17" i="78"/>
  <c r="CF17" i="78" s="1"/>
  <c r="CG17" i="78" s="1"/>
  <c r="CH17" i="78" s="1"/>
  <c r="CI17" i="78" s="1"/>
  <c r="CJ17" i="78" s="1"/>
  <c r="BX17" i="78"/>
  <c r="BY17" i="78" s="1"/>
  <c r="BZ17" i="78" s="1"/>
  <c r="CA17" i="78" s="1"/>
  <c r="CB17" i="78" s="1"/>
  <c r="CC17" i="78" s="1"/>
  <c r="BC17" i="78"/>
  <c r="BD17" i="78" s="1"/>
  <c r="BE17" i="78" s="1"/>
  <c r="BF17" i="78" s="1"/>
  <c r="BG17" i="78" s="1"/>
  <c r="BH17" i="78" s="1"/>
  <c r="BJ17" i="78"/>
  <c r="BK17" i="78" s="1"/>
  <c r="BL17" i="78" s="1"/>
  <c r="BM17" i="78" s="1"/>
  <c r="BN17" i="78" s="1"/>
  <c r="BO17" i="78" s="1"/>
  <c r="CL16" i="78"/>
  <c r="CM16" i="78" s="1"/>
  <c r="CN16" i="78" s="1"/>
  <c r="CO16" i="78" s="1"/>
  <c r="CP16" i="78" s="1"/>
  <c r="CQ16" i="78" s="1"/>
  <c r="CE16" i="78"/>
  <c r="CF16" i="78" s="1"/>
  <c r="CG16" i="78" s="1"/>
  <c r="CH16" i="78" s="1"/>
  <c r="CI16" i="78" s="1"/>
  <c r="CJ16" i="78" s="1"/>
  <c r="BX16" i="78"/>
  <c r="BY16" i="78" s="1"/>
  <c r="BZ16" i="78" s="1"/>
  <c r="CA16" i="78" s="1"/>
  <c r="CB16" i="78" s="1"/>
  <c r="CC16" i="78" s="1"/>
  <c r="BC16" i="78"/>
  <c r="BD16" i="78" s="1"/>
  <c r="BE16" i="78" s="1"/>
  <c r="BF16" i="78" s="1"/>
  <c r="BG16" i="78" s="1"/>
  <c r="BH16" i="78" s="1"/>
  <c r="I16" i="78"/>
  <c r="CL15" i="78"/>
  <c r="CM15" i="78" s="1"/>
  <c r="CN15" i="78" s="1"/>
  <c r="CO15" i="78" s="1"/>
  <c r="CP15" i="78" s="1"/>
  <c r="CQ15" i="78" s="1"/>
  <c r="CE15" i="78"/>
  <c r="CF15" i="78" s="1"/>
  <c r="CG15" i="78" s="1"/>
  <c r="CH15" i="78" s="1"/>
  <c r="CI15" i="78" s="1"/>
  <c r="CJ15" i="78" s="1"/>
  <c r="BX15" i="78"/>
  <c r="BY15" i="78" s="1"/>
  <c r="BZ15" i="78" s="1"/>
  <c r="CA15" i="78" s="1"/>
  <c r="CB15" i="78" s="1"/>
  <c r="CC15" i="78" s="1"/>
  <c r="BC15" i="78"/>
  <c r="BD15" i="78" s="1"/>
  <c r="BE15" i="78" s="1"/>
  <c r="BF15" i="78" s="1"/>
  <c r="BG15" i="78" s="1"/>
  <c r="BH15" i="78" s="1"/>
  <c r="I15" i="78"/>
  <c r="BC11" i="78"/>
  <c r="BD11" i="78" s="1"/>
  <c r="BE11" i="78" s="1"/>
  <c r="BF11" i="78" s="1"/>
  <c r="BG11" i="78" s="1"/>
  <c r="BH11" i="78" s="1"/>
  <c r="DE11" i="78" s="1"/>
  <c r="BC10" i="78"/>
  <c r="BD10" i="78" s="1"/>
  <c r="BE10" i="78" s="1"/>
  <c r="BF10" i="78" s="1"/>
  <c r="BG10" i="78" s="1"/>
  <c r="BH10" i="78" s="1"/>
  <c r="BC9" i="78"/>
  <c r="BD9" i="78" s="1"/>
  <c r="BE9" i="78" s="1"/>
  <c r="BF9" i="78" s="1"/>
  <c r="BG9" i="78" s="1"/>
  <c r="BH9" i="78" s="1"/>
  <c r="BC8" i="78"/>
  <c r="BD8" i="78" s="1"/>
  <c r="BE8" i="78" s="1"/>
  <c r="BF8" i="78" s="1"/>
  <c r="BG8" i="78" s="1"/>
  <c r="BH8" i="78" s="1"/>
  <c r="BC7" i="78"/>
  <c r="BD7" i="78" s="1"/>
  <c r="BE7" i="78" s="1"/>
  <c r="BF7" i="78" s="1"/>
  <c r="BG7" i="78" s="1"/>
  <c r="BH7" i="78" s="1"/>
  <c r="BJ8" i="78"/>
  <c r="BK8" i="78" s="1"/>
  <c r="BL8" i="78" s="1"/>
  <c r="BM8" i="78" s="1"/>
  <c r="BN8" i="78" s="1"/>
  <c r="BO8" i="78" s="1"/>
  <c r="I7" i="78"/>
  <c r="I6" i="78"/>
  <c r="I11" i="78"/>
  <c r="I10" i="78"/>
  <c r="I9" i="78"/>
  <c r="BQ224" i="113"/>
  <c r="BQ146" i="113"/>
  <c r="BL116" i="113"/>
  <c r="BN151" i="113"/>
  <c r="BI120" i="113"/>
  <c r="BG99" i="113"/>
  <c r="BO131" i="113"/>
  <c r="BQ111" i="113"/>
  <c r="BL137" i="113"/>
  <c r="BQ152" i="113"/>
  <c r="BM107" i="113"/>
  <c r="BH131" i="113"/>
  <c r="BI220" i="113"/>
  <c r="BP165" i="113"/>
  <c r="BP148" i="113"/>
  <c r="BJ118" i="113"/>
  <c r="BI117" i="113"/>
  <c r="BH117" i="113"/>
  <c r="BE171" i="113"/>
  <c r="BK108" i="113"/>
  <c r="BH133" i="113"/>
  <c r="BM153" i="113"/>
  <c r="BF183" i="113"/>
  <c r="BP137" i="113"/>
  <c r="BQ139" i="113"/>
  <c r="BO119" i="113"/>
  <c r="BP132" i="113"/>
  <c r="BK95" i="113"/>
  <c r="BF187" i="113"/>
  <c r="BH90" i="113"/>
  <c r="BF164" i="113"/>
  <c r="BK94" i="113"/>
  <c r="BE193" i="113"/>
  <c r="BN162" i="113"/>
  <c r="BE218" i="113"/>
  <c r="BN125" i="113"/>
  <c r="BN193" i="113"/>
  <c r="BG139" i="113"/>
  <c r="BF129" i="113"/>
  <c r="BL128" i="113"/>
  <c r="BK87" i="113"/>
  <c r="BG140" i="113"/>
  <c r="BK154" i="113"/>
  <c r="BG100" i="113"/>
  <c r="BO137" i="113"/>
  <c r="BO90" i="113"/>
  <c r="BK130" i="113"/>
  <c r="BP157" i="113"/>
  <c r="BE180" i="113"/>
  <c r="BP138" i="113"/>
  <c r="BH140" i="113"/>
  <c r="BO169" i="113"/>
  <c r="BG110" i="113"/>
  <c r="BP145" i="113"/>
  <c r="BQ125" i="113"/>
  <c r="D58" i="64"/>
  <c r="BQ104" i="113"/>
  <c r="BH139" i="113"/>
  <c r="BO138" i="113"/>
  <c r="BO109" i="113"/>
  <c r="J117" i="64"/>
  <c r="BH180" i="113"/>
  <c r="BL150" i="113"/>
  <c r="BO92" i="113"/>
  <c r="BH190" i="113"/>
  <c r="BL131" i="113"/>
  <c r="BP174" i="113"/>
  <c r="BL173" i="113"/>
  <c r="BJ104" i="113"/>
  <c r="BG123" i="113"/>
  <c r="BP129" i="113"/>
  <c r="BH155" i="113"/>
  <c r="BF94" i="113"/>
  <c r="BM162" i="113"/>
  <c r="D65" i="64"/>
  <c r="BK151" i="113"/>
  <c r="BG198" i="113"/>
  <c r="BN104" i="113"/>
  <c r="BN133" i="113"/>
  <c r="BK120" i="113"/>
  <c r="BG131" i="113"/>
  <c r="BG182" i="113"/>
  <c r="BQ181" i="113"/>
  <c r="BE159" i="113"/>
  <c r="BM189" i="113"/>
  <c r="BP99" i="113"/>
  <c r="BP151" i="113"/>
  <c r="BH179" i="113"/>
  <c r="BM154" i="113"/>
  <c r="BO143" i="113"/>
  <c r="BE130" i="113"/>
  <c r="BM136" i="113"/>
  <c r="BH144" i="113"/>
  <c r="F115" i="64"/>
  <c r="BP147" i="113"/>
  <c r="BH132" i="113"/>
  <c r="BL94" i="113"/>
  <c r="BG178" i="113"/>
  <c r="BP114" i="113"/>
  <c r="BF99" i="113"/>
  <c r="BL170" i="113"/>
  <c r="BG165" i="113"/>
  <c r="D70" i="64"/>
  <c r="BI157" i="113"/>
  <c r="BQ153" i="113"/>
  <c r="BF108" i="113"/>
  <c r="BI226" i="113"/>
  <c r="BJ96" i="113"/>
  <c r="BO153" i="113"/>
  <c r="BI164" i="113"/>
  <c r="BP118" i="113"/>
  <c r="BQ144" i="113"/>
  <c r="BL97" i="113"/>
  <c r="BL132" i="113"/>
  <c r="BQ128" i="113"/>
  <c r="BO196" i="113"/>
  <c r="BL90" i="113"/>
  <c r="BI153" i="113"/>
  <c r="BN167" i="113"/>
  <c r="BJ175" i="113"/>
  <c r="BI140" i="113"/>
  <c r="BJ154" i="113"/>
  <c r="BL189" i="113"/>
  <c r="BQ97" i="113"/>
  <c r="BP142" i="113"/>
  <c r="BJ166" i="113"/>
  <c r="BE88" i="113"/>
  <c r="BL152" i="113"/>
  <c r="BJ121" i="113"/>
  <c r="BM139" i="113"/>
  <c r="BH168" i="113"/>
  <c r="BQ136" i="113"/>
  <c r="BF226" i="113"/>
  <c r="BG183" i="113"/>
  <c r="BE126" i="113"/>
  <c r="BL194" i="113"/>
  <c r="BJ98" i="113"/>
  <c r="BK102" i="113"/>
  <c r="BF182" i="113"/>
  <c r="BQ198" i="113"/>
  <c r="D115" i="64"/>
  <c r="BG117" i="113"/>
  <c r="BL176" i="113"/>
  <c r="BQ156" i="113"/>
  <c r="BM127" i="113"/>
  <c r="BH188" i="113"/>
  <c r="BM106" i="113"/>
  <c r="BI170" i="113"/>
  <c r="BM195" i="113"/>
  <c r="BO147" i="113"/>
  <c r="BG130" i="113"/>
  <c r="BN147" i="113"/>
  <c r="BG218" i="113"/>
  <c r="BE132" i="113"/>
  <c r="BG167" i="113"/>
  <c r="BI134" i="113"/>
  <c r="BE181" i="113"/>
  <c r="BK166" i="113"/>
  <c r="BO111" i="113"/>
  <c r="BH160" i="113"/>
  <c r="BN176" i="113"/>
  <c r="BG125" i="113"/>
  <c r="BQ185" i="113"/>
  <c r="BG138" i="113"/>
  <c r="BK99" i="113"/>
  <c r="BJ144" i="113"/>
  <c r="BJ145" i="113"/>
  <c r="BH195" i="113"/>
  <c r="BM152" i="113"/>
  <c r="BP185" i="113"/>
  <c r="BO174" i="113"/>
  <c r="BI125" i="113"/>
  <c r="BP117" i="113"/>
  <c r="BQ182" i="113"/>
  <c r="BG116" i="113"/>
  <c r="BG141" i="113"/>
  <c r="BN177" i="113"/>
  <c r="BK121" i="113"/>
  <c r="BF151" i="113"/>
  <c r="BM160" i="113"/>
  <c r="BF194" i="113"/>
  <c r="BN103" i="113"/>
  <c r="BP116" i="113"/>
  <c r="BI192" i="113"/>
  <c r="BM190" i="113"/>
  <c r="I114" i="64"/>
  <c r="BK171" i="113"/>
  <c r="BG120" i="113"/>
  <c r="BG105" i="113"/>
  <c r="D54" i="64"/>
  <c r="BQ187" i="113"/>
  <c r="D53" i="64"/>
  <c r="BQ127" i="113"/>
  <c r="BJ190" i="113"/>
  <c r="BK160" i="113"/>
  <c r="BM124" i="113"/>
  <c r="BF123" i="113"/>
  <c r="D73" i="64"/>
  <c r="BI139" i="113"/>
  <c r="BL171" i="113"/>
  <c r="BJ111" i="113"/>
  <c r="BF181" i="113"/>
  <c r="BO155" i="113"/>
  <c r="BI191" i="113"/>
  <c r="BL105" i="113"/>
  <c r="BL141" i="113"/>
  <c r="BN191" i="113"/>
  <c r="BJ161" i="113"/>
  <c r="BK104" i="113"/>
  <c r="BG113" i="113"/>
  <c r="F114" i="64"/>
  <c r="BK176" i="113"/>
  <c r="BM185" i="113"/>
  <c r="BG107" i="113"/>
  <c r="BN126" i="113"/>
  <c r="BI168" i="113"/>
  <c r="BI194" i="113"/>
  <c r="BJ188" i="113"/>
  <c r="BM104" i="113"/>
  <c r="BL88" i="113"/>
  <c r="BE114" i="113"/>
  <c r="BF130" i="113"/>
  <c r="BL198" i="113"/>
  <c r="BP183" i="113"/>
  <c r="BI130" i="113"/>
  <c r="BQ148" i="113"/>
  <c r="BL160" i="113"/>
  <c r="BJ142" i="113"/>
  <c r="BF101" i="113"/>
  <c r="BP188" i="113"/>
  <c r="BI151" i="113"/>
  <c r="BL168" i="113"/>
  <c r="BO183" i="113"/>
  <c r="BN186" i="113"/>
  <c r="BJ117" i="113"/>
  <c r="BO156" i="113"/>
  <c r="BK111" i="113"/>
  <c r="BQ129" i="113"/>
  <c r="BN164" i="113"/>
  <c r="BQ134" i="113"/>
  <c r="BM184" i="113"/>
  <c r="BG94" i="113"/>
  <c r="BJ184" i="113"/>
  <c r="BF165" i="113"/>
  <c r="BH212" i="113"/>
  <c r="BE100" i="113"/>
  <c r="D97" i="64"/>
  <c r="BP171" i="113"/>
  <c r="BE138" i="113"/>
  <c r="BL119" i="113"/>
  <c r="BM180" i="113"/>
  <c r="BK105" i="113"/>
  <c r="BM88" i="113"/>
  <c r="BO180" i="113"/>
  <c r="BF174" i="113"/>
  <c r="BE192" i="113"/>
  <c r="BO151" i="113"/>
  <c r="BE102" i="113"/>
  <c r="BL130" i="113"/>
  <c r="D92" i="64"/>
  <c r="BP110" i="113"/>
  <c r="BG162" i="113"/>
  <c r="BP121" i="113"/>
  <c r="BM100" i="113"/>
  <c r="BQ118" i="113"/>
  <c r="BN168" i="113"/>
  <c r="BP127" i="113"/>
  <c r="BK195" i="113"/>
  <c r="BQ120" i="113"/>
  <c r="BF188" i="113"/>
  <c r="BJ180" i="113"/>
  <c r="BK186" i="113"/>
  <c r="BN146" i="113"/>
  <c r="BM109" i="113"/>
  <c r="BI183" i="113"/>
  <c r="BJ130" i="113"/>
  <c r="BQ195" i="113"/>
  <c r="BP186" i="113"/>
  <c r="BE121" i="113"/>
  <c r="BK132" i="113"/>
  <c r="BQ132" i="113"/>
  <c r="L114" i="64"/>
  <c r="BG150" i="113"/>
  <c r="BG174" i="113"/>
  <c r="BJ155" i="113"/>
  <c r="BP198" i="113"/>
  <c r="BQ131" i="113"/>
  <c r="BL110" i="113"/>
  <c r="BN197" i="113"/>
  <c r="BH177" i="113"/>
  <c r="BH164" i="113"/>
  <c r="BJ136" i="113"/>
  <c r="BN175" i="113"/>
  <c r="BK152" i="113"/>
  <c r="BL193" i="113"/>
  <c r="BH92" i="113"/>
  <c r="BI180" i="113"/>
  <c r="BP189" i="113"/>
  <c r="BI217" i="113"/>
  <c r="BN121" i="113"/>
  <c r="BO122" i="113"/>
  <c r="BH110" i="113"/>
  <c r="BF96" i="113"/>
  <c r="BJ112" i="113"/>
  <c r="BE155" i="113"/>
  <c r="BM158" i="113"/>
  <c r="BM155" i="113"/>
  <c r="BP170" i="113"/>
  <c r="BL180" i="113"/>
  <c r="BJ95" i="113"/>
  <c r="BH118" i="113"/>
  <c r="BQ190" i="113"/>
  <c r="BH142" i="113"/>
  <c r="BM97" i="113"/>
  <c r="BK174" i="113"/>
  <c r="BK173" i="113"/>
  <c r="BH225" i="113"/>
  <c r="BK185" i="113"/>
  <c r="BG126" i="113"/>
  <c r="BE97" i="113"/>
  <c r="BE194" i="113"/>
  <c r="BG92" i="113"/>
  <c r="BI222" i="113"/>
  <c r="BM197" i="113"/>
  <c r="D98" i="64"/>
  <c r="BI152" i="113"/>
  <c r="BM126" i="113"/>
  <c r="BP134" i="113"/>
  <c r="BF112" i="113"/>
  <c r="BN130" i="113"/>
  <c r="BI131" i="113"/>
  <c r="BH158" i="113"/>
  <c r="BK193" i="113"/>
  <c r="BQ151" i="113"/>
  <c r="D50" i="64"/>
  <c r="BL154" i="113"/>
  <c r="D81" i="64"/>
  <c r="BG222" i="113"/>
  <c r="BH222" i="113"/>
  <c r="BG142" i="113"/>
  <c r="BJ138" i="113"/>
  <c r="BH91" i="113"/>
  <c r="BP182" i="113"/>
  <c r="BI182" i="113"/>
  <c r="BM131" i="113"/>
  <c r="BN120" i="113"/>
  <c r="BK157" i="113"/>
  <c r="D114" i="64"/>
  <c r="BP191" i="113"/>
  <c r="BL191" i="113"/>
  <c r="BK137" i="113"/>
  <c r="BF222" i="113"/>
  <c r="BH161" i="113"/>
  <c r="D102" i="64"/>
  <c r="BK118" i="113"/>
  <c r="BO134" i="113"/>
  <c r="BG115" i="113"/>
  <c r="BF114" i="113"/>
  <c r="BN90" i="113"/>
  <c r="BH105" i="113"/>
  <c r="BL183" i="113"/>
  <c r="BP139" i="113"/>
  <c r="BP160" i="113"/>
  <c r="BQ170" i="113"/>
  <c r="BJ157" i="113"/>
  <c r="BJ225" i="113"/>
  <c r="BL95" i="113"/>
  <c r="BP98" i="113"/>
  <c r="BM94" i="113"/>
  <c r="BP136" i="113"/>
  <c r="BH166" i="113"/>
  <c r="BP108" i="113"/>
  <c r="BG169" i="113"/>
  <c r="BI107" i="113"/>
  <c r="BI133" i="113"/>
  <c r="BK92" i="113"/>
  <c r="BE177" i="113"/>
  <c r="BI224" i="113"/>
  <c r="BK106" i="113"/>
  <c r="BN97" i="113"/>
  <c r="BP101" i="113"/>
  <c r="BN152" i="113"/>
  <c r="BE197" i="113"/>
  <c r="BL155" i="113"/>
  <c r="BF180" i="113"/>
  <c r="BI160" i="113"/>
  <c r="BE169" i="113"/>
  <c r="BF142" i="113"/>
  <c r="BI96" i="113"/>
  <c r="BF173" i="113"/>
  <c r="BE140" i="113"/>
  <c r="BM112" i="113"/>
  <c r="BK100" i="113"/>
  <c r="D56" i="64"/>
  <c r="BG212" i="113"/>
  <c r="BG98" i="113"/>
  <c r="BK138" i="113"/>
  <c r="BO115" i="113"/>
  <c r="BJ177" i="113"/>
  <c r="BG119" i="113"/>
  <c r="BK147" i="113"/>
  <c r="BP143" i="113"/>
  <c r="BM192" i="113"/>
  <c r="BN178" i="113"/>
  <c r="BI179" i="113"/>
  <c r="BN134" i="113"/>
  <c r="BP130" i="113"/>
  <c r="BO105" i="113"/>
  <c r="BE124" i="113"/>
  <c r="BF106" i="113"/>
  <c r="BE129" i="113"/>
  <c r="E114" i="64"/>
  <c r="BE120" i="113"/>
  <c r="BI212" i="113"/>
  <c r="BQ105" i="113"/>
  <c r="BN145" i="113"/>
  <c r="BF167" i="113"/>
  <c r="BN170" i="113"/>
  <c r="BO136" i="113"/>
  <c r="BM103" i="113"/>
  <c r="BL178" i="113"/>
  <c r="BQ112" i="113"/>
  <c r="BN154" i="113"/>
  <c r="BE195" i="113"/>
  <c r="BF160" i="113"/>
  <c r="BP168" i="113"/>
  <c r="BK169" i="113"/>
  <c r="BM159" i="113"/>
  <c r="BE172" i="113"/>
  <c r="BG135" i="113"/>
  <c r="BE175" i="113"/>
  <c r="BL190" i="113"/>
  <c r="BI89" i="113"/>
  <c r="BK145" i="113"/>
  <c r="BF157" i="113"/>
  <c r="BF127" i="113"/>
  <c r="BL147" i="113"/>
  <c r="BN111" i="113"/>
  <c r="BN187" i="113"/>
  <c r="BM149" i="113"/>
  <c r="BG87" i="113"/>
  <c r="BO192" i="113"/>
  <c r="BH150" i="113"/>
  <c r="BN180" i="113"/>
  <c r="BH95" i="113"/>
  <c r="BF143" i="113"/>
  <c r="BK163" i="113"/>
  <c r="BG106" i="113"/>
  <c r="BJ159" i="113"/>
  <c r="BJ192" i="113"/>
  <c r="BK155" i="113"/>
  <c r="BM191" i="113"/>
  <c r="D64" i="64"/>
  <c r="BQ196" i="113"/>
  <c r="BE148" i="113"/>
  <c r="BP95" i="113"/>
  <c r="BF105" i="113"/>
  <c r="BJ176" i="113"/>
  <c r="BE213" i="113"/>
  <c r="BQ164" i="113"/>
  <c r="BO104" i="113"/>
  <c r="BJ173" i="113"/>
  <c r="BE217" i="113"/>
  <c r="BH219" i="113"/>
  <c r="BP122" i="113"/>
  <c r="BJ110" i="113"/>
  <c r="D59" i="64"/>
  <c r="F110" i="64"/>
  <c r="BJ150" i="113"/>
  <c r="BO123" i="113"/>
  <c r="BM105" i="113"/>
  <c r="BK142" i="113"/>
  <c r="BE174" i="113"/>
  <c r="BN114" i="113"/>
  <c r="BL127" i="113"/>
  <c r="BH107" i="113"/>
  <c r="BI195" i="113"/>
  <c r="BN169" i="113"/>
  <c r="BH113" i="113"/>
  <c r="BO142" i="113"/>
  <c r="BJ107" i="113"/>
  <c r="BL177" i="113"/>
  <c r="BJ196" i="113"/>
  <c r="BE106" i="113"/>
  <c r="BI92" i="113"/>
  <c r="BM187" i="113"/>
  <c r="BG104" i="113"/>
  <c r="BO87" i="113"/>
  <c r="BN132" i="113"/>
  <c r="BI102" i="113"/>
  <c r="D75" i="64"/>
  <c r="BO154" i="113"/>
  <c r="BQ173" i="113"/>
  <c r="BG191" i="113"/>
  <c r="D55" i="64"/>
  <c r="BJ148" i="113"/>
  <c r="BH221" i="113"/>
  <c r="BQ114" i="113"/>
  <c r="BH173" i="113"/>
  <c r="BH175" i="113"/>
  <c r="BL139" i="113"/>
  <c r="BE151" i="113"/>
  <c r="BF144" i="113"/>
  <c r="BJ181" i="113"/>
  <c r="BH213" i="113"/>
  <c r="BI123" i="113"/>
  <c r="D71" i="64"/>
  <c r="BP109" i="113"/>
  <c r="BK90" i="113"/>
  <c r="BO91" i="113"/>
  <c r="D112" i="64"/>
  <c r="BQ159" i="113"/>
  <c r="BP102" i="113"/>
  <c r="BN195" i="113"/>
  <c r="BH192" i="113"/>
  <c r="BK127" i="113"/>
  <c r="BJ215" i="113"/>
  <c r="BF221" i="113"/>
  <c r="F109" i="64"/>
  <c r="BK135" i="113"/>
  <c r="BE122" i="113"/>
  <c r="BL181" i="113"/>
  <c r="BF102" i="113"/>
  <c r="BK133" i="113"/>
  <c r="BI169" i="113"/>
  <c r="BO130" i="113"/>
  <c r="BO139" i="113"/>
  <c r="BN119" i="113"/>
  <c r="BQ124" i="113"/>
  <c r="BG128" i="113"/>
  <c r="BM89" i="113"/>
  <c r="BJ193" i="113"/>
  <c r="BK128" i="113"/>
  <c r="BF110" i="113"/>
  <c r="BN192" i="113"/>
  <c r="D52" i="64"/>
  <c r="BL134" i="113"/>
  <c r="BF135" i="113"/>
  <c r="BH193" i="113"/>
  <c r="BE89" i="113"/>
  <c r="BH135" i="113"/>
  <c r="BF118" i="113"/>
  <c r="BQ137" i="113"/>
  <c r="BI98" i="113"/>
  <c r="BI149" i="113"/>
  <c r="BJ220" i="113"/>
  <c r="E112" i="64"/>
  <c r="BJ149" i="113"/>
  <c r="BP196" i="113"/>
  <c r="BH122" i="113"/>
  <c r="BN163" i="113"/>
  <c r="BE161" i="113"/>
  <c r="BQ123" i="113"/>
  <c r="BK180" i="113"/>
  <c r="BG181" i="113"/>
  <c r="BF220" i="113"/>
  <c r="BJ90" i="113"/>
  <c r="BL174" i="113"/>
  <c r="BH191" i="113"/>
  <c r="BL161" i="113"/>
  <c r="BN136" i="113"/>
  <c r="BG144" i="113"/>
  <c r="BE149" i="113"/>
  <c r="BP190" i="113"/>
  <c r="D72" i="64"/>
  <c r="BE90" i="113"/>
  <c r="BH123" i="113"/>
  <c r="BF223" i="113"/>
  <c r="BI176" i="113"/>
  <c r="BF177" i="113"/>
  <c r="BN188" i="113"/>
  <c r="BI127" i="113"/>
  <c r="BK97" i="113"/>
  <c r="BP115" i="113"/>
  <c r="BH214" i="113"/>
  <c r="BM173" i="113"/>
  <c r="BP159" i="113"/>
  <c r="BM161" i="113"/>
  <c r="BG166" i="113"/>
  <c r="BJ114" i="113"/>
  <c r="BI90" i="113"/>
  <c r="BH152" i="113"/>
  <c r="BN108" i="113"/>
  <c r="BO120" i="113"/>
  <c r="BM123" i="113"/>
  <c r="BJ169" i="113"/>
  <c r="BJ226" i="113"/>
  <c r="BI184" i="113"/>
  <c r="D78" i="64"/>
  <c r="BI103" i="113"/>
  <c r="BM90" i="113"/>
  <c r="BI145" i="113"/>
  <c r="BF193" i="113"/>
  <c r="BM170" i="113"/>
  <c r="BG133" i="113"/>
  <c r="BH125" i="113"/>
  <c r="BF179" i="113"/>
  <c r="BP173" i="113"/>
  <c r="BM91" i="113"/>
  <c r="BN123" i="113"/>
  <c r="BE211" i="113"/>
  <c r="BF171" i="113"/>
  <c r="BJ187" i="113"/>
  <c r="BF111" i="113"/>
  <c r="D100" i="64"/>
  <c r="BJ186" i="113"/>
  <c r="BJ140" i="113"/>
  <c r="BJ214" i="113"/>
  <c r="BI136" i="113"/>
  <c r="BQ92" i="113"/>
  <c r="BF92" i="113"/>
  <c r="BM175" i="113"/>
  <c r="BQ115" i="113"/>
  <c r="BN155" i="113"/>
  <c r="BO128" i="113"/>
  <c r="BG152" i="113"/>
  <c r="BJ139" i="113"/>
  <c r="BH194" i="113"/>
  <c r="BO101" i="113"/>
  <c r="BM178" i="113"/>
  <c r="BN184" i="113"/>
  <c r="BH223" i="113"/>
  <c r="BL158" i="113"/>
  <c r="BJ168" i="113"/>
  <c r="BE131" i="113"/>
  <c r="F116" i="64"/>
  <c r="BH111" i="113"/>
  <c r="BL126" i="113"/>
  <c r="BK189" i="113"/>
  <c r="BQ121" i="113"/>
  <c r="BO193" i="113"/>
  <c r="BM98" i="113"/>
  <c r="D111" i="64"/>
  <c r="BH98" i="113"/>
  <c r="J114" i="64"/>
  <c r="BE153" i="113"/>
  <c r="BI166" i="113"/>
  <c r="BO181" i="113"/>
  <c r="BM114" i="113"/>
  <c r="BE135" i="113"/>
  <c r="BL121" i="113"/>
  <c r="BH172" i="113"/>
  <c r="BF113" i="113"/>
  <c r="BE215" i="113"/>
  <c r="BG190" i="113"/>
  <c r="BK182" i="113"/>
  <c r="BO148" i="113"/>
  <c r="BO159" i="113"/>
  <c r="BL107" i="113"/>
  <c r="F112" i="64"/>
  <c r="BN124" i="113"/>
  <c r="BL146" i="113"/>
  <c r="BM168" i="113"/>
  <c r="BI105" i="113"/>
  <c r="BE93" i="113"/>
  <c r="BF115" i="113"/>
  <c r="BO149" i="113"/>
  <c r="BE116" i="113"/>
  <c r="BM188" i="113"/>
  <c r="BG95" i="113"/>
  <c r="BO97" i="113"/>
  <c r="BI111" i="113"/>
  <c r="BO124" i="113"/>
  <c r="BK148" i="113"/>
  <c r="BJ185" i="113"/>
  <c r="BE117" i="113"/>
  <c r="BK146" i="113"/>
  <c r="BI132" i="113"/>
  <c r="BF152" i="113"/>
  <c r="BJ224" i="113"/>
  <c r="BI158" i="113"/>
  <c r="BP184" i="113"/>
  <c r="BI100" i="113"/>
  <c r="BF104" i="113"/>
  <c r="D85" i="64"/>
  <c r="BG213" i="113"/>
  <c r="BK101" i="113"/>
  <c r="BP91" i="113"/>
  <c r="BF148" i="113"/>
  <c r="BN157" i="113"/>
  <c r="BP125" i="113"/>
  <c r="BM169" i="113"/>
  <c r="BF140" i="113"/>
  <c r="D116" i="64"/>
  <c r="BP176" i="113"/>
  <c r="BJ217" i="113"/>
  <c r="BG121" i="113"/>
  <c r="BG111" i="113"/>
  <c r="BM151" i="113"/>
  <c r="BF121" i="113"/>
  <c r="BL156" i="113"/>
  <c r="BM99" i="113"/>
  <c r="BE144" i="113"/>
  <c r="BL129" i="113"/>
  <c r="BQ158" i="113"/>
  <c r="BE212" i="113"/>
  <c r="D66" i="64"/>
  <c r="BE119" i="113"/>
  <c r="BQ188" i="113"/>
  <c r="BQ178" i="113"/>
  <c r="BO175" i="113"/>
  <c r="BG148" i="113"/>
  <c r="BJ87" i="113"/>
  <c r="BL118" i="113"/>
  <c r="BP144" i="113"/>
  <c r="BP164" i="113"/>
  <c r="BG184" i="113"/>
  <c r="BO126" i="113"/>
  <c r="BO168" i="113"/>
  <c r="BN198" i="113"/>
  <c r="BE87" i="113"/>
  <c r="BH127" i="113"/>
  <c r="BM130" i="113"/>
  <c r="BM116" i="113"/>
  <c r="BQ162" i="113"/>
  <c r="BG194" i="113"/>
  <c r="BG108" i="113"/>
  <c r="BP163" i="113"/>
  <c r="BI172" i="113"/>
  <c r="BM148" i="113"/>
  <c r="BQ175" i="113"/>
  <c r="BJ216" i="113"/>
  <c r="BM96" i="113"/>
  <c r="BI196" i="113"/>
  <c r="BF107" i="113"/>
  <c r="BO194" i="113"/>
  <c r="BF186" i="113"/>
  <c r="BK198" i="113"/>
  <c r="BQ155" i="113"/>
  <c r="BN181" i="113"/>
  <c r="D74" i="64"/>
  <c r="BE101" i="113"/>
  <c r="BM128" i="113"/>
  <c r="BE184" i="113"/>
  <c r="BJ222" i="113"/>
  <c r="BE182" i="113"/>
  <c r="BJ131" i="113"/>
  <c r="BG151" i="113"/>
  <c r="BG186" i="113"/>
  <c r="BQ192" i="113"/>
  <c r="BI101" i="113"/>
  <c r="BJ170" i="113"/>
  <c r="BE166" i="113"/>
  <c r="BF150" i="113"/>
  <c r="BF158" i="113"/>
  <c r="BK153" i="113"/>
  <c r="BH183" i="113"/>
  <c r="BP106" i="113"/>
  <c r="BO144" i="113"/>
  <c r="BH218" i="113"/>
  <c r="BG102" i="113"/>
  <c r="BI165" i="113"/>
  <c r="BI211" i="113"/>
  <c r="BJ126" i="113"/>
  <c r="BE188" i="113"/>
  <c r="BK96" i="113"/>
  <c r="BH102" i="113"/>
  <c r="BJ178" i="113"/>
  <c r="BM166" i="113"/>
  <c r="BI119" i="113"/>
  <c r="BN194" i="113"/>
  <c r="BL175" i="113"/>
  <c r="BI87" i="113"/>
  <c r="BI106" i="113"/>
  <c r="BE92" i="113"/>
  <c r="BJ195" i="113"/>
  <c r="BG171" i="113"/>
  <c r="BP94" i="113"/>
  <c r="BF97" i="113"/>
  <c r="BH116" i="113"/>
  <c r="BM141" i="113"/>
  <c r="BO113" i="113"/>
  <c r="BF169" i="113"/>
  <c r="BN112" i="113"/>
  <c r="BG219" i="113"/>
  <c r="BE170" i="113"/>
  <c r="BP88" i="113"/>
  <c r="D63" i="64"/>
  <c r="BM179" i="113"/>
  <c r="BM119" i="113"/>
  <c r="BF89" i="113"/>
  <c r="BN117" i="113"/>
  <c r="BQ167" i="113"/>
  <c r="BJ165" i="113"/>
  <c r="BL115" i="113"/>
  <c r="BE216" i="113"/>
  <c r="BM134" i="113"/>
  <c r="E113" i="64"/>
  <c r="BL101" i="113"/>
  <c r="BO106" i="113"/>
  <c r="BE112" i="113"/>
  <c r="BN105" i="113"/>
  <c r="BQ157" i="113"/>
  <c r="BG147" i="113"/>
  <c r="BK124" i="113"/>
  <c r="BG132" i="113"/>
  <c r="BI213" i="113"/>
  <c r="BQ154" i="113"/>
  <c r="BI138" i="113"/>
  <c r="BJ134" i="113"/>
  <c r="BI223" i="113"/>
  <c r="BO95" i="113"/>
  <c r="D113" i="64"/>
  <c r="BJ128" i="113"/>
  <c r="D48" i="64"/>
  <c r="BF93" i="113"/>
  <c r="BP103" i="113"/>
  <c r="D94" i="64"/>
  <c r="BN98" i="113"/>
  <c r="BG192" i="113"/>
  <c r="BI91" i="113"/>
  <c r="BN185" i="113"/>
  <c r="BE125" i="113"/>
  <c r="BJ182" i="113"/>
  <c r="BL166" i="113"/>
  <c r="D60" i="64"/>
  <c r="BN144" i="113"/>
  <c r="BO188" i="113"/>
  <c r="BI197" i="113"/>
  <c r="BH198" i="113"/>
  <c r="BH174" i="113"/>
  <c r="BF168" i="113"/>
  <c r="BF197" i="113"/>
  <c r="BM113" i="113"/>
  <c r="D69" i="64"/>
  <c r="BI144" i="113"/>
  <c r="BK158" i="113"/>
  <c r="D91" i="64"/>
  <c r="BG118" i="113"/>
  <c r="BG101" i="113"/>
  <c r="BI188" i="113"/>
  <c r="BN190" i="113"/>
  <c r="BK143" i="113"/>
  <c r="BQ191" i="113"/>
  <c r="BH186" i="113"/>
  <c r="BL196" i="113"/>
  <c r="BP131" i="113"/>
  <c r="BE186" i="113"/>
  <c r="BQ216" i="113"/>
  <c r="BM145" i="113"/>
  <c r="BK144" i="113"/>
  <c r="BO125" i="113"/>
  <c r="BQ89" i="113"/>
  <c r="BN93" i="113"/>
  <c r="BN148" i="113"/>
  <c r="BM144" i="113"/>
  <c r="BH226" i="113"/>
  <c r="BL108" i="113"/>
  <c r="BK91" i="113"/>
  <c r="BL100" i="113"/>
  <c r="BL179" i="113"/>
  <c r="BK183" i="113"/>
  <c r="BJ119" i="113"/>
  <c r="BJ191" i="113"/>
  <c r="BM164" i="113"/>
  <c r="BQ100" i="113"/>
  <c r="BP152" i="113"/>
  <c r="BI214" i="113"/>
  <c r="BJ106" i="113"/>
  <c r="BE145" i="113"/>
  <c r="BM125" i="113"/>
  <c r="BL120" i="113"/>
  <c r="BK150" i="113"/>
  <c r="BF154" i="113"/>
  <c r="BF156" i="113"/>
  <c r="BM150" i="113"/>
  <c r="BL111" i="113"/>
  <c r="BO94" i="113"/>
  <c r="BO195" i="113"/>
  <c r="BO182" i="113"/>
  <c r="BI95" i="113"/>
  <c r="BG145" i="113"/>
  <c r="BP172" i="113"/>
  <c r="BM186" i="113"/>
  <c r="BN91" i="113"/>
  <c r="BI218" i="113"/>
  <c r="BF122" i="113"/>
  <c r="BH149" i="113"/>
  <c r="BF100" i="113"/>
  <c r="BN101" i="113"/>
  <c r="BH103" i="113"/>
  <c r="BL197" i="113"/>
  <c r="BI147" i="113"/>
  <c r="BE104" i="113"/>
  <c r="BG89" i="113"/>
  <c r="BH129" i="113"/>
  <c r="M117" i="64"/>
  <c r="BO173" i="113"/>
  <c r="BJ133" i="113"/>
  <c r="BM118" i="113"/>
  <c r="BN174" i="113"/>
  <c r="BI154" i="113"/>
  <c r="BL184" i="113"/>
  <c r="BL112" i="113"/>
  <c r="BL185" i="113"/>
  <c r="BQ138" i="113"/>
  <c r="BG88" i="113"/>
  <c r="BG214" i="113"/>
  <c r="BO162" i="113"/>
  <c r="BE137" i="113"/>
  <c r="BL164" i="113"/>
  <c r="BG90" i="113"/>
  <c r="BO166" i="113"/>
  <c r="BP107" i="113"/>
  <c r="BI163" i="113"/>
  <c r="BJ113" i="113"/>
  <c r="BE142" i="113"/>
  <c r="BQ96" i="113"/>
  <c r="BK136" i="113"/>
  <c r="BN127" i="113"/>
  <c r="BK159" i="113"/>
  <c r="BM110" i="113"/>
  <c r="BI162" i="113"/>
  <c r="K117" i="64"/>
  <c r="BM93" i="113"/>
  <c r="BK168" i="113"/>
  <c r="BP156" i="113"/>
  <c r="BF219" i="113"/>
  <c r="D84" i="64"/>
  <c r="BO184" i="113"/>
  <c r="BO176" i="113"/>
  <c r="BH220" i="113"/>
  <c r="BJ102" i="113"/>
  <c r="BN106" i="113"/>
  <c r="BE222" i="113"/>
  <c r="BQ106" i="113"/>
  <c r="BE165" i="113"/>
  <c r="BJ218" i="113"/>
  <c r="BE143" i="113"/>
  <c r="BI225" i="113"/>
  <c r="BG109" i="113"/>
  <c r="BN171" i="113"/>
  <c r="D47" i="64"/>
  <c r="BK107" i="113"/>
  <c r="BF190" i="113"/>
  <c r="BI142" i="113"/>
  <c r="BM177" i="113"/>
  <c r="BK103" i="113"/>
  <c r="BO189" i="113"/>
  <c r="BO158" i="113"/>
  <c r="BE196" i="113"/>
  <c r="BH171" i="113"/>
  <c r="BH141" i="113"/>
  <c r="BO127" i="113"/>
  <c r="BQ197" i="113"/>
  <c r="BO100" i="113"/>
  <c r="BF213" i="113"/>
  <c r="D82" i="64"/>
  <c r="BJ122" i="113"/>
  <c r="BH97" i="113"/>
  <c r="BF109" i="113"/>
  <c r="BH89" i="113"/>
  <c r="BO132" i="113"/>
  <c r="I117" i="64"/>
  <c r="BG196" i="113"/>
  <c r="BK140" i="113"/>
  <c r="BG170" i="113"/>
  <c r="BI174" i="113"/>
  <c r="BH121" i="113"/>
  <c r="BM121" i="113"/>
  <c r="D77" i="64"/>
  <c r="BH159" i="113"/>
  <c r="BH176" i="113"/>
  <c r="BH87" i="113"/>
  <c r="BL87" i="113"/>
  <c r="BF170" i="113"/>
  <c r="BE176" i="113"/>
  <c r="BG215" i="113"/>
  <c r="BM183" i="113"/>
  <c r="BH181" i="113"/>
  <c r="BP195" i="113"/>
  <c r="BG154" i="113"/>
  <c r="BJ152" i="113"/>
  <c r="BK192" i="113"/>
  <c r="BM95" i="113"/>
  <c r="BI114" i="113"/>
  <c r="BH112" i="113"/>
  <c r="BF198" i="113"/>
  <c r="BO177" i="113"/>
  <c r="BK89" i="113"/>
  <c r="BK129" i="113"/>
  <c r="BP97" i="113"/>
  <c r="BL138" i="113"/>
  <c r="BN135" i="113"/>
  <c r="BF149" i="113"/>
  <c r="BI110" i="113"/>
  <c r="BN89" i="113"/>
  <c r="BO150" i="113"/>
  <c r="BQ94" i="113"/>
  <c r="BI175" i="113"/>
  <c r="BK191" i="113"/>
  <c r="BI93" i="113"/>
  <c r="D62" i="64"/>
  <c r="D101" i="64"/>
  <c r="BP153" i="113"/>
  <c r="BF103" i="113"/>
  <c r="BK122" i="113"/>
  <c r="BH99" i="113"/>
  <c r="BO117" i="113"/>
  <c r="BN159" i="113"/>
  <c r="BL117" i="113"/>
  <c r="BE214" i="113"/>
  <c r="BJ135" i="113"/>
  <c r="BP133" i="113"/>
  <c r="BE109" i="113"/>
  <c r="BJ88" i="113"/>
  <c r="BK112" i="113"/>
  <c r="BN128" i="113"/>
  <c r="BH137" i="113"/>
  <c r="BP179" i="113"/>
  <c r="BI97" i="113"/>
  <c r="BO135" i="113"/>
  <c r="BH182" i="113"/>
  <c r="BE183" i="113"/>
  <c r="BF225" i="113"/>
  <c r="BH138" i="113"/>
  <c r="BQ166" i="113"/>
  <c r="BP111" i="113"/>
  <c r="BQ150" i="113"/>
  <c r="BI156" i="113"/>
  <c r="BK126" i="113"/>
  <c r="BJ160" i="113"/>
  <c r="BG179" i="113"/>
  <c r="BG173" i="113"/>
  <c r="BH147" i="113"/>
  <c r="BN182" i="113"/>
  <c r="BQ184" i="113"/>
  <c r="BK187" i="113"/>
  <c r="BM198" i="113"/>
  <c r="BL122" i="113"/>
  <c r="BM135" i="113"/>
  <c r="BN183" i="113"/>
  <c r="BO152" i="113"/>
  <c r="BP177" i="113"/>
  <c r="BP146" i="113"/>
  <c r="BQ183" i="113"/>
  <c r="BG225" i="113"/>
  <c r="BQ143" i="113"/>
  <c r="BQ113" i="113"/>
  <c r="BF184" i="113"/>
  <c r="BM137" i="113"/>
  <c r="BJ116" i="113"/>
  <c r="BL165" i="113"/>
  <c r="BN153" i="113"/>
  <c r="BJ97" i="113"/>
  <c r="BE156" i="113"/>
  <c r="BN139" i="113"/>
  <c r="BH196" i="113"/>
  <c r="D93" i="64"/>
  <c r="BO141" i="113"/>
  <c r="BK194" i="113"/>
  <c r="BL186" i="113"/>
  <c r="BO107" i="113"/>
  <c r="BG163" i="113"/>
  <c r="BQ194" i="113"/>
  <c r="BE110" i="113"/>
  <c r="BP119" i="113"/>
  <c r="BJ94" i="113"/>
  <c r="BF147" i="113"/>
  <c r="D83" i="64"/>
  <c r="BE190" i="113"/>
  <c r="D79" i="64"/>
  <c r="BJ183" i="113"/>
  <c r="BH154" i="113"/>
  <c r="BE118" i="113"/>
  <c r="BF95" i="113"/>
  <c r="BK109" i="113"/>
  <c r="G114" i="64"/>
  <c r="BG158" i="113"/>
  <c r="BI112" i="113"/>
  <c r="BQ88" i="113"/>
  <c r="BQ99" i="113"/>
  <c r="BH170" i="113"/>
  <c r="BJ221" i="113"/>
  <c r="BI173" i="113"/>
  <c r="BL91" i="113"/>
  <c r="BP192" i="113"/>
  <c r="BG114" i="113"/>
  <c r="BO133" i="113"/>
  <c r="BF134" i="113"/>
  <c r="BF175" i="113"/>
  <c r="BG153" i="113"/>
  <c r="BP123" i="113"/>
  <c r="BG159" i="113"/>
  <c r="BI94" i="113"/>
  <c r="BJ153" i="113"/>
  <c r="BF218" i="113"/>
  <c r="BO129" i="113"/>
  <c r="BE162" i="113"/>
  <c r="BO179" i="113"/>
  <c r="BH93" i="113"/>
  <c r="BG223" i="113"/>
  <c r="BQ116" i="113"/>
  <c r="BQ130" i="113"/>
  <c r="BH108" i="113"/>
  <c r="BF191" i="113"/>
  <c r="BF133" i="113"/>
  <c r="BQ103" i="113"/>
  <c r="BJ162" i="113"/>
  <c r="BQ160" i="113"/>
  <c r="BH185" i="113"/>
  <c r="BG224" i="113"/>
  <c r="BL93" i="113"/>
  <c r="BE136" i="113"/>
  <c r="BN95" i="113"/>
  <c r="BN131" i="113"/>
  <c r="BG112" i="113"/>
  <c r="BL182" i="113"/>
  <c r="BG172" i="113"/>
  <c r="BH124" i="113"/>
  <c r="BQ93" i="113"/>
  <c r="D88" i="64"/>
  <c r="BI115" i="113"/>
  <c r="BQ102" i="113"/>
  <c r="BN150" i="113"/>
  <c r="BI104" i="113"/>
  <c r="BG175" i="113"/>
  <c r="BH109" i="113"/>
  <c r="BJ103" i="113"/>
  <c r="BG155" i="113"/>
  <c r="BN87" i="113"/>
  <c r="BI198" i="113"/>
  <c r="BF216" i="113"/>
  <c r="BK93" i="113"/>
  <c r="BG188" i="113"/>
  <c r="BL109" i="113"/>
  <c r="BI124" i="113"/>
  <c r="BH88" i="113"/>
  <c r="BJ213" i="113"/>
  <c r="BF215" i="113"/>
  <c r="BM147" i="113"/>
  <c r="BG168" i="113"/>
  <c r="BQ171" i="113"/>
  <c r="BG189" i="113"/>
  <c r="BO108" i="113"/>
  <c r="BK123" i="113"/>
  <c r="BI148" i="113"/>
  <c r="BJ101" i="113"/>
  <c r="BG103" i="113"/>
  <c r="BO160" i="113"/>
  <c r="BP166" i="113"/>
  <c r="BJ167" i="113"/>
  <c r="BO140" i="113"/>
  <c r="D68" i="64"/>
  <c r="E117" i="64"/>
  <c r="BL114" i="113"/>
  <c r="BL157" i="113"/>
  <c r="BG180" i="113"/>
  <c r="BO157" i="113"/>
  <c r="BE98" i="113"/>
  <c r="BJ108" i="113"/>
  <c r="BG149" i="113"/>
  <c r="BF137" i="113"/>
  <c r="BO116" i="113"/>
  <c r="BO88" i="113"/>
  <c r="BG157" i="113"/>
  <c r="BQ165" i="113"/>
  <c r="BM176" i="113"/>
  <c r="BK178" i="113"/>
  <c r="BP126" i="113"/>
  <c r="BM92" i="113"/>
  <c r="D99" i="64"/>
  <c r="BE179" i="113"/>
  <c r="BN143" i="113"/>
  <c r="BI171" i="113"/>
  <c r="BL113" i="113"/>
  <c r="BI181" i="113"/>
  <c r="BP167" i="113"/>
  <c r="BH101" i="113"/>
  <c r="BK175" i="113"/>
  <c r="K114" i="64"/>
  <c r="BK116" i="113"/>
  <c r="BN107" i="113"/>
  <c r="BO167" i="113"/>
  <c r="BG137" i="113"/>
  <c r="G117" i="64"/>
  <c r="BJ143" i="113"/>
  <c r="BQ168" i="113"/>
  <c r="BE91" i="113"/>
  <c r="BP154" i="113"/>
  <c r="BN158" i="113"/>
  <c r="BF196" i="113"/>
  <c r="BJ132" i="113"/>
  <c r="BF178" i="113"/>
  <c r="BJ105" i="113"/>
  <c r="BL98" i="113"/>
  <c r="BO185" i="113"/>
  <c r="BK197" i="113"/>
  <c r="L117" i="64"/>
  <c r="BH134" i="113"/>
  <c r="BP128" i="113"/>
  <c r="E115" i="64"/>
  <c r="BP158" i="113"/>
  <c r="BO110" i="113"/>
  <c r="BE224" i="113"/>
  <c r="BK113" i="113"/>
  <c r="BQ177" i="113"/>
  <c r="BO98" i="113"/>
  <c r="BP96" i="113"/>
  <c r="BJ120" i="113"/>
  <c r="BQ108" i="113"/>
  <c r="BL144" i="113"/>
  <c r="BI118" i="113"/>
  <c r="BJ164" i="113"/>
  <c r="BP93" i="113"/>
  <c r="BJ115" i="113"/>
  <c r="BI143" i="113"/>
  <c r="H114" i="64"/>
  <c r="BN137" i="113"/>
  <c r="BK115" i="113"/>
  <c r="BL153" i="113"/>
  <c r="BK164" i="113"/>
  <c r="BE94" i="113"/>
  <c r="BE221" i="113"/>
  <c r="BK119" i="113"/>
  <c r="BE185" i="113"/>
  <c r="BQ101" i="113"/>
  <c r="BO187" i="113"/>
  <c r="BQ87" i="113"/>
  <c r="BH96" i="113"/>
  <c r="BG176" i="113"/>
  <c r="BO190" i="113"/>
  <c r="BJ93" i="113"/>
  <c r="BE123" i="113"/>
  <c r="BE107" i="113"/>
  <c r="BK110" i="113"/>
  <c r="BL162" i="113"/>
  <c r="BM182" i="113"/>
  <c r="BH136" i="113"/>
  <c r="BN96" i="113"/>
  <c r="BP92" i="113"/>
  <c r="BL125" i="113"/>
  <c r="BL140" i="113"/>
  <c r="BH148" i="113"/>
  <c r="BI126" i="113"/>
  <c r="BK141" i="113"/>
  <c r="BJ223" i="113"/>
  <c r="BM115" i="113"/>
  <c r="BM102" i="113"/>
  <c r="BM146" i="113"/>
  <c r="BM157" i="113"/>
  <c r="BM132" i="113"/>
  <c r="BP169" i="113"/>
  <c r="BM140" i="113"/>
  <c r="BK188" i="113"/>
  <c r="BG195" i="113"/>
  <c r="BG216" i="113"/>
  <c r="BM181" i="113"/>
  <c r="BQ163" i="113"/>
  <c r="BH151" i="113"/>
  <c r="BI219" i="113"/>
  <c r="BH189" i="113"/>
  <c r="D51" i="64"/>
  <c r="BF212" i="113"/>
  <c r="BN160" i="113"/>
  <c r="BO170" i="113"/>
  <c r="BP149" i="113"/>
  <c r="F117" i="64"/>
  <c r="BO163" i="113"/>
  <c r="BO145" i="113"/>
  <c r="BL145" i="113"/>
  <c r="BQ145" i="113"/>
  <c r="BO114" i="113"/>
  <c r="BK167" i="113"/>
  <c r="BG136" i="113"/>
  <c r="BH145" i="113"/>
  <c r="BL169" i="113"/>
  <c r="BO191" i="113"/>
  <c r="BP124" i="113"/>
  <c r="BE219" i="113"/>
  <c r="BI177" i="113"/>
  <c r="BP87" i="113"/>
  <c r="BH104" i="113"/>
  <c r="BN94" i="113"/>
  <c r="BK165" i="113"/>
  <c r="BF119" i="113"/>
  <c r="BH94" i="113"/>
  <c r="BG193" i="113"/>
  <c r="BK149" i="113"/>
  <c r="BF159" i="113"/>
  <c r="BI150" i="113"/>
  <c r="BE139" i="113"/>
  <c r="BG129" i="113"/>
  <c r="BF155" i="113"/>
  <c r="BJ158" i="113"/>
  <c r="BK162" i="113"/>
  <c r="BN116" i="113"/>
  <c r="BF125" i="113"/>
  <c r="BF132" i="113"/>
  <c r="BL195" i="113"/>
  <c r="BN138" i="113"/>
  <c r="BL136" i="113"/>
  <c r="BJ163" i="113"/>
  <c r="BP162" i="113"/>
  <c r="BE133" i="113"/>
  <c r="BI159" i="113"/>
  <c r="BI88" i="113"/>
  <c r="BH126" i="113"/>
  <c r="BK131" i="113"/>
  <c r="BL172" i="113"/>
  <c r="BG160" i="113"/>
  <c r="BF185" i="113"/>
  <c r="BM138" i="113"/>
  <c r="BH169" i="113"/>
  <c r="BG221" i="113"/>
  <c r="BE189" i="113"/>
  <c r="BE128" i="113"/>
  <c r="BQ91" i="113"/>
  <c r="BH115" i="113"/>
  <c r="BK125" i="113"/>
  <c r="BL167" i="113"/>
  <c r="BQ140" i="113"/>
  <c r="BE115" i="113"/>
  <c r="BL89" i="113"/>
  <c r="BK196" i="113"/>
  <c r="D61" i="64"/>
  <c r="BE187" i="113"/>
  <c r="BP180" i="113"/>
  <c r="BF91" i="113"/>
  <c r="BO99" i="113"/>
  <c r="BE96" i="113"/>
  <c r="BI178" i="113"/>
  <c r="BM172" i="113"/>
  <c r="BE150" i="113"/>
  <c r="BI121" i="113"/>
  <c r="BE226" i="113"/>
  <c r="BM156" i="113"/>
  <c r="BI108" i="113"/>
  <c r="BQ133" i="113"/>
  <c r="BQ135" i="113"/>
  <c r="D109" i="64"/>
  <c r="BF192" i="113"/>
  <c r="E109" i="64"/>
  <c r="BM163" i="113"/>
  <c r="BK114" i="113"/>
  <c r="BF217" i="113"/>
  <c r="BH120" i="113"/>
  <c r="BE95" i="113"/>
  <c r="BF128" i="113"/>
  <c r="D96" i="64"/>
  <c r="BI161" i="113"/>
  <c r="BF161" i="113"/>
  <c r="BN196" i="113"/>
  <c r="BG177" i="113"/>
  <c r="BG197" i="113"/>
  <c r="BN118" i="113"/>
  <c r="BO112" i="113"/>
  <c r="BF162" i="113"/>
  <c r="BQ189" i="113"/>
  <c r="BH217" i="113"/>
  <c r="BP113" i="113"/>
  <c r="BI189" i="113"/>
  <c r="BO172" i="113"/>
  <c r="BE178" i="113"/>
  <c r="BP187" i="113"/>
  <c r="BN161" i="113"/>
  <c r="D95" i="64"/>
  <c r="E111" i="64"/>
  <c r="BK184" i="113"/>
  <c r="BF145" i="113"/>
  <c r="BE223" i="113"/>
  <c r="BE103" i="113"/>
  <c r="BL143" i="113"/>
  <c r="BH211" i="113"/>
  <c r="BI190" i="113"/>
  <c r="BH128" i="113"/>
  <c r="BK190" i="113"/>
  <c r="BL99" i="113"/>
  <c r="BO93" i="113"/>
  <c r="BL102" i="113"/>
  <c r="D76" i="64"/>
  <c r="BP175" i="113"/>
  <c r="BM117" i="113"/>
  <c r="BH114" i="113"/>
  <c r="BJ141" i="113"/>
  <c r="BN110" i="113"/>
  <c r="BL106" i="113"/>
  <c r="BM87" i="113"/>
  <c r="BF138" i="113"/>
  <c r="BI141" i="113"/>
  <c r="BE220" i="113"/>
  <c r="BO198" i="113"/>
  <c r="BI113" i="113"/>
  <c r="BP89" i="113"/>
  <c r="BM143" i="113"/>
  <c r="BH184" i="113"/>
  <c r="BG127" i="113"/>
  <c r="BO165" i="113"/>
  <c r="BL123" i="113"/>
  <c r="BG217" i="113"/>
  <c r="BP100" i="113"/>
  <c r="BL159" i="113"/>
  <c r="BE113" i="113"/>
  <c r="BN102" i="113"/>
  <c r="BP90" i="113"/>
  <c r="BI99" i="113"/>
  <c r="BK172" i="113"/>
  <c r="BK179" i="113"/>
  <c r="BM193" i="113"/>
  <c r="BJ100" i="113"/>
  <c r="BI167" i="113"/>
  <c r="BN129" i="113"/>
  <c r="BQ126" i="113"/>
  <c r="BM111" i="113"/>
  <c r="BP194" i="113"/>
  <c r="BG146" i="113"/>
  <c r="D57" i="64"/>
  <c r="BE191" i="113"/>
  <c r="BF189" i="113"/>
  <c r="BH163" i="113"/>
  <c r="BQ161" i="113"/>
  <c r="D87" i="64"/>
  <c r="BH156" i="113"/>
  <c r="BG161" i="113"/>
  <c r="BF136" i="113"/>
  <c r="D49" i="64"/>
  <c r="BH167" i="113"/>
  <c r="BF131" i="113"/>
  <c r="BJ194" i="113"/>
  <c r="E116" i="64"/>
  <c r="BQ95" i="113"/>
  <c r="BQ180" i="113"/>
  <c r="BM142" i="113"/>
  <c r="BO89" i="113"/>
  <c r="BN166" i="113"/>
  <c r="BH178" i="113"/>
  <c r="BH224" i="113"/>
  <c r="BI186" i="113"/>
  <c r="BK181" i="113"/>
  <c r="BO146" i="113"/>
  <c r="BG226" i="113"/>
  <c r="D110" i="64"/>
  <c r="BE154" i="113"/>
  <c r="BN88" i="113"/>
  <c r="BJ219" i="113"/>
  <c r="BQ174" i="113"/>
  <c r="BP193" i="113"/>
  <c r="BH215" i="113"/>
  <c r="BH157" i="113"/>
  <c r="BL148" i="113"/>
  <c r="BQ141" i="113"/>
  <c r="BJ146" i="113"/>
  <c r="BG134" i="113"/>
  <c r="BE146" i="113"/>
  <c r="BJ109" i="113"/>
  <c r="BF87" i="113"/>
  <c r="BM194" i="113"/>
  <c r="BF211" i="113"/>
  <c r="BQ98" i="113"/>
  <c r="BO171" i="113"/>
  <c r="BF166" i="113"/>
  <c r="BF98" i="113"/>
  <c r="BK170" i="113"/>
  <c r="BP155" i="113"/>
  <c r="BH106" i="113"/>
  <c r="BQ109" i="113"/>
  <c r="BF88" i="113"/>
  <c r="BK88" i="113"/>
  <c r="BE105" i="113"/>
  <c r="BQ179" i="113"/>
  <c r="BN156" i="113"/>
  <c r="BK98" i="113"/>
  <c r="D80" i="64"/>
  <c r="BP197" i="113"/>
  <c r="BI137" i="113"/>
  <c r="BH165" i="113"/>
  <c r="BL188" i="113"/>
  <c r="BN109" i="113"/>
  <c r="BK117" i="113"/>
  <c r="BH187" i="113"/>
  <c r="BL124" i="113"/>
  <c r="BP120" i="113"/>
  <c r="BF124" i="113"/>
  <c r="BQ110" i="113"/>
  <c r="BN92" i="113"/>
  <c r="BL133" i="113"/>
  <c r="BP105" i="113"/>
  <c r="BF224" i="113"/>
  <c r="BE163" i="113"/>
  <c r="BO96" i="113"/>
  <c r="BH153" i="113"/>
  <c r="BK177" i="113"/>
  <c r="BL135" i="113"/>
  <c r="D86" i="64"/>
  <c r="BE141" i="113"/>
  <c r="BG124" i="113"/>
  <c r="BH216" i="113"/>
  <c r="BO103" i="113"/>
  <c r="BK156" i="113"/>
  <c r="BJ156" i="113"/>
  <c r="BN142" i="113"/>
  <c r="BP135" i="113"/>
  <c r="BM122" i="113"/>
  <c r="BE158" i="113"/>
  <c r="BP141" i="113"/>
  <c r="BF116" i="113"/>
  <c r="BN122" i="113"/>
  <c r="BI128" i="113"/>
  <c r="BE152" i="113"/>
  <c r="BI215" i="113"/>
  <c r="BI185" i="113"/>
  <c r="BP161" i="113"/>
  <c r="BG143" i="113"/>
  <c r="BJ123" i="113"/>
  <c r="BE157" i="113"/>
  <c r="M114" i="64"/>
  <c r="BI129" i="113"/>
  <c r="BJ171" i="113"/>
  <c r="BG156" i="113"/>
  <c r="BK134" i="113"/>
  <c r="BH162" i="113"/>
  <c r="BQ172" i="113"/>
  <c r="BN173" i="113"/>
  <c r="BL163" i="113"/>
  <c r="BJ179" i="113"/>
  <c r="BE99" i="113"/>
  <c r="BP104" i="113"/>
  <c r="BE108" i="113"/>
  <c r="BG91" i="113"/>
  <c r="BN100" i="113"/>
  <c r="BN140" i="113"/>
  <c r="BH130" i="113"/>
  <c r="BM165" i="113"/>
  <c r="BJ147" i="113"/>
  <c r="BG93" i="113"/>
  <c r="BH197" i="113"/>
  <c r="BL149" i="113"/>
  <c r="BE198" i="113"/>
  <c r="BP150" i="113"/>
  <c r="BM133" i="113"/>
  <c r="BL151" i="113"/>
  <c r="BQ186" i="113"/>
  <c r="BI155" i="113"/>
  <c r="BI116" i="113"/>
  <c r="BJ125" i="113"/>
  <c r="BK161" i="113"/>
  <c r="F113" i="64"/>
  <c r="BM120" i="113"/>
  <c r="BN113" i="113"/>
  <c r="BJ127" i="113"/>
  <c r="D89" i="64"/>
  <c r="BN115" i="113"/>
  <c r="F111" i="64"/>
  <c r="BF117" i="113"/>
  <c r="BP181" i="113"/>
  <c r="BJ92" i="113"/>
  <c r="BL192" i="113"/>
  <c r="BN165" i="113"/>
  <c r="BJ189" i="113"/>
  <c r="BL96" i="113"/>
  <c r="D67" i="64"/>
  <c r="BF141" i="113"/>
  <c r="BE134" i="113"/>
  <c r="BF120" i="113"/>
  <c r="BN189" i="113"/>
  <c r="BQ176" i="113"/>
  <c r="BL187" i="113"/>
  <c r="BK139" i="113"/>
  <c r="BJ212" i="113"/>
  <c r="BL104" i="113"/>
  <c r="BQ193" i="113"/>
  <c r="BM196" i="113"/>
  <c r="BE167" i="113"/>
  <c r="BI135" i="113"/>
  <c r="BI187" i="113"/>
  <c r="BI221" i="113"/>
  <c r="BO164" i="113"/>
  <c r="BF126" i="113"/>
  <c r="BM129" i="113"/>
  <c r="E110" i="64"/>
  <c r="BJ198" i="113"/>
  <c r="BJ197" i="113"/>
  <c r="BF176" i="113"/>
  <c r="BO197" i="113"/>
  <c r="BQ142" i="113"/>
  <c r="BJ91" i="113"/>
  <c r="BE168" i="113"/>
  <c r="BQ90" i="113"/>
  <c r="BH119" i="113"/>
  <c r="BJ211" i="113"/>
  <c r="BQ149" i="113"/>
  <c r="BN179" i="113"/>
  <c r="BJ172" i="113"/>
  <c r="H117" i="64"/>
  <c r="BF172" i="113"/>
  <c r="BG96" i="113"/>
  <c r="BQ107" i="113"/>
  <c r="BI146" i="113"/>
  <c r="BP140" i="113"/>
  <c r="BF90" i="113"/>
  <c r="BO161" i="113"/>
  <c r="BE164" i="113"/>
  <c r="BO178" i="113"/>
  <c r="BF214" i="113"/>
  <c r="BQ119" i="113"/>
  <c r="BH143" i="113"/>
  <c r="BM174" i="113"/>
  <c r="BE160" i="113"/>
  <c r="BF146" i="113"/>
  <c r="BF163" i="113"/>
  <c r="BO186" i="113"/>
  <c r="BG211" i="113"/>
  <c r="BH100" i="113"/>
  <c r="BN141" i="113"/>
  <c r="BL142" i="113"/>
  <c r="BO121" i="113"/>
  <c r="BQ169" i="113"/>
  <c r="BM101" i="113"/>
  <c r="BQ147" i="113"/>
  <c r="BG220" i="113"/>
  <c r="BJ137" i="113"/>
  <c r="BG187" i="113"/>
  <c r="BE173" i="113"/>
  <c r="BP178" i="113"/>
  <c r="BJ124" i="113"/>
  <c r="BJ151" i="113"/>
  <c r="BE127" i="113"/>
  <c r="BG185" i="113"/>
  <c r="BG164" i="113"/>
  <c r="BG97" i="113"/>
  <c r="BN99" i="113"/>
  <c r="D90" i="64"/>
  <c r="BL103" i="113"/>
  <c r="BO118" i="113"/>
  <c r="BI109" i="113"/>
  <c r="BI216" i="113"/>
  <c r="BP112" i="113"/>
  <c r="BG122" i="113"/>
  <c r="BH146" i="113"/>
  <c r="BM108" i="113"/>
  <c r="BF195" i="113"/>
  <c r="BQ122" i="113"/>
  <c r="BJ174" i="113"/>
  <c r="BF139" i="113"/>
  <c r="BJ99" i="113"/>
  <c r="BJ129" i="113"/>
  <c r="BI193" i="113"/>
  <c r="BF153" i="113"/>
  <c r="BI122" i="113"/>
  <c r="BM171" i="113"/>
  <c r="BE111" i="113"/>
  <c r="BE147" i="113"/>
  <c r="BN172" i="113"/>
  <c r="BO102" i="113"/>
  <c r="BM167" i="113"/>
  <c r="BJ89" i="113"/>
  <c r="BE225" i="113"/>
  <c r="BQ117" i="113"/>
  <c r="BL92" i="113"/>
  <c r="BN149" i="113"/>
  <c r="BD117" i="64" l="1"/>
  <c r="BD145" i="64" s="1"/>
  <c r="G145" i="64"/>
  <c r="I15" i="71" s="1"/>
  <c r="M145" i="64"/>
  <c r="O15" i="71" s="1"/>
  <c r="K145" i="64"/>
  <c r="M15" i="71" s="1"/>
  <c r="J145" i="64"/>
  <c r="L15" i="71" s="1"/>
  <c r="I145" i="64"/>
  <c r="K15" i="71" s="1"/>
  <c r="H145" i="64"/>
  <c r="J15" i="71" s="1"/>
  <c r="BD114" i="64"/>
  <c r="L145" i="64"/>
  <c r="N15" i="71" s="1"/>
  <c r="AU24" i="78"/>
  <c r="AX24" i="78" s="1"/>
  <c r="BA24" i="78" s="1"/>
  <c r="AU18" i="78"/>
  <c r="AV18" i="78" s="1"/>
  <c r="AU7" i="78"/>
  <c r="AV7" i="78" s="1"/>
  <c r="AU15" i="78"/>
  <c r="AX15" i="78" s="1"/>
  <c r="BA15" i="78" s="1"/>
  <c r="AU29" i="78"/>
  <c r="AV29" i="78" s="1"/>
  <c r="AU16" i="78"/>
  <c r="AX16" i="78" s="1"/>
  <c r="BA16" i="78" s="1"/>
  <c r="AU11" i="78"/>
  <c r="AV11" i="78" s="1"/>
  <c r="AU20" i="78"/>
  <c r="AV20" i="78" s="1"/>
  <c r="AU26" i="78"/>
  <c r="AX26" i="78" s="1"/>
  <c r="BA26" i="78" s="1"/>
  <c r="AU10" i="78"/>
  <c r="AX10" i="78" s="1"/>
  <c r="BA10" i="78" s="1"/>
  <c r="AU27" i="78"/>
  <c r="AV27" i="78" s="1"/>
  <c r="AU6" i="78"/>
  <c r="AU28" i="78"/>
  <c r="AX28" i="78" s="1"/>
  <c r="BA28" i="78" s="1"/>
  <c r="AU19" i="78"/>
  <c r="AX19" i="78" s="1"/>
  <c r="BA19" i="78" s="1"/>
  <c r="AU9" i="78"/>
  <c r="AX9" i="78" s="1"/>
  <c r="BA9" i="78" s="1"/>
  <c r="I8" i="78"/>
  <c r="BJ16" i="78"/>
  <c r="BK16" i="78" s="1"/>
  <c r="BL16" i="78" s="1"/>
  <c r="BM16" i="78" s="1"/>
  <c r="BN16" i="78" s="1"/>
  <c r="BO16" i="78" s="1"/>
  <c r="BJ7" i="78"/>
  <c r="BK7" i="78" s="1"/>
  <c r="BL7" i="78" s="1"/>
  <c r="BM7" i="78" s="1"/>
  <c r="BN7" i="78" s="1"/>
  <c r="BO7" i="78" s="1"/>
  <c r="I17" i="78"/>
  <c r="I25" i="78"/>
  <c r="BJ26" i="78"/>
  <c r="BK26" i="78" s="1"/>
  <c r="BL26" i="78" s="1"/>
  <c r="BM26" i="78" s="1"/>
  <c r="BN26" i="78" s="1"/>
  <c r="BO26" i="78" s="1"/>
  <c r="AX18" i="78"/>
  <c r="BA18" i="78" s="1"/>
  <c r="AV10" i="78"/>
  <c r="C15" i="71" l="1"/>
  <c r="AV24" i="78"/>
  <c r="AV26" i="78"/>
  <c r="AV16" i="78"/>
  <c r="AW16" i="78" s="1"/>
  <c r="AZ16" i="78" s="1"/>
  <c r="AV28" i="78"/>
  <c r="AV19" i="78"/>
  <c r="AV9" i="78"/>
  <c r="AY9" i="78" s="1"/>
  <c r="AX29" i="78"/>
  <c r="BA29" i="78" s="1"/>
  <c r="CX29" i="78" s="1"/>
  <c r="AU25" i="78"/>
  <c r="AV25" i="78" s="1"/>
  <c r="AX7" i="78"/>
  <c r="BA7" i="78" s="1"/>
  <c r="AX11" i="78"/>
  <c r="BA11" i="78" s="1"/>
  <c r="CX11" i="78" s="1"/>
  <c r="AV15" i="78"/>
  <c r="AW15" i="78" s="1"/>
  <c r="AZ15" i="78" s="1"/>
  <c r="AX27" i="78"/>
  <c r="BA27" i="78" s="1"/>
  <c r="AX20" i="78"/>
  <c r="BA20" i="78" s="1"/>
  <c r="CX20" i="78" s="1"/>
  <c r="AU17" i="78"/>
  <c r="AX17" i="78" s="1"/>
  <c r="BA17" i="78" s="1"/>
  <c r="AU8" i="78"/>
  <c r="AV8" i="78" s="1"/>
  <c r="AW19" i="78"/>
  <c r="AZ19" i="78" s="1"/>
  <c r="AY19" i="78"/>
  <c r="AY16" i="78"/>
  <c r="AW28" i="78"/>
  <c r="AZ28" i="78" s="1"/>
  <c r="AY28" i="78"/>
  <c r="AW24" i="78"/>
  <c r="AZ24" i="78" s="1"/>
  <c r="AY24" i="78"/>
  <c r="AW9" i="78"/>
  <c r="AZ9" i="78" s="1"/>
  <c r="AW20" i="78"/>
  <c r="AZ20" i="78" s="1"/>
  <c r="AY20" i="78"/>
  <c r="AW29" i="78"/>
  <c r="AZ29" i="78" s="1"/>
  <c r="AY29" i="78"/>
  <c r="AW7" i="78"/>
  <c r="AZ7" i="78" s="1"/>
  <c r="AY7" i="78"/>
  <c r="AW10" i="78"/>
  <c r="AZ10" i="78" s="1"/>
  <c r="AY10" i="78"/>
  <c r="AW26" i="78"/>
  <c r="AZ26" i="78" s="1"/>
  <c r="AY26" i="78"/>
  <c r="AW11" i="78"/>
  <c r="AZ11" i="78" s="1"/>
  <c r="AY11" i="78"/>
  <c r="AW18" i="78"/>
  <c r="AZ18" i="78" s="1"/>
  <c r="AY18" i="78"/>
  <c r="AW27" i="78"/>
  <c r="AZ27" i="78" s="1"/>
  <c r="AY27" i="78"/>
  <c r="AX25" i="78"/>
  <c r="BA25" i="78" s="1"/>
  <c r="AY15" i="78" l="1"/>
  <c r="AV17" i="78"/>
  <c r="AW17" i="78" s="1"/>
  <c r="AZ17" i="78" s="1"/>
  <c r="AW8" i="78"/>
  <c r="AZ8" i="78" s="1"/>
  <c r="AY8" i="78"/>
  <c r="AX8" i="78"/>
  <c r="BA8" i="78" s="1"/>
  <c r="AW25" i="78"/>
  <c r="AZ25" i="78" s="1"/>
  <c r="AY25" i="78"/>
  <c r="AY17" i="78" l="1"/>
  <c r="AC260" i="113" l="1"/>
  <c r="AX260" i="113"/>
  <c r="V260" i="113"/>
  <c r="AR26" i="71" l="1"/>
  <c r="BY260" i="113"/>
  <c r="BU260" i="113"/>
  <c r="R260" i="113"/>
  <c r="O260" i="113"/>
  <c r="S260" i="113"/>
  <c r="AR260" i="113"/>
  <c r="AL26" i="71" s="1"/>
  <c r="AQ260" i="113"/>
  <c r="W260" i="113"/>
  <c r="AS260" i="113"/>
  <c r="AM26" i="71" s="1"/>
  <c r="AY260" i="113"/>
  <c r="AS26" i="71" s="1"/>
  <c r="AD260" i="113"/>
  <c r="AK26" i="71" l="1"/>
  <c r="BT260" i="113"/>
  <c r="AJ260" i="113"/>
  <c r="AT260" i="113"/>
  <c r="AN26" i="71" s="1"/>
  <c r="X260" i="113"/>
  <c r="BB260" i="113"/>
  <c r="AV26" i="71" s="1"/>
  <c r="BX260" i="113"/>
  <c r="AK260" i="113"/>
  <c r="AE26" i="71" s="1"/>
  <c r="P260" i="113"/>
  <c r="BC260" i="113"/>
  <c r="AW26" i="71" s="1"/>
  <c r="AV260" i="113"/>
  <c r="AP26" i="71" s="1"/>
  <c r="AZ260" i="113"/>
  <c r="AT26" i="71" s="1"/>
  <c r="AD26" i="71" l="1"/>
  <c r="Q260" i="113"/>
  <c r="AL260" i="113"/>
  <c r="AF26" i="71" s="1"/>
  <c r="Y260" i="113"/>
  <c r="AU260" i="113"/>
  <c r="AO26" i="71" s="1"/>
  <c r="G26" i="71" s="1"/>
  <c r="AE260" i="113"/>
  <c r="AF260" i="113"/>
  <c r="BA260" i="113"/>
  <c r="AU26" i="71" s="1"/>
  <c r="H26" i="71" s="1"/>
  <c r="BS260" i="113"/>
  <c r="T260" i="113"/>
  <c r="BW260" i="113"/>
  <c r="Z260" i="113" l="1"/>
  <c r="AM260" i="113"/>
  <c r="AG260" i="113"/>
  <c r="AH260" i="113"/>
  <c r="AA260" i="113"/>
  <c r="AG26" i="71" l="1"/>
  <c r="AN260" i="113"/>
  <c r="AH26" i="71" s="1"/>
  <c r="BB278" i="113"/>
  <c r="AV48" i="71" s="1"/>
  <c r="V278" i="113"/>
  <c r="AX278" i="113"/>
  <c r="H278" i="113"/>
  <c r="AK278" i="113"/>
  <c r="AE48" i="71" s="1"/>
  <c r="AT278" i="113"/>
  <c r="AN48" i="71" s="1"/>
  <c r="AJ278" i="113"/>
  <c r="AE278" i="113"/>
  <c r="AD278" i="113"/>
  <c r="BX278" i="113"/>
  <c r="Y278" i="113"/>
  <c r="Z278" i="113"/>
  <c r="Q278" i="113"/>
  <c r="AQ278" i="113"/>
  <c r="AV278" i="113"/>
  <c r="AP48" i="71" s="1"/>
  <c r="AR278" i="113"/>
  <c r="AL48" i="71" s="1"/>
  <c r="AY278" i="113"/>
  <c r="AS48" i="71" s="1"/>
  <c r="J278" i="113"/>
  <c r="BC278" i="113"/>
  <c r="AW48" i="71" s="1"/>
  <c r="AA278" i="113"/>
  <c r="M278" i="113"/>
  <c r="K278" i="113"/>
  <c r="AO278" i="113"/>
  <c r="AI48" i="71" s="1"/>
  <c r="AN278" i="113"/>
  <c r="AH48" i="71" s="1"/>
  <c r="AL278" i="113"/>
  <c r="AF48" i="71" s="1"/>
  <c r="L278" i="113"/>
  <c r="P278" i="113"/>
  <c r="AS278" i="113"/>
  <c r="AM48" i="71" s="1"/>
  <c r="AU278" i="113"/>
  <c r="AO48" i="71" s="1"/>
  <c r="AM278" i="113"/>
  <c r="AG48" i="71" s="1"/>
  <c r="AH278" i="113"/>
  <c r="S278" i="113"/>
  <c r="O278" i="113"/>
  <c r="W278" i="113"/>
  <c r="R278" i="113"/>
  <c r="BA278" i="113"/>
  <c r="AU48" i="71" s="1"/>
  <c r="AZ278" i="113"/>
  <c r="AT48" i="71" s="1"/>
  <c r="BS278" i="113"/>
  <c r="T278" i="113"/>
  <c r="X278" i="113"/>
  <c r="AG278" i="113"/>
  <c r="BR278" i="113"/>
  <c r="AF278" i="113"/>
  <c r="AC278" i="113"/>
  <c r="BU278" i="113"/>
  <c r="I278" i="113"/>
  <c r="BY278" i="113"/>
  <c r="BT278" i="113"/>
  <c r="BW278" i="113"/>
  <c r="FH7" i="104"/>
  <c r="AR48" i="71" l="1"/>
  <c r="H48" i="71" s="1"/>
  <c r="AK48" i="71"/>
  <c r="G48" i="71" s="1"/>
  <c r="AD48" i="71"/>
  <c r="F48" i="71" s="1"/>
  <c r="K48" i="71"/>
  <c r="L48" i="71"/>
  <c r="J48" i="71"/>
  <c r="M48" i="71"/>
  <c r="N48" i="71"/>
  <c r="I48" i="71"/>
  <c r="AO260" i="113"/>
  <c r="AI26" i="71" s="1"/>
  <c r="CL6" i="78"/>
  <c r="CM6" i="78" s="1"/>
  <c r="CN6" i="78" s="1"/>
  <c r="CO6" i="78" s="1"/>
  <c r="CP6" i="78" s="1"/>
  <c r="CQ6" i="78" s="1"/>
  <c r="CE6" i="78"/>
  <c r="CF6" i="78" s="1"/>
  <c r="CG6" i="78" s="1"/>
  <c r="CH6" i="78" s="1"/>
  <c r="CI6" i="78" s="1"/>
  <c r="CJ6" i="78" s="1"/>
  <c r="BX6" i="78"/>
  <c r="BY6" i="78" s="1"/>
  <c r="BZ6" i="78" s="1"/>
  <c r="CA6" i="78" s="1"/>
  <c r="CB6" i="78" s="1"/>
  <c r="CC6" i="78" s="1"/>
  <c r="BC6" i="78"/>
  <c r="BD6" i="78" s="1"/>
  <c r="BE6" i="78" s="1"/>
  <c r="BF6" i="78" s="1"/>
  <c r="BG6" i="78" s="1"/>
  <c r="BH6" i="78" s="1"/>
  <c r="C48" i="71" l="1"/>
  <c r="M38" i="78"/>
  <c r="AX6" i="78"/>
  <c r="BA6" i="78" s="1"/>
  <c r="AV6" i="78"/>
  <c r="AW6" i="78" l="1"/>
  <c r="AZ6" i="78" s="1"/>
  <c r="AY6" i="78"/>
  <c r="CL11" i="78"/>
  <c r="CL8" i="78"/>
  <c r="CL7" i="78"/>
  <c r="CL9" i="78"/>
  <c r="CL10" i="78"/>
  <c r="BX7" i="78"/>
  <c r="CE8" i="78"/>
  <c r="CE9" i="78"/>
  <c r="BX10" i="78"/>
  <c r="CE7" i="78"/>
  <c r="BX9" i="78"/>
  <c r="CE11" i="78"/>
  <c r="BX11" i="78"/>
  <c r="CE10" i="78"/>
  <c r="BX8" i="78"/>
  <c r="CM9" i="78" l="1"/>
  <c r="CM8" i="78"/>
  <c r="CM10" i="78"/>
  <c r="CM7" i="78"/>
  <c r="CM11" i="78"/>
  <c r="BY8" i="78"/>
  <c r="BY11" i="78"/>
  <c r="BY9" i="78"/>
  <c r="BY10" i="78"/>
  <c r="CF8" i="78"/>
  <c r="BY7" i="78"/>
  <c r="CF10" i="78"/>
  <c r="CF11" i="78"/>
  <c r="CF7" i="78"/>
  <c r="CF9" i="78"/>
  <c r="CN7" i="78" l="1"/>
  <c r="CO7" i="78" s="1"/>
  <c r="CN8" i="78"/>
  <c r="CO8" i="78" s="1"/>
  <c r="CN11" i="78"/>
  <c r="CO11" i="78" s="1"/>
  <c r="CP11" i="78" s="1"/>
  <c r="CQ11" i="78" s="1"/>
  <c r="EN11" i="78" s="1"/>
  <c r="CN10" i="78"/>
  <c r="CO10" i="78" s="1"/>
  <c r="CN9" i="78"/>
  <c r="CO9" i="78" s="1"/>
  <c r="CG7" i="78"/>
  <c r="CH7" i="78" s="1"/>
  <c r="CG10" i="78"/>
  <c r="CH10" i="78" s="1"/>
  <c r="CG8" i="78"/>
  <c r="CH8" i="78" s="1"/>
  <c r="BZ9" i="78"/>
  <c r="CA9" i="78" s="1"/>
  <c r="BZ8" i="78"/>
  <c r="CA8" i="78" s="1"/>
  <c r="CG9" i="78"/>
  <c r="CH9" i="78" s="1"/>
  <c r="CG11" i="78"/>
  <c r="CH11" i="78" s="1"/>
  <c r="CI11" i="78" s="1"/>
  <c r="CJ11" i="78" s="1"/>
  <c r="EG11" i="78" s="1"/>
  <c r="BZ7" i="78"/>
  <c r="CA7" i="78" s="1"/>
  <c r="BZ10" i="78"/>
  <c r="CA10" i="78" s="1"/>
  <c r="BZ11" i="78"/>
  <c r="CA11" i="78" s="1"/>
  <c r="CB11" i="78" s="1"/>
  <c r="CC11" i="78" s="1"/>
  <c r="DZ11" i="78" s="1"/>
  <c r="ET11" i="78" l="1"/>
  <c r="CP10" i="78"/>
  <c r="CQ10" i="78" s="1"/>
  <c r="CP7" i="78"/>
  <c r="CQ7" i="78" s="1"/>
  <c r="CP9" i="78"/>
  <c r="CQ9" i="78" s="1"/>
  <c r="CP8" i="78"/>
  <c r="CB7" i="78"/>
  <c r="CC7" i="78" s="1"/>
  <c r="CI10" i="78"/>
  <c r="CJ10" i="78" s="1"/>
  <c r="CI7" i="78"/>
  <c r="CJ7" i="78" s="1"/>
  <c r="CB8" i="78"/>
  <c r="CB9" i="78"/>
  <c r="CC9" i="78" s="1"/>
  <c r="CI9" i="78"/>
  <c r="CJ9" i="78" s="1"/>
  <c r="CB10" i="78"/>
  <c r="CC10" i="78" s="1"/>
  <c r="CI8" i="78"/>
  <c r="W20" i="78"/>
  <c r="CR11" i="78"/>
  <c r="EA11" i="78"/>
  <c r="EH11" i="78"/>
  <c r="DT11" i="78"/>
  <c r="DM11" i="78"/>
  <c r="CY11" i="78"/>
  <c r="W29" i="78"/>
  <c r="CQ8" i="78" l="1"/>
  <c r="CJ8" i="78"/>
  <c r="CC8" i="78"/>
  <c r="FK7" i="104"/>
  <c r="DT29" i="78"/>
  <c r="EA29" i="78"/>
  <c r="CR29" i="78"/>
  <c r="CY29" i="78"/>
  <c r="DM29" i="78"/>
  <c r="EH29" i="78"/>
  <c r="EH20" i="78"/>
  <c r="CR20" i="78"/>
  <c r="DM20" i="78"/>
  <c r="EA20" i="78"/>
  <c r="CY20" i="78"/>
  <c r="DT20" i="78"/>
  <c r="CZ11" i="78"/>
  <c r="EB11" i="78"/>
  <c r="CS11" i="78"/>
  <c r="X29" i="78"/>
  <c r="EI11" i="78"/>
  <c r="DN11" i="78"/>
  <c r="X20" i="78"/>
  <c r="DU11" i="78"/>
  <c r="F26" i="71" l="1"/>
  <c r="DN20" i="78"/>
  <c r="CS20" i="78"/>
  <c r="DU20" i="78"/>
  <c r="EB20" i="78"/>
  <c r="EI20" i="78"/>
  <c r="CZ20" i="78"/>
  <c r="EJ11" i="78"/>
  <c r="DV11" i="78"/>
  <c r="Y20" i="78"/>
  <c r="CT11" i="78"/>
  <c r="EC11" i="78"/>
  <c r="Y29" i="78"/>
  <c r="DA11" i="78"/>
  <c r="DO11" i="78"/>
  <c r="EB29" i="78"/>
  <c r="DN29" i="78"/>
  <c r="CZ29" i="78"/>
  <c r="EI29" i="78"/>
  <c r="DU29" i="78"/>
  <c r="CS29" i="78"/>
  <c r="DV29" i="78" l="1"/>
  <c r="DO29" i="78"/>
  <c r="EC29" i="78"/>
  <c r="DA29" i="78"/>
  <c r="EJ29" i="78"/>
  <c r="CT29" i="78"/>
  <c r="DB11" i="78"/>
  <c r="CU11" i="78"/>
  <c r="DW11" i="78"/>
  <c r="ED11" i="78"/>
  <c r="DP11" i="78"/>
  <c r="Z20" i="78"/>
  <c r="EK11" i="78"/>
  <c r="Z29" i="78"/>
  <c r="EJ20" i="78"/>
  <c r="CT20" i="78"/>
  <c r="DV20" i="78"/>
  <c r="DO20" i="78"/>
  <c r="EC20" i="78"/>
  <c r="DA20" i="78"/>
  <c r="EL11" i="78" l="1"/>
  <c r="DQ11" i="78"/>
  <c r="EE11" i="78"/>
  <c r="DX11" i="78"/>
  <c r="DC11" i="78"/>
  <c r="CV11" i="78"/>
  <c r="AA20" i="78"/>
  <c r="AA29" i="78"/>
  <c r="DP29" i="78"/>
  <c r="CU29" i="78"/>
  <c r="ED29" i="78"/>
  <c r="EK29" i="78"/>
  <c r="DB29" i="78"/>
  <c r="DW29" i="78"/>
  <c r="DW20" i="78"/>
  <c r="DP20" i="78"/>
  <c r="ED20" i="78"/>
  <c r="DB20" i="78"/>
  <c r="CU20" i="78"/>
  <c r="EK20" i="78"/>
  <c r="BJ28" i="78"/>
  <c r="BK28" i="78" s="1"/>
  <c r="BL28" i="78" s="1"/>
  <c r="BM28" i="78" s="1"/>
  <c r="BN28" i="78" s="1"/>
  <c r="BO28" i="78" s="1"/>
  <c r="BJ10" i="78"/>
  <c r="DF20" i="78"/>
  <c r="BJ20" i="78"/>
  <c r="DF11" i="78"/>
  <c r="BJ11" i="78"/>
  <c r="DF29" i="78"/>
  <c r="BJ29" i="78"/>
  <c r="BJ19" i="78"/>
  <c r="EL20" i="78" l="1"/>
  <c r="EL29" i="78"/>
  <c r="EM11" i="78"/>
  <c r="DR11" i="78"/>
  <c r="ES11" i="78" s="1"/>
  <c r="EF11" i="78"/>
  <c r="DY11" i="78"/>
  <c r="DQ20" i="78"/>
  <c r="EE20" i="78"/>
  <c r="DX20" i="78"/>
  <c r="DQ29" i="78"/>
  <c r="EE29" i="78"/>
  <c r="DX29" i="78"/>
  <c r="DC20" i="78"/>
  <c r="CV20" i="78"/>
  <c r="DC29" i="78"/>
  <c r="CV29" i="78"/>
  <c r="DD11" i="78"/>
  <c r="CW11" i="78"/>
  <c r="AB29" i="78"/>
  <c r="EO29" i="78" s="1"/>
  <c r="AB20" i="78"/>
  <c r="EO20" i="78" s="1"/>
  <c r="BK20" i="78"/>
  <c r="DG20" i="78"/>
  <c r="BK19" i="78"/>
  <c r="BL19" i="78" s="1"/>
  <c r="BM19" i="78" s="1"/>
  <c r="BK10" i="78"/>
  <c r="DG29" i="78"/>
  <c r="BK29" i="78"/>
  <c r="DG11" i="78"/>
  <c r="BK11" i="78"/>
  <c r="EU11" i="78" l="1"/>
  <c r="EV11" i="78"/>
  <c r="EP11" i="78"/>
  <c r="EQ11" i="78"/>
  <c r="BN19" i="78"/>
  <c r="EM29" i="78"/>
  <c r="EV29" i="78" s="1"/>
  <c r="EM20" i="78"/>
  <c r="EV20" i="78" s="1"/>
  <c r="DR20" i="78"/>
  <c r="EF20" i="78"/>
  <c r="EU20" i="78" s="1"/>
  <c r="DY20" i="78"/>
  <c r="DR29" i="78"/>
  <c r="EF29" i="78"/>
  <c r="EU29" i="78" s="1"/>
  <c r="DY29" i="78"/>
  <c r="CW20" i="78"/>
  <c r="EP20" i="78" s="1"/>
  <c r="DD20" i="78"/>
  <c r="EQ20" i="78" s="1"/>
  <c r="DD29" i="78"/>
  <c r="EQ29" i="78" s="1"/>
  <c r="CW29" i="78"/>
  <c r="EP29" i="78" s="1"/>
  <c r="BL10" i="78"/>
  <c r="DH29" i="78"/>
  <c r="BL29" i="78"/>
  <c r="BL11" i="78"/>
  <c r="DH11" i="78"/>
  <c r="DH20" i="78"/>
  <c r="BL20" i="78"/>
  <c r="ES29" i="78" l="1"/>
  <c r="ES20" i="78"/>
  <c r="FB11" i="78" s="1"/>
  <c r="BO19" i="78"/>
  <c r="DI20" i="78"/>
  <c r="BM20" i="78"/>
  <c r="BM10" i="78"/>
  <c r="DI11" i="78"/>
  <c r="BM11" i="78"/>
  <c r="DI29" i="78"/>
  <c r="BM29" i="78"/>
  <c r="EX11" i="78"/>
  <c r="BN10" i="78" l="1"/>
  <c r="BN29" i="78"/>
  <c r="DJ29" i="78"/>
  <c r="BN11" i="78"/>
  <c r="DJ11" i="78"/>
  <c r="BN20" i="78"/>
  <c r="DJ20" i="78"/>
  <c r="EZ11" i="78"/>
  <c r="FD11" i="78"/>
  <c r="EY11" i="78"/>
  <c r="FC11" i="78"/>
  <c r="DK11" i="78" l="1"/>
  <c r="BO11" i="78"/>
  <c r="DL11" i="78" s="1"/>
  <c r="DK29" i="78"/>
  <c r="BO29" i="78"/>
  <c r="DL29" i="78" s="1"/>
  <c r="DK20" i="78"/>
  <c r="BO20" i="78"/>
  <c r="DL20" i="78" s="1"/>
  <c r="BO10" i="78"/>
  <c r="I30" i="78"/>
  <c r="I12" i="78"/>
  <c r="ER11" i="78" l="1"/>
  <c r="ER29" i="78"/>
  <c r="ER20" i="78"/>
  <c r="AU12" i="78"/>
  <c r="AU30" i="78"/>
  <c r="AV30" i="78" s="1"/>
  <c r="I21" i="78"/>
  <c r="FA11" i="78" l="1"/>
  <c r="AX30" i="78"/>
  <c r="BA30" i="78" s="1"/>
  <c r="AU21" i="78"/>
  <c r="AW30" i="78"/>
  <c r="AZ30" i="78" s="1"/>
  <c r="AY30" i="78"/>
  <c r="AV12" i="78"/>
  <c r="AY12" i="78" s="1"/>
  <c r="AX12" i="78"/>
  <c r="BA12" i="78" s="1"/>
  <c r="AV21" i="78" l="1"/>
  <c r="AY21" i="78" s="1"/>
  <c r="AX21" i="78"/>
  <c r="BA21" i="78" s="1"/>
  <c r="AW12" i="78"/>
  <c r="AZ12" i="78" s="1"/>
  <c r="AW21" i="78" l="1"/>
  <c r="AZ21" i="78" s="1"/>
  <c r="BV260" i="113" l="1"/>
  <c r="CD7" i="132" l="1"/>
  <c r="CE27" i="132" l="1"/>
  <c r="CF27" i="132" s="1"/>
  <c r="CG27" i="132" s="1"/>
  <c r="CH27" i="132" s="1"/>
  <c r="CI27" i="132" s="1"/>
  <c r="CJ27" i="132" s="1"/>
  <c r="CE7" i="132"/>
  <c r="CE17" i="132"/>
  <c r="CF17" i="132" s="1"/>
  <c r="CG17" i="132" s="1"/>
  <c r="CH17" i="132" s="1"/>
  <c r="CI17" i="132" s="1"/>
  <c r="CJ17" i="132" s="1"/>
  <c r="CF7" i="132" l="1"/>
  <c r="CG7" i="132" l="1"/>
  <c r="CH7" i="132" l="1"/>
  <c r="R137" i="113"/>
  <c r="X160" i="113"/>
  <c r="AC157" i="113"/>
  <c r="AT89" i="64"/>
  <c r="I55" i="64"/>
  <c r="AT113" i="113"/>
  <c r="AE166" i="113"/>
  <c r="AL193" i="113"/>
  <c r="E154" i="113"/>
  <c r="AI88" i="113"/>
  <c r="AF95" i="113"/>
  <c r="BW184" i="113"/>
  <c r="AF78" i="64"/>
  <c r="BY122" i="113"/>
  <c r="BK90" i="64"/>
  <c r="H96" i="113"/>
  <c r="AE104" i="113"/>
  <c r="BY144" i="113"/>
  <c r="M165" i="113"/>
  <c r="AM54" i="64"/>
  <c r="BY88" i="113"/>
  <c r="Z182" i="113"/>
  <c r="AV144" i="113"/>
  <c r="E180" i="113"/>
  <c r="U189" i="113"/>
  <c r="AG138" i="113"/>
  <c r="Q87" i="113"/>
  <c r="BD173" i="113"/>
  <c r="U106" i="113"/>
  <c r="AL111" i="113"/>
  <c r="AN65" i="64"/>
  <c r="F131" i="113"/>
  <c r="V176" i="113"/>
  <c r="AR61" i="64"/>
  <c r="AL164" i="113"/>
  <c r="I80" i="64"/>
  <c r="O110" i="113"/>
  <c r="BY97" i="113"/>
  <c r="AS169" i="113"/>
  <c r="Q93" i="64"/>
  <c r="E106" i="113"/>
  <c r="AR47" i="64"/>
  <c r="AH47" i="64"/>
  <c r="AL186" i="113"/>
  <c r="R146" i="113"/>
  <c r="V55" i="64"/>
  <c r="AR134" i="113"/>
  <c r="F45" i="64"/>
  <c r="AK179" i="113"/>
  <c r="BW196" i="113"/>
  <c r="BI96" i="64"/>
  <c r="BB101" i="113"/>
  <c r="AI148" i="113"/>
  <c r="J155" i="113"/>
  <c r="AL177" i="113"/>
  <c r="G188" i="113"/>
  <c r="BV158" i="113"/>
  <c r="I65" i="64"/>
  <c r="M49" i="64"/>
  <c r="F26" i="64"/>
  <c r="AX101" i="113"/>
  <c r="AH137" i="113"/>
  <c r="Q56" i="64"/>
  <c r="AG172" i="113"/>
  <c r="H96" i="64"/>
  <c r="BV93" i="113"/>
  <c r="BB52" i="64"/>
  <c r="AH99" i="64"/>
  <c r="W84" i="64"/>
  <c r="BJ84" i="64"/>
  <c r="BS134" i="113"/>
  <c r="AS90" i="113"/>
  <c r="AN75" i="64"/>
  <c r="P84" i="64"/>
  <c r="V121" i="113"/>
  <c r="U120" i="113"/>
  <c r="AY147" i="113"/>
  <c r="AQ47" i="64"/>
  <c r="AE177" i="113"/>
  <c r="AB63" i="64"/>
  <c r="AN103" i="113"/>
  <c r="O175" i="113"/>
  <c r="Y137" i="113"/>
  <c r="AC177" i="113"/>
  <c r="AW140" i="113"/>
  <c r="BY189" i="113"/>
  <c r="AS115" i="113"/>
  <c r="AM110" i="113"/>
  <c r="W162" i="113"/>
  <c r="AY141" i="113"/>
  <c r="AB198" i="113"/>
  <c r="AB115" i="113"/>
  <c r="S162" i="113"/>
  <c r="O192" i="113"/>
  <c r="AF111" i="113"/>
  <c r="AA75" i="64"/>
  <c r="AN133" i="113"/>
  <c r="X87" i="113"/>
  <c r="AU63" i="64"/>
  <c r="Z132" i="113"/>
  <c r="BB50" i="64"/>
  <c r="AG56" i="64"/>
  <c r="G146" i="113"/>
  <c r="J195" i="113"/>
  <c r="BX100" i="113"/>
  <c r="M193" i="113"/>
  <c r="I52" i="64"/>
  <c r="K50" i="64"/>
  <c r="AC91" i="113"/>
  <c r="AU101" i="113"/>
  <c r="AI181" i="113"/>
  <c r="F40" i="64"/>
  <c r="BV176" i="113"/>
  <c r="AH66" i="64"/>
  <c r="O137" i="113"/>
  <c r="AR132" i="113"/>
  <c r="BV119" i="113"/>
  <c r="AG87" i="64"/>
  <c r="E49" i="64"/>
  <c r="AE181" i="113"/>
  <c r="AK126" i="113"/>
  <c r="BB169" i="113"/>
  <c r="BX161" i="113"/>
  <c r="AJ52" i="64"/>
  <c r="AE54" i="64"/>
  <c r="AU131" i="113"/>
  <c r="AV102" i="64"/>
  <c r="AH52" i="64"/>
  <c r="R161" i="113"/>
  <c r="AI176" i="113"/>
  <c r="AX192" i="113"/>
  <c r="E75" i="64"/>
  <c r="AB97" i="113"/>
  <c r="I141" i="113"/>
  <c r="AZ92" i="64"/>
  <c r="AK100" i="113"/>
  <c r="BT102" i="113"/>
  <c r="N108" i="113"/>
  <c r="AR87" i="113"/>
  <c r="L58" i="64"/>
  <c r="E176" i="113"/>
  <c r="N141" i="113"/>
  <c r="Q148" i="113"/>
  <c r="AB187" i="113"/>
  <c r="F174" i="113"/>
  <c r="AA128" i="113"/>
  <c r="AQ150" i="113"/>
  <c r="AE180" i="113"/>
  <c r="AA95" i="113"/>
  <c r="BV130" i="113"/>
  <c r="BC131" i="113"/>
  <c r="Z154" i="113"/>
  <c r="K166" i="113"/>
  <c r="AH92" i="113"/>
  <c r="Z104" i="113"/>
  <c r="G179" i="113"/>
  <c r="BU178" i="113"/>
  <c r="E165" i="113"/>
  <c r="AI109" i="113"/>
  <c r="Y63" i="64"/>
  <c r="Z77" i="64"/>
  <c r="AS94" i="113"/>
  <c r="AR176" i="113"/>
  <c r="AO47" i="64"/>
  <c r="AG175" i="113"/>
  <c r="BE57" i="64"/>
  <c r="AU98" i="64"/>
  <c r="BD139" i="113"/>
  <c r="AB148" i="113"/>
  <c r="J112" i="113"/>
  <c r="AQ87" i="113"/>
  <c r="AH110" i="113"/>
  <c r="AP92" i="113"/>
  <c r="BX108" i="113"/>
  <c r="O119" i="113"/>
  <c r="BB144" i="113"/>
  <c r="AE58" i="64"/>
  <c r="BC126" i="113"/>
  <c r="AN108" i="113"/>
  <c r="AN50" i="64"/>
  <c r="BT190" i="113"/>
  <c r="H104" i="113"/>
  <c r="J134" i="113"/>
  <c r="AZ174" i="113"/>
  <c r="AQ125" i="113"/>
  <c r="T155" i="113"/>
  <c r="AH171" i="113"/>
  <c r="H105" i="113"/>
  <c r="Z187" i="113"/>
  <c r="AA96" i="64"/>
  <c r="AS152" i="113"/>
  <c r="AC47" i="64"/>
  <c r="BH94" i="64"/>
  <c r="AD56" i="64"/>
  <c r="BA94" i="113"/>
  <c r="AU102" i="113"/>
  <c r="AR88" i="64"/>
  <c r="AD196" i="113"/>
  <c r="AX186" i="113"/>
  <c r="AC99" i="64"/>
  <c r="S90" i="64"/>
  <c r="AC148" i="113"/>
  <c r="N55" i="64"/>
  <c r="AL93" i="64"/>
  <c r="AL163" i="113"/>
  <c r="AZ136" i="113"/>
  <c r="F44" i="64"/>
  <c r="G157" i="113"/>
  <c r="BV90" i="113"/>
  <c r="AJ192" i="113"/>
  <c r="E39" i="64"/>
  <c r="AB121" i="113"/>
  <c r="V185" i="113"/>
  <c r="AM96" i="64"/>
  <c r="P134" i="113"/>
  <c r="I189" i="113"/>
  <c r="BJ92" i="64"/>
  <c r="T178" i="113"/>
  <c r="Z146" i="113"/>
  <c r="AZ64" i="64"/>
  <c r="M60" i="64"/>
  <c r="AK55" i="64"/>
  <c r="AK141" i="113"/>
  <c r="BB152" i="113"/>
  <c r="AL197" i="113"/>
  <c r="AZ139" i="113"/>
  <c r="R132" i="113"/>
  <c r="BX114" i="113"/>
  <c r="S90" i="113"/>
  <c r="BH78" i="64"/>
  <c r="I137" i="113"/>
  <c r="S165" i="113"/>
  <c r="BG11" i="64"/>
  <c r="E11" i="64"/>
  <c r="Z130" i="113"/>
  <c r="AH54" i="64"/>
  <c r="W172" i="113"/>
  <c r="Q126" i="113"/>
  <c r="AO101" i="113"/>
  <c r="BU153" i="113"/>
  <c r="AG155" i="113"/>
  <c r="Y61" i="64"/>
  <c r="N125" i="113"/>
  <c r="Q173" i="113"/>
  <c r="AO189" i="113"/>
  <c r="K95" i="64"/>
  <c r="AF110" i="113"/>
  <c r="AA183" i="113"/>
  <c r="AA154" i="113"/>
  <c r="L98" i="64"/>
  <c r="AB81" i="64"/>
  <c r="AX52" i="64"/>
  <c r="BH101" i="64"/>
  <c r="AA86" i="64"/>
  <c r="Y104" i="113"/>
  <c r="AV52" i="64"/>
  <c r="E93" i="64"/>
  <c r="O138" i="113"/>
  <c r="AY156" i="113"/>
  <c r="BD169" i="113"/>
  <c r="V151" i="113"/>
  <c r="AC153" i="113"/>
  <c r="AC11" i="64"/>
  <c r="AP119" i="113"/>
  <c r="H88" i="113"/>
  <c r="AK103" i="113"/>
  <c r="G181" i="113"/>
  <c r="BG66" i="64"/>
  <c r="K197" i="113"/>
  <c r="BS91" i="113"/>
  <c r="AG81" i="64"/>
  <c r="G80" i="64"/>
  <c r="O104" i="113"/>
  <c r="AG127" i="113"/>
  <c r="AG185" i="113"/>
  <c r="BV190" i="113"/>
  <c r="BA102" i="113"/>
  <c r="BV192" i="113"/>
  <c r="AB196" i="113"/>
  <c r="V134" i="113"/>
  <c r="AT192" i="113"/>
  <c r="S187" i="113"/>
  <c r="AF164" i="113"/>
  <c r="AW53" i="64"/>
  <c r="AW159" i="113"/>
  <c r="AQ128" i="113"/>
  <c r="AR91" i="113"/>
  <c r="R98" i="113"/>
  <c r="BF57" i="64"/>
  <c r="I140" i="113"/>
  <c r="AP170" i="113"/>
  <c r="BS188" i="113"/>
  <c r="O189" i="113"/>
  <c r="AL160" i="113"/>
  <c r="BS183" i="113"/>
  <c r="I163" i="113"/>
  <c r="R147" i="113"/>
  <c r="AQ104" i="113"/>
  <c r="AW183" i="113"/>
  <c r="AC181" i="113"/>
  <c r="X50" i="64"/>
  <c r="H103" i="113"/>
  <c r="BS12" i="113"/>
  <c r="V136" i="113"/>
  <c r="BJ64" i="64"/>
  <c r="G51" i="64"/>
  <c r="AT98" i="64"/>
  <c r="AC161" i="113"/>
  <c r="AW198" i="113"/>
  <c r="W148" i="113"/>
  <c r="AW98" i="113"/>
  <c r="T87" i="64"/>
  <c r="AZ56" i="64"/>
  <c r="AE140" i="113"/>
  <c r="AV94" i="64"/>
  <c r="S149" i="113"/>
  <c r="T175" i="113"/>
  <c r="U129" i="113"/>
  <c r="AW77" i="64"/>
  <c r="AU98" i="113"/>
  <c r="N98" i="113"/>
  <c r="BU7" i="113"/>
  <c r="BV184" i="113"/>
  <c r="Y100" i="64"/>
  <c r="W92" i="64"/>
  <c r="AU192" i="113"/>
  <c r="L184" i="113"/>
  <c r="AP93" i="113"/>
  <c r="BH57" i="64"/>
  <c r="R160" i="113"/>
  <c r="O182" i="113"/>
  <c r="G57" i="64"/>
  <c r="AA48" i="64"/>
  <c r="AH182" i="113"/>
  <c r="AA106" i="113"/>
  <c r="J86" i="64"/>
  <c r="BA134" i="113"/>
  <c r="Y171" i="113"/>
  <c r="AB51" i="64"/>
  <c r="R140" i="113"/>
  <c r="AY93" i="64"/>
  <c r="AY186" i="113"/>
  <c r="BX102" i="113"/>
  <c r="H12" i="113"/>
  <c r="AT90" i="64"/>
  <c r="H56" i="64"/>
  <c r="H99" i="64"/>
  <c r="BS115" i="113"/>
  <c r="AV116" i="113"/>
  <c r="AV176" i="113"/>
  <c r="AF185" i="113"/>
  <c r="AG120" i="113"/>
  <c r="BX106" i="113"/>
  <c r="K80" i="64"/>
  <c r="AZ108" i="113"/>
  <c r="Y196" i="113"/>
  <c r="Y125" i="113"/>
  <c r="BW191" i="113"/>
  <c r="BW105" i="113"/>
  <c r="BW116" i="113"/>
  <c r="AJ107" i="113"/>
  <c r="AK91" i="113"/>
  <c r="V105" i="113"/>
  <c r="BA93" i="64"/>
  <c r="Y186" i="113"/>
  <c r="T101" i="113"/>
  <c r="BX175" i="113"/>
  <c r="AZ187" i="113"/>
  <c r="AM59" i="64"/>
  <c r="E118" i="113"/>
  <c r="AL181" i="113"/>
  <c r="AI118" i="113"/>
  <c r="T99" i="64"/>
  <c r="Q55" i="64"/>
  <c r="AM57" i="64"/>
  <c r="BV87" i="113"/>
  <c r="R185" i="113"/>
  <c r="X121" i="113"/>
  <c r="E111" i="113"/>
  <c r="E156" i="113"/>
  <c r="AC98" i="113"/>
  <c r="U125" i="113"/>
  <c r="F75" i="64"/>
  <c r="V80" i="64"/>
  <c r="AI182" i="113"/>
  <c r="G88" i="113"/>
  <c r="AQ117" i="113"/>
  <c r="P184" i="113"/>
  <c r="AV117" i="113"/>
  <c r="V124" i="113"/>
  <c r="BD167" i="113"/>
  <c r="BB97" i="113"/>
  <c r="S58" i="64"/>
  <c r="P122" i="113"/>
  <c r="AP132" i="113"/>
  <c r="V78" i="64"/>
  <c r="AB52" i="64"/>
  <c r="AD115" i="113"/>
  <c r="AH113" i="113"/>
  <c r="AN132" i="113"/>
  <c r="BG53" i="64"/>
  <c r="Z160" i="113"/>
  <c r="Z58" i="64"/>
  <c r="BT104" i="113"/>
  <c r="AG62" i="64"/>
  <c r="BB179" i="113"/>
  <c r="BV141" i="113"/>
  <c r="P171" i="113"/>
  <c r="X107" i="113"/>
  <c r="AR146" i="113"/>
  <c r="N86" i="64"/>
  <c r="AT130" i="113"/>
  <c r="BD191" i="113"/>
  <c r="Z106" i="113"/>
  <c r="AM148" i="113"/>
  <c r="AX117" i="113"/>
  <c r="AI99" i="113"/>
  <c r="BV197" i="113"/>
  <c r="AQ92" i="64"/>
  <c r="P95" i="64"/>
  <c r="AO140" i="113"/>
  <c r="T92" i="113"/>
  <c r="S13" i="64"/>
  <c r="AC174" i="113"/>
  <c r="P93" i="113"/>
  <c r="BE64" i="64"/>
  <c r="AV187" i="113"/>
  <c r="AC196" i="113"/>
  <c r="O135" i="113"/>
  <c r="K112" i="113"/>
  <c r="E188" i="113"/>
  <c r="AX194" i="113"/>
  <c r="AF119" i="113"/>
  <c r="AL91" i="64"/>
  <c r="AH103" i="113"/>
  <c r="AN81" i="64"/>
  <c r="AH136" i="113"/>
  <c r="H123" i="113"/>
  <c r="AS158" i="113"/>
  <c r="AO163" i="113"/>
  <c r="AU153" i="113"/>
  <c r="AC116" i="113"/>
  <c r="X183" i="113"/>
  <c r="BJ48" i="64"/>
  <c r="T82" i="64"/>
  <c r="V100" i="113"/>
  <c r="W182" i="113"/>
  <c r="Q77" i="64"/>
  <c r="H87" i="64"/>
  <c r="AP86" i="64"/>
  <c r="O89" i="64"/>
  <c r="AY52" i="64"/>
  <c r="J109" i="113"/>
  <c r="AG103" i="113"/>
  <c r="AW109" i="113"/>
  <c r="AR152" i="113"/>
  <c r="M113" i="113"/>
  <c r="V85" i="64"/>
  <c r="BT185" i="113"/>
  <c r="AK161" i="113"/>
  <c r="H7" i="113"/>
  <c r="BH86" i="64"/>
  <c r="BT154" i="113"/>
  <c r="H173" i="113"/>
  <c r="T25" i="64"/>
  <c r="AO80" i="64"/>
  <c r="BU93" i="113"/>
  <c r="I102" i="64"/>
  <c r="AM99" i="113"/>
  <c r="M135" i="113"/>
  <c r="I59" i="64"/>
  <c r="AA177" i="113"/>
  <c r="Z139" i="113"/>
  <c r="R86" i="64"/>
  <c r="H92" i="113"/>
  <c r="J133" i="113"/>
  <c r="BS128" i="113"/>
  <c r="I50" i="64"/>
  <c r="AR196" i="113"/>
  <c r="AO175" i="113"/>
  <c r="AP109" i="113"/>
  <c r="AC98" i="64"/>
  <c r="AX113" i="113"/>
  <c r="AN119" i="113"/>
  <c r="X106" i="113"/>
  <c r="BA124" i="113"/>
  <c r="O100" i="64"/>
  <c r="K55" i="64"/>
  <c r="S194" i="113"/>
  <c r="AC107" i="113"/>
  <c r="BW129" i="113"/>
  <c r="P161" i="113"/>
  <c r="AY116" i="113"/>
  <c r="E222" i="113"/>
  <c r="AJ166" i="113"/>
  <c r="F63" i="64"/>
  <c r="AM170" i="113"/>
  <c r="AL94" i="64"/>
  <c r="BS120" i="113"/>
  <c r="AH11" i="113"/>
  <c r="BT118" i="113"/>
  <c r="J51" i="64"/>
  <c r="AT90" i="113"/>
  <c r="AI195" i="113"/>
  <c r="L194" i="113"/>
  <c r="L164" i="113"/>
  <c r="AU152" i="113"/>
  <c r="V84" i="64"/>
  <c r="AU138" i="113"/>
  <c r="X104" i="113"/>
  <c r="AS179" i="113"/>
  <c r="AG79" i="64"/>
  <c r="AH132" i="113"/>
  <c r="J120" i="113"/>
  <c r="R91" i="113"/>
  <c r="AP115" i="113"/>
  <c r="G118" i="113"/>
  <c r="AF171" i="113"/>
  <c r="BI84" i="64"/>
  <c r="AR99" i="64"/>
  <c r="K175" i="113"/>
  <c r="AE59" i="64"/>
  <c r="M96" i="64"/>
  <c r="AA87" i="64"/>
  <c r="BS132" i="113"/>
  <c r="AX148" i="113"/>
  <c r="AS102" i="113"/>
  <c r="R90" i="64"/>
  <c r="AY96" i="64"/>
  <c r="AI65" i="64"/>
  <c r="AP181" i="113"/>
  <c r="BU101" i="113"/>
  <c r="AF160" i="113"/>
  <c r="P158" i="113"/>
  <c r="AN157" i="113"/>
  <c r="AG94" i="113"/>
  <c r="AI188" i="113"/>
  <c r="AQ60" i="64"/>
  <c r="BE99" i="64"/>
  <c r="G166" i="113"/>
  <c r="AA64" i="64"/>
  <c r="M75" i="64"/>
  <c r="X96" i="64"/>
  <c r="BA83" i="64"/>
  <c r="AL57" i="64"/>
  <c r="BX171" i="113"/>
  <c r="BH53" i="64"/>
  <c r="E135" i="113"/>
  <c r="E151" i="113"/>
  <c r="L161" i="113"/>
  <c r="AG112" i="113"/>
  <c r="AC121" i="113"/>
  <c r="AQ193" i="113"/>
  <c r="AZ120" i="113"/>
  <c r="I56" i="64"/>
  <c r="F56" i="64"/>
  <c r="AQ144" i="113"/>
  <c r="AB85" i="64"/>
  <c r="AM91" i="113"/>
  <c r="AK139" i="113"/>
  <c r="P96" i="113"/>
  <c r="AR63" i="64"/>
  <c r="W108" i="113"/>
  <c r="AP149" i="113"/>
  <c r="BT164" i="113"/>
  <c r="AA89" i="64"/>
  <c r="BX127" i="113"/>
  <c r="Y128" i="113"/>
  <c r="AA12" i="113"/>
  <c r="AK87" i="113"/>
  <c r="AD133" i="113"/>
  <c r="N184" i="113"/>
  <c r="AV114" i="113"/>
  <c r="BT148" i="113"/>
  <c r="BU94" i="113"/>
  <c r="T196" i="113"/>
  <c r="AB98" i="113"/>
  <c r="I176" i="113"/>
  <c r="AU100" i="113"/>
  <c r="AO55" i="64"/>
  <c r="AM163" i="113"/>
  <c r="AE114" i="113"/>
  <c r="AT125" i="113"/>
  <c r="BB126" i="113"/>
  <c r="AV189" i="113"/>
  <c r="U112" i="113"/>
  <c r="AJ197" i="113"/>
  <c r="AM121" i="113"/>
  <c r="AS160" i="113"/>
  <c r="T193" i="113"/>
  <c r="O86" i="64"/>
  <c r="BJ65" i="64"/>
  <c r="P157" i="113"/>
  <c r="AH139" i="113"/>
  <c r="S148" i="113"/>
  <c r="BU147" i="113"/>
  <c r="Q50" i="64"/>
  <c r="AA107" i="113"/>
  <c r="K52" i="64"/>
  <c r="AR174" i="113"/>
  <c r="AX100" i="64"/>
  <c r="M102" i="113"/>
  <c r="AL97" i="113"/>
  <c r="F194" i="113"/>
  <c r="Z92" i="113"/>
  <c r="AD87" i="113"/>
  <c r="N161" i="113"/>
  <c r="E83" i="64"/>
  <c r="E51" i="64"/>
  <c r="AB91" i="64"/>
  <c r="AL88" i="113"/>
  <c r="U100" i="64"/>
  <c r="S131" i="113"/>
  <c r="BW125" i="113"/>
  <c r="M173" i="113"/>
  <c r="BK100" i="64"/>
  <c r="M7" i="113"/>
  <c r="AP141" i="113"/>
  <c r="AA7" i="113"/>
  <c r="Z159" i="113"/>
  <c r="AT54" i="64"/>
  <c r="AP51" i="64"/>
  <c r="AJ115" i="113"/>
  <c r="BD131" i="113"/>
  <c r="AI119" i="113"/>
  <c r="AN194" i="113"/>
  <c r="Y110" i="113"/>
  <c r="J98" i="64"/>
  <c r="Q137" i="113"/>
  <c r="AP48" i="64"/>
  <c r="BV171" i="113"/>
  <c r="AP63" i="64"/>
  <c r="M139" i="113"/>
  <c r="S106" i="113"/>
  <c r="AU119" i="113"/>
  <c r="BX111" i="113"/>
  <c r="AW122" i="113"/>
  <c r="AX95" i="113"/>
  <c r="AX84" i="64"/>
  <c r="BK65" i="64"/>
  <c r="BD189" i="113"/>
  <c r="G113" i="113"/>
  <c r="BS94" i="113"/>
  <c r="AR187" i="113"/>
  <c r="AX90" i="64"/>
  <c r="U55" i="64"/>
  <c r="Z51" i="64"/>
  <c r="M96" i="113"/>
  <c r="X95" i="113"/>
  <c r="AK149" i="113"/>
  <c r="AQ90" i="64"/>
  <c r="J52" i="64"/>
  <c r="AR100" i="113"/>
  <c r="AR64" i="64"/>
  <c r="N129" i="113"/>
  <c r="BU160" i="113"/>
  <c r="AT104" i="113"/>
  <c r="R62" i="64"/>
  <c r="V65" i="64"/>
  <c r="BY184" i="113"/>
  <c r="J162" i="113"/>
  <c r="AF90" i="64"/>
  <c r="BA173" i="113"/>
  <c r="AV193" i="113"/>
  <c r="AX141" i="113"/>
  <c r="BY129" i="113"/>
  <c r="BC63" i="64"/>
  <c r="U156" i="113"/>
  <c r="O96" i="113"/>
  <c r="V174" i="113"/>
  <c r="AS119" i="113"/>
  <c r="W100" i="64"/>
  <c r="I47" i="64"/>
  <c r="BC176" i="113"/>
  <c r="AW48" i="64"/>
  <c r="AH123" i="113"/>
  <c r="AL121" i="113"/>
  <c r="G122" i="113"/>
  <c r="J156" i="113"/>
  <c r="AN117" i="113"/>
  <c r="AO181" i="113"/>
  <c r="AJ97" i="64"/>
  <c r="AY92" i="64"/>
  <c r="AG216" i="113"/>
  <c r="AA155" i="113"/>
  <c r="Y123" i="113"/>
  <c r="BU169" i="113"/>
  <c r="AO49" i="64"/>
  <c r="AF102" i="113"/>
  <c r="W155" i="113"/>
  <c r="T160" i="113"/>
  <c r="G168" i="113"/>
  <c r="BK89" i="64"/>
  <c r="BX109" i="113"/>
  <c r="N119" i="113"/>
  <c r="BY197" i="113"/>
  <c r="AU75" i="64"/>
  <c r="I173" i="113"/>
  <c r="Q133" i="113"/>
  <c r="AU53" i="64"/>
  <c r="AE80" i="64"/>
  <c r="H190" i="113"/>
  <c r="AD7" i="113"/>
  <c r="L134" i="113"/>
  <c r="BB128" i="113"/>
  <c r="K82" i="64"/>
  <c r="G107" i="113"/>
  <c r="AJ165" i="113"/>
  <c r="AV165" i="113"/>
  <c r="AX159" i="113"/>
  <c r="U83" i="64"/>
  <c r="AO167" i="113"/>
  <c r="AK102" i="64"/>
  <c r="AV96" i="64"/>
  <c r="AM100" i="113"/>
  <c r="BK55" i="64"/>
  <c r="O125" i="113"/>
  <c r="AT80" i="64"/>
  <c r="S95" i="113"/>
  <c r="P172" i="113"/>
  <c r="R141" i="113"/>
  <c r="N168" i="113"/>
  <c r="AD150" i="113"/>
  <c r="P136" i="113"/>
  <c r="AU164" i="113"/>
  <c r="AW170" i="113"/>
  <c r="BV91" i="113"/>
  <c r="AS167" i="113"/>
  <c r="I146" i="113"/>
  <c r="AN184" i="113"/>
  <c r="BB131" i="113"/>
  <c r="AS101" i="64"/>
  <c r="AX123" i="113"/>
  <c r="L142" i="113"/>
  <c r="AM133" i="113"/>
  <c r="AU167" i="113"/>
  <c r="AV145" i="113"/>
  <c r="BY193" i="113"/>
  <c r="S109" i="113"/>
  <c r="BW130" i="113"/>
  <c r="BE60" i="64"/>
  <c r="BW97" i="113"/>
  <c r="AB193" i="113"/>
  <c r="X112" i="113"/>
  <c r="AI185" i="113"/>
  <c r="BD108" i="113"/>
  <c r="AF98" i="113"/>
  <c r="N89" i="64"/>
  <c r="Q161" i="113"/>
  <c r="F39" i="64"/>
  <c r="AJ138" i="113"/>
  <c r="BT143" i="113"/>
  <c r="AR92" i="113"/>
  <c r="AQ97" i="64"/>
  <c r="H77" i="64"/>
  <c r="AU124" i="113"/>
  <c r="AH172" i="113"/>
  <c r="BV114" i="113"/>
  <c r="AG101" i="113"/>
  <c r="AA112" i="113"/>
  <c r="U184" i="113"/>
  <c r="AM82" i="64"/>
  <c r="AX48" i="64"/>
  <c r="V56" i="64"/>
  <c r="AC142" i="113"/>
  <c r="BC112" i="113"/>
  <c r="BY192" i="113"/>
  <c r="R47" i="64"/>
  <c r="AO60" i="64"/>
  <c r="AO92" i="113"/>
  <c r="BX121" i="113"/>
  <c r="R51" i="64"/>
  <c r="BX148" i="113"/>
  <c r="E24" i="64"/>
  <c r="AO101" i="64"/>
  <c r="Z87" i="64"/>
  <c r="Q198" i="113"/>
  <c r="BG62" i="64"/>
  <c r="AT191" i="113"/>
  <c r="S185" i="113"/>
  <c r="AP113" i="113"/>
  <c r="AG92" i="113"/>
  <c r="N94" i="113"/>
  <c r="AT144" i="113"/>
  <c r="S174" i="113"/>
  <c r="M150" i="113"/>
  <c r="T56" i="64"/>
  <c r="AN118" i="113"/>
  <c r="AZ152" i="113"/>
  <c r="AX62" i="64"/>
  <c r="AQ89" i="64"/>
  <c r="AW197" i="113"/>
  <c r="G78" i="64"/>
  <c r="AG53" i="64"/>
  <c r="BX190" i="113"/>
  <c r="H101" i="113"/>
  <c r="R7" i="113"/>
  <c r="AI81" i="64"/>
  <c r="BB120" i="113"/>
  <c r="Z110" i="113"/>
  <c r="AY112" i="113"/>
  <c r="AL162" i="113"/>
  <c r="AX183" i="113"/>
  <c r="AU59" i="64"/>
  <c r="AI139" i="113"/>
  <c r="BT110" i="113"/>
  <c r="AL130" i="113"/>
  <c r="AL107" i="113"/>
  <c r="AN163" i="113"/>
  <c r="AX98" i="113"/>
  <c r="S80" i="64"/>
  <c r="AP92" i="64"/>
  <c r="W174" i="113"/>
  <c r="F161" i="113"/>
  <c r="O97" i="113"/>
  <c r="Q81" i="64"/>
  <c r="O94" i="113"/>
  <c r="AO169" i="113"/>
  <c r="AN125" i="113"/>
  <c r="BF49" i="64"/>
  <c r="BG93" i="64"/>
  <c r="AP89" i="113"/>
  <c r="X193" i="113"/>
  <c r="U89" i="64"/>
  <c r="O177" i="113"/>
  <c r="O14" i="64"/>
  <c r="BD164" i="113"/>
  <c r="Z112" i="113"/>
  <c r="V114" i="113"/>
  <c r="AO91" i="113"/>
  <c r="F96" i="64"/>
  <c r="F164" i="113"/>
  <c r="AI106" i="113"/>
  <c r="AZ163" i="113"/>
  <c r="AA93" i="113"/>
  <c r="L119" i="113"/>
  <c r="AD181" i="113"/>
  <c r="K128" i="113"/>
  <c r="AY118" i="113"/>
  <c r="T107" i="113"/>
  <c r="O84" i="64"/>
  <c r="AT166" i="113"/>
  <c r="N14" i="64"/>
  <c r="N179" i="113"/>
  <c r="BV175" i="113"/>
  <c r="AF47" i="64"/>
  <c r="AD66" i="64"/>
  <c r="BB171" i="113"/>
  <c r="BV195" i="113"/>
  <c r="U188" i="113"/>
  <c r="AD77" i="64"/>
  <c r="AW164" i="113"/>
  <c r="BW155" i="113"/>
  <c r="BW89" i="113"/>
  <c r="BU197" i="113"/>
  <c r="AE138" i="113"/>
  <c r="BI79" i="64"/>
  <c r="AS78" i="64"/>
  <c r="BH52" i="64"/>
  <c r="AS100" i="113"/>
  <c r="AR91" i="64"/>
  <c r="AR198" i="113"/>
  <c r="S119" i="113"/>
  <c r="AG12" i="113"/>
  <c r="AL119" i="113"/>
  <c r="I101" i="64"/>
  <c r="L158" i="113"/>
  <c r="AR188" i="113"/>
  <c r="K96" i="64"/>
  <c r="AR106" i="113"/>
  <c r="V57" i="64"/>
  <c r="J187" i="113"/>
  <c r="AK163" i="113"/>
  <c r="G58" i="64"/>
  <c r="AQ191" i="113"/>
  <c r="AD146" i="113"/>
  <c r="H101" i="64"/>
  <c r="M114" i="113"/>
  <c r="BS159" i="113"/>
  <c r="BY120" i="113"/>
  <c r="Y11" i="113"/>
  <c r="I178" i="113"/>
  <c r="BC137" i="113"/>
  <c r="BY107" i="113"/>
  <c r="U104" i="113"/>
  <c r="AL100" i="64"/>
  <c r="AI157" i="113"/>
  <c r="AW82" i="64"/>
  <c r="S14" i="64"/>
  <c r="AE99" i="113"/>
  <c r="T116" i="113"/>
  <c r="K119" i="113"/>
  <c r="T101" i="64"/>
  <c r="N101" i="64"/>
  <c r="AQ156" i="113"/>
  <c r="I172" i="113"/>
  <c r="K99" i="64"/>
  <c r="AU194" i="113"/>
  <c r="H59" i="64"/>
  <c r="AU163" i="113"/>
  <c r="Y86" i="64"/>
  <c r="AR79" i="64"/>
  <c r="S53" i="64"/>
  <c r="AU100" i="64"/>
  <c r="V153" i="113"/>
  <c r="I120" i="113"/>
  <c r="AQ11" i="113"/>
  <c r="BW121" i="113"/>
  <c r="BY12" i="113"/>
  <c r="L103" i="113"/>
  <c r="AT189" i="113"/>
  <c r="BW194" i="113"/>
  <c r="M12" i="113"/>
  <c r="F128" i="113"/>
  <c r="BX187" i="113"/>
  <c r="BS168" i="113"/>
  <c r="AC97" i="64"/>
  <c r="AY84" i="64"/>
  <c r="O90" i="64"/>
  <c r="L84" i="64"/>
  <c r="N112" i="113"/>
  <c r="Q12" i="113"/>
  <c r="G216" i="113"/>
  <c r="AA152" i="113"/>
  <c r="AL114" i="113"/>
  <c r="AF113" i="113"/>
  <c r="BJ59" i="64"/>
  <c r="V102" i="113"/>
  <c r="X100" i="64"/>
  <c r="AJ105" i="113"/>
  <c r="AD159" i="113"/>
  <c r="AQ177" i="113"/>
  <c r="AK148" i="113"/>
  <c r="AO143" i="113"/>
  <c r="J146" i="113"/>
  <c r="X198" i="113"/>
  <c r="AH155" i="113"/>
  <c r="BD118" i="113"/>
  <c r="AS102" i="64"/>
  <c r="U63" i="64"/>
  <c r="G91" i="113"/>
  <c r="BC60" i="64"/>
  <c r="AF77" i="64"/>
  <c r="AG147" i="113"/>
  <c r="BH65" i="64"/>
  <c r="AW91" i="64"/>
  <c r="BB99" i="113"/>
  <c r="AP165" i="113"/>
  <c r="Q97" i="113"/>
  <c r="BK52" i="64"/>
  <c r="AF104" i="113"/>
  <c r="AX160" i="113"/>
  <c r="F229" i="113"/>
  <c r="BD165" i="113"/>
  <c r="BA166" i="113"/>
  <c r="S189" i="113"/>
  <c r="AX59" i="64"/>
  <c r="I169" i="113"/>
  <c r="AY101" i="64"/>
  <c r="AY53" i="64"/>
  <c r="AY130" i="113"/>
  <c r="AW98" i="64"/>
  <c r="E73" i="64"/>
  <c r="Q159" i="113"/>
  <c r="N48" i="64"/>
  <c r="AW195" i="113"/>
  <c r="G139" i="113"/>
  <c r="R16" i="64"/>
  <c r="T95" i="113"/>
  <c r="X187" i="113"/>
  <c r="V189" i="113"/>
  <c r="P195" i="113"/>
  <c r="AS135" i="113"/>
  <c r="BK54" i="64"/>
  <c r="R170" i="113"/>
  <c r="H102" i="64"/>
  <c r="BS136" i="113"/>
  <c r="BS163" i="113"/>
  <c r="BT95" i="113"/>
  <c r="AU155" i="113"/>
  <c r="AF162" i="113"/>
  <c r="L96" i="113"/>
  <c r="BV106" i="113"/>
  <c r="BA154" i="113"/>
  <c r="S134" i="113"/>
  <c r="Z82" i="64"/>
  <c r="V193" i="113"/>
  <c r="AC168" i="113"/>
  <c r="U52" i="64"/>
  <c r="U108" i="113"/>
  <c r="L113" i="113"/>
  <c r="AG59" i="64"/>
  <c r="T139" i="113"/>
  <c r="AR137" i="113"/>
  <c r="BH88" i="64"/>
  <c r="T147" i="113"/>
  <c r="X189" i="113"/>
  <c r="L133" i="113"/>
  <c r="AH135" i="113"/>
  <c r="BY126" i="113"/>
  <c r="N59" i="64"/>
  <c r="BC98" i="64"/>
  <c r="AB143" i="113"/>
  <c r="AT94" i="64"/>
  <c r="Z145" i="113"/>
  <c r="AE194" i="113"/>
  <c r="BV174" i="113"/>
  <c r="E107" i="113"/>
  <c r="M129" i="113"/>
  <c r="BX116" i="113"/>
  <c r="AE185" i="113"/>
  <c r="M52" i="64"/>
  <c r="BI52" i="64"/>
  <c r="AM169" i="113"/>
  <c r="BC127" i="113"/>
  <c r="AK193" i="113"/>
  <c r="AK178" i="113"/>
  <c r="AJ175" i="113"/>
  <c r="AS177" i="113"/>
  <c r="AQ115" i="113"/>
  <c r="AL158" i="113"/>
  <c r="AK190" i="113"/>
  <c r="AG110" i="113"/>
  <c r="AT137" i="113"/>
  <c r="X94" i="113"/>
  <c r="AS156" i="113"/>
  <c r="F87" i="64"/>
  <c r="AF109" i="113"/>
  <c r="F169" i="113"/>
  <c r="AQ139" i="113"/>
  <c r="Z117" i="113"/>
  <c r="AE103" i="113"/>
  <c r="V87" i="113"/>
  <c r="BC97" i="113"/>
  <c r="AS180" i="113"/>
  <c r="AC95" i="113"/>
  <c r="AV81" i="64"/>
  <c r="F11" i="64"/>
  <c r="BV129" i="113"/>
  <c r="F50" i="64"/>
  <c r="AF166" i="113"/>
  <c r="W189" i="113"/>
  <c r="N65" i="64"/>
  <c r="BY147" i="113"/>
  <c r="AK65" i="64"/>
  <c r="AK109" i="113"/>
  <c r="AK75" i="64"/>
  <c r="BS195" i="113"/>
  <c r="BW179" i="113"/>
  <c r="T138" i="113"/>
  <c r="AI53" i="64"/>
  <c r="L148" i="113"/>
  <c r="AP83" i="64"/>
  <c r="BU92" i="113"/>
  <c r="Z62" i="64"/>
  <c r="AE96" i="113"/>
  <c r="V108" i="113"/>
  <c r="AS146" i="113"/>
  <c r="X134" i="113"/>
  <c r="AZ89" i="113"/>
  <c r="BT168" i="113"/>
  <c r="E218" i="113"/>
  <c r="S78" i="64"/>
  <c r="BG85" i="64"/>
  <c r="E153" i="113"/>
  <c r="P57" i="64"/>
  <c r="BC151" i="113"/>
  <c r="I147" i="113"/>
  <c r="BF66" i="64"/>
  <c r="AY173" i="113"/>
  <c r="AY101" i="113"/>
  <c r="W86" i="64"/>
  <c r="BU166" i="113"/>
  <c r="F38" i="64"/>
  <c r="N191" i="113"/>
  <c r="BU193" i="113"/>
  <c r="X169" i="113"/>
  <c r="AQ88" i="64"/>
  <c r="H113" i="113"/>
  <c r="X101" i="113"/>
  <c r="AO108" i="113"/>
  <c r="AT134" i="113"/>
  <c r="AP123" i="113"/>
  <c r="AV196" i="113"/>
  <c r="K51" i="64"/>
  <c r="AP50" i="64"/>
  <c r="G136" i="113"/>
  <c r="BU187" i="113"/>
  <c r="T148" i="113"/>
  <c r="S138" i="113"/>
  <c r="BF64" i="64"/>
  <c r="BB64" i="64"/>
  <c r="BB83" i="64"/>
  <c r="AR144" i="113"/>
  <c r="V103" i="113"/>
  <c r="AX49" i="64"/>
  <c r="J101" i="113"/>
  <c r="AE197" i="113"/>
  <c r="AG187" i="113"/>
  <c r="L112" i="113"/>
  <c r="P194" i="113"/>
  <c r="AA150" i="113"/>
  <c r="AU184" i="113"/>
  <c r="AT159" i="113"/>
  <c r="F51" i="64"/>
  <c r="AA88" i="113"/>
  <c r="I144" i="113"/>
  <c r="F98" i="64"/>
  <c r="BY117" i="113"/>
  <c r="AP177" i="113"/>
  <c r="E105" i="113"/>
  <c r="AZ158" i="113"/>
  <c r="AJ190" i="113"/>
  <c r="AR109" i="113"/>
  <c r="AW178" i="113"/>
  <c r="AB62" i="64"/>
  <c r="AD145" i="113"/>
  <c r="BG80" i="64"/>
  <c r="Q186" i="113"/>
  <c r="BT137" i="113"/>
  <c r="BV182" i="113"/>
  <c r="BC57" i="64"/>
  <c r="BG100" i="64"/>
  <c r="F145" i="113"/>
  <c r="AK121" i="113"/>
  <c r="AP156" i="113"/>
  <c r="BA85" i="64"/>
  <c r="AD80" i="64"/>
  <c r="AJ101" i="64"/>
  <c r="T152" i="113"/>
  <c r="BJ77" i="64"/>
  <c r="R101" i="113"/>
  <c r="AO124" i="113"/>
  <c r="G61" i="64"/>
  <c r="AY154" i="113"/>
  <c r="R85" i="64"/>
  <c r="K100" i="113"/>
  <c r="BE49" i="64"/>
  <c r="L167" i="113"/>
  <c r="BV104" i="113"/>
  <c r="AD131" i="113"/>
  <c r="L100" i="64"/>
  <c r="Y118" i="113"/>
  <c r="AM79" i="64"/>
  <c r="Y126" i="113"/>
  <c r="AC101" i="64"/>
  <c r="AV47" i="64"/>
  <c r="AP87" i="64"/>
  <c r="O98" i="113"/>
  <c r="AP128" i="113"/>
  <c r="BB110" i="113"/>
  <c r="BE81" i="64"/>
  <c r="AP160" i="113"/>
  <c r="AW102" i="64"/>
  <c r="Y92" i="64"/>
  <c r="T170" i="113"/>
  <c r="H48" i="64"/>
  <c r="AD110" i="113"/>
  <c r="AR159" i="113"/>
  <c r="AF173" i="113"/>
  <c r="AR124" i="113"/>
  <c r="AW143" i="113"/>
  <c r="AJ144" i="113"/>
  <c r="T120" i="113"/>
  <c r="S99" i="113"/>
  <c r="AB197" i="113"/>
  <c r="Z60" i="64"/>
  <c r="BX195" i="113"/>
  <c r="BC166" i="113"/>
  <c r="AC106" i="113"/>
  <c r="AV184" i="113"/>
  <c r="AF177" i="113"/>
  <c r="AG125" i="113"/>
  <c r="P49" i="64"/>
  <c r="Z11" i="64"/>
  <c r="AU141" i="113"/>
  <c r="AR173" i="113"/>
  <c r="AC127" i="113"/>
  <c r="X75" i="64"/>
  <c r="R111" i="113"/>
  <c r="AA186" i="113"/>
  <c r="E196" i="113"/>
  <c r="F184" i="113"/>
  <c r="AA158" i="113"/>
  <c r="AH152" i="113"/>
  <c r="F88" i="64"/>
  <c r="AQ114" i="113"/>
  <c r="W59" i="64"/>
  <c r="AV132" i="113"/>
  <c r="S12" i="64"/>
  <c r="M63" i="64"/>
  <c r="L191" i="113"/>
  <c r="AG84" i="64"/>
  <c r="AT58" i="64"/>
  <c r="AM95" i="64"/>
  <c r="W134" i="113"/>
  <c r="AS84" i="64"/>
  <c r="AM171" i="113"/>
  <c r="U133" i="113"/>
  <c r="AC176" i="113"/>
  <c r="R48" i="64"/>
  <c r="O133" i="113"/>
  <c r="G124" i="113"/>
  <c r="Q175" i="113"/>
  <c r="T61" i="64"/>
  <c r="P79" i="64"/>
  <c r="X11" i="113"/>
  <c r="N195" i="113"/>
  <c r="AI165" i="113"/>
  <c r="AM104" i="113"/>
  <c r="BV193" i="113"/>
  <c r="AW50" i="64"/>
  <c r="BU99" i="113"/>
  <c r="X84" i="64"/>
  <c r="BT127" i="113"/>
  <c r="I183" i="113"/>
  <c r="AD153" i="113"/>
  <c r="H83" i="64"/>
  <c r="AB105" i="113"/>
  <c r="AB106" i="113"/>
  <c r="AN152" i="113"/>
  <c r="AY142" i="113"/>
  <c r="X56" i="64"/>
  <c r="J102" i="113"/>
  <c r="AU66" i="64"/>
  <c r="U174" i="113"/>
  <c r="BT126" i="113"/>
  <c r="P216" i="113"/>
  <c r="AP125" i="113"/>
  <c r="BC144" i="113"/>
  <c r="V194" i="113"/>
  <c r="AM135" i="113"/>
  <c r="AW147" i="113"/>
  <c r="AP12" i="113"/>
  <c r="N106" i="113"/>
  <c r="N171" i="113"/>
  <c r="AV103" i="113"/>
  <c r="AK183" i="113"/>
  <c r="AT93" i="113"/>
  <c r="AN79" i="64"/>
  <c r="I180" i="113"/>
  <c r="E197" i="113"/>
  <c r="O92" i="64"/>
  <c r="AY91" i="64"/>
  <c r="AB167" i="113"/>
  <c r="AK94" i="113"/>
  <c r="BC175" i="113"/>
  <c r="AY157" i="113"/>
  <c r="N115" i="113"/>
  <c r="AF98" i="64"/>
  <c r="H137" i="113"/>
  <c r="BU128" i="113"/>
  <c r="AT78" i="64"/>
  <c r="M178" i="113"/>
  <c r="AS136" i="113"/>
  <c r="AD194" i="113"/>
  <c r="AI57" i="64"/>
  <c r="AM88" i="113"/>
  <c r="BU109" i="113"/>
  <c r="F7" i="113"/>
  <c r="AD98" i="64"/>
  <c r="Z91" i="113"/>
  <c r="AR75" i="64"/>
  <c r="V109" i="113"/>
  <c r="AU103" i="113"/>
  <c r="V66" i="64"/>
  <c r="BD140" i="113"/>
  <c r="Z178" i="113"/>
  <c r="AP88" i="113"/>
  <c r="AD94" i="64"/>
  <c r="E112" i="113"/>
  <c r="Z177" i="113"/>
  <c r="BS90" i="113"/>
  <c r="BS158" i="113"/>
  <c r="AM152" i="113"/>
  <c r="Q125" i="113"/>
  <c r="Q128" i="113"/>
  <c r="P101" i="64"/>
  <c r="I110" i="113"/>
  <c r="BC128" i="113"/>
  <c r="AA80" i="64"/>
  <c r="AT169" i="113"/>
  <c r="K114" i="113"/>
  <c r="BH98" i="64"/>
  <c r="BG82" i="64"/>
  <c r="AX165" i="113"/>
  <c r="AX164" i="113"/>
  <c r="AI178" i="113"/>
  <c r="BT123" i="113"/>
  <c r="AR112" i="113"/>
  <c r="M97" i="113"/>
  <c r="AN63" i="64"/>
  <c r="K7" i="113"/>
  <c r="BA93" i="113"/>
  <c r="BW128" i="113"/>
  <c r="AH189" i="113"/>
  <c r="H167" i="113"/>
  <c r="BA96" i="64"/>
  <c r="P54" i="64"/>
  <c r="N117" i="113"/>
  <c r="BT157" i="113"/>
  <c r="G77" i="64"/>
  <c r="AQ146" i="113"/>
  <c r="I100" i="113"/>
  <c r="BC58" i="64"/>
  <c r="BC172" i="113"/>
  <c r="N174" i="113"/>
  <c r="P193" i="113"/>
  <c r="BB122" i="113"/>
  <c r="AU97" i="64"/>
  <c r="Q98" i="113"/>
  <c r="F99" i="113"/>
  <c r="AH179" i="113"/>
  <c r="BB134" i="113"/>
  <c r="AN90" i="64"/>
  <c r="AM130" i="113"/>
  <c r="AB119" i="113"/>
  <c r="Z75" i="64"/>
  <c r="AK127" i="113"/>
  <c r="BB181" i="113"/>
  <c r="AW103" i="113"/>
  <c r="BX160" i="113"/>
  <c r="BB11" i="113"/>
  <c r="T7" i="113"/>
  <c r="T26" i="64"/>
  <c r="V137" i="113"/>
  <c r="G167" i="113"/>
  <c r="BA92" i="113"/>
  <c r="N78" i="64"/>
  <c r="AT187" i="113"/>
  <c r="F111" i="113"/>
  <c r="AQ66" i="64"/>
  <c r="AI91" i="113"/>
  <c r="AT101" i="64"/>
  <c r="AV178" i="113"/>
  <c r="AA180" i="113"/>
  <c r="AW136" i="113"/>
  <c r="AB113" i="113"/>
  <c r="G82" i="64"/>
  <c r="BG89" i="64"/>
  <c r="H149" i="113"/>
  <c r="AL105" i="113"/>
  <c r="AG100" i="64"/>
  <c r="R105" i="113"/>
  <c r="AI143" i="113"/>
  <c r="W186" i="113"/>
  <c r="BC115" i="113"/>
  <c r="Q135" i="113"/>
  <c r="BB127" i="113"/>
  <c r="G93" i="113"/>
  <c r="BJ53" i="64"/>
  <c r="AH53" i="64"/>
  <c r="AT94" i="113"/>
  <c r="AB101" i="64"/>
  <c r="AF195" i="113"/>
  <c r="AG101" i="64"/>
  <c r="AR165" i="113"/>
  <c r="AB107" i="113"/>
  <c r="J98" i="113"/>
  <c r="L198" i="113"/>
  <c r="AM187" i="113"/>
  <c r="G7" i="113"/>
  <c r="P86" i="64"/>
  <c r="X175" i="113"/>
  <c r="AS48" i="64"/>
  <c r="R179" i="113"/>
  <c r="AJ194" i="113"/>
  <c r="AZ150" i="113"/>
  <c r="O176" i="113"/>
  <c r="AA141" i="113"/>
  <c r="H92" i="64"/>
  <c r="E194" i="113"/>
  <c r="AP61" i="64"/>
  <c r="I184" i="113"/>
  <c r="M192" i="113"/>
  <c r="J62" i="64"/>
  <c r="X143" i="113"/>
  <c r="AU94" i="64"/>
  <c r="AC108" i="113"/>
  <c r="AU47" i="64"/>
  <c r="BW136" i="113"/>
  <c r="AB130" i="113"/>
  <c r="Z53" i="64"/>
  <c r="AC149" i="113"/>
  <c r="BV159" i="113"/>
  <c r="AA118" i="113"/>
  <c r="N93" i="113"/>
  <c r="I100" i="64"/>
  <c r="BS131" i="113"/>
  <c r="AW148" i="113"/>
  <c r="AT133" i="113"/>
  <c r="L180" i="113"/>
  <c r="BL216" i="113"/>
  <c r="AH184" i="113"/>
  <c r="J128" i="113"/>
  <c r="AA197" i="113"/>
  <c r="BA98" i="113"/>
  <c r="M91" i="113"/>
  <c r="AX135" i="113"/>
  <c r="AU195" i="113"/>
  <c r="W90" i="64"/>
  <c r="AO90" i="64"/>
  <c r="BU117" i="113"/>
  <c r="BT181" i="113"/>
  <c r="AB163" i="113"/>
  <c r="AB48" i="64"/>
  <c r="AW121" i="113"/>
  <c r="AP57" i="64"/>
  <c r="BY125" i="113"/>
  <c r="R12" i="113"/>
  <c r="AL180" i="113"/>
  <c r="L179" i="113"/>
  <c r="Y89" i="64"/>
  <c r="Q94" i="113"/>
  <c r="N177" i="113"/>
  <c r="BG72" i="64"/>
  <c r="AR97" i="113"/>
  <c r="AO133" i="113"/>
  <c r="AG116" i="113"/>
  <c r="N170" i="113"/>
  <c r="I129" i="113"/>
  <c r="BY191" i="113"/>
  <c r="X151" i="113"/>
  <c r="BV166" i="113"/>
  <c r="AU114" i="113"/>
  <c r="AP159" i="113"/>
  <c r="AA53" i="64"/>
  <c r="AI158" i="113"/>
  <c r="BS99" i="113"/>
  <c r="W90" i="113"/>
  <c r="E143" i="113"/>
  <c r="U191" i="113"/>
  <c r="AA97" i="113"/>
  <c r="N189" i="113"/>
  <c r="I143" i="113"/>
  <c r="BT151" i="113"/>
  <c r="X124" i="113"/>
  <c r="BA12" i="113"/>
  <c r="AP137" i="113"/>
  <c r="AM127" i="113"/>
  <c r="AS170" i="113"/>
  <c r="W175" i="113"/>
  <c r="AB122" i="113"/>
  <c r="AP99" i="64"/>
  <c r="AJ88" i="113"/>
  <c r="AE91" i="64"/>
  <c r="I187" i="113"/>
  <c r="G220" i="113"/>
  <c r="P196" i="113"/>
  <c r="X108" i="113"/>
  <c r="AS145" i="113"/>
  <c r="AG198" i="113"/>
  <c r="BT97" i="113"/>
  <c r="AC159" i="113"/>
  <c r="W92" i="113"/>
  <c r="M48" i="64"/>
  <c r="AU181" i="113"/>
  <c r="AQ109" i="113"/>
  <c r="AW47" i="64"/>
  <c r="AY197" i="113"/>
  <c r="BP224" i="113"/>
  <c r="AA66" i="64"/>
  <c r="AK137" i="113"/>
  <c r="L86" i="64"/>
  <c r="AO190" i="113"/>
  <c r="AY55" i="64"/>
  <c r="AS130" i="113"/>
  <c r="AU157" i="113"/>
  <c r="AX151" i="113"/>
  <c r="BC54" i="64"/>
  <c r="AV50" i="64"/>
  <c r="AW97" i="113"/>
  <c r="AU107" i="113"/>
  <c r="AZ93" i="64"/>
  <c r="K177" i="113"/>
  <c r="AY119" i="113"/>
  <c r="O191" i="113"/>
  <c r="AK176" i="113"/>
  <c r="AV95" i="113"/>
  <c r="F107" i="113"/>
  <c r="X125" i="113"/>
  <c r="U98" i="113"/>
  <c r="BW94" i="113"/>
  <c r="L88" i="64"/>
  <c r="BK78" i="64"/>
  <c r="AU175" i="113"/>
  <c r="AV121" i="113"/>
  <c r="E158" i="113"/>
  <c r="Q116" i="113"/>
  <c r="AM137" i="113"/>
  <c r="BC180" i="113"/>
  <c r="AP131" i="113"/>
  <c r="AE165" i="113"/>
  <c r="U111" i="113"/>
  <c r="V131" i="113"/>
  <c r="N197" i="113"/>
  <c r="AF158" i="113"/>
  <c r="E160" i="113"/>
  <c r="J55" i="64"/>
  <c r="BD138" i="113"/>
  <c r="N90" i="113"/>
  <c r="BF61" i="64"/>
  <c r="BX159" i="113"/>
  <c r="O112" i="113"/>
  <c r="O184" i="113"/>
  <c r="AM193" i="113"/>
  <c r="G214" i="113"/>
  <c r="AE195" i="113"/>
  <c r="M85" i="64"/>
  <c r="AM161" i="113"/>
  <c r="Y75" i="64"/>
  <c r="BU186" i="113"/>
  <c r="BB187" i="113"/>
  <c r="J193" i="113"/>
  <c r="BX110" i="113"/>
  <c r="T177" i="113"/>
  <c r="AX87" i="64"/>
  <c r="P138" i="113"/>
  <c r="AJ181" i="113"/>
  <c r="L85" i="64"/>
  <c r="AY160" i="113"/>
  <c r="AK98" i="113"/>
  <c r="BX178" i="113"/>
  <c r="W93" i="64"/>
  <c r="AP102" i="113"/>
  <c r="K94" i="113"/>
  <c r="H184" i="113"/>
  <c r="BD117" i="113"/>
  <c r="AV129" i="113"/>
  <c r="BC179" i="113"/>
  <c r="F152" i="113"/>
  <c r="BW133" i="113"/>
  <c r="Q163" i="113"/>
  <c r="BC160" i="113"/>
  <c r="AI187" i="113"/>
  <c r="M53" i="64"/>
  <c r="AX88" i="113"/>
  <c r="N84" i="64"/>
  <c r="Z96" i="113"/>
  <c r="AS121" i="113"/>
  <c r="AC191" i="113"/>
  <c r="Z180" i="113"/>
  <c r="AF133" i="113"/>
  <c r="BV149" i="113"/>
  <c r="AO121" i="113"/>
  <c r="BT152" i="113"/>
  <c r="E219" i="113"/>
  <c r="BX128" i="113"/>
  <c r="AB189" i="113"/>
  <c r="AZ88" i="113"/>
  <c r="AO11" i="113"/>
  <c r="N178" i="113"/>
  <c r="BG47" i="64"/>
  <c r="BY172" i="113"/>
  <c r="AL60" i="64"/>
  <c r="AC109" i="113"/>
  <c r="W136" i="113"/>
  <c r="S63" i="64"/>
  <c r="F65" i="64"/>
  <c r="K135" i="113"/>
  <c r="P153" i="113"/>
  <c r="Y144" i="113"/>
  <c r="AR93" i="64"/>
  <c r="AT59" i="64"/>
  <c r="AK102" i="113"/>
  <c r="BV142" i="113"/>
  <c r="AL143" i="113"/>
  <c r="Y189" i="113"/>
  <c r="AS82" i="64"/>
  <c r="AZ102" i="64"/>
  <c r="O13" i="64"/>
  <c r="F121" i="113"/>
  <c r="L187" i="113"/>
  <c r="G211" i="113"/>
  <c r="BC156" i="113"/>
  <c r="AR186" i="113"/>
  <c r="F172" i="113"/>
  <c r="AF181" i="113"/>
  <c r="BC80" i="64"/>
  <c r="Y65" i="64"/>
  <c r="R100" i="64"/>
  <c r="BC89" i="64"/>
  <c r="AP126" i="113"/>
  <c r="BS166" i="113"/>
  <c r="AM126" i="113"/>
  <c r="AN90" i="113"/>
  <c r="Z162" i="113"/>
  <c r="AL83" i="64"/>
  <c r="BX11" i="113"/>
  <c r="Y120" i="113"/>
  <c r="S98" i="113"/>
  <c r="AX91" i="64"/>
  <c r="AH102" i="113"/>
  <c r="G106" i="113"/>
  <c r="BX89" i="113"/>
  <c r="AL58" i="64"/>
  <c r="J85" i="64"/>
  <c r="O130" i="113"/>
  <c r="U195" i="113"/>
  <c r="N127" i="113"/>
  <c r="AW192" i="113"/>
  <c r="O95" i="113"/>
  <c r="AV108" i="113"/>
  <c r="BT155" i="113"/>
  <c r="BY174" i="113"/>
  <c r="S154" i="113"/>
  <c r="I112" i="113"/>
  <c r="L174" i="113"/>
  <c r="AM47" i="64"/>
  <c r="J57" i="64"/>
  <c r="AH101" i="64"/>
  <c r="AJ150" i="113"/>
  <c r="AZ154" i="113"/>
  <c r="BT107" i="113"/>
  <c r="BT112" i="113"/>
  <c r="BX107" i="113"/>
  <c r="BS176" i="113"/>
  <c r="AP65" i="64"/>
  <c r="AV154" i="113"/>
  <c r="H193" i="113"/>
  <c r="AQ63" i="64"/>
  <c r="AP182" i="113"/>
  <c r="P145" i="113"/>
  <c r="I153" i="113"/>
  <c r="U59" i="64"/>
  <c r="BY168" i="113"/>
  <c r="AJ121" i="113"/>
  <c r="R89" i="64"/>
  <c r="W126" i="113"/>
  <c r="G186" i="113"/>
  <c r="BT98" i="113"/>
  <c r="O164" i="113"/>
  <c r="X59" i="64"/>
  <c r="AU90" i="64"/>
  <c r="N111" i="113"/>
  <c r="I113" i="113"/>
  <c r="Y170" i="113"/>
  <c r="AN193" i="113"/>
  <c r="AM93" i="113"/>
  <c r="BB180" i="113"/>
  <c r="AA171" i="113"/>
  <c r="AX7" i="113"/>
  <c r="F24" i="64"/>
  <c r="AE162" i="113"/>
  <c r="U54" i="64"/>
  <c r="AE149" i="113"/>
  <c r="AB99" i="64"/>
  <c r="G196" i="113"/>
  <c r="E131" i="113"/>
  <c r="AZ175" i="113"/>
  <c r="AB110" i="113"/>
  <c r="M115" i="113"/>
  <c r="Q195" i="113"/>
  <c r="AF53" i="64"/>
  <c r="BB98" i="113"/>
  <c r="AG186" i="113"/>
  <c r="W53" i="64"/>
  <c r="AZ116" i="113"/>
  <c r="U86" i="64"/>
  <c r="AV190" i="113"/>
  <c r="G115" i="113"/>
  <c r="AP127" i="113"/>
  <c r="BA162" i="113"/>
  <c r="BE91" i="64"/>
  <c r="AA157" i="113"/>
  <c r="AN98" i="64"/>
  <c r="AD124" i="113"/>
  <c r="V58" i="64"/>
  <c r="L192" i="113"/>
  <c r="T104" i="113"/>
  <c r="R110" i="113"/>
  <c r="AF90" i="113"/>
  <c r="G98" i="113"/>
  <c r="AA61" i="64"/>
  <c r="K156" i="113"/>
  <c r="AL93" i="113"/>
  <c r="AW75" i="64"/>
  <c r="BX88" i="113"/>
  <c r="J12" i="113"/>
  <c r="R99" i="64"/>
  <c r="AU134" i="113"/>
  <c r="Y139" i="113"/>
  <c r="G98" i="64"/>
  <c r="J132" i="113"/>
  <c r="AM61" i="64"/>
  <c r="E191" i="113"/>
  <c r="BW187" i="113"/>
  <c r="Y184" i="113"/>
  <c r="AJ163" i="113"/>
  <c r="Q151" i="113"/>
  <c r="AM94" i="113"/>
  <c r="AD163" i="113"/>
  <c r="AX94" i="64"/>
  <c r="AE79" i="64"/>
  <c r="AQ137" i="113"/>
  <c r="AB83" i="64"/>
  <c r="AW79" i="64"/>
  <c r="F58" i="64"/>
  <c r="S92" i="64"/>
  <c r="BA94" i="64"/>
  <c r="BY92" i="113"/>
  <c r="H62" i="64"/>
  <c r="H177" i="113"/>
  <c r="AA11" i="113"/>
  <c r="AH98" i="64"/>
  <c r="AG179" i="113"/>
  <c r="AQ131" i="113"/>
  <c r="AK93" i="113"/>
  <c r="AE189" i="113"/>
  <c r="V127" i="113"/>
  <c r="BF93" i="64"/>
  <c r="BY186" i="113"/>
  <c r="V104" i="113"/>
  <c r="AI198" i="113"/>
  <c r="W176" i="113"/>
  <c r="BB132" i="113"/>
  <c r="BI61" i="64"/>
  <c r="AA147" i="113"/>
  <c r="AT190" i="113"/>
  <c r="BE93" i="64"/>
  <c r="X54" i="64"/>
  <c r="AT177" i="113"/>
  <c r="AH192" i="113"/>
  <c r="AZ183" i="113"/>
  <c r="H93" i="64"/>
  <c r="P26" i="64"/>
  <c r="BB139" i="113"/>
  <c r="BT132" i="113"/>
  <c r="BB87" i="64"/>
  <c r="W107" i="113"/>
  <c r="BB62" i="64"/>
  <c r="AF179" i="113"/>
  <c r="BB121" i="113"/>
  <c r="P159" i="113"/>
  <c r="AS97" i="64"/>
  <c r="AQ113" i="113"/>
  <c r="AB91" i="113"/>
  <c r="AE97" i="113"/>
  <c r="U84" i="64"/>
  <c r="AD170" i="113"/>
  <c r="AI95" i="113"/>
  <c r="AL61" i="64"/>
  <c r="BG55" i="64"/>
  <c r="AE94" i="64"/>
  <c r="AC150" i="113"/>
  <c r="AE91" i="113"/>
  <c r="J99" i="113"/>
  <c r="L160" i="113"/>
  <c r="AK11" i="113"/>
  <c r="O99" i="64"/>
  <c r="AQ166" i="113"/>
  <c r="O180" i="113"/>
  <c r="BX197" i="113"/>
  <c r="U224" i="113"/>
  <c r="BE51" i="64"/>
  <c r="Q85" i="64"/>
  <c r="AY62" i="64"/>
  <c r="AM89" i="64"/>
  <c r="R224" i="113"/>
  <c r="AU94" i="113"/>
  <c r="I168" i="113"/>
  <c r="BB96" i="113"/>
  <c r="AE151" i="113"/>
  <c r="P106" i="113"/>
  <c r="BW171" i="113"/>
  <c r="L177" i="113"/>
  <c r="AL216" i="113"/>
  <c r="AC78" i="64"/>
  <c r="BA157" i="113"/>
  <c r="Q153" i="113"/>
  <c r="AV96" i="113"/>
  <c r="R84" i="64"/>
  <c r="AB104" i="113"/>
  <c r="BG50" i="64"/>
  <c r="BC178" i="113"/>
  <c r="AY88" i="64"/>
  <c r="AK107" i="113"/>
  <c r="BX147" i="113"/>
  <c r="AT118" i="113"/>
  <c r="G153" i="113"/>
  <c r="H189" i="113"/>
  <c r="BS169" i="113"/>
  <c r="BS116" i="113"/>
  <c r="R88" i="64"/>
  <c r="AY56" i="64"/>
  <c r="BS122" i="113"/>
  <c r="H75" i="64"/>
  <c r="T89" i="113"/>
  <c r="AW144" i="113"/>
  <c r="AK198" i="113"/>
  <c r="H147" i="113"/>
  <c r="L97" i="64"/>
  <c r="AP139" i="113"/>
  <c r="AN134" i="113"/>
  <c r="BB194" i="113"/>
  <c r="U96" i="64"/>
  <c r="AB114" i="113"/>
  <c r="J58" i="64"/>
  <c r="X170" i="113"/>
  <c r="U157" i="113"/>
  <c r="BY99" i="113"/>
  <c r="BW132" i="113"/>
  <c r="K142" i="113"/>
  <c r="BW7" i="113"/>
  <c r="BW188" i="113"/>
  <c r="R198" i="113"/>
  <c r="K140" i="113"/>
  <c r="AN84" i="64"/>
  <c r="AZ79" i="64"/>
  <c r="AZ117" i="113"/>
  <c r="BA11" i="113"/>
  <c r="AR177" i="113"/>
  <c r="AU110" i="113"/>
  <c r="F179" i="113"/>
  <c r="BA159" i="113"/>
  <c r="O58" i="64"/>
  <c r="AB153" i="113"/>
  <c r="BC124" i="113"/>
  <c r="AR50" i="64"/>
  <c r="J144" i="113"/>
  <c r="AY11" i="113"/>
  <c r="Q172" i="113"/>
  <c r="J54" i="64"/>
  <c r="AV51" i="64"/>
  <c r="AS92" i="64"/>
  <c r="AB126" i="113"/>
  <c r="AG97" i="113"/>
  <c r="V125" i="113"/>
  <c r="AU118" i="113"/>
  <c r="AZ153" i="113"/>
  <c r="BD216" i="113"/>
  <c r="AB78" i="64"/>
  <c r="AP169" i="113"/>
  <c r="AO188" i="113"/>
  <c r="AW105" i="113"/>
  <c r="BB104" i="113"/>
  <c r="U194" i="113"/>
  <c r="BD126" i="113"/>
  <c r="AA133" i="113"/>
  <c r="AK48" i="64"/>
  <c r="E90" i="64"/>
  <c r="J178" i="113"/>
  <c r="O75" i="64"/>
  <c r="AE47" i="64"/>
  <c r="W78" i="64"/>
  <c r="L51" i="64"/>
  <c r="AR136" i="113"/>
  <c r="AC192" i="113"/>
  <c r="I151" i="113"/>
  <c r="L100" i="113"/>
  <c r="W96" i="64"/>
  <c r="U115" i="113"/>
  <c r="AU86" i="64"/>
  <c r="BS198" i="113"/>
  <c r="AX94" i="113"/>
  <c r="AO97" i="113"/>
  <c r="AI99" i="64"/>
  <c r="BX136" i="113"/>
  <c r="F155" i="113"/>
  <c r="AB131" i="113"/>
  <c r="BC52" i="64"/>
  <c r="O179" i="113"/>
  <c r="AH147" i="113"/>
  <c r="O169" i="113"/>
  <c r="BC125" i="113"/>
  <c r="S108" i="113"/>
  <c r="H175" i="113"/>
  <c r="BT116" i="113"/>
  <c r="BX158" i="113"/>
  <c r="BU150" i="113"/>
  <c r="H85" i="64"/>
  <c r="F115" i="113"/>
  <c r="AU78" i="64"/>
  <c r="V92" i="64"/>
  <c r="AN89" i="64"/>
  <c r="S94" i="64"/>
  <c r="F92" i="64"/>
  <c r="Z157" i="113"/>
  <c r="Y158" i="113"/>
  <c r="F163" i="113"/>
  <c r="N131" i="113"/>
  <c r="F198" i="113"/>
  <c r="S66" i="64"/>
  <c r="AS193" i="113"/>
  <c r="AQ75" i="64"/>
  <c r="Q179" i="113"/>
  <c r="AZ94" i="113"/>
  <c r="AE135" i="113"/>
  <c r="BY136" i="113"/>
  <c r="AB185" i="113"/>
  <c r="AD178" i="113"/>
  <c r="Q180" i="113"/>
  <c r="AF153" i="113"/>
  <c r="AX169" i="113"/>
  <c r="AX80" i="64"/>
  <c r="AI171" i="113"/>
  <c r="AF88" i="64"/>
  <c r="AY162" i="113"/>
  <c r="BW90" i="113"/>
  <c r="AY104" i="113"/>
  <c r="Z55" i="64"/>
  <c r="BX185" i="113"/>
  <c r="G94" i="64"/>
  <c r="G141" i="113"/>
  <c r="AF99" i="64"/>
  <c r="G88" i="64"/>
  <c r="H89" i="113"/>
  <c r="L52" i="64"/>
  <c r="BV152" i="113"/>
  <c r="Q166" i="113"/>
  <c r="BX194" i="113"/>
  <c r="AH187" i="113"/>
  <c r="AX102" i="113"/>
  <c r="BX118" i="113"/>
  <c r="Q156" i="113"/>
  <c r="BX146" i="113"/>
  <c r="X93" i="113"/>
  <c r="M143" i="113"/>
  <c r="AF54" i="64"/>
  <c r="BE82" i="64"/>
  <c r="K190" i="113"/>
  <c r="AC63" i="64"/>
  <c r="S12" i="113"/>
  <c r="AV91" i="64"/>
  <c r="AM52" i="64"/>
  <c r="AA123" i="113"/>
  <c r="BJ50" i="64"/>
  <c r="BJ114" i="64"/>
  <c r="AV150" i="113"/>
  <c r="AL161" i="113"/>
  <c r="BB155" i="113"/>
  <c r="AQ164" i="113"/>
  <c r="AW89" i="113"/>
  <c r="X146" i="113"/>
  <c r="AQ161" i="113"/>
  <c r="AF149" i="113"/>
  <c r="AW114" i="113"/>
  <c r="AL135" i="113"/>
  <c r="AQ147" i="113"/>
  <c r="AV90" i="113"/>
  <c r="BC90" i="113"/>
  <c r="Q119" i="113"/>
  <c r="J168" i="113"/>
  <c r="AF56" i="64"/>
  <c r="AJ72" i="64"/>
  <c r="AL113" i="113"/>
  <c r="K194" i="113"/>
  <c r="E41" i="64"/>
  <c r="AA58" i="64"/>
  <c r="AY179" i="113"/>
  <c r="AI101" i="113"/>
  <c r="AN115" i="113"/>
  <c r="AG192" i="113"/>
  <c r="Y198" i="113"/>
  <c r="T117" i="113"/>
  <c r="AC140" i="113"/>
  <c r="AL147" i="113"/>
  <c r="J189" i="113"/>
  <c r="AW101" i="64"/>
  <c r="AP91" i="113"/>
  <c r="BX97" i="113"/>
  <c r="X100" i="113"/>
  <c r="AC12" i="113"/>
  <c r="AO134" i="113"/>
  <c r="BK84" i="64"/>
  <c r="AL96" i="113"/>
  <c r="AJ93" i="113"/>
  <c r="L145" i="113"/>
  <c r="Z111" i="113"/>
  <c r="AL123" i="113"/>
  <c r="AO87" i="113"/>
  <c r="BI82" i="64"/>
  <c r="AM138" i="113"/>
  <c r="T91" i="64"/>
  <c r="I66" i="64"/>
  <c r="Z142" i="113"/>
  <c r="AH170" i="113"/>
  <c r="L50" i="64"/>
  <c r="S172" i="113"/>
  <c r="BW126" i="113"/>
  <c r="AM7" i="113"/>
  <c r="AB90" i="64"/>
  <c r="AP98" i="64"/>
  <c r="I177" i="113"/>
  <c r="U196" i="113"/>
  <c r="AI61" i="64"/>
  <c r="AT150" i="113"/>
  <c r="BC142" i="113"/>
  <c r="W196" i="113"/>
  <c r="AH109" i="113"/>
  <c r="AO123" i="113"/>
  <c r="F16" i="64"/>
  <c r="AG99" i="64"/>
  <c r="Y192" i="113"/>
  <c r="AH65" i="64"/>
  <c r="BU151" i="113"/>
  <c r="BC119" i="113"/>
  <c r="AU168" i="113"/>
  <c r="BS95" i="113"/>
  <c r="BC157" i="113"/>
  <c r="AO99" i="64"/>
  <c r="N172" i="113"/>
  <c r="R59" i="64"/>
  <c r="AK96" i="113"/>
  <c r="BC12" i="113"/>
  <c r="AM64" i="64"/>
  <c r="I188" i="113"/>
  <c r="AH64" i="64"/>
  <c r="AO99" i="113"/>
  <c r="AW162" i="113"/>
  <c r="I93" i="113"/>
  <c r="AZ121" i="113"/>
  <c r="AX153" i="113"/>
  <c r="P66" i="64"/>
  <c r="BG51" i="64"/>
  <c r="O163" i="113"/>
  <c r="AC182" i="113"/>
  <c r="BA47" i="64"/>
  <c r="AG160" i="113"/>
  <c r="BX143" i="113"/>
  <c r="H125" i="113"/>
  <c r="L104" i="113"/>
  <c r="AV98" i="113"/>
  <c r="BT198" i="113"/>
  <c r="Z66" i="64"/>
  <c r="BD7" i="113"/>
  <c r="S173" i="113"/>
  <c r="AS117" i="113"/>
  <c r="R96" i="113"/>
  <c r="AR175" i="113"/>
  <c r="W131" i="113"/>
  <c r="K152" i="113"/>
  <c r="AU162" i="113"/>
  <c r="K189" i="113"/>
  <c r="F64" i="64"/>
  <c r="AO145" i="113"/>
  <c r="S85" i="64"/>
  <c r="AY110" i="113"/>
  <c r="Z85" i="64"/>
  <c r="AS134" i="113"/>
  <c r="O117" i="113"/>
  <c r="AZ128" i="113"/>
  <c r="AC91" i="64"/>
  <c r="T53" i="64"/>
  <c r="BG49" i="64"/>
  <c r="BX168" i="113"/>
  <c r="R49" i="64"/>
  <c r="AT62" i="64"/>
  <c r="AA92" i="113"/>
  <c r="BB61" i="64"/>
  <c r="AR49" i="64"/>
  <c r="V95" i="113"/>
  <c r="AE87" i="64"/>
  <c r="AZ189" i="113"/>
  <c r="AC60" i="64"/>
  <c r="AP167" i="113"/>
  <c r="I179" i="113"/>
  <c r="AL87" i="113"/>
  <c r="G175" i="113"/>
  <c r="AE193" i="113"/>
  <c r="AP101" i="113"/>
  <c r="X144" i="113"/>
  <c r="AB173" i="113"/>
  <c r="R94" i="64"/>
  <c r="AK129" i="113"/>
  <c r="AX64" i="64"/>
  <c r="AX86" i="64"/>
  <c r="AU11" i="113"/>
  <c r="AJ184" i="113"/>
  <c r="AZ95" i="113"/>
  <c r="AU91" i="113"/>
  <c r="I98" i="113"/>
  <c r="AO162" i="113"/>
  <c r="Z192" i="113"/>
  <c r="AU61" i="64"/>
  <c r="X60" i="64"/>
  <c r="AG169" i="113"/>
  <c r="E48" i="64"/>
  <c r="AV147" i="113"/>
  <c r="AE141" i="113"/>
  <c r="G182" i="113"/>
  <c r="BA171" i="113"/>
  <c r="Q164" i="113"/>
  <c r="AQ100" i="64"/>
  <c r="K126" i="113"/>
  <c r="M66" i="64"/>
  <c r="AC92" i="64"/>
  <c r="AD155" i="113"/>
  <c r="AM158" i="113"/>
  <c r="AN96" i="64"/>
  <c r="U177" i="113"/>
  <c r="M93" i="113"/>
  <c r="AP163" i="113"/>
  <c r="G178" i="113"/>
  <c r="AQ126" i="113"/>
  <c r="I165" i="113"/>
  <c r="AT171" i="113"/>
  <c r="AS150" i="113"/>
  <c r="F113" i="113"/>
  <c r="BV7" i="113"/>
  <c r="BA118" i="113"/>
  <c r="BD142" i="113"/>
  <c r="AZ99" i="113"/>
  <c r="AC124" i="113"/>
  <c r="Z118" i="113"/>
  <c r="AO156" i="113"/>
  <c r="AJ11" i="113"/>
  <c r="AS11" i="113"/>
  <c r="AR57" i="64"/>
  <c r="M88" i="64"/>
  <c r="AE92" i="113"/>
  <c r="BW111" i="113"/>
  <c r="BS127" i="113"/>
  <c r="X58" i="64"/>
  <c r="AE101" i="113"/>
  <c r="AK160" i="113"/>
  <c r="BA108" i="113"/>
  <c r="R88" i="113"/>
  <c r="AS94" i="64"/>
  <c r="P102" i="113"/>
  <c r="AH62" i="64"/>
  <c r="AM149" i="113"/>
  <c r="Q108" i="113"/>
  <c r="H126" i="113"/>
  <c r="S120" i="113"/>
  <c r="BA7" i="113"/>
  <c r="Q97" i="64"/>
  <c r="BT92" i="113"/>
  <c r="AY190" i="113"/>
  <c r="AW151" i="113"/>
  <c r="BA100" i="64"/>
  <c r="AD104" i="113"/>
  <c r="BF102" i="64"/>
  <c r="AN182" i="113"/>
  <c r="BS142" i="113"/>
  <c r="AW11" i="113"/>
  <c r="AX142" i="113"/>
  <c r="S101" i="113"/>
  <c r="AG126" i="113"/>
  <c r="F175" i="113"/>
  <c r="AF169" i="113"/>
  <c r="AK60" i="64"/>
  <c r="BU122" i="113"/>
  <c r="K196" i="113"/>
  <c r="H127" i="113"/>
  <c r="AL191" i="113"/>
  <c r="BB183" i="113"/>
  <c r="AQ182" i="113"/>
  <c r="AH61" i="64"/>
  <c r="J152" i="113"/>
  <c r="R95" i="113"/>
  <c r="Q105" i="113"/>
  <c r="M100" i="64"/>
  <c r="P126" i="113"/>
  <c r="AT188" i="113"/>
  <c r="AB77" i="64"/>
  <c r="I119" i="113"/>
  <c r="AP78" i="64"/>
  <c r="BT117" i="113"/>
  <c r="AX191" i="113"/>
  <c r="R126" i="113"/>
  <c r="X162" i="113"/>
  <c r="Z84" i="64"/>
  <c r="H224" i="113"/>
  <c r="AI54" i="64"/>
  <c r="AJ123" i="113"/>
  <c r="I12" i="113"/>
  <c r="AK195" i="113"/>
  <c r="AQ59" i="64"/>
  <c r="W91" i="64"/>
  <c r="W96" i="113"/>
  <c r="AF146" i="113"/>
  <c r="AR7" i="113"/>
  <c r="AA110" i="113"/>
  <c r="V110" i="113"/>
  <c r="K173" i="113"/>
  <c r="AW157" i="113"/>
  <c r="G138" i="113"/>
  <c r="S56" i="64"/>
  <c r="AF91" i="113"/>
  <c r="BG63" i="64"/>
  <c r="O181" i="113"/>
  <c r="E59" i="64"/>
  <c r="E56" i="64"/>
  <c r="X63" i="64"/>
  <c r="AK92" i="64"/>
  <c r="V93" i="113"/>
  <c r="BD103" i="113"/>
  <c r="AC89" i="113"/>
  <c r="AX60" i="64"/>
  <c r="BU132" i="113"/>
  <c r="E124" i="113"/>
  <c r="H164" i="113"/>
  <c r="BT165" i="113"/>
  <c r="AX83" i="64"/>
  <c r="L176" i="113"/>
  <c r="Y148" i="113"/>
  <c r="BW103" i="113"/>
  <c r="T59" i="64"/>
  <c r="AL101" i="113"/>
  <c r="Q168" i="113"/>
  <c r="X149" i="113"/>
  <c r="AM94" i="64"/>
  <c r="AO130" i="113"/>
  <c r="V11" i="64"/>
  <c r="BW106" i="113"/>
  <c r="S121" i="113"/>
  <c r="AY105" i="113"/>
  <c r="I7" i="113"/>
  <c r="AN91" i="64"/>
  <c r="E178" i="113"/>
  <c r="AF189" i="113"/>
  <c r="AJ156" i="113"/>
  <c r="N54" i="64"/>
  <c r="M183" i="113"/>
  <c r="AI55" i="64"/>
  <c r="BK82" i="64"/>
  <c r="U80" i="64"/>
  <c r="AF165" i="113"/>
  <c r="AI66" i="64"/>
  <c r="AG113" i="113"/>
  <c r="N99" i="113"/>
  <c r="BA155" i="113"/>
  <c r="BV165" i="113"/>
  <c r="BE66" i="64"/>
  <c r="Z149" i="113"/>
  <c r="U182" i="113"/>
  <c r="P170" i="113"/>
  <c r="AA49" i="64"/>
  <c r="AW113" i="113"/>
  <c r="BD154" i="113"/>
  <c r="I149" i="113"/>
  <c r="Y51" i="64"/>
  <c r="AR101" i="64"/>
  <c r="BS113" i="113"/>
  <c r="Q48" i="64"/>
  <c r="BX133" i="113"/>
  <c r="AF85" i="64"/>
  <c r="L63" i="64"/>
  <c r="M145" i="113"/>
  <c r="X161" i="113"/>
  <c r="J119" i="113"/>
  <c r="AF87" i="64"/>
  <c r="AO148" i="113"/>
  <c r="Y84" i="64"/>
  <c r="AB142" i="113"/>
  <c r="Q138" i="113"/>
  <c r="F91" i="113"/>
  <c r="BE12" i="64"/>
  <c r="AS59" i="64"/>
  <c r="BT189" i="113"/>
  <c r="K139" i="113"/>
  <c r="AT116" i="113"/>
  <c r="AZ11" i="113"/>
  <c r="AH95" i="64"/>
  <c r="R80" i="64"/>
  <c r="AU115" i="113"/>
  <c r="O136" i="113"/>
  <c r="BA114" i="113"/>
  <c r="Q96" i="113"/>
  <c r="H216" i="113"/>
  <c r="AI134" i="113"/>
  <c r="BJ60" i="64"/>
  <c r="BB133" i="113"/>
  <c r="AL50" i="64"/>
  <c r="K167" i="113"/>
  <c r="BD95" i="113"/>
  <c r="AJ189" i="113"/>
  <c r="BV143" i="113"/>
  <c r="BC170" i="113"/>
  <c r="AP224" i="113"/>
  <c r="AH190" i="113"/>
  <c r="O88" i="64"/>
  <c r="AR60" i="64"/>
  <c r="AR98" i="64"/>
  <c r="Y58" i="64"/>
  <c r="X92" i="64"/>
  <c r="BW115" i="113"/>
  <c r="BD12" i="113"/>
  <c r="AT141" i="113"/>
  <c r="AX157" i="113"/>
  <c r="AZ186" i="113"/>
  <c r="AE121" i="113"/>
  <c r="Q100" i="64"/>
  <c r="BD127" i="113"/>
  <c r="AS173" i="113"/>
  <c r="BH72" i="64"/>
  <c r="AZ47" i="64"/>
  <c r="N61" i="64"/>
  <c r="Q7" i="113"/>
  <c r="K47" i="64"/>
  <c r="W104" i="113"/>
  <c r="BX151" i="113"/>
  <c r="AD179" i="113"/>
  <c r="P131" i="113"/>
  <c r="AN97" i="113"/>
  <c r="AU85" i="64"/>
  <c r="AU160" i="113"/>
  <c r="G75" i="64"/>
  <c r="AK156" i="113"/>
  <c r="AM190" i="113"/>
  <c r="BB81" i="64"/>
  <c r="AC94" i="113"/>
  <c r="AB138" i="113"/>
  <c r="BG83" i="64"/>
  <c r="BB184" i="113"/>
  <c r="AY65" i="64"/>
  <c r="Y165" i="113"/>
  <c r="G150" i="113"/>
  <c r="U12" i="113"/>
  <c r="E125" i="113"/>
  <c r="AQ7" i="113"/>
  <c r="AD121" i="113"/>
  <c r="BD135" i="113"/>
  <c r="Z101" i="113"/>
  <c r="R78" i="64"/>
  <c r="BY165" i="113"/>
  <c r="BU194" i="113"/>
  <c r="AV183" i="113"/>
  <c r="BS11" i="113"/>
  <c r="AH92" i="64"/>
  <c r="AO118" i="113"/>
  <c r="K61" i="64"/>
  <c r="AY135" i="113"/>
  <c r="AW95" i="64"/>
  <c r="BH102" i="64"/>
  <c r="AQ124" i="113"/>
  <c r="AZ148" i="113"/>
  <c r="P114" i="64"/>
  <c r="AJ94" i="64"/>
  <c r="W115" i="113"/>
  <c r="AW139" i="113"/>
  <c r="L81" i="64"/>
  <c r="K102" i="64"/>
  <c r="AB124" i="113"/>
  <c r="AY97" i="113"/>
  <c r="Z95" i="64"/>
  <c r="AY66" i="64"/>
  <c r="V140" i="113"/>
  <c r="S155" i="113"/>
  <c r="J118" i="113"/>
  <c r="AQ122" i="113"/>
  <c r="I85" i="64"/>
  <c r="AJ118" i="113"/>
  <c r="AH85" i="64"/>
  <c r="AM115" i="113"/>
  <c r="H47" i="64"/>
  <c r="F42" i="64"/>
  <c r="AK72" i="64"/>
  <c r="F89" i="64"/>
  <c r="AU12" i="113"/>
  <c r="N99" i="64"/>
  <c r="BA78" i="64"/>
  <c r="AG151" i="113"/>
  <c r="BA99" i="64"/>
  <c r="AJ83" i="64"/>
  <c r="BT166" i="113"/>
  <c r="AX182" i="113"/>
  <c r="AA90" i="64"/>
  <c r="BK102" i="64"/>
  <c r="AH128" i="113"/>
  <c r="M47" i="64"/>
  <c r="AH49" i="64"/>
  <c r="BU168" i="113"/>
  <c r="AT77" i="64"/>
  <c r="W159" i="113"/>
  <c r="L88" i="113"/>
  <c r="AF184" i="113"/>
  <c r="AD118" i="113"/>
  <c r="AP188" i="113"/>
  <c r="Z123" i="113"/>
  <c r="V135" i="113"/>
  <c r="BT145" i="113"/>
  <c r="AT49" i="64"/>
  <c r="AL116" i="113"/>
  <c r="AY195" i="113"/>
  <c r="AX133" i="113"/>
  <c r="BA142" i="113"/>
  <c r="AB156" i="113"/>
  <c r="F216" i="113"/>
  <c r="AJ117" i="113"/>
  <c r="BW153" i="113"/>
  <c r="K198" i="113"/>
  <c r="AQ180" i="113"/>
  <c r="T129" i="113"/>
  <c r="T11" i="113"/>
  <c r="BB158" i="113"/>
  <c r="AR122" i="113"/>
  <c r="BH49" i="64"/>
  <c r="AP192" i="113"/>
  <c r="S84" i="64"/>
  <c r="H91" i="64"/>
  <c r="BG91" i="64"/>
  <c r="AB97" i="64"/>
  <c r="AI62" i="64"/>
  <c r="AI144" i="113"/>
  <c r="BW150" i="113"/>
  <c r="AD157" i="113"/>
  <c r="R162" i="113"/>
  <c r="G223" i="113"/>
  <c r="AE192" i="113"/>
  <c r="E97" i="64"/>
  <c r="Y183" i="113"/>
  <c r="H102" i="113"/>
  <c r="AW173" i="113"/>
  <c r="Y124" i="113"/>
  <c r="Z64" i="64"/>
  <c r="P125" i="113"/>
  <c r="AU170" i="113"/>
  <c r="P117" i="113"/>
  <c r="O91" i="64"/>
  <c r="K110" i="113"/>
  <c r="AJ132" i="113"/>
  <c r="T51" i="64"/>
  <c r="AS89" i="64"/>
  <c r="AK162" i="113"/>
  <c r="AL115" i="113"/>
  <c r="AO154" i="113"/>
  <c r="BC108" i="113"/>
  <c r="X184" i="113"/>
  <c r="AE62" i="64"/>
  <c r="AT136" i="113"/>
  <c r="BT180" i="113"/>
  <c r="AO155" i="113"/>
  <c r="BE55" i="64"/>
  <c r="I108" i="113"/>
  <c r="AN109" i="113"/>
  <c r="I104" i="113"/>
  <c r="AE52" i="64"/>
  <c r="AJ51" i="64"/>
  <c r="AZ112" i="113"/>
  <c r="AP84" i="64"/>
  <c r="AD175" i="113"/>
  <c r="N94" i="64"/>
  <c r="AY191" i="113"/>
  <c r="BS114" i="113"/>
  <c r="BT135" i="113"/>
  <c r="AC186" i="113"/>
  <c r="AX112" i="113"/>
  <c r="F55" i="64"/>
  <c r="U124" i="113"/>
  <c r="G183" i="113"/>
  <c r="AI196" i="113"/>
  <c r="AZ49" i="64"/>
  <c r="BB190" i="113"/>
  <c r="E102" i="113"/>
  <c r="AE154" i="113"/>
  <c r="AZ140" i="113"/>
  <c r="AC175" i="113"/>
  <c r="BK86" i="64"/>
  <c r="AG98" i="113"/>
  <c r="BT141" i="113"/>
  <c r="BY115" i="113"/>
  <c r="R83" i="64"/>
  <c r="AJ7" i="113"/>
  <c r="BS7" i="113"/>
  <c r="AH160" i="113"/>
  <c r="X173" i="113"/>
  <c r="BT134" i="113"/>
  <c r="E136" i="113"/>
  <c r="AS159" i="113"/>
  <c r="O127" i="113"/>
  <c r="L82" i="64"/>
  <c r="AM182" i="113"/>
  <c r="E13" i="64"/>
  <c r="Z186" i="113"/>
  <c r="K93" i="113"/>
  <c r="M128" i="113"/>
  <c r="AU178" i="113"/>
  <c r="BT193" i="113"/>
  <c r="BF56" i="64"/>
  <c r="AD47" i="64"/>
  <c r="AD198" i="113"/>
  <c r="AO138" i="113"/>
  <c r="J89" i="64"/>
  <c r="M132" i="113"/>
  <c r="J176" i="113"/>
  <c r="R101" i="64"/>
  <c r="AI52" i="64"/>
  <c r="AJ187" i="113"/>
  <c r="AD186" i="113"/>
  <c r="AR113" i="113"/>
  <c r="R144" i="113"/>
  <c r="G65" i="64"/>
  <c r="O101" i="64"/>
  <c r="BU113" i="113"/>
  <c r="AO129" i="113"/>
  <c r="W139" i="113"/>
  <c r="AE102" i="64"/>
  <c r="AS64" i="64"/>
  <c r="AJ113" i="113"/>
  <c r="AH175" i="113"/>
  <c r="AL166" i="113"/>
  <c r="BK66" i="64"/>
  <c r="AP197" i="113"/>
  <c r="M181" i="113"/>
  <c r="N133" i="113"/>
  <c r="Y7" i="113"/>
  <c r="AF193" i="113"/>
  <c r="Z152" i="113"/>
  <c r="U51" i="64"/>
  <c r="AP187" i="113"/>
  <c r="AF92" i="113"/>
  <c r="V143" i="113"/>
  <c r="BV105" i="113"/>
  <c r="AP111" i="113"/>
  <c r="U97" i="64"/>
  <c r="BY166" i="113"/>
  <c r="Z80" i="64"/>
  <c r="AW117" i="113"/>
  <c r="AM134" i="113"/>
  <c r="AK144" i="113"/>
  <c r="AS100" i="64"/>
  <c r="BU165" i="113"/>
  <c r="AF80" i="64"/>
  <c r="AI91" i="64"/>
  <c r="AT66" i="64"/>
  <c r="BU129" i="113"/>
  <c r="U121" i="113"/>
  <c r="J167" i="113"/>
  <c r="AF48" i="64"/>
  <c r="AV105" i="113"/>
  <c r="AP7" i="113"/>
  <c r="AD100" i="64"/>
  <c r="AN93" i="64"/>
  <c r="AP95" i="113"/>
  <c r="AU109" i="113"/>
  <c r="V89" i="64"/>
  <c r="F47" i="64"/>
  <c r="T143" i="113"/>
  <c r="AQ132" i="113"/>
  <c r="W145" i="113"/>
  <c r="U93" i="64"/>
  <c r="AE93" i="64"/>
  <c r="Z81" i="64"/>
  <c r="O78" i="64"/>
  <c r="AT102" i="64"/>
  <c r="AK101" i="64"/>
  <c r="AN87" i="113"/>
  <c r="W193" i="113"/>
  <c r="M64" i="64"/>
  <c r="T195" i="113"/>
  <c r="K136" i="113"/>
  <c r="R197" i="113"/>
  <c r="AO98" i="113"/>
  <c r="BU179" i="113"/>
  <c r="K179" i="113"/>
  <c r="BF101" i="64"/>
  <c r="BA185" i="113"/>
  <c r="P188" i="113"/>
  <c r="L149" i="113"/>
  <c r="I171" i="113"/>
  <c r="BT178" i="113"/>
  <c r="AN83" i="64"/>
  <c r="E26" i="64"/>
  <c r="N116" i="113"/>
  <c r="O50" i="64"/>
  <c r="BB92" i="64"/>
  <c r="AJ185" i="113"/>
  <c r="AC93" i="113"/>
  <c r="AV65" i="64"/>
  <c r="AE183" i="113"/>
  <c r="N132" i="113"/>
  <c r="AO161" i="113"/>
  <c r="E88" i="113"/>
  <c r="BV162" i="113"/>
  <c r="BY158" i="113"/>
  <c r="BF92" i="64"/>
  <c r="I95" i="64"/>
  <c r="BC109" i="113"/>
  <c r="Y157" i="113"/>
  <c r="AH94" i="64"/>
  <c r="BF87" i="64"/>
  <c r="AY115" i="113"/>
  <c r="AN99" i="64"/>
  <c r="T183" i="113"/>
  <c r="W165" i="113"/>
  <c r="AS95" i="113"/>
  <c r="BU108" i="113"/>
  <c r="BY195" i="113"/>
  <c r="BC118" i="113"/>
  <c r="BI51" i="64"/>
  <c r="AB136" i="113"/>
  <c r="E187" i="113"/>
  <c r="G48" i="64"/>
  <c r="AU48" i="64"/>
  <c r="AT87" i="64"/>
  <c r="I197" i="113"/>
  <c r="X91" i="113"/>
  <c r="AV156" i="113"/>
  <c r="AK189" i="113"/>
  <c r="AT123" i="113"/>
  <c r="K88" i="64"/>
  <c r="T164" i="113"/>
  <c r="N144" i="113"/>
  <c r="AB66" i="64"/>
  <c r="R190" i="113"/>
  <c r="AE173" i="113"/>
  <c r="E95" i="113"/>
  <c r="AW83" i="64"/>
  <c r="J130" i="113"/>
  <c r="W178" i="113"/>
  <c r="W130" i="113"/>
  <c r="E226" i="113"/>
  <c r="F35" i="64"/>
  <c r="AX12" i="113"/>
  <c r="P55" i="64"/>
  <c r="I103" i="113"/>
  <c r="S92" i="113"/>
  <c r="AO87" i="64"/>
  <c r="AQ92" i="113"/>
  <c r="AZ86" i="64"/>
  <c r="O185" i="113"/>
  <c r="AF101" i="64"/>
  <c r="P176" i="113"/>
  <c r="T198" i="113"/>
  <c r="M152" i="113"/>
  <c r="BC95" i="113"/>
  <c r="P75" i="64"/>
  <c r="Q112" i="113"/>
  <c r="BT120" i="113"/>
  <c r="J56" i="64"/>
  <c r="H87" i="113"/>
  <c r="H170" i="113"/>
  <c r="AP88" i="64"/>
  <c r="AW58" i="64"/>
  <c r="AE108" i="113"/>
  <c r="Q155" i="113"/>
  <c r="AU129" i="113"/>
  <c r="G102" i="64"/>
  <c r="H146" i="113"/>
  <c r="G11" i="113"/>
  <c r="BS161" i="113"/>
  <c r="BJ58" i="64"/>
  <c r="AG91" i="113"/>
  <c r="BU159" i="113"/>
  <c r="AO7" i="113"/>
  <c r="BD162" i="113"/>
  <c r="BT179" i="113"/>
  <c r="AP11" i="113"/>
  <c r="H114" i="113"/>
  <c r="Q129" i="113"/>
  <c r="AH55" i="64"/>
  <c r="AW142" i="113"/>
  <c r="L162" i="113"/>
  <c r="AU198" i="113"/>
  <c r="AV77" i="64"/>
  <c r="BK101" i="64"/>
  <c r="U172" i="113"/>
  <c r="O89" i="113"/>
  <c r="AX195" i="113"/>
  <c r="AD136" i="113"/>
  <c r="AX189" i="113"/>
  <c r="R128" i="113"/>
  <c r="W170" i="113"/>
  <c r="BS150" i="113"/>
  <c r="AL11" i="113"/>
  <c r="P132" i="113"/>
  <c r="T128" i="113"/>
  <c r="AA65" i="64"/>
  <c r="AO109" i="113"/>
  <c r="AZ95" i="64"/>
  <c r="AL110" i="113"/>
  <c r="AO110" i="113"/>
  <c r="AJ193" i="113"/>
  <c r="AS138" i="113"/>
  <c r="AR189" i="113"/>
  <c r="AS175" i="113"/>
  <c r="AE120" i="113"/>
  <c r="BD141" i="113"/>
  <c r="AK51" i="64"/>
  <c r="L108" i="113"/>
  <c r="F134" i="113"/>
  <c r="BU125" i="113"/>
  <c r="AD89" i="64"/>
  <c r="BV189" i="113"/>
  <c r="N126" i="113"/>
  <c r="AT193" i="113"/>
  <c r="BD198" i="113"/>
  <c r="M198" i="113"/>
  <c r="BC101" i="113"/>
  <c r="Y179" i="113"/>
  <c r="AU121" i="113"/>
  <c r="Z97" i="113"/>
  <c r="V175" i="113"/>
  <c r="U192" i="113"/>
  <c r="AO144" i="113"/>
  <c r="AZ190" i="113"/>
  <c r="AH140" i="113"/>
  <c r="W95" i="64"/>
  <c r="P162" i="113"/>
  <c r="AK86" i="64"/>
  <c r="F97" i="64"/>
  <c r="F70" i="64"/>
  <c r="AI147" i="113"/>
  <c r="K102" i="113"/>
  <c r="J153" i="113"/>
  <c r="AQ91" i="113"/>
  <c r="BW154" i="113"/>
  <c r="AJ161" i="113"/>
  <c r="BD109" i="113"/>
  <c r="L175" i="113"/>
  <c r="AZ100" i="64"/>
  <c r="BC224" i="113"/>
  <c r="BI101" i="64"/>
  <c r="AJ183" i="113"/>
  <c r="U149" i="113"/>
  <c r="AS54" i="64"/>
  <c r="AA126" i="113"/>
  <c r="H141" i="113"/>
  <c r="BT177" i="113"/>
  <c r="BI50" i="64"/>
  <c r="AT172" i="113"/>
  <c r="AD111" i="113"/>
  <c r="AS183" i="113"/>
  <c r="BA57" i="64"/>
  <c r="X177" i="113"/>
  <c r="AN160" i="113"/>
  <c r="F220" i="113"/>
  <c r="AR92" i="64"/>
  <c r="E28" i="64"/>
  <c r="BX98" i="113"/>
  <c r="AS151" i="113"/>
  <c r="AR53" i="64"/>
  <c r="T114" i="64"/>
  <c r="AQ148" i="113"/>
  <c r="AL88" i="64"/>
  <c r="O153" i="113"/>
  <c r="Y167" i="113"/>
  <c r="W93" i="113"/>
  <c r="BX177" i="113"/>
  <c r="BA135" i="113"/>
  <c r="AP178" i="113"/>
  <c r="AE93" i="113"/>
  <c r="O224" i="113"/>
  <c r="BV170" i="113"/>
  <c r="AU126" i="113"/>
  <c r="AR101" i="113"/>
  <c r="BB107" i="113"/>
  <c r="J63" i="64"/>
  <c r="P152" i="113"/>
  <c r="BU123" i="113"/>
  <c r="V75" i="64"/>
  <c r="AQ51" i="64"/>
  <c r="AD53" i="64"/>
  <c r="AI161" i="113"/>
  <c r="AA95" i="64"/>
  <c r="L98" i="113"/>
  <c r="AP146" i="113"/>
  <c r="AW196" i="113"/>
  <c r="AN146" i="113"/>
  <c r="AE11" i="64"/>
  <c r="AS61" i="64"/>
  <c r="AO152" i="113"/>
  <c r="BY124" i="113"/>
  <c r="AE164" i="113"/>
  <c r="AC92" i="113"/>
  <c r="AM78" i="64"/>
  <c r="AS143" i="113"/>
  <c r="BG97" i="64"/>
  <c r="AD91" i="113"/>
  <c r="O102" i="64"/>
  <c r="AC84" i="64"/>
  <c r="BS194" i="113"/>
  <c r="AV148" i="113"/>
  <c r="W52" i="64"/>
  <c r="AJ129" i="113"/>
  <c r="AD63" i="64"/>
  <c r="J101" i="64"/>
  <c r="V159" i="113"/>
  <c r="E102" i="64"/>
  <c r="AN156" i="113"/>
  <c r="AR54" i="64"/>
  <c r="AT92" i="113"/>
  <c r="M89" i="64"/>
  <c r="P167" i="113"/>
  <c r="J174" i="113"/>
  <c r="O48" i="64"/>
  <c r="BT101" i="113"/>
  <c r="AK124" i="113"/>
  <c r="AK136" i="113"/>
  <c r="M138" i="113"/>
  <c r="AM195" i="113"/>
  <c r="L130" i="113"/>
  <c r="AT95" i="64"/>
  <c r="AU89" i="64"/>
  <c r="AF94" i="64"/>
  <c r="AX188" i="113"/>
  <c r="AA195" i="113"/>
  <c r="AZ171" i="113"/>
  <c r="AO179" i="113"/>
  <c r="AI97" i="113"/>
  <c r="BK91" i="64"/>
  <c r="BA176" i="113"/>
  <c r="BA193" i="113"/>
  <c r="H133" i="113"/>
  <c r="AY89" i="113"/>
  <c r="AM128" i="113"/>
  <c r="P111" i="113"/>
  <c r="N165" i="113"/>
  <c r="BD150" i="113"/>
  <c r="BH93" i="64"/>
  <c r="BE11" i="64"/>
  <c r="AD117" i="113"/>
  <c r="G121" i="113"/>
  <c r="BA77" i="64"/>
  <c r="F73" i="64"/>
  <c r="AA89" i="113"/>
  <c r="AT178" i="113"/>
  <c r="T50" i="64"/>
  <c r="G101" i="113"/>
  <c r="U146" i="113"/>
  <c r="AN130" i="113"/>
  <c r="BW100" i="113"/>
  <c r="J159" i="113"/>
  <c r="BA153" i="113"/>
  <c r="AQ143" i="113"/>
  <c r="BD159" i="113"/>
  <c r="AC101" i="113"/>
  <c r="AH75" i="64"/>
  <c r="N60" i="64"/>
  <c r="AK184" i="113"/>
  <c r="BX149" i="113"/>
  <c r="F79" i="64"/>
  <c r="K88" i="113"/>
  <c r="I91" i="64"/>
  <c r="E108" i="113"/>
  <c r="AV168" i="113"/>
  <c r="BB88" i="64"/>
  <c r="J95" i="64"/>
  <c r="T85" i="64"/>
  <c r="X65" i="64"/>
  <c r="AD135" i="113"/>
  <c r="BU115" i="113"/>
  <c r="U99" i="113"/>
  <c r="AN172" i="113"/>
  <c r="AB84" i="64"/>
  <c r="BC168" i="113"/>
  <c r="L83" i="64"/>
  <c r="T88" i="64"/>
  <c r="AT50" i="64"/>
  <c r="AF159" i="113"/>
  <c r="AA120" i="113"/>
  <c r="AH88" i="64"/>
  <c r="P114" i="113"/>
  <c r="J175" i="113"/>
  <c r="AR107" i="113"/>
  <c r="AI98" i="113"/>
  <c r="W128" i="113"/>
  <c r="N190" i="113"/>
  <c r="AY143" i="113"/>
  <c r="W119" i="113"/>
  <c r="BS108" i="113"/>
  <c r="BT194" i="113"/>
  <c r="AM197" i="113"/>
  <c r="E61" i="64"/>
  <c r="Q93" i="113"/>
  <c r="AH195" i="113"/>
  <c r="H181" i="113"/>
  <c r="Y117" i="113"/>
  <c r="BS143" i="113"/>
  <c r="H11" i="113"/>
  <c r="AF172" i="113"/>
  <c r="U119" i="113"/>
  <c r="BX137" i="113"/>
  <c r="BD125" i="113"/>
  <c r="BA196" i="113"/>
  <c r="AA187" i="113"/>
  <c r="R106" i="113"/>
  <c r="S183" i="113"/>
  <c r="AJ133" i="113"/>
  <c r="AO90" i="113"/>
  <c r="AE113" i="113"/>
  <c r="BY178" i="113"/>
  <c r="BJ54" i="64"/>
  <c r="Y91" i="113"/>
  <c r="AP62" i="64"/>
  <c r="G163" i="113"/>
  <c r="I79" i="64"/>
  <c r="S127" i="113"/>
  <c r="K138" i="113"/>
  <c r="AG118" i="113"/>
  <c r="BY105" i="113"/>
  <c r="L93" i="64"/>
  <c r="AH117" i="113"/>
  <c r="H132" i="113"/>
  <c r="J88" i="113"/>
  <c r="AA184" i="113"/>
  <c r="S164" i="113"/>
  <c r="G85" i="64"/>
  <c r="W105" i="113"/>
  <c r="Y119" i="113"/>
  <c r="Y47" i="64"/>
  <c r="T121" i="113"/>
  <c r="G198" i="113"/>
  <c r="AJ151" i="113"/>
  <c r="H90" i="113"/>
  <c r="AO160" i="113"/>
  <c r="R183" i="113"/>
  <c r="AL136" i="113"/>
  <c r="R163" i="113"/>
  <c r="O64" i="64"/>
  <c r="AP104" i="113"/>
  <c r="AH105" i="113"/>
  <c r="P116" i="113"/>
  <c r="X115" i="113"/>
  <c r="AN94" i="113"/>
  <c r="AS129" i="113"/>
  <c r="AX121" i="113"/>
  <c r="H145" i="113"/>
  <c r="BD182" i="113"/>
  <c r="AU106" i="113"/>
  <c r="K99" i="113"/>
  <c r="X99" i="113"/>
  <c r="L114" i="113"/>
  <c r="Q96" i="64"/>
  <c r="BT114" i="113"/>
  <c r="BB103" i="113"/>
  <c r="AA182" i="113"/>
  <c r="T80" i="64"/>
  <c r="AY49" i="64"/>
  <c r="AU148" i="113"/>
  <c r="F76" i="64"/>
  <c r="N72" i="64"/>
  <c r="BX132" i="113"/>
  <c r="X88" i="113"/>
  <c r="R63" i="64"/>
  <c r="S49" i="64"/>
  <c r="AG93" i="113"/>
  <c r="BT142" i="113"/>
  <c r="N182" i="113"/>
  <c r="AA194" i="113"/>
  <c r="BA102" i="64"/>
  <c r="AJ48" i="64"/>
  <c r="AE131" i="113"/>
  <c r="V155" i="113"/>
  <c r="AG96" i="64"/>
  <c r="Y91" i="64"/>
  <c r="S147" i="113"/>
  <c r="AO139" i="113"/>
  <c r="AB88" i="64"/>
  <c r="AQ123" i="113"/>
  <c r="AP191" i="113"/>
  <c r="E37" i="64"/>
  <c r="AC102" i="113"/>
  <c r="AE182" i="113"/>
  <c r="BX154" i="113"/>
  <c r="BX172" i="113"/>
  <c r="W103" i="113"/>
  <c r="BX90" i="113"/>
  <c r="E157" i="113"/>
  <c r="AT47" i="64"/>
  <c r="F192" i="113"/>
  <c r="L110" i="113"/>
  <c r="X196" i="113"/>
  <c r="Q79" i="64"/>
  <c r="BX139" i="113"/>
  <c r="AS97" i="113"/>
  <c r="BI49" i="64"/>
  <c r="AI97" i="64"/>
  <c r="AJ119" i="113"/>
  <c r="AK133" i="113"/>
  <c r="O161" i="113"/>
  <c r="AS182" i="113"/>
  <c r="AU135" i="113"/>
  <c r="R189" i="113"/>
  <c r="AO177" i="113"/>
  <c r="BC110" i="113"/>
  <c r="AE51" i="64"/>
  <c r="AT81" i="64"/>
  <c r="Q154" i="113"/>
  <c r="P160" i="113"/>
  <c r="AL145" i="113"/>
  <c r="R118" i="113"/>
  <c r="M95" i="64"/>
  <c r="AR141" i="113"/>
  <c r="P142" i="113"/>
  <c r="X87" i="64"/>
  <c r="AS90" i="64"/>
  <c r="BG60" i="64"/>
  <c r="M179" i="113"/>
  <c r="AD154" i="113"/>
  <c r="AO131" i="113"/>
  <c r="AL125" i="113"/>
  <c r="BW11" i="113"/>
  <c r="AS96" i="113"/>
  <c r="AK77" i="64"/>
  <c r="BD124" i="113"/>
  <c r="S140" i="113"/>
  <c r="T98" i="64"/>
  <c r="BE87" i="64"/>
  <c r="L216" i="113"/>
  <c r="J150" i="113"/>
  <c r="H166" i="113"/>
  <c r="AM120" i="113"/>
  <c r="AZ166" i="113"/>
  <c r="AG91" i="64"/>
  <c r="V173" i="113"/>
  <c r="AF75" i="64"/>
  <c r="AA130" i="113"/>
  <c r="K176" i="113"/>
  <c r="F30" i="64"/>
  <c r="BF75" i="64"/>
  <c r="AK49" i="64"/>
  <c r="AM83" i="64"/>
  <c r="AU60" i="64"/>
  <c r="BD119" i="113"/>
  <c r="E101" i="64"/>
  <c r="S105" i="113"/>
  <c r="AH157" i="113"/>
  <c r="AP98" i="113"/>
  <c r="K87" i="113"/>
  <c r="P61" i="64"/>
  <c r="AK100" i="64"/>
  <c r="Y156" i="113"/>
  <c r="AH126" i="113"/>
  <c r="AR129" i="113"/>
  <c r="O91" i="113"/>
  <c r="AL171" i="113"/>
  <c r="BF86" i="64"/>
  <c r="AQ157" i="113"/>
  <c r="BA145" i="113"/>
  <c r="AE178" i="113"/>
  <c r="E119" i="113"/>
  <c r="J142" i="113"/>
  <c r="AM88" i="64"/>
  <c r="J158" i="113"/>
  <c r="J64" i="64"/>
  <c r="BW137" i="113"/>
  <c r="BB135" i="113"/>
  <c r="AY139" i="113"/>
  <c r="AX147" i="113"/>
  <c r="H161" i="113"/>
  <c r="AH125" i="113"/>
  <c r="Q98" i="64"/>
  <c r="W156" i="113"/>
  <c r="AE88" i="64"/>
  <c r="L173" i="113"/>
  <c r="S146" i="113"/>
  <c r="BC99" i="113"/>
  <c r="AN124" i="113"/>
  <c r="AB154" i="113"/>
  <c r="BS107" i="113"/>
  <c r="AZ126" i="113"/>
  <c r="AP49" i="64"/>
  <c r="AM184" i="113"/>
  <c r="AI117" i="113"/>
  <c r="BD149" i="113"/>
  <c r="BU180" i="113"/>
  <c r="AQ153" i="113"/>
  <c r="AI50" i="64"/>
  <c r="AM172" i="113"/>
  <c r="T115" i="113"/>
  <c r="AW175" i="113"/>
  <c r="AM98" i="113"/>
  <c r="AW96" i="113"/>
  <c r="AW186" i="113"/>
  <c r="AH106" i="113"/>
  <c r="M50" i="64"/>
  <c r="X163" i="113"/>
  <c r="AE94" i="113"/>
  <c r="F72" i="64"/>
  <c r="BB193" i="113"/>
  <c r="AM196" i="113"/>
  <c r="AS178" i="113"/>
  <c r="N104" i="113"/>
  <c r="S47" i="64"/>
  <c r="BK88" i="64"/>
  <c r="H151" i="113"/>
  <c r="AA127" i="113"/>
  <c r="S137" i="113"/>
  <c r="J48" i="64"/>
  <c r="AO141" i="113"/>
  <c r="Q174" i="113"/>
  <c r="Q51" i="64"/>
  <c r="BV163" i="113"/>
  <c r="AI155" i="113"/>
  <c r="AL184" i="113"/>
  <c r="BB116" i="113"/>
  <c r="AG54" i="64"/>
  <c r="AJ63" i="64"/>
  <c r="AL109" i="113"/>
  <c r="U198" i="113"/>
  <c r="BY148" i="113"/>
  <c r="H144" i="113"/>
  <c r="K96" i="113"/>
  <c r="BE25" i="64"/>
  <c r="U193" i="113"/>
  <c r="H63" i="64"/>
  <c r="BD170" i="113"/>
  <c r="T88" i="113"/>
  <c r="BU131" i="113"/>
  <c r="I64" i="64"/>
  <c r="AO89" i="113"/>
  <c r="F140" i="113"/>
  <c r="AL82" i="64"/>
  <c r="BY110" i="113"/>
  <c r="BD193" i="113"/>
  <c r="AO112" i="113"/>
  <c r="AG115" i="113"/>
  <c r="AL146" i="113"/>
  <c r="AT60" i="64"/>
  <c r="AS51" i="64"/>
  <c r="AE187" i="113"/>
  <c r="P182" i="113"/>
  <c r="BB189" i="113"/>
  <c r="K98" i="64"/>
  <c r="BS192" i="113"/>
  <c r="BA55" i="64"/>
  <c r="AE86" i="64"/>
  <c r="BX93" i="113"/>
  <c r="AC49" i="64"/>
  <c r="AP120" i="113"/>
  <c r="E225" i="113"/>
  <c r="Z91" i="64"/>
  <c r="AY176" i="113"/>
  <c r="AE160" i="113"/>
  <c r="J93" i="64"/>
  <c r="E172" i="113"/>
  <c r="AK153" i="113"/>
  <c r="AY58" i="64"/>
  <c r="P89" i="113"/>
  <c r="BV196" i="113"/>
  <c r="S124" i="113"/>
  <c r="AI98" i="64"/>
  <c r="K157" i="113"/>
  <c r="AD137" i="113"/>
  <c r="AC139" i="113"/>
  <c r="P58" i="64"/>
  <c r="AM62" i="64"/>
  <c r="BB56" i="64"/>
  <c r="AB7" i="113"/>
  <c r="R157" i="113"/>
  <c r="BU145" i="113"/>
  <c r="K144" i="113"/>
  <c r="S112" i="113"/>
  <c r="AA164" i="113"/>
  <c r="P81" i="64"/>
  <c r="AJ103" i="113"/>
  <c r="W133" i="113"/>
  <c r="AD130" i="113"/>
  <c r="AU165" i="113"/>
  <c r="AZ83" i="64"/>
  <c r="AN131" i="113"/>
  <c r="E82" i="64"/>
  <c r="G62" i="64"/>
  <c r="L139" i="113"/>
  <c r="BW175" i="113"/>
  <c r="R172" i="113"/>
  <c r="E87" i="64"/>
  <c r="Z133" i="113"/>
  <c r="BS189" i="113"/>
  <c r="BT188" i="113"/>
  <c r="AJ55" i="64"/>
  <c r="AD161" i="113"/>
  <c r="S52" i="64"/>
  <c r="AF186" i="113"/>
  <c r="R25" i="64"/>
  <c r="V132" i="113"/>
  <c r="BJ62" i="64"/>
  <c r="AD55" i="64"/>
  <c r="AX63" i="64"/>
  <c r="AQ185" i="113"/>
  <c r="AO62" i="64"/>
  <c r="BC158" i="113"/>
  <c r="BB91" i="113"/>
  <c r="AP55" i="64"/>
  <c r="BC78" i="64"/>
  <c r="AG152" i="113"/>
  <c r="AX166" i="113"/>
  <c r="BW192" i="113"/>
  <c r="AR157" i="113"/>
  <c r="AV197" i="113"/>
  <c r="AN187" i="113"/>
  <c r="BA147" i="113"/>
  <c r="AA161" i="113"/>
  <c r="AX150" i="113"/>
  <c r="H122" i="113"/>
  <c r="R139" i="113"/>
  <c r="AW112" i="113"/>
  <c r="S110" i="113"/>
  <c r="Z166" i="113"/>
  <c r="BD89" i="113"/>
  <c r="AJ77" i="64"/>
  <c r="AI179" i="113"/>
  <c r="Z113" i="113"/>
  <c r="I95" i="113"/>
  <c r="AH77" i="64"/>
  <c r="Y136" i="113"/>
  <c r="N97" i="113"/>
  <c r="R117" i="113"/>
  <c r="AT115" i="113"/>
  <c r="AM84" i="64"/>
  <c r="T93" i="64"/>
  <c r="AR139" i="113"/>
  <c r="Q194" i="113"/>
  <c r="AS49" i="64"/>
  <c r="P78" i="64"/>
  <c r="Z194" i="113"/>
  <c r="BV133" i="113"/>
  <c r="AP117" i="113"/>
  <c r="AF188" i="113"/>
  <c r="BW134" i="113"/>
  <c r="AF57" i="64"/>
  <c r="AY165" i="113"/>
  <c r="AO96" i="113"/>
  <c r="V113" i="113"/>
  <c r="Y138" i="113"/>
  <c r="AK166" i="113"/>
  <c r="AC50" i="64"/>
  <c r="BW145" i="113"/>
  <c r="X127" i="113"/>
  <c r="BB95" i="64"/>
  <c r="AC62" i="64"/>
  <c r="S79" i="64"/>
  <c r="BE59" i="64"/>
  <c r="AK83" i="64"/>
  <c r="AC170" i="113"/>
  <c r="AR78" i="64"/>
  <c r="AF128" i="113"/>
  <c r="AG50" i="64"/>
  <c r="BT131" i="113"/>
  <c r="U118" i="113"/>
  <c r="F90" i="113"/>
  <c r="AT119" i="113"/>
  <c r="BD181" i="113"/>
  <c r="I117" i="113"/>
  <c r="AI149" i="113"/>
  <c r="BU157" i="113"/>
  <c r="AH158" i="113"/>
  <c r="AX126" i="113"/>
  <c r="BC192" i="113"/>
  <c r="P128" i="113"/>
  <c r="AF187" i="113"/>
  <c r="AF143" i="113"/>
  <c r="T136" i="113"/>
  <c r="E216" i="113"/>
  <c r="M159" i="113"/>
  <c r="AW194" i="113"/>
  <c r="AR88" i="113"/>
  <c r="AG7" i="113"/>
  <c r="AQ62" i="64"/>
  <c r="AD140" i="113"/>
  <c r="Y147" i="113"/>
  <c r="BV135" i="113"/>
  <c r="AO173" i="113"/>
  <c r="U137" i="113"/>
  <c r="AM89" i="113"/>
  <c r="AL174" i="113"/>
  <c r="AV155" i="113"/>
  <c r="BB7" i="113"/>
  <c r="AC184" i="113"/>
  <c r="W89" i="113"/>
  <c r="AK115" i="113"/>
  <c r="BU188" i="113"/>
  <c r="Z52" i="64"/>
  <c r="AZ104" i="113"/>
  <c r="AW59" i="64"/>
  <c r="Q102" i="64"/>
  <c r="AT180" i="113"/>
  <c r="AG193" i="113"/>
  <c r="L186" i="113"/>
  <c r="L140" i="113"/>
  <c r="AX198" i="113"/>
  <c r="R11" i="113"/>
  <c r="AA168" i="113"/>
  <c r="Q113" i="113"/>
  <c r="AB188" i="113"/>
  <c r="AM92" i="64"/>
  <c r="AC90" i="64"/>
  <c r="R50" i="64"/>
  <c r="AH154" i="113"/>
  <c r="F43" i="64"/>
  <c r="AY120" i="113"/>
  <c r="AO157" i="113"/>
  <c r="BC169" i="113"/>
  <c r="AX154" i="113"/>
  <c r="M167" i="113"/>
  <c r="AM165" i="113"/>
  <c r="AL195" i="113"/>
  <c r="BJ55" i="64"/>
  <c r="AX127" i="113"/>
  <c r="AP155" i="113"/>
  <c r="T52" i="64"/>
  <c r="M121" i="113"/>
  <c r="BC49" i="64"/>
  <c r="Z176" i="113"/>
  <c r="AT179" i="113"/>
  <c r="AU139" i="113"/>
  <c r="G128" i="113"/>
  <c r="S179" i="113"/>
  <c r="AN148" i="113"/>
  <c r="AM81" i="64"/>
  <c r="AC83" i="64"/>
  <c r="S159" i="113"/>
  <c r="K66" i="64"/>
  <c r="AG108" i="113"/>
  <c r="S57" i="64"/>
  <c r="AE78" i="64"/>
  <c r="F106" i="113"/>
  <c r="T135" i="113"/>
  <c r="AS50" i="64"/>
  <c r="AY100" i="64"/>
  <c r="X137" i="113"/>
  <c r="Z89" i="113"/>
  <c r="AN92" i="113"/>
  <c r="M90" i="113"/>
  <c r="AP216" i="113"/>
  <c r="AE75" i="64"/>
  <c r="Q158" i="113"/>
  <c r="G12" i="113"/>
  <c r="BS177" i="113"/>
  <c r="AG164" i="113"/>
  <c r="E193" i="113"/>
  <c r="BV111" i="113"/>
  <c r="AJ191" i="113"/>
  <c r="U91" i="113"/>
  <c r="AS66" i="64"/>
  <c r="AQ49" i="64"/>
  <c r="K91" i="64"/>
  <c r="S126" i="113"/>
  <c r="AU80" i="64"/>
  <c r="AV113" i="113"/>
  <c r="BV95" i="113"/>
  <c r="BK95" i="64"/>
  <c r="AM151" i="113"/>
  <c r="L131" i="113"/>
  <c r="Y163" i="113"/>
  <c r="AW55" i="64"/>
  <c r="AS139" i="113"/>
  <c r="BY98" i="113"/>
  <c r="AV143" i="113"/>
  <c r="BT119" i="113"/>
  <c r="AQ12" i="113"/>
  <c r="V145" i="113"/>
  <c r="F213" i="113"/>
  <c r="F108" i="113"/>
  <c r="AB98" i="64"/>
  <c r="BX92" i="113"/>
  <c r="M176" i="113"/>
  <c r="BV156" i="113"/>
  <c r="X176" i="113"/>
  <c r="V98" i="113"/>
  <c r="R121" i="113"/>
  <c r="AV140" i="113"/>
  <c r="AB151" i="113"/>
  <c r="BB65" i="64"/>
  <c r="AT139" i="113"/>
  <c r="O95" i="64"/>
  <c r="O92" i="113"/>
  <c r="Q88" i="113"/>
  <c r="AO79" i="64"/>
  <c r="BD111" i="113"/>
  <c r="G49" i="64"/>
  <c r="U95" i="64"/>
  <c r="T165" i="113"/>
  <c r="N114" i="64"/>
  <c r="AG190" i="113"/>
  <c r="P169" i="113"/>
  <c r="P63" i="64"/>
  <c r="L195" i="113"/>
  <c r="BU148" i="113"/>
  <c r="BC165" i="113"/>
  <c r="AI140" i="113"/>
  <c r="J94" i="64"/>
  <c r="AO75" i="64"/>
  <c r="BV178" i="113"/>
  <c r="AW100" i="113"/>
  <c r="AE152" i="113"/>
  <c r="Y101" i="113"/>
  <c r="Z124" i="113"/>
  <c r="K180" i="113"/>
  <c r="X55" i="64"/>
  <c r="BA198" i="113"/>
  <c r="AH108" i="113"/>
  <c r="AS80" i="64"/>
  <c r="L72" i="64"/>
  <c r="AY77" i="64"/>
  <c r="X95" i="64"/>
  <c r="N47" i="64"/>
  <c r="AD97" i="113"/>
  <c r="AK84" i="64"/>
  <c r="J182" i="113"/>
  <c r="AP143" i="113"/>
  <c r="BG54" i="64"/>
  <c r="Q52" i="64"/>
  <c r="V90" i="113"/>
  <c r="H117" i="113"/>
  <c r="E179" i="113"/>
  <c r="BT195" i="113"/>
  <c r="AK128" i="113"/>
  <c r="AW179" i="113"/>
  <c r="T109" i="113"/>
  <c r="N118" i="113"/>
  <c r="AY85" i="64"/>
  <c r="BT115" i="113"/>
  <c r="BB102" i="113"/>
  <c r="E92" i="64"/>
  <c r="BV120" i="113"/>
  <c r="BD195" i="113"/>
  <c r="BH79" i="64"/>
  <c r="AS53" i="64"/>
  <c r="AU197" i="113"/>
  <c r="AH164" i="113"/>
  <c r="L48" i="64"/>
  <c r="BY103" i="113"/>
  <c r="AW171" i="113"/>
  <c r="AR116" i="113"/>
  <c r="K132" i="113"/>
  <c r="AN82" i="64"/>
  <c r="S182" i="113"/>
  <c r="AI115" i="113"/>
  <c r="W109" i="113"/>
  <c r="W180" i="113"/>
  <c r="P80" i="64"/>
  <c r="AG85" i="64"/>
  <c r="O16" i="64"/>
  <c r="BV122" i="113"/>
  <c r="BX142" i="113"/>
  <c r="BD133" i="113"/>
  <c r="AN120" i="113"/>
  <c r="AI84" i="64"/>
  <c r="R82" i="64"/>
  <c r="AE176" i="113"/>
  <c r="U131" i="113"/>
  <c r="AO107" i="113"/>
  <c r="AO98" i="64"/>
  <c r="E155" i="113"/>
  <c r="AJ65" i="64"/>
  <c r="BA148" i="113"/>
  <c r="AX116" i="113"/>
  <c r="AZ156" i="113"/>
  <c r="BA177" i="113"/>
  <c r="AC136" i="113"/>
  <c r="AS162" i="113"/>
  <c r="AF99" i="113"/>
  <c r="Y197" i="113"/>
  <c r="T186" i="113"/>
  <c r="Y193" i="113"/>
  <c r="AQ160" i="113"/>
  <c r="AE142" i="113"/>
  <c r="H135" i="113"/>
  <c r="AK81" i="64"/>
  <c r="V186" i="113"/>
  <c r="O170" i="113"/>
  <c r="BC163" i="113"/>
  <c r="AQ98" i="113"/>
  <c r="AL189" i="113"/>
  <c r="U122" i="113"/>
  <c r="AM174" i="113"/>
  <c r="AP142" i="113"/>
  <c r="AL56" i="64"/>
  <c r="AP118" i="113"/>
  <c r="AV216" i="113"/>
  <c r="BT173" i="113"/>
  <c r="U58" i="64"/>
  <c r="T179" i="113"/>
  <c r="X148" i="113"/>
  <c r="AD142" i="113"/>
  <c r="AI102" i="113"/>
  <c r="M196" i="113"/>
  <c r="X89" i="64"/>
  <c r="M118" i="113"/>
  <c r="AF150" i="113"/>
  <c r="BC85" i="64"/>
  <c r="V168" i="113"/>
  <c r="AF192" i="113"/>
  <c r="BV103" i="113"/>
  <c r="BX192" i="113"/>
  <c r="G155" i="113"/>
  <c r="AK134" i="113"/>
  <c r="AN190" i="113"/>
  <c r="BT129" i="113"/>
  <c r="BF85" i="64"/>
  <c r="BC111" i="113"/>
  <c r="K72" i="64"/>
  <c r="R77" i="64"/>
  <c r="AL65" i="64"/>
  <c r="S152" i="113"/>
  <c r="Z135" i="113"/>
  <c r="AY163" i="113"/>
  <c r="BT182" i="113"/>
  <c r="AG104" i="113"/>
  <c r="U138" i="113"/>
  <c r="AI78" i="64"/>
  <c r="AS104" i="113"/>
  <c r="BT186" i="113"/>
  <c r="AE96" i="64"/>
  <c r="I86" i="64"/>
  <c r="BB196" i="113"/>
  <c r="AF147" i="113"/>
  <c r="AV102" i="113"/>
  <c r="W137" i="113"/>
  <c r="AX115" i="113"/>
  <c r="AE89" i="113"/>
  <c r="E40" i="64"/>
  <c r="AO116" i="113"/>
  <c r="AJ188" i="113"/>
  <c r="F92" i="113"/>
  <c r="Q185" i="113"/>
  <c r="AH178" i="113"/>
  <c r="AN197" i="113"/>
  <c r="AJ92" i="64"/>
  <c r="AR118" i="113"/>
  <c r="AQ176" i="113"/>
  <c r="AT55" i="64"/>
  <c r="AY171" i="113"/>
  <c r="AC85" i="64"/>
  <c r="AQ102" i="113"/>
  <c r="BC187" i="113"/>
  <c r="AG143" i="113"/>
  <c r="AI92" i="113"/>
  <c r="AI120" i="113"/>
  <c r="AR182" i="113"/>
  <c r="E140" i="113"/>
  <c r="P187" i="113"/>
  <c r="AD61" i="64"/>
  <c r="AI162" i="113"/>
  <c r="BE77" i="64"/>
  <c r="J114" i="113"/>
  <c r="AY185" i="113"/>
  <c r="E190" i="113"/>
  <c r="BA172" i="113"/>
  <c r="AD90" i="64"/>
  <c r="X179" i="113"/>
  <c r="P92" i="113"/>
  <c r="Z224" i="113"/>
  <c r="X168" i="113"/>
  <c r="AZ160" i="113"/>
  <c r="BU97" i="113"/>
  <c r="W51" i="64"/>
  <c r="BD183" i="113"/>
  <c r="AJ110" i="113"/>
  <c r="BX125" i="113"/>
  <c r="M130" i="113"/>
  <c r="AK165" i="113"/>
  <c r="V120" i="113"/>
  <c r="W7" i="113"/>
  <c r="BA112" i="113"/>
  <c r="J190" i="113"/>
  <c r="AZ75" i="64"/>
  <c r="AR96" i="113"/>
  <c r="BC101" i="64"/>
  <c r="AK119" i="113"/>
  <c r="AM80" i="64"/>
  <c r="X97" i="64"/>
  <c r="L78" i="64"/>
  <c r="BK94" i="64"/>
  <c r="AB160" i="113"/>
  <c r="BK58" i="64"/>
  <c r="BV121" i="113"/>
  <c r="BB186" i="113"/>
  <c r="AL59" i="64"/>
  <c r="F191" i="113"/>
  <c r="AV195" i="113"/>
  <c r="F105" i="113"/>
  <c r="BY112" i="113"/>
  <c r="AA178" i="113"/>
  <c r="E211" i="113"/>
  <c r="AR138" i="113"/>
  <c r="AJ12" i="113"/>
  <c r="AJ112" i="113"/>
  <c r="BW182" i="113"/>
  <c r="O166" i="113"/>
  <c r="AT143" i="113"/>
  <c r="AR151" i="113"/>
  <c r="BS124" i="113"/>
  <c r="AG60" i="64"/>
  <c r="BT105" i="113"/>
  <c r="AY50" i="64"/>
  <c r="AA163" i="113"/>
  <c r="AY102" i="113"/>
  <c r="R184" i="113"/>
  <c r="Q114" i="113"/>
  <c r="F19" i="64"/>
  <c r="AF174" i="113"/>
  <c r="AQ172" i="113"/>
  <c r="BA90" i="113"/>
  <c r="BI85" i="64"/>
  <c r="G164" i="113"/>
  <c r="P109" i="113"/>
  <c r="AQ96" i="64"/>
  <c r="X109" i="113"/>
  <c r="Q92" i="113"/>
  <c r="BA120" i="113"/>
  <c r="AZ147" i="113"/>
  <c r="AS184" i="113"/>
  <c r="U117" i="113"/>
  <c r="AG158" i="113"/>
  <c r="AA149" i="113"/>
  <c r="AQ57" i="64"/>
  <c r="K150" i="113"/>
  <c r="E224" i="113"/>
  <c r="P129" i="113"/>
  <c r="K109" i="113"/>
  <c r="M72" i="64"/>
  <c r="F162" i="113"/>
  <c r="AF157" i="113"/>
  <c r="M55" i="64"/>
  <c r="BS87" i="113"/>
  <c r="BA128" i="113"/>
  <c r="M102" i="64"/>
  <c r="AB82" i="64"/>
  <c r="AB87" i="113"/>
  <c r="AG149" i="113"/>
  <c r="AW81" i="64"/>
  <c r="AY95" i="113"/>
  <c r="AB137" i="113"/>
  <c r="AW99" i="113"/>
  <c r="AX131" i="113"/>
  <c r="V156" i="113"/>
  <c r="U132" i="113"/>
  <c r="AV97" i="64"/>
  <c r="Y57" i="64"/>
  <c r="AL54" i="64"/>
  <c r="AE53" i="64"/>
  <c r="J143" i="113"/>
  <c r="W98" i="64"/>
  <c r="BC159" i="113"/>
  <c r="I130" i="113"/>
  <c r="AQ93" i="64"/>
  <c r="AE110" i="113"/>
  <c r="F127" i="113"/>
  <c r="AX88" i="64"/>
  <c r="AL172" i="113"/>
  <c r="AN195" i="113"/>
  <c r="AH191" i="113"/>
  <c r="AA116" i="113"/>
  <c r="AD57" i="64"/>
  <c r="Y190" i="113"/>
  <c r="I75" i="64"/>
  <c r="AX167" i="113"/>
  <c r="AL185" i="113"/>
  <c r="W87" i="113"/>
  <c r="AE60" i="64"/>
  <c r="AA151" i="113"/>
  <c r="BE96" i="64"/>
  <c r="AQ58" i="64"/>
  <c r="AM92" i="113"/>
  <c r="AT140" i="113"/>
  <c r="AG61" i="64"/>
  <c r="E130" i="113"/>
  <c r="AI142" i="113"/>
  <c r="AZ137" i="113"/>
  <c r="AL102" i="64"/>
  <c r="AO195" i="113"/>
  <c r="K134" i="113"/>
  <c r="F176" i="113"/>
  <c r="Q61" i="64"/>
  <c r="AT96" i="113"/>
  <c r="BY162" i="113"/>
  <c r="AB147" i="113"/>
  <c r="AJ100" i="64"/>
  <c r="BH100" i="64"/>
  <c r="AZ142" i="113"/>
  <c r="BY96" i="113"/>
  <c r="AV191" i="113"/>
  <c r="BA90" i="64"/>
  <c r="BC134" i="113"/>
  <c r="J177" i="113"/>
  <c r="AT56" i="64"/>
  <c r="AH100" i="113"/>
  <c r="F119" i="113"/>
  <c r="AV111" i="113"/>
  <c r="O52" i="64"/>
  <c r="F98" i="113"/>
  <c r="F49" i="64"/>
  <c r="AO159" i="113"/>
  <c r="Q54" i="64"/>
  <c r="BA119" i="113"/>
  <c r="AY79" i="64"/>
  <c r="N145" i="113"/>
  <c r="Z197" i="113"/>
  <c r="W164" i="113"/>
  <c r="AG95" i="113"/>
  <c r="Y160" i="113"/>
  <c r="K123" i="113"/>
  <c r="P165" i="113"/>
  <c r="AI189" i="113"/>
  <c r="AG92" i="64"/>
  <c r="AY181" i="113"/>
  <c r="BV167" i="113"/>
  <c r="AP121" i="113"/>
  <c r="AU101" i="64"/>
  <c r="Z63" i="64"/>
  <c r="AR162" i="113"/>
  <c r="H107" i="113"/>
  <c r="AL194" i="113"/>
  <c r="AF116" i="113"/>
  <c r="U81" i="64"/>
  <c r="BT169" i="113"/>
  <c r="AT197" i="113"/>
  <c r="AX197" i="113"/>
  <c r="E177" i="113"/>
  <c r="F147" i="113"/>
  <c r="N166" i="113"/>
  <c r="BK56" i="64"/>
  <c r="AF145" i="113"/>
  <c r="AR197" i="113"/>
  <c r="AD90" i="113"/>
  <c r="BA79" i="64"/>
  <c r="U127" i="113"/>
  <c r="BV150" i="113"/>
  <c r="F97" i="113"/>
  <c r="Q178" i="113"/>
  <c r="BW162" i="113"/>
  <c r="AF86" i="64"/>
  <c r="AJ126" i="113"/>
  <c r="AN88" i="113"/>
  <c r="AF144" i="113"/>
  <c r="E47" i="64"/>
  <c r="Y93" i="64"/>
  <c r="BC120" i="113"/>
  <c r="AX146" i="113"/>
  <c r="AF82" i="64"/>
  <c r="M58" i="64"/>
  <c r="AI172" i="113"/>
  <c r="BX184" i="113"/>
  <c r="AN116" i="113"/>
  <c r="J99" i="64"/>
  <c r="BD163" i="113"/>
  <c r="AB11" i="64"/>
  <c r="AD105" i="113"/>
  <c r="L124" i="113"/>
  <c r="L91" i="113"/>
  <c r="Y216" i="113"/>
  <c r="AX122" i="113"/>
  <c r="AS87" i="113"/>
  <c r="AA82" i="64"/>
  <c r="W94" i="113"/>
  <c r="BX87" i="113"/>
  <c r="AK82" i="64"/>
  <c r="AY93" i="113"/>
  <c r="N187" i="113"/>
  <c r="AA115" i="113"/>
  <c r="E18" i="64"/>
  <c r="Q47" i="64"/>
  <c r="AI156" i="113"/>
  <c r="AT87" i="113"/>
  <c r="AO95" i="113"/>
  <c r="AD158" i="113"/>
  <c r="AN64" i="64"/>
  <c r="I97" i="64"/>
  <c r="AX174" i="113"/>
  <c r="BE84" i="64"/>
  <c r="X118" i="113"/>
  <c r="N160" i="113"/>
  <c r="R181" i="113"/>
  <c r="J124" i="113"/>
  <c r="AH91" i="64"/>
  <c r="K108" i="113"/>
  <c r="J191" i="113"/>
  <c r="E103" i="113"/>
  <c r="BC104" i="113"/>
  <c r="AT122" i="113"/>
  <c r="BJ47" i="64"/>
  <c r="AB171" i="113"/>
  <c r="T96" i="64"/>
  <c r="M166" i="113"/>
  <c r="AM12" i="113"/>
  <c r="AE127" i="113"/>
  <c r="Z98" i="113"/>
  <c r="AO81" i="64"/>
  <c r="L49" i="64"/>
  <c r="AY90" i="113"/>
  <c r="BD186" i="113"/>
  <c r="Y97" i="64"/>
  <c r="BD194" i="113"/>
  <c r="I49" i="64"/>
  <c r="AK130" i="113"/>
  <c r="AC172" i="113"/>
  <c r="W173" i="113"/>
  <c r="O96" i="64"/>
  <c r="AU51" i="64"/>
  <c r="BA163" i="113"/>
  <c r="AU87" i="64"/>
  <c r="R150" i="113"/>
  <c r="BJ82" i="64"/>
  <c r="L80" i="64"/>
  <c r="BG84" i="64"/>
  <c r="L59" i="64"/>
  <c r="AA135" i="113"/>
  <c r="H119" i="113"/>
  <c r="Y96" i="64"/>
  <c r="E121" i="113"/>
  <c r="AE66" i="64"/>
  <c r="W171" i="113"/>
  <c r="AT170" i="113"/>
  <c r="Y114" i="113"/>
  <c r="AY96" i="113"/>
  <c r="BB109" i="113"/>
  <c r="BS171" i="113"/>
  <c r="J97" i="64"/>
  <c r="BB90" i="64"/>
  <c r="AJ81" i="64"/>
  <c r="E58" i="64"/>
  <c r="M92" i="64"/>
  <c r="U159" i="113"/>
  <c r="AV100" i="64"/>
  <c r="M174" i="113"/>
  <c r="BX122" i="113"/>
  <c r="X61" i="64"/>
  <c r="AO63" i="64"/>
  <c r="AF167" i="113"/>
  <c r="AN54" i="64"/>
  <c r="P189" i="113"/>
  <c r="BU171" i="113"/>
  <c r="G60" i="64"/>
  <c r="O155" i="113"/>
  <c r="AA134" i="113"/>
  <c r="AM119" i="113"/>
  <c r="AE92" i="64"/>
  <c r="V98" i="64"/>
  <c r="R119" i="113"/>
  <c r="BS167" i="113"/>
  <c r="AT91" i="64"/>
  <c r="AW96" i="64"/>
  <c r="AC133" i="113"/>
  <c r="AB195" i="113"/>
  <c r="AP150" i="113"/>
  <c r="AH58" i="64"/>
  <c r="U141" i="113"/>
  <c r="M172" i="113"/>
  <c r="T162" i="113"/>
  <c r="AN166" i="113"/>
  <c r="U163" i="113"/>
  <c r="V192" i="113"/>
  <c r="Y134" i="113"/>
  <c r="P113" i="113"/>
  <c r="Y145" i="113"/>
  <c r="AI138" i="113"/>
  <c r="N63" i="64"/>
  <c r="I57" i="64"/>
  <c r="AR52" i="64"/>
  <c r="E221" i="113"/>
  <c r="X47" i="64"/>
  <c r="AV100" i="113"/>
  <c r="BX191" i="113"/>
  <c r="AH130" i="113"/>
  <c r="BC121" i="113"/>
  <c r="F94" i="64"/>
  <c r="BS144" i="113"/>
  <c r="BA64" i="64"/>
  <c r="AP66" i="64"/>
  <c r="O134" i="113"/>
  <c r="F196" i="113"/>
  <c r="AH163" i="113"/>
  <c r="AU7" i="113"/>
  <c r="BI94" i="64"/>
  <c r="AR105" i="113"/>
  <c r="AZ151" i="113"/>
  <c r="AZ85" i="64"/>
  <c r="AW86" i="64"/>
  <c r="V172" i="113"/>
  <c r="N123" i="113"/>
  <c r="F77" i="64"/>
  <c r="AA189" i="113"/>
  <c r="BY170" i="113"/>
  <c r="AR108" i="113"/>
  <c r="U147" i="113"/>
  <c r="K91" i="113"/>
  <c r="AD156" i="113"/>
  <c r="G145" i="113"/>
  <c r="AL51" i="64"/>
  <c r="O77" i="64"/>
  <c r="AX172" i="113"/>
  <c r="AE56" i="64"/>
  <c r="K122" i="113"/>
  <c r="K191" i="113"/>
  <c r="BT109" i="113"/>
  <c r="AV53" i="64"/>
  <c r="T134" i="113"/>
  <c r="BC66" i="64"/>
  <c r="BX181" i="113"/>
  <c r="AW49" i="64"/>
  <c r="BW91" i="113"/>
  <c r="W185" i="113"/>
  <c r="AV55" i="64"/>
  <c r="L141" i="113"/>
  <c r="AZ87" i="64"/>
  <c r="AN128" i="113"/>
  <c r="AH84" i="64"/>
  <c r="AM86" i="64"/>
  <c r="P108" i="113"/>
  <c r="AA81" i="64"/>
  <c r="BB86" i="64"/>
  <c r="AN98" i="113"/>
  <c r="G129" i="113"/>
  <c r="U175" i="113"/>
  <c r="P97" i="113"/>
  <c r="P94" i="64"/>
  <c r="AI11" i="113"/>
  <c r="BI88" i="64"/>
  <c r="AD171" i="113"/>
  <c r="BV187" i="113"/>
  <c r="L65" i="64"/>
  <c r="AD48" i="64"/>
  <c r="Q84" i="64"/>
  <c r="AI107" i="113"/>
  <c r="AC132" i="113"/>
  <c r="AP52" i="64"/>
  <c r="AH161" i="113"/>
  <c r="Z195" i="113"/>
  <c r="BJ102" i="64"/>
  <c r="U64" i="64"/>
  <c r="R195" i="113"/>
  <c r="T168" i="113"/>
  <c r="G180" i="113"/>
  <c r="AH120" i="113"/>
  <c r="BA133" i="113"/>
  <c r="U48" i="64"/>
  <c r="AZ119" i="113"/>
  <c r="BB153" i="113"/>
  <c r="O131" i="113"/>
  <c r="BC195" i="113"/>
  <c r="G83" i="64"/>
  <c r="I148" i="113"/>
  <c r="AU132" i="113"/>
  <c r="AM129" i="113"/>
  <c r="BX165" i="113"/>
  <c r="V7" i="113"/>
  <c r="L166" i="113"/>
  <c r="AG123" i="113"/>
  <c r="AX168" i="113"/>
  <c r="AJ125" i="113"/>
  <c r="AU128" i="113"/>
  <c r="AK59" i="64"/>
  <c r="BI56" i="64"/>
  <c r="S98" i="64"/>
  <c r="AP134" i="113"/>
  <c r="AP186" i="113"/>
  <c r="AQ127" i="113"/>
  <c r="AK80" i="64"/>
  <c r="Q53" i="64"/>
  <c r="M89" i="113"/>
  <c r="L132" i="113"/>
  <c r="Q82" i="64"/>
  <c r="M180" i="113"/>
  <c r="S25" i="64"/>
  <c r="P166" i="113"/>
  <c r="BY131" i="113"/>
  <c r="AX140" i="113"/>
  <c r="AY59" i="64"/>
  <c r="BY187" i="113"/>
  <c r="AK147" i="113"/>
  <c r="AB224" i="113"/>
  <c r="R129" i="113"/>
  <c r="F90" i="64"/>
  <c r="G147" i="113"/>
  <c r="G156" i="113"/>
  <c r="AB140" i="113"/>
  <c r="AG144" i="113"/>
  <c r="AS86" i="64"/>
  <c r="AT99" i="64"/>
  <c r="F83" i="64"/>
  <c r="AP147" i="113"/>
  <c r="T174" i="113"/>
  <c r="G140" i="113"/>
  <c r="AR121" i="113"/>
  <c r="E183" i="113"/>
  <c r="AX108" i="113"/>
  <c r="L91" i="64"/>
  <c r="AF121" i="113"/>
  <c r="AI167" i="113"/>
  <c r="AQ134" i="113"/>
  <c r="AY94" i="64"/>
  <c r="BA181" i="113"/>
  <c r="BY167" i="113"/>
  <c r="T167" i="113"/>
  <c r="E184" i="113"/>
  <c r="I88" i="113"/>
  <c r="AA166" i="113"/>
  <c r="Z141" i="113"/>
  <c r="AV48" i="64"/>
  <c r="H95" i="113"/>
  <c r="O102" i="113"/>
  <c r="AB141" i="113"/>
  <c r="AY113" i="113"/>
  <c r="BU87" i="113"/>
  <c r="E146" i="113"/>
  <c r="AF194" i="113"/>
  <c r="AD84" i="64"/>
  <c r="AV98" i="64"/>
  <c r="H179" i="113"/>
  <c r="Z144" i="113"/>
  <c r="AI137" i="113"/>
  <c r="N95" i="64"/>
  <c r="U181" i="113"/>
  <c r="AY91" i="113"/>
  <c r="AA77" i="64"/>
  <c r="K98" i="113"/>
  <c r="M120" i="113"/>
  <c r="AX92" i="64"/>
  <c r="AA159" i="113"/>
  <c r="W120" i="113"/>
  <c r="AW78" i="64"/>
  <c r="AK177" i="113"/>
  <c r="I89" i="64"/>
  <c r="G151" i="113"/>
  <c r="O122" i="113"/>
  <c r="I181" i="113"/>
  <c r="Y135" i="113"/>
  <c r="AA122" i="113"/>
  <c r="AO48" i="64"/>
  <c r="AM131" i="113"/>
  <c r="AK194" i="113"/>
  <c r="BT12" i="113"/>
  <c r="BH55" i="64"/>
  <c r="AJ92" i="113"/>
  <c r="AD152" i="113"/>
  <c r="AU159" i="113"/>
  <c r="P177" i="113"/>
  <c r="AM101" i="64"/>
  <c r="V89" i="113"/>
  <c r="AO197" i="113"/>
  <c r="I94" i="64"/>
  <c r="J180" i="113"/>
  <c r="AY167" i="113"/>
  <c r="AS137" i="113"/>
  <c r="AY170" i="113"/>
  <c r="T89" i="64"/>
  <c r="AZ191" i="113"/>
  <c r="BW148" i="113"/>
  <c r="BC47" i="64"/>
  <c r="BC167" i="113"/>
  <c r="AH87" i="113"/>
  <c r="BB141" i="113"/>
  <c r="AX158" i="113"/>
  <c r="F95" i="64"/>
  <c r="BU98" i="113"/>
  <c r="AR126" i="113"/>
  <c r="AR95" i="64"/>
  <c r="Z92" i="64"/>
  <c r="AF84" i="64"/>
  <c r="AE87" i="113"/>
  <c r="Q91" i="64"/>
  <c r="BI80" i="64"/>
  <c r="S62" i="64"/>
  <c r="AA198" i="113"/>
  <c r="AN175" i="113"/>
  <c r="T65" i="64"/>
  <c r="AT181" i="113"/>
  <c r="BG90" i="64"/>
  <c r="AJ98" i="113"/>
  <c r="AN137" i="113"/>
  <c r="AC79" i="64"/>
  <c r="V87" i="64"/>
  <c r="AM168" i="113"/>
  <c r="BS193" i="113"/>
  <c r="X110" i="113"/>
  <c r="X157" i="113"/>
  <c r="AE72" i="64"/>
  <c r="Y130" i="113"/>
  <c r="M170" i="113"/>
  <c r="F141" i="113"/>
  <c r="U93" i="113"/>
  <c r="AH176" i="113"/>
  <c r="AR135" i="113"/>
  <c r="AW110" i="113"/>
  <c r="AQ170" i="113"/>
  <c r="BY127" i="113"/>
  <c r="R54" i="64"/>
  <c r="AP173" i="113"/>
  <c r="AE171" i="113"/>
  <c r="AV131" i="113"/>
  <c r="BC135" i="113"/>
  <c r="M83" i="64"/>
  <c r="AM98" i="64"/>
  <c r="AV12" i="113"/>
  <c r="H82" i="64"/>
  <c r="AN80" i="64"/>
  <c r="AM49" i="64"/>
  <c r="AT196" i="113"/>
  <c r="BY146" i="113"/>
  <c r="AU50" i="64"/>
  <c r="AC89" i="64"/>
  <c r="BB154" i="113"/>
  <c r="BA144" i="113"/>
  <c r="AD50" i="64"/>
  <c r="P164" i="113"/>
  <c r="Q65" i="64"/>
  <c r="W113" i="113"/>
  <c r="W80" i="64"/>
  <c r="AN77" i="64"/>
  <c r="AL140" i="113"/>
  <c r="AI193" i="113"/>
  <c r="P91" i="64"/>
  <c r="AN159" i="113"/>
  <c r="AQ107" i="113"/>
  <c r="AC146" i="113"/>
  <c r="BI66" i="64"/>
  <c r="AY168" i="113"/>
  <c r="BC55" i="64"/>
  <c r="I89" i="113"/>
  <c r="S188" i="113"/>
  <c r="F197" i="113"/>
  <c r="AP91" i="64"/>
  <c r="AL114" i="64"/>
  <c r="BJ51" i="64"/>
  <c r="AW54" i="64"/>
  <c r="AL52" i="64"/>
  <c r="AP103" i="113"/>
  <c r="BW157" i="113"/>
  <c r="AC11" i="113"/>
  <c r="P25" i="64"/>
  <c r="BG88" i="64"/>
  <c r="BF11" i="64"/>
  <c r="BX129" i="113"/>
  <c r="AR123" i="113"/>
  <c r="V163" i="113"/>
  <c r="BK47" i="64"/>
  <c r="AF88" i="113"/>
  <c r="AJ59" i="64"/>
  <c r="R94" i="113"/>
  <c r="BS126" i="113"/>
  <c r="U82" i="64"/>
  <c r="H162" i="113"/>
  <c r="V130" i="113"/>
  <c r="AH124" i="113"/>
  <c r="AL132" i="113"/>
  <c r="O88" i="113"/>
  <c r="T126" i="113"/>
  <c r="BW144" i="113"/>
  <c r="AA94" i="64"/>
  <c r="AT82" i="64"/>
  <c r="BC82" i="64"/>
  <c r="AV166" i="113"/>
  <c r="AE128" i="113"/>
  <c r="AQ82" i="64"/>
  <c r="AS114" i="113"/>
  <c r="AK135" i="113"/>
  <c r="AA191" i="113"/>
  <c r="T90" i="64"/>
  <c r="AK117" i="113"/>
  <c r="Z88" i="64"/>
  <c r="AW108" i="113"/>
  <c r="V139" i="113"/>
  <c r="S122" i="113"/>
  <c r="AN111" i="113"/>
  <c r="BB191" i="113"/>
  <c r="BC184" i="113"/>
  <c r="Z94" i="64"/>
  <c r="AE163" i="113"/>
  <c r="F28" i="64"/>
  <c r="AL7" i="113"/>
  <c r="AC171" i="113"/>
  <c r="AL84" i="64"/>
  <c r="BS102" i="113"/>
  <c r="E164" i="113"/>
  <c r="AA104" i="113"/>
  <c r="G229" i="113"/>
  <c r="AY166" i="113"/>
  <c r="AZ52" i="64"/>
  <c r="BA61" i="64"/>
  <c r="K165" i="113"/>
  <c r="AA174" i="113"/>
  <c r="AY178" i="113"/>
  <c r="BY169" i="113"/>
  <c r="BY116" i="113"/>
  <c r="N149" i="113"/>
  <c r="AM65" i="64"/>
  <c r="BE53" i="64"/>
  <c r="BA54" i="64"/>
  <c r="K154" i="113"/>
  <c r="BY159" i="113"/>
  <c r="BB162" i="113"/>
  <c r="AX176" i="113"/>
  <c r="R149" i="113"/>
  <c r="BY123" i="113"/>
  <c r="BA117" i="113"/>
  <c r="AZ155" i="113"/>
  <c r="V166" i="113"/>
  <c r="Q190" i="113"/>
  <c r="AP193" i="113"/>
  <c r="AJ134" i="113"/>
  <c r="R130" i="113"/>
  <c r="J172" i="113"/>
  <c r="AA146" i="113"/>
  <c r="AS141" i="113"/>
  <c r="BW108" i="113"/>
  <c r="AT102" i="113"/>
  <c r="BD136" i="113"/>
  <c r="BV160" i="113"/>
  <c r="Y96" i="113"/>
  <c r="BF79" i="64"/>
  <c r="H58" i="64"/>
  <c r="V158" i="113"/>
  <c r="M185" i="113"/>
  <c r="AS197" i="113"/>
  <c r="R114" i="113"/>
  <c r="AY164" i="113"/>
  <c r="AD193" i="113"/>
  <c r="S181" i="113"/>
  <c r="AN162" i="113"/>
  <c r="AO114" i="64"/>
  <c r="V96" i="64"/>
  <c r="J53" i="64"/>
  <c r="AS98" i="113"/>
  <c r="V107" i="113"/>
  <c r="BK62" i="64"/>
  <c r="Y116" i="113"/>
  <c r="BS93" i="113"/>
  <c r="BU192" i="113"/>
  <c r="AB146" i="113"/>
  <c r="U98" i="64"/>
  <c r="K117" i="113"/>
  <c r="W11" i="64"/>
  <c r="H180" i="113"/>
  <c r="AQ190" i="113"/>
  <c r="AK140" i="113"/>
  <c r="AU79" i="64"/>
  <c r="N100" i="64"/>
  <c r="AD103" i="113"/>
  <c r="BW158" i="113"/>
  <c r="H93" i="113"/>
  <c r="P97" i="64"/>
  <c r="AR111" i="113"/>
  <c r="T97" i="64"/>
  <c r="BI48" i="64"/>
  <c r="AZ180" i="113"/>
  <c r="T54" i="64"/>
  <c r="L154" i="113"/>
  <c r="AH56" i="64"/>
  <c r="N152" i="113"/>
  <c r="I116" i="113"/>
  <c r="BD130" i="113"/>
  <c r="AL165" i="113"/>
  <c r="AU54" i="64"/>
  <c r="M82" i="64"/>
  <c r="AP116" i="113"/>
  <c r="E120" i="113"/>
  <c r="BC92" i="113"/>
  <c r="AB172" i="113"/>
  <c r="AD51" i="64"/>
  <c r="AY124" i="113"/>
  <c r="BD184" i="113"/>
  <c r="BB157" i="113"/>
  <c r="N92" i="113"/>
  <c r="AV61" i="64"/>
  <c r="AV110" i="113"/>
  <c r="I145" i="113"/>
  <c r="W56" i="64"/>
  <c r="AZ178" i="113"/>
  <c r="AB109" i="113"/>
  <c r="AJ102" i="64"/>
  <c r="AV125" i="113"/>
  <c r="BV117" i="113"/>
  <c r="AI83" i="64"/>
  <c r="Y105" i="113"/>
  <c r="Z216" i="113"/>
  <c r="AP100" i="64"/>
  <c r="AN158" i="113"/>
  <c r="AP75" i="64"/>
  <c r="AL75" i="64"/>
  <c r="AL117" i="113"/>
  <c r="T97" i="113"/>
  <c r="BI81" i="64"/>
  <c r="BC154" i="113"/>
  <c r="AZ118" i="113"/>
  <c r="AS126" i="113"/>
  <c r="T144" i="113"/>
  <c r="AN96" i="113"/>
  <c r="S95" i="64"/>
  <c r="V97" i="113"/>
  <c r="AJ143" i="113"/>
  <c r="W57" i="64"/>
  <c r="BJ88" i="64"/>
  <c r="AF12" i="113"/>
  <c r="BS129" i="113"/>
  <c r="BD153" i="113"/>
  <c r="T92" i="64"/>
  <c r="H109" i="113"/>
  <c r="AB96" i="113"/>
  <c r="AP90" i="64"/>
  <c r="R99" i="113"/>
  <c r="AE161" i="113"/>
  <c r="BU152" i="113"/>
  <c r="BJ94" i="64"/>
  <c r="BK50" i="64"/>
  <c r="BG99" i="64"/>
  <c r="E16" i="64"/>
  <c r="BW165" i="113"/>
  <c r="AO136" i="113"/>
  <c r="AW93" i="64"/>
  <c r="N162" i="113"/>
  <c r="BX156" i="113"/>
  <c r="N57" i="64"/>
  <c r="AS127" i="113"/>
  <c r="AZ48" i="64"/>
  <c r="N176" i="113"/>
  <c r="AW137" i="113"/>
  <c r="E12" i="64"/>
  <c r="N109" i="113"/>
  <c r="E171" i="113"/>
  <c r="H97" i="64"/>
  <c r="R175" i="113"/>
  <c r="AC162" i="113"/>
  <c r="AW104" i="113"/>
  <c r="AZ100" i="113"/>
  <c r="S153" i="113"/>
  <c r="S193" i="113"/>
  <c r="BG102" i="64"/>
  <c r="M92" i="113"/>
  <c r="O26" i="64"/>
  <c r="AI146" i="113"/>
  <c r="H100" i="64"/>
  <c r="AW158" i="113"/>
  <c r="N159" i="113"/>
  <c r="AQ141" i="113"/>
  <c r="E152" i="113"/>
  <c r="G225" i="113"/>
  <c r="AN51" i="64"/>
  <c r="R178" i="113"/>
  <c r="W111" i="113"/>
  <c r="AG142" i="113"/>
  <c r="O174" i="113"/>
  <c r="Z109" i="113"/>
  <c r="AA136" i="113"/>
  <c r="E142" i="113"/>
  <c r="AN141" i="113"/>
  <c r="I160" i="113"/>
  <c r="BS151" i="113"/>
  <c r="BB113" i="113"/>
  <c r="R192" i="113"/>
  <c r="AE196" i="113"/>
  <c r="M97" i="64"/>
  <c r="Y54" i="64"/>
  <c r="AK58" i="64"/>
  <c r="S195" i="113"/>
  <c r="BJ85" i="64"/>
  <c r="BA72" i="64"/>
  <c r="BB95" i="113"/>
  <c r="AS123" i="113"/>
  <c r="AL120" i="113"/>
  <c r="W125" i="113"/>
  <c r="P154" i="113"/>
  <c r="AF51" i="64"/>
  <c r="V61" i="64"/>
  <c r="AE158" i="113"/>
  <c r="AL106" i="113"/>
  <c r="AU64" i="64"/>
  <c r="AX93" i="64"/>
  <c r="N138" i="113"/>
  <c r="AV173" i="113"/>
  <c r="AZ131" i="113"/>
  <c r="AZ193" i="113"/>
  <c r="BF62" i="64"/>
  <c r="AY7" i="113"/>
  <c r="AJ97" i="113"/>
  <c r="AQ97" i="113"/>
  <c r="T154" i="113"/>
  <c r="AY64" i="64"/>
  <c r="AS72" i="64"/>
  <c r="M146" i="113"/>
  <c r="N122" i="113"/>
  <c r="R87" i="113"/>
  <c r="BB75" i="64"/>
  <c r="AI60" i="64"/>
  <c r="R154" i="113"/>
  <c r="AS147" i="113"/>
  <c r="AC115" i="113"/>
  <c r="BY87" i="113"/>
  <c r="O156" i="113"/>
  <c r="BV151" i="113"/>
  <c r="I142" i="113"/>
  <c r="H140" i="113"/>
  <c r="AK108" i="113"/>
  <c r="AU92" i="113"/>
  <c r="AI59" i="64"/>
  <c r="AK114" i="64"/>
  <c r="R125" i="113"/>
  <c r="N107" i="113"/>
  <c r="AK95" i="113"/>
  <c r="G47" i="64"/>
  <c r="AF7" i="113"/>
  <c r="Y99" i="113"/>
  <c r="T14" i="64"/>
  <c r="AW90" i="64"/>
  <c r="AJ186" i="113"/>
  <c r="AY103" i="113"/>
  <c r="X128" i="113"/>
  <c r="BA98" i="64"/>
  <c r="BI95" i="64"/>
  <c r="O154" i="113"/>
  <c r="AZ181" i="113"/>
  <c r="Z150" i="113"/>
  <c r="AH95" i="113"/>
  <c r="BB63" i="64"/>
  <c r="AI113" i="113"/>
  <c r="R194" i="113"/>
  <c r="AQ111" i="113"/>
  <c r="AL80" i="64"/>
  <c r="N102" i="64"/>
  <c r="X82" i="64"/>
  <c r="X141" i="113"/>
  <c r="AD92" i="64"/>
  <c r="AH121" i="113"/>
  <c r="AC145" i="113"/>
  <c r="BU90" i="113"/>
  <c r="BB111" i="113"/>
  <c r="AJ162" i="113"/>
  <c r="U148" i="113"/>
  <c r="F102" i="113"/>
  <c r="AS157" i="113"/>
  <c r="AT96" i="64"/>
  <c r="I162" i="113"/>
  <c r="AJ109" i="113"/>
  <c r="AN55" i="64"/>
  <c r="BH47" i="64"/>
  <c r="W144" i="113"/>
  <c r="M142" i="113"/>
  <c r="BD151" i="113"/>
  <c r="BB92" i="113"/>
  <c r="AC96" i="113"/>
  <c r="X102" i="113"/>
  <c r="AE102" i="113"/>
  <c r="AO94" i="64"/>
  <c r="Y95" i="64"/>
  <c r="E138" i="113"/>
  <c r="Q91" i="113"/>
  <c r="AN91" i="113"/>
  <c r="T173" i="113"/>
  <c r="AX97" i="113"/>
  <c r="AJ142" i="113"/>
  <c r="U168" i="113"/>
  <c r="AB93" i="64"/>
  <c r="W85" i="64"/>
  <c r="AY180" i="113"/>
  <c r="Q124" i="113"/>
  <c r="AL90" i="113"/>
  <c r="N163" i="113"/>
  <c r="AI123" i="113"/>
  <c r="Z102" i="113"/>
  <c r="AE136" i="113"/>
  <c r="F146" i="113"/>
  <c r="P48" i="64"/>
  <c r="N91" i="113"/>
  <c r="BB96" i="64"/>
  <c r="AD180" i="113"/>
  <c r="AD192" i="113"/>
  <c r="T60" i="64"/>
  <c r="S157" i="113"/>
  <c r="O194" i="113"/>
  <c r="R89" i="113"/>
  <c r="E161" i="113"/>
  <c r="H86" i="64"/>
  <c r="R108" i="113"/>
  <c r="S100" i="64"/>
  <c r="AL124" i="113"/>
  <c r="AU125" i="113"/>
  <c r="J173" i="113"/>
  <c r="Y127" i="113"/>
  <c r="G133" i="113"/>
  <c r="F168" i="113"/>
  <c r="K56" i="64"/>
  <c r="AJ195" i="113"/>
  <c r="AG95" i="64"/>
  <c r="O196" i="113"/>
  <c r="Q197" i="113"/>
  <c r="T86" i="64"/>
  <c r="Y162" i="113"/>
  <c r="AZ188" i="113"/>
  <c r="R93" i="113"/>
  <c r="AU105" i="113"/>
  <c r="J121" i="113"/>
  <c r="F133" i="113"/>
  <c r="H60" i="64"/>
  <c r="W163" i="113"/>
  <c r="H154" i="113"/>
  <c r="BX169" i="113"/>
  <c r="BA52" i="64"/>
  <c r="AN183" i="113"/>
  <c r="F93" i="64"/>
  <c r="BX95" i="113"/>
  <c r="AW150" i="113"/>
  <c r="AO53" i="64"/>
  <c r="BA189" i="113"/>
  <c r="S77" i="64"/>
  <c r="W142" i="113"/>
  <c r="W101" i="113"/>
  <c r="R26" i="64"/>
  <c r="BA186" i="113"/>
  <c r="N224" i="113"/>
  <c r="AT164" i="113"/>
  <c r="I53" i="64"/>
  <c r="AW66" i="64"/>
  <c r="BS180" i="113"/>
  <c r="AN161" i="113"/>
  <c r="Y175" i="113"/>
  <c r="P59" i="64"/>
  <c r="AB100" i="64"/>
  <c r="N156" i="113"/>
  <c r="AQ61" i="64"/>
  <c r="AL131" i="113"/>
  <c r="BY121" i="113"/>
  <c r="BY142" i="113"/>
  <c r="AQ121" i="113"/>
  <c r="J131" i="113"/>
  <c r="BV88" i="113"/>
  <c r="AD95" i="113"/>
  <c r="AB111" i="113"/>
  <c r="AH162" i="113"/>
  <c r="M171" i="113"/>
  <c r="O162" i="113"/>
  <c r="AX58" i="64"/>
  <c r="AK142" i="113"/>
  <c r="AD191" i="113"/>
  <c r="BS157" i="113"/>
  <c r="Y72" i="64"/>
  <c r="P175" i="113"/>
  <c r="BD161" i="113"/>
  <c r="F34" i="64"/>
  <c r="AE174" i="113"/>
  <c r="H168" i="113"/>
  <c r="BV99" i="113"/>
  <c r="F123" i="113"/>
  <c r="AZ135" i="113"/>
  <c r="BK49" i="64"/>
  <c r="BX166" i="113"/>
  <c r="AL129" i="113"/>
  <c r="E116" i="113"/>
  <c r="BX126" i="113"/>
  <c r="AN177" i="113"/>
  <c r="S54" i="64"/>
  <c r="AG141" i="113"/>
  <c r="AA156" i="113"/>
  <c r="AQ187" i="113"/>
  <c r="Z174" i="113"/>
  <c r="AE83" i="64"/>
  <c r="AM191" i="113"/>
  <c r="BB192" i="113"/>
  <c r="AE99" i="64"/>
  <c r="AT195" i="113"/>
  <c r="BY156" i="113"/>
  <c r="F88" i="113"/>
  <c r="AS95" i="64"/>
  <c r="AE143" i="113"/>
  <c r="AU99" i="113"/>
  <c r="F53" i="64"/>
  <c r="AH89" i="113"/>
  <c r="X185" i="113"/>
  <c r="AJ154" i="113"/>
  <c r="J97" i="113"/>
  <c r="AW92" i="113"/>
  <c r="AC88" i="64"/>
  <c r="AL118" i="113"/>
  <c r="BD88" i="113"/>
  <c r="V47" i="64"/>
  <c r="K100" i="64"/>
  <c r="U65" i="64"/>
  <c r="AY100" i="113"/>
  <c r="AX53" i="64"/>
  <c r="AD183" i="113"/>
  <c r="V88" i="113"/>
  <c r="I156" i="113"/>
  <c r="F138" i="113"/>
  <c r="AY122" i="113"/>
  <c r="AR224" i="113"/>
  <c r="AT88" i="113"/>
  <c r="BB115" i="113"/>
  <c r="P87" i="113"/>
  <c r="BU149" i="113"/>
  <c r="U96" i="113"/>
  <c r="BA129" i="113"/>
  <c r="AV92" i="64"/>
  <c r="AS110" i="113"/>
  <c r="AR95" i="113"/>
  <c r="U185" i="113"/>
  <c r="I193" i="113"/>
  <c r="N53" i="64"/>
  <c r="V94" i="64"/>
  <c r="BU156" i="113"/>
  <c r="AP194" i="113"/>
  <c r="AK94" i="64"/>
  <c r="AB129" i="113"/>
  <c r="E110" i="113"/>
  <c r="AL159" i="113"/>
  <c r="AX173" i="113"/>
  <c r="M158" i="113"/>
  <c r="BA97" i="113"/>
  <c r="AO54" i="64"/>
  <c r="AU143" i="113"/>
  <c r="BU142" i="113"/>
  <c r="E93" i="113"/>
  <c r="G91" i="64"/>
  <c r="BY151" i="113"/>
  <c r="J93" i="113"/>
  <c r="AZ66" i="64"/>
  <c r="AA193" i="113"/>
  <c r="H91" i="113"/>
  <c r="J192" i="113"/>
  <c r="L147" i="113"/>
  <c r="Q114" i="64"/>
  <c r="AE100" i="64"/>
  <c r="BB197" i="113"/>
  <c r="AQ64" i="64"/>
  <c r="AN72" i="64"/>
  <c r="T169" i="113"/>
  <c r="P119" i="113"/>
  <c r="BF59" i="64"/>
  <c r="AQ188" i="113"/>
  <c r="BY114" i="113"/>
  <c r="AO95" i="64"/>
  <c r="BY198" i="113"/>
  <c r="AJ196" i="113"/>
  <c r="AG63" i="64"/>
  <c r="J115" i="113"/>
  <c r="BW120" i="113"/>
  <c r="AH134" i="113"/>
  <c r="L105" i="113"/>
  <c r="AM75" i="64"/>
  <c r="BG95" i="64"/>
  <c r="BB100" i="113"/>
  <c r="W132" i="113"/>
  <c r="AI87" i="113"/>
  <c r="K155" i="113"/>
  <c r="AZ89" i="64"/>
  <c r="M90" i="64"/>
  <c r="H81" i="64"/>
  <c r="BU133" i="113"/>
  <c r="AY95" i="64"/>
  <c r="T118" i="113"/>
  <c r="BC94" i="113"/>
  <c r="AZ194" i="113"/>
  <c r="O144" i="113"/>
  <c r="Y88" i="64"/>
  <c r="AX101" i="64"/>
  <c r="BJ91" i="64"/>
  <c r="Q12" i="64"/>
  <c r="AC185" i="113"/>
  <c r="AD197" i="113"/>
  <c r="AX187" i="113"/>
  <c r="AI77" i="64"/>
  <c r="U140" i="113"/>
  <c r="V177" i="113"/>
  <c r="H182" i="113"/>
  <c r="AK97" i="113"/>
  <c r="AF92" i="64"/>
  <c r="AK95" i="64"/>
  <c r="AS194" i="113"/>
  <c r="AO78" i="64"/>
  <c r="AH60" i="64"/>
  <c r="AJ101" i="113"/>
  <c r="AJ66" i="64"/>
  <c r="H64" i="64"/>
  <c r="BW102" i="113"/>
  <c r="P52" i="64"/>
  <c r="BF100" i="64"/>
  <c r="BW166" i="113"/>
  <c r="BU107" i="113"/>
  <c r="F126" i="113"/>
  <c r="M137" i="113"/>
  <c r="N181" i="113"/>
  <c r="AT61" i="64"/>
  <c r="AT12" i="113"/>
  <c r="AU93" i="113"/>
  <c r="H110" i="113"/>
  <c r="E189" i="113"/>
  <c r="BG56" i="64"/>
  <c r="BA184" i="113"/>
  <c r="J188" i="113"/>
  <c r="Q182" i="113"/>
  <c r="AU116" i="113"/>
  <c r="AF135" i="113"/>
  <c r="G126" i="113"/>
  <c r="AX11" i="113"/>
  <c r="G97" i="113"/>
  <c r="AH166" i="113"/>
  <c r="AX143" i="113"/>
  <c r="W112" i="113"/>
  <c r="L7" i="113"/>
  <c r="AP60" i="64"/>
  <c r="AD96" i="113"/>
  <c r="L118" i="113"/>
  <c r="AN7" i="113"/>
  <c r="AW72" i="64"/>
  <c r="BA91" i="113"/>
  <c r="BT144" i="113"/>
  <c r="M98" i="113"/>
  <c r="R186" i="113"/>
  <c r="BS97" i="113"/>
  <c r="U116" i="113"/>
  <c r="AD184" i="113"/>
  <c r="AW63" i="64"/>
  <c r="E19" i="64"/>
  <c r="BU167" i="113"/>
  <c r="AW185" i="113"/>
  <c r="P121" i="113"/>
  <c r="AT75" i="64"/>
  <c r="AE191" i="113"/>
  <c r="AK64" i="64"/>
  <c r="BS190" i="113"/>
  <c r="U7" i="113"/>
  <c r="AJ122" i="113"/>
  <c r="AB135" i="113"/>
  <c r="AZ102" i="113"/>
  <c r="AI186" i="113"/>
  <c r="AD93" i="64"/>
  <c r="BA178" i="113"/>
  <c r="AX179" i="113"/>
  <c r="AZ132" i="113"/>
  <c r="AJ96" i="113"/>
  <c r="G190" i="113"/>
  <c r="BK85" i="64"/>
  <c r="AI170" i="113"/>
  <c r="AY144" i="113"/>
  <c r="AF198" i="113"/>
  <c r="X96" i="113"/>
  <c r="BH60" i="64"/>
  <c r="AP151" i="113"/>
  <c r="AC160" i="113"/>
  <c r="I185" i="113"/>
  <c r="T184" i="113"/>
  <c r="S113" i="113"/>
  <c r="K111" i="113"/>
  <c r="V161" i="113"/>
  <c r="AT127" i="113"/>
  <c r="F170" i="113"/>
  <c r="BB89" i="64"/>
  <c r="P118" i="113"/>
  <c r="H61" i="64"/>
  <c r="J94" i="113"/>
  <c r="K58" i="64"/>
  <c r="AG170" i="113"/>
  <c r="AC100" i="113"/>
  <c r="AG109" i="113"/>
  <c r="T84" i="64"/>
  <c r="G89" i="113"/>
  <c r="F32" i="64"/>
  <c r="AB58" i="64"/>
  <c r="AC163" i="113"/>
  <c r="BU104" i="113"/>
  <c r="BA168" i="113"/>
  <c r="BK80" i="64"/>
  <c r="N92" i="64"/>
  <c r="BF65" i="64"/>
  <c r="F21" i="64"/>
  <c r="AF131" i="113"/>
  <c r="AW87" i="113"/>
  <c r="V160" i="113"/>
  <c r="AT100" i="64"/>
  <c r="AH143" i="113"/>
  <c r="V123" i="113"/>
  <c r="BC95" i="64"/>
  <c r="BD145" i="113"/>
  <c r="BI97" i="64"/>
  <c r="AG88" i="113"/>
  <c r="P148" i="113"/>
  <c r="AF152" i="113"/>
  <c r="U153" i="113"/>
  <c r="L170" i="113"/>
  <c r="AG163" i="113"/>
  <c r="T95" i="64"/>
  <c r="AI128" i="113"/>
  <c r="BE92" i="64"/>
  <c r="T78" i="64"/>
  <c r="AI154" i="113"/>
  <c r="R171" i="113"/>
  <c r="AC90" i="113"/>
  <c r="AQ98" i="64"/>
  <c r="AS116" i="113"/>
  <c r="S88" i="64"/>
  <c r="BU162" i="113"/>
  <c r="AX139" i="113"/>
  <c r="S180" i="113"/>
  <c r="I159" i="113"/>
  <c r="AW57" i="64"/>
  <c r="BG86" i="64"/>
  <c r="AJ157" i="113"/>
  <c r="W118" i="113"/>
  <c r="E144" i="113"/>
  <c r="AR99" i="113"/>
  <c r="V114" i="64"/>
  <c r="X93" i="64"/>
  <c r="AE224" i="113"/>
  <c r="AV160" i="113"/>
  <c r="BD174" i="113"/>
  <c r="AQ169" i="113"/>
  <c r="BS96" i="113"/>
  <c r="BG78" i="64"/>
  <c r="AN87" i="64"/>
  <c r="U179" i="113"/>
  <c r="AY94" i="113"/>
  <c r="BK97" i="64"/>
  <c r="AM175" i="113"/>
  <c r="BU112" i="113"/>
  <c r="AV142" i="113"/>
  <c r="S158" i="113"/>
  <c r="AE156" i="113"/>
  <c r="X188" i="113"/>
  <c r="AC81" i="64"/>
  <c r="P64" i="64"/>
  <c r="AM51" i="64"/>
  <c r="BE26" i="64"/>
  <c r="S169" i="113"/>
  <c r="AR84" i="64"/>
  <c r="R135" i="113"/>
  <c r="AJ53" i="64"/>
  <c r="AV124" i="113"/>
  <c r="AN192" i="113"/>
  <c r="P100" i="64"/>
  <c r="P140" i="113"/>
  <c r="G193" i="113"/>
  <c r="AO196" i="113"/>
  <c r="AE98" i="113"/>
  <c r="Q131" i="113"/>
  <c r="X80" i="64"/>
  <c r="AQ90" i="113"/>
  <c r="H176" i="113"/>
  <c r="AO93" i="64"/>
  <c r="T102" i="113"/>
  <c r="M79" i="64"/>
  <c r="P198" i="113"/>
  <c r="I196" i="113"/>
  <c r="BB12" i="113"/>
  <c r="M117" i="113"/>
  <c r="BW185" i="113"/>
  <c r="Y55" i="64"/>
  <c r="AE186" i="113"/>
  <c r="L64" i="64"/>
  <c r="AB184" i="113"/>
  <c r="I198" i="113"/>
  <c r="O113" i="113"/>
  <c r="AB80" i="64"/>
  <c r="AD168" i="113"/>
  <c r="P133" i="113"/>
  <c r="AI150" i="113"/>
  <c r="BJ80" i="64"/>
  <c r="AK52" i="64"/>
  <c r="AE48" i="64"/>
  <c r="AA56" i="64"/>
  <c r="L90" i="113"/>
  <c r="AY196" i="113"/>
  <c r="AY90" i="64"/>
  <c r="AW149" i="113"/>
  <c r="F80" i="64"/>
  <c r="BB172" i="113"/>
  <c r="AM100" i="64"/>
  <c r="T192" i="113"/>
  <c r="AR194" i="113"/>
  <c r="Z184" i="113"/>
  <c r="U94" i="64"/>
  <c r="AW107" i="113"/>
  <c r="Q152" i="113"/>
  <c r="U123" i="113"/>
  <c r="BA123" i="113"/>
  <c r="R158" i="113"/>
  <c r="AW97" i="64"/>
  <c r="H195" i="113"/>
  <c r="F69" i="64"/>
  <c r="AN110" i="113"/>
  <c r="BS125" i="113"/>
  <c r="AE216" i="113"/>
  <c r="K63" i="64"/>
  <c r="T12" i="64"/>
  <c r="E70" i="64"/>
  <c r="AA59" i="64"/>
  <c r="AC104" i="113"/>
  <c r="Q49" i="64"/>
  <c r="AO92" i="64"/>
  <c r="V111" i="113"/>
  <c r="AY54" i="64"/>
  <c r="AZ92" i="113"/>
  <c r="AT88" i="64"/>
  <c r="V179" i="113"/>
  <c r="J185" i="113"/>
  <c r="V117" i="113"/>
  <c r="AS89" i="113"/>
  <c r="O198" i="113"/>
  <c r="F23" i="64"/>
  <c r="AA85" i="64"/>
  <c r="W123" i="113"/>
  <c r="M124" i="113"/>
  <c r="AA54" i="64"/>
  <c r="Y111" i="113"/>
  <c r="T125" i="113"/>
  <c r="AY149" i="113"/>
  <c r="BB164" i="113"/>
  <c r="K84" i="64"/>
  <c r="K60" i="64"/>
  <c r="Y94" i="64"/>
  <c r="AN171" i="113"/>
  <c r="AI184" i="113"/>
  <c r="H178" i="113"/>
  <c r="BA63" i="64"/>
  <c r="AA101" i="64"/>
  <c r="AE169" i="113"/>
  <c r="AJ198" i="113"/>
  <c r="H120" i="113"/>
  <c r="Z114" i="64"/>
  <c r="BG65" i="64"/>
  <c r="N64" i="64"/>
  <c r="F74" i="64"/>
  <c r="O62" i="64"/>
  <c r="AN47" i="64"/>
  <c r="X130" i="113"/>
  <c r="AP175" i="113"/>
  <c r="AF96" i="113"/>
  <c r="I194" i="113"/>
  <c r="AK12" i="113"/>
  <c r="L190" i="113"/>
  <c r="AI49" i="64"/>
  <c r="AP166" i="113"/>
  <c r="L136" i="113"/>
  <c r="BY182" i="113"/>
  <c r="AY161" i="113"/>
  <c r="X90" i="64"/>
  <c r="Y85" i="64"/>
  <c r="AJ116" i="113"/>
  <c r="AB176" i="113"/>
  <c r="AF178" i="113"/>
  <c r="N157" i="113"/>
  <c r="AK62" i="64"/>
  <c r="BH85" i="64"/>
  <c r="Q143" i="113"/>
  <c r="I174" i="113"/>
  <c r="G171" i="113"/>
  <c r="BD179" i="113"/>
  <c r="G224" i="113"/>
  <c r="F190" i="113"/>
  <c r="AB127" i="113"/>
  <c r="K93" i="64"/>
  <c r="X133" i="113"/>
  <c r="AS75" i="64"/>
  <c r="S178" i="113"/>
  <c r="AI159" i="113"/>
  <c r="P130" i="113"/>
  <c r="K181" i="113"/>
  <c r="AK175" i="113"/>
  <c r="AI101" i="64"/>
  <c r="AG184" i="113"/>
  <c r="AC198" i="113"/>
  <c r="F101" i="113"/>
  <c r="BD100" i="113"/>
  <c r="BD197" i="113"/>
  <c r="BD144" i="113"/>
  <c r="AS120" i="113"/>
  <c r="AJ79" i="64"/>
  <c r="AG119" i="113"/>
  <c r="P98" i="113"/>
  <c r="F136" i="113"/>
  <c r="AS112" i="113"/>
  <c r="AM147" i="113"/>
  <c r="P115" i="113"/>
  <c r="O72" i="64"/>
  <c r="AB118" i="113"/>
  <c r="J145" i="113"/>
  <c r="V141" i="113"/>
  <c r="T149" i="113"/>
  <c r="X62" i="64"/>
  <c r="L107" i="113"/>
  <c r="BX216" i="113"/>
  <c r="X131" i="113"/>
  <c r="BC90" i="64"/>
  <c r="AU166" i="113"/>
  <c r="S102" i="113"/>
  <c r="P92" i="64"/>
  <c r="AN143" i="113"/>
  <c r="BY190" i="113"/>
  <c r="BJ100" i="64"/>
  <c r="AP59" i="64"/>
  <c r="BT100" i="113"/>
  <c r="E33" i="64"/>
  <c r="H80" i="64"/>
  <c r="AF190" i="113"/>
  <c r="N155" i="113"/>
  <c r="BC79" i="64"/>
  <c r="AR150" i="113"/>
  <c r="AR12" i="113"/>
  <c r="G99" i="64"/>
  <c r="AM97" i="113"/>
  <c r="Y121" i="113"/>
  <c r="AR66" i="64"/>
  <c r="R133" i="113"/>
  <c r="BK72" i="64"/>
  <c r="AA139" i="113"/>
  <c r="P101" i="113"/>
  <c r="AE150" i="113"/>
  <c r="BS153" i="113"/>
  <c r="Y87" i="113"/>
  <c r="Z137" i="113"/>
  <c r="Y50" i="64"/>
  <c r="AG183" i="113"/>
  <c r="AV194" i="113"/>
  <c r="Z172" i="113"/>
  <c r="K105" i="113"/>
  <c r="BW174" i="113"/>
  <c r="AF83" i="64"/>
  <c r="AZ12" i="113"/>
  <c r="BW197" i="113"/>
  <c r="AR117" i="113"/>
  <c r="AK93" i="64"/>
  <c r="BK87" i="64"/>
  <c r="BC107" i="113"/>
  <c r="AM157" i="113"/>
  <c r="BS191" i="113"/>
  <c r="AZ167" i="113"/>
  <c r="W194" i="113"/>
  <c r="AB90" i="113"/>
  <c r="BU118" i="113"/>
  <c r="AB92" i="64"/>
  <c r="AJ58" i="64"/>
  <c r="BI58" i="64"/>
  <c r="I83" i="64"/>
  <c r="AK181" i="113"/>
  <c r="AA96" i="113"/>
  <c r="AT103" i="113"/>
  <c r="BB58" i="64"/>
  <c r="AB87" i="64"/>
  <c r="AW87" i="64"/>
  <c r="G130" i="113"/>
  <c r="AK167" i="113"/>
  <c r="AT174" i="113"/>
  <c r="BF47" i="64"/>
  <c r="Q110" i="113"/>
  <c r="AT95" i="113"/>
  <c r="AC77" i="64"/>
  <c r="N124" i="113"/>
  <c r="BF114" i="64"/>
  <c r="J224" i="113"/>
  <c r="AU177" i="113"/>
  <c r="F78" i="64"/>
  <c r="BW92" i="113"/>
  <c r="AU49" i="64"/>
  <c r="AB89" i="64"/>
  <c r="BU154" i="113"/>
  <c r="BU139" i="113"/>
  <c r="BU185" i="113"/>
  <c r="AS114" i="64"/>
  <c r="Y94" i="113"/>
  <c r="BY138" i="113"/>
  <c r="P103" i="113"/>
  <c r="BI78" i="64"/>
  <c r="H157" i="113"/>
  <c r="AE144" i="113"/>
  <c r="P105" i="113"/>
  <c r="T189" i="113"/>
  <c r="Q160" i="113"/>
  <c r="O109" i="113"/>
  <c r="BW170" i="113"/>
  <c r="BF53" i="64"/>
  <c r="AN224" i="113"/>
  <c r="AB103" i="113"/>
  <c r="E166" i="113"/>
  <c r="AN86" i="64"/>
  <c r="AO172" i="113"/>
  <c r="BY111" i="113"/>
  <c r="BX119" i="113"/>
  <c r="AB94" i="64"/>
  <c r="E14" i="64"/>
  <c r="AJ56" i="64"/>
  <c r="Y77" i="64"/>
  <c r="K185" i="113"/>
  <c r="X140" i="113"/>
  <c r="Z96" i="64"/>
  <c r="BB125" i="113"/>
  <c r="AF134" i="113"/>
  <c r="AF170" i="113"/>
  <c r="AB144" i="113"/>
  <c r="K172" i="113"/>
  <c r="E42" i="64"/>
  <c r="BS121" i="113"/>
  <c r="AS125" i="113"/>
  <c r="AR192" i="113"/>
  <c r="W195" i="113"/>
  <c r="R58" i="64"/>
  <c r="F157" i="113"/>
  <c r="BD121" i="113"/>
  <c r="AY78" i="64"/>
  <c r="L183" i="113"/>
  <c r="AM60" i="64"/>
  <c r="Y166" i="113"/>
  <c r="AV93" i="64"/>
  <c r="AG194" i="113"/>
  <c r="X135" i="113"/>
  <c r="AN88" i="64"/>
  <c r="BV194" i="113"/>
  <c r="BS175" i="113"/>
  <c r="Y90" i="113"/>
  <c r="AA188" i="113"/>
  <c r="AN127" i="113"/>
  <c r="Z173" i="113"/>
  <c r="AY140" i="113"/>
  <c r="Q99" i="64"/>
  <c r="AJ49" i="64"/>
  <c r="L12" i="113"/>
  <c r="I61" i="64"/>
  <c r="AS144" i="113"/>
  <c r="S176" i="113"/>
  <c r="L150" i="113"/>
  <c r="P191" i="113"/>
  <c r="AO135" i="113"/>
  <c r="BK98" i="64"/>
  <c r="AD93" i="113"/>
  <c r="AG174" i="113"/>
  <c r="H185" i="113"/>
  <c r="I93" i="64"/>
  <c r="AL126" i="113"/>
  <c r="AV180" i="113"/>
  <c r="AQ136" i="113"/>
  <c r="AM167" i="113"/>
  <c r="AL62" i="64"/>
  <c r="E50" i="64"/>
  <c r="AX130" i="113"/>
  <c r="BW167" i="113"/>
  <c r="H156" i="113"/>
  <c r="AU62" i="64"/>
  <c r="BD146" i="113"/>
  <c r="S170" i="113"/>
  <c r="AX138" i="113"/>
  <c r="M100" i="113"/>
  <c r="BW178" i="113"/>
  <c r="N50" i="64"/>
  <c r="AJ145" i="113"/>
  <c r="AW174" i="113"/>
  <c r="BV124" i="113"/>
  <c r="AP152" i="113"/>
  <c r="AO128" i="113"/>
  <c r="AQ100" i="113"/>
  <c r="K148" i="113"/>
  <c r="BX96" i="113"/>
  <c r="BA100" i="113"/>
  <c r="AB117" i="113"/>
  <c r="AT224" i="113"/>
  <c r="AJ98" i="64"/>
  <c r="L185" i="113"/>
  <c r="AW216" i="113"/>
  <c r="L94" i="64"/>
  <c r="AP72" i="64"/>
  <c r="AC164" i="113"/>
  <c r="AU154" i="113"/>
  <c r="J84" i="64"/>
  <c r="BW109" i="113"/>
  <c r="BJ101" i="64"/>
  <c r="AG93" i="64"/>
  <c r="G56" i="64"/>
  <c r="BK81" i="64"/>
  <c r="AR102" i="64"/>
  <c r="AO147" i="113"/>
  <c r="Z99" i="113"/>
  <c r="Z99" i="64"/>
  <c r="AZ60" i="64"/>
  <c r="L99" i="64"/>
  <c r="T87" i="113"/>
  <c r="AZ111" i="113"/>
  <c r="N134" i="113"/>
  <c r="U95" i="113"/>
  <c r="AX180" i="113"/>
  <c r="AW100" i="64"/>
  <c r="E104" i="113"/>
  <c r="AU89" i="113"/>
  <c r="W187" i="113"/>
  <c r="L75" i="64"/>
  <c r="J186" i="113"/>
  <c r="F149" i="113"/>
  <c r="AG135" i="113"/>
  <c r="AQ120" i="113"/>
  <c r="Y122" i="113"/>
  <c r="AT152" i="113"/>
  <c r="E182" i="113"/>
  <c r="AA132" i="113"/>
  <c r="BC88" i="64"/>
  <c r="R55" i="64"/>
  <c r="S91" i="64"/>
  <c r="BU111" i="113"/>
  <c r="Y131" i="113"/>
  <c r="BB224" i="113"/>
  <c r="BB117" i="113"/>
  <c r="AR125" i="113"/>
  <c r="BA115" i="113"/>
  <c r="T142" i="113"/>
  <c r="O63" i="64"/>
  <c r="BA160" i="113"/>
  <c r="Z158" i="113"/>
  <c r="AB86" i="64"/>
  <c r="V88" i="64"/>
  <c r="W190" i="113"/>
  <c r="J100" i="113"/>
  <c r="E147" i="113"/>
  <c r="G177" i="113"/>
  <c r="BJ93" i="64"/>
  <c r="AE119" i="113"/>
  <c r="AX129" i="113"/>
  <c r="W47" i="64"/>
  <c r="W129" i="113"/>
  <c r="BJ61" i="64"/>
  <c r="AR160" i="113"/>
  <c r="AO83" i="64"/>
  <c r="AH98" i="113"/>
  <c r="F154" i="113"/>
  <c r="BE62" i="64"/>
  <c r="AK90" i="113"/>
  <c r="AP176" i="113"/>
  <c r="V119" i="113"/>
  <c r="BU126" i="113"/>
  <c r="BY164" i="113"/>
  <c r="AN62" i="64"/>
  <c r="AL176" i="113"/>
  <c r="AS181" i="113"/>
  <c r="AJ124" i="113"/>
  <c r="M99" i="113"/>
  <c r="K11" i="113"/>
  <c r="BW123" i="113"/>
  <c r="AC193" i="113"/>
  <c r="U50" i="64"/>
  <c r="AP164" i="113"/>
  <c r="V101" i="64"/>
  <c r="AT216" i="113"/>
  <c r="BX173" i="113"/>
  <c r="L92" i="113"/>
  <c r="BC87" i="113"/>
  <c r="Y132" i="113"/>
  <c r="AW191" i="113"/>
  <c r="BS172" i="113"/>
  <c r="BD90" i="113"/>
  <c r="AZ57" i="64"/>
  <c r="H197" i="113"/>
  <c r="W158" i="113"/>
  <c r="BV134" i="113"/>
  <c r="AK174" i="113"/>
  <c r="X12" i="113"/>
  <c r="AJ86" i="64"/>
  <c r="U183" i="113"/>
  <c r="K118" i="113"/>
  <c r="AB179" i="113"/>
  <c r="Y12" i="113"/>
  <c r="AJ95" i="64"/>
  <c r="BY119" i="113"/>
  <c r="AN66" i="64"/>
  <c r="BS139" i="113"/>
  <c r="E134" i="113"/>
  <c r="AL175" i="113"/>
  <c r="Y194" i="113"/>
  <c r="V190" i="113"/>
  <c r="BW95" i="113"/>
  <c r="J136" i="113"/>
  <c r="AJ87" i="113"/>
  <c r="AT111" i="113"/>
  <c r="R56" i="64"/>
  <c r="AO132" i="113"/>
  <c r="AO94" i="113"/>
  <c r="AV86" i="64"/>
  <c r="AI94" i="113"/>
  <c r="AL157" i="113"/>
  <c r="V99" i="113"/>
  <c r="BG87" i="64"/>
  <c r="AZ184" i="113"/>
  <c r="BT108" i="113"/>
  <c r="AX137" i="113"/>
  <c r="H153" i="113"/>
  <c r="W81" i="64"/>
  <c r="AN101" i="113"/>
  <c r="AH185" i="113"/>
  <c r="BI87" i="64"/>
  <c r="P93" i="64"/>
  <c r="BX152" i="113"/>
  <c r="I138" i="113"/>
  <c r="E169" i="113"/>
  <c r="BW101" i="113"/>
  <c r="AT98" i="113"/>
  <c r="J184" i="113"/>
  <c r="I190" i="113"/>
  <c r="L126" i="113"/>
  <c r="AA148" i="113"/>
  <c r="U186" i="113"/>
  <c r="T197" i="113"/>
  <c r="AM139" i="113"/>
  <c r="AR120" i="113"/>
  <c r="E149" i="113"/>
  <c r="AT52" i="64"/>
  <c r="AY194" i="113"/>
  <c r="R95" i="64"/>
  <c r="AK143" i="113"/>
  <c r="AL87" i="64"/>
  <c r="AX81" i="64"/>
  <c r="V94" i="113"/>
  <c r="G218" i="113"/>
  <c r="AZ63" i="64"/>
  <c r="AS132" i="113"/>
  <c r="X11" i="64"/>
  <c r="AI51" i="64"/>
  <c r="U178" i="113"/>
  <c r="AU96" i="113"/>
  <c r="AE122" i="113"/>
  <c r="H97" i="113"/>
  <c r="AT198" i="113"/>
  <c r="H88" i="64"/>
  <c r="H89" i="64"/>
  <c r="AD101" i="64"/>
  <c r="BG64" i="64"/>
  <c r="BH92" i="64"/>
  <c r="BB102" i="64"/>
  <c r="AM224" i="113"/>
  <c r="BS88" i="113"/>
  <c r="AI173" i="113"/>
  <c r="E44" i="64"/>
  <c r="BY177" i="113"/>
  <c r="AD85" i="64"/>
  <c r="L66" i="64"/>
  <c r="BF63" i="64"/>
  <c r="BE14" i="64"/>
  <c r="AD81" i="64"/>
  <c r="AF132" i="113"/>
  <c r="BS140" i="113"/>
  <c r="S151" i="113"/>
  <c r="AD107" i="113"/>
  <c r="AE145" i="113"/>
  <c r="AA114" i="64"/>
  <c r="O132" i="113"/>
  <c r="H57" i="64"/>
  <c r="AF191" i="113"/>
  <c r="R96" i="64"/>
  <c r="AH174" i="113"/>
  <c r="O115" i="113"/>
  <c r="AG189" i="113"/>
  <c r="AL98" i="64"/>
  <c r="T194" i="113"/>
  <c r="M107" i="113"/>
  <c r="P173" i="113"/>
  <c r="K216" i="113"/>
  <c r="AN112" i="113"/>
  <c r="AO137" i="113"/>
  <c r="AD172" i="113"/>
  <c r="AV59" i="64"/>
  <c r="AF115" i="113"/>
  <c r="AW190" i="113"/>
  <c r="AA97" i="64"/>
  <c r="AI64" i="64"/>
  <c r="U114" i="113"/>
  <c r="AJ111" i="113"/>
  <c r="AJ106" i="113"/>
  <c r="W116" i="113"/>
  <c r="V91" i="64"/>
  <c r="BU164" i="113"/>
  <c r="AR80" i="64"/>
  <c r="I115" i="113"/>
  <c r="AM107" i="113"/>
  <c r="E109" i="113"/>
  <c r="X78" i="64"/>
  <c r="BV96" i="113"/>
  <c r="G93" i="64"/>
  <c r="AM143" i="113"/>
  <c r="Q100" i="113"/>
  <c r="AI177" i="113"/>
  <c r="N75" i="64"/>
  <c r="O87" i="64"/>
  <c r="AR87" i="64"/>
  <c r="F112" i="113"/>
  <c r="M104" i="113"/>
  <c r="K164" i="113"/>
  <c r="F60" i="64"/>
  <c r="BK79" i="64"/>
  <c r="AN139" i="113"/>
  <c r="F156" i="113"/>
  <c r="AS79" i="64"/>
  <c r="R127" i="113"/>
  <c r="AD195" i="113"/>
  <c r="Q117" i="113"/>
  <c r="BA87" i="64"/>
  <c r="AN48" i="64"/>
  <c r="BS197" i="113"/>
  <c r="AP148" i="113"/>
  <c r="N51" i="64"/>
  <c r="AS191" i="113"/>
  <c r="AI102" i="64"/>
  <c r="BC91" i="113"/>
  <c r="BT172" i="113"/>
  <c r="AW80" i="64"/>
  <c r="BC102" i="113"/>
  <c r="AD169" i="113"/>
  <c r="Z105" i="113"/>
  <c r="E163" i="113"/>
  <c r="G184" i="113"/>
  <c r="M187" i="113"/>
  <c r="R14" i="64"/>
  <c r="R64" i="64"/>
  <c r="AO153" i="113"/>
  <c r="AU188" i="113"/>
  <c r="AC94" i="64"/>
  <c r="AC120" i="113"/>
  <c r="U11" i="64"/>
  <c r="AO84" i="64"/>
  <c r="S87" i="113"/>
  <c r="AA62" i="64"/>
  <c r="AR128" i="113"/>
  <c r="G227" i="113"/>
  <c r="T156" i="113"/>
  <c r="BT87" i="113"/>
  <c r="P88" i="64"/>
  <c r="AW130" i="113"/>
  <c r="AB93" i="113"/>
  <c r="G89" i="64"/>
  <c r="H186" i="113"/>
  <c r="I161" i="113"/>
  <c r="BD129" i="113"/>
  <c r="BX167" i="113"/>
  <c r="Z48" i="64"/>
  <c r="BT170" i="113"/>
  <c r="R116" i="113"/>
  <c r="AL169" i="113"/>
  <c r="BK99" i="64"/>
  <c r="BW149" i="113"/>
  <c r="I182" i="113"/>
  <c r="AU77" i="64"/>
  <c r="AY125" i="113"/>
  <c r="AN61" i="64"/>
  <c r="X159" i="113"/>
  <c r="E30" i="64"/>
  <c r="W198" i="113"/>
  <c r="AR89" i="64"/>
  <c r="BU130" i="113"/>
  <c r="AD65" i="64"/>
  <c r="O178" i="113"/>
  <c r="AG52" i="64"/>
  <c r="BA126" i="113"/>
  <c r="O141" i="113"/>
  <c r="V92" i="113"/>
  <c r="AL96" i="64"/>
  <c r="BF98" i="64"/>
  <c r="S161" i="113"/>
  <c r="BY143" i="113"/>
  <c r="Y60" i="64"/>
  <c r="W60" i="64"/>
  <c r="AQ133" i="113"/>
  <c r="AU182" i="113"/>
  <c r="Z134" i="113"/>
  <c r="E64" i="64"/>
  <c r="X114" i="64"/>
  <c r="BA84" i="64"/>
  <c r="AC190" i="113"/>
  <c r="AN100" i="64"/>
  <c r="AD189" i="113"/>
  <c r="J123" i="113"/>
  <c r="V95" i="64"/>
  <c r="AE55" i="64"/>
  <c r="BB114" i="113"/>
  <c r="L79" i="64"/>
  <c r="S177" i="113"/>
  <c r="BT184" i="113"/>
  <c r="AK196" i="113"/>
  <c r="AZ55" i="64"/>
  <c r="AX102" i="64"/>
  <c r="BJ97" i="64"/>
  <c r="V62" i="64"/>
  <c r="BF88" i="64"/>
  <c r="BA224" i="113"/>
  <c r="AE111" i="113"/>
  <c r="AR115" i="113"/>
  <c r="AQ88" i="113"/>
  <c r="AL155" i="113"/>
  <c r="AI174" i="113"/>
  <c r="U197" i="113"/>
  <c r="G169" i="113"/>
  <c r="BE79" i="64"/>
  <c r="Q142" i="113"/>
  <c r="AX56" i="64"/>
  <c r="F139" i="113"/>
  <c r="AB174" i="113"/>
  <c r="AX75" i="64"/>
  <c r="AL100" i="113"/>
  <c r="E71" i="64"/>
  <c r="H95" i="64"/>
  <c r="J11" i="113"/>
  <c r="R87" i="64"/>
  <c r="M157" i="113"/>
  <c r="BA152" i="113"/>
  <c r="BJ96" i="64"/>
  <c r="AW180" i="113"/>
  <c r="T224" i="113"/>
  <c r="J116" i="113"/>
  <c r="F37" i="64"/>
  <c r="S93" i="113"/>
  <c r="AG133" i="113"/>
  <c r="AH114" i="64"/>
  <c r="K170" i="113"/>
  <c r="V171" i="113"/>
  <c r="AT121" i="113"/>
  <c r="J88" i="64"/>
  <c r="BV138" i="113"/>
  <c r="V182" i="113"/>
  <c r="R124" i="113"/>
  <c r="I105" i="113"/>
  <c r="AB152" i="113"/>
  <c r="J60" i="64"/>
  <c r="BV186" i="113"/>
  <c r="AZ87" i="113"/>
  <c r="R120" i="113"/>
  <c r="I134" i="113"/>
  <c r="P56" i="64"/>
  <c r="AG90" i="64"/>
  <c r="AV94" i="113"/>
  <c r="AV152" i="113"/>
  <c r="W154" i="113"/>
  <c r="BB93" i="64"/>
  <c r="AU133" i="113"/>
  <c r="AQ173" i="113"/>
  <c r="AD165" i="113"/>
  <c r="AX177" i="113"/>
  <c r="AO142" i="113"/>
  <c r="T119" i="113"/>
  <c r="AK114" i="113"/>
  <c r="BJ89" i="64"/>
  <c r="V82" i="64"/>
  <c r="L129" i="113"/>
  <c r="AT84" i="64"/>
  <c r="BS109" i="113"/>
  <c r="R151" i="113"/>
  <c r="BY135" i="113"/>
  <c r="AI163" i="113"/>
  <c r="AM150" i="113"/>
  <c r="BA139" i="113"/>
  <c r="F143" i="113"/>
  <c r="AZ125" i="113"/>
  <c r="AE167" i="113"/>
  <c r="BT162" i="113"/>
  <c r="N154" i="113"/>
  <c r="M125" i="113"/>
  <c r="BJ81" i="64"/>
  <c r="R112" i="113"/>
  <c r="AC75" i="64"/>
  <c r="AG166" i="113"/>
  <c r="AP93" i="64"/>
  <c r="AJ89" i="113"/>
  <c r="AY192" i="113"/>
  <c r="AF197" i="113"/>
  <c r="AH193" i="113"/>
  <c r="BW98" i="113"/>
  <c r="BC96" i="64"/>
  <c r="J96" i="113"/>
  <c r="Q188" i="113"/>
  <c r="AF117" i="113"/>
  <c r="Q118" i="113"/>
  <c r="AH169" i="113"/>
  <c r="AO102" i="113"/>
  <c r="AJ94" i="113"/>
  <c r="AV88" i="113"/>
  <c r="AV192" i="113"/>
  <c r="Y99" i="64"/>
  <c r="T171" i="113"/>
  <c r="AP172" i="113"/>
  <c r="AG100" i="113"/>
  <c r="AS93" i="113"/>
  <c r="M160" i="113"/>
  <c r="AP183" i="113"/>
  <c r="AF161" i="113"/>
  <c r="BT138" i="113"/>
  <c r="N83" i="64"/>
  <c r="AC103" i="113"/>
  <c r="X77" i="64"/>
  <c r="AS166" i="113"/>
  <c r="P174" i="113"/>
  <c r="BG77" i="64"/>
  <c r="I60" i="64"/>
  <c r="H171" i="113"/>
  <c r="AN164" i="113"/>
  <c r="K137" i="113"/>
  <c r="AJ87" i="64"/>
  <c r="Z72" i="64"/>
  <c r="AU137" i="113"/>
  <c r="K145" i="113"/>
  <c r="AN179" i="113"/>
  <c r="Q192" i="113"/>
  <c r="Z56" i="64"/>
  <c r="E128" i="113"/>
  <c r="AA143" i="113"/>
  <c r="BW118" i="113"/>
  <c r="AD62" i="64"/>
  <c r="AQ91" i="64"/>
  <c r="BD105" i="113"/>
  <c r="L101" i="64"/>
  <c r="BV173" i="113"/>
  <c r="AJ177" i="113"/>
  <c r="BA106" i="113"/>
  <c r="V188" i="113"/>
  <c r="AG121" i="113"/>
  <c r="BB101" i="64"/>
  <c r="N25" i="64"/>
  <c r="BC148" i="113"/>
  <c r="S117" i="113"/>
  <c r="X153" i="113"/>
  <c r="AJ80" i="64"/>
  <c r="R97" i="113"/>
  <c r="AA169" i="113"/>
  <c r="AS174" i="113"/>
  <c r="E99" i="113"/>
  <c r="X91" i="64"/>
  <c r="U88" i="113"/>
  <c r="L153" i="113"/>
  <c r="V180" i="113"/>
  <c r="AC105" i="113"/>
  <c r="O188" i="113"/>
  <c r="R113" i="113"/>
  <c r="AP162" i="113"/>
  <c r="E87" i="113"/>
  <c r="U91" i="64"/>
  <c r="H51" i="64"/>
  <c r="AA185" i="113"/>
  <c r="O172" i="113"/>
  <c r="Z119" i="113"/>
  <c r="AN122" i="113"/>
  <c r="R98" i="64"/>
  <c r="X92" i="113"/>
  <c r="T163" i="113"/>
  <c r="I11" i="113"/>
  <c r="AP106" i="113"/>
  <c r="BD112" i="113"/>
  <c r="V133" i="113"/>
  <c r="AP168" i="113"/>
  <c r="Y187" i="113"/>
  <c r="F94" i="113"/>
  <c r="E167" i="113"/>
  <c r="AK79" i="64"/>
  <c r="Z93" i="113"/>
  <c r="Z61" i="64"/>
  <c r="R182" i="113"/>
  <c r="H79" i="64"/>
  <c r="BJ49" i="64"/>
  <c r="AF126" i="113"/>
  <c r="BU100" i="113"/>
  <c r="AP179" i="113"/>
  <c r="BS145" i="113"/>
  <c r="S141" i="113"/>
  <c r="BG94" i="64"/>
  <c r="Z122" i="113"/>
  <c r="AO184" i="113"/>
  <c r="AX99" i="113"/>
  <c r="N85" i="64"/>
  <c r="T216" i="113"/>
  <c r="AA87" i="113"/>
  <c r="AK170" i="113"/>
  <c r="AJ176" i="113"/>
  <c r="T16" i="64"/>
  <c r="F153" i="113"/>
  <c r="E57" i="64"/>
  <c r="U164" i="113"/>
  <c r="BU198" i="113"/>
  <c r="AQ224" i="113"/>
  <c r="R191" i="113"/>
  <c r="X122" i="113"/>
  <c r="M109" i="113"/>
  <c r="BA49" i="64"/>
  <c r="AT160" i="113"/>
  <c r="J183" i="113"/>
  <c r="W99" i="113"/>
  <c r="AZ53" i="64"/>
  <c r="AD86" i="64"/>
  <c r="S150" i="113"/>
  <c r="AG182" i="113"/>
  <c r="AX149" i="113"/>
  <c r="AX224" i="113"/>
  <c r="N167" i="113"/>
  <c r="BD147" i="113"/>
  <c r="BY194" i="113"/>
  <c r="BA111" i="113"/>
  <c r="F67" i="64"/>
  <c r="V196" i="113"/>
  <c r="AV66" i="64"/>
  <c r="BW139" i="113"/>
  <c r="K49" i="64"/>
  <c r="BU195" i="113"/>
  <c r="T124" i="113"/>
  <c r="BW12" i="113"/>
  <c r="AH89" i="64"/>
  <c r="BF84" i="64"/>
  <c r="X186" i="113"/>
  <c r="BY133" i="113"/>
  <c r="BB168" i="113"/>
  <c r="AR83" i="64"/>
  <c r="AR154" i="113"/>
  <c r="AD176" i="113"/>
  <c r="J139" i="113"/>
  <c r="AS113" i="113"/>
  <c r="AQ86" i="64"/>
  <c r="N130" i="113"/>
  <c r="BD132" i="113"/>
  <c r="AE126" i="113"/>
  <c r="BT106" i="113"/>
  <c r="Z103" i="113"/>
  <c r="AR140" i="113"/>
  <c r="S143" i="113"/>
  <c r="BB99" i="64"/>
  <c r="N153" i="113"/>
  <c r="O190" i="113"/>
  <c r="AP129" i="113"/>
  <c r="BI90" i="64"/>
  <c r="W114" i="64"/>
  <c r="F31" i="64"/>
  <c r="Q193" i="113"/>
  <c r="Z57" i="64"/>
  <c r="BC153" i="113"/>
  <c r="U103" i="113"/>
  <c r="BC186" i="113"/>
  <c r="BD157" i="113"/>
  <c r="AX178" i="113"/>
  <c r="AZ122" i="113"/>
  <c r="AQ216" i="113"/>
  <c r="AU122" i="113"/>
  <c r="AN196" i="113"/>
  <c r="BE58" i="64"/>
  <c r="N169" i="113"/>
  <c r="AQ175" i="113"/>
  <c r="BH84" i="64"/>
  <c r="AI75" i="64"/>
  <c r="AT149" i="113"/>
  <c r="I101" i="113"/>
  <c r="AM159" i="113"/>
  <c r="AK57" i="64"/>
  <c r="F33" i="64"/>
  <c r="BT124" i="113"/>
  <c r="AH142" i="113"/>
  <c r="S97" i="64"/>
  <c r="AY121" i="113"/>
  <c r="AT153" i="113"/>
  <c r="AA113" i="113"/>
  <c r="AI160" i="113"/>
  <c r="AZ51" i="64"/>
  <c r="BA165" i="113"/>
  <c r="Y172" i="113"/>
  <c r="N12" i="64"/>
  <c r="U92" i="64"/>
  <c r="N26" i="64"/>
  <c r="AY145" i="113"/>
  <c r="BS160" i="113"/>
  <c r="AW155" i="113"/>
  <c r="L109" i="113"/>
  <c r="BE65" i="64"/>
  <c r="AN123" i="113"/>
  <c r="AC189" i="113"/>
  <c r="BG101" i="64"/>
  <c r="AQ116" i="113"/>
  <c r="AX171" i="113"/>
  <c r="AN147" i="113"/>
  <c r="F20" i="64"/>
  <c r="AQ83" i="64"/>
  <c r="M51" i="64"/>
  <c r="AX185" i="113"/>
  <c r="BF82" i="64"/>
  <c r="AU150" i="113"/>
  <c r="BC152" i="113"/>
  <c r="AE133" i="113"/>
  <c r="Y141" i="113"/>
  <c r="AO171" i="113"/>
  <c r="N13" i="64"/>
  <c r="M163" i="113"/>
  <c r="AK88" i="64"/>
  <c r="AP107" i="113"/>
  <c r="U94" i="113"/>
  <c r="Q136" i="113"/>
  <c r="AF127" i="113"/>
  <c r="Q83" i="64"/>
  <c r="AX96" i="113"/>
  <c r="BC96" i="113"/>
  <c r="S125" i="113"/>
  <c r="BV94" i="113"/>
  <c r="AS161" i="113"/>
  <c r="K95" i="113"/>
  <c r="G90" i="64"/>
  <c r="J169" i="113"/>
  <c r="T94" i="64"/>
  <c r="BJ52" i="64"/>
  <c r="V154" i="113"/>
  <c r="BY149" i="113"/>
  <c r="O124" i="113"/>
  <c r="AP94" i="113"/>
  <c r="X64" i="64"/>
  <c r="AH216" i="113"/>
  <c r="BA101" i="113"/>
  <c r="Q99" i="113"/>
  <c r="AG153" i="113"/>
  <c r="W97" i="64"/>
  <c r="X178" i="113"/>
  <c r="BH64" i="64"/>
  <c r="AR172" i="113"/>
  <c r="F221" i="113"/>
  <c r="AR85" i="64"/>
  <c r="AH194" i="113"/>
  <c r="AV106" i="113"/>
  <c r="N80" i="64"/>
  <c r="BB156" i="113"/>
  <c r="G117" i="113"/>
  <c r="BW107" i="113"/>
  <c r="AG178" i="113"/>
  <c r="AU114" i="64"/>
  <c r="AV85" i="64"/>
  <c r="AO57" i="64"/>
  <c r="AP157" i="113"/>
  <c r="AU91" i="64"/>
  <c r="U107" i="113"/>
  <c r="AJ75" i="64"/>
  <c r="BD137" i="113"/>
  <c r="T103" i="113"/>
  <c r="AJ93" i="64"/>
  <c r="H106" i="113"/>
  <c r="P62" i="64"/>
  <c r="H194" i="113"/>
  <c r="V49" i="64"/>
  <c r="AS188" i="113"/>
  <c r="L90" i="64"/>
  <c r="AG137" i="113"/>
  <c r="BJ95" i="64"/>
  <c r="Q169" i="113"/>
  <c r="Y181" i="113"/>
  <c r="AT155" i="113"/>
  <c r="AK106" i="113"/>
  <c r="BE50" i="64"/>
  <c r="BJ75" i="64"/>
  <c r="AL192" i="113"/>
  <c r="AR81" i="64"/>
  <c r="AD12" i="113"/>
  <c r="AA124" i="113"/>
  <c r="AV89" i="64"/>
  <c r="AU113" i="113"/>
  <c r="Z171" i="113"/>
  <c r="G212" i="113"/>
  <c r="J125" i="113"/>
  <c r="V178" i="113"/>
  <c r="AC195" i="113"/>
  <c r="AH141" i="113"/>
  <c r="AB11" i="113"/>
  <c r="U135" i="113"/>
  <c r="F159" i="113"/>
  <c r="T47" i="64"/>
  <c r="G148" i="113"/>
  <c r="AM113" i="113"/>
  <c r="AA224" i="113"/>
  <c r="AL89" i="64"/>
  <c r="G131" i="113"/>
  <c r="AE7" i="113"/>
  <c r="G87" i="64"/>
  <c r="X113" i="113"/>
  <c r="E173" i="113"/>
  <c r="AM102" i="113"/>
  <c r="Z115" i="113"/>
  <c r="AT48" i="64"/>
  <c r="T102" i="64"/>
  <c r="BS117" i="113"/>
  <c r="BE100" i="64"/>
  <c r="AT89" i="113"/>
  <c r="AG11" i="64"/>
  <c r="G95" i="113"/>
  <c r="I99" i="113"/>
  <c r="AW84" i="64"/>
  <c r="AR94" i="113"/>
  <c r="AT65" i="64"/>
  <c r="AD129" i="113"/>
  <c r="AK110" i="113"/>
  <c r="AO111" i="113"/>
  <c r="I133" i="113"/>
  <c r="AT64" i="64"/>
  <c r="AB178" i="113"/>
  <c r="BC81" i="64"/>
  <c r="AQ198" i="113"/>
  <c r="AB100" i="113"/>
  <c r="V93" i="64"/>
  <c r="AE190" i="113"/>
  <c r="AN186" i="113"/>
  <c r="K124" i="113"/>
  <c r="AW51" i="64"/>
  <c r="BY101" i="113"/>
  <c r="R109" i="113"/>
  <c r="AJ178" i="113"/>
  <c r="AQ145" i="113"/>
  <c r="AF140" i="113"/>
  <c r="G64" i="64"/>
  <c r="Y103" i="113"/>
  <c r="BW156" i="113"/>
  <c r="AN114" i="113"/>
  <c r="AV7" i="113"/>
  <c r="Y176" i="113"/>
  <c r="K184" i="113"/>
  <c r="AY83" i="64"/>
  <c r="X165" i="113"/>
  <c r="AZ172" i="113"/>
  <c r="AZ185" i="113"/>
  <c r="G72" i="64"/>
  <c r="BC97" i="64"/>
  <c r="AC137" i="113"/>
  <c r="P179" i="113"/>
  <c r="AW169" i="113"/>
  <c r="W147" i="113"/>
  <c r="F25" i="64"/>
  <c r="E132" i="113"/>
  <c r="E66" i="64"/>
  <c r="Z198" i="113"/>
  <c r="AB94" i="113"/>
  <c r="AP174" i="113"/>
  <c r="BI83" i="64"/>
  <c r="V97" i="64"/>
  <c r="AF63" i="64"/>
  <c r="T110" i="113"/>
  <c r="BB57" i="64"/>
  <c r="AW88" i="113"/>
  <c r="M57" i="64"/>
  <c r="Z193" i="113"/>
  <c r="AB194" i="113"/>
  <c r="AK180" i="113"/>
  <c r="M122" i="113"/>
  <c r="P91" i="113"/>
  <c r="AQ152" i="113"/>
  <c r="BB124" i="113"/>
  <c r="G192" i="113"/>
  <c r="F182" i="113"/>
  <c r="W179" i="113"/>
  <c r="AW95" i="113"/>
  <c r="AX109" i="113"/>
  <c r="AB95" i="64"/>
  <c r="I128" i="113"/>
  <c r="U126" i="113"/>
  <c r="AG72" i="64"/>
  <c r="O82" i="64"/>
  <c r="AJ78" i="64"/>
  <c r="T11" i="64"/>
  <c r="AP124" i="113"/>
  <c r="AL99" i="113"/>
  <c r="AL81" i="64"/>
  <c r="BE101" i="64"/>
  <c r="BH91" i="64"/>
  <c r="AH93" i="64"/>
  <c r="J78" i="64"/>
  <c r="P149" i="113"/>
  <c r="BV140" i="113"/>
  <c r="AM117" i="113"/>
  <c r="BI59" i="64"/>
  <c r="AZ176" i="113"/>
  <c r="AD109" i="113"/>
  <c r="AY184" i="113"/>
  <c r="AS176" i="113"/>
  <c r="AW111" i="113"/>
  <c r="AH127" i="113"/>
  <c r="T182" i="113"/>
  <c r="P180" i="113"/>
  <c r="AM179" i="113"/>
  <c r="AZ161" i="113"/>
  <c r="F167" i="113"/>
  <c r="BC50" i="64"/>
  <c r="AA55" i="64"/>
  <c r="Q78" i="64"/>
  <c r="BV11" i="113"/>
  <c r="AM173" i="113"/>
  <c r="S55" i="64"/>
  <c r="BD107" i="113"/>
  <c r="BS154" i="113"/>
  <c r="U142" i="113"/>
  <c r="K64" i="64"/>
  <c r="AF91" i="64"/>
  <c r="J196" i="113"/>
  <c r="BT171" i="113"/>
  <c r="I164" i="113"/>
  <c r="AP99" i="113"/>
  <c r="X81" i="64"/>
  <c r="AU189" i="113"/>
  <c r="BY141" i="113"/>
  <c r="L152" i="113"/>
  <c r="BB198" i="113"/>
  <c r="F84" i="64"/>
  <c r="AF154" i="113"/>
  <c r="AX196" i="113"/>
  <c r="AC187" i="113"/>
  <c r="H148" i="113"/>
  <c r="AV177" i="113"/>
  <c r="V48" i="64"/>
  <c r="X158" i="113"/>
  <c r="V115" i="113"/>
  <c r="F120" i="113"/>
  <c r="AG49" i="64"/>
  <c r="BD110" i="113"/>
  <c r="F85" i="64"/>
  <c r="X167" i="113"/>
  <c r="AP87" i="113"/>
  <c r="Y182" i="113"/>
  <c r="AA88" i="64"/>
  <c r="O120" i="113"/>
  <c r="AS172" i="113"/>
  <c r="AK132" i="113"/>
  <c r="AL139" i="113"/>
  <c r="AZ138" i="113"/>
  <c r="G112" i="113"/>
  <c r="AI151" i="113"/>
  <c r="AP195" i="113"/>
  <c r="BA88" i="113"/>
  <c r="H191" i="113"/>
  <c r="AZ129" i="113"/>
  <c r="BD192" i="113"/>
  <c r="H131" i="113"/>
  <c r="AX77" i="64"/>
  <c r="AK101" i="113"/>
  <c r="BF80" i="64"/>
  <c r="AL196" i="113"/>
  <c r="AB123" i="113"/>
  <c r="L87" i="64"/>
  <c r="F135" i="113"/>
  <c r="AE90" i="64"/>
  <c r="AV135" i="113"/>
  <c r="Y113" i="113"/>
  <c r="H158" i="113"/>
  <c r="M164" i="113"/>
  <c r="BV125" i="113"/>
  <c r="BV146" i="113"/>
  <c r="AX216" i="113"/>
  <c r="AZ197" i="113"/>
  <c r="AM189" i="113"/>
  <c r="BV116" i="113"/>
  <c r="BE16" i="64"/>
  <c r="AR155" i="113"/>
  <c r="Y159" i="113"/>
  <c r="AP110" i="113"/>
  <c r="AV90" i="64"/>
  <c r="AF81" i="64"/>
  <c r="AO65" i="64"/>
  <c r="BB94" i="64"/>
  <c r="AH151" i="113"/>
  <c r="Q120" i="113"/>
  <c r="BE90" i="64"/>
  <c r="T131" i="113"/>
  <c r="BY140" i="113"/>
  <c r="AO146" i="113"/>
  <c r="AX103" i="113"/>
  <c r="AU55" i="64"/>
  <c r="AD88" i="64"/>
  <c r="Z179" i="113"/>
  <c r="W143" i="113"/>
  <c r="AW91" i="113"/>
  <c r="AA92" i="64"/>
  <c r="AD185" i="113"/>
  <c r="AN94" i="64"/>
  <c r="AR119" i="113"/>
  <c r="F218" i="113"/>
  <c r="AU84" i="64"/>
  <c r="E223" i="113"/>
  <c r="S87" i="64"/>
  <c r="L11" i="113"/>
  <c r="P11" i="113"/>
  <c r="S75" i="64"/>
  <c r="G174" i="113"/>
  <c r="AG165" i="113"/>
  <c r="S198" i="113"/>
  <c r="AQ154" i="113"/>
  <c r="J113" i="113"/>
  <c r="BV137" i="113"/>
  <c r="BD176" i="113"/>
  <c r="G127" i="113"/>
  <c r="P65" i="64"/>
  <c r="M95" i="113"/>
  <c r="AB175" i="113"/>
  <c r="AP130" i="113"/>
  <c r="R138" i="113"/>
  <c r="AK116" i="113"/>
  <c r="P185" i="113"/>
  <c r="S82" i="64"/>
  <c r="BD123" i="113"/>
  <c r="AZ81" i="64"/>
  <c r="AG161" i="113"/>
  <c r="BV145" i="113"/>
  <c r="P60" i="64"/>
  <c r="AD149" i="113"/>
  <c r="AC173" i="113"/>
  <c r="Q11" i="113"/>
  <c r="AF95" i="64"/>
  <c r="AS148" i="113"/>
  <c r="P82" i="64"/>
  <c r="M197" i="113"/>
  <c r="AO158" i="113"/>
  <c r="AV158" i="113"/>
  <c r="AZ196" i="113"/>
  <c r="BT93" i="113"/>
  <c r="AV164" i="113"/>
  <c r="AN12" i="113"/>
  <c r="BW164" i="113"/>
  <c r="AZ168" i="113"/>
  <c r="AF52" i="64"/>
  <c r="AZ78" i="64"/>
  <c r="AU140" i="113"/>
  <c r="T191" i="113"/>
  <c r="Z138" i="113"/>
  <c r="BC149" i="113"/>
  <c r="F102" i="64"/>
  <c r="BU119" i="113"/>
  <c r="BG98" i="64"/>
  <c r="BC194" i="113"/>
  <c r="AD164" i="113"/>
  <c r="S64" i="64"/>
  <c r="AB56" i="64"/>
  <c r="BW127" i="113"/>
  <c r="Z49" i="64"/>
  <c r="AB72" i="64"/>
  <c r="Z126" i="113"/>
  <c r="BV107" i="113"/>
  <c r="AT109" i="113"/>
  <c r="AG197" i="113"/>
  <c r="BE72" i="64"/>
  <c r="AC118" i="113"/>
  <c r="M127" i="113"/>
  <c r="J135" i="113"/>
  <c r="AQ168" i="113"/>
  <c r="AZ195" i="113"/>
  <c r="AN95" i="64"/>
  <c r="BB176" i="113"/>
  <c r="AI116" i="113"/>
  <c r="AI89" i="64"/>
  <c r="R216" i="113"/>
  <c r="AY123" i="113"/>
  <c r="BC48" i="64"/>
  <c r="BA96" i="113"/>
  <c r="AN153" i="113"/>
  <c r="I63" i="64"/>
  <c r="X191" i="113"/>
  <c r="X51" i="64"/>
  <c r="Y97" i="113"/>
  <c r="E114" i="113"/>
  <c r="AV78" i="64"/>
  <c r="L106" i="113"/>
  <c r="BH61" i="64"/>
  <c r="E94" i="64"/>
  <c r="O150" i="113"/>
  <c r="BU140" i="113"/>
  <c r="R12" i="64"/>
  <c r="AJ153" i="113"/>
  <c r="P127" i="113"/>
  <c r="E53" i="64"/>
  <c r="V169" i="113"/>
  <c r="AC117" i="113"/>
  <c r="AM103" i="113"/>
  <c r="BG57" i="64"/>
  <c r="BA197" i="113"/>
  <c r="AQ196" i="113"/>
  <c r="AQ84" i="64"/>
  <c r="H128" i="113"/>
  <c r="BY154" i="113"/>
  <c r="S96" i="64"/>
  <c r="BA53" i="64"/>
  <c r="BX150" i="113"/>
  <c r="G96" i="64"/>
  <c r="F129" i="113"/>
  <c r="AT161" i="113"/>
  <c r="AC129" i="113"/>
  <c r="BB59" i="64"/>
  <c r="AT101" i="113"/>
  <c r="BA188" i="113"/>
  <c r="AK89" i="64"/>
  <c r="M175" i="113"/>
  <c r="M94" i="64"/>
  <c r="AG114" i="113"/>
  <c r="V144" i="113"/>
  <c r="AS88" i="113"/>
  <c r="S197" i="113"/>
  <c r="I102" i="113"/>
  <c r="AU65" i="64"/>
  <c r="AK104" i="113"/>
  <c r="AJ173" i="113"/>
  <c r="P13" i="64"/>
  <c r="AJ147" i="113"/>
  <c r="AT176" i="113"/>
  <c r="AX124" i="113"/>
  <c r="AK131" i="113"/>
  <c r="AJ82" i="64"/>
  <c r="AB177" i="113"/>
  <c r="BA150" i="113"/>
  <c r="BX140" i="113"/>
  <c r="BI100" i="64"/>
  <c r="S60" i="64"/>
  <c r="O140" i="113"/>
  <c r="L146" i="113"/>
  <c r="AL79" i="64"/>
  <c r="F193" i="113"/>
  <c r="H116" i="113"/>
  <c r="BU177" i="113"/>
  <c r="AL89" i="113"/>
  <c r="AH94" i="113"/>
  <c r="AY48" i="64"/>
  <c r="AT108" i="113"/>
  <c r="F132" i="113"/>
  <c r="AO149" i="113"/>
  <c r="AV128" i="113"/>
  <c r="BA104" i="113"/>
  <c r="AD128" i="113"/>
  <c r="AB139" i="113"/>
  <c r="S135" i="113"/>
  <c r="G158" i="113"/>
  <c r="AI100" i="64"/>
  <c r="AH91" i="113"/>
  <c r="AR96" i="64"/>
  <c r="P178" i="113"/>
  <c r="W184" i="113"/>
  <c r="Q216" i="113"/>
  <c r="AD114" i="113"/>
  <c r="AX181" i="113"/>
  <c r="BC145" i="113"/>
  <c r="Q107" i="113"/>
  <c r="BE83" i="64"/>
  <c r="F125" i="113"/>
  <c r="AM198" i="113"/>
  <c r="BC193" i="113"/>
  <c r="BB188" i="113"/>
  <c r="AT154" i="113"/>
  <c r="BK92" i="64"/>
  <c r="BW99" i="113"/>
  <c r="V90" i="64"/>
  <c r="BX170" i="113"/>
  <c r="AB57" i="64"/>
  <c r="AW176" i="113"/>
  <c r="F71" i="64"/>
  <c r="E227" i="113"/>
  <c r="AW65" i="64"/>
  <c r="BW140" i="113"/>
  <c r="AZ165" i="113"/>
  <c r="AV83" i="64"/>
  <c r="BT140" i="113"/>
  <c r="AS142" i="113"/>
  <c r="N93" i="64"/>
  <c r="AG105" i="113"/>
  <c r="AO224" i="113"/>
  <c r="AA145" i="113"/>
  <c r="AI79" i="64"/>
  <c r="AB183" i="113"/>
  <c r="Q162" i="113"/>
  <c r="W102" i="113"/>
  <c r="K62" i="64"/>
  <c r="AR185" i="113"/>
  <c r="K81" i="64"/>
  <c r="BH82" i="64"/>
  <c r="AB166" i="113"/>
  <c r="BA50" i="64"/>
  <c r="G79" i="64"/>
  <c r="AX118" i="113"/>
  <c r="BC133" i="113"/>
  <c r="AO119" i="113"/>
  <c r="AS189" i="113"/>
  <c r="BC123" i="113"/>
  <c r="AZ99" i="64"/>
  <c r="AM114" i="113"/>
  <c r="AG75" i="64"/>
  <c r="BA216" i="113"/>
  <c r="AO50" i="64"/>
  <c r="AY87" i="113"/>
  <c r="V99" i="64"/>
  <c r="J154" i="113"/>
  <c r="BY91" i="113"/>
  <c r="G92" i="113"/>
  <c r="BS187" i="113"/>
  <c r="BW181" i="113"/>
  <c r="AG114" i="64"/>
  <c r="BB77" i="64"/>
  <c r="W151" i="113"/>
  <c r="J111" i="113"/>
  <c r="BJ63" i="64"/>
  <c r="AF118" i="113"/>
  <c r="AJ114" i="64"/>
  <c r="R169" i="113"/>
  <c r="BB91" i="64"/>
  <c r="AO193" i="113"/>
  <c r="I125" i="113"/>
  <c r="U47" i="64"/>
  <c r="T146" i="113"/>
  <c r="U49" i="64"/>
  <c r="J163" i="113"/>
  <c r="AX91" i="113"/>
  <c r="E217" i="113"/>
  <c r="S175" i="113"/>
  <c r="BU181" i="113"/>
  <c r="AE85" i="64"/>
  <c r="AC114" i="113"/>
  <c r="F87" i="113"/>
  <c r="AV80" i="64"/>
  <c r="U90" i="64"/>
  <c r="AJ95" i="113"/>
  <c r="X138" i="113"/>
  <c r="AD100" i="113"/>
  <c r="AG89" i="64"/>
  <c r="AQ65" i="64"/>
  <c r="AU185" i="113"/>
  <c r="M111" i="113"/>
  <c r="BY89" i="113"/>
  <c r="AO86" i="64"/>
  <c r="Q130" i="113"/>
  <c r="AE63" i="64"/>
  <c r="AX175" i="113"/>
  <c r="AM141" i="113"/>
  <c r="AJ50" i="64"/>
  <c r="AO96" i="64"/>
  <c r="BW96" i="113"/>
  <c r="AK187" i="113"/>
  <c r="H49" i="64"/>
  <c r="H112" i="113"/>
  <c r="AR89" i="113"/>
  <c r="AL122" i="113"/>
  <c r="BV164" i="113"/>
  <c r="U62" i="64"/>
  <c r="N81" i="64"/>
  <c r="BE95" i="64"/>
  <c r="R134" i="113"/>
  <c r="AD72" i="64"/>
  <c r="O108" i="113"/>
  <c r="BE47" i="64"/>
  <c r="Q25" i="64"/>
  <c r="AX98" i="64"/>
  <c r="S136" i="113"/>
  <c r="O114" i="113"/>
  <c r="AU102" i="64"/>
  <c r="BT167" i="113"/>
  <c r="P90" i="64"/>
  <c r="Y152" i="113"/>
  <c r="BC196" i="113"/>
  <c r="H111" i="113"/>
  <c r="AW193" i="113"/>
  <c r="AU123" i="113"/>
  <c r="AJ88" i="64"/>
  <c r="AC156" i="113"/>
  <c r="AQ89" i="113"/>
  <c r="BK63" i="64"/>
  <c r="N135" i="113"/>
  <c r="BA151" i="113"/>
  <c r="AX114" i="113"/>
  <c r="Z88" i="113"/>
  <c r="BC155" i="113"/>
  <c r="AH100" i="64"/>
  <c r="AN57" i="64"/>
  <c r="AV119" i="113"/>
  <c r="AK50" i="64"/>
  <c r="AF101" i="113"/>
  <c r="P95" i="113"/>
  <c r="G102" i="113"/>
  <c r="AM99" i="64"/>
  <c r="AF87" i="113"/>
  <c r="AN180" i="113"/>
  <c r="AF79" i="64"/>
  <c r="Y114" i="64"/>
  <c r="AW134" i="113"/>
  <c r="S130" i="113"/>
  <c r="BA88" i="64"/>
  <c r="Z47" i="64"/>
  <c r="Y90" i="64"/>
  <c r="L102" i="64"/>
  <c r="Q167" i="113"/>
  <c r="AL128" i="113"/>
  <c r="BU134" i="113"/>
  <c r="AC64" i="64"/>
  <c r="BX12" i="113"/>
  <c r="L197" i="113"/>
  <c r="BD91" i="113"/>
  <c r="AG167" i="113"/>
  <c r="N49" i="64"/>
  <c r="AX128" i="113"/>
  <c r="Q157" i="113"/>
  <c r="AG96" i="113"/>
  <c r="J100" i="64"/>
  <c r="K115" i="113"/>
  <c r="AF58" i="64"/>
  <c r="BW138" i="113"/>
  <c r="O53" i="64"/>
  <c r="I224" i="113"/>
  <c r="AS163" i="113"/>
  <c r="T100" i="113"/>
  <c r="AQ94" i="64"/>
  <c r="Q72" i="64"/>
  <c r="AE153" i="113"/>
  <c r="M182" i="113"/>
  <c r="X123" i="113"/>
  <c r="E77" i="64"/>
  <c r="X103" i="113"/>
  <c r="BE78" i="64"/>
  <c r="S114" i="113"/>
  <c r="X98" i="113"/>
  <c r="AC87" i="113"/>
  <c r="H115" i="113"/>
  <c r="M155" i="113"/>
  <c r="G170" i="113"/>
  <c r="S16" i="64"/>
  <c r="AQ93" i="113"/>
  <c r="P120" i="113"/>
  <c r="AS164" i="113"/>
  <c r="E229" i="113"/>
  <c r="BC51" i="64"/>
  <c r="AY155" i="113"/>
  <c r="AG128" i="113"/>
  <c r="AN97" i="64"/>
  <c r="BA170" i="113"/>
  <c r="N139" i="113"/>
  <c r="AL168" i="113"/>
  <c r="BC93" i="113"/>
  <c r="AM106" i="113"/>
  <c r="P14" i="64"/>
  <c r="AX61" i="64"/>
  <c r="AL12" i="113"/>
  <c r="AV75" i="64"/>
  <c r="BF51" i="64"/>
  <c r="AU117" i="113"/>
  <c r="AK152" i="113"/>
  <c r="H98" i="64"/>
  <c r="AG99" i="113"/>
  <c r="BS181" i="113"/>
  <c r="G142" i="113"/>
  <c r="AB54" i="64"/>
  <c r="AL103" i="113"/>
  <c r="AC7" i="113"/>
  <c r="AU146" i="113"/>
  <c r="AG77" i="64"/>
  <c r="AI175" i="113"/>
  <c r="AV151" i="113"/>
  <c r="AF60" i="64"/>
  <c r="E99" i="64"/>
  <c r="AC155" i="113"/>
  <c r="AR170" i="113"/>
  <c r="Q16" i="64"/>
  <c r="AZ110" i="113"/>
  <c r="AZ159" i="113"/>
  <c r="BW110" i="113"/>
  <c r="BA136" i="113"/>
  <c r="AP79" i="64"/>
  <c r="AP180" i="113"/>
  <c r="Y66" i="64"/>
  <c r="BT156" i="113"/>
  <c r="BX101" i="113"/>
  <c r="AR48" i="64"/>
  <c r="AS101" i="113"/>
  <c r="Q140" i="113"/>
  <c r="AW7" i="113"/>
  <c r="BF89" i="64"/>
  <c r="Z95" i="113"/>
  <c r="I91" i="113"/>
  <c r="BB129" i="113"/>
  <c r="AL92" i="64"/>
  <c r="AQ105" i="113"/>
  <c r="AV64" i="64"/>
  <c r="AE106" i="113"/>
  <c r="O90" i="113"/>
  <c r="Q149" i="113"/>
  <c r="BX162" i="113"/>
  <c r="Q196" i="113"/>
  <c r="AW177" i="113"/>
  <c r="AB53" i="64"/>
  <c r="K153" i="113"/>
  <c r="AF61" i="64"/>
  <c r="AA101" i="113"/>
  <c r="BC114" i="113"/>
  <c r="G86" i="64"/>
  <c r="F41" i="64"/>
  <c r="AT91" i="113"/>
  <c r="BX155" i="113"/>
  <c r="AW94" i="113"/>
  <c r="X86" i="64"/>
  <c r="AZ216" i="113"/>
  <c r="X192" i="113"/>
  <c r="BD96" i="113"/>
  <c r="E79" i="64"/>
  <c r="S100" i="113"/>
  <c r="H187" i="113"/>
  <c r="Q121" i="113"/>
  <c r="V165" i="113"/>
  <c r="BX134" i="113"/>
  <c r="S51" i="64"/>
  <c r="U169" i="113"/>
  <c r="F116" i="113"/>
  <c r="AE132" i="113"/>
  <c r="BC93" i="64"/>
  <c r="G162" i="113"/>
  <c r="K97" i="64"/>
  <c r="BA140" i="113"/>
  <c r="AC110" i="113"/>
  <c r="AE139" i="113"/>
  <c r="AC82" i="64"/>
  <c r="BA132" i="113"/>
  <c r="M98" i="64"/>
  <c r="I99" i="64"/>
  <c r="AW146" i="113"/>
  <c r="BH66" i="64"/>
  <c r="BT113" i="113"/>
  <c r="P143" i="113"/>
  <c r="AU193" i="113"/>
  <c r="AP53" i="64"/>
  <c r="BD152" i="113"/>
  <c r="AI112" i="113"/>
  <c r="BJ99" i="64"/>
  <c r="V51" i="64"/>
  <c r="F148" i="113"/>
  <c r="AB157" i="113"/>
  <c r="AS99" i="64"/>
  <c r="AS165" i="113"/>
  <c r="P144" i="113"/>
  <c r="K75" i="64"/>
  <c r="BV131" i="113"/>
  <c r="U162" i="113"/>
  <c r="L95" i="64"/>
  <c r="AQ197" i="113"/>
  <c r="J166" i="113"/>
  <c r="J105" i="113"/>
  <c r="AU108" i="113"/>
  <c r="M54" i="64"/>
  <c r="O25" i="64"/>
  <c r="BU146" i="113"/>
  <c r="Z87" i="113"/>
  <c r="AD113" i="113"/>
  <c r="BK216" i="113"/>
  <c r="BX91" i="113"/>
  <c r="BF48" i="64"/>
  <c r="Q87" i="64"/>
  <c r="AA216" i="113"/>
  <c r="BA146" i="113"/>
  <c r="G84" i="64"/>
  <c r="BS89" i="113"/>
  <c r="V112" i="113"/>
  <c r="AR171" i="113"/>
  <c r="AQ184" i="113"/>
  <c r="I107" i="113"/>
  <c r="K83" i="64"/>
  <c r="J77" i="64"/>
  <c r="AV87" i="64"/>
  <c r="AQ103" i="113"/>
  <c r="AZ61" i="64"/>
  <c r="AV118" i="113"/>
  <c r="AC72" i="64"/>
  <c r="AX110" i="113"/>
  <c r="H94" i="64"/>
  <c r="BB105" i="113"/>
  <c r="S133" i="113"/>
  <c r="AL66" i="64"/>
  <c r="BS105" i="113"/>
  <c r="AA91" i="64"/>
  <c r="AF11" i="64"/>
  <c r="BY100" i="113"/>
  <c r="Z79" i="64"/>
  <c r="E54" i="64"/>
  <c r="BV98" i="113"/>
  <c r="AC111" i="113"/>
  <c r="AY224" i="113"/>
  <c r="AI89" i="113"/>
  <c r="F62" i="64"/>
  <c r="H118" i="113"/>
  <c r="AD11" i="64"/>
  <c r="H98" i="113"/>
  <c r="AW92" i="64"/>
  <c r="AA172" i="113"/>
  <c r="BW122" i="113"/>
  <c r="BB147" i="113"/>
  <c r="AJ148" i="113"/>
  <c r="AD167" i="113"/>
  <c r="AE57" i="64"/>
  <c r="BB165" i="113"/>
  <c r="BF52" i="64"/>
  <c r="BD106" i="113"/>
  <c r="BJ86" i="64"/>
  <c r="Z12" i="113"/>
  <c r="AE124" i="113"/>
  <c r="BX189" i="113"/>
  <c r="BF60" i="64"/>
  <c r="BB78" i="64"/>
  <c r="AH7" i="113"/>
  <c r="AY106" i="113"/>
  <c r="AA111" i="113"/>
  <c r="AT173" i="113"/>
  <c r="BS216" i="113"/>
  <c r="BI102" i="64"/>
  <c r="F211" i="113"/>
  <c r="AC183" i="113"/>
  <c r="Z120" i="113"/>
  <c r="L163" i="113"/>
  <c r="AI93" i="64"/>
  <c r="R92" i="64"/>
  <c r="AP171" i="113"/>
  <c r="AN59" i="64"/>
  <c r="AG136" i="113"/>
  <c r="J148" i="113"/>
  <c r="G222" i="113"/>
  <c r="M147" i="113"/>
  <c r="L193" i="113"/>
  <c r="Z100" i="64"/>
  <c r="V83" i="64"/>
  <c r="AX55" i="64"/>
  <c r="BW216" i="113"/>
  <c r="AL153" i="113"/>
  <c r="S168" i="113"/>
  <c r="Q109" i="113"/>
  <c r="AX82" i="64"/>
  <c r="M81" i="64"/>
  <c r="I97" i="113"/>
  <c r="BC183" i="113"/>
  <c r="X154" i="113"/>
  <c r="P151" i="113"/>
  <c r="U143" i="113"/>
  <c r="I126" i="113"/>
  <c r="AA142" i="113"/>
  <c r="AI152" i="113"/>
  <c r="AZ179" i="113"/>
  <c r="AY138" i="113"/>
  <c r="F214" i="113"/>
  <c r="K151" i="113"/>
  <c r="AQ181" i="113"/>
  <c r="AV115" i="113"/>
  <c r="AP112" i="113"/>
  <c r="BT111" i="113"/>
  <c r="J87" i="113"/>
  <c r="BI114" i="64"/>
  <c r="W114" i="113"/>
  <c r="BD155" i="113"/>
  <c r="BK77" i="64"/>
  <c r="AB150" i="113"/>
  <c r="AX125" i="113"/>
  <c r="BX120" i="113"/>
  <c r="E78" i="64"/>
  <c r="Z170" i="113"/>
  <c r="Z136" i="113"/>
  <c r="AH144" i="113"/>
  <c r="E21" i="64"/>
  <c r="BW168" i="113"/>
  <c r="U11" i="113"/>
  <c r="BV198" i="113"/>
  <c r="AJ152" i="113"/>
  <c r="AL85" i="64"/>
  <c r="AL64" i="64"/>
  <c r="AV112" i="113"/>
  <c r="AG66" i="64"/>
  <c r="O142" i="113"/>
  <c r="M131" i="113"/>
  <c r="U145" i="113"/>
  <c r="AK155" i="113"/>
  <c r="AO105" i="113"/>
  <c r="BW163" i="113"/>
  <c r="T96" i="113"/>
  <c r="AR190" i="113"/>
  <c r="AY63" i="64"/>
  <c r="O147" i="113"/>
  <c r="AM87" i="113"/>
  <c r="AO88" i="64"/>
  <c r="AH57" i="64"/>
  <c r="AD102" i="113"/>
  <c r="AD60" i="64"/>
  <c r="AD79" i="64"/>
  <c r="AH150" i="113"/>
  <c r="AW129" i="113"/>
  <c r="U100" i="113"/>
  <c r="AB99" i="113"/>
  <c r="AP108" i="113"/>
  <c r="J75" i="64"/>
  <c r="AW12" i="113"/>
  <c r="T159" i="113"/>
  <c r="AY117" i="113"/>
  <c r="AM114" i="64"/>
  <c r="AL55" i="64"/>
  <c r="AI197" i="113"/>
  <c r="T55" i="64"/>
  <c r="U101" i="64"/>
  <c r="AP122" i="113"/>
  <c r="AC178" i="113"/>
  <c r="BB195" i="113"/>
  <c r="BY132" i="113"/>
  <c r="U99" i="64"/>
  <c r="AO127" i="113"/>
  <c r="Y161" i="113"/>
  <c r="G90" i="113"/>
  <c r="BD196" i="113"/>
  <c r="R156" i="113"/>
  <c r="T180" i="113"/>
  <c r="U102" i="64"/>
  <c r="BY157" i="113"/>
  <c r="AV62" i="64"/>
  <c r="K224" i="113"/>
  <c r="S11" i="64"/>
  <c r="K57" i="64"/>
  <c r="BA86" i="64"/>
  <c r="AD83" i="64"/>
  <c r="BV126" i="113"/>
  <c r="BA66" i="64"/>
  <c r="Y109" i="113"/>
  <c r="L135" i="113"/>
  <c r="AV157" i="113"/>
  <c r="W82" i="64"/>
  <c r="X155" i="113"/>
  <c r="O80" i="64"/>
  <c r="I170" i="113"/>
  <c r="AS190" i="113"/>
  <c r="AO186" i="113"/>
  <c r="BC132" i="113"/>
  <c r="AH122" i="113"/>
  <c r="S111" i="113"/>
  <c r="Q181" i="113"/>
  <c r="F178" i="113"/>
  <c r="S144" i="113"/>
  <c r="AH131" i="113"/>
  <c r="BX182" i="113"/>
  <c r="K53" i="64"/>
  <c r="K127" i="113"/>
  <c r="N192" i="113"/>
  <c r="AC135" i="113"/>
  <c r="P104" i="113"/>
  <c r="BX176" i="113"/>
  <c r="BT139" i="113"/>
  <c r="S89" i="113"/>
  <c r="AE98" i="64"/>
  <c r="AR142" i="113"/>
  <c r="AE50" i="64"/>
  <c r="T105" i="113"/>
  <c r="AA84" i="64"/>
  <c r="BW131" i="113"/>
  <c r="AG188" i="113"/>
  <c r="F114" i="113"/>
  <c r="G173" i="113"/>
  <c r="AM194" i="113"/>
  <c r="AW56" i="64"/>
  <c r="E98" i="113"/>
  <c r="AA100" i="113"/>
  <c r="O65" i="64"/>
  <c r="Q123" i="113"/>
  <c r="AV170" i="113"/>
  <c r="H172" i="113"/>
  <c r="G95" i="64"/>
  <c r="Q60" i="64"/>
  <c r="L178" i="113"/>
  <c r="R164" i="113"/>
  <c r="BX144" i="113"/>
  <c r="S65" i="64"/>
  <c r="G143" i="113"/>
  <c r="BT176" i="113"/>
  <c r="AG139" i="113"/>
  <c r="G101" i="64"/>
  <c r="AL198" i="113"/>
  <c r="Z164" i="113"/>
  <c r="AU144" i="113"/>
  <c r="AQ171" i="113"/>
  <c r="BT175" i="113"/>
  <c r="AM72" i="64"/>
  <c r="AR102" i="113"/>
  <c r="U154" i="113"/>
  <c r="BW112" i="113"/>
  <c r="AH138" i="113"/>
  <c r="AM188" i="113"/>
  <c r="AM125" i="113"/>
  <c r="BY134" i="113"/>
  <c r="AA93" i="64"/>
  <c r="Y107" i="113"/>
  <c r="I135" i="113"/>
  <c r="AO82" i="64"/>
  <c r="BC88" i="113"/>
  <c r="AN126" i="113"/>
  <c r="AN93" i="113"/>
  <c r="Z168" i="113"/>
  <c r="BE114" i="64"/>
  <c r="AQ106" i="113"/>
  <c r="AO180" i="113"/>
  <c r="AE95" i="64"/>
  <c r="BT146" i="113"/>
  <c r="BV109" i="113"/>
  <c r="L53" i="64"/>
  <c r="BC130" i="113"/>
  <c r="AI85" i="64"/>
  <c r="BD93" i="113"/>
  <c r="AC179" i="113"/>
  <c r="AV92" i="113"/>
  <c r="V152" i="113"/>
  <c r="U130" i="113"/>
  <c r="AG78" i="64"/>
  <c r="AR62" i="64"/>
  <c r="BG96" i="64"/>
  <c r="AP190" i="113"/>
  <c r="AE129" i="113"/>
  <c r="E129" i="113"/>
  <c r="AA144" i="113"/>
  <c r="BD128" i="113"/>
  <c r="N140" i="113"/>
  <c r="AA165" i="113"/>
  <c r="O47" i="64"/>
  <c r="BB140" i="113"/>
  <c r="Z153" i="113"/>
  <c r="AM85" i="64"/>
  <c r="M77" i="64"/>
  <c r="AF224" i="113"/>
  <c r="F185" i="113"/>
  <c r="AO191" i="113"/>
  <c r="AO115" i="113"/>
  <c r="AJ99" i="64"/>
  <c r="AZ90" i="113"/>
  <c r="J117" i="113"/>
  <c r="L60" i="64"/>
  <c r="AF89" i="113"/>
  <c r="T94" i="113"/>
  <c r="AZ144" i="113"/>
  <c r="AX65" i="64"/>
  <c r="AW184" i="113"/>
  <c r="F110" i="113"/>
  <c r="U171" i="113"/>
  <c r="AA173" i="113"/>
  <c r="BD171" i="113"/>
  <c r="AV172" i="113"/>
  <c r="Z161" i="113"/>
  <c r="BB114" i="64"/>
  <c r="P51" i="64"/>
  <c r="AO122" i="113"/>
  <c r="O197" i="113"/>
  <c r="AE112" i="113"/>
  <c r="AM122" i="113"/>
  <c r="T112" i="113"/>
  <c r="AF175" i="113"/>
  <c r="AE198" i="113"/>
  <c r="I51" i="64"/>
  <c r="AD89" i="113"/>
  <c r="G54" i="64"/>
  <c r="J165" i="113"/>
  <c r="O94" i="64"/>
  <c r="BC100" i="64"/>
  <c r="J66" i="64"/>
  <c r="V100" i="64"/>
  <c r="J141" i="113"/>
  <c r="BF54" i="64"/>
  <c r="U87" i="64"/>
  <c r="AB112" i="113"/>
  <c r="AJ114" i="113"/>
  <c r="P147" i="113"/>
  <c r="AG65" i="64"/>
  <c r="R142" i="113"/>
  <c r="AC113" i="113"/>
  <c r="M194" i="113"/>
  <c r="V81" i="64"/>
  <c r="AX161" i="113"/>
  <c r="S93" i="64"/>
  <c r="BC59" i="64"/>
  <c r="AK192" i="113"/>
  <c r="AI100" i="113"/>
  <c r="BC89" i="113"/>
  <c r="Q189" i="113"/>
  <c r="AC61" i="64"/>
  <c r="AW60" i="64"/>
  <c r="AH78" i="64"/>
  <c r="L120" i="113"/>
  <c r="AR51" i="64"/>
  <c r="BA143" i="113"/>
  <c r="AY61" i="64"/>
  <c r="M191" i="113"/>
  <c r="AN56" i="64"/>
  <c r="AX47" i="64"/>
  <c r="Y188" i="113"/>
  <c r="AY146" i="113"/>
  <c r="AK191" i="113"/>
  <c r="AD97" i="64"/>
  <c r="BE13" i="64"/>
  <c r="AT162" i="113"/>
  <c r="X182" i="113"/>
  <c r="K168" i="113"/>
  <c r="BA149" i="113"/>
  <c r="J216" i="113"/>
  <c r="AA47" i="64"/>
  <c r="AS124" i="113"/>
  <c r="AZ130" i="113"/>
  <c r="AO56" i="64"/>
  <c r="BI55" i="64"/>
  <c r="Z140" i="113"/>
  <c r="F187" i="113"/>
  <c r="AI191" i="113"/>
  <c r="J92" i="64"/>
  <c r="W110" i="113"/>
  <c r="AV149" i="113"/>
  <c r="Q92" i="64"/>
  <c r="BX7" i="113"/>
  <c r="AU158" i="113"/>
  <c r="R159" i="113"/>
  <c r="BE102" i="64"/>
  <c r="BB137" i="113"/>
  <c r="Y80" i="64"/>
  <c r="K86" i="64"/>
  <c r="X142" i="113"/>
  <c r="AM192" i="113"/>
  <c r="AQ48" i="64"/>
  <c r="T145" i="113"/>
  <c r="AI141" i="113"/>
  <c r="E25" i="64"/>
  <c r="BY163" i="113"/>
  <c r="BX115" i="113"/>
  <c r="G226" i="113"/>
  <c r="H94" i="113"/>
  <c r="AZ157" i="113"/>
  <c r="AP140" i="113"/>
  <c r="AK98" i="64"/>
  <c r="Q101" i="64"/>
  <c r="V96" i="113"/>
  <c r="AK168" i="113"/>
  <c r="Q103" i="113"/>
  <c r="P186" i="113"/>
  <c r="AT57" i="64"/>
  <c r="AT183" i="113"/>
  <c r="R107" i="113"/>
  <c r="AM55" i="64"/>
  <c r="O183" i="113"/>
  <c r="AN100" i="113"/>
  <c r="BY175" i="113"/>
  <c r="I154" i="113"/>
  <c r="BX186" i="113"/>
  <c r="N113" i="113"/>
  <c r="W140" i="113"/>
  <c r="AL170" i="113"/>
  <c r="AX79" i="64"/>
  <c r="BV179" i="113"/>
  <c r="O7" i="113"/>
  <c r="AW160" i="113"/>
  <c r="Q183" i="113"/>
  <c r="M108" i="113"/>
  <c r="BW176" i="113"/>
  <c r="AE116" i="113"/>
  <c r="AD188" i="113"/>
  <c r="F82" i="64"/>
  <c r="S94" i="113"/>
  <c r="U128" i="113"/>
  <c r="BV191" i="113"/>
  <c r="I158" i="113"/>
  <c r="BA87" i="113"/>
  <c r="Z188" i="113"/>
  <c r="Y64" i="64"/>
  <c r="O118" i="113"/>
  <c r="S186" i="113"/>
  <c r="W63" i="64"/>
  <c r="BA191" i="113"/>
  <c r="W138" i="113"/>
  <c r="AD160" i="113"/>
  <c r="AV130" i="113"/>
  <c r="AN121" i="113"/>
  <c r="I139" i="113"/>
  <c r="L122" i="113"/>
  <c r="F137" i="113"/>
  <c r="Z54" i="64"/>
  <c r="BK53" i="64"/>
  <c r="AK99" i="64"/>
  <c r="AF139" i="113"/>
  <c r="BC56" i="64"/>
  <c r="BW190" i="113"/>
  <c r="AN105" i="113"/>
  <c r="AG51" i="64"/>
  <c r="Q64" i="64"/>
  <c r="AE90" i="113"/>
  <c r="Q141" i="113"/>
  <c r="K89" i="113"/>
  <c r="BV128" i="113"/>
  <c r="AK97" i="64"/>
  <c r="O116" i="113"/>
  <c r="BX163" i="113"/>
  <c r="BG52" i="64"/>
  <c r="AD94" i="113"/>
  <c r="BC140" i="113"/>
  <c r="AJ91" i="64"/>
  <c r="BB88" i="113"/>
  <c r="AV99" i="113"/>
  <c r="I127" i="113"/>
  <c r="BX104" i="113"/>
  <c r="BY104" i="113"/>
  <c r="J198" i="113"/>
  <c r="P98" i="64"/>
  <c r="N16" i="64"/>
  <c r="AZ173" i="113"/>
  <c r="AD11" i="113"/>
  <c r="Y98" i="64"/>
  <c r="BH54" i="64"/>
  <c r="AJ96" i="64"/>
  <c r="BS137" i="113"/>
  <c r="AQ162" i="113"/>
  <c r="AJ149" i="113"/>
  <c r="AT7" i="113"/>
  <c r="BK93" i="64"/>
  <c r="Y224" i="113"/>
  <c r="AX152" i="113"/>
  <c r="AE82" i="64"/>
  <c r="BC171" i="113"/>
  <c r="X139" i="113"/>
  <c r="AX145" i="113"/>
  <c r="AF94" i="113"/>
  <c r="M126" i="113"/>
  <c r="S191" i="113"/>
  <c r="AG97" i="64"/>
  <c r="AH102" i="64"/>
  <c r="BV155" i="113"/>
  <c r="U144" i="113"/>
  <c r="AP97" i="113"/>
  <c r="I87" i="113"/>
  <c r="O121" i="113"/>
  <c r="M148" i="113"/>
  <c r="BD102" i="113"/>
  <c r="J151" i="113"/>
  <c r="AD112" i="113"/>
  <c r="BM224" i="113"/>
  <c r="V167" i="113"/>
  <c r="J90" i="113"/>
  <c r="K163" i="113"/>
  <c r="BA80" i="64"/>
  <c r="AV91" i="113"/>
  <c r="BI62" i="64"/>
  <c r="AY133" i="113"/>
  <c r="AL95" i="113"/>
  <c r="BC65" i="64"/>
  <c r="AK173" i="113"/>
  <c r="Z90" i="113"/>
  <c r="AH82" i="64"/>
  <c r="AV82" i="64"/>
  <c r="AB125" i="113"/>
  <c r="Z107" i="113"/>
  <c r="R13" i="64"/>
  <c r="BA131" i="113"/>
  <c r="W166" i="113"/>
  <c r="AS128" i="113"/>
  <c r="AK150" i="113"/>
  <c r="AA11" i="64"/>
  <c r="E195" i="113"/>
  <c r="AU90" i="113"/>
  <c r="AH153" i="113"/>
  <c r="W102" i="64"/>
  <c r="G172" i="113"/>
  <c r="BY94" i="113"/>
  <c r="W87" i="64"/>
  <c r="AI48" i="64"/>
  <c r="AK90" i="64"/>
  <c r="V53" i="64"/>
  <c r="O60" i="64"/>
  <c r="AG159" i="113"/>
  <c r="BA60" i="64"/>
  <c r="AA51" i="64"/>
  <c r="N137" i="113"/>
  <c r="AS131" i="113"/>
  <c r="AS140" i="113"/>
  <c r="AM146" i="113"/>
  <c r="AJ131" i="113"/>
  <c r="AH112" i="113"/>
  <c r="X174" i="113"/>
  <c r="BV169" i="113"/>
  <c r="AM116" i="113"/>
  <c r="E65" i="64"/>
  <c r="G125" i="113"/>
  <c r="BX180" i="113"/>
  <c r="BC116" i="113"/>
  <c r="AF107" i="113"/>
  <c r="AR130" i="113"/>
  <c r="H53" i="64"/>
  <c r="AH97" i="64"/>
  <c r="AN85" i="64"/>
  <c r="T123" i="113"/>
  <c r="BW152" i="113"/>
  <c r="E101" i="113"/>
  <c r="AC65" i="64"/>
  <c r="AD127" i="113"/>
  <c r="BC182" i="113"/>
  <c r="M144" i="113"/>
  <c r="Y92" i="113"/>
  <c r="AO182" i="113"/>
  <c r="V224" i="113"/>
  <c r="T150" i="113"/>
  <c r="Y143" i="113"/>
  <c r="AT156" i="113"/>
  <c r="AE77" i="64"/>
  <c r="AT53" i="64"/>
  <c r="O173" i="113"/>
  <c r="AV198" i="113"/>
  <c r="BW114" i="113"/>
  <c r="AR145" i="113"/>
  <c r="G66" i="64"/>
  <c r="N185" i="113"/>
  <c r="AT131" i="113"/>
  <c r="BC105" i="113"/>
  <c r="AA50" i="64"/>
  <c r="L156" i="113"/>
  <c r="BC122" i="113"/>
  <c r="AN99" i="113"/>
  <c r="X94" i="64"/>
  <c r="AX97" i="64"/>
  <c r="AF142" i="113"/>
  <c r="AD78" i="64"/>
  <c r="AX95" i="64"/>
  <c r="U89" i="113"/>
  <c r="W224" i="113"/>
  <c r="G52" i="64"/>
  <c r="F52" i="64"/>
  <c r="I124" i="113"/>
  <c r="M195" i="113"/>
  <c r="X120" i="113"/>
  <c r="AE148" i="113"/>
  <c r="U139" i="113"/>
  <c r="AZ123" i="113"/>
  <c r="W66" i="64"/>
  <c r="AG58" i="64"/>
  <c r="P112" i="113"/>
  <c r="O126" i="113"/>
  <c r="BW141" i="113"/>
  <c r="J90" i="64"/>
  <c r="AS109" i="113"/>
  <c r="I123" i="113"/>
  <c r="P141" i="113"/>
  <c r="BB53" i="64"/>
  <c r="N196" i="113"/>
  <c r="V63" i="64"/>
  <c r="AA90" i="113"/>
  <c r="AG145" i="113"/>
  <c r="L97" i="113"/>
  <c r="AB95" i="113"/>
  <c r="AC224" i="113"/>
  <c r="AG86" i="64"/>
  <c r="Q75" i="64"/>
  <c r="BS224" i="113"/>
  <c r="E150" i="113"/>
  <c r="AD92" i="113"/>
  <c r="J164" i="113"/>
  <c r="BT192" i="113"/>
  <c r="AE125" i="113"/>
  <c r="V129" i="113"/>
  <c r="V183" i="113"/>
  <c r="Z169" i="113"/>
  <c r="AV137" i="113"/>
  <c r="L77" i="64"/>
  <c r="W101" i="64"/>
  <c r="AC141" i="113"/>
  <c r="E113" i="113"/>
  <c r="AR193" i="113"/>
  <c r="R145" i="113"/>
  <c r="R143" i="113"/>
  <c r="O193" i="113"/>
  <c r="AJ172" i="113"/>
  <c r="AW138" i="113"/>
  <c r="T98" i="113"/>
  <c r="AG157" i="113"/>
  <c r="E186" i="113"/>
  <c r="AG156" i="113"/>
  <c r="W77" i="64"/>
  <c r="G221" i="113"/>
  <c r="Q101" i="113"/>
  <c r="AP161" i="113"/>
  <c r="F86" i="64"/>
  <c r="E148" i="113"/>
  <c r="Y133" i="113"/>
  <c r="AW94" i="64"/>
  <c r="BA192" i="113"/>
  <c r="E145" i="113"/>
  <c r="O12" i="113"/>
  <c r="BU91" i="113"/>
  <c r="AS155" i="113"/>
  <c r="BU161" i="113"/>
  <c r="AZ162" i="113"/>
  <c r="AB61" i="64"/>
  <c r="AP105" i="113"/>
  <c r="AB88" i="113"/>
  <c r="Q59" i="64"/>
  <c r="AX163" i="113"/>
  <c r="P99" i="113"/>
  <c r="AI93" i="113"/>
  <c r="BW142" i="113"/>
  <c r="AP153" i="113"/>
  <c r="F13" i="64"/>
  <c r="AJ216" i="113"/>
  <c r="J110" i="113"/>
  <c r="AK92" i="113"/>
  <c r="AT11" i="113"/>
  <c r="BD180" i="113"/>
  <c r="AA108" i="113"/>
  <c r="AA190" i="113"/>
  <c r="AH111" i="113"/>
  <c r="U216" i="113"/>
  <c r="BU110" i="113"/>
  <c r="BA158" i="113"/>
  <c r="V162" i="113"/>
  <c r="Q104" i="113"/>
  <c r="AN151" i="113"/>
  <c r="N7" i="113"/>
  <c r="AK154" i="113"/>
  <c r="AQ56" i="64"/>
  <c r="R193" i="113"/>
  <c r="U167" i="113"/>
  <c r="AG191" i="113"/>
  <c r="AM178" i="113"/>
  <c r="AC125" i="113"/>
  <c r="H134" i="113"/>
  <c r="N164" i="113"/>
  <c r="AC100" i="64"/>
  <c r="AI192" i="113"/>
  <c r="O160" i="113"/>
  <c r="AV181" i="113"/>
  <c r="U85" i="64"/>
  <c r="AT146" i="113"/>
  <c r="E170" i="113"/>
  <c r="F17" i="64"/>
  <c r="AY150" i="113"/>
  <c r="AK216" i="113"/>
  <c r="AZ182" i="113"/>
  <c r="Y164" i="113"/>
  <c r="L123" i="113"/>
  <c r="AN95" i="113"/>
  <c r="AO59" i="64"/>
  <c r="AW116" i="113"/>
  <c r="AV84" i="64"/>
  <c r="AU186" i="113"/>
  <c r="BB72" i="64"/>
  <c r="Y95" i="113"/>
  <c r="AB161" i="113"/>
  <c r="BK60" i="64"/>
  <c r="BW180" i="113"/>
  <c r="BW224" i="113"/>
  <c r="AY97" i="64"/>
  <c r="AH96" i="113"/>
  <c r="BV113" i="113"/>
  <c r="AA138" i="113"/>
  <c r="G176" i="113"/>
  <c r="AS192" i="113"/>
  <c r="BA91" i="64"/>
  <c r="BB163" i="113"/>
  <c r="AN178" i="113"/>
  <c r="P150" i="113"/>
  <c r="G135" i="113"/>
  <c r="AP102" i="64"/>
  <c r="AW93" i="113"/>
  <c r="R165" i="113"/>
  <c r="AG80" i="64"/>
  <c r="AW166" i="113"/>
  <c r="T158" i="113"/>
  <c r="AM153" i="113"/>
  <c r="I175" i="113"/>
  <c r="BY160" i="113"/>
  <c r="K89" i="64"/>
  <c r="BA195" i="113"/>
  <c r="W61" i="64"/>
  <c r="AH165" i="113"/>
  <c r="BW119" i="113"/>
  <c r="AK186" i="113"/>
  <c r="AX78" i="64"/>
  <c r="BV147" i="113"/>
  <c r="Y142" i="113"/>
  <c r="BW88" i="113"/>
  <c r="L87" i="113"/>
  <c r="BD156" i="113"/>
  <c r="K186" i="113"/>
  <c r="AM180" i="113"/>
  <c r="BI89" i="64"/>
  <c r="BT91" i="113"/>
  <c r="BV112" i="113"/>
  <c r="BI65" i="64"/>
  <c r="AV56" i="64"/>
  <c r="AC51" i="64"/>
  <c r="AZ109" i="113"/>
  <c r="AS87" i="64"/>
  <c r="AV141" i="113"/>
  <c r="AK197" i="113"/>
  <c r="AE117" i="113"/>
  <c r="BU173" i="113"/>
  <c r="E69" i="64"/>
  <c r="O149" i="113"/>
  <c r="Z59" i="64"/>
  <c r="T157" i="113"/>
  <c r="I62" i="64"/>
  <c r="AQ135" i="113"/>
  <c r="BD99" i="113"/>
  <c r="AH59" i="64"/>
  <c r="J149" i="113"/>
  <c r="R65" i="64"/>
  <c r="P110" i="113"/>
  <c r="AY151" i="113"/>
  <c r="AN89" i="113"/>
  <c r="X85" i="64"/>
  <c r="AO198" i="113"/>
  <c r="AF103" i="113"/>
  <c r="AD108" i="113"/>
  <c r="AA181" i="113"/>
  <c r="AG181" i="113"/>
  <c r="AY175" i="113"/>
  <c r="AK54" i="64"/>
  <c r="AI80" i="64"/>
  <c r="AU72" i="64"/>
  <c r="AK105" i="113"/>
  <c r="AK182" i="113"/>
  <c r="AW88" i="64"/>
  <c r="H174" i="113"/>
  <c r="J129" i="113"/>
  <c r="G100" i="64"/>
  <c r="AP95" i="64"/>
  <c r="W161" i="113"/>
  <c r="L157" i="113"/>
  <c r="AY109" i="113"/>
  <c r="W50" i="64"/>
  <c r="M105" i="113"/>
  <c r="BT150" i="113"/>
  <c r="AS60" i="64"/>
  <c r="AI130" i="113"/>
  <c r="X52" i="64"/>
  <c r="AF89" i="64"/>
  <c r="BS119" i="113"/>
  <c r="AF72" i="64"/>
  <c r="AK96" i="64"/>
  <c r="I87" i="64"/>
  <c r="AF93" i="113"/>
  <c r="AJ84" i="64"/>
  <c r="AB132" i="113"/>
  <c r="AZ97" i="64"/>
  <c r="BH77" i="64"/>
  <c r="X90" i="113"/>
  <c r="BU183" i="113"/>
  <c r="G213" i="113"/>
  <c r="H169" i="113"/>
  <c r="BA174" i="113"/>
  <c r="M101" i="113"/>
  <c r="O186" i="113"/>
  <c r="S11" i="113"/>
  <c r="BX196" i="113"/>
  <c r="N180" i="113"/>
  <c r="AB108" i="113"/>
  <c r="AF180" i="113"/>
  <c r="BX130" i="113"/>
  <c r="E212" i="113"/>
  <c r="AD64" i="64"/>
  <c r="AG111" i="113"/>
  <c r="N77" i="64"/>
  <c r="BY152" i="113"/>
  <c r="AZ149" i="113"/>
  <c r="AC86" i="64"/>
  <c r="AV11" i="113"/>
  <c r="AH114" i="113"/>
  <c r="AQ101" i="113"/>
  <c r="V128" i="113"/>
  <c r="K106" i="113"/>
  <c r="AY126" i="113"/>
  <c r="AK118" i="113"/>
  <c r="AL138" i="113"/>
  <c r="AT51" i="64"/>
  <c r="AE114" i="64"/>
  <c r="Z155" i="113"/>
  <c r="AA103" i="113"/>
  <c r="BV188" i="113"/>
  <c r="AS195" i="113"/>
  <c r="AZ164" i="113"/>
  <c r="AU111" i="113"/>
  <c r="U53" i="64"/>
  <c r="M224" i="113"/>
  <c r="BA81" i="64"/>
  <c r="AT158" i="113"/>
  <c r="AU169" i="113"/>
  <c r="M169" i="113"/>
  <c r="P50" i="64"/>
  <c r="S59" i="64"/>
  <c r="AS106" i="113"/>
  <c r="AR104" i="113"/>
  <c r="BH96" i="64"/>
  <c r="AN106" i="113"/>
  <c r="AX96" i="64"/>
  <c r="P90" i="113"/>
  <c r="AH79" i="64"/>
  <c r="T127" i="113"/>
  <c r="AH72" i="64"/>
  <c r="AT114" i="64"/>
  <c r="AQ95" i="113"/>
  <c r="AH133" i="113"/>
  <c r="Q115" i="113"/>
  <c r="BD92" i="113"/>
  <c r="N175" i="113"/>
  <c r="T13" i="64"/>
  <c r="J96" i="64"/>
  <c r="BB94" i="113"/>
  <c r="G94" i="113"/>
  <c r="AW99" i="64"/>
  <c r="BD104" i="113"/>
  <c r="Z129" i="113"/>
  <c r="K143" i="113"/>
  <c r="AN136" i="113"/>
  <c r="G154" i="113"/>
  <c r="H84" i="64"/>
  <c r="I191" i="113"/>
  <c r="BB89" i="113"/>
  <c r="AB155" i="113"/>
  <c r="BA175" i="113"/>
  <c r="H196" i="113"/>
  <c r="BS147" i="113"/>
  <c r="V198" i="113"/>
  <c r="AM123" i="113"/>
  <c r="Y195" i="113"/>
  <c r="J47" i="64"/>
  <c r="BY145" i="113"/>
  <c r="BK48" i="64"/>
  <c r="BD116" i="113"/>
  <c r="G63" i="64"/>
  <c r="AC93" i="64"/>
  <c r="J140" i="113"/>
  <c r="T181" i="113"/>
  <c r="AC114" i="64"/>
  <c r="Z98" i="64"/>
  <c r="AA170" i="113"/>
  <c r="AK112" i="113"/>
  <c r="N11" i="113"/>
  <c r="J50" i="64"/>
  <c r="G55" i="64"/>
  <c r="BV110" i="113"/>
  <c r="L125" i="113"/>
  <c r="AN11" i="113"/>
  <c r="AI58" i="64"/>
  <c r="Y174" i="113"/>
  <c r="BT196" i="113"/>
  <c r="AV122" i="113"/>
  <c r="AF97" i="64"/>
  <c r="BB161" i="113"/>
  <c r="AR11" i="113"/>
  <c r="Z116" i="113"/>
  <c r="AZ101" i="64"/>
  <c r="G137" i="113"/>
  <c r="F100" i="113"/>
  <c r="BS179" i="113"/>
  <c r="AV95" i="64"/>
  <c r="BX131" i="113"/>
  <c r="S145" i="113"/>
  <c r="AZ82" i="64"/>
  <c r="AN181" i="113"/>
  <c r="N198" i="113"/>
  <c r="F57" i="64"/>
  <c r="O145" i="113"/>
  <c r="Y115" i="113"/>
  <c r="AI224" i="113"/>
  <c r="I216" i="113"/>
  <c r="AY189" i="113"/>
  <c r="M136" i="113"/>
  <c r="AM109" i="113"/>
  <c r="Q150" i="113"/>
  <c r="AB216" i="113"/>
  <c r="BU106" i="113"/>
  <c r="L155" i="113"/>
  <c r="AD177" i="113"/>
  <c r="AO176" i="113"/>
  <c r="T72" i="64"/>
  <c r="Z185" i="113"/>
  <c r="AV79" i="64"/>
  <c r="BT191" i="113"/>
  <c r="H188" i="113"/>
  <c r="BA161" i="113"/>
  <c r="BT90" i="113"/>
  <c r="BA89" i="64"/>
  <c r="O56" i="64"/>
  <c r="AO88" i="113"/>
  <c r="H65" i="64"/>
  <c r="AE107" i="113"/>
  <c r="M153" i="113"/>
  <c r="F12" i="113"/>
  <c r="BB84" i="64"/>
  <c r="T187" i="113"/>
  <c r="BA113" i="113"/>
  <c r="L94" i="113"/>
  <c r="E181" i="113"/>
  <c r="BT183" i="113"/>
  <c r="BK224" i="113"/>
  <c r="M112" i="113"/>
  <c r="Q191" i="113"/>
  <c r="S26" i="64"/>
  <c r="AF93" i="64"/>
  <c r="L89" i="64"/>
  <c r="H138" i="113"/>
  <c r="AS185" i="113"/>
  <c r="K78" i="64"/>
  <c r="BT160" i="113"/>
  <c r="F103" i="113"/>
  <c r="BH75" i="64"/>
  <c r="Q13" i="64"/>
  <c r="AY169" i="113"/>
  <c r="X147" i="113"/>
  <c r="AF100" i="113"/>
  <c r="AS12" i="113"/>
  <c r="AN135" i="113"/>
  <c r="AQ165" i="113"/>
  <c r="AY57" i="64"/>
  <c r="P190" i="113"/>
  <c r="AW163" i="113"/>
  <c r="AC131" i="113"/>
  <c r="AF108" i="113"/>
  <c r="T108" i="113"/>
  <c r="X145" i="113"/>
  <c r="AD96" i="64"/>
  <c r="AK138" i="113"/>
  <c r="BW151" i="113"/>
  <c r="AW133" i="113"/>
  <c r="BY102" i="113"/>
  <c r="M65" i="64"/>
  <c r="BU136" i="113"/>
  <c r="AM118" i="113"/>
  <c r="AH197" i="113"/>
  <c r="S91" i="113"/>
  <c r="N12" i="113"/>
  <c r="BE94" i="64"/>
  <c r="AM97" i="64"/>
  <c r="V216" i="113"/>
  <c r="AY158" i="113"/>
  <c r="O51" i="64"/>
  <c r="R102" i="113"/>
  <c r="S107" i="113"/>
  <c r="BC61" i="64"/>
  <c r="R60" i="64"/>
  <c r="BD177" i="113"/>
  <c r="AU187" i="113"/>
  <c r="BH48" i="64"/>
  <c r="BU184" i="113"/>
  <c r="AP64" i="64"/>
  <c r="G215" i="113"/>
  <c r="Y155" i="113"/>
  <c r="AQ54" i="64"/>
  <c r="Y168" i="113"/>
  <c r="Y106" i="113"/>
  <c r="U90" i="113"/>
  <c r="BU175" i="113"/>
  <c r="AS91" i="113"/>
  <c r="BA141" i="113"/>
  <c r="X116" i="113"/>
  <c r="BE89" i="64"/>
  <c r="AM95" i="113"/>
  <c r="BD160" i="113"/>
  <c r="V50" i="64"/>
  <c r="M110" i="113"/>
  <c r="F54" i="64"/>
  <c r="AV139" i="113"/>
  <c r="Y129" i="113"/>
  <c r="Z121" i="113"/>
  <c r="L181" i="113"/>
  <c r="M149" i="113"/>
  <c r="W98" i="113"/>
  <c r="AC197" i="113"/>
  <c r="AL190" i="113"/>
  <c r="T75" i="64"/>
  <c r="BX145" i="113"/>
  <c r="AN150" i="113"/>
  <c r="BA65" i="64"/>
  <c r="AS63" i="64"/>
  <c r="AA100" i="64"/>
  <c r="AL150" i="113"/>
  <c r="BA97" i="64"/>
  <c r="K59" i="64"/>
  <c r="AW168" i="113"/>
  <c r="AL72" i="64"/>
  <c r="AJ57" i="64"/>
  <c r="AK78" i="64"/>
  <c r="Z190" i="113"/>
  <c r="AO52" i="64"/>
  <c r="E159" i="113"/>
  <c r="S114" i="64"/>
  <c r="AH116" i="113"/>
  <c r="K113" i="113"/>
  <c r="AQ96" i="113"/>
  <c r="AP81" i="64"/>
  <c r="Y78" i="64"/>
  <c r="BB97" i="64"/>
  <c r="R167" i="113"/>
  <c r="AF168" i="113"/>
  <c r="Z189" i="113"/>
  <c r="Q177" i="113"/>
  <c r="BD134" i="113"/>
  <c r="AD123" i="113"/>
  <c r="Z148" i="113"/>
  <c r="AZ145" i="113"/>
  <c r="AK111" i="113"/>
  <c r="AT167" i="113"/>
  <c r="K121" i="113"/>
  <c r="AX170" i="113"/>
  <c r="AR58" i="64"/>
  <c r="L93" i="113"/>
  <c r="AA176" i="113"/>
  <c r="Z151" i="113"/>
  <c r="AE130" i="113"/>
  <c r="N101" i="113"/>
  <c r="G194" i="113"/>
  <c r="BJ87" i="64"/>
  <c r="AQ99" i="113"/>
  <c r="BE52" i="64"/>
  <c r="AT186" i="113"/>
  <c r="AG47" i="64"/>
  <c r="AV88" i="64"/>
  <c r="G161" i="113"/>
  <c r="BX105" i="113"/>
  <c r="AI183" i="113"/>
  <c r="AW118" i="113"/>
  <c r="Y56" i="64"/>
  <c r="AH156" i="113"/>
  <c r="BC72" i="64"/>
  <c r="AQ194" i="113"/>
  <c r="AL134" i="113"/>
  <c r="AV224" i="113"/>
  <c r="M140" i="113"/>
  <c r="AL94" i="113"/>
  <c r="AD144" i="113"/>
  <c r="AL127" i="113"/>
  <c r="AY98" i="64"/>
  <c r="F12" i="64"/>
  <c r="U110" i="113"/>
  <c r="U158" i="113"/>
  <c r="N151" i="113"/>
  <c r="AG131" i="113"/>
  <c r="AI135" i="113"/>
  <c r="J80" i="64"/>
  <c r="I84" i="64"/>
  <c r="AN145" i="113"/>
  <c r="F227" i="113"/>
  <c r="BU12" i="113"/>
  <c r="S216" i="113"/>
  <c r="L117" i="113"/>
  <c r="AM156" i="113"/>
  <c r="AH115" i="113"/>
  <c r="AB181" i="113"/>
  <c r="Z143" i="113"/>
  <c r="AL108" i="113"/>
  <c r="AZ93" i="113"/>
  <c r="BF77" i="64"/>
  <c r="AX51" i="64"/>
  <c r="T166" i="113"/>
  <c r="AD82" i="64"/>
  <c r="AJ62" i="64"/>
  <c r="AQ101" i="64"/>
  <c r="R61" i="64"/>
  <c r="S171" i="113"/>
  <c r="N66" i="64"/>
  <c r="AI124" i="113"/>
  <c r="Q90" i="113"/>
  <c r="W149" i="113"/>
  <c r="F18" i="64"/>
  <c r="I96" i="64"/>
  <c r="AB192" i="113"/>
  <c r="Q122" i="113"/>
  <c r="AQ53" i="64"/>
  <c r="AL104" i="113"/>
  <c r="AW224" i="113"/>
  <c r="BY183" i="113"/>
  <c r="R79" i="64"/>
  <c r="AR164" i="113"/>
  <c r="AE179" i="113"/>
  <c r="BV136" i="113"/>
  <c r="Q88" i="64"/>
  <c r="O195" i="113"/>
  <c r="W64" i="64"/>
  <c r="M156" i="113"/>
  <c r="AO113" i="113"/>
  <c r="AR98" i="113"/>
  <c r="AK122" i="113"/>
  <c r="AI92" i="64"/>
  <c r="P47" i="64"/>
  <c r="S128" i="113"/>
  <c r="AA160" i="113"/>
  <c r="AK164" i="113"/>
  <c r="J49" i="64"/>
  <c r="AS91" i="64"/>
  <c r="O139" i="113"/>
  <c r="BJ72" i="64"/>
  <c r="M103" i="113"/>
  <c r="H163" i="113"/>
  <c r="J106" i="113"/>
  <c r="AA117" i="113"/>
  <c r="AI133" i="113"/>
  <c r="BC191" i="113"/>
  <c r="BK61" i="64"/>
  <c r="BS162" i="113"/>
  <c r="AZ113" i="113"/>
  <c r="X171" i="113"/>
  <c r="AR191" i="113"/>
  <c r="AJ167" i="113"/>
  <c r="N82" i="64"/>
  <c r="U151" i="113"/>
  <c r="BF91" i="64"/>
  <c r="AN165" i="113"/>
  <c r="AQ114" i="64"/>
  <c r="BS173" i="113"/>
  <c r="E141" i="113"/>
  <c r="AN149" i="113"/>
  <c r="K149" i="113"/>
  <c r="AP196" i="113"/>
  <c r="AE95" i="113"/>
  <c r="AZ115" i="113"/>
  <c r="G114" i="113"/>
  <c r="O143" i="113"/>
  <c r="AA98" i="113"/>
  <c r="W152" i="113"/>
  <c r="AK85" i="64"/>
  <c r="X126" i="113"/>
  <c r="BV101" i="113"/>
  <c r="AY187" i="113"/>
  <c r="AF62" i="64"/>
  <c r="AO64" i="64"/>
  <c r="AQ174" i="113"/>
  <c r="AF120" i="113"/>
  <c r="AZ58" i="64"/>
  <c r="AE188" i="113"/>
  <c r="AY80" i="64"/>
  <c r="F59" i="64"/>
  <c r="AB169" i="113"/>
  <c r="BS98" i="113"/>
  <c r="AO117" i="113"/>
  <c r="G159" i="113"/>
  <c r="S103" i="113"/>
  <c r="BE85" i="64"/>
  <c r="AN58" i="64"/>
  <c r="AV175" i="113"/>
  <c r="AQ99" i="64"/>
  <c r="AA179" i="113"/>
  <c r="AQ118" i="113"/>
  <c r="E94" i="113"/>
  <c r="AM164" i="113"/>
  <c r="AW90" i="113"/>
  <c r="AL101" i="64"/>
  <c r="BU174" i="113"/>
  <c r="AL97" i="64"/>
  <c r="L127" i="113"/>
  <c r="AG124" i="113"/>
  <c r="V102" i="64"/>
  <c r="AD139" i="113"/>
  <c r="BA137" i="113"/>
  <c r="R104" i="113"/>
  <c r="AJ164" i="113"/>
  <c r="AD95" i="64"/>
  <c r="BS133" i="113"/>
  <c r="AH97" i="113"/>
  <c r="AX162" i="113"/>
  <c r="BU172" i="113"/>
  <c r="AM155" i="113"/>
  <c r="X152" i="113"/>
  <c r="AW135" i="113"/>
  <c r="AF64" i="64"/>
  <c r="J108" i="113"/>
  <c r="BE48" i="64"/>
  <c r="O146" i="113"/>
  <c r="AL91" i="113"/>
  <c r="AY75" i="64"/>
  <c r="AP94" i="64"/>
  <c r="AO164" i="113"/>
  <c r="BF50" i="64"/>
  <c r="S139" i="113"/>
  <c r="AL156" i="113"/>
  <c r="K187" i="113"/>
  <c r="AH101" i="113"/>
  <c r="AD88" i="113"/>
  <c r="BY153" i="113"/>
  <c r="AE109" i="113"/>
  <c r="AQ87" i="64"/>
  <c r="AZ88" i="64"/>
  <c r="X48" i="64"/>
  <c r="AX190" i="113"/>
  <c r="AF151" i="113"/>
  <c r="AT100" i="113"/>
  <c r="AT120" i="113"/>
  <c r="AW64" i="64"/>
  <c r="AR180" i="113"/>
  <c r="AH86" i="64"/>
  <c r="M119" i="113"/>
  <c r="AY108" i="113"/>
  <c r="AT129" i="113"/>
  <c r="BC150" i="113"/>
  <c r="BC146" i="113"/>
  <c r="BX193" i="113"/>
  <c r="S61" i="64"/>
  <c r="BU120" i="113"/>
  <c r="AM11" i="113"/>
  <c r="I81" i="64"/>
  <c r="BY130" i="113"/>
  <c r="AB168" i="113"/>
  <c r="AB102" i="64"/>
  <c r="S83" i="64"/>
  <c r="V138" i="113"/>
  <c r="AT79" i="64"/>
  <c r="AS98" i="64"/>
  <c r="G185" i="113"/>
  <c r="BS174" i="113"/>
  <c r="R153" i="113"/>
  <c r="BW124" i="113"/>
  <c r="AQ142" i="113"/>
  <c r="R11" i="64"/>
  <c r="I106" i="113"/>
  <c r="AH129" i="113"/>
  <c r="BD101" i="113"/>
  <c r="Q14" i="64"/>
  <c r="X117" i="113"/>
  <c r="BU137" i="113"/>
  <c r="AI63" i="64"/>
  <c r="AN189" i="113"/>
  <c r="AB47" i="64"/>
  <c r="E74" i="64"/>
  <c r="W177" i="113"/>
  <c r="N142" i="113"/>
  <c r="R92" i="113"/>
  <c r="Y149" i="113"/>
  <c r="AH81" i="64"/>
  <c r="AC119" i="113"/>
  <c r="AQ186" i="113"/>
  <c r="Y151" i="113"/>
  <c r="AO187" i="113"/>
  <c r="E43" i="64"/>
  <c r="H129" i="113"/>
  <c r="AA131" i="113"/>
  <c r="N147" i="113"/>
  <c r="AY193" i="113"/>
  <c r="L111" i="113"/>
  <c r="BV108" i="113"/>
  <c r="AL173" i="113"/>
  <c r="AV101" i="113"/>
  <c r="AL53" i="64"/>
  <c r="F27" i="64"/>
  <c r="J147" i="113"/>
  <c r="AK87" i="64"/>
  <c r="BB82" i="64"/>
  <c r="AZ98" i="113"/>
  <c r="AR59" i="64"/>
  <c r="Z175" i="113"/>
  <c r="K141" i="113"/>
  <c r="AC99" i="113"/>
  <c r="AZ106" i="113"/>
  <c r="I94" i="113"/>
  <c r="S72" i="64"/>
  <c r="AC180" i="113"/>
  <c r="N96" i="113"/>
  <c r="AW153" i="113"/>
  <c r="X57" i="64"/>
  <c r="AO61" i="64"/>
  <c r="AJ128" i="113"/>
  <c r="AT72" i="64"/>
  <c r="BA105" i="113"/>
  <c r="J83" i="64"/>
  <c r="BG61" i="64"/>
  <c r="AK125" i="113"/>
  <c r="BA109" i="113"/>
  <c r="M184" i="113"/>
  <c r="BD148" i="113"/>
  <c r="J157" i="113"/>
  <c r="AA99" i="64"/>
  <c r="BA114" i="64"/>
  <c r="AG150" i="113"/>
  <c r="BK51" i="64"/>
  <c r="O57" i="64"/>
  <c r="V148" i="113"/>
  <c r="AI7" i="113"/>
  <c r="H183" i="113"/>
  <c r="AY81" i="64"/>
  <c r="L89" i="113"/>
  <c r="BS155" i="113"/>
  <c r="BA62" i="64"/>
  <c r="BC147" i="113"/>
  <c r="E27" i="64"/>
  <c r="AD87" i="64"/>
  <c r="J95" i="113"/>
  <c r="AX119" i="113"/>
  <c r="L99" i="113"/>
  <c r="S116" i="113"/>
  <c r="G96" i="113"/>
  <c r="BC181" i="113"/>
  <c r="H99" i="113"/>
  <c r="AG122" i="113"/>
  <c r="V170" i="113"/>
  <c r="AW182" i="113"/>
  <c r="AI129" i="113"/>
  <c r="BT99" i="113"/>
  <c r="AL183" i="113"/>
  <c r="F68" i="64"/>
  <c r="H143" i="113"/>
  <c r="Q80" i="64"/>
  <c r="BT96" i="113"/>
  <c r="J160" i="113"/>
  <c r="H55" i="64"/>
  <c r="AK151" i="113"/>
  <c r="BC188" i="113"/>
  <c r="AA153" i="113"/>
  <c r="BS141" i="113"/>
  <c r="P72" i="64"/>
  <c r="AS133" i="113"/>
  <c r="H50" i="64"/>
  <c r="AU174" i="113"/>
  <c r="U176" i="113"/>
  <c r="BI63" i="64"/>
  <c r="AP198" i="113"/>
  <c r="BB106" i="113"/>
  <c r="AN173" i="113"/>
  <c r="BX164" i="113"/>
  <c r="BT130" i="113"/>
  <c r="BV181" i="113"/>
  <c r="V64" i="64"/>
  <c r="AR181" i="113"/>
  <c r="T90" i="113"/>
  <c r="R180" i="113"/>
  <c r="AQ195" i="113"/>
  <c r="AY88" i="113"/>
  <c r="V116" i="113"/>
  <c r="AG117" i="113"/>
  <c r="AG176" i="113"/>
  <c r="BP216" i="113"/>
  <c r="AF112" i="113"/>
  <c r="BI86" i="64"/>
  <c r="AJ64" i="64"/>
  <c r="BX94" i="113"/>
  <c r="AT132" i="113"/>
  <c r="BS130" i="113"/>
  <c r="R66" i="64"/>
  <c r="BU144" i="113"/>
  <c r="AQ110" i="113"/>
  <c r="BT7" i="113"/>
  <c r="K129" i="113"/>
  <c r="AW106" i="113"/>
  <c r="AL144" i="113"/>
  <c r="AJ160" i="113"/>
  <c r="BB143" i="113"/>
  <c r="I155" i="113"/>
  <c r="BJ90" i="64"/>
  <c r="L165" i="113"/>
  <c r="AO91" i="64"/>
  <c r="BA164" i="113"/>
  <c r="AR82" i="64"/>
  <c r="N188" i="113"/>
  <c r="BH50" i="64"/>
  <c r="N97" i="64"/>
  <c r="R103" i="113"/>
  <c r="BU190" i="113"/>
  <c r="G97" i="64"/>
  <c r="W181" i="113"/>
  <c r="AX144" i="113"/>
  <c r="O59" i="64"/>
  <c r="AZ107" i="113"/>
  <c r="AE118" i="113"/>
  <c r="AN167" i="113"/>
  <c r="I58" i="64"/>
  <c r="Z97" i="64"/>
  <c r="AH183" i="113"/>
  <c r="G92" i="64"/>
  <c r="F117" i="113"/>
  <c r="W88" i="64"/>
  <c r="R188" i="113"/>
  <c r="W95" i="113"/>
  <c r="M133" i="113"/>
  <c r="AF97" i="113"/>
  <c r="F109" i="113"/>
  <c r="AV174" i="113"/>
  <c r="BS186" i="113"/>
  <c r="AI168" i="113"/>
  <c r="BA116" i="113"/>
  <c r="BW160" i="113"/>
  <c r="Z128" i="113"/>
  <c r="E162" i="113"/>
  <c r="AC48" i="64"/>
  <c r="AD173" i="113"/>
  <c r="AI103" i="113"/>
  <c r="AU179" i="113"/>
  <c r="M177" i="113"/>
  <c r="S163" i="113"/>
  <c r="BH87" i="64"/>
  <c r="AB162" i="113"/>
  <c r="AA109" i="113"/>
  <c r="AG82" i="64"/>
  <c r="BT163" i="113"/>
  <c r="AM63" i="64"/>
  <c r="AE81" i="64"/>
  <c r="AY114" i="64"/>
  <c r="AW127" i="113"/>
  <c r="O123" i="113"/>
  <c r="AR56" i="64"/>
  <c r="N95" i="113"/>
  <c r="U170" i="113"/>
  <c r="M190" i="113"/>
  <c r="Y178" i="113"/>
  <c r="AV185" i="113"/>
  <c r="BT161" i="113"/>
  <c r="AC152" i="113"/>
  <c r="AB158" i="113"/>
  <c r="AY159" i="113"/>
  <c r="AQ183" i="113"/>
  <c r="F186" i="113"/>
  <c r="AF100" i="64"/>
  <c r="T185" i="113"/>
  <c r="AG154" i="113"/>
  <c r="AM145" i="113"/>
  <c r="AY99" i="113"/>
  <c r="BA180" i="113"/>
  <c r="L121" i="113"/>
  <c r="T176" i="113"/>
  <c r="BK64" i="64"/>
  <c r="I88" i="64"/>
  <c r="BH114" i="64"/>
  <c r="BA121" i="113"/>
  <c r="BY196" i="113"/>
  <c r="AI96" i="113"/>
  <c r="AM90" i="113"/>
  <c r="R57" i="64"/>
  <c r="AQ95" i="64"/>
  <c r="W150" i="113"/>
  <c r="AF183" i="113"/>
  <c r="AJ170" i="113"/>
  <c r="BB98" i="64"/>
  <c r="AO58" i="64"/>
  <c r="I98" i="64"/>
  <c r="AR179" i="113"/>
  <c r="AU127" i="113"/>
  <c r="T62" i="64"/>
  <c r="BD172" i="113"/>
  <c r="AH177" i="113"/>
  <c r="AU52" i="64"/>
  <c r="F122" i="113"/>
  <c r="U102" i="113"/>
  <c r="AG130" i="113"/>
  <c r="AX104" i="113"/>
  <c r="AK53" i="64"/>
  <c r="BV185" i="113"/>
  <c r="AG88" i="64"/>
  <c r="AC166" i="113"/>
  <c r="K101" i="64"/>
  <c r="AF155" i="113"/>
  <c r="AL224" i="113"/>
  <c r="Q111" i="113"/>
  <c r="BY155" i="113"/>
  <c r="AW152" i="113"/>
  <c r="AI121" i="113"/>
  <c r="AO151" i="113"/>
  <c r="G108" i="113"/>
  <c r="AL152" i="113"/>
  <c r="AV49" i="64"/>
  <c r="E36" i="64"/>
  <c r="I136" i="113"/>
  <c r="AO114" i="113"/>
  <c r="AV127" i="113"/>
  <c r="BA51" i="64"/>
  <c r="AF114" i="113"/>
  <c r="Z191" i="113"/>
  <c r="W94" i="64"/>
  <c r="X101" i="64"/>
  <c r="AB134" i="113"/>
  <c r="BU170" i="113"/>
  <c r="AN169" i="113"/>
  <c r="M93" i="64"/>
  <c r="AS52" i="64"/>
  <c r="E117" i="113"/>
  <c r="BE61" i="64"/>
  <c r="W79" i="64"/>
  <c r="Q176" i="113"/>
  <c r="AC194" i="113"/>
  <c r="O216" i="113"/>
  <c r="AF106" i="113"/>
  <c r="BC185" i="113"/>
  <c r="G109" i="113"/>
  <c r="AZ94" i="64"/>
  <c r="AF102" i="64"/>
  <c r="M168" i="113"/>
  <c r="AF137" i="113"/>
  <c r="F48" i="64"/>
  <c r="AP133" i="113"/>
  <c r="BJ66" i="64"/>
  <c r="Z131" i="113"/>
  <c r="P85" i="64"/>
  <c r="J87" i="64"/>
  <c r="AV109" i="113"/>
  <c r="AL98" i="113"/>
  <c r="AH99" i="113"/>
  <c r="AB89" i="113"/>
  <c r="N114" i="113"/>
  <c r="BV89" i="113"/>
  <c r="BV123" i="113"/>
  <c r="AY137" i="113"/>
  <c r="I82" i="64"/>
  <c r="P53" i="64"/>
  <c r="AQ192" i="113"/>
  <c r="O159" i="113"/>
  <c r="AH148" i="113"/>
  <c r="S129" i="113"/>
  <c r="AI132" i="113"/>
  <c r="W160" i="113"/>
  <c r="J102" i="64"/>
  <c r="Z147" i="113"/>
  <c r="V181" i="113"/>
  <c r="AT184" i="113"/>
  <c r="BH59" i="64"/>
  <c r="K65" i="64"/>
  <c r="K158" i="113"/>
  <c r="AQ140" i="113"/>
  <c r="AM124" i="113"/>
  <c r="AL133" i="113"/>
  <c r="X88" i="64"/>
  <c r="AB191" i="113"/>
  <c r="Q145" i="113"/>
  <c r="M162" i="113"/>
  <c r="AE88" i="113"/>
  <c r="Z94" i="113"/>
  <c r="Y59" i="64"/>
  <c r="BC164" i="113"/>
  <c r="E96" i="64"/>
  <c r="AD75" i="64"/>
  <c r="AT110" i="113"/>
  <c r="U79" i="64"/>
  <c r="AJ168" i="113"/>
  <c r="AT157" i="113"/>
  <c r="R168" i="113"/>
  <c r="AZ146" i="113"/>
  <c r="AS99" i="113"/>
  <c r="W169" i="113"/>
  <c r="W146" i="113"/>
  <c r="K97" i="113"/>
  <c r="AA167" i="113"/>
  <c r="AA60" i="64"/>
  <c r="BY113" i="113"/>
  <c r="W216" i="113"/>
  <c r="BX113" i="113"/>
  <c r="AC216" i="113"/>
  <c r="BB130" i="113"/>
  <c r="AJ155" i="113"/>
  <c r="BV12" i="113"/>
  <c r="AR103" i="113"/>
  <c r="Z156" i="113"/>
  <c r="AN104" i="113"/>
  <c r="S89" i="64"/>
  <c r="L54" i="64"/>
  <c r="K116" i="113"/>
  <c r="AF55" i="64"/>
  <c r="E22" i="64"/>
  <c r="BW198" i="113"/>
  <c r="V101" i="113"/>
  <c r="AW187" i="113"/>
  <c r="E31" i="64"/>
  <c r="BU11" i="113"/>
  <c r="S99" i="64"/>
  <c r="M78" i="64"/>
  <c r="AM142" i="113"/>
  <c r="V122" i="113"/>
  <c r="J61" i="64"/>
  <c r="K192" i="113"/>
  <c r="AH80" i="64"/>
  <c r="BN216" i="113"/>
  <c r="AY198" i="113"/>
  <c r="AS96" i="64"/>
  <c r="BE54" i="64"/>
  <c r="AQ179" i="113"/>
  <c r="AH168" i="113"/>
  <c r="AR195" i="113"/>
  <c r="AZ80" i="64"/>
  <c r="AW189" i="113"/>
  <c r="R102" i="64"/>
  <c r="AU180" i="113"/>
  <c r="AJ91" i="113"/>
  <c r="AU57" i="64"/>
  <c r="AM90" i="64"/>
  <c r="U75" i="64"/>
  <c r="BY224" i="113"/>
  <c r="AG180" i="113"/>
  <c r="AF59" i="64"/>
  <c r="AL92" i="113"/>
  <c r="W12" i="113"/>
  <c r="AB149" i="113"/>
  <c r="I78" i="64"/>
  <c r="W62" i="64"/>
  <c r="AD147" i="113"/>
  <c r="AQ178" i="113"/>
  <c r="AT182" i="113"/>
  <c r="X172" i="113"/>
  <c r="AU88" i="64"/>
  <c r="AM154" i="113"/>
  <c r="AU104" i="113"/>
  <c r="J89" i="113"/>
  <c r="AV153" i="113"/>
  <c r="K92" i="113"/>
  <c r="BB118" i="113"/>
  <c r="BV224" i="113"/>
  <c r="BT174" i="113"/>
  <c r="AW102" i="113"/>
  <c r="BW189" i="113"/>
  <c r="BC198" i="113"/>
  <c r="I90" i="113"/>
  <c r="BS165" i="113"/>
  <c r="BU163" i="113"/>
  <c r="BT147" i="113"/>
  <c r="T161" i="113"/>
  <c r="BC7" i="113"/>
  <c r="AM185" i="113"/>
  <c r="N89" i="113"/>
  <c r="H108" i="113"/>
  <c r="BX112" i="113"/>
  <c r="BX179" i="113"/>
  <c r="AN154" i="113"/>
  <c r="AI110" i="113"/>
  <c r="AZ177" i="113"/>
  <c r="AN129" i="113"/>
  <c r="AQ138" i="113"/>
  <c r="AO192" i="113"/>
  <c r="BC113" i="113"/>
  <c r="AJ136" i="113"/>
  <c r="AZ72" i="64"/>
  <c r="AP154" i="113"/>
  <c r="O100" i="113"/>
  <c r="Q147" i="113"/>
  <c r="AT185" i="113"/>
  <c r="BA138" i="113"/>
  <c r="AB145" i="113"/>
  <c r="AY89" i="64"/>
  <c r="O11" i="113"/>
  <c r="AP89" i="64"/>
  <c r="Q11" i="64"/>
  <c r="AV136" i="113"/>
  <c r="BT153" i="113"/>
  <c r="AE146" i="113"/>
  <c r="W168" i="113"/>
  <c r="W183" i="113"/>
  <c r="AS154" i="113"/>
  <c r="BA95" i="113"/>
  <c r="AV186" i="113"/>
  <c r="AX111" i="113"/>
  <c r="BV100" i="113"/>
  <c r="AT93" i="64"/>
  <c r="BT88" i="113"/>
  <c r="K92" i="64"/>
  <c r="T151" i="113"/>
  <c r="P102" i="64"/>
  <c r="N128" i="113"/>
  <c r="BK59" i="64"/>
  <c r="AG55" i="64"/>
  <c r="BV148" i="113"/>
  <c r="BX135" i="113"/>
  <c r="AU173" i="113"/>
  <c r="I54" i="64"/>
  <c r="E168" i="113"/>
  <c r="R100" i="113"/>
  <c r="AT83" i="64"/>
  <c r="E52" i="64"/>
  <c r="AZ98" i="64"/>
  <c r="AT85" i="64"/>
  <c r="AG224" i="113"/>
  <c r="M87" i="113"/>
  <c r="AI96" i="64"/>
  <c r="AQ79" i="64"/>
  <c r="K87" i="64"/>
  <c r="AP185" i="113"/>
  <c r="AW188" i="113"/>
  <c r="AJ141" i="113"/>
  <c r="AU56" i="64"/>
  <c r="BG48" i="64"/>
  <c r="AR114" i="64"/>
  <c r="X7" i="113"/>
  <c r="K160" i="113"/>
  <c r="G165" i="113"/>
  <c r="AT194" i="113"/>
  <c r="R75" i="64"/>
  <c r="BB167" i="113"/>
  <c r="AZ91" i="64"/>
  <c r="AI12" i="113"/>
  <c r="W89" i="64"/>
  <c r="BV177" i="113"/>
  <c r="O167" i="113"/>
  <c r="AM216" i="113"/>
  <c r="AX184" i="113"/>
  <c r="AA63" i="64"/>
  <c r="AY129" i="113"/>
  <c r="AN142" i="113"/>
  <c r="E88" i="64"/>
  <c r="Z50" i="64"/>
  <c r="V118" i="113"/>
  <c r="AP101" i="64"/>
  <c r="AP47" i="64"/>
  <c r="F150" i="113"/>
  <c r="AK224" i="113"/>
  <c r="S118" i="113"/>
  <c r="BB87" i="113"/>
  <c r="BJ83" i="64"/>
  <c r="N186" i="113"/>
  <c r="L95" i="113"/>
  <c r="AI56" i="64"/>
  <c r="BO224" i="113"/>
  <c r="BY11" i="113"/>
  <c r="S81" i="64"/>
  <c r="U134" i="113"/>
  <c r="BC197" i="113"/>
  <c r="U114" i="64"/>
  <c r="AJ90" i="113"/>
  <c r="AB102" i="113"/>
  <c r="BH51" i="64"/>
  <c r="AR90" i="64"/>
  <c r="U180" i="113"/>
  <c r="AQ119" i="113"/>
  <c r="U109" i="113"/>
  <c r="BE75" i="64"/>
  <c r="BU88" i="113"/>
  <c r="Z90" i="64"/>
  <c r="AG129" i="113"/>
  <c r="BW177" i="113"/>
  <c r="K90" i="64"/>
  <c r="AI164" i="113"/>
  <c r="Z93" i="64"/>
  <c r="AR127" i="113"/>
  <c r="AL179" i="113"/>
  <c r="BF96" i="64"/>
  <c r="AN92" i="64"/>
  <c r="F215" i="113"/>
  <c r="AU196" i="113"/>
  <c r="AS186" i="113"/>
  <c r="BA156" i="113"/>
  <c r="R52" i="64"/>
  <c r="BC100" i="113"/>
  <c r="AO126" i="113"/>
  <c r="T49" i="64"/>
  <c r="I109" i="113"/>
  <c r="BY93" i="113"/>
  <c r="AS62" i="64"/>
  <c r="I121" i="113"/>
  <c r="AE89" i="64"/>
  <c r="AM181" i="113"/>
  <c r="AJ159" i="113"/>
  <c r="AQ155" i="113"/>
  <c r="AI88" i="64"/>
  <c r="J138" i="113"/>
  <c r="BS178" i="113"/>
  <c r="AZ7" i="113"/>
  <c r="BB150" i="113"/>
  <c r="Y79" i="64"/>
  <c r="BH83" i="64"/>
  <c r="H78" i="64"/>
  <c r="H155" i="113"/>
  <c r="V157" i="113"/>
  <c r="BF78" i="64"/>
  <c r="Y191" i="113"/>
  <c r="AC123" i="113"/>
  <c r="AX57" i="64"/>
  <c r="BX188" i="113"/>
  <c r="AH96" i="64"/>
  <c r="AL178" i="113"/>
  <c r="AN102" i="113"/>
  <c r="AC154" i="113"/>
  <c r="AD190" i="113"/>
  <c r="AA121" i="113"/>
  <c r="AR72" i="64"/>
  <c r="BA187" i="113"/>
  <c r="P12" i="113"/>
  <c r="AG48" i="64"/>
  <c r="AS88" i="64"/>
  <c r="L189" i="113"/>
  <c r="BU114" i="113"/>
  <c r="AC138" i="113"/>
  <c r="N148" i="113"/>
  <c r="AW52" i="64"/>
  <c r="BY176" i="113"/>
  <c r="AL154" i="113"/>
  <c r="BB175" i="113"/>
  <c r="AL86" i="64"/>
  <c r="AA91" i="113"/>
  <c r="I48" i="64"/>
  <c r="AY182" i="113"/>
  <c r="J103" i="113"/>
  <c r="AX87" i="113"/>
  <c r="BW104" i="113"/>
  <c r="G195" i="113"/>
  <c r="O93" i="113"/>
  <c r="AU58" i="64"/>
  <c r="BH97" i="64"/>
  <c r="M87" i="64"/>
  <c r="L47" i="64"/>
  <c r="BS149" i="113"/>
  <c r="AM132" i="113"/>
  <c r="AV161" i="113"/>
  <c r="G144" i="113"/>
  <c r="AU130" i="113"/>
  <c r="Y11" i="64"/>
  <c r="BD185" i="113"/>
  <c r="I152" i="113"/>
  <c r="AM58" i="64"/>
  <c r="AV107" i="113"/>
  <c r="AS153" i="113"/>
  <c r="AD58" i="64"/>
  <c r="AB12" i="113"/>
  <c r="BW169" i="113"/>
  <c r="AM160" i="113"/>
  <c r="O114" i="64"/>
  <c r="AI136" i="113"/>
  <c r="AC80" i="64"/>
  <c r="W192" i="113"/>
  <c r="U173" i="113"/>
  <c r="BS152" i="113"/>
  <c r="AP158" i="113"/>
  <c r="AF50" i="64"/>
  <c r="R176" i="113"/>
  <c r="O54" i="64"/>
  <c r="AO106" i="113"/>
  <c r="AC52" i="64"/>
  <c r="L172" i="113"/>
  <c r="E115" i="113"/>
  <c r="AW172" i="113"/>
  <c r="E68" i="64"/>
  <c r="O81" i="64"/>
  <c r="AH63" i="64"/>
  <c r="BA89" i="113"/>
  <c r="H124" i="113"/>
  <c r="I150" i="113"/>
  <c r="AA129" i="113"/>
  <c r="F124" i="113"/>
  <c r="AK63" i="64"/>
  <c r="N158" i="113"/>
  <c r="N100" i="113"/>
  <c r="BE86" i="64"/>
  <c r="R123" i="113"/>
  <c r="AQ72" i="64"/>
  <c r="F89" i="113"/>
  <c r="AS7" i="113"/>
  <c r="AF176" i="113"/>
  <c r="M88" i="113"/>
  <c r="Q224" i="113"/>
  <c r="BC143" i="113"/>
  <c r="F96" i="113"/>
  <c r="AZ143" i="113"/>
  <c r="AD49" i="64"/>
  <c r="AN174" i="113"/>
  <c r="I77" i="64"/>
  <c r="V54" i="64"/>
  <c r="AW128" i="113"/>
  <c r="AY98" i="113"/>
  <c r="X111" i="113"/>
  <c r="AO125" i="113"/>
  <c r="AJ169" i="113"/>
  <c r="BV183" i="113"/>
  <c r="AA98" i="64"/>
  <c r="Q146" i="113"/>
  <c r="E127" i="113"/>
  <c r="AR131" i="113"/>
  <c r="AT107" i="113"/>
  <c r="AF156" i="113"/>
  <c r="AJ174" i="113"/>
  <c r="AM87" i="64"/>
  <c r="W88" i="113"/>
  <c r="N150" i="113"/>
  <c r="BD120" i="113"/>
  <c r="R148" i="113"/>
  <c r="BG114" i="64"/>
  <c r="Q66" i="64"/>
  <c r="AS93" i="64"/>
  <c r="W153" i="113"/>
  <c r="BU191" i="113"/>
  <c r="E55" i="64"/>
  <c r="AS83" i="64"/>
  <c r="BK96" i="64"/>
  <c r="AN191" i="113"/>
  <c r="BA122" i="113"/>
  <c r="AT97" i="113"/>
  <c r="AI166" i="113"/>
  <c r="AN78" i="64"/>
  <c r="BA182" i="113"/>
  <c r="F177" i="113"/>
  <c r="AW125" i="113"/>
  <c r="AP82" i="64"/>
  <c r="AY177" i="113"/>
  <c r="W135" i="113"/>
  <c r="X197" i="113"/>
  <c r="BB54" i="64"/>
  <c r="BF58" i="64"/>
  <c r="AM56" i="64"/>
  <c r="Y177" i="113"/>
  <c r="AI108" i="113"/>
  <c r="BH81" i="64"/>
  <c r="AI95" i="64"/>
  <c r="AE184" i="113"/>
  <c r="X150" i="113"/>
  <c r="J7" i="113"/>
  <c r="AG146" i="113"/>
  <c r="F212" i="113"/>
  <c r="AI153" i="113"/>
  <c r="AR147" i="113"/>
  <c r="AX120" i="113"/>
  <c r="AI86" i="64"/>
  <c r="AW85" i="64"/>
  <c r="AZ133" i="113"/>
  <c r="V126" i="113"/>
  <c r="AQ189" i="113"/>
  <c r="F222" i="113"/>
  <c r="BH89" i="64"/>
  <c r="AM183" i="113"/>
  <c r="AF182" i="113"/>
  <c r="AJ108" i="113"/>
  <c r="G217" i="113"/>
  <c r="F226" i="113"/>
  <c r="BT197" i="113"/>
  <c r="K146" i="113"/>
  <c r="I92" i="113"/>
  <c r="AC147" i="113"/>
  <c r="Q106" i="113"/>
  <c r="Z7" i="113"/>
  <c r="BS196" i="113"/>
  <c r="BG75" i="64"/>
  <c r="AC57" i="64"/>
  <c r="BC106" i="113"/>
  <c r="BC83" i="64"/>
  <c r="P137" i="113"/>
  <c r="AH83" i="64"/>
  <c r="BH99" i="64"/>
  <c r="AK169" i="113"/>
  <c r="AG140" i="113"/>
  <c r="AB165" i="113"/>
  <c r="AX66" i="64"/>
  <c r="AO168" i="113"/>
  <c r="M116" i="113"/>
  <c r="AS107" i="113"/>
  <c r="P155" i="113"/>
  <c r="AU224" i="113"/>
  <c r="Q89" i="64"/>
  <c r="AX89" i="64"/>
  <c r="AO85" i="64"/>
  <c r="AH90" i="113"/>
  <c r="AI122" i="113"/>
  <c r="AH119" i="113"/>
  <c r="E215" i="113"/>
  <c r="AB170" i="113"/>
  <c r="BW183" i="113"/>
  <c r="AD116" i="113"/>
  <c r="Y98" i="113"/>
  <c r="BB174" i="113"/>
  <c r="BK75" i="64"/>
  <c r="L62" i="64"/>
  <c r="J92" i="113"/>
  <c r="BB79" i="64"/>
  <c r="AR168" i="113"/>
  <c r="R136" i="113"/>
  <c r="AM50" i="64"/>
  <c r="BB66" i="64"/>
  <c r="N79" i="64"/>
  <c r="P89" i="64"/>
  <c r="AU176" i="113"/>
  <c r="P87" i="64"/>
  <c r="AD166" i="113"/>
  <c r="AT97" i="64"/>
  <c r="BG59" i="64"/>
  <c r="K85" i="64"/>
  <c r="J126" i="113"/>
  <c r="F160" i="113"/>
  <c r="BX99" i="113"/>
  <c r="W72" i="64"/>
  <c r="AU142" i="113"/>
  <c r="AM93" i="64"/>
  <c r="AE147" i="113"/>
  <c r="AD187" i="113"/>
  <c r="AH50" i="64"/>
  <c r="AY172" i="113"/>
  <c r="K120" i="113"/>
  <c r="L96" i="64"/>
  <c r="AL95" i="64"/>
  <c r="BU182" i="113"/>
  <c r="AB55" i="64"/>
  <c r="V197" i="113"/>
  <c r="AH173" i="113"/>
  <c r="AE61" i="64"/>
  <c r="T93" i="113"/>
  <c r="BB119" i="113"/>
  <c r="AO178" i="113"/>
  <c r="AX136" i="113"/>
  <c r="AY128" i="113"/>
  <c r="AX132" i="113"/>
  <c r="AJ135" i="113"/>
  <c r="AI94" i="64"/>
  <c r="AK88" i="113"/>
  <c r="AT168" i="113"/>
  <c r="N96" i="64"/>
  <c r="Y102" i="113"/>
  <c r="AH198" i="113"/>
  <c r="AM144" i="113"/>
  <c r="AG90" i="113"/>
  <c r="AR183" i="113"/>
  <c r="BS185" i="113"/>
  <c r="H90" i="64"/>
  <c r="L101" i="113"/>
  <c r="AT92" i="64"/>
  <c r="W188" i="113"/>
  <c r="AJ182" i="113"/>
  <c r="AZ96" i="64"/>
  <c r="BW146" i="113"/>
  <c r="X129" i="113"/>
  <c r="AW124" i="113"/>
  <c r="BS123" i="113"/>
  <c r="AG134" i="113"/>
  <c r="AX99" i="64"/>
  <c r="BC11" i="113"/>
  <c r="AI127" i="113"/>
  <c r="K103" i="113"/>
  <c r="BS106" i="113"/>
  <c r="BB123" i="113"/>
  <c r="AB79" i="64"/>
  <c r="AS85" i="64"/>
  <c r="U57" i="64"/>
  <c r="AV126" i="113"/>
  <c r="AD99" i="64"/>
  <c r="J197" i="113"/>
  <c r="X136" i="113"/>
  <c r="E86" i="64"/>
  <c r="Y112" i="113"/>
  <c r="X79" i="64"/>
  <c r="P123" i="113"/>
  <c r="P192" i="113"/>
  <c r="P146" i="113"/>
  <c r="T153" i="113"/>
  <c r="F173" i="113"/>
  <c r="BD114" i="113"/>
  <c r="AU97" i="113"/>
  <c r="AG102" i="113"/>
  <c r="AD91" i="64"/>
  <c r="V91" i="113"/>
  <c r="AQ52" i="64"/>
  <c r="AD54" i="64"/>
  <c r="M186" i="113"/>
  <c r="Q95" i="64"/>
  <c r="Q89" i="113"/>
  <c r="K188" i="113"/>
  <c r="X83" i="64"/>
  <c r="BH56" i="64"/>
  <c r="W197" i="113"/>
  <c r="BK57" i="64"/>
  <c r="BW195" i="113"/>
  <c r="BC141" i="113"/>
  <c r="O85" i="64"/>
  <c r="U92" i="113"/>
  <c r="Z114" i="113"/>
  <c r="O11" i="64"/>
  <c r="T64" i="64"/>
  <c r="AV134" i="113"/>
  <c r="BI93" i="64"/>
  <c r="AX54" i="64"/>
  <c r="V86" i="64"/>
  <c r="AU216" i="113"/>
  <c r="BU196" i="113"/>
  <c r="S142" i="113"/>
  <c r="N105" i="113"/>
  <c r="AU96" i="64"/>
  <c r="BW173" i="113"/>
  <c r="AD148" i="113"/>
  <c r="AD125" i="113"/>
  <c r="BY188" i="113"/>
  <c r="G104" i="113"/>
  <c r="AA125" i="113"/>
  <c r="AJ47" i="64"/>
  <c r="AG83" i="64"/>
  <c r="AH145" i="113"/>
  <c r="AK56" i="64"/>
  <c r="AR94" i="64"/>
  <c r="AV58" i="64"/>
  <c r="F180" i="113"/>
  <c r="AC88" i="113"/>
  <c r="BA125" i="113"/>
  <c r="BB166" i="113"/>
  <c r="AQ102" i="64"/>
  <c r="AC96" i="64"/>
  <c r="AW101" i="113"/>
  <c r="R187" i="113"/>
  <c r="Q57" i="64"/>
  <c r="BY171" i="113"/>
  <c r="BD224" i="113"/>
  <c r="AY72" i="64"/>
  <c r="W117" i="113"/>
  <c r="O171" i="113"/>
  <c r="AE49" i="64"/>
  <c r="K174" i="113"/>
  <c r="Q58" i="64"/>
  <c r="BW143" i="113"/>
  <c r="J137" i="113"/>
  <c r="AW165" i="113"/>
  <c r="AF196" i="113"/>
  <c r="N120" i="113"/>
  <c r="O187" i="113"/>
  <c r="AU136" i="113"/>
  <c r="F8" i="64"/>
  <c r="AZ170" i="113"/>
  <c r="AO66" i="64"/>
  <c r="BH63" i="64"/>
  <c r="AC169" i="113"/>
  <c r="AE105" i="113"/>
  <c r="AB75" i="64"/>
  <c r="F29" i="64"/>
  <c r="AN188" i="113"/>
  <c r="BC114" i="64"/>
  <c r="AV57" i="64"/>
  <c r="BX157" i="113"/>
  <c r="AH88" i="113"/>
  <c r="P99" i="64"/>
  <c r="AV167" i="113"/>
  <c r="Y100" i="113"/>
  <c r="L144" i="113"/>
  <c r="BC136" i="113"/>
  <c r="K133" i="113"/>
  <c r="BA110" i="113"/>
  <c r="P135" i="113"/>
  <c r="L92" i="64"/>
  <c r="AB96" i="64"/>
  <c r="Q144" i="113"/>
  <c r="K104" i="113"/>
  <c r="AQ149" i="113"/>
  <c r="AO166" i="113"/>
  <c r="BX153" i="113"/>
  <c r="M101" i="64"/>
  <c r="E72" i="64"/>
  <c r="AR184" i="113"/>
  <c r="N121" i="113"/>
  <c r="G116" i="113"/>
  <c r="AV123" i="113"/>
  <c r="U88" i="64"/>
  <c r="AF141" i="113"/>
  <c r="AU93" i="64"/>
  <c r="BJ57" i="64"/>
  <c r="BB93" i="113"/>
  <c r="BB108" i="113"/>
  <c r="BC161" i="113"/>
  <c r="BD143" i="113"/>
  <c r="M84" i="64"/>
  <c r="AH90" i="64"/>
  <c r="E126" i="113"/>
  <c r="AX193" i="113"/>
  <c r="AG102" i="64"/>
  <c r="K147" i="113"/>
  <c r="AI47" i="64"/>
  <c r="BS148" i="113"/>
  <c r="AH146" i="113"/>
  <c r="BI91" i="64"/>
  <c r="AI72" i="64"/>
  <c r="F188" i="113"/>
  <c r="S48" i="64"/>
  <c r="AT105" i="113"/>
  <c r="Q134" i="113"/>
  <c r="AP114" i="113"/>
  <c r="P100" i="113"/>
  <c r="Y150" i="113"/>
  <c r="AN176" i="113"/>
  <c r="BW93" i="113"/>
  <c r="BY181" i="113"/>
  <c r="U97" i="113"/>
  <c r="AR153" i="113"/>
  <c r="AD224" i="113"/>
  <c r="X224" i="113"/>
  <c r="AU156" i="113"/>
  <c r="AY134" i="113"/>
  <c r="BI64" i="64"/>
  <c r="AA114" i="113"/>
  <c r="AO150" i="113"/>
  <c r="H192" i="113"/>
  <c r="G50" i="64"/>
  <c r="W99" i="64"/>
  <c r="I195" i="113"/>
  <c r="AN102" i="64"/>
  <c r="BV161" i="113"/>
  <c r="N216" i="113"/>
  <c r="J104" i="113"/>
  <c r="AB164" i="113"/>
  <c r="P96" i="64"/>
  <c r="AF123" i="113"/>
  <c r="AJ127" i="113"/>
  <c r="J81" i="64"/>
  <c r="AB60" i="64"/>
  <c r="AD99" i="113"/>
  <c r="AU172" i="113"/>
  <c r="F171" i="113"/>
  <c r="AK61" i="64"/>
  <c r="AZ91" i="113"/>
  <c r="BX117" i="113"/>
  <c r="AE155" i="113"/>
  <c r="F183" i="113"/>
  <c r="AU99" i="64"/>
  <c r="AM166" i="113"/>
  <c r="BJ78" i="64"/>
  <c r="BS104" i="113"/>
  <c r="K94" i="64"/>
  <c r="AO51" i="64"/>
  <c r="BU224" i="113"/>
  <c r="K12" i="113"/>
  <c r="BC87" i="64"/>
  <c r="O148" i="113"/>
  <c r="AA119" i="113"/>
  <c r="U101" i="113"/>
  <c r="BM216" i="113"/>
  <c r="O98" i="64"/>
  <c r="AD120" i="113"/>
  <c r="AL148" i="113"/>
  <c r="BY108" i="113"/>
  <c r="BC216" i="113"/>
  <c r="BA107" i="113"/>
  <c r="BY118" i="113"/>
  <c r="AW156" i="113"/>
  <c r="AT147" i="113"/>
  <c r="M161" i="113"/>
  <c r="AE134" i="113"/>
  <c r="BD115" i="113"/>
  <c r="BS184" i="113"/>
  <c r="P107" i="113"/>
  <c r="F61" i="64"/>
  <c r="AO165" i="113"/>
  <c r="BT158" i="113"/>
  <c r="M86" i="64"/>
  <c r="K161" i="113"/>
  <c r="M106" i="113"/>
  <c r="AA162" i="113"/>
  <c r="AC56" i="64"/>
  <c r="BS103" i="113"/>
  <c r="AQ159" i="113"/>
  <c r="AI104" i="113"/>
  <c r="AV60" i="64"/>
  <c r="AL112" i="113"/>
  <c r="BC138" i="113"/>
  <c r="T83" i="64"/>
  <c r="BY185" i="113"/>
  <c r="AH181" i="113"/>
  <c r="AB64" i="64"/>
  <c r="K183" i="113"/>
  <c r="Q62" i="64"/>
  <c r="Y49" i="64"/>
  <c r="BX183" i="113"/>
  <c r="AK158" i="113"/>
  <c r="X166" i="113"/>
  <c r="AP184" i="113"/>
  <c r="AE64" i="64"/>
  <c r="I132" i="113"/>
  <c r="AI216" i="113"/>
  <c r="BW193" i="113"/>
  <c r="BS101" i="113"/>
  <c r="Y87" i="64"/>
  <c r="AK123" i="113"/>
  <c r="AM48" i="64"/>
  <c r="V164" i="113"/>
  <c r="X98" i="64"/>
  <c r="AH188" i="113"/>
  <c r="BW113" i="113"/>
  <c r="AV159" i="113"/>
  <c r="N87" i="113"/>
  <c r="O79" i="64"/>
  <c r="N136" i="113"/>
  <c r="AV93" i="113"/>
  <c r="AU88" i="113"/>
  <c r="F100" i="64"/>
  <c r="I166" i="113"/>
  <c r="AR156" i="113"/>
  <c r="AH159" i="113"/>
  <c r="I72" i="64"/>
  <c r="BB146" i="113"/>
  <c r="Q165" i="113"/>
  <c r="AF130" i="113"/>
  <c r="AV179" i="113"/>
  <c r="AO174" i="113"/>
  <c r="BW159" i="113"/>
  <c r="AT124" i="113"/>
  <c r="AW119" i="113"/>
  <c r="Y169" i="113"/>
  <c r="AV171" i="113"/>
  <c r="AD106" i="113"/>
  <c r="AV133" i="113"/>
  <c r="W49" i="64"/>
  <c r="U165" i="113"/>
  <c r="R115" i="113"/>
  <c r="BF72" i="64"/>
  <c r="AF138" i="113"/>
  <c r="J127" i="113"/>
  <c r="BB51" i="64"/>
  <c r="N193" i="113"/>
  <c r="BX174" i="113"/>
  <c r="AJ90" i="64"/>
  <c r="F217" i="113"/>
  <c r="F166" i="113"/>
  <c r="AV72" i="64"/>
  <c r="T137" i="113"/>
  <c r="BY179" i="113"/>
  <c r="AG132" i="113"/>
  <c r="Y154" i="113"/>
  <c r="W141" i="113"/>
  <c r="AA99" i="113"/>
  <c r="AM101" i="113"/>
  <c r="BL224" i="113"/>
  <c r="AX72" i="64"/>
  <c r="AU151" i="113"/>
  <c r="K178" i="113"/>
  <c r="Y173" i="113"/>
  <c r="AP138" i="113"/>
  <c r="U77" i="64"/>
  <c r="BC62" i="64"/>
  <c r="I192" i="113"/>
  <c r="W124" i="113"/>
  <c r="AH224" i="113"/>
  <c r="Z65" i="64"/>
  <c r="AU190" i="113"/>
  <c r="AW123" i="113"/>
  <c r="AW181" i="113"/>
  <c r="Z127" i="113"/>
  <c r="AH48" i="64"/>
  <c r="BF94" i="64"/>
  <c r="X99" i="64"/>
  <c r="AE97" i="64"/>
  <c r="AI169" i="113"/>
  <c r="O168" i="113"/>
  <c r="AT128" i="113"/>
  <c r="E63" i="64"/>
  <c r="AZ97" i="113"/>
  <c r="Y93" i="113"/>
  <c r="AF163" i="113"/>
  <c r="AR167" i="113"/>
  <c r="AQ81" i="64"/>
  <c r="BI99" i="64"/>
  <c r="E81" i="64"/>
  <c r="F66" i="64"/>
  <c r="AM102" i="64"/>
  <c r="AZ59" i="64"/>
  <c r="H159" i="113"/>
  <c r="G100" i="113"/>
  <c r="F81" i="64"/>
  <c r="Y48" i="64"/>
  <c r="W91" i="113"/>
  <c r="E185" i="113"/>
  <c r="X132" i="113"/>
  <c r="BB55" i="64"/>
  <c r="AG89" i="113"/>
  <c r="F223" i="113"/>
  <c r="AT145" i="113"/>
  <c r="P156" i="113"/>
  <c r="BB138" i="113"/>
  <c r="AY216" i="113"/>
  <c r="AD101" i="113"/>
  <c r="O55" i="64"/>
  <c r="N143" i="113"/>
  <c r="AS196" i="113"/>
  <c r="AL137" i="113"/>
  <c r="T63" i="64"/>
  <c r="P139" i="113"/>
  <c r="V149" i="113"/>
  <c r="AV120" i="113"/>
  <c r="AM77" i="64"/>
  <c r="O12" i="64"/>
  <c r="E213" i="113"/>
  <c r="AT126" i="113"/>
  <c r="AA72" i="64"/>
  <c r="I157" i="113"/>
  <c r="BE56" i="64"/>
  <c r="E89" i="64"/>
  <c r="F189" i="113"/>
  <c r="AD151" i="113"/>
  <c r="P183" i="113"/>
  <c r="BB142" i="113"/>
  <c r="Y52" i="64"/>
  <c r="BB49" i="64"/>
  <c r="AX100" i="113"/>
  <c r="T57" i="64"/>
  <c r="BB185" i="113"/>
  <c r="AM108" i="113"/>
  <c r="AP97" i="64"/>
  <c r="L224" i="113"/>
  <c r="AH186" i="113"/>
  <c r="AM162" i="113"/>
  <c r="BV118" i="113"/>
  <c r="AC95" i="64"/>
  <c r="BA56" i="64"/>
  <c r="BU95" i="113"/>
  <c r="P197" i="113"/>
  <c r="AF66" i="64"/>
  <c r="AQ112" i="113"/>
  <c r="E192" i="113"/>
  <c r="I90" i="64"/>
  <c r="H100" i="113"/>
  <c r="Y101" i="64"/>
  <c r="BT89" i="113"/>
  <c r="Q127" i="113"/>
  <c r="AU92" i="64"/>
  <c r="AZ114" i="64"/>
  <c r="W97" i="113"/>
  <c r="Q63" i="64"/>
  <c r="O106" i="113"/>
  <c r="E220" i="113"/>
  <c r="BS138" i="113"/>
  <c r="U155" i="113"/>
  <c r="AY102" i="64"/>
  <c r="AP189" i="113"/>
  <c r="S96" i="113"/>
  <c r="AP114" i="64"/>
  <c r="BF83" i="64"/>
  <c r="AW89" i="64"/>
  <c r="AD132" i="113"/>
  <c r="E84" i="64"/>
  <c r="AQ94" i="113"/>
  <c r="AA83" i="64"/>
  <c r="AZ96" i="113"/>
  <c r="AS58" i="64"/>
  <c r="AW126" i="113"/>
  <c r="AA78" i="64"/>
  <c r="AZ62" i="64"/>
  <c r="BV144" i="113"/>
  <c r="Y89" i="113"/>
  <c r="AY86" i="64"/>
  <c r="AI87" i="64"/>
  <c r="AV104" i="113"/>
  <c r="K131" i="113"/>
  <c r="O83" i="64"/>
  <c r="AY12" i="113"/>
  <c r="AZ141" i="113"/>
  <c r="AP56" i="64"/>
  <c r="AS111" i="113"/>
  <c r="S184" i="113"/>
  <c r="BC91" i="64"/>
  <c r="AT117" i="113"/>
  <c r="AR158" i="113"/>
  <c r="N62" i="64"/>
  <c r="AO102" i="64"/>
  <c r="O165" i="113"/>
  <c r="BV127" i="113"/>
  <c r="T66" i="64"/>
  <c r="AQ80" i="64"/>
  <c r="AL167" i="113"/>
  <c r="BD190" i="113"/>
  <c r="AD138" i="113"/>
  <c r="F14" i="64"/>
  <c r="BD175" i="113"/>
  <c r="AX106" i="113"/>
  <c r="BV115" i="113"/>
  <c r="W58" i="64"/>
  <c r="BF97" i="64"/>
  <c r="BI77" i="64"/>
  <c r="AZ124" i="113"/>
  <c r="BB178" i="113"/>
  <c r="Q90" i="64"/>
  <c r="BS135" i="113"/>
  <c r="BT128" i="113"/>
  <c r="BD94" i="113"/>
  <c r="BY173" i="113"/>
  <c r="AI194" i="113"/>
  <c r="J170" i="113"/>
  <c r="AA140" i="113"/>
  <c r="AN168" i="113"/>
  <c r="AD162" i="113"/>
  <c r="L159" i="113"/>
  <c r="S104" i="113"/>
  <c r="E60" i="64"/>
  <c r="BU116" i="113"/>
  <c r="M59" i="64"/>
  <c r="R174" i="113"/>
  <c r="Z11" i="113"/>
  <c r="BA167" i="113"/>
  <c r="AC102" i="64"/>
  <c r="AK146" i="113"/>
  <c r="AK159" i="113"/>
  <c r="L143" i="113"/>
  <c r="AS168" i="113"/>
  <c r="AE123" i="113"/>
  <c r="AH87" i="64"/>
  <c r="AU81" i="64"/>
  <c r="BI57" i="64"/>
  <c r="BN224" i="113"/>
  <c r="AS65" i="64"/>
  <c r="AV146" i="113"/>
  <c r="BA48" i="64"/>
  <c r="U150" i="113"/>
  <c r="AC165" i="113"/>
  <c r="L55" i="64"/>
  <c r="Q184" i="113"/>
  <c r="AG196" i="113"/>
  <c r="AD114" i="64"/>
  <c r="M216" i="113"/>
  <c r="AR148" i="113"/>
  <c r="E100" i="113"/>
  <c r="E76" i="64"/>
  <c r="AK172" i="113"/>
  <c r="AL63" i="64"/>
  <c r="AG168" i="113"/>
  <c r="AQ85" i="64"/>
  <c r="BA130" i="113"/>
  <c r="AH149" i="113"/>
  <c r="L116" i="113"/>
  <c r="Q187" i="113"/>
  <c r="AK145" i="113"/>
  <c r="L56" i="64"/>
  <c r="U105" i="113"/>
  <c r="W191" i="113"/>
  <c r="T99" i="113"/>
  <c r="W122" i="113"/>
  <c r="S50" i="64"/>
  <c r="BY161" i="113"/>
  <c r="AW62" i="64"/>
  <c r="BI53" i="64"/>
  <c r="AM112" i="113"/>
  <c r="R53" i="64"/>
  <c r="AL142" i="113"/>
  <c r="AB182" i="113"/>
  <c r="J179" i="113"/>
  <c r="F118" i="113"/>
  <c r="O128" i="113"/>
  <c r="X105" i="113"/>
  <c r="AX155" i="113"/>
  <c r="BX224" i="113"/>
  <c r="BD122" i="113"/>
  <c r="U61" i="64"/>
  <c r="AC87" i="64"/>
  <c r="N146" i="113"/>
  <c r="BY139" i="113"/>
  <c r="BS110" i="113"/>
  <c r="E96" i="113"/>
  <c r="M154" i="113"/>
  <c r="L57" i="64"/>
  <c r="AU147" i="113"/>
  <c r="AO104" i="113"/>
  <c r="E89" i="113"/>
  <c r="L171" i="113"/>
  <c r="BV216" i="113"/>
  <c r="M134" i="113"/>
  <c r="AT106" i="113"/>
  <c r="BB159" i="113"/>
  <c r="Y185" i="113"/>
  <c r="AO183" i="113"/>
  <c r="W106" i="113"/>
  <c r="AT142" i="113"/>
  <c r="AI125" i="113"/>
  <c r="AF96" i="64"/>
  <c r="BC117" i="113"/>
  <c r="BC99" i="64"/>
  <c r="AY188" i="113"/>
  <c r="AJ137" i="113"/>
  <c r="K77" i="64"/>
  <c r="N52" i="64"/>
  <c r="J65" i="64"/>
  <c r="AC128" i="113"/>
  <c r="AZ84" i="64"/>
  <c r="BA179" i="113"/>
  <c r="AS92" i="113"/>
  <c r="F36" i="64"/>
  <c r="F181" i="113"/>
  <c r="S102" i="64"/>
  <c r="AE172" i="113"/>
  <c r="BB145" i="113"/>
  <c r="M141" i="113"/>
  <c r="AT135" i="113"/>
  <c r="BT224" i="113"/>
  <c r="AF124" i="113"/>
  <c r="AF105" i="113"/>
  <c r="AK171" i="113"/>
  <c r="BS100" i="113"/>
  <c r="AY136" i="113"/>
  <c r="X66" i="64"/>
  <c r="AB180" i="113"/>
  <c r="E32" i="64"/>
  <c r="AY114" i="113"/>
  <c r="F225" i="113"/>
  <c r="V146" i="113"/>
  <c r="AE11" i="113"/>
  <c r="AR149" i="113"/>
  <c r="AY60" i="64"/>
  <c r="AQ77" i="64"/>
  <c r="AO89" i="64"/>
  <c r="AI180" i="113"/>
  <c r="BF81" i="64"/>
  <c r="AK120" i="113"/>
  <c r="AP96" i="113"/>
  <c r="G123" i="113"/>
  <c r="N183" i="113"/>
  <c r="AV114" i="64"/>
  <c r="X97" i="113"/>
  <c r="AY107" i="113"/>
  <c r="BA59" i="64"/>
  <c r="U187" i="113"/>
  <c r="BV157" i="113"/>
  <c r="AN138" i="113"/>
  <c r="J122" i="113"/>
  <c r="M80" i="64"/>
  <c r="J72" i="64"/>
  <c r="O101" i="113"/>
  <c r="AY183" i="113"/>
  <c r="AD141" i="113"/>
  <c r="AQ158" i="113"/>
  <c r="K159" i="113"/>
  <c r="V150" i="113"/>
  <c r="BY150" i="113"/>
  <c r="AV182" i="113"/>
  <c r="AO100" i="113"/>
  <c r="AO12" i="113"/>
  <c r="AA52" i="64"/>
  <c r="AP96" i="64"/>
  <c r="AC112" i="113"/>
  <c r="AO216" i="113"/>
  <c r="P16" i="64"/>
  <c r="E122" i="113"/>
  <c r="T12" i="113"/>
  <c r="BT103" i="113"/>
  <c r="AX90" i="113"/>
  <c r="BW147" i="113"/>
  <c r="AB120" i="113"/>
  <c r="BJ56" i="64"/>
  <c r="AJ89" i="64"/>
  <c r="BH58" i="64"/>
  <c r="AB116" i="113"/>
  <c r="BA75" i="64"/>
  <c r="O158" i="113"/>
  <c r="N173" i="113"/>
  <c r="L128" i="113"/>
  <c r="AA105" i="113"/>
  <c r="AZ103" i="113"/>
  <c r="AY127" i="113"/>
  <c r="N103" i="113"/>
  <c r="BB100" i="64"/>
  <c r="BB112" i="113"/>
  <c r="AU112" i="113"/>
  <c r="BD97" i="113"/>
  <c r="BD113" i="113"/>
  <c r="G120" i="113"/>
  <c r="F165" i="113"/>
  <c r="R97" i="64"/>
  <c r="BA194" i="113"/>
  <c r="BY180" i="113"/>
  <c r="U78" i="64"/>
  <c r="H139" i="113"/>
  <c r="BA58" i="64"/>
  <c r="BB173" i="113"/>
  <c r="Q102" i="113"/>
  <c r="E62" i="64"/>
  <c r="BH62" i="64"/>
  <c r="AC158" i="113"/>
  <c r="AG11" i="113"/>
  <c r="AQ163" i="113"/>
  <c r="BV172" i="113"/>
  <c r="F11" i="113"/>
  <c r="AN185" i="113"/>
  <c r="AG148" i="113"/>
  <c r="R72" i="64"/>
  <c r="AI90" i="113"/>
  <c r="S196" i="113"/>
  <c r="Y140" i="113"/>
  <c r="AA196" i="113"/>
  <c r="AU171" i="113"/>
  <c r="H160" i="113"/>
  <c r="F219" i="113"/>
  <c r="BW117" i="113"/>
  <c r="X72" i="64"/>
  <c r="G53" i="64"/>
  <c r="AS216" i="113"/>
  <c r="V11" i="113"/>
  <c r="AG64" i="64"/>
  <c r="J91" i="113"/>
  <c r="AK91" i="64"/>
  <c r="BX141" i="113"/>
  <c r="K182" i="113"/>
  <c r="AD216" i="113"/>
  <c r="BB216" i="113"/>
  <c r="BK114" i="64"/>
  <c r="V184" i="113"/>
  <c r="BA92" i="64"/>
  <c r="E123" i="113"/>
  <c r="I111" i="113"/>
  <c r="AW61" i="64"/>
  <c r="P163" i="113"/>
  <c r="AZ77" i="64"/>
  <c r="V60" i="64"/>
  <c r="W55" i="64"/>
  <c r="BV168" i="113"/>
  <c r="S115" i="113"/>
  <c r="K162" i="113"/>
  <c r="AC97" i="113"/>
  <c r="P77" i="64"/>
  <c r="AO194" i="113"/>
  <c r="Z86" i="64"/>
  <c r="X114" i="113"/>
  <c r="AT63" i="64"/>
  <c r="AL141" i="113"/>
  <c r="AM91" i="64"/>
  <c r="AK89" i="113"/>
  <c r="AD102" i="64"/>
  <c r="AN198" i="113"/>
  <c r="BA82" i="64"/>
  <c r="Y102" i="64"/>
  <c r="AC53" i="64"/>
  <c r="P124" i="113"/>
  <c r="F22" i="64"/>
  <c r="AG195" i="113"/>
  <c r="W100" i="113"/>
  <c r="G110" i="113"/>
  <c r="O49" i="64"/>
  <c r="K54" i="64"/>
  <c r="AR216" i="113"/>
  <c r="AB49" i="64"/>
  <c r="T79" i="64"/>
  <c r="BY106" i="113"/>
  <c r="AV138" i="113"/>
  <c r="BH80" i="64"/>
  <c r="N102" i="113"/>
  <c r="AD119" i="113"/>
  <c r="P224" i="113"/>
  <c r="AU191" i="113"/>
  <c r="P94" i="113"/>
  <c r="Z108" i="113"/>
  <c r="H198" i="113"/>
  <c r="K125" i="113"/>
  <c r="X156" i="113"/>
  <c r="W54" i="64"/>
  <c r="AK7" i="113"/>
  <c r="J161" i="113"/>
  <c r="R196" i="113"/>
  <c r="F104" i="113"/>
  <c r="BB182" i="113"/>
  <c r="N90" i="64"/>
  <c r="BJ98" i="64"/>
  <c r="AT175" i="113"/>
  <c r="AP85" i="64"/>
  <c r="S224" i="113"/>
  <c r="BU103" i="113"/>
  <c r="AV163" i="113"/>
  <c r="AC122" i="113"/>
  <c r="AR100" i="64"/>
  <c r="BC92" i="64"/>
  <c r="AN155" i="113"/>
  <c r="AA57" i="64"/>
  <c r="AS55" i="64"/>
  <c r="L115" i="113"/>
  <c r="BT94" i="113"/>
  <c r="H142" i="113"/>
  <c r="AR133" i="113"/>
  <c r="Z165" i="113"/>
  <c r="M188" i="113"/>
  <c r="BT149" i="113"/>
  <c r="AW145" i="113"/>
  <c r="G132" i="113"/>
  <c r="X180" i="113"/>
  <c r="AX156" i="113"/>
  <c r="AU149" i="113"/>
  <c r="AS77" i="64"/>
  <c r="T77" i="64"/>
  <c r="AZ134" i="113"/>
  <c r="BF90" i="64"/>
  <c r="P88" i="113"/>
  <c r="AN216" i="113"/>
  <c r="G160" i="113"/>
  <c r="E20" i="64"/>
  <c r="O93" i="64"/>
  <c r="T190" i="113"/>
  <c r="AS47" i="64"/>
  <c r="N110" i="113"/>
  <c r="N88" i="64"/>
  <c r="AY152" i="113"/>
  <c r="AM140" i="113"/>
  <c r="AF129" i="113"/>
  <c r="U72" i="64"/>
  <c r="I167" i="113"/>
  <c r="U161" i="113"/>
  <c r="AP54" i="64"/>
  <c r="AJ146" i="113"/>
  <c r="AZ90" i="64"/>
  <c r="J171" i="113"/>
  <c r="AR55" i="64"/>
  <c r="BW87" i="113"/>
  <c r="AC54" i="64"/>
  <c r="BY90" i="113"/>
  <c r="AU161" i="113"/>
  <c r="F91" i="64"/>
  <c r="BD98" i="113"/>
  <c r="BI92" i="64"/>
  <c r="BU102" i="113"/>
  <c r="AN60" i="64"/>
  <c r="T111" i="113"/>
  <c r="Q132" i="113"/>
  <c r="AS187" i="113"/>
  <c r="BF55" i="64"/>
  <c r="L188" i="113"/>
  <c r="AU95" i="64"/>
  <c r="I131" i="113"/>
  <c r="BE80" i="64"/>
  <c r="AZ54" i="64"/>
  <c r="S97" i="113"/>
  <c r="H136" i="113"/>
  <c r="AY87" i="64"/>
  <c r="V72" i="64"/>
  <c r="AX107" i="113"/>
  <c r="N87" i="64"/>
  <c r="AG162" i="113"/>
  <c r="X194" i="113"/>
  <c r="AZ101" i="113"/>
  <c r="AF216" i="113"/>
  <c r="BU158" i="113"/>
  <c r="AC134" i="113"/>
  <c r="K79" i="64"/>
  <c r="AW154" i="113"/>
  <c r="E137" i="113"/>
  <c r="AW161" i="113"/>
  <c r="AI114" i="64"/>
  <c r="J194" i="113"/>
  <c r="E67" i="64"/>
  <c r="AB114" i="64"/>
  <c r="W48" i="64"/>
  <c r="S132" i="113"/>
  <c r="AI126" i="113"/>
  <c r="V191" i="113"/>
  <c r="V52" i="64"/>
  <c r="AX89" i="113"/>
  <c r="AW132" i="113"/>
  <c r="AD59" i="64"/>
  <c r="AJ54" i="64"/>
  <c r="AN170" i="113"/>
  <c r="AD174" i="113"/>
  <c r="E91" i="113"/>
  <c r="U60" i="64"/>
  <c r="BY128" i="113"/>
  <c r="BB60" i="64"/>
  <c r="AP90" i="113"/>
  <c r="BD187" i="113"/>
  <c r="BC103" i="113"/>
  <c r="AJ180" i="113"/>
  <c r="BW161" i="113"/>
  <c r="O129" i="113"/>
  <c r="AJ158" i="113"/>
  <c r="K48" i="64"/>
  <c r="AN53" i="64"/>
  <c r="J107" i="113"/>
  <c r="AP145" i="113"/>
  <c r="AK99" i="113"/>
  <c r="BC177" i="113"/>
  <c r="AL49" i="64"/>
  <c r="AP80" i="64"/>
  <c r="E175" i="113"/>
  <c r="BV139" i="113"/>
  <c r="BB177" i="113"/>
  <c r="AN114" i="64"/>
  <c r="AQ129" i="113"/>
  <c r="AV188" i="113"/>
  <c r="AR77" i="64"/>
  <c r="BG92" i="64"/>
  <c r="BS182" i="113"/>
  <c r="BV97" i="113"/>
  <c r="I118" i="113"/>
  <c r="M99" i="64"/>
  <c r="BC173" i="113"/>
  <c r="BI47" i="64"/>
  <c r="I114" i="113"/>
  <c r="BU176" i="113"/>
  <c r="BU89" i="113"/>
  <c r="AH180" i="113"/>
  <c r="Z183" i="113"/>
  <c r="AT112" i="113"/>
  <c r="K171" i="113"/>
  <c r="S156" i="113"/>
  <c r="H54" i="64"/>
  <c r="V59" i="64"/>
  <c r="BA127" i="113"/>
  <c r="BY7" i="113"/>
  <c r="U166" i="113"/>
  <c r="AS224" i="113"/>
  <c r="Y53" i="64"/>
  <c r="AM186" i="113"/>
  <c r="J79" i="64"/>
  <c r="AY82" i="64"/>
  <c r="BT11" i="113"/>
  <c r="AA102" i="113"/>
  <c r="M61" i="64"/>
  <c r="T58" i="64"/>
  <c r="AB101" i="113"/>
  <c r="AV89" i="113"/>
  <c r="M151" i="113"/>
  <c r="BT121" i="113"/>
  <c r="AG171" i="113"/>
  <c r="AX50" i="64"/>
  <c r="BA183" i="113"/>
  <c r="AE115" i="113"/>
  <c r="J59" i="64"/>
  <c r="BS111" i="113"/>
  <c r="L138" i="113"/>
  <c r="Z89" i="64"/>
  <c r="AH51" i="64"/>
  <c r="R81" i="64"/>
  <c r="AN49" i="64"/>
  <c r="F224" i="113"/>
  <c r="E91" i="64"/>
  <c r="BV153" i="113"/>
  <c r="S190" i="113"/>
  <c r="AF125" i="113"/>
  <c r="N56" i="64"/>
  <c r="AE175" i="113"/>
  <c r="E198" i="113"/>
  <c r="AC167" i="113"/>
  <c r="H121" i="113"/>
  <c r="AX85" i="64"/>
  <c r="AI131" i="113"/>
  <c r="AP135" i="113"/>
  <c r="BU216" i="113"/>
  <c r="O151" i="113"/>
  <c r="BE97" i="64"/>
  <c r="F151" i="113"/>
  <c r="BA95" i="64"/>
  <c r="H66" i="64"/>
  <c r="AO97" i="64"/>
  <c r="AL78" i="64"/>
  <c r="G191" i="113"/>
  <c r="AC55" i="64"/>
  <c r="W157" i="113"/>
  <c r="N58" i="64"/>
  <c r="AU87" i="113"/>
  <c r="AS105" i="113"/>
  <c r="Y81" i="64"/>
  <c r="AY92" i="113"/>
  <c r="AW131" i="113"/>
  <c r="BI75" i="64"/>
  <c r="V77" i="64"/>
  <c r="AQ50" i="64"/>
  <c r="AY47" i="64"/>
  <c r="Q171" i="113"/>
  <c r="BY216" i="113"/>
  <c r="AR143" i="113"/>
  <c r="AL151" i="113"/>
  <c r="BU143" i="113"/>
  <c r="E90" i="113"/>
  <c r="AD134" i="113"/>
  <c r="G149" i="113"/>
  <c r="AL90" i="64"/>
  <c r="E80" i="64"/>
  <c r="AS57" i="64"/>
  <c r="S166" i="113"/>
  <c r="BT122" i="113"/>
  <c r="E98" i="64"/>
  <c r="AS149" i="113"/>
  <c r="S88" i="113"/>
  <c r="AR161" i="113"/>
  <c r="AQ55" i="64"/>
  <c r="AK66" i="64"/>
  <c r="AF49" i="64"/>
  <c r="Y62" i="64"/>
  <c r="AN107" i="113"/>
  <c r="G105" i="113"/>
  <c r="AW114" i="64"/>
  <c r="K195" i="113"/>
  <c r="AR90" i="113"/>
  <c r="BU135" i="113"/>
  <c r="J91" i="64"/>
  <c r="X53" i="64"/>
  <c r="AF122" i="113"/>
  <c r="BC64" i="64"/>
  <c r="BW186" i="113"/>
  <c r="F158" i="113"/>
  <c r="AY153" i="113"/>
  <c r="S192" i="113"/>
  <c r="AF148" i="113"/>
  <c r="AY174" i="113"/>
  <c r="P83" i="64"/>
  <c r="AX92" i="113"/>
  <c r="AB50" i="64"/>
  <c r="AJ85" i="64"/>
  <c r="AE65" i="64"/>
  <c r="AL77" i="64"/>
  <c r="AD182" i="113"/>
  <c r="BS112" i="113"/>
  <c r="T140" i="113"/>
  <c r="O99" i="113"/>
  <c r="AT148" i="113"/>
  <c r="BS156" i="113"/>
  <c r="AI145" i="113"/>
  <c r="O103" i="113"/>
  <c r="AJ104" i="113"/>
  <c r="AZ224" i="113"/>
  <c r="AB65" i="64"/>
  <c r="E139" i="113"/>
  <c r="AU83" i="64"/>
  <c r="AR86" i="64"/>
  <c r="Y82" i="64"/>
  <c r="R173" i="113"/>
  <c r="BB170" i="113"/>
  <c r="BA99" i="113"/>
  <c r="AG94" i="64"/>
  <c r="I96" i="113"/>
  <c r="P168" i="113"/>
  <c r="AH196" i="113"/>
  <c r="AN140" i="113"/>
  <c r="O66" i="64"/>
  <c r="V142" i="113"/>
  <c r="Z100" i="113"/>
  <c r="AC59" i="64"/>
  <c r="S7" i="113"/>
  <c r="BC77" i="64"/>
  <c r="AG107" i="113"/>
  <c r="Q86" i="64"/>
  <c r="BU96" i="113"/>
  <c r="AH107" i="113"/>
  <c r="O61" i="64"/>
  <c r="AN52" i="64"/>
  <c r="AL47" i="64"/>
  <c r="BC190" i="113"/>
  <c r="AJ139" i="113"/>
  <c r="AY111" i="113"/>
  <c r="AA192" i="113"/>
  <c r="BB47" i="64"/>
  <c r="F99" i="64"/>
  <c r="G152" i="113"/>
  <c r="AY132" i="113"/>
  <c r="AU82" i="64"/>
  <c r="AS103" i="113"/>
  <c r="R166" i="113"/>
  <c r="I186" i="113"/>
  <c r="AD98" i="113"/>
  <c r="BC86" i="64"/>
  <c r="AY148" i="113"/>
  <c r="AF11" i="113"/>
  <c r="AM111" i="113"/>
  <c r="T100" i="64"/>
  <c r="BX103" i="113"/>
  <c r="T122" i="113"/>
  <c r="G87" i="113"/>
  <c r="BF95" i="64"/>
  <c r="S123" i="113"/>
  <c r="BY137" i="113"/>
  <c r="AQ167" i="113"/>
  <c r="O107" i="113"/>
  <c r="BX124" i="113"/>
  <c r="BX123" i="113"/>
  <c r="AJ140" i="113"/>
  <c r="BT136" i="113"/>
  <c r="BC98" i="113"/>
  <c r="AF114" i="64"/>
  <c r="AJ179" i="113"/>
  <c r="AT165" i="113"/>
  <c r="AJ171" i="113"/>
  <c r="AB133" i="113"/>
  <c r="E29" i="64"/>
  <c r="AC143" i="113"/>
  <c r="BB149" i="113"/>
  <c r="H150" i="113"/>
  <c r="N11" i="64"/>
  <c r="F130" i="113"/>
  <c r="AZ169" i="113"/>
  <c r="K169" i="113"/>
  <c r="AT138" i="113"/>
  <c r="E133" i="113"/>
  <c r="AS56" i="64"/>
  <c r="R152" i="113"/>
  <c r="AM53" i="64"/>
  <c r="F95" i="113"/>
  <c r="AQ130" i="113"/>
  <c r="AO170" i="113"/>
  <c r="X195" i="113"/>
  <c r="U136" i="113"/>
  <c r="AO77" i="64"/>
  <c r="AN101" i="64"/>
  <c r="AR178" i="113"/>
  <c r="AP136" i="113"/>
  <c r="BU155" i="113"/>
  <c r="O87" i="113"/>
  <c r="L102" i="113"/>
  <c r="AC126" i="113"/>
  <c r="R93" i="64"/>
  <c r="AY99" i="64"/>
  <c r="AJ100" i="113"/>
  <c r="T106" i="113"/>
  <c r="BE98" i="64"/>
  <c r="AS118" i="113"/>
  <c r="AL149" i="113"/>
  <c r="U113" i="113"/>
  <c r="BD178" i="113"/>
  <c r="AT86" i="64"/>
  <c r="AE100" i="113"/>
  <c r="P181" i="113"/>
  <c r="E92" i="113"/>
  <c r="AQ151" i="113"/>
  <c r="AM136" i="113"/>
  <c r="BG79" i="64"/>
  <c r="AV97" i="113"/>
  <c r="L182" i="113"/>
  <c r="AV169" i="113"/>
  <c r="AJ61" i="64"/>
  <c r="Q94" i="64"/>
  <c r="BB90" i="113"/>
  <c r="BT187" i="113"/>
  <c r="BV180" i="113"/>
  <c r="Z196" i="113"/>
  <c r="G134" i="113"/>
  <c r="AL99" i="64"/>
  <c r="AZ105" i="113"/>
  <c r="AR93" i="113"/>
  <c r="AC130" i="113"/>
  <c r="M62" i="64"/>
  <c r="X49" i="64"/>
  <c r="Z167" i="113"/>
  <c r="AC188" i="113"/>
  <c r="F142" i="113"/>
  <c r="AW115" i="113"/>
  <c r="K101" i="113"/>
  <c r="BC84" i="64"/>
  <c r="E100" i="64"/>
  <c r="Y146" i="113"/>
  <c r="Z83" i="64"/>
  <c r="T133" i="113"/>
  <c r="Z181" i="113"/>
  <c r="H165" i="113"/>
  <c r="Y88" i="113"/>
  <c r="W167" i="113"/>
  <c r="AL48" i="64"/>
  <c r="BA103" i="113"/>
  <c r="AK113" i="113"/>
  <c r="AB186" i="113"/>
  <c r="AH93" i="113"/>
  <c r="U66" i="64"/>
  <c r="AK47" i="64"/>
  <c r="BS164" i="113"/>
  <c r="W75" i="64"/>
  <c r="AG106" i="113"/>
  <c r="BS92" i="113"/>
  <c r="X119" i="113"/>
  <c r="AZ50" i="64"/>
  <c r="AU145" i="113"/>
  <c r="AX93" i="113"/>
  <c r="E95" i="64"/>
  <c r="P12" i="64"/>
  <c r="J181" i="113"/>
  <c r="G189" i="113"/>
  <c r="U160" i="113"/>
  <c r="N98" i="64"/>
  <c r="AB128" i="113"/>
  <c r="AJ120" i="113"/>
  <c r="AC66" i="64"/>
  <c r="BU105" i="113"/>
  <c r="BE63" i="64"/>
  <c r="AD126" i="113"/>
  <c r="Q95" i="113"/>
  <c r="AM176" i="113"/>
  <c r="AV162" i="113"/>
  <c r="BS170" i="113"/>
  <c r="F195" i="113"/>
  <c r="AW120" i="113"/>
  <c r="AP58" i="64"/>
  <c r="BF99" i="64"/>
  <c r="U56" i="64"/>
  <c r="BS118" i="113"/>
  <c r="T130" i="113"/>
  <c r="K90" i="113"/>
  <c r="BC53" i="64"/>
  <c r="AE12" i="113"/>
  <c r="AF65" i="64"/>
  <c r="BI54" i="64"/>
  <c r="Q26" i="64"/>
  <c r="AQ78" i="64"/>
  <c r="AR97" i="64"/>
  <c r="M56" i="64"/>
  <c r="R131" i="113"/>
  <c r="BB80" i="64"/>
  <c r="T81" i="64"/>
  <c r="AK185" i="113"/>
  <c r="AI114" i="113"/>
  <c r="BU124" i="113"/>
  <c r="V187" i="113"/>
  <c r="BI72" i="64"/>
  <c r="O97" i="64"/>
  <c r="AZ114" i="113"/>
  <c r="S160" i="113"/>
  <c r="AO103" i="113"/>
  <c r="AC151" i="113"/>
  <c r="T172" i="113"/>
  <c r="R122" i="113"/>
  <c r="G219" i="113"/>
  <c r="R177" i="113"/>
  <c r="V79" i="64"/>
  <c r="AT99" i="113"/>
  <c r="BX138" i="113"/>
  <c r="AA175" i="113"/>
  <c r="M123" i="113"/>
  <c r="AV101" i="64"/>
  <c r="M189" i="113"/>
  <c r="BH90" i="64"/>
  <c r="T113" i="113"/>
  <c r="Z163" i="113"/>
  <c r="Y153" i="113"/>
  <c r="AZ192" i="113"/>
  <c r="BC174" i="113"/>
  <c r="O157" i="113"/>
  <c r="AR65" i="64"/>
  <c r="AE137" i="113"/>
  <c r="N88" i="113"/>
  <c r="Z102" i="64"/>
  <c r="BI60" i="64"/>
  <c r="X102" i="64"/>
  <c r="BV154" i="113"/>
  <c r="X164" i="113"/>
  <c r="AG173" i="113"/>
  <c r="AS108" i="113"/>
  <c r="AW167" i="113"/>
  <c r="S101" i="64"/>
  <c r="AV99" i="64"/>
  <c r="BD168" i="113"/>
  <c r="AE101" i="64"/>
  <c r="AI111" i="113"/>
  <c r="N91" i="64"/>
  <c r="BD87" i="113"/>
  <c r="BB48" i="64"/>
  <c r="AB92" i="113"/>
  <c r="E35" i="64"/>
  <c r="AU120" i="113"/>
  <c r="O105" i="113"/>
  <c r="AH12" i="113"/>
  <c r="L196" i="113"/>
  <c r="AJ130" i="113"/>
  <c r="E8" i="64"/>
  <c r="J82" i="64"/>
  <c r="G111" i="113"/>
  <c r="AM96" i="113"/>
  <c r="AP100" i="113"/>
  <c r="M94" i="113"/>
  <c r="BB148" i="113"/>
  <c r="BG58" i="64"/>
  <c r="AS81" i="64"/>
  <c r="BO216" i="113"/>
  <c r="Y180" i="113"/>
  <c r="G187" i="113"/>
  <c r="AV63" i="64"/>
  <c r="V147" i="113"/>
  <c r="AH118" i="113"/>
  <c r="BY95" i="113"/>
  <c r="T48" i="64"/>
  <c r="AG177" i="113"/>
  <c r="AG98" i="64"/>
  <c r="L137" i="113"/>
  <c r="AE170" i="113"/>
  <c r="BT125" i="113"/>
  <c r="T141" i="113"/>
  <c r="AH104" i="113"/>
  <c r="AT114" i="113"/>
  <c r="G103" i="113"/>
  <c r="AE157" i="113"/>
  <c r="Q139" i="113"/>
  <c r="V195" i="113"/>
  <c r="BV102" i="113"/>
  <c r="AR163" i="113"/>
  <c r="BX198" i="113"/>
  <c r="AC144" i="113"/>
  <c r="AA137" i="113"/>
  <c r="AY51" i="64"/>
  <c r="X190" i="113"/>
  <c r="BV132" i="113"/>
  <c r="S167" i="113"/>
  <c r="AA102" i="64"/>
  <c r="F93" i="113"/>
  <c r="AE84" i="64"/>
  <c r="S86" i="64"/>
  <c r="L151" i="113"/>
  <c r="AO93" i="113"/>
  <c r="W127" i="113"/>
  <c r="BY109" i="113"/>
  <c r="BC162" i="113"/>
  <c r="BA101" i="64"/>
  <c r="W11" i="113"/>
  <c r="R90" i="113"/>
  <c r="E45" i="64"/>
  <c r="AM105" i="113"/>
  <c r="AN113" i="113"/>
  <c r="AR114" i="113"/>
  <c r="AS122" i="113"/>
  <c r="BU189" i="113"/>
  <c r="H52" i="64"/>
  <c r="G197" i="113"/>
  <c r="E97" i="113"/>
  <c r="AJ60" i="64"/>
  <c r="AJ224" i="113"/>
  <c r="BK83" i="64"/>
  <c r="H152" i="113"/>
  <c r="N194" i="113"/>
  <c r="V106" i="113"/>
  <c r="BB85" i="64"/>
  <c r="AH11" i="64"/>
  <c r="BC102" i="64"/>
  <c r="BU138" i="113"/>
  <c r="AO72" i="64"/>
  <c r="BD188" i="113"/>
  <c r="AS171" i="113"/>
  <c r="BU141" i="113"/>
  <c r="AI190" i="113"/>
  <c r="K107" i="113"/>
  <c r="AB159" i="113"/>
  <c r="AZ198" i="113"/>
  <c r="X216" i="113"/>
  <c r="Z101" i="64"/>
  <c r="R155" i="113"/>
  <c r="AB59" i="64"/>
  <c r="AM177" i="113"/>
  <c r="AX105" i="113"/>
  <c r="AK188" i="113"/>
  <c r="BW172" i="113"/>
  <c r="AG57" i="64"/>
  <c r="BA169" i="113"/>
  <c r="U87" i="113"/>
  <c r="AD143" i="113"/>
  <c r="AI90" i="64"/>
  <c r="AD52" i="64"/>
  <c r="BU121" i="113"/>
  <c r="M11" i="113"/>
  <c r="AD122" i="113"/>
  <c r="BB160" i="113"/>
  <c r="AR166" i="113"/>
  <c r="F144" i="113"/>
  <c r="T114" i="113"/>
  <c r="BC189" i="113"/>
  <c r="BB136" i="113"/>
  <c r="T188" i="113"/>
  <c r="AU95" i="113"/>
  <c r="E174" i="113"/>
  <c r="X181" i="113"/>
  <c r="O111" i="113"/>
  <c r="BS146" i="113"/>
  <c r="AY131" i="113"/>
  <c r="BH95" i="64"/>
  <c r="BT133" i="113"/>
  <c r="AO185" i="113"/>
  <c r="BU127" i="113"/>
  <c r="BA190" i="113"/>
  <c r="G59" i="64"/>
  <c r="T91" i="113"/>
  <c r="AT163" i="113"/>
  <c r="BC75" i="64"/>
  <c r="AA79" i="64"/>
  <c r="G99" i="113"/>
  <c r="AL102" i="113"/>
  <c r="AR169" i="113"/>
  <c r="AE159" i="113"/>
  <c r="R114" i="64"/>
  <c r="BB151" i="113"/>
  <c r="H72" i="64"/>
  <c r="AW141" i="113"/>
  <c r="AV54" i="64"/>
  <c r="L61" i="64"/>
  <c r="AS198" i="113"/>
  <c r="G119" i="113"/>
  <c r="Q170" i="113"/>
  <c r="Z78" i="64"/>
  <c r="AE168" i="113"/>
  <c r="Z125" i="113"/>
  <c r="E34" i="64"/>
  <c r="BC129" i="113"/>
  <c r="BV92" i="113"/>
  <c r="BT159" i="113"/>
  <c r="X89" i="113"/>
  <c r="AA94" i="113"/>
  <c r="F101" i="64"/>
  <c r="AH167" i="113"/>
  <c r="AN144" i="113"/>
  <c r="AJ99" i="113"/>
  <c r="I92" i="64"/>
  <c r="AB190" i="113"/>
  <c r="AV87" i="113"/>
  <c r="AP144" i="113"/>
  <c r="AO120" i="113"/>
  <c r="K193" i="113"/>
  <c r="AQ108" i="113"/>
  <c r="Y108" i="113"/>
  <c r="AL187" i="113"/>
  <c r="E85" i="64"/>
  <c r="AX134" i="113"/>
  <c r="AZ65" i="64"/>
  <c r="BD11" i="113"/>
  <c r="AI105" i="113"/>
  <c r="H130" i="113"/>
  <c r="BI98" i="64"/>
  <c r="W65" i="64"/>
  <c r="AU183" i="113"/>
  <c r="BC94" i="64"/>
  <c r="AT151" i="113"/>
  <c r="O152" i="113"/>
  <c r="BC139" i="113"/>
  <c r="E214" i="113"/>
  <c r="G81" i="64"/>
  <c r="BD158" i="113"/>
  <c r="AK157" i="113"/>
  <c r="W83" i="64"/>
  <c r="AM66" i="64"/>
  <c r="V12" i="113"/>
  <c r="BT216" i="113"/>
  <c r="BD166" i="113"/>
  <c r="T132" i="113"/>
  <c r="BJ79" i="64"/>
  <c r="AP77" i="64"/>
  <c r="BE88" i="64"/>
  <c r="AF136" i="113"/>
  <c r="M91" i="64"/>
  <c r="AR110" i="113"/>
  <c r="BW135" i="113"/>
  <c r="AC58" i="64"/>
  <c r="AZ127" i="113"/>
  <c r="AO100" i="64"/>
  <c r="P7" i="113"/>
  <c r="L169" i="113"/>
  <c r="R91" i="64"/>
  <c r="L168" i="113"/>
  <c r="U190" i="113"/>
  <c r="AJ102" i="113"/>
  <c r="AL188" i="113"/>
  <c r="AI82" i="64"/>
  <c r="W121" i="113"/>
  <c r="BG81" i="64"/>
  <c r="AX114" i="64"/>
  <c r="P11" i="64"/>
  <c r="I122" i="113"/>
  <c r="Y83" i="64"/>
  <c r="K130" i="113"/>
  <c r="AL182" i="113"/>
  <c r="AG87" i="113"/>
  <c r="U152" i="113"/>
  <c r="AG266" i="113" l="1"/>
  <c r="P137" i="64"/>
  <c r="BD81" i="64"/>
  <c r="A214" i="113"/>
  <c r="BR130" i="113"/>
  <c r="BD276" i="113"/>
  <c r="AX46" i="71" s="1"/>
  <c r="AV266" i="113"/>
  <c r="AP32" i="71" s="1"/>
  <c r="BD59" i="64"/>
  <c r="A174" i="113"/>
  <c r="M276" i="113"/>
  <c r="N46" i="71" s="1"/>
  <c r="AD282" i="113"/>
  <c r="U266" i="113"/>
  <c r="AH137" i="64"/>
  <c r="BR152" i="113"/>
  <c r="A97" i="113"/>
  <c r="W276" i="113"/>
  <c r="BD266" i="113"/>
  <c r="AX32" i="71" s="1"/>
  <c r="BR165" i="113"/>
  <c r="A92" i="113"/>
  <c r="O266" i="113"/>
  <c r="A133" i="113"/>
  <c r="N137" i="64"/>
  <c r="BR150" i="113"/>
  <c r="AC282" i="113"/>
  <c r="AF276" i="113"/>
  <c r="A139" i="113"/>
  <c r="A90" i="113"/>
  <c r="BU282" i="113"/>
  <c r="AR282" i="113"/>
  <c r="AL52" i="71" s="1"/>
  <c r="AU266" i="113"/>
  <c r="AO32" i="71" s="1"/>
  <c r="BR121" i="113"/>
  <c r="A198" i="113"/>
  <c r="BT276" i="113"/>
  <c r="A175" i="113"/>
  <c r="A91" i="113"/>
  <c r="A137" i="113"/>
  <c r="BR136" i="113"/>
  <c r="BW266" i="113"/>
  <c r="BR142" i="113"/>
  <c r="BR198" i="113"/>
  <c r="A123" i="113"/>
  <c r="V276" i="113"/>
  <c r="BD53" i="64"/>
  <c r="BR160" i="113"/>
  <c r="AG276" i="113"/>
  <c r="BR139" i="113"/>
  <c r="A122" i="113"/>
  <c r="P138" i="64"/>
  <c r="AE276" i="113"/>
  <c r="A89" i="113"/>
  <c r="A96" i="113"/>
  <c r="A100" i="113"/>
  <c r="L282" i="113"/>
  <c r="M52" i="71" s="1"/>
  <c r="Z276" i="113"/>
  <c r="A220" i="113"/>
  <c r="BR100" i="113"/>
  <c r="A192" i="113"/>
  <c r="A213" i="113"/>
  <c r="N282" i="113"/>
  <c r="O52" i="71" s="1"/>
  <c r="A185" i="113"/>
  <c r="BR159" i="113"/>
  <c r="N266" i="113"/>
  <c r="O32" i="71" s="1"/>
  <c r="BD50" i="64"/>
  <c r="BR192" i="113"/>
  <c r="A126" i="113"/>
  <c r="BD282" i="113"/>
  <c r="AX52" i="71" s="1"/>
  <c r="BW282" i="113"/>
  <c r="O137" i="64"/>
  <c r="BC276" i="113"/>
  <c r="AW46" i="71" s="1"/>
  <c r="A215" i="113"/>
  <c r="A127" i="113"/>
  <c r="AZ282" i="113"/>
  <c r="AT52" i="71" s="1"/>
  <c r="BC282" i="113"/>
  <c r="AW52" i="71" s="1"/>
  <c r="BR124" i="113"/>
  <c r="A115" i="113"/>
  <c r="Y137" i="64"/>
  <c r="AX266" i="113"/>
  <c r="AR32" i="71" s="1"/>
  <c r="BR155" i="113"/>
  <c r="BY276" i="113"/>
  <c r="BB266" i="113"/>
  <c r="AV32" i="71" s="1"/>
  <c r="M266" i="113"/>
  <c r="N32" i="71" s="1"/>
  <c r="A168" i="113"/>
  <c r="Q137" i="64"/>
  <c r="O276" i="113"/>
  <c r="BR108" i="113"/>
  <c r="BU276" i="113"/>
  <c r="A117" i="113"/>
  <c r="A162" i="113"/>
  <c r="BD92" i="64"/>
  <c r="BD97" i="64"/>
  <c r="BB282" i="113"/>
  <c r="AV52" i="71" s="1"/>
  <c r="H282" i="113"/>
  <c r="I52" i="71" s="1"/>
  <c r="BR143" i="113"/>
  <c r="BR99" i="113"/>
  <c r="BR183" i="113"/>
  <c r="BR129" i="113"/>
  <c r="R137" i="64"/>
  <c r="AM276" i="113"/>
  <c r="AG46" i="71" s="1"/>
  <c r="A94" i="113"/>
  <c r="O282" i="113"/>
  <c r="A141" i="113"/>
  <c r="BR163" i="113"/>
  <c r="Z282" i="113"/>
  <c r="A159" i="113"/>
  <c r="BR138" i="113"/>
  <c r="A181" i="113"/>
  <c r="BR188" i="113"/>
  <c r="AR276" i="113"/>
  <c r="AL46" i="71" s="1"/>
  <c r="AN276" i="113"/>
  <c r="AH46" i="71" s="1"/>
  <c r="BD55" i="64"/>
  <c r="N276" i="113"/>
  <c r="O46" i="71" s="1"/>
  <c r="BD63" i="64"/>
  <c r="BR196" i="113"/>
  <c r="K282" i="113"/>
  <c r="L52" i="71" s="1"/>
  <c r="AV276" i="113"/>
  <c r="AP46" i="71" s="1"/>
  <c r="A212" i="113"/>
  <c r="S276" i="113"/>
  <c r="BR169" i="113"/>
  <c r="BD100" i="64"/>
  <c r="BR174" i="113"/>
  <c r="L266" i="113"/>
  <c r="M32" i="71" s="1"/>
  <c r="A170" i="113"/>
  <c r="BR134" i="113"/>
  <c r="AT276" i="113"/>
  <c r="AN46" i="71" s="1"/>
  <c r="A145" i="113"/>
  <c r="A148" i="113"/>
  <c r="A186" i="113"/>
  <c r="R282" i="113"/>
  <c r="A113" i="113"/>
  <c r="A150" i="113"/>
  <c r="BD52" i="64"/>
  <c r="BD66" i="64"/>
  <c r="Y282" i="113"/>
  <c r="A101" i="113"/>
  <c r="A195" i="113"/>
  <c r="AA137" i="64"/>
  <c r="I266" i="113"/>
  <c r="J32" i="71" s="1"/>
  <c r="AD276" i="113"/>
  <c r="N138" i="64"/>
  <c r="BA266" i="113"/>
  <c r="AU32" i="71" s="1"/>
  <c r="BR94" i="113"/>
  <c r="BA282" i="113"/>
  <c r="AU52" i="71" s="1"/>
  <c r="BD54" i="64"/>
  <c r="A129" i="113"/>
  <c r="BD101" i="64"/>
  <c r="BD95" i="64"/>
  <c r="BR172" i="113"/>
  <c r="A98" i="113"/>
  <c r="S137" i="64"/>
  <c r="AM266" i="113"/>
  <c r="AG32" i="71" s="1"/>
  <c r="U276" i="113"/>
  <c r="J266" i="113"/>
  <c r="K32" i="71" s="1"/>
  <c r="U282" i="113"/>
  <c r="BR98" i="113"/>
  <c r="AD137" i="64"/>
  <c r="BR118" i="113"/>
  <c r="AF137" i="64"/>
  <c r="BD84" i="64"/>
  <c r="Z266" i="113"/>
  <c r="O140" i="64"/>
  <c r="P282" i="113"/>
  <c r="BR187" i="113"/>
  <c r="BD86" i="64"/>
  <c r="Q138" i="64"/>
  <c r="A229" i="113"/>
  <c r="S138" i="64"/>
  <c r="BR115" i="113"/>
  <c r="AC266" i="113"/>
  <c r="AF266" i="113"/>
  <c r="BR111" i="113"/>
  <c r="Q140" i="64"/>
  <c r="BR112" i="113"/>
  <c r="A217" i="113"/>
  <c r="AY266" i="113"/>
  <c r="AS32" i="71" s="1"/>
  <c r="BD79" i="64"/>
  <c r="A227" i="113"/>
  <c r="BR116" i="113"/>
  <c r="BD96" i="64"/>
  <c r="BR128" i="113"/>
  <c r="A114" i="113"/>
  <c r="Q276" i="113"/>
  <c r="P276" i="113"/>
  <c r="L276" i="113"/>
  <c r="M46" i="71" s="1"/>
  <c r="A223" i="113"/>
  <c r="W282" i="113"/>
  <c r="BE138" i="64"/>
  <c r="BR158" i="113"/>
  <c r="BR131" i="113"/>
  <c r="BR191" i="113"/>
  <c r="AP266" i="113"/>
  <c r="AJ32" i="71" s="1"/>
  <c r="BR148" i="113"/>
  <c r="T137" i="64"/>
  <c r="A132" i="113"/>
  <c r="BD72" i="64"/>
  <c r="BD64" i="64"/>
  <c r="AG137" i="64"/>
  <c r="A173" i="113"/>
  <c r="BD87" i="64"/>
  <c r="AB276" i="113"/>
  <c r="BR194" i="113"/>
  <c r="BR106" i="113"/>
  <c r="BD90" i="64"/>
  <c r="S282" i="113"/>
  <c r="T138" i="64"/>
  <c r="AA266" i="113"/>
  <c r="A167" i="113"/>
  <c r="I276" i="113"/>
  <c r="J46" i="71" s="1"/>
  <c r="A87" i="113"/>
  <c r="A99" i="113"/>
  <c r="N140" i="64"/>
  <c r="AA282" i="113"/>
  <c r="A128" i="113"/>
  <c r="BR171" i="113"/>
  <c r="AZ266" i="113"/>
  <c r="AT32" i="71" s="1"/>
  <c r="J276" i="113"/>
  <c r="K46" i="71" s="1"/>
  <c r="BY282" i="113"/>
  <c r="BR186" i="113"/>
  <c r="BD89" i="64"/>
  <c r="BT266" i="113"/>
  <c r="S266" i="113"/>
  <c r="U137" i="64"/>
  <c r="A163" i="113"/>
  <c r="AM282" i="113"/>
  <c r="AG52" i="71" s="1"/>
  <c r="BD93" i="64"/>
  <c r="A109" i="113"/>
  <c r="BR97" i="113"/>
  <c r="X137" i="64"/>
  <c r="AK282" i="113"/>
  <c r="AE52" i="71" s="1"/>
  <c r="A149" i="113"/>
  <c r="A169" i="113"/>
  <c r="BR153" i="113"/>
  <c r="AJ266" i="113"/>
  <c r="AD32" i="71" s="1"/>
  <c r="A134" i="113"/>
  <c r="BR197" i="113"/>
  <c r="BC266" i="113"/>
  <c r="AW32" i="71" s="1"/>
  <c r="K276" i="113"/>
  <c r="L46" i="71" s="1"/>
  <c r="A147" i="113"/>
  <c r="A182" i="113"/>
  <c r="A104" i="113"/>
  <c r="T266" i="113"/>
  <c r="BD56" i="64"/>
  <c r="BR156" i="113"/>
  <c r="BR185" i="113"/>
  <c r="A166" i="113"/>
  <c r="BR157" i="113"/>
  <c r="Y266" i="113"/>
  <c r="BD99" i="64"/>
  <c r="AN282" i="113"/>
  <c r="AH52" i="71" s="1"/>
  <c r="Q282" i="113"/>
  <c r="BR120" i="113"/>
  <c r="BR178" i="113"/>
  <c r="BR195" i="113"/>
  <c r="BR176" i="113"/>
  <c r="A144" i="113"/>
  <c r="AH282" i="113"/>
  <c r="AW266" i="113"/>
  <c r="AQ32" i="71" s="1"/>
  <c r="AX282" i="113"/>
  <c r="AR52" i="71" s="1"/>
  <c r="AX276" i="113"/>
  <c r="AR46" i="71" s="1"/>
  <c r="A189" i="113"/>
  <c r="BR110" i="113"/>
  <c r="BR182" i="113"/>
  <c r="AI266" i="113"/>
  <c r="BR91" i="113"/>
  <c r="BD91" i="64"/>
  <c r="A93" i="113"/>
  <c r="AU282" i="113"/>
  <c r="AO52" i="71" s="1"/>
  <c r="A110" i="113"/>
  <c r="P266" i="113"/>
  <c r="AE282" i="113"/>
  <c r="A116" i="113"/>
  <c r="BR168" i="113"/>
  <c r="BR154" i="113"/>
  <c r="A161" i="113"/>
  <c r="A138" i="113"/>
  <c r="BD47" i="64"/>
  <c r="BR140" i="113"/>
  <c r="BY266" i="113"/>
  <c r="R266" i="113"/>
  <c r="A142" i="113"/>
  <c r="A152" i="113"/>
  <c r="A171" i="113"/>
  <c r="BR109" i="113"/>
  <c r="AJ282" i="113"/>
  <c r="AD52" i="71" s="1"/>
  <c r="A120" i="113"/>
  <c r="BR93" i="113"/>
  <c r="BR180" i="113"/>
  <c r="W137" i="64"/>
  <c r="A164" i="113"/>
  <c r="BR162" i="113"/>
  <c r="BF137" i="64"/>
  <c r="P140" i="64"/>
  <c r="AC276" i="113"/>
  <c r="AE266" i="113"/>
  <c r="AH266" i="113"/>
  <c r="BR179" i="113"/>
  <c r="A146" i="113"/>
  <c r="BU266" i="113"/>
  <c r="BR95" i="113"/>
  <c r="A184" i="113"/>
  <c r="A183" i="113"/>
  <c r="S140" i="64"/>
  <c r="BD83" i="64"/>
  <c r="AI276" i="113"/>
  <c r="A221" i="113"/>
  <c r="BD60" i="64"/>
  <c r="A121" i="113"/>
  <c r="BR119" i="113"/>
  <c r="A103" i="113"/>
  <c r="AT266" i="113"/>
  <c r="AN32" i="71" s="1"/>
  <c r="BX266" i="113"/>
  <c r="AS266" i="113"/>
  <c r="AM32" i="71" s="1"/>
  <c r="AB137" i="64"/>
  <c r="A177" i="113"/>
  <c r="BR107" i="113"/>
  <c r="A130" i="113"/>
  <c r="W266" i="113"/>
  <c r="J282" i="113"/>
  <c r="K52" i="71" s="1"/>
  <c r="AB266" i="113"/>
  <c r="BS266" i="113"/>
  <c r="A224" i="113"/>
  <c r="AT282" i="113"/>
  <c r="AN52" i="71" s="1"/>
  <c r="A211" i="113"/>
  <c r="A190" i="113"/>
  <c r="A140" i="113"/>
  <c r="AG282" i="113"/>
  <c r="BR135" i="113"/>
  <c r="A155" i="113"/>
  <c r="O138" i="64"/>
  <c r="A179" i="113"/>
  <c r="BR117" i="113"/>
  <c r="AP282" i="113"/>
  <c r="AJ52" i="71" s="1"/>
  <c r="BD49" i="64"/>
  <c r="AV282" i="113"/>
  <c r="AP52" i="71" s="1"/>
  <c r="A193" i="113"/>
  <c r="R276" i="113"/>
  <c r="A216" i="113"/>
  <c r="AF282" i="113"/>
  <c r="BR122" i="113"/>
  <c r="R140" i="64"/>
  <c r="BD62" i="64"/>
  <c r="A172" i="113"/>
  <c r="A225" i="113"/>
  <c r="BE140" i="64"/>
  <c r="BR144" i="113"/>
  <c r="BR151" i="113"/>
  <c r="BR161" i="113"/>
  <c r="A119" i="113"/>
  <c r="K266" i="113"/>
  <c r="L32" i="71" s="1"/>
  <c r="BR166" i="113"/>
  <c r="BW276" i="113"/>
  <c r="A157" i="113"/>
  <c r="BR145" i="113"/>
  <c r="BR90" i="113"/>
  <c r="BD85" i="64"/>
  <c r="BR132" i="113"/>
  <c r="H276" i="113"/>
  <c r="I46" i="71" s="1"/>
  <c r="BR11" i="113"/>
  <c r="BS282" i="113"/>
  <c r="BR181" i="113"/>
  <c r="AY282" i="113"/>
  <c r="AS52" i="71" s="1"/>
  <c r="A108" i="113"/>
  <c r="AQ282" i="113"/>
  <c r="AK52" i="71" s="1"/>
  <c r="BE137" i="64"/>
  <c r="BR133" i="113"/>
  <c r="AS282" i="113"/>
  <c r="AM52" i="71" s="1"/>
  <c r="AE137" i="64"/>
  <c r="BR141" i="113"/>
  <c r="AL276" i="113"/>
  <c r="AF46" i="71" s="1"/>
  <c r="BR114" i="113"/>
  <c r="AP276" i="113"/>
  <c r="AJ46" i="71" s="1"/>
  <c r="BR146" i="113"/>
  <c r="BD102" i="64"/>
  <c r="BR170" i="113"/>
  <c r="H266" i="113"/>
  <c r="I32" i="71" s="1"/>
  <c r="BR87" i="113"/>
  <c r="A226" i="113"/>
  <c r="A95" i="113"/>
  <c r="BD48" i="64"/>
  <c r="G132" i="64"/>
  <c r="A187" i="113"/>
  <c r="A88" i="113"/>
  <c r="AN266" i="113"/>
  <c r="AH32" i="71" s="1"/>
  <c r="T282" i="113"/>
  <c r="V282" i="113"/>
  <c r="BD65" i="64"/>
  <c r="A136" i="113"/>
  <c r="A102" i="113"/>
  <c r="BR102" i="113"/>
  <c r="T276" i="113"/>
  <c r="BS276" i="113"/>
  <c r="A125" i="113"/>
  <c r="BD75" i="64"/>
  <c r="BR216" i="113"/>
  <c r="AZ276" i="113"/>
  <c r="AT46" i="71" s="1"/>
  <c r="A178" i="113"/>
  <c r="V137" i="64"/>
  <c r="BR164" i="113"/>
  <c r="A124" i="113"/>
  <c r="BR224" i="113"/>
  <c r="BR127" i="113"/>
  <c r="AW276" i="113"/>
  <c r="AQ46" i="71" s="1"/>
  <c r="BR126" i="113"/>
  <c r="AS276" i="113"/>
  <c r="AM46" i="71" s="1"/>
  <c r="AJ276" i="113"/>
  <c r="AD46" i="71" s="1"/>
  <c r="AU276" i="113"/>
  <c r="AO46" i="71" s="1"/>
  <c r="AL266" i="113"/>
  <c r="AF32" i="71" s="1"/>
  <c r="BR125" i="113"/>
  <c r="BX282" i="113"/>
  <c r="AO266" i="113"/>
  <c r="AI32" i="71" s="1"/>
  <c r="M282" i="113"/>
  <c r="N52" i="71" s="1"/>
  <c r="BR89" i="113"/>
  <c r="BD88" i="64"/>
  <c r="BD94" i="64"/>
  <c r="BR175" i="113"/>
  <c r="AY276" i="113"/>
  <c r="AS46" i="71" s="1"/>
  <c r="BA276" i="113"/>
  <c r="AU46" i="71" s="1"/>
  <c r="BR147" i="113"/>
  <c r="BR189" i="113"/>
  <c r="AK276" i="113"/>
  <c r="AE46" i="71" s="1"/>
  <c r="AA276" i="113"/>
  <c r="BR177" i="113"/>
  <c r="A191" i="113"/>
  <c r="BD98" i="64"/>
  <c r="A131" i="113"/>
  <c r="BR193" i="113"/>
  <c r="BX276" i="113"/>
  <c r="AL282" i="113"/>
  <c r="AF52" i="71" s="1"/>
  <c r="AO276" i="113"/>
  <c r="AI46" i="71" s="1"/>
  <c r="A219" i="113"/>
  <c r="BR184" i="113"/>
  <c r="A160" i="113"/>
  <c r="A158" i="113"/>
  <c r="I282" i="113"/>
  <c r="J52" i="71" s="1"/>
  <c r="C52" i="71" s="1"/>
  <c r="A143" i="113"/>
  <c r="X282" i="113"/>
  <c r="A194" i="113"/>
  <c r="AI282" i="113"/>
  <c r="BR149" i="113"/>
  <c r="BD82" i="64"/>
  <c r="BB276" i="113"/>
  <c r="AV46" i="71" s="1"/>
  <c r="BD77" i="64"/>
  <c r="BR167" i="113"/>
  <c r="A112" i="113"/>
  <c r="BR137" i="113"/>
  <c r="A197" i="113"/>
  <c r="X276" i="113"/>
  <c r="A196" i="113"/>
  <c r="Z137" i="64"/>
  <c r="AW282" i="113"/>
  <c r="AQ52" i="71" s="1"/>
  <c r="BD61" i="64"/>
  <c r="A105" i="113"/>
  <c r="BR113" i="113"/>
  <c r="A153" i="113"/>
  <c r="A218" i="113"/>
  <c r="V266" i="113"/>
  <c r="A107" i="113"/>
  <c r="AB282" i="113"/>
  <c r="R138" i="64"/>
  <c r="AO282" i="113"/>
  <c r="AI52" i="71" s="1"/>
  <c r="AQ276" i="113"/>
  <c r="AK46" i="71" s="1"/>
  <c r="Y276" i="113"/>
  <c r="BD58" i="64"/>
  <c r="BR101" i="113"/>
  <c r="BD78" i="64"/>
  <c r="BT282" i="113"/>
  <c r="BR190" i="113"/>
  <c r="H132" i="64"/>
  <c r="AD266" i="113"/>
  <c r="AK266" i="113"/>
  <c r="AE32" i="71" s="1"/>
  <c r="A151" i="113"/>
  <c r="A135" i="113"/>
  <c r="AH276" i="113"/>
  <c r="A222" i="113"/>
  <c r="BR92" i="113"/>
  <c r="T140" i="64"/>
  <c r="BR173" i="113"/>
  <c r="BR7" i="113"/>
  <c r="BR123" i="113"/>
  <c r="A188" i="113"/>
  <c r="A156" i="113"/>
  <c r="A111" i="113"/>
  <c r="BV266" i="113"/>
  <c r="A118" i="113"/>
  <c r="BR12" i="113"/>
  <c r="BR276" i="113" s="1"/>
  <c r="BD57" i="64"/>
  <c r="BD51" i="64"/>
  <c r="BR103" i="113"/>
  <c r="BD80" i="64"/>
  <c r="BR88" i="113"/>
  <c r="AC137" i="64"/>
  <c r="BG137" i="64"/>
  <c r="BR105" i="113"/>
  <c r="BR104" i="113"/>
  <c r="AQ266" i="113"/>
  <c r="AK32" i="71" s="1"/>
  <c r="A165" i="113"/>
  <c r="A176" i="113"/>
  <c r="AR266" i="113"/>
  <c r="AL32" i="71" s="1"/>
  <c r="X266" i="113"/>
  <c r="A106" i="113"/>
  <c r="Q266" i="113"/>
  <c r="A180" i="113"/>
  <c r="BR96" i="113"/>
  <c r="A154" i="113"/>
  <c r="CI7" i="132"/>
  <c r="H32" i="71" l="1"/>
  <c r="C32" i="71"/>
  <c r="BR282" i="113"/>
  <c r="G46" i="71"/>
  <c r="F46" i="71"/>
  <c r="G52" i="71"/>
  <c r="C46" i="71"/>
  <c r="BR266" i="113"/>
  <c r="I132" i="64"/>
  <c r="H46" i="71"/>
  <c r="G32" i="71"/>
  <c r="CJ7" i="132"/>
  <c r="CE6" i="128" l="1"/>
  <c r="X16" i="132" l="1"/>
  <c r="BJ16" i="132" s="1"/>
  <c r="X26" i="132"/>
  <c r="BJ26" i="132" s="1"/>
  <c r="DD6" i="128"/>
  <c r="DR6" i="128"/>
  <c r="DY6" i="128"/>
  <c r="CW6" i="128"/>
  <c r="EM6" i="128"/>
  <c r="CE26" i="132"/>
  <c r="CF26" i="132" s="1"/>
  <c r="CE16" i="132"/>
  <c r="CF16" i="132" s="1"/>
  <c r="CE6" i="132"/>
  <c r="R10" i="128"/>
  <c r="R8" i="128"/>
  <c r="CF6" i="128"/>
  <c r="CG6" i="128" s="1"/>
  <c r="CH6" i="128" s="1"/>
  <c r="CI6" i="128" s="1"/>
  <c r="CJ6" i="128" s="1"/>
  <c r="CS6" i="128"/>
  <c r="DN6" i="128"/>
  <c r="EI6" i="128"/>
  <c r="CZ6" i="128"/>
  <c r="DU6" i="128"/>
  <c r="EJ6" i="128"/>
  <c r="DA6" i="128"/>
  <c r="CT6" i="128"/>
  <c r="DO6" i="128"/>
  <c r="DV6" i="128"/>
  <c r="DB6" i="128"/>
  <c r="EK6" i="128"/>
  <c r="DP6" i="128"/>
  <c r="CU6" i="128"/>
  <c r="DW6" i="128"/>
  <c r="CX6" i="128"/>
  <c r="DE6" i="128"/>
  <c r="EN6" i="128"/>
  <c r="AC10" i="128"/>
  <c r="DZ6" i="128"/>
  <c r="AC8" i="128"/>
  <c r="DS6" i="128"/>
  <c r="DX6" i="128"/>
  <c r="EL6" i="128"/>
  <c r="DQ6" i="128"/>
  <c r="CV6" i="128"/>
  <c r="DC6" i="128"/>
  <c r="W8" i="128"/>
  <c r="W10" i="128"/>
  <c r="S119" i="64"/>
  <c r="U119" i="64"/>
  <c r="AK119" i="64"/>
  <c r="BA119" i="64"/>
  <c r="J232" i="113"/>
  <c r="J231" i="113"/>
  <c r="AY119" i="64"/>
  <c r="K232" i="113"/>
  <c r="AL119" i="64"/>
  <c r="Z119" i="64"/>
  <c r="Y119" i="64"/>
  <c r="I232" i="113"/>
  <c r="AI119" i="64"/>
  <c r="H231" i="113"/>
  <c r="L232" i="113"/>
  <c r="P119" i="64"/>
  <c r="I78" i="113"/>
  <c r="W119" i="64"/>
  <c r="K231" i="113"/>
  <c r="H232" i="113"/>
  <c r="Q119" i="64"/>
  <c r="M232" i="113"/>
  <c r="BB119" i="64"/>
  <c r="AX119" i="64"/>
  <c r="I231" i="113"/>
  <c r="AN119" i="64"/>
  <c r="AM119" i="64"/>
  <c r="AZ119" i="64"/>
  <c r="V119" i="64"/>
  <c r="AJ119" i="64"/>
  <c r="AW119" i="64"/>
  <c r="O119" i="64"/>
  <c r="M231" i="113"/>
  <c r="N119" i="64"/>
  <c r="X119" i="64"/>
  <c r="R119" i="64"/>
  <c r="L231" i="113"/>
  <c r="I69" i="113"/>
  <c r="BR231" i="113" l="1"/>
  <c r="BR232" i="113"/>
  <c r="EW6" i="128"/>
  <c r="ER6" i="128"/>
  <c r="ET6" i="128"/>
  <c r="EQ6" i="128"/>
  <c r="EP10" i="128"/>
  <c r="EP8" i="128"/>
  <c r="CE8" i="128"/>
  <c r="CF8" i="128" s="1"/>
  <c r="CE10" i="128"/>
  <c r="CF10" i="128" s="1"/>
  <c r="R146" i="64"/>
  <c r="AY146" i="64"/>
  <c r="AM146" i="64"/>
  <c r="N146" i="64"/>
  <c r="AN146" i="64"/>
  <c r="W146" i="64"/>
  <c r="S146" i="64"/>
  <c r="Y146" i="64"/>
  <c r="V146" i="64"/>
  <c r="BB146" i="64"/>
  <c r="AZ146" i="64"/>
  <c r="AL146" i="64"/>
  <c r="AJ146" i="64"/>
  <c r="AI146" i="64"/>
  <c r="Q146" i="64"/>
  <c r="AK146" i="64"/>
  <c r="U146" i="64"/>
  <c r="AX146" i="64"/>
  <c r="Z146" i="64"/>
  <c r="X146" i="64"/>
  <c r="P146" i="64"/>
  <c r="O146" i="64"/>
  <c r="AW146" i="64"/>
  <c r="BA146" i="64"/>
  <c r="H270" i="113"/>
  <c r="M286" i="113"/>
  <c r="I286" i="113"/>
  <c r="K286" i="113"/>
  <c r="L286" i="113"/>
  <c r="J270" i="113"/>
  <c r="J286" i="113"/>
  <c r="I270" i="113"/>
  <c r="L270" i="113"/>
  <c r="M270" i="113"/>
  <c r="K270" i="113"/>
  <c r="H286" i="113"/>
  <c r="EI26" i="132"/>
  <c r="EI16" i="132"/>
  <c r="DU26" i="132"/>
  <c r="EB26" i="132"/>
  <c r="DU16" i="132"/>
  <c r="EB16" i="132"/>
  <c r="CF6" i="132"/>
  <c r="EB6" i="132"/>
  <c r="DG26" i="132"/>
  <c r="DN26" i="132"/>
  <c r="DG16" i="132"/>
  <c r="DN16" i="132"/>
  <c r="CS26" i="132"/>
  <c r="CZ26" i="132"/>
  <c r="CS16" i="132"/>
  <c r="CZ16" i="132"/>
  <c r="EG6" i="128"/>
  <c r="CK6" i="128"/>
  <c r="EH6" i="128" s="1"/>
  <c r="ED6" i="128"/>
  <c r="EE6" i="128"/>
  <c r="EF6" i="128"/>
  <c r="EC6" i="128"/>
  <c r="EB6" i="128"/>
  <c r="CX10" i="128"/>
  <c r="DS10" i="128"/>
  <c r="DE10" i="128"/>
  <c r="EN10" i="128"/>
  <c r="DZ10" i="128"/>
  <c r="CV10" i="128"/>
  <c r="DQ10" i="128"/>
  <c r="DC10" i="128"/>
  <c r="EL10" i="128"/>
  <c r="DX10" i="128"/>
  <c r="DA10" i="128"/>
  <c r="DO10" i="128"/>
  <c r="EJ10" i="128"/>
  <c r="CT10" i="128"/>
  <c r="DV10" i="128"/>
  <c r="DC8" i="128"/>
  <c r="DQ8" i="128"/>
  <c r="DX8" i="128"/>
  <c r="EL8" i="128"/>
  <c r="CV8" i="128"/>
  <c r="DB8" i="128"/>
  <c r="DW8" i="128"/>
  <c r="DP8" i="128"/>
  <c r="EK8" i="128"/>
  <c r="CU8" i="128"/>
  <c r="CG16" i="132"/>
  <c r="DY10" i="128"/>
  <c r="DR10" i="128"/>
  <c r="CW10" i="128"/>
  <c r="DD10" i="128"/>
  <c r="EM10" i="128"/>
  <c r="DA8" i="128"/>
  <c r="DV8" i="128"/>
  <c r="DO8" i="128"/>
  <c r="CT8" i="128"/>
  <c r="EJ8" i="128"/>
  <c r="CG26" i="132"/>
  <c r="CX8" i="128"/>
  <c r="DS8" i="128"/>
  <c r="DE8" i="128"/>
  <c r="EN8" i="128"/>
  <c r="DZ8" i="128"/>
  <c r="DW10" i="128"/>
  <c r="EK10" i="128"/>
  <c r="CU10" i="128"/>
  <c r="DP10" i="128"/>
  <c r="DB10" i="128"/>
  <c r="DN8" i="128"/>
  <c r="DU8" i="128"/>
  <c r="EI8" i="128"/>
  <c r="CS8" i="128"/>
  <c r="CZ8" i="128"/>
  <c r="CW8" i="128"/>
  <c r="DY8" i="128"/>
  <c r="EM8" i="128"/>
  <c r="DD8" i="128"/>
  <c r="DR8" i="128"/>
  <c r="CZ10" i="128"/>
  <c r="DN10" i="128"/>
  <c r="DU10" i="128"/>
  <c r="EI10" i="128"/>
  <c r="CS10" i="128"/>
  <c r="AM231" i="113"/>
  <c r="AM232" i="113"/>
  <c r="BA231" i="113"/>
  <c r="AQ119" i="64"/>
  <c r="BO231" i="113"/>
  <c r="AR119" i="64"/>
  <c r="AD69" i="113"/>
  <c r="AK78" i="113"/>
  <c r="BK232" i="113"/>
  <c r="BL78" i="113"/>
  <c r="O232" i="113"/>
  <c r="BF119" i="64"/>
  <c r="AX231" i="113"/>
  <c r="Z231" i="113"/>
  <c r="Q232" i="113"/>
  <c r="W78" i="113"/>
  <c r="AL232" i="113"/>
  <c r="BE119" i="64"/>
  <c r="AJ232" i="113"/>
  <c r="AL231" i="113"/>
  <c r="T232" i="113"/>
  <c r="AK69" i="113"/>
  <c r="X232" i="113"/>
  <c r="BP232" i="113"/>
  <c r="Y231" i="113"/>
  <c r="AY78" i="113"/>
  <c r="AR69" i="113"/>
  <c r="Y232" i="113"/>
  <c r="BK231" i="113"/>
  <c r="AA232" i="113"/>
  <c r="AA231" i="113"/>
  <c r="V231" i="113"/>
  <c r="BC231" i="113"/>
  <c r="Z232" i="113"/>
  <c r="AP119" i="64"/>
  <c r="S231" i="113"/>
  <c r="AY231" i="113"/>
  <c r="BK119" i="64"/>
  <c r="BN231" i="113"/>
  <c r="BP231" i="113"/>
  <c r="BO232" i="113"/>
  <c r="P232" i="113"/>
  <c r="BM231" i="113"/>
  <c r="BL69" i="113"/>
  <c r="W231" i="113"/>
  <c r="R231" i="113"/>
  <c r="AU119" i="64"/>
  <c r="AJ231" i="113"/>
  <c r="AK231" i="113"/>
  <c r="O231" i="113"/>
  <c r="BA232" i="113"/>
  <c r="BI119" i="64"/>
  <c r="BM232" i="113"/>
  <c r="AY232" i="113"/>
  <c r="BL232" i="113"/>
  <c r="AZ231" i="113"/>
  <c r="AO232" i="113"/>
  <c r="S232" i="113"/>
  <c r="AO231" i="113"/>
  <c r="BC232" i="113"/>
  <c r="AN232" i="113"/>
  <c r="P69" i="113"/>
  <c r="AS119" i="64"/>
  <c r="AV119" i="64"/>
  <c r="BL231" i="113"/>
  <c r="AQ38" i="64"/>
  <c r="W69" i="113"/>
  <c r="Q231" i="113"/>
  <c r="P231" i="113"/>
  <c r="X231" i="113"/>
  <c r="W232" i="113"/>
  <c r="AT119" i="64"/>
  <c r="BH119" i="64"/>
  <c r="R232" i="113"/>
  <c r="AN231" i="113"/>
  <c r="BN232" i="113"/>
  <c r="AZ232" i="113"/>
  <c r="AY69" i="113"/>
  <c r="AD78" i="113"/>
  <c r="AR78" i="113"/>
  <c r="AX232" i="113"/>
  <c r="BB232" i="113"/>
  <c r="T231" i="113"/>
  <c r="P78" i="113"/>
  <c r="BB231" i="113"/>
  <c r="V232" i="113"/>
  <c r="AK232" i="113"/>
  <c r="U16" i="71" l="1"/>
  <c r="T16" i="71"/>
  <c r="Q16" i="71"/>
  <c r="P16" i="71"/>
  <c r="S16" i="71"/>
  <c r="R16" i="71"/>
  <c r="EV6" i="128"/>
  <c r="AU16" i="71"/>
  <c r="AT16" i="71"/>
  <c r="AS16" i="71"/>
  <c r="AV16" i="71"/>
  <c r="AW16" i="71"/>
  <c r="AR16" i="71"/>
  <c r="AG16" i="71"/>
  <c r="AH16" i="71"/>
  <c r="AF16" i="71"/>
  <c r="AE16" i="71"/>
  <c r="AI16" i="71"/>
  <c r="AD16" i="71"/>
  <c r="J56" i="71"/>
  <c r="N56" i="71"/>
  <c r="L56" i="71"/>
  <c r="N36" i="71"/>
  <c r="I36" i="71"/>
  <c r="J36" i="71"/>
  <c r="K56" i="71"/>
  <c r="L36" i="71"/>
  <c r="K36" i="71"/>
  <c r="M36" i="71"/>
  <c r="M56" i="71"/>
  <c r="I56" i="71"/>
  <c r="EB10" i="128"/>
  <c r="EB8" i="128"/>
  <c r="ER8" i="128"/>
  <c r="ET10" i="128"/>
  <c r="ER10" i="128"/>
  <c r="EQ8" i="128"/>
  <c r="EW8" i="128"/>
  <c r="EW10" i="128"/>
  <c r="ET8" i="128"/>
  <c r="EQ10" i="128"/>
  <c r="BR286" i="113"/>
  <c r="BR270" i="113"/>
  <c r="CG6" i="132"/>
  <c r="CG10" i="128"/>
  <c r="EC10" i="128"/>
  <c r="CG8" i="128"/>
  <c r="EC8" i="128"/>
  <c r="BE146" i="64"/>
  <c r="AU146" i="64"/>
  <c r="BQ146" i="64" s="1"/>
  <c r="AT146" i="64"/>
  <c r="BP146" i="64" s="1"/>
  <c r="BF146" i="64"/>
  <c r="AS146" i="64"/>
  <c r="BO146" i="64" s="1"/>
  <c r="BH146" i="64"/>
  <c r="AR146" i="64"/>
  <c r="BN146" i="64" s="1"/>
  <c r="AV146" i="64"/>
  <c r="AP146" i="64"/>
  <c r="BL146" i="64" s="1"/>
  <c r="BI146" i="64"/>
  <c r="AQ146" i="64"/>
  <c r="BM146" i="64" s="1"/>
  <c r="BK146" i="64"/>
  <c r="O270" i="113"/>
  <c r="AX270" i="113"/>
  <c r="AR36" i="71" s="1"/>
  <c r="T286" i="113"/>
  <c r="AX286" i="113"/>
  <c r="AR56" i="71" s="1"/>
  <c r="AJ270" i="113"/>
  <c r="AD36" i="71" s="1"/>
  <c r="BB286" i="113"/>
  <c r="AV56" i="71" s="1"/>
  <c r="AK286" i="113"/>
  <c r="AE56" i="71" s="1"/>
  <c r="AN270" i="113"/>
  <c r="AH36" i="71" s="1"/>
  <c r="AO270" i="113"/>
  <c r="AI36" i="71" s="1"/>
  <c r="AY270" i="113"/>
  <c r="AS36" i="71" s="1"/>
  <c r="Z286" i="113"/>
  <c r="P286" i="113"/>
  <c r="Y286" i="113"/>
  <c r="Q286" i="113"/>
  <c r="AZ286" i="113"/>
  <c r="AT56" i="71" s="1"/>
  <c r="BB270" i="113"/>
  <c r="AV36" i="71" s="1"/>
  <c r="AJ286" i="113"/>
  <c r="AD56" i="71" s="1"/>
  <c r="S270" i="113"/>
  <c r="BC270" i="113"/>
  <c r="AW36" i="71" s="1"/>
  <c r="P270" i="113"/>
  <c r="S286" i="113"/>
  <c r="Q270" i="113"/>
  <c r="R270" i="113"/>
  <c r="AO286" i="113"/>
  <c r="AI56" i="71" s="1"/>
  <c r="AL286" i="113"/>
  <c r="AF56" i="71" s="1"/>
  <c r="Y270" i="113"/>
  <c r="AA270" i="113"/>
  <c r="AZ270" i="113"/>
  <c r="AT36" i="71" s="1"/>
  <c r="BA270" i="113"/>
  <c r="AU36" i="71" s="1"/>
  <c r="AY286" i="113"/>
  <c r="AS56" i="71" s="1"/>
  <c r="R286" i="113"/>
  <c r="BC286" i="113"/>
  <c r="AW56" i="71" s="1"/>
  <c r="T270" i="113"/>
  <c r="O286" i="113"/>
  <c r="X270" i="113"/>
  <c r="AA286" i="113"/>
  <c r="Z270" i="113"/>
  <c r="AM286" i="113"/>
  <c r="AG56" i="71" s="1"/>
  <c r="BA286" i="113"/>
  <c r="AU56" i="71" s="1"/>
  <c r="V286" i="113"/>
  <c r="X286" i="113"/>
  <c r="AN286" i="113"/>
  <c r="AH56" i="71" s="1"/>
  <c r="AM270" i="113"/>
  <c r="AG36" i="71" s="1"/>
  <c r="V270" i="113"/>
  <c r="AK270" i="113"/>
  <c r="AE36" i="71" s="1"/>
  <c r="AL270" i="113"/>
  <c r="AF36" i="71" s="1"/>
  <c r="W286" i="113"/>
  <c r="W270" i="113"/>
  <c r="CH26" i="132"/>
  <c r="CH16" i="132"/>
  <c r="DL10" i="128"/>
  <c r="DM10" i="128"/>
  <c r="DL8" i="128"/>
  <c r="DM8" i="128"/>
  <c r="BR280" i="113"/>
  <c r="DK10" i="128"/>
  <c r="DI10" i="128"/>
  <c r="DG10" i="128"/>
  <c r="DG8" i="128"/>
  <c r="DK8" i="128"/>
  <c r="DJ8" i="128"/>
  <c r="EY6" i="128"/>
  <c r="DH8" i="128"/>
  <c r="DI8" i="128"/>
  <c r="DJ10" i="128"/>
  <c r="DH10" i="128"/>
  <c r="BV231" i="113"/>
  <c r="AG231" i="113"/>
  <c r="AC231" i="113"/>
  <c r="AR232" i="113"/>
  <c r="BV232" i="113"/>
  <c r="BW231" i="113"/>
  <c r="AG232" i="113"/>
  <c r="AQ232" i="113"/>
  <c r="AH231" i="113"/>
  <c r="AI232" i="113"/>
  <c r="BY232" i="113"/>
  <c r="AD232" i="113"/>
  <c r="BT232" i="113"/>
  <c r="BS232" i="113"/>
  <c r="BS231" i="113"/>
  <c r="AQ231" i="113"/>
  <c r="AE231" i="113"/>
  <c r="AR231" i="113"/>
  <c r="BJ119" i="64"/>
  <c r="AD231" i="113"/>
  <c r="BT231" i="113"/>
  <c r="BW232" i="113"/>
  <c r="AI231" i="113"/>
  <c r="BY231" i="113"/>
  <c r="AE232" i="113"/>
  <c r="AH232" i="113"/>
  <c r="AC232" i="113"/>
  <c r="AF232" i="113"/>
  <c r="AF231" i="113"/>
  <c r="BR146" i="64" l="1"/>
  <c r="BT146" i="64"/>
  <c r="BS146" i="64"/>
  <c r="D16" i="71"/>
  <c r="S56" i="71"/>
  <c r="Q56" i="71"/>
  <c r="T56" i="71"/>
  <c r="T36" i="71"/>
  <c r="R56" i="71"/>
  <c r="R36" i="71"/>
  <c r="P36" i="71"/>
  <c r="P56" i="71"/>
  <c r="U36" i="71"/>
  <c r="S36" i="71"/>
  <c r="Q36" i="71"/>
  <c r="U56" i="71"/>
  <c r="H16" i="71"/>
  <c r="F16" i="71"/>
  <c r="AQ16" i="71"/>
  <c r="AM16" i="71"/>
  <c r="AN16" i="71"/>
  <c r="AL16" i="71"/>
  <c r="AO16" i="71"/>
  <c r="AP16" i="71"/>
  <c r="AK16" i="71"/>
  <c r="C36" i="71"/>
  <c r="C56" i="71"/>
  <c r="H56" i="71"/>
  <c r="H36" i="71"/>
  <c r="F56" i="71"/>
  <c r="F36" i="71"/>
  <c r="CH6" i="132"/>
  <c r="AQ286" i="113"/>
  <c r="AK56" i="71" s="1"/>
  <c r="AQ270" i="113"/>
  <c r="AK36" i="71" s="1"/>
  <c r="ES8" i="128"/>
  <c r="ES10" i="128"/>
  <c r="AR270" i="113"/>
  <c r="AL36" i="71" s="1"/>
  <c r="AR286" i="113"/>
  <c r="AL56" i="71" s="1"/>
  <c r="CH8" i="128"/>
  <c r="ED8" i="128"/>
  <c r="CH10" i="128"/>
  <c r="ED10" i="128"/>
  <c r="BJ146" i="64"/>
  <c r="AE270" i="113"/>
  <c r="BS270" i="113"/>
  <c r="AD286" i="113"/>
  <c r="BY270" i="113"/>
  <c r="AH270" i="113"/>
  <c r="AC286" i="113"/>
  <c r="AD270" i="113"/>
  <c r="AI286" i="113"/>
  <c r="AG270" i="113"/>
  <c r="BS286" i="113"/>
  <c r="AC270" i="113"/>
  <c r="BW286" i="113"/>
  <c r="AF286" i="113"/>
  <c r="AF270" i="113"/>
  <c r="BW270" i="113"/>
  <c r="BY286" i="113"/>
  <c r="AH286" i="113"/>
  <c r="AE286" i="113"/>
  <c r="BT270" i="113"/>
  <c r="BV270" i="113"/>
  <c r="AG286" i="113"/>
  <c r="BT286" i="113"/>
  <c r="AI270" i="113"/>
  <c r="CI16" i="132"/>
  <c r="CI26" i="132"/>
  <c r="FD6" i="128"/>
  <c r="BS280" i="113"/>
  <c r="BT280" i="113"/>
  <c r="BU280" i="113"/>
  <c r="FA6" i="128"/>
  <c r="FF6" i="128"/>
  <c r="EZ6" i="128"/>
  <c r="FC6" i="128"/>
  <c r="DG6" i="128"/>
  <c r="BU231" i="113"/>
  <c r="AS232" i="113"/>
  <c r="BU232" i="113"/>
  <c r="AB119" i="64"/>
  <c r="AS231" i="113"/>
  <c r="D36" i="71" l="1"/>
  <c r="D56" i="71"/>
  <c r="G16" i="71"/>
  <c r="CI6" i="132"/>
  <c r="W16" i="71"/>
  <c r="AS286" i="113"/>
  <c r="AM56" i="71" s="1"/>
  <c r="AS270" i="113"/>
  <c r="AM36" i="71" s="1"/>
  <c r="CI10" i="128"/>
  <c r="EE10" i="128"/>
  <c r="CI8" i="128"/>
  <c r="EE8" i="128"/>
  <c r="AB146" i="64"/>
  <c r="BU286" i="113"/>
  <c r="BU270" i="113"/>
  <c r="CJ26" i="132"/>
  <c r="CJ16" i="132"/>
  <c r="DH6" i="128"/>
  <c r="AT232" i="113"/>
  <c r="AT231" i="113"/>
  <c r="AC119" i="64"/>
  <c r="CJ6" i="132" l="1"/>
  <c r="AT270" i="113"/>
  <c r="AN36" i="71" s="1"/>
  <c r="AT286" i="113"/>
  <c r="AN56" i="71" s="1"/>
  <c r="CJ8" i="128"/>
  <c r="EF8" i="128"/>
  <c r="W36" i="71"/>
  <c r="W56" i="71"/>
  <c r="CJ10" i="128"/>
  <c r="EF10" i="128"/>
  <c r="AC146" i="64"/>
  <c r="DI6" i="128"/>
  <c r="AU231" i="113"/>
  <c r="AU232" i="113"/>
  <c r="AD119" i="64"/>
  <c r="X56" i="71" l="1"/>
  <c r="X16" i="71"/>
  <c r="X36" i="71"/>
  <c r="AU286" i="113"/>
  <c r="AO56" i="71" s="1"/>
  <c r="AU270" i="113"/>
  <c r="AO36" i="71" s="1"/>
  <c r="CK10" i="128"/>
  <c r="EH10" i="128" s="1"/>
  <c r="EG10" i="128"/>
  <c r="CK8" i="128"/>
  <c r="EH8" i="128" s="1"/>
  <c r="EG8" i="128"/>
  <c r="AD146" i="64"/>
  <c r="DJ6" i="128"/>
  <c r="AE119" i="64"/>
  <c r="AW232" i="113"/>
  <c r="AV231" i="113"/>
  <c r="AV232" i="113"/>
  <c r="AW231" i="113"/>
  <c r="Y36" i="71" l="1"/>
  <c r="Y16" i="71"/>
  <c r="EV8" i="128"/>
  <c r="EV10" i="128"/>
  <c r="Y56" i="71"/>
  <c r="AV270" i="113"/>
  <c r="AP36" i="71" s="1"/>
  <c r="AW270" i="113"/>
  <c r="AQ36" i="71" s="1"/>
  <c r="AV286" i="113"/>
  <c r="AP56" i="71" s="1"/>
  <c r="AW286" i="113"/>
  <c r="AQ56" i="71" s="1"/>
  <c r="AE146" i="64"/>
  <c r="DK6" i="128"/>
  <c r="BX232" i="113"/>
  <c r="AF119" i="64"/>
  <c r="BX231" i="113"/>
  <c r="G56" i="71" l="1"/>
  <c r="G36" i="71"/>
  <c r="BX270" i="113"/>
  <c r="BX286" i="113"/>
  <c r="FE6" i="128"/>
  <c r="AF146" i="64"/>
  <c r="DL6" i="128"/>
  <c r="DM6" i="128"/>
  <c r="AH119" i="64"/>
  <c r="AG119" i="64"/>
  <c r="AA56" i="71" l="1"/>
  <c r="AA16" i="71"/>
  <c r="Z56" i="71"/>
  <c r="Z16" i="71"/>
  <c r="Z36" i="71"/>
  <c r="ES6" i="128"/>
  <c r="AA36" i="71"/>
  <c r="AH146" i="64"/>
  <c r="AG146" i="64"/>
  <c r="X19" i="71"/>
  <c r="W19" i="71"/>
  <c r="BG119" i="64"/>
  <c r="AB16" i="71" l="1"/>
  <c r="BG146" i="64"/>
  <c r="FB6" i="128"/>
  <c r="W39" i="71"/>
  <c r="W59" i="71"/>
  <c r="X39" i="71"/>
  <c r="X59" i="71"/>
  <c r="AC16" i="71" l="1"/>
  <c r="E16" i="71" s="1"/>
  <c r="Y19" i="71"/>
  <c r="AC36" i="71"/>
  <c r="AB36" i="71"/>
  <c r="AB56" i="71"/>
  <c r="AC56" i="71"/>
  <c r="Z19" i="71" l="1"/>
  <c r="Y39" i="71"/>
  <c r="Y59" i="71"/>
  <c r="E56" i="71"/>
  <c r="E36" i="71"/>
  <c r="Z39" i="71" l="1"/>
  <c r="AA19" i="71"/>
  <c r="Z59" i="71"/>
  <c r="AA39" i="71" l="1"/>
  <c r="AA59" i="71"/>
  <c r="AB19" i="71" l="1"/>
  <c r="AC19" i="71" l="1"/>
  <c r="E19" i="71" s="1"/>
  <c r="AC39" i="71"/>
  <c r="AB39" i="71"/>
  <c r="AC59" i="71"/>
  <c r="AB59" i="71"/>
  <c r="E59" i="71" l="1"/>
  <c r="E39" i="71"/>
  <c r="F121" i="135"/>
  <c r="F120" i="135"/>
  <c r="CK20" i="148" l="1"/>
  <c r="EH20" i="148" s="1"/>
  <c r="CL20" i="148" l="1"/>
  <c r="EI20" i="148" s="1"/>
  <c r="CM20" i="148" l="1"/>
  <c r="EJ20" i="148" s="1"/>
  <c r="AQ19" i="113"/>
  <c r="AQ277" i="113" l="1"/>
  <c r="AK47" i="71" s="1"/>
  <c r="CN20" i="148"/>
  <c r="EK20" i="148" s="1"/>
  <c r="AR19" i="113"/>
  <c r="AR277" i="113" l="1"/>
  <c r="AL47" i="71" s="1"/>
  <c r="CO20" i="148"/>
  <c r="EL20" i="148" s="1"/>
  <c r="AS19" i="113"/>
  <c r="AS277" i="113" l="1"/>
  <c r="AM47" i="71" s="1"/>
  <c r="CP20" i="148"/>
  <c r="EM20" i="148" s="1"/>
  <c r="AT19" i="113"/>
  <c r="AT277" i="113" l="1"/>
  <c r="AN47" i="71" s="1"/>
  <c r="CQ20" i="148"/>
  <c r="EN20" i="148" s="1"/>
  <c r="FB20" i="148" s="1"/>
  <c r="AU19" i="113"/>
  <c r="BX19" i="113"/>
  <c r="BX277" i="113" l="1"/>
  <c r="AU277" i="113"/>
  <c r="AO47" i="71" s="1"/>
  <c r="AW19" i="113"/>
  <c r="AV19" i="113"/>
  <c r="AW277" i="113" l="1"/>
  <c r="AV277" i="113"/>
  <c r="AP47" i="71" s="1"/>
  <c r="AQ47" i="71" l="1"/>
  <c r="G47" i="71" s="1"/>
  <c r="BR279" i="113" l="1"/>
  <c r="K280" i="113" l="1"/>
  <c r="J280" i="113"/>
  <c r="M280" i="113"/>
  <c r="H280" i="113"/>
  <c r="I280" i="113"/>
  <c r="L280" i="113"/>
  <c r="M50" i="71" l="1"/>
  <c r="J50" i="71"/>
  <c r="N50" i="71"/>
  <c r="K50" i="71"/>
  <c r="L50" i="71"/>
  <c r="I50" i="71"/>
  <c r="W280" i="113"/>
  <c r="AF280" i="113"/>
  <c r="AG280" i="113"/>
  <c r="AC280" i="113"/>
  <c r="AH280" i="113"/>
  <c r="X280" i="113"/>
  <c r="R280" i="113"/>
  <c r="Z280" i="113"/>
  <c r="T280" i="113"/>
  <c r="Q280" i="113"/>
  <c r="S280" i="113"/>
  <c r="AD280" i="113"/>
  <c r="AA280" i="113"/>
  <c r="V280" i="113"/>
  <c r="Y280" i="113"/>
  <c r="O280" i="113"/>
  <c r="AE280" i="113"/>
  <c r="P280" i="113"/>
  <c r="C50" i="71" l="1"/>
  <c r="H279" i="113" l="1"/>
  <c r="I49" i="71" l="1"/>
  <c r="AX279" i="113"/>
  <c r="AJ279" i="113"/>
  <c r="AQ279" i="113"/>
  <c r="V279" i="113"/>
  <c r="O279" i="113"/>
  <c r="AC279" i="113"/>
  <c r="AR49" i="71" l="1"/>
  <c r="AK49" i="71"/>
  <c r="AD49" i="71"/>
  <c r="I279" i="113"/>
  <c r="J49" i="71" l="1"/>
  <c r="AR279" i="113"/>
  <c r="AD279" i="113"/>
  <c r="W279" i="113"/>
  <c r="J279" i="113"/>
  <c r="AY279" i="113"/>
  <c r="P279" i="113"/>
  <c r="AK279" i="113"/>
  <c r="AS49" i="71" l="1"/>
  <c r="AL49" i="71"/>
  <c r="AE49" i="71"/>
  <c r="K49" i="71"/>
  <c r="AE279" i="113"/>
  <c r="K279" i="113"/>
  <c r="Q279" i="113"/>
  <c r="AZ279" i="113"/>
  <c r="AT49" i="71" s="1"/>
  <c r="AS279" i="113"/>
  <c r="AM49" i="71" s="1"/>
  <c r="X279" i="113"/>
  <c r="AL279" i="113"/>
  <c r="AF49" i="71" s="1"/>
  <c r="L49" i="71" l="1"/>
  <c r="Y279" i="113"/>
  <c r="AF279" i="113"/>
  <c r="AM279" i="113"/>
  <c r="AG49" i="71" s="1"/>
  <c r="R279" i="113"/>
  <c r="L279" i="113"/>
  <c r="AT279" i="113"/>
  <c r="AN49" i="71" s="1"/>
  <c r="BA279" i="113"/>
  <c r="AU49" i="71" s="1"/>
  <c r="M49" i="71" l="1"/>
  <c r="S279" i="113"/>
  <c r="M279" i="113"/>
  <c r="AN279" i="113"/>
  <c r="AH49" i="71" s="1"/>
  <c r="BB279" i="113"/>
  <c r="AV49" i="71" s="1"/>
  <c r="Z279" i="113"/>
  <c r="AG279" i="113"/>
  <c r="AU279" i="113"/>
  <c r="AO49" i="71" s="1"/>
  <c r="N49" i="71" l="1"/>
  <c r="AO279" i="113"/>
  <c r="AI49" i="71" s="1"/>
  <c r="T279" i="113"/>
  <c r="AH279" i="113"/>
  <c r="N279" i="113"/>
  <c r="BC279" i="113"/>
  <c r="AW49" i="71" s="1"/>
  <c r="AA279" i="113"/>
  <c r="AV279" i="113"/>
  <c r="AP49" i="71" s="1"/>
  <c r="O49" i="71" l="1"/>
  <c r="C49" i="71" s="1"/>
  <c r="AB279" i="113"/>
  <c r="BD279" i="113"/>
  <c r="AW279" i="113"/>
  <c r="AI279" i="113"/>
  <c r="AP279" i="113"/>
  <c r="U279" i="113"/>
  <c r="AX49" i="71" l="1"/>
  <c r="H49" i="71" s="1"/>
  <c r="AQ49" i="71"/>
  <c r="G49" i="71" s="1"/>
  <c r="AJ49" i="71"/>
  <c r="F49" i="71" s="1"/>
  <c r="BW279" i="113"/>
  <c r="BY279" i="113"/>
  <c r="BS279" i="113"/>
  <c r="BT279" i="113"/>
  <c r="BU279" i="113"/>
  <c r="BX279" i="113"/>
  <c r="DE6" i="89" l="1"/>
  <c r="DZ6" i="89"/>
  <c r="EN6" i="89"/>
  <c r="DS6" i="89"/>
  <c r="DO6" i="89"/>
  <c r="EJ6" i="89"/>
  <c r="DA6" i="89"/>
  <c r="DV6" i="89"/>
  <c r="DR6" i="89"/>
  <c r="DY6" i="89"/>
  <c r="EM6" i="89"/>
  <c r="DD6" i="89"/>
  <c r="DQ6" i="89"/>
  <c r="DX6" i="89"/>
  <c r="DC6" i="89"/>
  <c r="EL6" i="89"/>
  <c r="DN6" i="89"/>
  <c r="CZ6" i="89"/>
  <c r="DP6" i="89"/>
  <c r="DW6" i="89"/>
  <c r="EK6" i="89"/>
  <c r="DB6" i="89"/>
  <c r="AL76" i="64"/>
  <c r="K227" i="113"/>
  <c r="Z117" i="64"/>
  <c r="M76" i="64"/>
  <c r="I76" i="64"/>
  <c r="J229" i="113"/>
  <c r="AZ76" i="64"/>
  <c r="W117" i="64"/>
  <c r="AD76" i="64"/>
  <c r="AI76" i="64"/>
  <c r="V117" i="64"/>
  <c r="K229" i="113"/>
  <c r="AL117" i="64"/>
  <c r="L76" i="64"/>
  <c r="K76" i="64"/>
  <c r="H76" i="64"/>
  <c r="AO76" i="64"/>
  <c r="Z76" i="64"/>
  <c r="I229" i="113"/>
  <c r="AF76" i="64"/>
  <c r="Y117" i="64"/>
  <c r="W76" i="64"/>
  <c r="AW76" i="64"/>
  <c r="AX117" i="64"/>
  <c r="AN117" i="64"/>
  <c r="AA76" i="64"/>
  <c r="AG76" i="64"/>
  <c r="AI117" i="64"/>
  <c r="N227" i="113"/>
  <c r="L229" i="113"/>
  <c r="X76" i="64"/>
  <c r="AK76" i="64"/>
  <c r="U76" i="64"/>
  <c r="BC117" i="64"/>
  <c r="G76" i="64"/>
  <c r="AN76" i="64"/>
  <c r="BC76" i="64"/>
  <c r="AY117" i="64"/>
  <c r="J227" i="113"/>
  <c r="H229" i="113"/>
  <c r="BA76" i="64"/>
  <c r="N229" i="113"/>
  <c r="H227" i="113"/>
  <c r="AH76" i="64"/>
  <c r="Y76" i="64"/>
  <c r="AM76" i="64"/>
  <c r="BB117" i="64"/>
  <c r="L227" i="113"/>
  <c r="BB76" i="64"/>
  <c r="V76" i="64"/>
  <c r="M229" i="113"/>
  <c r="X117" i="64"/>
  <c r="AM117" i="64"/>
  <c r="AB76" i="64"/>
  <c r="J76" i="64"/>
  <c r="AZ117" i="64"/>
  <c r="AW117" i="64"/>
  <c r="AJ76" i="64"/>
  <c r="M227" i="113"/>
  <c r="BA117" i="64"/>
  <c r="AJ117" i="64"/>
  <c r="I227" i="113"/>
  <c r="AX76" i="64"/>
  <c r="AC76" i="64"/>
  <c r="AE76" i="64"/>
  <c r="AO117" i="64"/>
  <c r="AA117" i="64"/>
  <c r="U117" i="64"/>
  <c r="AK117" i="64"/>
  <c r="AY76" i="64"/>
  <c r="EW6" i="89" l="1"/>
  <c r="ER6" i="89"/>
  <c r="ET6" i="89"/>
  <c r="BR229" i="113"/>
  <c r="BR285" i="113" s="1"/>
  <c r="BR227" i="113"/>
  <c r="BR269" i="113" s="1"/>
  <c r="BD76" i="64"/>
  <c r="AK145" i="64"/>
  <c r="U145" i="64"/>
  <c r="AL145" i="64"/>
  <c r="V145" i="64"/>
  <c r="X145" i="64"/>
  <c r="AX145" i="64"/>
  <c r="AW145" i="64"/>
  <c r="Y145" i="64"/>
  <c r="BB145" i="64"/>
  <c r="BA145" i="64"/>
  <c r="AJ145" i="64"/>
  <c r="W145" i="64"/>
  <c r="AM145" i="64"/>
  <c r="AN145" i="64"/>
  <c r="AI145" i="64"/>
  <c r="AY145" i="64"/>
  <c r="AZ145" i="64"/>
  <c r="Z145" i="64"/>
  <c r="AA145" i="64"/>
  <c r="BC145" i="64"/>
  <c r="AO145" i="64"/>
  <c r="AV157" i="64" s="1"/>
  <c r="I269" i="113"/>
  <c r="N269" i="113"/>
  <c r="K269" i="113"/>
  <c r="J269" i="113"/>
  <c r="I285" i="113"/>
  <c r="N285" i="113"/>
  <c r="M269" i="113"/>
  <c r="J285" i="113"/>
  <c r="H269" i="113"/>
  <c r="L285" i="113"/>
  <c r="L269" i="113"/>
  <c r="M285" i="113"/>
  <c r="H285" i="113"/>
  <c r="K285" i="113"/>
  <c r="DV9" i="89"/>
  <c r="DA9" i="89"/>
  <c r="EJ9" i="89"/>
  <c r="DO9" i="89"/>
  <c r="DT9" i="89"/>
  <c r="DF9" i="89"/>
  <c r="EA9" i="89"/>
  <c r="EU9" i="89" s="1"/>
  <c r="EO9" i="89"/>
  <c r="DX9" i="89"/>
  <c r="DQ9" i="89"/>
  <c r="EL9" i="89"/>
  <c r="DC9" i="89"/>
  <c r="DP9" i="89"/>
  <c r="EK9" i="89"/>
  <c r="DB9" i="89"/>
  <c r="DW9" i="89"/>
  <c r="DO12" i="89"/>
  <c r="DA12" i="89"/>
  <c r="DV12" i="89"/>
  <c r="EJ12" i="89"/>
  <c r="EA12" i="89"/>
  <c r="EU12" i="89" s="1"/>
  <c r="DF12" i="89"/>
  <c r="DT12" i="89"/>
  <c r="EO12" i="89"/>
  <c r="DS9" i="89"/>
  <c r="DE9" i="89"/>
  <c r="DZ9" i="89"/>
  <c r="EN9" i="89"/>
  <c r="DW12" i="89"/>
  <c r="DB12" i="89"/>
  <c r="DP12" i="89"/>
  <c r="EK12" i="89"/>
  <c r="CZ9" i="89"/>
  <c r="DN9" i="89"/>
  <c r="DR12" i="89"/>
  <c r="DD12" i="89"/>
  <c r="DY12" i="89"/>
  <c r="EM12" i="89"/>
  <c r="EM9" i="89"/>
  <c r="DD9" i="89"/>
  <c r="DY9" i="89"/>
  <c r="DR9" i="89"/>
  <c r="DE12" i="89"/>
  <c r="DZ12" i="89"/>
  <c r="EN12" i="89"/>
  <c r="DS12" i="89"/>
  <c r="DN12" i="89"/>
  <c r="CZ12" i="89"/>
  <c r="DX12" i="89"/>
  <c r="DC12" i="89"/>
  <c r="DQ12" i="89"/>
  <c r="EL12" i="89"/>
  <c r="AN229" i="113"/>
  <c r="BP227" i="113"/>
  <c r="V229" i="113"/>
  <c r="AM229" i="113"/>
  <c r="AA227" i="113"/>
  <c r="Y227" i="113"/>
  <c r="BO229" i="113"/>
  <c r="AP227" i="113"/>
  <c r="AN227" i="113"/>
  <c r="BN229" i="113"/>
  <c r="BA227" i="113"/>
  <c r="AX229" i="113"/>
  <c r="BC227" i="113"/>
  <c r="W227" i="113"/>
  <c r="AL229" i="113"/>
  <c r="BF117" i="64"/>
  <c r="AB227" i="113"/>
  <c r="BM227" i="113"/>
  <c r="AK227" i="113"/>
  <c r="BO227" i="113"/>
  <c r="BM229" i="113"/>
  <c r="BN227" i="113"/>
  <c r="BH76" i="64"/>
  <c r="X227" i="113"/>
  <c r="BD227" i="113"/>
  <c r="BB229" i="113"/>
  <c r="Z227" i="113"/>
  <c r="BK229" i="113"/>
  <c r="AY229" i="113"/>
  <c r="W229" i="113"/>
  <c r="BC229" i="113"/>
  <c r="BF76" i="64"/>
  <c r="BD229" i="113"/>
  <c r="AJ229" i="113"/>
  <c r="AX227" i="113"/>
  <c r="BI76" i="64"/>
  <c r="AZ227" i="113"/>
  <c r="Y229" i="113"/>
  <c r="AP229" i="113"/>
  <c r="BA229" i="113"/>
  <c r="AO229" i="113"/>
  <c r="AB229" i="113"/>
  <c r="X229" i="113"/>
  <c r="AK229" i="113"/>
  <c r="BK227" i="113"/>
  <c r="AZ229" i="113"/>
  <c r="BK117" i="64"/>
  <c r="BL227" i="113"/>
  <c r="BH117" i="64"/>
  <c r="BP229" i="113"/>
  <c r="V227" i="113"/>
  <c r="BK76" i="64"/>
  <c r="AL227" i="113"/>
  <c r="BL229" i="113"/>
  <c r="BI117" i="64"/>
  <c r="AM227" i="113"/>
  <c r="AO227" i="113"/>
  <c r="BG76" i="64"/>
  <c r="AJ227" i="113"/>
  <c r="BQ229" i="113"/>
  <c r="AY227" i="113"/>
  <c r="AA229" i="113"/>
  <c r="BQ227" i="113"/>
  <c r="BB227" i="113"/>
  <c r="Z229" i="113"/>
  <c r="AV15" i="71" l="1"/>
  <c r="AU15" i="71"/>
  <c r="AW15" i="71"/>
  <c r="AT15" i="71"/>
  <c r="AS15" i="71"/>
  <c r="AX15" i="71"/>
  <c r="AR15" i="71"/>
  <c r="AF15" i="71"/>
  <c r="AI15" i="71"/>
  <c r="AJ15" i="71"/>
  <c r="AH15" i="71"/>
  <c r="AE15" i="71"/>
  <c r="AG15" i="71"/>
  <c r="AD15" i="71"/>
  <c r="ET9" i="89"/>
  <c r="EW9" i="89"/>
  <c r="EW12" i="89"/>
  <c r="ER9" i="89"/>
  <c r="ER12" i="89"/>
  <c r="ET12" i="89"/>
  <c r="I35" i="71"/>
  <c r="N35" i="71"/>
  <c r="L55" i="71"/>
  <c r="O55" i="71"/>
  <c r="J55" i="71"/>
  <c r="N55" i="71"/>
  <c r="K35" i="71"/>
  <c r="M35" i="71"/>
  <c r="L35" i="71"/>
  <c r="M55" i="71"/>
  <c r="O35" i="71"/>
  <c r="J35" i="71"/>
  <c r="K55" i="71"/>
  <c r="I55" i="71"/>
  <c r="BK145" i="64"/>
  <c r="BH145" i="64"/>
  <c r="BI145" i="64"/>
  <c r="BF145" i="64"/>
  <c r="BA285" i="113"/>
  <c r="AU55" i="71" s="1"/>
  <c r="BB285" i="113"/>
  <c r="AV55" i="71" s="1"/>
  <c r="X285" i="113"/>
  <c r="V285" i="113"/>
  <c r="BD285" i="113"/>
  <c r="AX55" i="71" s="1"/>
  <c r="AL269" i="113"/>
  <c r="AF35" i="71" s="1"/>
  <c r="AY269" i="113"/>
  <c r="AS35" i="71" s="1"/>
  <c r="AJ285" i="113"/>
  <c r="AD55" i="71" s="1"/>
  <c r="BC285" i="113"/>
  <c r="AW55" i="71" s="1"/>
  <c r="AN269" i="113"/>
  <c r="AH35" i="71" s="1"/>
  <c r="AN285" i="113"/>
  <c r="AH55" i="71" s="1"/>
  <c r="V269" i="113"/>
  <c r="AL285" i="113"/>
  <c r="AF55" i="71" s="1"/>
  <c r="BC269" i="113"/>
  <c r="AW35" i="71" s="1"/>
  <c r="AY285" i="113"/>
  <c r="AS55" i="71" s="1"/>
  <c r="X269" i="113"/>
  <c r="AM269" i="113"/>
  <c r="AG35" i="71" s="1"/>
  <c r="W269" i="113"/>
  <c r="AA285" i="113"/>
  <c r="BA269" i="113"/>
  <c r="AU35" i="71" s="1"/>
  <c r="BD269" i="113"/>
  <c r="AX35" i="71" s="1"/>
  <c r="Z269" i="113"/>
  <c r="AX269" i="113"/>
  <c r="AR35" i="71" s="1"/>
  <c r="AO269" i="113"/>
  <c r="AI35" i="71" s="1"/>
  <c r="AZ269" i="113"/>
  <c r="AT35" i="71" s="1"/>
  <c r="AP269" i="113"/>
  <c r="AJ35" i="71" s="1"/>
  <c r="Y285" i="113"/>
  <c r="AX285" i="113"/>
  <c r="AR55" i="71" s="1"/>
  <c r="BB269" i="113"/>
  <c r="AV35" i="71" s="1"/>
  <c r="Z285" i="113"/>
  <c r="AJ269" i="113"/>
  <c r="AD35" i="71" s="1"/>
  <c r="AK285" i="113"/>
  <c r="AE55" i="71" s="1"/>
  <c r="AB269" i="113"/>
  <c r="AK269" i="113"/>
  <c r="AE35" i="71" s="1"/>
  <c r="AM285" i="113"/>
  <c r="AG55" i="71" s="1"/>
  <c r="AO285" i="113"/>
  <c r="AI55" i="71" s="1"/>
  <c r="AZ285" i="113"/>
  <c r="AT55" i="71" s="1"/>
  <c r="AA269" i="113"/>
  <c r="AB285" i="113"/>
  <c r="AP285" i="113"/>
  <c r="AJ55" i="71" s="1"/>
  <c r="W285" i="113"/>
  <c r="Y269" i="113"/>
  <c r="BT229" i="113"/>
  <c r="BW229" i="113"/>
  <c r="BY229" i="113"/>
  <c r="BV227" i="113"/>
  <c r="BV229" i="113"/>
  <c r="BW227" i="113"/>
  <c r="BT227" i="113"/>
  <c r="BY227" i="113"/>
  <c r="H15" i="71" l="1"/>
  <c r="F15" i="71"/>
  <c r="C35" i="71"/>
  <c r="C55" i="71"/>
  <c r="H55" i="71"/>
  <c r="H35" i="71"/>
  <c r="F55" i="71"/>
  <c r="F35" i="71"/>
  <c r="BY269" i="113"/>
  <c r="BT269" i="113"/>
  <c r="BV269" i="113"/>
  <c r="BY285" i="113"/>
  <c r="BW269" i="113"/>
  <c r="BW285" i="113"/>
  <c r="BT285" i="113"/>
  <c r="P19" i="71" l="1"/>
  <c r="Q19" i="71" l="1"/>
  <c r="P59" i="71" l="1"/>
  <c r="P39" i="71"/>
  <c r="P6" i="71"/>
  <c r="Q6" i="71"/>
  <c r="R19" i="71"/>
  <c r="Q39" i="71" l="1"/>
  <c r="Q59" i="71"/>
  <c r="P26" i="71"/>
  <c r="P46" i="71"/>
  <c r="S19" i="71"/>
  <c r="R6" i="71"/>
  <c r="R59" i="71" l="1"/>
  <c r="Q26" i="71"/>
  <c r="Q46" i="71"/>
  <c r="R39" i="71"/>
  <c r="T19" i="71"/>
  <c r="S6" i="71"/>
  <c r="R46" i="71" l="1"/>
  <c r="R26" i="71"/>
  <c r="S59" i="71"/>
  <c r="S39" i="71"/>
  <c r="T6" i="71"/>
  <c r="T59" i="71" l="1"/>
  <c r="T39" i="71"/>
  <c r="S46" i="71"/>
  <c r="S26" i="71"/>
  <c r="U19" i="71"/>
  <c r="V19" i="71" l="1"/>
  <c r="D19" i="71" s="1"/>
  <c r="T26" i="71"/>
  <c r="T46" i="71"/>
  <c r="U6" i="71"/>
  <c r="U39" i="71"/>
  <c r="U59" i="71"/>
  <c r="V59" i="71"/>
  <c r="V39" i="71"/>
  <c r="V6" i="71" l="1"/>
  <c r="D6" i="71" s="1"/>
  <c r="D39" i="71"/>
  <c r="U26" i="71"/>
  <c r="U46" i="71"/>
  <c r="D59" i="71"/>
  <c r="V26" i="71"/>
  <c r="V46" i="71"/>
  <c r="D46" i="71" l="1"/>
  <c r="D26" i="71"/>
  <c r="AA70" i="64"/>
  <c r="AW69" i="64"/>
  <c r="AC67" i="64"/>
  <c r="K71" i="64"/>
  <c r="AY67" i="64"/>
  <c r="BJ69" i="64"/>
  <c r="AD70" i="64"/>
  <c r="W68" i="64"/>
  <c r="Y71" i="64"/>
  <c r="AV67" i="64"/>
  <c r="I67" i="64"/>
  <c r="AM71" i="64"/>
  <c r="AN69" i="64"/>
  <c r="AK71" i="64"/>
  <c r="BI67" i="64"/>
  <c r="R71" i="64"/>
  <c r="S76" i="64"/>
  <c r="W70" i="64"/>
  <c r="G70" i="64"/>
  <c r="AZ70" i="64"/>
  <c r="N74" i="64"/>
  <c r="AU69" i="64"/>
  <c r="BA70" i="64"/>
  <c r="AP73" i="64"/>
  <c r="T76" i="64"/>
  <c r="BK71" i="64"/>
  <c r="BC70" i="64"/>
  <c r="AY71" i="64"/>
  <c r="W67" i="64"/>
  <c r="J68" i="64"/>
  <c r="G69" i="64"/>
  <c r="BG70" i="64"/>
  <c r="Q68" i="64"/>
  <c r="K70" i="64"/>
  <c r="Y69" i="64"/>
  <c r="BC67" i="64"/>
  <c r="BG71" i="64"/>
  <c r="AA68" i="64"/>
  <c r="BH71" i="64"/>
  <c r="AB74" i="64"/>
  <c r="AQ76" i="64"/>
  <c r="AY68" i="64"/>
  <c r="BK67" i="64"/>
  <c r="Y67" i="64"/>
  <c r="AW68" i="64"/>
  <c r="V69" i="64"/>
  <c r="AY69" i="64"/>
  <c r="AL71" i="64"/>
  <c r="AR68" i="64"/>
  <c r="AG69" i="64"/>
  <c r="BE67" i="64"/>
  <c r="AO71" i="64"/>
  <c r="AJ71" i="64"/>
  <c r="H68" i="64"/>
  <c r="AF70" i="64"/>
  <c r="P67" i="64"/>
  <c r="Q70" i="64"/>
  <c r="H67" i="64"/>
  <c r="BI68" i="64"/>
  <c r="AD68" i="64"/>
  <c r="AW74" i="64"/>
  <c r="N70" i="64"/>
  <c r="BB71" i="64"/>
  <c r="BB67" i="64"/>
  <c r="R67" i="64"/>
  <c r="AM68" i="64"/>
  <c r="U71" i="64"/>
  <c r="BE76" i="64"/>
  <c r="BF69" i="64"/>
  <c r="AQ67" i="64"/>
  <c r="AB69" i="64"/>
  <c r="G67" i="64"/>
  <c r="AZ68" i="64"/>
  <c r="AI71" i="64"/>
  <c r="AP68" i="64"/>
  <c r="S71" i="64"/>
  <c r="AB71" i="64"/>
  <c r="H69" i="64"/>
  <c r="U70" i="64"/>
  <c r="O71" i="64"/>
  <c r="AL68" i="64"/>
  <c r="AO70" i="64"/>
  <c r="AH69" i="64"/>
  <c r="Z69" i="64"/>
  <c r="P76" i="64"/>
  <c r="BB69" i="64"/>
  <c r="V67" i="64"/>
  <c r="X69" i="64"/>
  <c r="AC69" i="64"/>
  <c r="AQ68" i="64"/>
  <c r="BJ67" i="64"/>
  <c r="G71" i="64"/>
  <c r="K67" i="64"/>
  <c r="AS76" i="64"/>
  <c r="AI74" i="64"/>
  <c r="U67" i="64"/>
  <c r="AG71" i="64"/>
  <c r="AI70" i="64"/>
  <c r="AO68" i="64"/>
  <c r="BE69" i="64"/>
  <c r="AH70" i="64"/>
  <c r="I69" i="64"/>
  <c r="X70" i="64"/>
  <c r="AF69" i="64"/>
  <c r="S68" i="64"/>
  <c r="AK67" i="64"/>
  <c r="AB68" i="64"/>
  <c r="AT71" i="64"/>
  <c r="O70" i="64"/>
  <c r="BF68" i="64"/>
  <c r="I68" i="64"/>
  <c r="M71" i="64"/>
  <c r="BA68" i="64"/>
  <c r="AQ69" i="64"/>
  <c r="AX70" i="64"/>
  <c r="AU67" i="64"/>
  <c r="AE69" i="64"/>
  <c r="AP67" i="64"/>
  <c r="V68" i="64"/>
  <c r="AD67" i="64"/>
  <c r="I71" i="64"/>
  <c r="AN68" i="64"/>
  <c r="BA67" i="64"/>
  <c r="AR69" i="64"/>
  <c r="BI71" i="64"/>
  <c r="AZ67" i="64"/>
  <c r="AU70" i="64"/>
  <c r="X67" i="64"/>
  <c r="BJ68" i="64"/>
  <c r="BA69" i="64"/>
  <c r="Y70" i="64"/>
  <c r="M68" i="64"/>
  <c r="AR76" i="64"/>
  <c r="AP76" i="64"/>
  <c r="N71" i="64"/>
  <c r="BK70" i="64"/>
  <c r="U68" i="64"/>
  <c r="G73" i="64"/>
  <c r="AX68" i="64"/>
  <c r="BG67" i="64"/>
  <c r="P70" i="64"/>
  <c r="AI68" i="64"/>
  <c r="M67" i="64"/>
  <c r="L70" i="64"/>
  <c r="AM67" i="64"/>
  <c r="Z71" i="64"/>
  <c r="H73" i="64"/>
  <c r="M69" i="64"/>
  <c r="AR67" i="64"/>
  <c r="T70" i="64"/>
  <c r="X71" i="64"/>
  <c r="AC71" i="64"/>
  <c r="AC68" i="64"/>
  <c r="BG68" i="64"/>
  <c r="J67" i="64"/>
  <c r="N69" i="64"/>
  <c r="Q69" i="64"/>
  <c r="AB70" i="64"/>
  <c r="G74" i="64"/>
  <c r="AT76" i="64"/>
  <c r="T69" i="64"/>
  <c r="AJ68" i="64"/>
  <c r="AJ69" i="64"/>
  <c r="AV69" i="64"/>
  <c r="AP69" i="64"/>
  <c r="AW70" i="64"/>
  <c r="AK69" i="64"/>
  <c r="V70" i="64"/>
  <c r="R69" i="64"/>
  <c r="Z67" i="64"/>
  <c r="BB68" i="64"/>
  <c r="BA71" i="64"/>
  <c r="L67" i="64"/>
  <c r="P68" i="64"/>
  <c r="H70" i="64"/>
  <c r="AN67" i="64"/>
  <c r="BC71" i="64"/>
  <c r="AB73" i="64"/>
  <c r="N76" i="64"/>
  <c r="AK68" i="64"/>
  <c r="BB70" i="64"/>
  <c r="BI70" i="64"/>
  <c r="AT69" i="64"/>
  <c r="Y68" i="64"/>
  <c r="AO69" i="64"/>
  <c r="V71" i="64"/>
  <c r="T68" i="64"/>
  <c r="AT67" i="64"/>
  <c r="AV76" i="64"/>
  <c r="O67" i="64"/>
  <c r="AN71" i="64"/>
  <c r="AY70" i="64"/>
  <c r="G68" i="64"/>
  <c r="AX71" i="64"/>
  <c r="AZ71" i="64"/>
  <c r="S69" i="64"/>
  <c r="O69" i="64"/>
  <c r="N67" i="64"/>
  <c r="M70" i="64"/>
  <c r="R68" i="64"/>
  <c r="U74" i="64"/>
  <c r="AU76" i="64"/>
  <c r="AN70" i="64"/>
  <c r="O68" i="64"/>
  <c r="AM69" i="64"/>
  <c r="P71" i="64"/>
  <c r="AE67" i="64"/>
  <c r="K69" i="64"/>
  <c r="Q67" i="64"/>
  <c r="X68" i="64"/>
  <c r="H71" i="64"/>
  <c r="AH67" i="64"/>
  <c r="AZ69" i="64"/>
  <c r="L71" i="64"/>
  <c r="AE70" i="64"/>
  <c r="N73" i="64"/>
  <c r="U69" i="64"/>
  <c r="AT70" i="64"/>
  <c r="AK70" i="64"/>
  <c r="AW73" i="64"/>
  <c r="AQ71" i="64"/>
  <c r="AA69" i="64"/>
  <c r="AA71" i="64"/>
  <c r="BG69" i="64"/>
  <c r="AG68" i="64"/>
  <c r="AJ70" i="64"/>
  <c r="AF71" i="64"/>
  <c r="I70" i="64"/>
  <c r="J70" i="64"/>
  <c r="BI69" i="64"/>
  <c r="AE71" i="64"/>
  <c r="BJ76" i="64"/>
  <c r="AP71" i="64"/>
  <c r="AB67" i="64"/>
  <c r="AS71" i="64"/>
  <c r="AU68" i="64"/>
  <c r="T71" i="64"/>
  <c r="AL69" i="64"/>
  <c r="AA67" i="64"/>
  <c r="BC69" i="64"/>
  <c r="BF70" i="64"/>
  <c r="BF67" i="64"/>
  <c r="AO67" i="64"/>
  <c r="AW67" i="64"/>
  <c r="U73" i="64"/>
  <c r="AI69" i="64"/>
  <c r="BE70" i="64"/>
  <c r="AP74" i="64"/>
  <c r="Z68" i="64"/>
  <c r="AC70" i="64"/>
  <c r="R76" i="64"/>
  <c r="L68" i="64"/>
  <c r="AG67" i="64"/>
  <c r="Z70" i="64"/>
  <c r="AE68" i="64"/>
  <c r="AU71" i="64"/>
  <c r="AL67" i="64"/>
  <c r="J69" i="64"/>
  <c r="AP70" i="64"/>
  <c r="BJ70" i="64"/>
  <c r="T67" i="64"/>
  <c r="BH67" i="64"/>
  <c r="BE68" i="64"/>
  <c r="BJ71" i="64"/>
  <c r="Q71" i="64"/>
  <c r="AD69" i="64"/>
  <c r="AS70" i="64"/>
  <c r="AX67" i="64"/>
  <c r="R70" i="64"/>
  <c r="J71" i="64"/>
  <c r="W71" i="64"/>
  <c r="AW71" i="64"/>
  <c r="BK69" i="64"/>
  <c r="K68" i="64"/>
  <c r="N68" i="64"/>
  <c r="BH70" i="64"/>
  <c r="O76" i="64"/>
  <c r="AS68" i="64"/>
  <c r="BE71" i="64"/>
  <c r="W69" i="64"/>
  <c r="AS69" i="64"/>
  <c r="BK68" i="64"/>
  <c r="AR70" i="64"/>
  <c r="AQ70" i="64"/>
  <c r="P69" i="64"/>
  <c r="AF67" i="64"/>
  <c r="AT68" i="64"/>
  <c r="AV70" i="64"/>
  <c r="BH68" i="64"/>
  <c r="AI67" i="64"/>
  <c r="BC68" i="64"/>
  <c r="AI73" i="64"/>
  <c r="AJ67" i="64"/>
  <c r="BF71" i="64"/>
  <c r="AX69" i="64"/>
  <c r="AH71" i="64"/>
  <c r="L69" i="64"/>
  <c r="AV68" i="64"/>
  <c r="AV71" i="64"/>
  <c r="BH69" i="64"/>
  <c r="AF68" i="64"/>
  <c r="AL70" i="64"/>
  <c r="S67" i="64"/>
  <c r="AH68" i="64"/>
  <c r="AR71" i="64"/>
  <c r="Q76" i="64"/>
  <c r="AM70" i="64"/>
  <c r="AS67" i="64"/>
  <c r="AG70" i="64"/>
  <c r="S70" i="64"/>
  <c r="AD71" i="64"/>
  <c r="BD71" i="64" l="1"/>
  <c r="BD68" i="64"/>
  <c r="BD67" i="64"/>
  <c r="BD70" i="64"/>
  <c r="BD69" i="64"/>
  <c r="G142" i="64"/>
  <c r="AB142" i="64"/>
  <c r="AP142" i="64"/>
  <c r="N142" i="64"/>
  <c r="AI142" i="64"/>
  <c r="AW142" i="64"/>
  <c r="U142" i="64"/>
  <c r="H74" i="64"/>
  <c r="O73" i="64"/>
  <c r="V73" i="64"/>
  <c r="AJ73" i="64"/>
  <c r="AX73" i="64"/>
  <c r="I73" i="64"/>
  <c r="AC73" i="64"/>
  <c r="AQ73" i="64"/>
  <c r="AI152" i="64" l="1"/>
  <c r="BL142" i="64"/>
  <c r="BS142" i="64"/>
  <c r="AR12" i="71"/>
  <c r="AK12" i="71"/>
  <c r="AD12" i="71"/>
  <c r="I12" i="71"/>
  <c r="H142" i="64"/>
  <c r="O74" i="64"/>
  <c r="V74" i="64"/>
  <c r="AY73" i="64"/>
  <c r="AQ74" i="64"/>
  <c r="P73" i="64"/>
  <c r="AC74" i="64"/>
  <c r="I74" i="64"/>
  <c r="J73" i="64"/>
  <c r="AJ74" i="64"/>
  <c r="AK73" i="64"/>
  <c r="AD73" i="64"/>
  <c r="AR73" i="64"/>
  <c r="AX74" i="64"/>
  <c r="W73" i="64"/>
  <c r="J12" i="71" l="1"/>
  <c r="I142" i="64"/>
  <c r="AC142" i="64"/>
  <c r="O142" i="64"/>
  <c r="AX142" i="64"/>
  <c r="AQ142" i="64"/>
  <c r="V142" i="64"/>
  <c r="AJ142" i="64"/>
  <c r="AS73" i="64"/>
  <c r="AD74" i="64"/>
  <c r="AZ73" i="64"/>
  <c r="W74" i="64"/>
  <c r="K73" i="64"/>
  <c r="J74" i="64"/>
  <c r="AR74" i="64"/>
  <c r="AL73" i="64"/>
  <c r="AK74" i="64"/>
  <c r="Q73" i="64"/>
  <c r="P74" i="64"/>
  <c r="AE73" i="64"/>
  <c r="X73" i="64"/>
  <c r="AY74" i="64"/>
  <c r="AJ152" i="64" l="1"/>
  <c r="BT142" i="64"/>
  <c r="BM142" i="64"/>
  <c r="K12" i="71"/>
  <c r="AS12" i="71"/>
  <c r="AL12" i="71"/>
  <c r="AE12" i="71"/>
  <c r="J142" i="64"/>
  <c r="AY142" i="64"/>
  <c r="W142" i="64"/>
  <c r="P142" i="64"/>
  <c r="AR142" i="64"/>
  <c r="AK142" i="64"/>
  <c r="AK152" i="64" s="1"/>
  <c r="AD142" i="64"/>
  <c r="AM73" i="64"/>
  <c r="AE74" i="64"/>
  <c r="AS74" i="64"/>
  <c r="AZ74" i="64"/>
  <c r="Q74" i="64"/>
  <c r="Y73" i="64"/>
  <c r="AT73" i="64"/>
  <c r="BA73" i="64"/>
  <c r="AF73" i="64"/>
  <c r="K74" i="64"/>
  <c r="X74" i="64"/>
  <c r="L73" i="64"/>
  <c r="R73" i="64"/>
  <c r="AL74" i="64"/>
  <c r="BN142" i="64" l="1"/>
  <c r="L12" i="71"/>
  <c r="AT12" i="71"/>
  <c r="AM12" i="71"/>
  <c r="AF12" i="71"/>
  <c r="AE142" i="64"/>
  <c r="K142" i="64"/>
  <c r="AL142" i="64"/>
  <c r="AL152" i="64" s="1"/>
  <c r="AZ142" i="64"/>
  <c r="AS142" i="64"/>
  <c r="X142" i="64"/>
  <c r="Q142" i="64"/>
  <c r="BA74" i="64"/>
  <c r="AU73" i="64"/>
  <c r="AF74" i="64"/>
  <c r="M73" i="64"/>
  <c r="S73" i="64"/>
  <c r="Y74" i="64"/>
  <c r="AG73" i="64"/>
  <c r="Z73" i="64"/>
  <c r="AT74" i="64"/>
  <c r="AN73" i="64"/>
  <c r="L74" i="64"/>
  <c r="AM74" i="64"/>
  <c r="R74" i="64"/>
  <c r="BB73" i="64"/>
  <c r="BO142" i="64" l="1"/>
  <c r="M12" i="71"/>
  <c r="AU12" i="71"/>
  <c r="AN12" i="71"/>
  <c r="AG12" i="71"/>
  <c r="BD73" i="64"/>
  <c r="AT142" i="64"/>
  <c r="R142" i="64"/>
  <c r="AM142" i="64"/>
  <c r="AM152" i="64" s="1"/>
  <c r="BA142" i="64"/>
  <c r="AF142" i="64"/>
  <c r="L142" i="64"/>
  <c r="Y142" i="64"/>
  <c r="AA73" i="64"/>
  <c r="AO73" i="64"/>
  <c r="AG74" i="64"/>
  <c r="AU74" i="64"/>
  <c r="BH73" i="64"/>
  <c r="S74" i="64"/>
  <c r="BB74" i="64"/>
  <c r="M74" i="64"/>
  <c r="AV73" i="64"/>
  <c r="BC73" i="64"/>
  <c r="AN74" i="64"/>
  <c r="T73" i="64"/>
  <c r="Z74" i="64"/>
  <c r="AH73" i="64"/>
  <c r="BP142" i="64" l="1"/>
  <c r="N12" i="71"/>
  <c r="AV12" i="71"/>
  <c r="AO12" i="71"/>
  <c r="AH12" i="71"/>
  <c r="BD74" i="64"/>
  <c r="BD142" i="64" s="1"/>
  <c r="M142" i="64"/>
  <c r="AN142" i="64"/>
  <c r="AN152" i="64" s="1"/>
  <c r="AG142" i="64"/>
  <c r="AU142" i="64"/>
  <c r="S142" i="64"/>
  <c r="BB142" i="64"/>
  <c r="Z142" i="64"/>
  <c r="BJ73" i="64"/>
  <c r="T74" i="64"/>
  <c r="AV74" i="64"/>
  <c r="BH74" i="64"/>
  <c r="BC74" i="64"/>
  <c r="BG73" i="64"/>
  <c r="BG74" i="64"/>
  <c r="AO74" i="64"/>
  <c r="AA74" i="64"/>
  <c r="BE74" i="64"/>
  <c r="BI73" i="64"/>
  <c r="BF73" i="64"/>
  <c r="BE73" i="64"/>
  <c r="BJ74" i="64"/>
  <c r="AH74" i="64"/>
  <c r="BK73" i="64"/>
  <c r="BQ142" i="64" l="1"/>
  <c r="AW12" i="71"/>
  <c r="AP12" i="71"/>
  <c r="AI12" i="71"/>
  <c r="O12" i="71"/>
  <c r="C12" i="71" s="1"/>
  <c r="BH142" i="64"/>
  <c r="AA142" i="64"/>
  <c r="AV142" i="64"/>
  <c r="AU155" i="64" s="1"/>
  <c r="BE142" i="64"/>
  <c r="BJ142" i="64"/>
  <c r="BG142" i="64"/>
  <c r="BC142" i="64"/>
  <c r="AH142" i="64"/>
  <c r="AO142" i="64"/>
  <c r="T142" i="64"/>
  <c r="BI74" i="64"/>
  <c r="BK74" i="64"/>
  <c r="BF74" i="64"/>
  <c r="AO152" i="64" l="1"/>
  <c r="AV155" i="64"/>
  <c r="BR142" i="64"/>
  <c r="AX12" i="71"/>
  <c r="H12" i="71" s="1"/>
  <c r="AQ12" i="71"/>
  <c r="G12" i="71" s="1"/>
  <c r="AJ12" i="71"/>
  <c r="F12" i="71" s="1"/>
  <c r="H52" i="71"/>
  <c r="F32" i="71"/>
  <c r="F52" i="71"/>
  <c r="BF142" i="64"/>
  <c r="BI142" i="64"/>
  <c r="BK142" i="64"/>
  <c r="Q8" i="71" l="1"/>
  <c r="R8" i="71"/>
  <c r="P8" i="71" l="1"/>
  <c r="S8" i="71"/>
  <c r="R48" i="71" l="1"/>
  <c r="Q48" i="71"/>
  <c r="R28" i="71"/>
  <c r="Q28" i="71"/>
  <c r="P28" i="71"/>
  <c r="P48" i="71"/>
  <c r="T8" i="71"/>
  <c r="S28" i="71" l="1"/>
  <c r="S48" i="71"/>
  <c r="T28" i="71" l="1"/>
  <c r="T48" i="71"/>
  <c r="U8" i="71"/>
  <c r="V8" i="71" l="1"/>
  <c r="D8" i="71" s="1"/>
  <c r="U28" i="71"/>
  <c r="U48" i="71"/>
  <c r="V48" i="71"/>
  <c r="V28" i="71"/>
  <c r="D48" i="71" l="1"/>
  <c r="D28" i="71"/>
  <c r="BC56" i="113"/>
  <c r="AY56" i="113"/>
  <c r="AZ56" i="113"/>
  <c r="AX56" i="113"/>
  <c r="BB56" i="113"/>
  <c r="BD56" i="113"/>
  <c r="BY56" i="113"/>
  <c r="BA56" i="113"/>
  <c r="CR22" i="135" l="1"/>
  <c r="CS22" i="135" l="1"/>
  <c r="CT22" i="135" s="1"/>
  <c r="CU22" i="135" s="1"/>
  <c r="CV22" i="135" s="1"/>
  <c r="CW22" i="135" s="1"/>
  <c r="CX22" i="135" s="1"/>
  <c r="EO22" i="135"/>
  <c r="EP22" i="135"/>
  <c r="AX42" i="113"/>
  <c r="AY42" i="113"/>
  <c r="EQ22" i="135" l="1"/>
  <c r="AZ42" i="113"/>
  <c r="ER22" i="135" l="1"/>
  <c r="BA42" i="113"/>
  <c r="ES22" i="135" l="1"/>
  <c r="BB42" i="113"/>
  <c r="ET22" i="135" l="1"/>
  <c r="EU22" i="135"/>
  <c r="FC22" i="135" s="1"/>
  <c r="BC42" i="113"/>
  <c r="BD42" i="113"/>
  <c r="BY42" i="113"/>
  <c r="S7" i="135" l="1"/>
  <c r="CR7" i="135" s="1"/>
  <c r="CS7" i="135" l="1"/>
  <c r="CT7" i="135" s="1"/>
  <c r="CU7" i="135" s="1"/>
  <c r="CV7" i="135" s="1"/>
  <c r="CW7" i="135" s="1"/>
  <c r="CX7" i="135" s="1"/>
  <c r="EO7" i="135"/>
  <c r="EP7" i="135"/>
  <c r="AW25" i="64"/>
  <c r="AX25" i="64"/>
  <c r="EQ7" i="135" l="1"/>
  <c r="AY25" i="64"/>
  <c r="ER7" i="135" l="1"/>
  <c r="AZ25" i="64"/>
  <c r="ES7" i="135" l="1"/>
  <c r="BA25" i="64"/>
  <c r="ET7" i="135" l="1"/>
  <c r="EU7" i="135"/>
  <c r="FC7" i="135" s="1"/>
  <c r="BK25" i="64"/>
  <c r="BB25" i="64"/>
  <c r="BC25" i="64"/>
  <c r="FL7" i="135" l="1"/>
  <c r="W11" i="132"/>
  <c r="G43" i="64"/>
  <c r="W31" i="132" l="1"/>
  <c r="DF11" i="132"/>
  <c r="X11" i="132"/>
  <c r="CR31" i="132"/>
  <c r="DT31" i="132"/>
  <c r="EH31" i="132"/>
  <c r="CY31" i="132"/>
  <c r="EA31" i="132"/>
  <c r="DM31" i="132"/>
  <c r="DM11" i="132"/>
  <c r="EA11" i="132"/>
  <c r="DT11" i="132"/>
  <c r="EH11" i="132"/>
  <c r="CY11" i="132"/>
  <c r="CR11" i="132"/>
  <c r="W21" i="132"/>
  <c r="O83" i="113"/>
  <c r="AW43" i="64"/>
  <c r="AI43" i="64"/>
  <c r="AP43" i="64"/>
  <c r="BK83" i="113"/>
  <c r="AQ83" i="113"/>
  <c r="H43" i="64"/>
  <c r="U43" i="64"/>
  <c r="AB43" i="64"/>
  <c r="AJ83" i="113"/>
  <c r="H74" i="113"/>
  <c r="V83" i="113"/>
  <c r="H83" i="113"/>
  <c r="AX83" i="113"/>
  <c r="N43" i="64"/>
  <c r="Y11" i="132" l="1"/>
  <c r="X21" i="132"/>
  <c r="CZ11" i="132"/>
  <c r="EI11" i="132"/>
  <c r="X31" i="132"/>
  <c r="DU11" i="132"/>
  <c r="DN11" i="132"/>
  <c r="DG11" i="132"/>
  <c r="CS11" i="132"/>
  <c r="EB11" i="132"/>
  <c r="DF31" i="132"/>
  <c r="DG21" i="132"/>
  <c r="DT21" i="132"/>
  <c r="CY21" i="132"/>
  <c r="CR21" i="132"/>
  <c r="DF21" i="132"/>
  <c r="EA21" i="132"/>
  <c r="DM21" i="132"/>
  <c r="EH21" i="132"/>
  <c r="O43" i="64"/>
  <c r="I43" i="64"/>
  <c r="AX43" i="64"/>
  <c r="AQ43" i="64"/>
  <c r="BK74" i="113"/>
  <c r="AD74" i="113"/>
  <c r="AC83" i="113"/>
  <c r="AX74" i="113"/>
  <c r="AC74" i="113"/>
  <c r="AJ43" i="64"/>
  <c r="O74" i="113"/>
  <c r="AC43" i="64"/>
  <c r="I74" i="113"/>
  <c r="AQ74" i="113"/>
  <c r="V43" i="64"/>
  <c r="AJ74" i="113"/>
  <c r="V74" i="113"/>
  <c r="I83" i="113"/>
  <c r="DG31" i="132" l="1"/>
  <c r="CS31" i="132"/>
  <c r="EB31" i="132"/>
  <c r="DU31" i="132"/>
  <c r="DN31" i="132"/>
  <c r="EI31" i="132"/>
  <c r="CZ31" i="132"/>
  <c r="DU21" i="132"/>
  <c r="DN21" i="132"/>
  <c r="EB21" i="132"/>
  <c r="CZ21" i="132"/>
  <c r="EI21" i="132"/>
  <c r="CS21" i="132"/>
  <c r="Z11" i="132"/>
  <c r="DH11" i="132"/>
  <c r="DA11" i="132"/>
  <c r="DO11" i="132"/>
  <c r="CT11" i="132"/>
  <c r="EJ11" i="132"/>
  <c r="EC11" i="132"/>
  <c r="Y21" i="132"/>
  <c r="Y31" i="132"/>
  <c r="DV11" i="132"/>
  <c r="J83" i="113"/>
  <c r="J74" i="113"/>
  <c r="P43" i="64"/>
  <c r="W43" i="64"/>
  <c r="AK83" i="113"/>
  <c r="AK74" i="113"/>
  <c r="W74" i="113"/>
  <c r="AY43" i="64"/>
  <c r="P74" i="113"/>
  <c r="BL83" i="113"/>
  <c r="AD83" i="113"/>
  <c r="AK43" i="64"/>
  <c r="W83" i="113"/>
  <c r="J43" i="64"/>
  <c r="AR83" i="113"/>
  <c r="AD43" i="64"/>
  <c r="AY83" i="113"/>
  <c r="P83" i="113"/>
  <c r="BL74" i="113"/>
  <c r="AR74" i="113"/>
  <c r="AR43" i="64"/>
  <c r="AY74" i="113"/>
  <c r="DH31" i="132" l="1"/>
  <c r="DA31" i="132"/>
  <c r="EC31" i="132"/>
  <c r="DV31" i="132"/>
  <c r="DO31" i="132"/>
  <c r="EJ31" i="132"/>
  <c r="CT31" i="132"/>
  <c r="AA11" i="132"/>
  <c r="DI11" i="132"/>
  <c r="Z21" i="132"/>
  <c r="DW11" i="132"/>
  <c r="Z31" i="132"/>
  <c r="DP11" i="132"/>
  <c r="CU11" i="132"/>
  <c r="EK11" i="132"/>
  <c r="DB11" i="132"/>
  <c r="ED11" i="132"/>
  <c r="DH21" i="132"/>
  <c r="DV21" i="132"/>
  <c r="DO21" i="132"/>
  <c r="DA21" i="132"/>
  <c r="EJ21" i="132"/>
  <c r="CT21" i="132"/>
  <c r="EC21" i="132"/>
  <c r="W9" i="132"/>
  <c r="G39" i="64"/>
  <c r="AS74" i="113"/>
  <c r="G41" i="64"/>
  <c r="X74" i="113"/>
  <c r="AL74" i="113"/>
  <c r="Q74" i="113"/>
  <c r="K83" i="113"/>
  <c r="AZ43" i="64"/>
  <c r="AS83" i="113"/>
  <c r="AE43" i="64"/>
  <c r="BM83" i="113"/>
  <c r="AS43" i="64"/>
  <c r="AL83" i="113"/>
  <c r="Q43" i="64"/>
  <c r="X83" i="113"/>
  <c r="AL43" i="64"/>
  <c r="AZ74" i="113"/>
  <c r="BM74" i="113"/>
  <c r="AZ83" i="113"/>
  <c r="AE83" i="113"/>
  <c r="K43" i="64"/>
  <c r="K74" i="113"/>
  <c r="AE74" i="113"/>
  <c r="Q83" i="113"/>
  <c r="X43" i="64"/>
  <c r="DP31" i="132" l="1"/>
  <c r="CU31" i="132"/>
  <c r="EK31" i="132"/>
  <c r="DW31" i="132"/>
  <c r="DB31" i="132"/>
  <c r="DI31" i="132"/>
  <c r="ED31" i="132"/>
  <c r="EK21" i="132"/>
  <c r="DW21" i="132"/>
  <c r="ED21" i="132"/>
  <c r="DP21" i="132"/>
  <c r="CU21" i="132"/>
  <c r="DB21" i="132"/>
  <c r="DI21" i="132"/>
  <c r="DJ11" i="132"/>
  <c r="AB11" i="132"/>
  <c r="DQ11" i="132"/>
  <c r="EL11" i="132"/>
  <c r="CV11" i="132"/>
  <c r="DC11" i="132"/>
  <c r="EE11" i="132"/>
  <c r="AA31" i="132"/>
  <c r="AA21" i="132"/>
  <c r="DX11" i="132"/>
  <c r="W36" i="132"/>
  <c r="DF9" i="132"/>
  <c r="X9" i="132"/>
  <c r="G141" i="64"/>
  <c r="W17" i="132"/>
  <c r="EH7" i="132"/>
  <c r="CR7" i="132"/>
  <c r="EA7" i="132"/>
  <c r="DM7" i="132"/>
  <c r="DT7" i="132"/>
  <c r="DF7" i="132"/>
  <c r="CY7" i="132"/>
  <c r="DM9" i="132"/>
  <c r="CY9" i="132"/>
  <c r="EH9" i="132"/>
  <c r="EA9" i="132"/>
  <c r="DT9" i="132"/>
  <c r="W19" i="132"/>
  <c r="W29" i="132"/>
  <c r="CR9" i="132"/>
  <c r="W27" i="132"/>
  <c r="N39" i="64"/>
  <c r="H41" i="64"/>
  <c r="AB41" i="64"/>
  <c r="AI41" i="64"/>
  <c r="Y74" i="113"/>
  <c r="L83" i="113"/>
  <c r="Y43" i="64"/>
  <c r="R83" i="113"/>
  <c r="Y83" i="113"/>
  <c r="AF74" i="113"/>
  <c r="AT83" i="113"/>
  <c r="AT74" i="113"/>
  <c r="AM74" i="113"/>
  <c r="H70" i="113"/>
  <c r="N41" i="64"/>
  <c r="AF83" i="113"/>
  <c r="AM83" i="113"/>
  <c r="AI39" i="64"/>
  <c r="AW41" i="64"/>
  <c r="AF43" i="64"/>
  <c r="BN83" i="113"/>
  <c r="H81" i="113"/>
  <c r="L74" i="113"/>
  <c r="AP41" i="64"/>
  <c r="AM43" i="64"/>
  <c r="BA43" i="64"/>
  <c r="H79" i="113"/>
  <c r="U39" i="64"/>
  <c r="AW39" i="64"/>
  <c r="BN74" i="113"/>
  <c r="AP39" i="64"/>
  <c r="H72" i="113"/>
  <c r="BA74" i="113"/>
  <c r="AB39" i="64"/>
  <c r="L43" i="64"/>
  <c r="BA83" i="113"/>
  <c r="R74" i="113"/>
  <c r="AT43" i="64"/>
  <c r="U41" i="64"/>
  <c r="R43" i="64"/>
  <c r="DJ21" i="132" l="1"/>
  <c r="DQ21" i="132"/>
  <c r="CV21" i="132"/>
  <c r="EE21" i="132"/>
  <c r="DC21" i="132"/>
  <c r="EL21" i="132"/>
  <c r="DX21" i="132"/>
  <c r="AC11" i="132"/>
  <c r="DK11" i="132"/>
  <c r="EF11" i="132"/>
  <c r="AB31" i="132"/>
  <c r="EM11" i="132"/>
  <c r="DD11" i="132"/>
  <c r="AB21" i="132"/>
  <c r="DR11" i="132"/>
  <c r="DY11" i="132"/>
  <c r="CW11" i="132"/>
  <c r="DJ31" i="132"/>
  <c r="DX31" i="132"/>
  <c r="DQ31" i="132"/>
  <c r="CV31" i="132"/>
  <c r="EL31" i="132"/>
  <c r="DC31" i="132"/>
  <c r="EE31" i="132"/>
  <c r="I11" i="71"/>
  <c r="DG9" i="132"/>
  <c r="X29" i="132"/>
  <c r="EB9" i="132"/>
  <c r="DU9" i="132"/>
  <c r="DN9" i="132"/>
  <c r="CS9" i="132"/>
  <c r="X19" i="132"/>
  <c r="EI9" i="132"/>
  <c r="CZ9" i="132"/>
  <c r="Y9" i="132"/>
  <c r="U141" i="64"/>
  <c r="AI141" i="64"/>
  <c r="AD11" i="71" s="1"/>
  <c r="H281" i="113"/>
  <c r="AB141" i="64"/>
  <c r="AW141" i="64"/>
  <c r="AP141" i="64"/>
  <c r="N141" i="64"/>
  <c r="H265" i="113"/>
  <c r="EH27" i="132"/>
  <c r="DT27" i="132"/>
  <c r="EA27" i="132"/>
  <c r="CR27" i="132"/>
  <c r="CY27" i="132"/>
  <c r="DF27" i="132"/>
  <c r="DM27" i="132"/>
  <c r="DM19" i="132"/>
  <c r="EA19" i="132"/>
  <c r="DF19" i="132"/>
  <c r="CY19" i="132"/>
  <c r="EH19" i="132"/>
  <c r="DT19" i="132"/>
  <c r="CR19" i="132"/>
  <c r="EA29" i="132"/>
  <c r="DM29" i="132"/>
  <c r="CR29" i="132"/>
  <c r="DT29" i="132"/>
  <c r="EH29" i="132"/>
  <c r="CY29" i="132"/>
  <c r="DF29" i="132"/>
  <c r="EH17" i="132"/>
  <c r="DM17" i="132"/>
  <c r="DF17" i="132"/>
  <c r="DT17" i="132"/>
  <c r="CR17" i="132"/>
  <c r="EA17" i="132"/>
  <c r="CY17" i="132"/>
  <c r="I41" i="64"/>
  <c r="AJ79" i="113"/>
  <c r="AJ41" i="64"/>
  <c r="S83" i="113"/>
  <c r="AU43" i="64"/>
  <c r="Z74" i="113"/>
  <c r="V81" i="113"/>
  <c r="AQ79" i="113"/>
  <c r="BK81" i="113"/>
  <c r="AC79" i="113"/>
  <c r="M43" i="64"/>
  <c r="Z43" i="64"/>
  <c r="I72" i="113"/>
  <c r="AX81" i="113"/>
  <c r="AQ81" i="113"/>
  <c r="AN74" i="113"/>
  <c r="V79" i="113"/>
  <c r="AX70" i="113"/>
  <c r="BO74" i="113"/>
  <c r="AQ70" i="113"/>
  <c r="AX79" i="113"/>
  <c r="BK79" i="113"/>
  <c r="O81" i="113"/>
  <c r="BK72" i="113"/>
  <c r="AU74" i="113"/>
  <c r="BB43" i="64"/>
  <c r="O79" i="113"/>
  <c r="BO83" i="113"/>
  <c r="AX41" i="64"/>
  <c r="AC81" i="113"/>
  <c r="AJ70" i="113"/>
  <c r="M74" i="113"/>
  <c r="BB83" i="113"/>
  <c r="AC41" i="64"/>
  <c r="O41" i="64"/>
  <c r="AC70" i="113"/>
  <c r="H39" i="64"/>
  <c r="AG83" i="113"/>
  <c r="V70" i="113"/>
  <c r="AQ41" i="64"/>
  <c r="BK70" i="113"/>
  <c r="Z83" i="113"/>
  <c r="BB74" i="113"/>
  <c r="AQ72" i="113"/>
  <c r="I81" i="113"/>
  <c r="AX72" i="113"/>
  <c r="AC72" i="113"/>
  <c r="V41" i="64"/>
  <c r="AN43" i="64"/>
  <c r="AJ72" i="113"/>
  <c r="M83" i="113"/>
  <c r="AG43" i="64"/>
  <c r="S43" i="64"/>
  <c r="S74" i="113"/>
  <c r="AG74" i="113"/>
  <c r="V72" i="113"/>
  <c r="O70" i="113"/>
  <c r="AJ81" i="113"/>
  <c r="AN83" i="113"/>
  <c r="O72" i="113"/>
  <c r="AU83" i="113"/>
  <c r="AR11" i="71" l="1"/>
  <c r="BS141" i="64"/>
  <c r="AK11" i="71"/>
  <c r="BL141" i="64"/>
  <c r="BD43" i="64"/>
  <c r="DL11" i="132"/>
  <c r="CX11" i="132"/>
  <c r="EP11" i="132" s="1"/>
  <c r="DE11" i="132"/>
  <c r="EQ11" i="132" s="1"/>
  <c r="EG11" i="132"/>
  <c r="EU11" i="132" s="1"/>
  <c r="DS11" i="132"/>
  <c r="ES11" i="132" s="1"/>
  <c r="AC31" i="132"/>
  <c r="EO31" i="132" s="1"/>
  <c r="EN11" i="132"/>
  <c r="AC21" i="132"/>
  <c r="DZ11" i="132"/>
  <c r="EO11" i="132"/>
  <c r="DK21" i="132"/>
  <c r="DY21" i="132"/>
  <c r="DR21" i="132"/>
  <c r="CW21" i="132"/>
  <c r="DD21" i="132"/>
  <c r="EM21" i="132"/>
  <c r="EF21" i="132"/>
  <c r="DK31" i="132"/>
  <c r="EF31" i="132"/>
  <c r="DY31" i="132"/>
  <c r="DR31" i="132"/>
  <c r="CW31" i="132"/>
  <c r="EM31" i="132"/>
  <c r="DD31" i="132"/>
  <c r="ET11" i="132"/>
  <c r="I31" i="71"/>
  <c r="H141" i="64"/>
  <c r="Z9" i="132"/>
  <c r="DH9" i="132"/>
  <c r="DV9" i="132"/>
  <c r="DO9" i="132"/>
  <c r="EJ9" i="132"/>
  <c r="CT9" i="132"/>
  <c r="Y19" i="132"/>
  <c r="EC9" i="132"/>
  <c r="Y29" i="132"/>
  <c r="DA9" i="132"/>
  <c r="CZ29" i="132"/>
  <c r="EB29" i="132"/>
  <c r="EI29" i="132"/>
  <c r="DU29" i="132"/>
  <c r="DN29" i="132"/>
  <c r="CS29" i="132"/>
  <c r="DG29" i="132"/>
  <c r="X36" i="132"/>
  <c r="DG7" i="132"/>
  <c r="DN7" i="132"/>
  <c r="CZ7" i="132"/>
  <c r="EI7" i="132"/>
  <c r="DU7" i="132"/>
  <c r="CS7" i="132"/>
  <c r="X17" i="132"/>
  <c r="X27" i="132"/>
  <c r="EB7" i="132"/>
  <c r="CS19" i="132"/>
  <c r="DG19" i="132"/>
  <c r="DN19" i="132"/>
  <c r="EB19" i="132"/>
  <c r="EI19" i="132"/>
  <c r="DU19" i="132"/>
  <c r="CZ19" i="132"/>
  <c r="I51" i="71"/>
  <c r="AC281" i="113"/>
  <c r="O281" i="113"/>
  <c r="AQ281" i="113"/>
  <c r="AK51" i="71" s="1"/>
  <c r="AJ265" i="113"/>
  <c r="AD31" i="71" s="1"/>
  <c r="AC265" i="113"/>
  <c r="AJ281" i="113"/>
  <c r="AD51" i="71" s="1"/>
  <c r="O265" i="113"/>
  <c r="AX281" i="113"/>
  <c r="AR51" i="71" s="1"/>
  <c r="AX265" i="113"/>
  <c r="AR31" i="71" s="1"/>
  <c r="V265" i="113"/>
  <c r="AQ265" i="113"/>
  <c r="AK31" i="71" s="1"/>
  <c r="V281" i="113"/>
  <c r="W11" i="71"/>
  <c r="AA83" i="113"/>
  <c r="AY41" i="64"/>
  <c r="W41" i="64"/>
  <c r="BJ43" i="64"/>
  <c r="AV83" i="113"/>
  <c r="BC83" i="113"/>
  <c r="N74" i="113"/>
  <c r="J41" i="64"/>
  <c r="W81" i="113"/>
  <c r="I79" i="113"/>
  <c r="O39" i="64"/>
  <c r="T43" i="64"/>
  <c r="BP83" i="113"/>
  <c r="AK81" i="113"/>
  <c r="AV43" i="64"/>
  <c r="AY72" i="113"/>
  <c r="V39" i="64"/>
  <c r="BC43" i="64"/>
  <c r="AY81" i="113"/>
  <c r="P81" i="113"/>
  <c r="J72" i="113"/>
  <c r="T83" i="113"/>
  <c r="BC74" i="113"/>
  <c r="BH43" i="64"/>
  <c r="T74" i="113"/>
  <c r="AR81" i="113"/>
  <c r="AA43" i="64"/>
  <c r="AD41" i="64"/>
  <c r="AK72" i="113"/>
  <c r="AR72" i="113"/>
  <c r="AH74" i="113"/>
  <c r="AH43" i="64"/>
  <c r="AV74" i="113"/>
  <c r="AH83" i="113"/>
  <c r="AD72" i="113"/>
  <c r="J81" i="113"/>
  <c r="AO43" i="64"/>
  <c r="AR41" i="64"/>
  <c r="P41" i="64"/>
  <c r="W72" i="113"/>
  <c r="I39" i="64"/>
  <c r="N83" i="113"/>
  <c r="AD81" i="113"/>
  <c r="P72" i="113"/>
  <c r="AO74" i="113"/>
  <c r="BI43" i="64"/>
  <c r="AK41" i="64"/>
  <c r="AJ39" i="64"/>
  <c r="AA74" i="113"/>
  <c r="BL72" i="113"/>
  <c r="BL81" i="113"/>
  <c r="BP74" i="113"/>
  <c r="AQ39" i="64"/>
  <c r="BF43" i="64"/>
  <c r="AC39" i="64"/>
  <c r="BE43" i="64"/>
  <c r="I70" i="113"/>
  <c r="AO83" i="113"/>
  <c r="AX39" i="64"/>
  <c r="BR74" i="113" l="1"/>
  <c r="BR83" i="113"/>
  <c r="DL21" i="132"/>
  <c r="EG21" i="132"/>
  <c r="EU21" i="132" s="1"/>
  <c r="DE21" i="132"/>
  <c r="EQ21" i="132" s="1"/>
  <c r="EN21" i="132"/>
  <c r="DZ21" i="132"/>
  <c r="ET21" i="132" s="1"/>
  <c r="DS21" i="132"/>
  <c r="ES21" i="132" s="1"/>
  <c r="CX21" i="132"/>
  <c r="EP21" i="132" s="1"/>
  <c r="EO21" i="132"/>
  <c r="EX11" i="132" s="1"/>
  <c r="DL31" i="132"/>
  <c r="DE31" i="132"/>
  <c r="EQ31" i="132" s="1"/>
  <c r="EN31" i="132"/>
  <c r="EG31" i="132"/>
  <c r="EU31" i="132" s="1"/>
  <c r="DZ31" i="132"/>
  <c r="ET31" i="132" s="1"/>
  <c r="DS31" i="132"/>
  <c r="CX31" i="132"/>
  <c r="EP31" i="132" s="1"/>
  <c r="ER11" i="132"/>
  <c r="EV11" i="132"/>
  <c r="P11" i="71"/>
  <c r="J11" i="71"/>
  <c r="AC141" i="64"/>
  <c r="V141" i="64"/>
  <c r="AQ141" i="64"/>
  <c r="I281" i="113"/>
  <c r="I265" i="113"/>
  <c r="O141" i="64"/>
  <c r="AJ141" i="64"/>
  <c r="AE11" i="71" s="1"/>
  <c r="AX141" i="64"/>
  <c r="AA9" i="132"/>
  <c r="DI9" i="132"/>
  <c r="DW9" i="132"/>
  <c r="Z19" i="132"/>
  <c r="DP9" i="132"/>
  <c r="ED9" i="132"/>
  <c r="EK9" i="132"/>
  <c r="DB9" i="132"/>
  <c r="CU9" i="132"/>
  <c r="Z29" i="132"/>
  <c r="DO19" i="132"/>
  <c r="DV19" i="132"/>
  <c r="DA19" i="132"/>
  <c r="EC19" i="132"/>
  <c r="DH19" i="132"/>
  <c r="EJ19" i="132"/>
  <c r="CT19" i="132"/>
  <c r="CZ27" i="132"/>
  <c r="EI27" i="132"/>
  <c r="DN27" i="132"/>
  <c r="DU27" i="132"/>
  <c r="EB27" i="132"/>
  <c r="CS27" i="132"/>
  <c r="DG27" i="132"/>
  <c r="EB17" i="132"/>
  <c r="CS17" i="132"/>
  <c r="DN17" i="132"/>
  <c r="EI17" i="132"/>
  <c r="DG17" i="132"/>
  <c r="DU17" i="132"/>
  <c r="CZ17" i="132"/>
  <c r="EJ29" i="132"/>
  <c r="DO29" i="132"/>
  <c r="EC29" i="132"/>
  <c r="CT29" i="132"/>
  <c r="DV29" i="132"/>
  <c r="DA29" i="132"/>
  <c r="DH29" i="132"/>
  <c r="DH7" i="132"/>
  <c r="Z7" i="132"/>
  <c r="DO7" i="132"/>
  <c r="DA7" i="132"/>
  <c r="EJ7" i="132"/>
  <c r="DV7" i="132"/>
  <c r="CT7" i="132"/>
  <c r="Y17" i="132"/>
  <c r="Y27" i="132"/>
  <c r="EC7" i="132"/>
  <c r="P51" i="71"/>
  <c r="W31" i="71"/>
  <c r="W51" i="71"/>
  <c r="AB83" i="113"/>
  <c r="X72" i="113"/>
  <c r="AR39" i="64"/>
  <c r="BQ74" i="113"/>
  <c r="AD79" i="113"/>
  <c r="Q72" i="113"/>
  <c r="AZ41" i="64"/>
  <c r="AK39" i="64"/>
  <c r="BG43" i="64"/>
  <c r="AW74" i="113"/>
  <c r="AP74" i="113"/>
  <c r="AL41" i="64"/>
  <c r="P39" i="64"/>
  <c r="Q41" i="64"/>
  <c r="X81" i="113"/>
  <c r="AE41" i="64"/>
  <c r="BL79" i="113"/>
  <c r="BW74" i="113"/>
  <c r="AE72" i="113"/>
  <c r="AW83" i="113"/>
  <c r="BW83" i="113"/>
  <c r="BQ83" i="113"/>
  <c r="AE81" i="113"/>
  <c r="AZ72" i="113"/>
  <c r="J70" i="113"/>
  <c r="AR70" i="113"/>
  <c r="AK79" i="113"/>
  <c r="BL70" i="113"/>
  <c r="W79" i="113"/>
  <c r="P70" i="113"/>
  <c r="AZ81" i="113"/>
  <c r="BS74" i="113"/>
  <c r="AL72" i="113"/>
  <c r="BT74" i="113"/>
  <c r="U83" i="113"/>
  <c r="BM72" i="113"/>
  <c r="K41" i="64"/>
  <c r="BT83" i="113"/>
  <c r="AD70" i="113"/>
  <c r="AY79" i="113"/>
  <c r="P79" i="113"/>
  <c r="Q81" i="113"/>
  <c r="AI74" i="113"/>
  <c r="W39" i="64"/>
  <c r="BV74" i="113"/>
  <c r="AR79" i="113"/>
  <c r="K81" i="113"/>
  <c r="AK70" i="113"/>
  <c r="AS81" i="113"/>
  <c r="BX74" i="113"/>
  <c r="AS41" i="64"/>
  <c r="AI83" i="113"/>
  <c r="BK43" i="64"/>
  <c r="AL81" i="113"/>
  <c r="BX83" i="113"/>
  <c r="X41" i="64"/>
  <c r="BD74" i="113"/>
  <c r="AB74" i="113"/>
  <c r="AS72" i="113"/>
  <c r="AP83" i="113"/>
  <c r="W70" i="113"/>
  <c r="K72" i="113"/>
  <c r="AY70" i="113"/>
  <c r="U74" i="113"/>
  <c r="AD39" i="64"/>
  <c r="BS83" i="113"/>
  <c r="BD83" i="113"/>
  <c r="AY39" i="64"/>
  <c r="J39" i="64"/>
  <c r="BM81" i="113"/>
  <c r="J79" i="113"/>
  <c r="AL11" i="71" l="1"/>
  <c r="BM141" i="64"/>
  <c r="AS11" i="71"/>
  <c r="BT141" i="64"/>
  <c r="P31" i="71"/>
  <c r="P41" i="71" s="1"/>
  <c r="P21" i="71"/>
  <c r="FD11" i="132"/>
  <c r="ER21" i="132"/>
  <c r="EY11" i="132"/>
  <c r="EZ11" i="132"/>
  <c r="ER31" i="132"/>
  <c r="EV21" i="132"/>
  <c r="ES31" i="132"/>
  <c r="FB11" i="132" s="1"/>
  <c r="FC11" i="132"/>
  <c r="EV31" i="132"/>
  <c r="J51" i="71"/>
  <c r="J31" i="71"/>
  <c r="X31" i="71"/>
  <c r="W265" i="113"/>
  <c r="W281" i="113"/>
  <c r="AR281" i="113"/>
  <c r="AL51" i="71" s="1"/>
  <c r="AK265" i="113"/>
  <c r="AE31" i="71" s="1"/>
  <c r="AD265" i="113"/>
  <c r="AD281" i="113"/>
  <c r="AY265" i="113"/>
  <c r="AS31" i="71" s="1"/>
  <c r="P281" i="113"/>
  <c r="P265" i="113"/>
  <c r="AK281" i="113"/>
  <c r="AE51" i="71" s="1"/>
  <c r="AR265" i="113"/>
  <c r="AL31" i="71" s="1"/>
  <c r="AY281" i="113"/>
  <c r="AS51" i="71" s="1"/>
  <c r="DH17" i="132"/>
  <c r="DV17" i="132"/>
  <c r="EJ17" i="132"/>
  <c r="EC17" i="132"/>
  <c r="DO17" i="132"/>
  <c r="CT17" i="132"/>
  <c r="DA17" i="132"/>
  <c r="DW29" i="132"/>
  <c r="DI29" i="132"/>
  <c r="ED29" i="132"/>
  <c r="EK29" i="132"/>
  <c r="CU29" i="132"/>
  <c r="DP29" i="132"/>
  <c r="DB29" i="132"/>
  <c r="DP19" i="132"/>
  <c r="DI19" i="132"/>
  <c r="DB19" i="132"/>
  <c r="EK19" i="132"/>
  <c r="ED19" i="132"/>
  <c r="CU19" i="132"/>
  <c r="DW19" i="132"/>
  <c r="AB9" i="132"/>
  <c r="DJ9" i="132"/>
  <c r="AA19" i="132"/>
  <c r="DQ9" i="132"/>
  <c r="DX9" i="132"/>
  <c r="AA29" i="132"/>
  <c r="DC9" i="132"/>
  <c r="CV9" i="132"/>
  <c r="EL9" i="132"/>
  <c r="EE9" i="132"/>
  <c r="DV27" i="132"/>
  <c r="DH27" i="132"/>
  <c r="CT27" i="132"/>
  <c r="EC27" i="132"/>
  <c r="EJ27" i="132"/>
  <c r="DO27" i="132"/>
  <c r="DA27" i="132"/>
  <c r="DI7" i="132"/>
  <c r="AA7" i="132"/>
  <c r="DP7" i="132"/>
  <c r="DB7" i="132"/>
  <c r="DW7" i="132"/>
  <c r="EK7" i="132"/>
  <c r="CU7" i="132"/>
  <c r="Z17" i="132"/>
  <c r="Z27" i="132"/>
  <c r="ED7" i="132"/>
  <c r="P61" i="71"/>
  <c r="AE39" i="64"/>
  <c r="AM81" i="113"/>
  <c r="Y81" i="113"/>
  <c r="AL70" i="113"/>
  <c r="AF81" i="113"/>
  <c r="L72" i="113"/>
  <c r="BM70" i="113"/>
  <c r="BN81" i="113"/>
  <c r="R81" i="113"/>
  <c r="R41" i="64"/>
  <c r="BN72" i="113"/>
  <c r="Q39" i="64"/>
  <c r="AF41" i="64"/>
  <c r="K70" i="113"/>
  <c r="X79" i="113"/>
  <c r="BU74" i="113"/>
  <c r="Q70" i="113"/>
  <c r="AS79" i="113"/>
  <c r="BU83" i="113"/>
  <c r="Q79" i="113"/>
  <c r="AT41" i="64"/>
  <c r="AM41" i="64"/>
  <c r="BV83" i="113"/>
  <c r="BA81" i="113"/>
  <c r="AS70" i="113"/>
  <c r="AF72" i="113"/>
  <c r="AM72" i="113"/>
  <c r="AZ70" i="113"/>
  <c r="AL79" i="113"/>
  <c r="Y41" i="64"/>
  <c r="X39" i="64"/>
  <c r="BY74" i="113"/>
  <c r="AE79" i="113"/>
  <c r="X70" i="113"/>
  <c r="Y72" i="113"/>
  <c r="AE70" i="113"/>
  <c r="AL39" i="64"/>
  <c r="R72" i="113"/>
  <c r="BA72" i="113"/>
  <c r="BM79" i="113"/>
  <c r="L81" i="113"/>
  <c r="AT72" i="113"/>
  <c r="K39" i="64"/>
  <c r="AT81" i="113"/>
  <c r="BY83" i="113"/>
  <c r="BA41" i="64"/>
  <c r="L41" i="64"/>
  <c r="AZ39" i="64"/>
  <c r="K79" i="113"/>
  <c r="AZ79" i="113"/>
  <c r="AS39" i="64"/>
  <c r="X11" i="71" l="1"/>
  <c r="X51" i="71"/>
  <c r="FE11" i="132"/>
  <c r="FA11" i="132"/>
  <c r="ED27" i="132"/>
  <c r="DB27" i="132"/>
  <c r="DW27" i="132"/>
  <c r="EK27" i="132"/>
  <c r="CU27" i="132"/>
  <c r="DI27" i="132"/>
  <c r="DP27" i="132"/>
  <c r="EK17" i="132"/>
  <c r="DB17" i="132"/>
  <c r="DI17" i="132"/>
  <c r="CU17" i="132"/>
  <c r="DP17" i="132"/>
  <c r="ED17" i="132"/>
  <c r="DW17" i="132"/>
  <c r="AB7" i="132"/>
  <c r="DJ7" i="132"/>
  <c r="DQ7" i="132"/>
  <c r="DC7" i="132"/>
  <c r="EL7" i="132"/>
  <c r="DX7" i="132"/>
  <c r="CV7" i="132"/>
  <c r="AA27" i="132"/>
  <c r="AA17" i="132"/>
  <c r="EE7" i="132"/>
  <c r="EL19" i="132"/>
  <c r="DX19" i="132"/>
  <c r="DQ19" i="132"/>
  <c r="CV19" i="132"/>
  <c r="DC19" i="132"/>
  <c r="DJ19" i="132"/>
  <c r="EE19" i="132"/>
  <c r="DX29" i="132"/>
  <c r="DC29" i="132"/>
  <c r="CV29" i="132"/>
  <c r="EL29" i="132"/>
  <c r="DQ29" i="132"/>
  <c r="DJ29" i="132"/>
  <c r="EE29" i="132"/>
  <c r="Q11" i="71"/>
  <c r="AC9" i="132"/>
  <c r="EO9" i="132" s="1"/>
  <c r="DK9" i="132"/>
  <c r="EF9" i="132"/>
  <c r="AB29" i="132"/>
  <c r="AB19" i="132"/>
  <c r="DY9" i="132"/>
  <c r="EM9" i="132"/>
  <c r="DR9" i="132"/>
  <c r="CW9" i="132"/>
  <c r="DD9" i="132"/>
  <c r="Z41" i="64"/>
  <c r="BB41" i="64"/>
  <c r="AU41" i="64"/>
  <c r="L79" i="113"/>
  <c r="R70" i="113"/>
  <c r="AU72" i="113"/>
  <c r="BN70" i="113"/>
  <c r="AN41" i="64"/>
  <c r="L70" i="113"/>
  <c r="S41" i="64"/>
  <c r="L39" i="64"/>
  <c r="R39" i="64"/>
  <c r="AT70" i="113"/>
  <c r="AF79" i="113"/>
  <c r="S72" i="113"/>
  <c r="AG72" i="113"/>
  <c r="Z81" i="113"/>
  <c r="AF70" i="113"/>
  <c r="AT39" i="64"/>
  <c r="BB81" i="113"/>
  <c r="M81" i="113"/>
  <c r="Z72" i="113"/>
  <c r="Y39" i="64"/>
  <c r="AM70" i="113"/>
  <c r="AM39" i="64"/>
  <c r="BO81" i="113"/>
  <c r="AG81" i="113"/>
  <c r="S81" i="113"/>
  <c r="AN81" i="113"/>
  <c r="M72" i="113"/>
  <c r="AG41" i="64"/>
  <c r="BA70" i="113"/>
  <c r="Y79" i="113"/>
  <c r="AN72" i="113"/>
  <c r="AM79" i="113"/>
  <c r="BO72" i="113"/>
  <c r="BA79" i="113"/>
  <c r="BA39" i="64"/>
  <c r="AF39" i="64"/>
  <c r="BB72" i="113"/>
  <c r="AT79" i="113"/>
  <c r="BN79" i="113"/>
  <c r="AU81" i="113"/>
  <c r="Y70" i="113"/>
  <c r="M41" i="64"/>
  <c r="R79" i="113"/>
  <c r="BD41" i="64" l="1"/>
  <c r="Q31" i="71"/>
  <c r="DX17" i="132"/>
  <c r="EE17" i="132"/>
  <c r="EL17" i="132"/>
  <c r="DC17" i="132"/>
  <c r="CV17" i="132"/>
  <c r="DJ17" i="132"/>
  <c r="DQ17" i="132"/>
  <c r="DY19" i="132"/>
  <c r="DR19" i="132"/>
  <c r="CW19" i="132"/>
  <c r="EM19" i="132"/>
  <c r="DD19" i="132"/>
  <c r="EF19" i="132"/>
  <c r="DK19" i="132"/>
  <c r="DY29" i="132"/>
  <c r="DR29" i="132"/>
  <c r="CW29" i="132"/>
  <c r="EF29" i="132"/>
  <c r="DD29" i="132"/>
  <c r="EM29" i="132"/>
  <c r="DK29" i="132"/>
  <c r="Q21" i="71"/>
  <c r="AC7" i="132"/>
  <c r="EO7" i="132" s="1"/>
  <c r="DK7" i="132"/>
  <c r="DR7" i="132"/>
  <c r="DD7" i="132"/>
  <c r="EM7" i="132"/>
  <c r="DY7" i="132"/>
  <c r="CW7" i="132"/>
  <c r="AB27" i="132"/>
  <c r="AB17" i="132"/>
  <c r="EF7" i="132"/>
  <c r="DL9" i="132"/>
  <c r="DZ9" i="132"/>
  <c r="ET9" i="132" s="1"/>
  <c r="DS9" i="132"/>
  <c r="ES9" i="132" s="1"/>
  <c r="AC29" i="132"/>
  <c r="CX9" i="132"/>
  <c r="EP9" i="132" s="1"/>
  <c r="EG9" i="132"/>
  <c r="AC19" i="132"/>
  <c r="EN9" i="132"/>
  <c r="DE9" i="132"/>
  <c r="Q51" i="71"/>
  <c r="DX27" i="132"/>
  <c r="EE27" i="132"/>
  <c r="DQ27" i="132"/>
  <c r="DC27" i="132"/>
  <c r="EL27" i="132"/>
  <c r="DJ27" i="132"/>
  <c r="CV27" i="132"/>
  <c r="AG79" i="113"/>
  <c r="BH41" i="64"/>
  <c r="S39" i="64"/>
  <c r="AG70" i="113"/>
  <c r="T72" i="113"/>
  <c r="AO81" i="113"/>
  <c r="BO70" i="113"/>
  <c r="M39" i="64"/>
  <c r="AA81" i="113"/>
  <c r="AG39" i="64"/>
  <c r="AU79" i="113"/>
  <c r="AN70" i="113"/>
  <c r="BP81" i="113"/>
  <c r="BB79" i="113"/>
  <c r="AH72" i="113"/>
  <c r="BO79" i="113"/>
  <c r="BE41" i="64"/>
  <c r="N81" i="113"/>
  <c r="BC72" i="113"/>
  <c r="AU39" i="64"/>
  <c r="AU70" i="113"/>
  <c r="BC41" i="64"/>
  <c r="T81" i="113"/>
  <c r="BI41" i="64"/>
  <c r="AO41" i="64"/>
  <c r="N72" i="113"/>
  <c r="BB70" i="113"/>
  <c r="M70" i="113"/>
  <c r="BC81" i="113"/>
  <c r="AV81" i="113"/>
  <c r="Z79" i="113"/>
  <c r="AH81" i="113"/>
  <c r="AA72" i="113"/>
  <c r="M79" i="113"/>
  <c r="S79" i="113"/>
  <c r="BB39" i="64"/>
  <c r="S70" i="113"/>
  <c r="AN39" i="64"/>
  <c r="AH41" i="64"/>
  <c r="AO72" i="113"/>
  <c r="T41" i="64"/>
  <c r="AV72" i="113"/>
  <c r="AA41" i="64"/>
  <c r="AN79" i="113"/>
  <c r="Z39" i="64"/>
  <c r="BP72" i="113"/>
  <c r="AV41" i="64"/>
  <c r="Z70" i="113"/>
  <c r="AC77" i="135" l="1"/>
  <c r="B8" i="182" s="1"/>
  <c r="G8" i="182" s="1"/>
  <c r="G11" i="182" s="1"/>
  <c r="AC86" i="135"/>
  <c r="BR72" i="113"/>
  <c r="BD39" i="64"/>
  <c r="BR81" i="113"/>
  <c r="DE19" i="132"/>
  <c r="EQ19" i="132" s="1"/>
  <c r="EG19" i="132"/>
  <c r="DL19" i="132"/>
  <c r="DS19" i="132"/>
  <c r="CX19" i="132"/>
  <c r="EP19" i="132" s="1"/>
  <c r="DZ19" i="132"/>
  <c r="EN19" i="132"/>
  <c r="EV19" i="132" s="1"/>
  <c r="EO19" i="132"/>
  <c r="DL7" i="132"/>
  <c r="DS7" i="132"/>
  <c r="DE7" i="132"/>
  <c r="EN7" i="132"/>
  <c r="DZ7" i="132"/>
  <c r="ET7" i="132" s="1"/>
  <c r="CX7" i="132"/>
  <c r="EP7" i="132" s="1"/>
  <c r="AC27" i="132"/>
  <c r="AC17" i="132"/>
  <c r="EG7" i="132"/>
  <c r="EM17" i="132"/>
  <c r="DK17" i="132"/>
  <c r="DD17" i="132"/>
  <c r="CW17" i="132"/>
  <c r="DY17" i="132"/>
  <c r="EF17" i="132"/>
  <c r="DR17" i="132"/>
  <c r="Q61" i="71"/>
  <c r="EM27" i="132"/>
  <c r="DK27" i="132"/>
  <c r="DD27" i="132"/>
  <c r="EF27" i="132"/>
  <c r="DY27" i="132"/>
  <c r="CW27" i="132"/>
  <c r="DR27" i="132"/>
  <c r="Q41" i="71"/>
  <c r="EV9" i="132"/>
  <c r="EU9" i="132"/>
  <c r="ER9" i="132"/>
  <c r="DZ29" i="132"/>
  <c r="ET29" i="132" s="1"/>
  <c r="CX29" i="132"/>
  <c r="DL29" i="132"/>
  <c r="EG29" i="132"/>
  <c r="DE29" i="132"/>
  <c r="EQ29" i="132" s="1"/>
  <c r="DS29" i="132"/>
  <c r="EN29" i="132"/>
  <c r="EV29" i="132" s="1"/>
  <c r="EO29" i="132"/>
  <c r="EQ9" i="132"/>
  <c r="BY81" i="113"/>
  <c r="BP70" i="113"/>
  <c r="AO70" i="113"/>
  <c r="N79" i="113"/>
  <c r="BG41" i="64"/>
  <c r="BQ72" i="113"/>
  <c r="BS72" i="113"/>
  <c r="U81" i="113"/>
  <c r="U72" i="113"/>
  <c r="BT72" i="113"/>
  <c r="BD81" i="113"/>
  <c r="AH70" i="113"/>
  <c r="BC79" i="113"/>
  <c r="AI81" i="113"/>
  <c r="BC39" i="64"/>
  <c r="T70" i="113"/>
  <c r="AB72" i="113"/>
  <c r="AA70" i="113"/>
  <c r="BC70" i="113"/>
  <c r="AP72" i="113"/>
  <c r="AP81" i="113"/>
  <c r="BE39" i="64"/>
  <c r="AA39" i="64"/>
  <c r="AW72" i="113"/>
  <c r="BY72" i="113"/>
  <c r="AH79" i="113"/>
  <c r="BI39" i="64"/>
  <c r="N70" i="113"/>
  <c r="T79" i="113"/>
  <c r="AV79" i="113"/>
  <c r="AO79" i="113"/>
  <c r="AB81" i="113"/>
  <c r="AW81" i="113"/>
  <c r="BJ41" i="64"/>
  <c r="BK41" i="64"/>
  <c r="AI72" i="113"/>
  <c r="BQ81" i="113"/>
  <c r="BP79" i="113"/>
  <c r="BW81" i="113"/>
  <c r="AV70" i="113"/>
  <c r="T39" i="64"/>
  <c r="BD72" i="113"/>
  <c r="AH39" i="64"/>
  <c r="AO39" i="64"/>
  <c r="BF41" i="64"/>
  <c r="BT81" i="113"/>
  <c r="AA79" i="113"/>
  <c r="AV39" i="64"/>
  <c r="EO27" i="132" l="1"/>
  <c r="EX9" i="132"/>
  <c r="BR79" i="113"/>
  <c r="BR70" i="113"/>
  <c r="ER7" i="132"/>
  <c r="ER29" i="132"/>
  <c r="EU19" i="132"/>
  <c r="ES7" i="132"/>
  <c r="EG27" i="132"/>
  <c r="DS27" i="132"/>
  <c r="EN27" i="132"/>
  <c r="DL27" i="132"/>
  <c r="ER27" i="132" s="1"/>
  <c r="DE27" i="132"/>
  <c r="CX27" i="132"/>
  <c r="EP27" i="132" s="1"/>
  <c r="DZ27" i="132"/>
  <c r="ES19" i="132"/>
  <c r="EZ9" i="132"/>
  <c r="ET19" i="132"/>
  <c r="FC9" i="132" s="1"/>
  <c r="DS17" i="132"/>
  <c r="ES17" i="132" s="1"/>
  <c r="EN17" i="132"/>
  <c r="EV17" i="132" s="1"/>
  <c r="EG17" i="132"/>
  <c r="DE17" i="132"/>
  <c r="EQ17" i="132" s="1"/>
  <c r="DL17" i="132"/>
  <c r="ER17" i="132" s="1"/>
  <c r="DZ17" i="132"/>
  <c r="CX17" i="132"/>
  <c r="EP17" i="132" s="1"/>
  <c r="ES29" i="132"/>
  <c r="FE9" i="132"/>
  <c r="EV7" i="132"/>
  <c r="EO17" i="132"/>
  <c r="EX7" i="132" s="1"/>
  <c r="EU7" i="132"/>
  <c r="EQ7" i="132"/>
  <c r="EU29" i="132"/>
  <c r="EP29" i="132"/>
  <c r="EY9" i="132" s="1"/>
  <c r="ER19" i="132"/>
  <c r="R14" i="135"/>
  <c r="Q14" i="135"/>
  <c r="BU72" i="113"/>
  <c r="BQ79" i="113"/>
  <c r="AB79" i="113"/>
  <c r="AI79" i="113"/>
  <c r="BV72" i="113"/>
  <c r="U79" i="113"/>
  <c r="AW79" i="113"/>
  <c r="BQ70" i="113"/>
  <c r="BJ39" i="64"/>
  <c r="U70" i="113"/>
  <c r="BY70" i="113"/>
  <c r="BX72" i="113"/>
  <c r="AB70" i="113"/>
  <c r="BS81" i="113"/>
  <c r="BD70" i="113"/>
  <c r="BV81" i="113"/>
  <c r="BD79" i="113"/>
  <c r="BX81" i="113"/>
  <c r="AP70" i="113"/>
  <c r="BG39" i="64"/>
  <c r="BS70" i="113"/>
  <c r="BK39" i="64"/>
  <c r="BT70" i="113"/>
  <c r="AP79" i="113"/>
  <c r="BU79" i="113"/>
  <c r="BU70" i="113"/>
  <c r="BH39" i="64"/>
  <c r="BV70" i="113"/>
  <c r="BS79" i="113"/>
  <c r="AW70" i="113"/>
  <c r="AI70" i="113"/>
  <c r="BF39" i="64"/>
  <c r="BW72" i="113"/>
  <c r="BU81" i="113"/>
  <c r="FA9" i="132" l="1"/>
  <c r="FD9" i="132"/>
  <c r="EY7" i="132"/>
  <c r="EU17" i="132"/>
  <c r="EV27" i="132"/>
  <c r="FE7" i="132" s="1"/>
  <c r="ES27" i="132"/>
  <c r="FB7" i="132" s="1"/>
  <c r="EU27" i="132"/>
  <c r="FA7" i="132"/>
  <c r="EQ27" i="132"/>
  <c r="FB9" i="132"/>
  <c r="ET17" i="132"/>
  <c r="ET27" i="132"/>
  <c r="R44" i="135"/>
  <c r="CK44" i="135" s="1"/>
  <c r="R29" i="135"/>
  <c r="CK29" i="135" s="1"/>
  <c r="CK14" i="135"/>
  <c r="Q29" i="135"/>
  <c r="CD29" i="135" s="1"/>
  <c r="CD14" i="135"/>
  <c r="Q44" i="135"/>
  <c r="CD44" i="135" s="1"/>
  <c r="BW79" i="113"/>
  <c r="BX79" i="113"/>
  <c r="BX70" i="113"/>
  <c r="BT79" i="113"/>
  <c r="BY79" i="113"/>
  <c r="BV79" i="113"/>
  <c r="BW70" i="113"/>
  <c r="FC7" i="132" l="1"/>
  <c r="EZ7" i="132"/>
  <c r="FD7" i="132"/>
  <c r="CE29" i="135"/>
  <c r="CF29" i="135" s="1"/>
  <c r="CG29" i="135" s="1"/>
  <c r="CH29" i="135" s="1"/>
  <c r="CI29" i="135" s="1"/>
  <c r="CJ29" i="135" s="1"/>
  <c r="EA29" i="135"/>
  <c r="CL14" i="135"/>
  <c r="CM14" i="135" s="1"/>
  <c r="CN14" i="135" s="1"/>
  <c r="CO14" i="135" s="1"/>
  <c r="CP14" i="135" s="1"/>
  <c r="CQ14" i="135" s="1"/>
  <c r="EH14" i="135"/>
  <c r="CE44" i="135"/>
  <c r="CF44" i="135" s="1"/>
  <c r="CG44" i="135" s="1"/>
  <c r="CH44" i="135" s="1"/>
  <c r="CI44" i="135" s="1"/>
  <c r="CJ44" i="135" s="1"/>
  <c r="EA44" i="135"/>
  <c r="CL29" i="135"/>
  <c r="CM29" i="135" s="1"/>
  <c r="CN29" i="135" s="1"/>
  <c r="CO29" i="135" s="1"/>
  <c r="CP29" i="135" s="1"/>
  <c r="CQ29" i="135" s="1"/>
  <c r="EH29" i="135"/>
  <c r="CE14" i="135"/>
  <c r="CF14" i="135" s="1"/>
  <c r="CG14" i="135" s="1"/>
  <c r="CH14" i="135" s="1"/>
  <c r="CI14" i="135" s="1"/>
  <c r="CJ14" i="135" s="1"/>
  <c r="EA14" i="135"/>
  <c r="CL44" i="135"/>
  <c r="CM44" i="135" s="1"/>
  <c r="CN44" i="135" s="1"/>
  <c r="CO44" i="135" s="1"/>
  <c r="CP44" i="135" s="1"/>
  <c r="CQ44" i="135" s="1"/>
  <c r="EH44" i="135"/>
  <c r="AJ63" i="113"/>
  <c r="AJ49" i="113"/>
  <c r="AP32" i="64"/>
  <c r="AQ63" i="113"/>
  <c r="AQ49" i="113"/>
  <c r="AI32" i="64"/>
  <c r="EB44" i="135" l="1"/>
  <c r="EB14" i="135"/>
  <c r="EB29" i="135"/>
  <c r="EI14" i="135"/>
  <c r="AJ280" i="113"/>
  <c r="AD50" i="71" s="1"/>
  <c r="AQ280" i="113"/>
  <c r="AK50" i="71" s="1"/>
  <c r="AP140" i="64"/>
  <c r="AQ264" i="113"/>
  <c r="AI140" i="64"/>
  <c r="AJ264" i="113"/>
  <c r="EI29" i="135"/>
  <c r="EI44" i="135"/>
  <c r="EJ29" i="135"/>
  <c r="EJ44" i="135"/>
  <c r="EJ14" i="135"/>
  <c r="EC14" i="135"/>
  <c r="EC29" i="135"/>
  <c r="EC44" i="135"/>
  <c r="AR63" i="113"/>
  <c r="AR49" i="113"/>
  <c r="AS49" i="113"/>
  <c r="AR32" i="64"/>
  <c r="AL63" i="113"/>
  <c r="AK49" i="113"/>
  <c r="AK63" i="113"/>
  <c r="AJ32" i="64"/>
  <c r="AS63" i="113"/>
  <c r="AL49" i="113"/>
  <c r="AQ32" i="64"/>
  <c r="AK32" i="64"/>
  <c r="AI150" i="64" l="1"/>
  <c r="AI156" i="64"/>
  <c r="BL140" i="64"/>
  <c r="AK280" i="113"/>
  <c r="AE50" i="71" s="1"/>
  <c r="AK30" i="71"/>
  <c r="AD30" i="71"/>
  <c r="AK10" i="71"/>
  <c r="AD10" i="71"/>
  <c r="AJ140" i="64"/>
  <c r="AQ140" i="64"/>
  <c r="AK264" i="113"/>
  <c r="AE30" i="71" s="1"/>
  <c r="AR280" i="113"/>
  <c r="AL50" i="71" s="1"/>
  <c r="AR264" i="113"/>
  <c r="AL30" i="71" s="1"/>
  <c r="AR140" i="64"/>
  <c r="AS264" i="113"/>
  <c r="AM30" i="71" s="1"/>
  <c r="AS280" i="113"/>
  <c r="AM50" i="71" s="1"/>
  <c r="EK44" i="135"/>
  <c r="EK29" i="135"/>
  <c r="EK14" i="135"/>
  <c r="AL264" i="113"/>
  <c r="AF30" i="71" s="1"/>
  <c r="AL280" i="113"/>
  <c r="AF50" i="71" s="1"/>
  <c r="AK140" i="64"/>
  <c r="ED44" i="135"/>
  <c r="ED14" i="135"/>
  <c r="ED29" i="135"/>
  <c r="AT49" i="113"/>
  <c r="AL32" i="64"/>
  <c r="AS32" i="64"/>
  <c r="AM63" i="113"/>
  <c r="AT63" i="113"/>
  <c r="AM49" i="113"/>
  <c r="AJ150" i="64" l="1"/>
  <c r="AJ156" i="64"/>
  <c r="AK150" i="64"/>
  <c r="AK156" i="64"/>
  <c r="BN140" i="64"/>
  <c r="BM140" i="64"/>
  <c r="AF10" i="71"/>
  <c r="AL10" i="71"/>
  <c r="AM10" i="71"/>
  <c r="AE10" i="71"/>
  <c r="AT280" i="113"/>
  <c r="AN50" i="71" s="1"/>
  <c r="AS140" i="64"/>
  <c r="AT264" i="113"/>
  <c r="AN30" i="71" s="1"/>
  <c r="EL29" i="135"/>
  <c r="EL44" i="135"/>
  <c r="EL14" i="135"/>
  <c r="AL140" i="64"/>
  <c r="AM280" i="113"/>
  <c r="AG50" i="71" s="1"/>
  <c r="AM264" i="113"/>
  <c r="AG30" i="71" s="1"/>
  <c r="EE29" i="135"/>
  <c r="EE14" i="135"/>
  <c r="EE44" i="135"/>
  <c r="AU63" i="113"/>
  <c r="AN49" i="113"/>
  <c r="AM32" i="64"/>
  <c r="AT32" i="64"/>
  <c r="AN63" i="113"/>
  <c r="AU49" i="113"/>
  <c r="AL150" i="64" l="1"/>
  <c r="AL156" i="64"/>
  <c r="BO140" i="64"/>
  <c r="AN10" i="71"/>
  <c r="AG10" i="71"/>
  <c r="AU280" i="113"/>
  <c r="AO50" i="71" s="1"/>
  <c r="AT140" i="64"/>
  <c r="AU264" i="113"/>
  <c r="AO30" i="71" s="1"/>
  <c r="EM14" i="135"/>
  <c r="EN14" i="135"/>
  <c r="EN44" i="135"/>
  <c r="EM44" i="135"/>
  <c r="EN29" i="135"/>
  <c r="EM29" i="135"/>
  <c r="AN280" i="113"/>
  <c r="AH50" i="71" s="1"/>
  <c r="AM140" i="64"/>
  <c r="AN264" i="113"/>
  <c r="AH30" i="71" s="1"/>
  <c r="EG44" i="135"/>
  <c r="EF44" i="135"/>
  <c r="EF14" i="135"/>
  <c r="EG14" i="135"/>
  <c r="EG29" i="135"/>
  <c r="EF29" i="135"/>
  <c r="AO32" i="64"/>
  <c r="AW63" i="113"/>
  <c r="AN32" i="64"/>
  <c r="AO49" i="113"/>
  <c r="AW49" i="113"/>
  <c r="AO63" i="113"/>
  <c r="AU32" i="64"/>
  <c r="AP49" i="113"/>
  <c r="AV63" i="113"/>
  <c r="AV49" i="113"/>
  <c r="AP63" i="113"/>
  <c r="AV32" i="64"/>
  <c r="AM150" i="64" l="1"/>
  <c r="AM156" i="64"/>
  <c r="BP140" i="64"/>
  <c r="FA14" i="135"/>
  <c r="FA44" i="135"/>
  <c r="FB14" i="135"/>
  <c r="FB44" i="135"/>
  <c r="FA29" i="135"/>
  <c r="AH10" i="71"/>
  <c r="AO10" i="71"/>
  <c r="FB29" i="135"/>
  <c r="AW264" i="113"/>
  <c r="AQ30" i="71" s="1"/>
  <c r="AV280" i="113"/>
  <c r="AP50" i="71" s="1"/>
  <c r="AW280" i="113"/>
  <c r="AQ50" i="71" s="1"/>
  <c r="AV264" i="113"/>
  <c r="AP30" i="71" s="1"/>
  <c r="AV140" i="64"/>
  <c r="AU140" i="64"/>
  <c r="AP264" i="113"/>
  <c r="AJ30" i="71" s="1"/>
  <c r="AO140" i="64"/>
  <c r="AO280" i="113"/>
  <c r="AI50" i="71" s="1"/>
  <c r="AO264" i="113"/>
  <c r="AI30" i="71" s="1"/>
  <c r="AN140" i="64"/>
  <c r="AP280" i="113"/>
  <c r="AJ50" i="71" s="1"/>
  <c r="BJ32" i="64"/>
  <c r="BX63" i="113"/>
  <c r="BW63" i="113"/>
  <c r="BW49" i="113"/>
  <c r="BX49" i="113"/>
  <c r="BI32" i="64"/>
  <c r="AO156" i="64" l="1"/>
  <c r="AI157" i="64"/>
  <c r="AN150" i="64"/>
  <c r="AN156" i="64"/>
  <c r="AV154" i="64"/>
  <c r="AO150" i="64"/>
  <c r="BR140" i="64"/>
  <c r="AU154" i="64"/>
  <c r="BQ140" i="64"/>
  <c r="FK14" i="135"/>
  <c r="FJ14" i="135"/>
  <c r="BI140" i="64"/>
  <c r="BW280" i="113"/>
  <c r="BJ140" i="64"/>
  <c r="BW264" i="113"/>
  <c r="BX280" i="113"/>
  <c r="AJ10" i="71"/>
  <c r="AP10" i="71"/>
  <c r="AQ10" i="71"/>
  <c r="AI10" i="71"/>
  <c r="BX264" i="113"/>
  <c r="G50" i="71"/>
  <c r="G30" i="71"/>
  <c r="Q6" i="148"/>
  <c r="CD6" i="148" s="1"/>
  <c r="G12" i="182" l="1"/>
  <c r="G10" i="71"/>
  <c r="F10" i="71"/>
  <c r="F50" i="71"/>
  <c r="F30" i="71"/>
  <c r="CE6" i="148"/>
  <c r="EA6" i="148"/>
  <c r="Q7" i="148"/>
  <c r="CD7" i="148" s="1"/>
  <c r="AI10" i="64"/>
  <c r="CE7" i="148" l="1"/>
  <c r="EA7" i="148"/>
  <c r="EB6" i="148"/>
  <c r="CF6" i="148"/>
  <c r="S6" i="148"/>
  <c r="CR6" i="148" s="1"/>
  <c r="R7" i="148"/>
  <c r="CK7" i="148" s="1"/>
  <c r="R6" i="148"/>
  <c r="CK6" i="148" s="1"/>
  <c r="AJ10" i="64"/>
  <c r="AI11" i="64"/>
  <c r="AI137" i="64" l="1"/>
  <c r="AI153" i="64" s="1"/>
  <c r="CG6" i="148"/>
  <c r="EC6" i="148"/>
  <c r="EH6" i="148"/>
  <c r="CL6" i="148"/>
  <c r="EH7" i="148"/>
  <c r="CL7" i="148"/>
  <c r="EO6" i="148"/>
  <c r="CS6" i="148"/>
  <c r="EB7" i="148"/>
  <c r="CF7" i="148"/>
  <c r="S7" i="148"/>
  <c r="CR7" i="148" s="1"/>
  <c r="AK10" i="64"/>
  <c r="AW10" i="64"/>
  <c r="AJ11" i="64"/>
  <c r="AP10" i="64"/>
  <c r="AP11" i="64"/>
  <c r="AD7" i="71" l="1"/>
  <c r="AP137" i="64"/>
  <c r="BL137" i="64" s="1"/>
  <c r="AJ137" i="64"/>
  <c r="AJ153" i="64" s="1"/>
  <c r="CM6" i="148"/>
  <c r="EI6" i="148"/>
  <c r="EI7" i="148"/>
  <c r="CM7" i="148"/>
  <c r="CG7" i="148"/>
  <c r="EC7" i="148"/>
  <c r="ED6" i="148"/>
  <c r="CH6" i="148"/>
  <c r="EO7" i="148"/>
  <c r="CS7" i="148"/>
  <c r="EP6" i="148"/>
  <c r="CT6" i="148"/>
  <c r="AQ11" i="64"/>
  <c r="AL10" i="64"/>
  <c r="AX10" i="64"/>
  <c r="AQ10" i="64"/>
  <c r="AK11" i="64"/>
  <c r="AW11" i="64"/>
  <c r="AK7" i="71" l="1"/>
  <c r="AE7" i="71"/>
  <c r="AQ137" i="64"/>
  <c r="BM137" i="64" s="1"/>
  <c r="AW137" i="64"/>
  <c r="BS137" i="64" s="1"/>
  <c r="AK137" i="64"/>
  <c r="AK153" i="64" s="1"/>
  <c r="CI6" i="148"/>
  <c r="EE6" i="148"/>
  <c r="CN6" i="148"/>
  <c r="EJ6" i="148"/>
  <c r="CU6" i="148"/>
  <c r="EQ6" i="148"/>
  <c r="ED7" i="148"/>
  <c r="CH7" i="148"/>
  <c r="CT7" i="148"/>
  <c r="EP7" i="148"/>
  <c r="CN7" i="148"/>
  <c r="EJ7" i="148"/>
  <c r="AR10" i="64"/>
  <c r="AX11" i="64"/>
  <c r="AY10" i="64"/>
  <c r="AL11" i="64"/>
  <c r="AR11" i="64"/>
  <c r="AM10" i="64"/>
  <c r="AL7" i="71" l="1"/>
  <c r="AR7" i="71"/>
  <c r="AF7" i="71"/>
  <c r="AL137" i="64"/>
  <c r="AL153" i="64" s="1"/>
  <c r="AR137" i="64"/>
  <c r="BN137" i="64" s="1"/>
  <c r="AX137" i="64"/>
  <c r="BT137" i="64" s="1"/>
  <c r="EE7" i="148"/>
  <c r="CI7" i="148"/>
  <c r="CJ6" i="148"/>
  <c r="EG6" i="148" s="1"/>
  <c r="EF6" i="148"/>
  <c r="CV6" i="148"/>
  <c r="ER6" i="148"/>
  <c r="EK7" i="148"/>
  <c r="CO7" i="148"/>
  <c r="CU7" i="148"/>
  <c r="EQ7" i="148"/>
  <c r="EK6" i="148"/>
  <c r="CO6" i="148"/>
  <c r="AN10" i="64"/>
  <c r="AM11" i="64"/>
  <c r="AS10" i="64"/>
  <c r="AO10" i="64"/>
  <c r="AS11" i="64"/>
  <c r="AZ10" i="64"/>
  <c r="AY11" i="64"/>
  <c r="AS7" i="71" l="1"/>
  <c r="AM7" i="71"/>
  <c r="AG7" i="71"/>
  <c r="AM137" i="64"/>
  <c r="AM153" i="64" s="1"/>
  <c r="AY137" i="64"/>
  <c r="AS137" i="64"/>
  <c r="BO137" i="64" s="1"/>
  <c r="CJ7" i="148"/>
  <c r="EG7" i="148" s="1"/>
  <c r="EF7" i="148"/>
  <c r="EL7" i="148"/>
  <c r="CP7" i="148"/>
  <c r="CV7" i="148"/>
  <c r="ER7" i="148"/>
  <c r="CW6" i="148"/>
  <c r="ES6" i="148"/>
  <c r="CP6" i="148"/>
  <c r="EL6" i="148"/>
  <c r="FA6" i="148"/>
  <c r="AT11" i="64"/>
  <c r="AN11" i="64"/>
  <c r="AT10" i="64"/>
  <c r="AO11" i="64"/>
  <c r="AZ11" i="64"/>
  <c r="BI10" i="64"/>
  <c r="BA10" i="64"/>
  <c r="AN7" i="71" l="1"/>
  <c r="AT7" i="71"/>
  <c r="AH7" i="71"/>
  <c r="AZ137" i="64"/>
  <c r="AO137" i="64"/>
  <c r="AO153" i="64" s="1"/>
  <c r="AT137" i="64"/>
  <c r="BP137" i="64" s="1"/>
  <c r="AN137" i="64"/>
  <c r="AN153" i="64" s="1"/>
  <c r="ET6" i="148"/>
  <c r="CX6" i="148"/>
  <c r="EU6" i="148" s="1"/>
  <c r="FJ6" i="148"/>
  <c r="FA60" i="148"/>
  <c r="CW7" i="148"/>
  <c r="ES7" i="148"/>
  <c r="EM7" i="148"/>
  <c r="CQ7" i="148"/>
  <c r="EN7" i="148" s="1"/>
  <c r="EM6" i="148"/>
  <c r="CQ6" i="148"/>
  <c r="EN6" i="148" s="1"/>
  <c r="FA7" i="148"/>
  <c r="AU11" i="64"/>
  <c r="BB10" i="64"/>
  <c r="BA11" i="64"/>
  <c r="AV10" i="64"/>
  <c r="AV11" i="64"/>
  <c r="AU10" i="64"/>
  <c r="BC10" i="64"/>
  <c r="BI11" i="64"/>
  <c r="AI155" i="64" l="1"/>
  <c r="AV151" i="64"/>
  <c r="AO7" i="71"/>
  <c r="AU7" i="71"/>
  <c r="AJ7" i="71"/>
  <c r="AI7" i="71"/>
  <c r="FC6" i="148"/>
  <c r="FC60" i="148" s="1"/>
  <c r="FB7" i="148"/>
  <c r="FK7" i="148" s="1"/>
  <c r="BI137" i="64"/>
  <c r="BA137" i="64"/>
  <c r="AV137" i="64"/>
  <c r="AU137" i="64"/>
  <c r="BQ137" i="64" s="1"/>
  <c r="FJ7" i="148"/>
  <c r="FA61" i="148"/>
  <c r="ET7" i="148"/>
  <c r="CX7" i="148"/>
  <c r="EU7" i="148" s="1"/>
  <c r="FB6" i="148"/>
  <c r="BJ10" i="64"/>
  <c r="BC11" i="64"/>
  <c r="BK10" i="64"/>
  <c r="BJ11" i="64"/>
  <c r="BB11" i="64"/>
  <c r="AN167" i="64" l="1"/>
  <c r="AN168" i="64"/>
  <c r="BR137" i="64"/>
  <c r="AU151" i="64"/>
  <c r="AP7" i="71"/>
  <c r="AQ7" i="71"/>
  <c r="AV7" i="71"/>
  <c r="F7" i="71"/>
  <c r="FB61" i="148"/>
  <c r="FL6" i="148"/>
  <c r="F47" i="71"/>
  <c r="F27" i="71"/>
  <c r="BB137" i="64"/>
  <c r="BC137" i="64"/>
  <c r="BJ137" i="64"/>
  <c r="FC7" i="148"/>
  <c r="FB60" i="148"/>
  <c r="FK6" i="148"/>
  <c r="BK11" i="64"/>
  <c r="G7" i="71" l="1"/>
  <c r="AX7" i="71"/>
  <c r="AW7" i="71"/>
  <c r="H47" i="71"/>
  <c r="BK137" i="64"/>
  <c r="FL7" i="148"/>
  <c r="FC61" i="148"/>
  <c r="H7" i="71" l="1"/>
  <c r="M12" i="89"/>
  <c r="CE12" i="89"/>
  <c r="CE6" i="89"/>
  <c r="M6" i="89"/>
  <c r="M9" i="89"/>
  <c r="CE9" i="89"/>
  <c r="G9" i="89" l="1"/>
  <c r="I9" i="89" s="1"/>
  <c r="AV9" i="89" s="1"/>
  <c r="BJ9" i="89"/>
  <c r="EB6" i="89"/>
  <c r="CF6" i="89"/>
  <c r="BJ6" i="89"/>
  <c r="I6" i="89"/>
  <c r="AV6" i="89" s="1"/>
  <c r="CF12" i="89"/>
  <c r="EB12" i="89"/>
  <c r="CF9" i="89"/>
  <c r="EB9" i="89"/>
  <c r="G12" i="89"/>
  <c r="I12" i="89" s="1"/>
  <c r="AV12" i="89" s="1"/>
  <c r="BJ12" i="89"/>
  <c r="AP117" i="64"/>
  <c r="AQ229" i="113"/>
  <c r="AQ227" i="113"/>
  <c r="AQ285" i="113" l="1"/>
  <c r="AK55" i="71" s="1"/>
  <c r="AP145" i="64"/>
  <c r="AQ269" i="113"/>
  <c r="AK35" i="71" s="1"/>
  <c r="CG12" i="89"/>
  <c r="EC12" i="89"/>
  <c r="CS6" i="89"/>
  <c r="AY6" i="89"/>
  <c r="AW6" i="89"/>
  <c r="DG6" i="89"/>
  <c r="BK6" i="89"/>
  <c r="BK12" i="89"/>
  <c r="DG12" i="89"/>
  <c r="EC6" i="89"/>
  <c r="CG6" i="89"/>
  <c r="AY12" i="89"/>
  <c r="AW12" i="89"/>
  <c r="CS12" i="89"/>
  <c r="DG9" i="89"/>
  <c r="BK9" i="89"/>
  <c r="CG9" i="89"/>
  <c r="EC9" i="89"/>
  <c r="AW9" i="89"/>
  <c r="AY9" i="89"/>
  <c r="CS9" i="89"/>
  <c r="O229" i="113"/>
  <c r="AQ117" i="64"/>
  <c r="AC229" i="113"/>
  <c r="AC227" i="113"/>
  <c r="AR229" i="113"/>
  <c r="AR227" i="113"/>
  <c r="N117" i="64"/>
  <c r="O227" i="113"/>
  <c r="AB117" i="64"/>
  <c r="BL145" i="64" l="1"/>
  <c r="BS145" i="64"/>
  <c r="AK15" i="71"/>
  <c r="AR269" i="113"/>
  <c r="AL35" i="71" s="1"/>
  <c r="N145" i="64"/>
  <c r="AQ145" i="64"/>
  <c r="AR285" i="113"/>
  <c r="AL55" i="71" s="1"/>
  <c r="AC285" i="113"/>
  <c r="AC269" i="113"/>
  <c r="O269" i="113"/>
  <c r="O285" i="113"/>
  <c r="AB145" i="64"/>
  <c r="CV6" i="89"/>
  <c r="BB6" i="89"/>
  <c r="CY6" i="89" s="1"/>
  <c r="ED6" i="89"/>
  <c r="CH6" i="89"/>
  <c r="BB12" i="89"/>
  <c r="CY12" i="89" s="1"/>
  <c r="CV12" i="89"/>
  <c r="CH9" i="89"/>
  <c r="ED9" i="89"/>
  <c r="AZ9" i="89"/>
  <c r="CW9" i="89" s="1"/>
  <c r="CT9" i="89"/>
  <c r="AX9" i="89"/>
  <c r="BL9" i="89"/>
  <c r="DH9" i="89"/>
  <c r="ED12" i="89"/>
  <c r="CH12" i="89"/>
  <c r="BL12" i="89"/>
  <c r="DH12" i="89"/>
  <c r="DH6" i="89"/>
  <c r="BL6" i="89"/>
  <c r="BB9" i="89"/>
  <c r="CY9" i="89" s="1"/>
  <c r="CV9" i="89"/>
  <c r="CT12" i="89"/>
  <c r="AZ12" i="89"/>
  <c r="CW12" i="89" s="1"/>
  <c r="AX12" i="89"/>
  <c r="CT6" i="89"/>
  <c r="AZ6" i="89"/>
  <c r="CW6" i="89" s="1"/>
  <c r="AX6" i="89"/>
  <c r="S229" i="113"/>
  <c r="O117" i="64"/>
  <c r="T117" i="64"/>
  <c r="P229" i="113"/>
  <c r="R117" i="64"/>
  <c r="P227" i="113"/>
  <c r="R229" i="113"/>
  <c r="AR117" i="64"/>
  <c r="AD229" i="113"/>
  <c r="AD227" i="113"/>
  <c r="AS227" i="113"/>
  <c r="AS229" i="113"/>
  <c r="U229" i="113"/>
  <c r="AC117" i="64"/>
  <c r="U227" i="113"/>
  <c r="Q117" i="64"/>
  <c r="R227" i="113"/>
  <c r="S227" i="113"/>
  <c r="BM145" i="64" l="1"/>
  <c r="BT145" i="64"/>
  <c r="AL15" i="71"/>
  <c r="U269" i="113"/>
  <c r="AD285" i="113"/>
  <c r="P269" i="113"/>
  <c r="AR145" i="64"/>
  <c r="BN145" i="64" s="1"/>
  <c r="R145" i="64"/>
  <c r="S269" i="113"/>
  <c r="O145" i="64"/>
  <c r="AS269" i="113"/>
  <c r="AM35" i="71" s="1"/>
  <c r="T145" i="64"/>
  <c r="Q145" i="64"/>
  <c r="R269" i="113"/>
  <c r="S285" i="113"/>
  <c r="AS285" i="113"/>
  <c r="AM55" i="71" s="1"/>
  <c r="R285" i="113"/>
  <c r="P285" i="113"/>
  <c r="AC145" i="64"/>
  <c r="AD269" i="113"/>
  <c r="U285" i="113"/>
  <c r="BA9" i="89"/>
  <c r="CX9" i="89" s="1"/>
  <c r="CU9" i="89"/>
  <c r="CI6" i="89"/>
  <c r="EE6" i="89"/>
  <c r="CU6" i="89"/>
  <c r="BA6" i="89"/>
  <c r="CX6" i="89" s="1"/>
  <c r="BM9" i="89"/>
  <c r="DI9" i="89"/>
  <c r="W15" i="71"/>
  <c r="BM12" i="89"/>
  <c r="DI12" i="89"/>
  <c r="CU12" i="89"/>
  <c r="BA12" i="89"/>
  <c r="CX12" i="89" s="1"/>
  <c r="CI12" i="89"/>
  <c r="EE12" i="89"/>
  <c r="EE9" i="89"/>
  <c r="CI9" i="89"/>
  <c r="DI6" i="89"/>
  <c r="BM6" i="89"/>
  <c r="AT227" i="113"/>
  <c r="S117" i="64"/>
  <c r="T227" i="113"/>
  <c r="AD117" i="64"/>
  <c r="T229" i="113"/>
  <c r="Q227" i="113"/>
  <c r="AE229" i="113"/>
  <c r="AT229" i="113"/>
  <c r="Q229" i="113"/>
  <c r="P117" i="64"/>
  <c r="AE227" i="113"/>
  <c r="AS117" i="64"/>
  <c r="AM15" i="71" l="1"/>
  <c r="EQ12" i="89"/>
  <c r="EQ9" i="89"/>
  <c r="T285" i="113"/>
  <c r="AE269" i="113"/>
  <c r="T269" i="113"/>
  <c r="Q285" i="113"/>
  <c r="AD145" i="64"/>
  <c r="AE285" i="113"/>
  <c r="S145" i="64"/>
  <c r="AT269" i="113"/>
  <c r="AN35" i="71" s="1"/>
  <c r="P145" i="64"/>
  <c r="AT285" i="113"/>
  <c r="AN55" i="71" s="1"/>
  <c r="AS145" i="64"/>
  <c r="BO145" i="64" s="1"/>
  <c r="Q269" i="113"/>
  <c r="X15" i="71"/>
  <c r="DJ6" i="89"/>
  <c r="BN6" i="89"/>
  <c r="DJ9" i="89"/>
  <c r="BN9" i="89"/>
  <c r="EF12" i="89"/>
  <c r="CJ12" i="89"/>
  <c r="CJ9" i="89"/>
  <c r="EF9" i="89"/>
  <c r="BN12" i="89"/>
  <c r="DJ12" i="89"/>
  <c r="EQ6" i="89"/>
  <c r="W55" i="71"/>
  <c r="W35" i="71"/>
  <c r="CJ6" i="89"/>
  <c r="EF6" i="89"/>
  <c r="AU227" i="113"/>
  <c r="AE117" i="64"/>
  <c r="AU229" i="113"/>
  <c r="BS229" i="113"/>
  <c r="AF229" i="113"/>
  <c r="BS227" i="113"/>
  <c r="BE117" i="64"/>
  <c r="AT117" i="64"/>
  <c r="AF227" i="113"/>
  <c r="AN15" i="71" l="1"/>
  <c r="BS269" i="113"/>
  <c r="BS285" i="113"/>
  <c r="BE145" i="64"/>
  <c r="AU285" i="113"/>
  <c r="AO55" i="71" s="1"/>
  <c r="AT145" i="64"/>
  <c r="BP145" i="64" s="1"/>
  <c r="AF285" i="113"/>
  <c r="AF269" i="113"/>
  <c r="AU269" i="113"/>
  <c r="AO35" i="71" s="1"/>
  <c r="AE145" i="64"/>
  <c r="X35" i="71"/>
  <c r="X55" i="71"/>
  <c r="Y15" i="71"/>
  <c r="DK9" i="89"/>
  <c r="BO9" i="89"/>
  <c r="CK6" i="89"/>
  <c r="EH6" i="89" s="1"/>
  <c r="EG6" i="89"/>
  <c r="BO12" i="89"/>
  <c r="DK12" i="89"/>
  <c r="DK6" i="89"/>
  <c r="BO6" i="89"/>
  <c r="CK9" i="89"/>
  <c r="EH9" i="89" s="1"/>
  <c r="EG9" i="89"/>
  <c r="EG12" i="89"/>
  <c r="CK12" i="89"/>
  <c r="EH12" i="89" s="1"/>
  <c r="AU117" i="64"/>
  <c r="AW229" i="113"/>
  <c r="AF117" i="64"/>
  <c r="AV227" i="113"/>
  <c r="AV117" i="64"/>
  <c r="AV229" i="113"/>
  <c r="AG227" i="113"/>
  <c r="AG229" i="113"/>
  <c r="AW227" i="113"/>
  <c r="AO15" i="71" l="1"/>
  <c r="EV12" i="89"/>
  <c r="EV6" i="89"/>
  <c r="EV9" i="89"/>
  <c r="AG285" i="113"/>
  <c r="AV269" i="113"/>
  <c r="AP35" i="71" s="1"/>
  <c r="AW269" i="113"/>
  <c r="AQ35" i="71" s="1"/>
  <c r="AU145" i="64"/>
  <c r="BQ145" i="64" s="1"/>
  <c r="AV145" i="64"/>
  <c r="AF145" i="64"/>
  <c r="AW285" i="113"/>
  <c r="AQ55" i="71" s="1"/>
  <c r="AG269" i="113"/>
  <c r="AV285" i="113"/>
  <c r="AP55" i="71" s="1"/>
  <c r="Z15" i="71"/>
  <c r="BP12" i="89"/>
  <c r="DM12" i="89" s="1"/>
  <c r="DL12" i="89"/>
  <c r="BP6" i="89"/>
  <c r="DM6" i="89" s="1"/>
  <c r="DL6" i="89"/>
  <c r="DL9" i="89"/>
  <c r="BP9" i="89"/>
  <c r="DM9" i="89" s="1"/>
  <c r="Y55" i="71"/>
  <c r="Y35" i="71"/>
  <c r="AH117" i="64"/>
  <c r="AH229" i="113"/>
  <c r="AI229" i="113"/>
  <c r="AG117" i="64"/>
  <c r="BJ117" i="64"/>
  <c r="BX229" i="113"/>
  <c r="BX227" i="113"/>
  <c r="AH227" i="113"/>
  <c r="AI227" i="113"/>
  <c r="BR145" i="64" l="1"/>
  <c r="AU157" i="64"/>
  <c r="AQ15" i="71"/>
  <c r="AP15" i="71"/>
  <c r="ES12" i="89"/>
  <c r="ES6" i="89"/>
  <c r="BX269" i="113"/>
  <c r="BJ145" i="64"/>
  <c r="BX285" i="113"/>
  <c r="ES9" i="89"/>
  <c r="G35" i="71"/>
  <c r="G55" i="71"/>
  <c r="AG145" i="64"/>
  <c r="AH269" i="113"/>
  <c r="AH285" i="113"/>
  <c r="AI285" i="113"/>
  <c r="AH145" i="64"/>
  <c r="AI269" i="113"/>
  <c r="AA15" i="71"/>
  <c r="Z35" i="71"/>
  <c r="Z55" i="71"/>
  <c r="BU229" i="113"/>
  <c r="BU227" i="113"/>
  <c r="BG117" i="64"/>
  <c r="G15" i="71" l="1"/>
  <c r="BU285" i="113"/>
  <c r="BU269" i="113"/>
  <c r="BG145" i="64"/>
  <c r="AA35" i="71"/>
  <c r="AA55" i="71"/>
  <c r="AB15" i="71" l="1"/>
  <c r="AC15" i="71"/>
  <c r="E15" i="71" l="1"/>
  <c r="AC55" i="71"/>
  <c r="AB55" i="71"/>
  <c r="AC35" i="71"/>
  <c r="AB35" i="71"/>
  <c r="G111" i="64"/>
  <c r="X8" i="78" l="1"/>
  <c r="E35" i="71"/>
  <c r="E55" i="71"/>
  <c r="W17" i="78"/>
  <c r="DM8" i="78"/>
  <c r="CR8" i="78"/>
  <c r="EA8" i="78"/>
  <c r="DT8" i="78"/>
  <c r="DF8" i="78"/>
  <c r="W26" i="78"/>
  <c r="EH8" i="78"/>
  <c r="CY8" i="78"/>
  <c r="H111" i="64"/>
  <c r="AW111" i="64"/>
  <c r="H213" i="113"/>
  <c r="H221" i="113"/>
  <c r="AB111" i="64"/>
  <c r="N111" i="64"/>
  <c r="AP111" i="64"/>
  <c r="U111" i="64"/>
  <c r="AI111" i="64"/>
  <c r="DM26" i="78" l="1"/>
  <c r="DF26" i="78"/>
  <c r="EA26" i="78"/>
  <c r="DT26" i="78"/>
  <c r="CR26" i="78"/>
  <c r="EH26" i="78"/>
  <c r="CY26" i="78"/>
  <c r="Y8" i="78"/>
  <c r="CZ8" i="78"/>
  <c r="X26" i="78"/>
  <c r="EI8" i="78"/>
  <c r="DG8" i="78"/>
  <c r="DU8" i="78"/>
  <c r="X17" i="78"/>
  <c r="EB8" i="78"/>
  <c r="DN8" i="78"/>
  <c r="CS8" i="78"/>
  <c r="CY17" i="78"/>
  <c r="CR17" i="78"/>
  <c r="DT17" i="78"/>
  <c r="EH17" i="78"/>
  <c r="DM17" i="78"/>
  <c r="DF17" i="78"/>
  <c r="EA17" i="78"/>
  <c r="AQ111" i="64"/>
  <c r="AQ221" i="113"/>
  <c r="AJ111" i="64"/>
  <c r="O221" i="113"/>
  <c r="BK213" i="113"/>
  <c r="AX111" i="64"/>
  <c r="O111" i="64"/>
  <c r="O213" i="113"/>
  <c r="I213" i="113"/>
  <c r="V221" i="113"/>
  <c r="AC221" i="113"/>
  <c r="V213" i="113"/>
  <c r="AX213" i="113"/>
  <c r="I221" i="113"/>
  <c r="AJ213" i="113"/>
  <c r="AC213" i="113"/>
  <c r="AC111" i="64"/>
  <c r="AQ213" i="113"/>
  <c r="AJ221" i="113"/>
  <c r="V111" i="64"/>
  <c r="BK221" i="113"/>
  <c r="AX221" i="113"/>
  <c r="I111" i="64"/>
  <c r="CZ26" i="78" l="1"/>
  <c r="EI26" i="78"/>
  <c r="DG26" i="78"/>
  <c r="DN26" i="78"/>
  <c r="DU26" i="78"/>
  <c r="EB26" i="78"/>
  <c r="CS26" i="78"/>
  <c r="CS17" i="78"/>
  <c r="DN17" i="78"/>
  <c r="DG17" i="78"/>
  <c r="EI17" i="78"/>
  <c r="EB17" i="78"/>
  <c r="CZ17" i="78"/>
  <c r="DU17" i="78"/>
  <c r="DV8" i="78"/>
  <c r="DA8" i="78"/>
  <c r="CT8" i="78"/>
  <c r="Z8" i="78"/>
  <c r="EC8" i="78"/>
  <c r="Y17" i="78"/>
  <c r="DO8" i="78"/>
  <c r="Y26" i="78"/>
  <c r="EJ8" i="78"/>
  <c r="DH8" i="78"/>
  <c r="J111" i="64"/>
  <c r="P111" i="64"/>
  <c r="W221" i="113"/>
  <c r="AY111" i="64"/>
  <c r="P213" i="113"/>
  <c r="BL221" i="113"/>
  <c r="W111" i="64"/>
  <c r="J221" i="113"/>
  <c r="J213" i="113"/>
  <c r="AY221" i="113"/>
  <c r="AR213" i="113"/>
  <c r="AK213" i="113"/>
  <c r="AR221" i="113"/>
  <c r="AD221" i="113"/>
  <c r="P221" i="113"/>
  <c r="AD111" i="64"/>
  <c r="AY213" i="113"/>
  <c r="AK111" i="64"/>
  <c r="AD213" i="113"/>
  <c r="AR111" i="64"/>
  <c r="BL213" i="113"/>
  <c r="W213" i="113"/>
  <c r="AK221" i="113"/>
  <c r="EC17" i="78" l="1"/>
  <c r="DO17" i="78"/>
  <c r="DH17" i="78"/>
  <c r="DA17" i="78"/>
  <c r="DV17" i="78"/>
  <c r="CT17" i="78"/>
  <c r="EJ17" i="78"/>
  <c r="DP8" i="78"/>
  <c r="EK8" i="78"/>
  <c r="DI8" i="78"/>
  <c r="DW8" i="78"/>
  <c r="ED8" i="78"/>
  <c r="AA8" i="78"/>
  <c r="DB8" i="78"/>
  <c r="CU8" i="78"/>
  <c r="Z26" i="78"/>
  <c r="Z17" i="78"/>
  <c r="DO26" i="78"/>
  <c r="DH26" i="78"/>
  <c r="CT26" i="78"/>
  <c r="DA26" i="78"/>
  <c r="EC26" i="78"/>
  <c r="EJ26" i="78"/>
  <c r="DV26" i="78"/>
  <c r="AL221" i="113"/>
  <c r="K221" i="113"/>
  <c r="AE221" i="113"/>
  <c r="K213" i="113"/>
  <c r="Q111" i="64"/>
  <c r="BM213" i="113"/>
  <c r="AS221" i="113"/>
  <c r="AZ111" i="64"/>
  <c r="AE111" i="64"/>
  <c r="AS213" i="113"/>
  <c r="X221" i="113"/>
  <c r="BM221" i="113"/>
  <c r="AL111" i="64"/>
  <c r="AZ221" i="113"/>
  <c r="AZ213" i="113"/>
  <c r="Q213" i="113"/>
  <c r="X213" i="113"/>
  <c r="X111" i="64"/>
  <c r="Q221" i="113"/>
  <c r="AL213" i="113"/>
  <c r="AS111" i="64"/>
  <c r="AE213" i="113"/>
  <c r="K111" i="64"/>
  <c r="DW17" i="78" l="1"/>
  <c r="EK17" i="78"/>
  <c r="CU17" i="78"/>
  <c r="DB17" i="78"/>
  <c r="ED17" i="78"/>
  <c r="DP17" i="78"/>
  <c r="DI17" i="78"/>
  <c r="DI26" i="78"/>
  <c r="ED26" i="78"/>
  <c r="CU26" i="78"/>
  <c r="DW26" i="78"/>
  <c r="EK26" i="78"/>
  <c r="DP26" i="78"/>
  <c r="DB26" i="78"/>
  <c r="DX8" i="78"/>
  <c r="AA17" i="78"/>
  <c r="EE8" i="78"/>
  <c r="EL8" i="78"/>
  <c r="AB8" i="78"/>
  <c r="DC8" i="78"/>
  <c r="DJ8" i="78"/>
  <c r="CV8" i="78"/>
  <c r="AA26" i="78"/>
  <c r="DQ8" i="78"/>
  <c r="Y213" i="113"/>
  <c r="AM213" i="113"/>
  <c r="AF111" i="64"/>
  <c r="Y221" i="113"/>
  <c r="AF221" i="113"/>
  <c r="R111" i="64"/>
  <c r="BA213" i="113"/>
  <c r="BN213" i="113"/>
  <c r="R213" i="113"/>
  <c r="AM221" i="113"/>
  <c r="BN221" i="113"/>
  <c r="Y111" i="64"/>
  <c r="BA221" i="113"/>
  <c r="AM111" i="64"/>
  <c r="AF213" i="113"/>
  <c r="L213" i="113"/>
  <c r="L111" i="64"/>
  <c r="BA111" i="64"/>
  <c r="AT213" i="113"/>
  <c r="R221" i="113"/>
  <c r="AT111" i="64"/>
  <c r="L221" i="113"/>
  <c r="AT221" i="113"/>
  <c r="AB17" i="78" l="1"/>
  <c r="CW8" i="78"/>
  <c r="DD8" i="78"/>
  <c r="EF8" i="78"/>
  <c r="EM8" i="78"/>
  <c r="AB26" i="78"/>
  <c r="AC8" i="78"/>
  <c r="DK8" i="78"/>
  <c r="DR8" i="78"/>
  <c r="DY8" i="78"/>
  <c r="EE17" i="78"/>
  <c r="CV17" i="78"/>
  <c r="DQ17" i="78"/>
  <c r="DC17" i="78"/>
  <c r="DJ17" i="78"/>
  <c r="EL17" i="78"/>
  <c r="DX17" i="78"/>
  <c r="DQ26" i="78"/>
  <c r="CV26" i="78"/>
  <c r="EE26" i="78"/>
  <c r="DJ26" i="78"/>
  <c r="DX26" i="78"/>
  <c r="EL26" i="78"/>
  <c r="DC26" i="78"/>
  <c r="AU111" i="64"/>
  <c r="BO221" i="113"/>
  <c r="AN111" i="64"/>
  <c r="AG111" i="64"/>
  <c r="S221" i="113"/>
  <c r="AG213" i="113"/>
  <c r="M111" i="64"/>
  <c r="Z111" i="64"/>
  <c r="BB111" i="64"/>
  <c r="S213" i="113"/>
  <c r="AN213" i="113"/>
  <c r="BB221" i="113"/>
  <c r="Z221" i="113"/>
  <c r="Z213" i="113"/>
  <c r="AG221" i="113"/>
  <c r="M221" i="113"/>
  <c r="AU213" i="113"/>
  <c r="BB213" i="113"/>
  <c r="M213" i="113"/>
  <c r="S111" i="64"/>
  <c r="AN221" i="113"/>
  <c r="BO213" i="113"/>
  <c r="AU221" i="113"/>
  <c r="BD111" i="64" l="1"/>
  <c r="DY17" i="78"/>
  <c r="EM17" i="78"/>
  <c r="EF17" i="78"/>
  <c r="DD17" i="78"/>
  <c r="DR17" i="78"/>
  <c r="DK17" i="78"/>
  <c r="CW17" i="78"/>
  <c r="EG8" i="78"/>
  <c r="DS8" i="78"/>
  <c r="ES8" i="78" s="1"/>
  <c r="AC26" i="78"/>
  <c r="DL8" i="78"/>
  <c r="EN8" i="78"/>
  <c r="EV8" i="78" s="1"/>
  <c r="AC17" i="78"/>
  <c r="DZ8" i="78"/>
  <c r="DE8" i="78"/>
  <c r="EQ8" i="78" s="1"/>
  <c r="CX8" i="78"/>
  <c r="EP8" i="78" s="1"/>
  <c r="EO8" i="78"/>
  <c r="DR26" i="78"/>
  <c r="EM26" i="78"/>
  <c r="DD26" i="78"/>
  <c r="DK26" i="78"/>
  <c r="EF26" i="78"/>
  <c r="DY26" i="78"/>
  <c r="CW26" i="78"/>
  <c r="BE111" i="64"/>
  <c r="AA213" i="113"/>
  <c r="AA111" i="64"/>
  <c r="T111" i="64"/>
  <c r="AV213" i="113"/>
  <c r="N213" i="113"/>
  <c r="AH221" i="113"/>
  <c r="AA221" i="113"/>
  <c r="BP213" i="113"/>
  <c r="BP221" i="113"/>
  <c r="BC213" i="113"/>
  <c r="N221" i="113"/>
  <c r="BH111" i="64"/>
  <c r="AO111" i="64"/>
  <c r="AV221" i="113"/>
  <c r="BF111" i="64"/>
  <c r="AO221" i="113"/>
  <c r="BC221" i="113"/>
  <c r="AO213" i="113"/>
  <c r="BK111" i="64"/>
  <c r="AV111" i="64"/>
  <c r="BC111" i="64"/>
  <c r="T213" i="113"/>
  <c r="AH111" i="64"/>
  <c r="T221" i="113"/>
  <c r="AH213" i="113"/>
  <c r="BR221" i="113" l="1"/>
  <c r="BR213" i="113"/>
  <c r="DL26" i="78"/>
  <c r="ER26" i="78" s="1"/>
  <c r="DS26" i="78"/>
  <c r="EG26" i="78"/>
  <c r="CX26" i="78"/>
  <c r="DE26" i="78"/>
  <c r="EN26" i="78"/>
  <c r="DZ26" i="78"/>
  <c r="EO26" i="78"/>
  <c r="ET8" i="78"/>
  <c r="DL17" i="78"/>
  <c r="DE17" i="78"/>
  <c r="EQ17" i="78" s="1"/>
  <c r="DS17" i="78"/>
  <c r="EN17" i="78"/>
  <c r="CX17" i="78"/>
  <c r="EG17" i="78"/>
  <c r="DZ17" i="78"/>
  <c r="EO17" i="78"/>
  <c r="ER8" i="78"/>
  <c r="EU8" i="78"/>
  <c r="BG111" i="64"/>
  <c r="BU221" i="113"/>
  <c r="BT213" i="113"/>
  <c r="BD221" i="113"/>
  <c r="U213" i="113"/>
  <c r="AI221" i="113"/>
  <c r="AW221" i="113"/>
  <c r="BJ111" i="64"/>
  <c r="AI213" i="113"/>
  <c r="BQ221" i="113"/>
  <c r="BD213" i="113"/>
  <c r="AB213" i="113"/>
  <c r="BI111" i="64"/>
  <c r="AP213" i="113"/>
  <c r="U221" i="113"/>
  <c r="AW213" i="113"/>
  <c r="BQ213" i="113"/>
  <c r="AP221" i="113"/>
  <c r="AB221" i="113"/>
  <c r="EX8" i="78" l="1"/>
  <c r="ES17" i="78"/>
  <c r="ES26" i="78"/>
  <c r="EU17" i="78"/>
  <c r="EP17" i="78"/>
  <c r="EU26" i="78"/>
  <c r="EV17" i="78"/>
  <c r="ET17" i="78"/>
  <c r="EP26" i="78"/>
  <c r="ET26" i="78"/>
  <c r="ER17" i="78"/>
  <c r="EV26" i="78"/>
  <c r="EQ26" i="78"/>
  <c r="BX221" i="113"/>
  <c r="BW221" i="113"/>
  <c r="BX213" i="113"/>
  <c r="BV213" i="113"/>
  <c r="BY213" i="113"/>
  <c r="BY221" i="113"/>
  <c r="BS221" i="113"/>
  <c r="BV221" i="113"/>
  <c r="BU213" i="113"/>
  <c r="BW213" i="113"/>
  <c r="BT221" i="113"/>
  <c r="BS213" i="113"/>
  <c r="FB8" i="78" l="1"/>
  <c r="FD8" i="78"/>
  <c r="EZ8" i="78"/>
  <c r="EY8" i="78"/>
  <c r="FA8" i="78"/>
  <c r="FC8" i="78"/>
  <c r="X9" i="78" l="1"/>
  <c r="DF6" i="78"/>
  <c r="G112" i="64"/>
  <c r="G109" i="64"/>
  <c r="G110" i="64"/>
  <c r="X6" i="78" l="1"/>
  <c r="Y6" i="78" s="1"/>
  <c r="X7" i="78"/>
  <c r="DT9" i="78"/>
  <c r="EA9" i="78"/>
  <c r="W27" i="78"/>
  <c r="W18" i="78"/>
  <c r="DM9" i="78"/>
  <c r="CY9" i="78"/>
  <c r="CR9" i="78"/>
  <c r="DF9" i="78"/>
  <c r="EH9" i="78"/>
  <c r="W15" i="78"/>
  <c r="CR6" i="78"/>
  <c r="EA6" i="78"/>
  <c r="EH6" i="78"/>
  <c r="DM6" i="78"/>
  <c r="W24" i="78"/>
  <c r="DT6" i="78"/>
  <c r="CY6" i="78"/>
  <c r="EA7" i="78"/>
  <c r="EH7" i="78"/>
  <c r="DM7" i="78"/>
  <c r="DT7" i="78"/>
  <c r="W25" i="78"/>
  <c r="W16" i="78"/>
  <c r="CY7" i="78"/>
  <c r="DF7" i="78"/>
  <c r="CR7" i="78"/>
  <c r="M43" i="78"/>
  <c r="N43" i="78" s="1"/>
  <c r="AP110" i="64"/>
  <c r="AI112" i="64"/>
  <c r="H109" i="64"/>
  <c r="G113" i="64"/>
  <c r="N112" i="64"/>
  <c r="U110" i="64"/>
  <c r="AI109" i="64"/>
  <c r="U112" i="64"/>
  <c r="N109" i="64"/>
  <c r="H220" i="113"/>
  <c r="H219" i="113"/>
  <c r="AW109" i="64"/>
  <c r="AP109" i="64"/>
  <c r="AW110" i="64"/>
  <c r="N110" i="64"/>
  <c r="H110" i="64"/>
  <c r="AB112" i="64"/>
  <c r="H212" i="113"/>
  <c r="AW112" i="64"/>
  <c r="H211" i="113"/>
  <c r="H222" i="113"/>
  <c r="AB109" i="64"/>
  <c r="H112" i="64"/>
  <c r="AP112" i="64"/>
  <c r="U109" i="64"/>
  <c r="AB110" i="64"/>
  <c r="AI110" i="64"/>
  <c r="H214" i="113"/>
  <c r="M39" i="78" l="1"/>
  <c r="M40" i="78" s="1"/>
  <c r="DM15" i="78"/>
  <c r="EH15" i="78"/>
  <c r="EA15" i="78"/>
  <c r="CR15" i="78"/>
  <c r="DT15" i="78"/>
  <c r="CY15" i="78"/>
  <c r="DM18" i="78"/>
  <c r="EA18" i="78"/>
  <c r="DF18" i="78"/>
  <c r="CR18" i="78"/>
  <c r="CY18" i="78"/>
  <c r="DT18" i="78"/>
  <c r="EH18" i="78"/>
  <c r="CY25" i="78"/>
  <c r="DT25" i="78"/>
  <c r="CR25" i="78"/>
  <c r="DF25" i="78"/>
  <c r="EH25" i="78"/>
  <c r="DM25" i="78"/>
  <c r="EA25" i="78"/>
  <c r="DF27" i="78"/>
  <c r="CR27" i="78"/>
  <c r="EA27" i="78"/>
  <c r="DM27" i="78"/>
  <c r="CY27" i="78"/>
  <c r="DT27" i="78"/>
  <c r="EH27" i="78"/>
  <c r="CZ6" i="78"/>
  <c r="CS6" i="78"/>
  <c r="DG6" i="78"/>
  <c r="X15" i="78"/>
  <c r="DU6" i="78"/>
  <c r="X24" i="78"/>
  <c r="EI6" i="78"/>
  <c r="DN6" i="78"/>
  <c r="EB6" i="78"/>
  <c r="CR10" i="78"/>
  <c r="DF10" i="78"/>
  <c r="DT10" i="78"/>
  <c r="EA10" i="78"/>
  <c r="EH10" i="78"/>
  <c r="M42" i="78"/>
  <c r="N42" i="78" s="1"/>
  <c r="CY10" i="78"/>
  <c r="W28" i="78"/>
  <c r="DM10" i="78"/>
  <c r="W19" i="78"/>
  <c r="EB9" i="78"/>
  <c r="CS9" i="78"/>
  <c r="X18" i="78"/>
  <c r="EI9" i="78"/>
  <c r="Y9" i="78"/>
  <c r="DU9" i="78"/>
  <c r="DG9" i="78"/>
  <c r="CZ9" i="78"/>
  <c r="X27" i="78"/>
  <c r="DN9" i="78"/>
  <c r="EA24" i="78"/>
  <c r="DT24" i="78"/>
  <c r="DM24" i="78"/>
  <c r="EH24" i="78"/>
  <c r="CY24" i="78"/>
  <c r="CR24" i="78"/>
  <c r="DF24" i="78"/>
  <c r="M41" i="78"/>
  <c r="N41" i="78" s="1"/>
  <c r="CR16" i="78"/>
  <c r="DF16" i="78"/>
  <c r="DT16" i="78"/>
  <c r="DM16" i="78"/>
  <c r="EH16" i="78"/>
  <c r="CY16" i="78"/>
  <c r="EA16" i="78"/>
  <c r="DU7" i="78"/>
  <c r="CZ7" i="78"/>
  <c r="DN7" i="78"/>
  <c r="X16" i="78"/>
  <c r="CS7" i="78"/>
  <c r="X25" i="78"/>
  <c r="EI7" i="78"/>
  <c r="DG7" i="78"/>
  <c r="EB7" i="78"/>
  <c r="Y7" i="78"/>
  <c r="AW113" i="64"/>
  <c r="O219" i="113"/>
  <c r="AJ219" i="113"/>
  <c r="AC220" i="113"/>
  <c r="AX220" i="113"/>
  <c r="AC211" i="113"/>
  <c r="V112" i="64"/>
  <c r="AQ109" i="64"/>
  <c r="I109" i="64"/>
  <c r="AX222" i="113"/>
  <c r="I219" i="113"/>
  <c r="BK212" i="113"/>
  <c r="V214" i="113"/>
  <c r="AQ112" i="64"/>
  <c r="AC219" i="113"/>
  <c r="O109" i="64"/>
  <c r="BK214" i="113"/>
  <c r="I110" i="64"/>
  <c r="AQ110" i="64"/>
  <c r="BK219" i="113"/>
  <c r="V220" i="113"/>
  <c r="I214" i="113"/>
  <c r="AX214" i="113"/>
  <c r="AQ219" i="113"/>
  <c r="AQ211" i="113"/>
  <c r="AJ212" i="113"/>
  <c r="V222" i="113"/>
  <c r="AQ212" i="113"/>
  <c r="O222" i="113"/>
  <c r="AC212" i="113"/>
  <c r="I211" i="113"/>
  <c r="AJ109" i="64"/>
  <c r="AB113" i="64"/>
  <c r="AJ211" i="113"/>
  <c r="AP113" i="64"/>
  <c r="O110" i="64"/>
  <c r="AX219" i="113"/>
  <c r="V212" i="113"/>
  <c r="I212" i="113"/>
  <c r="O220" i="113"/>
  <c r="AC214" i="113"/>
  <c r="AX112" i="64"/>
  <c r="AC112" i="64"/>
  <c r="H113" i="64"/>
  <c r="AC222" i="113"/>
  <c r="V219" i="113"/>
  <c r="V109" i="64"/>
  <c r="AJ112" i="64"/>
  <c r="V211" i="113"/>
  <c r="AX109" i="64"/>
  <c r="AJ214" i="113"/>
  <c r="H215" i="113"/>
  <c r="AJ220" i="113"/>
  <c r="O112" i="64"/>
  <c r="I222" i="113"/>
  <c r="AC109" i="64"/>
  <c r="BK220" i="113"/>
  <c r="AI113" i="64"/>
  <c r="BK222" i="113"/>
  <c r="BK211" i="113"/>
  <c r="AX212" i="113"/>
  <c r="O212" i="113"/>
  <c r="H223" i="113"/>
  <c r="AJ110" i="64"/>
  <c r="AQ220" i="113"/>
  <c r="AJ222" i="113"/>
  <c r="I112" i="64"/>
  <c r="AX110" i="64"/>
  <c r="AX211" i="113"/>
  <c r="O214" i="113"/>
  <c r="AQ222" i="113"/>
  <c r="I220" i="113"/>
  <c r="AC110" i="64"/>
  <c r="AQ214" i="113"/>
  <c r="V110" i="64"/>
  <c r="O211" i="113"/>
  <c r="N113" i="64"/>
  <c r="U113" i="64"/>
  <c r="O41" i="78" l="1"/>
  <c r="O43" i="78"/>
  <c r="O42" i="78"/>
  <c r="EJ7" i="78"/>
  <c r="DV7" i="78"/>
  <c r="Y25" i="78"/>
  <c r="Y16" i="78"/>
  <c r="EC7" i="78"/>
  <c r="DA7" i="78"/>
  <c r="DH7" i="78"/>
  <c r="CT7" i="78"/>
  <c r="Z7" i="78"/>
  <c r="DO7" i="78"/>
  <c r="DN27" i="78"/>
  <c r="CZ27" i="78"/>
  <c r="EB27" i="78"/>
  <c r="DU27" i="78"/>
  <c r="EI27" i="78"/>
  <c r="CS27" i="78"/>
  <c r="DG27" i="78"/>
  <c r="CZ15" i="78"/>
  <c r="DU15" i="78"/>
  <c r="EB15" i="78"/>
  <c r="DN15" i="78"/>
  <c r="CS15" i="78"/>
  <c r="DG15" i="78"/>
  <c r="EI15" i="78"/>
  <c r="CT6" i="78"/>
  <c r="Y15" i="78"/>
  <c r="Y24" i="78"/>
  <c r="DV6" i="78"/>
  <c r="DO6" i="78"/>
  <c r="DA6" i="78"/>
  <c r="EJ6" i="78"/>
  <c r="Z6" i="78"/>
  <c r="EC6" i="78"/>
  <c r="DH6" i="78"/>
  <c r="DT19" i="78"/>
  <c r="CY19" i="78"/>
  <c r="DM19" i="78"/>
  <c r="CR19" i="78"/>
  <c r="EH19" i="78"/>
  <c r="DF19" i="78"/>
  <c r="EA19" i="78"/>
  <c r="DT28" i="78"/>
  <c r="CY28" i="78"/>
  <c r="DM28" i="78"/>
  <c r="CR28" i="78"/>
  <c r="EA28" i="78"/>
  <c r="DF28" i="78"/>
  <c r="EH28" i="78"/>
  <c r="CZ25" i="78"/>
  <c r="DG25" i="78"/>
  <c r="DU25" i="78"/>
  <c r="CS25" i="78"/>
  <c r="DN25" i="78"/>
  <c r="EI25" i="78"/>
  <c r="EB25" i="78"/>
  <c r="DO9" i="78"/>
  <c r="Y18" i="78"/>
  <c r="Z9" i="78"/>
  <c r="EC9" i="78"/>
  <c r="CT9" i="78"/>
  <c r="DA9" i="78"/>
  <c r="Y27" i="78"/>
  <c r="DH9" i="78"/>
  <c r="DV9" i="78"/>
  <c r="EJ9" i="78"/>
  <c r="DN10" i="78"/>
  <c r="DG10" i="78"/>
  <c r="EI10" i="78"/>
  <c r="CZ10" i="78"/>
  <c r="CS10" i="78"/>
  <c r="DU10" i="78"/>
  <c r="EB10" i="78"/>
  <c r="Y10" i="78"/>
  <c r="X19" i="78"/>
  <c r="X28" i="78"/>
  <c r="EB16" i="78"/>
  <c r="EI16" i="78"/>
  <c r="DU16" i="78"/>
  <c r="CZ16" i="78"/>
  <c r="DG16" i="78"/>
  <c r="DN16" i="78"/>
  <c r="CS16" i="78"/>
  <c r="EB18" i="78"/>
  <c r="CS18" i="78"/>
  <c r="EI18" i="78"/>
  <c r="DN18" i="78"/>
  <c r="CZ18" i="78"/>
  <c r="DG18" i="78"/>
  <c r="DU18" i="78"/>
  <c r="DU24" i="78"/>
  <c r="CZ24" i="78"/>
  <c r="EB24" i="78"/>
  <c r="DG24" i="78"/>
  <c r="CS24" i="78"/>
  <c r="DN24" i="78"/>
  <c r="EI24" i="78"/>
  <c r="AY219" i="113"/>
  <c r="P211" i="113"/>
  <c r="AK211" i="113"/>
  <c r="AR112" i="64"/>
  <c r="J222" i="113"/>
  <c r="AQ215" i="113"/>
  <c r="AX215" i="113"/>
  <c r="AC215" i="113"/>
  <c r="AY109" i="64"/>
  <c r="AR110" i="64"/>
  <c r="AD220" i="113"/>
  <c r="AD211" i="113"/>
  <c r="AC113" i="64"/>
  <c r="AR109" i="64"/>
  <c r="W112" i="64"/>
  <c r="AK212" i="113"/>
  <c r="J212" i="113"/>
  <c r="J214" i="113"/>
  <c r="P109" i="64"/>
  <c r="AQ223" i="113"/>
  <c r="AR220" i="113"/>
  <c r="I113" i="64"/>
  <c r="V215" i="113"/>
  <c r="W110" i="64"/>
  <c r="AK112" i="64"/>
  <c r="AR212" i="113"/>
  <c r="W214" i="113"/>
  <c r="AX113" i="64"/>
  <c r="AJ223" i="113"/>
  <c r="P110" i="64"/>
  <c r="O113" i="64"/>
  <c r="AD112" i="64"/>
  <c r="AR214" i="113"/>
  <c r="BL214" i="113"/>
  <c r="P219" i="113"/>
  <c r="AR222" i="113"/>
  <c r="AK110" i="64"/>
  <c r="J220" i="113"/>
  <c r="AY110" i="64"/>
  <c r="J211" i="113"/>
  <c r="O215" i="113"/>
  <c r="J109" i="64"/>
  <c r="I215" i="113"/>
  <c r="AD219" i="113"/>
  <c r="AK220" i="113"/>
  <c r="P212" i="113"/>
  <c r="AK222" i="113"/>
  <c r="AD109" i="64"/>
  <c r="J110" i="64"/>
  <c r="AQ113" i="64"/>
  <c r="AY211" i="113"/>
  <c r="J112" i="64"/>
  <c r="BL211" i="113"/>
  <c r="BK215" i="113"/>
  <c r="AR211" i="113"/>
  <c r="V223" i="113"/>
  <c r="P112" i="64"/>
  <c r="AC223" i="113"/>
  <c r="AR219" i="113"/>
  <c r="AK109" i="64"/>
  <c r="O223" i="113"/>
  <c r="W222" i="113"/>
  <c r="AY212" i="113"/>
  <c r="P220" i="113"/>
  <c r="AY112" i="64"/>
  <c r="AX223" i="113"/>
  <c r="I223" i="113"/>
  <c r="AJ113" i="64"/>
  <c r="P222" i="113"/>
  <c r="AD110" i="64"/>
  <c r="W220" i="113"/>
  <c r="V113" i="64"/>
  <c r="AD212" i="113"/>
  <c r="BL219" i="113"/>
  <c r="AD222" i="113"/>
  <c r="BL220" i="113"/>
  <c r="AK214" i="113"/>
  <c r="BL222" i="113"/>
  <c r="W109" i="64"/>
  <c r="W211" i="113"/>
  <c r="W219" i="113"/>
  <c r="AY220" i="113"/>
  <c r="BL212" i="113"/>
  <c r="AJ215" i="113"/>
  <c r="W212" i="113"/>
  <c r="AK219" i="113"/>
  <c r="J219" i="113"/>
  <c r="AY214" i="113"/>
  <c r="AY222" i="113"/>
  <c r="P214" i="113"/>
  <c r="AD214" i="113"/>
  <c r="BK223" i="113"/>
  <c r="DN19" i="78" l="1"/>
  <c r="CS19" i="78"/>
  <c r="DU19" i="78"/>
  <c r="DG19" i="78"/>
  <c r="EI19" i="78"/>
  <c r="EB19" i="78"/>
  <c r="CZ19" i="78"/>
  <c r="CT24" i="78"/>
  <c r="DH24" i="78"/>
  <c r="DO24" i="78"/>
  <c r="DV24" i="78"/>
  <c r="EJ24" i="78"/>
  <c r="DA24" i="78"/>
  <c r="EC24" i="78"/>
  <c r="CT10" i="78"/>
  <c r="DO10" i="78"/>
  <c r="Y19" i="78"/>
  <c r="DA10" i="78"/>
  <c r="DV10" i="78"/>
  <c r="DH10" i="78"/>
  <c r="Z10" i="78"/>
  <c r="EC10" i="78"/>
  <c r="EJ10" i="78"/>
  <c r="Y28" i="78"/>
  <c r="CT15" i="78"/>
  <c r="DA15" i="78"/>
  <c r="DO15" i="78"/>
  <c r="EJ15" i="78"/>
  <c r="EC15" i="78"/>
  <c r="DV15" i="78"/>
  <c r="DH15" i="78"/>
  <c r="CZ28" i="78"/>
  <c r="CS28" i="78"/>
  <c r="DN28" i="78"/>
  <c r="DG28" i="78"/>
  <c r="EB28" i="78"/>
  <c r="EI28" i="78"/>
  <c r="DU28" i="78"/>
  <c r="CU9" i="78"/>
  <c r="DW9" i="78"/>
  <c r="DB9" i="78"/>
  <c r="AA9" i="78"/>
  <c r="Z27" i="78"/>
  <c r="DI9" i="78"/>
  <c r="ED9" i="78"/>
  <c r="DP9" i="78"/>
  <c r="EK9" i="78"/>
  <c r="Z18" i="78"/>
  <c r="DH18" i="78"/>
  <c r="EJ18" i="78"/>
  <c r="EC18" i="78"/>
  <c r="DV18" i="78"/>
  <c r="DO18" i="78"/>
  <c r="DA18" i="78"/>
  <c r="CT18" i="78"/>
  <c r="DP6" i="78"/>
  <c r="CU6" i="78"/>
  <c r="DI6" i="78"/>
  <c r="DB6" i="78"/>
  <c r="AA6" i="78"/>
  <c r="DW6" i="78"/>
  <c r="ED6" i="78"/>
  <c r="Z24" i="78"/>
  <c r="EK6" i="78"/>
  <c r="Z15" i="78"/>
  <c r="DH16" i="78"/>
  <c r="EC16" i="78"/>
  <c r="DA16" i="78"/>
  <c r="DV16" i="78"/>
  <c r="EJ16" i="78"/>
  <c r="DO16" i="78"/>
  <c r="CT16" i="78"/>
  <c r="DV25" i="78"/>
  <c r="CT25" i="78"/>
  <c r="EC25" i="78"/>
  <c r="EJ25" i="78"/>
  <c r="DH25" i="78"/>
  <c r="DA25" i="78"/>
  <c r="DO25" i="78"/>
  <c r="DO27" i="78"/>
  <c r="CT27" i="78"/>
  <c r="EC27" i="78"/>
  <c r="DV27" i="78"/>
  <c r="EJ27" i="78"/>
  <c r="DH27" i="78"/>
  <c r="DA27" i="78"/>
  <c r="ED7" i="78"/>
  <c r="DB7" i="78"/>
  <c r="Z16" i="78"/>
  <c r="DI7" i="78"/>
  <c r="CU7" i="78"/>
  <c r="DP7" i="78"/>
  <c r="DW7" i="78"/>
  <c r="EK7" i="78"/>
  <c r="AA7" i="78"/>
  <c r="Z25" i="78"/>
  <c r="AD113" i="64"/>
  <c r="AE110" i="64"/>
  <c r="AE222" i="113"/>
  <c r="AD215" i="113"/>
  <c r="AL222" i="113"/>
  <c r="AS220" i="113"/>
  <c r="K220" i="113"/>
  <c r="AK215" i="113"/>
  <c r="BL215" i="113"/>
  <c r="K222" i="113"/>
  <c r="BM214" i="113"/>
  <c r="P113" i="64"/>
  <c r="J223" i="113"/>
  <c r="AY223" i="113"/>
  <c r="AZ222" i="113"/>
  <c r="AR113" i="64"/>
  <c r="BM222" i="113"/>
  <c r="BM212" i="113"/>
  <c r="K214" i="113"/>
  <c r="AR215" i="113"/>
  <c r="K219" i="113"/>
  <c r="J215" i="113"/>
  <c r="W215" i="113"/>
  <c r="AY215" i="113"/>
  <c r="BM220" i="113"/>
  <c r="AS222" i="113"/>
  <c r="X212" i="113"/>
  <c r="W223" i="113"/>
  <c r="Q109" i="64"/>
  <c r="BM219" i="113"/>
  <c r="AL220" i="113"/>
  <c r="K109" i="64"/>
  <c r="AS109" i="64"/>
  <c r="AZ220" i="113"/>
  <c r="AS212" i="113"/>
  <c r="K110" i="64"/>
  <c r="Q219" i="113"/>
  <c r="AZ219" i="113"/>
  <c r="AD223" i="113"/>
  <c r="AZ109" i="64"/>
  <c r="AR223" i="113"/>
  <c r="AS214" i="113"/>
  <c r="Q211" i="113"/>
  <c r="Q214" i="113"/>
  <c r="AZ212" i="113"/>
  <c r="K211" i="113"/>
  <c r="P215" i="113"/>
  <c r="AL211" i="113"/>
  <c r="AS110" i="64"/>
  <c r="J113" i="64"/>
  <c r="AL219" i="113"/>
  <c r="AL214" i="113"/>
  <c r="AE109" i="64"/>
  <c r="X110" i="64"/>
  <c r="AL109" i="64"/>
  <c r="X211" i="113"/>
  <c r="AZ211" i="113"/>
  <c r="P223" i="113"/>
  <c r="K212" i="113"/>
  <c r="AZ110" i="64"/>
  <c r="AK223" i="113"/>
  <c r="AE112" i="64"/>
  <c r="AK113" i="64"/>
  <c r="AS219" i="113"/>
  <c r="AE211" i="113"/>
  <c r="X112" i="64"/>
  <c r="Q220" i="113"/>
  <c r="AE212" i="113"/>
  <c r="X109" i="64"/>
  <c r="AZ214" i="113"/>
  <c r="AL110" i="64"/>
  <c r="Q212" i="113"/>
  <c r="AY113" i="64"/>
  <c r="Q222" i="113"/>
  <c r="X219" i="113"/>
  <c r="X222" i="113"/>
  <c r="AE219" i="113"/>
  <c r="X214" i="113"/>
  <c r="W113" i="64"/>
  <c r="Q110" i="64"/>
  <c r="BM211" i="113"/>
  <c r="BL223" i="113"/>
  <c r="K112" i="64"/>
  <c r="AL212" i="113"/>
  <c r="AS112" i="64"/>
  <c r="AS211" i="113"/>
  <c r="X220" i="113"/>
  <c r="AZ112" i="64"/>
  <c r="AE214" i="113"/>
  <c r="AE220" i="113"/>
  <c r="AL112" i="64"/>
  <c r="Q112" i="64"/>
  <c r="DQ7" i="78" l="1"/>
  <c r="DX7" i="78"/>
  <c r="EE7" i="78"/>
  <c r="EL7" i="78"/>
  <c r="CV7" i="78"/>
  <c r="DC7" i="78"/>
  <c r="AA16" i="78"/>
  <c r="AB7" i="78"/>
  <c r="DJ7" i="78"/>
  <c r="AA25" i="78"/>
  <c r="ED24" i="78"/>
  <c r="CU24" i="78"/>
  <c r="DB24" i="78"/>
  <c r="DW24" i="78"/>
  <c r="DP24" i="78"/>
  <c r="DI24" i="78"/>
  <c r="EK24" i="78"/>
  <c r="EK18" i="78"/>
  <c r="DW18" i="78"/>
  <c r="ED18" i="78"/>
  <c r="DP18" i="78"/>
  <c r="CU18" i="78"/>
  <c r="DB18" i="78"/>
  <c r="DI18" i="78"/>
  <c r="EJ19" i="78"/>
  <c r="DA19" i="78"/>
  <c r="CT19" i="78"/>
  <c r="DH19" i="78"/>
  <c r="DV19" i="78"/>
  <c r="DO19" i="78"/>
  <c r="EC19" i="78"/>
  <c r="DJ9" i="78"/>
  <c r="EE9" i="78"/>
  <c r="AA18" i="78"/>
  <c r="EL9" i="78"/>
  <c r="AB9" i="78"/>
  <c r="DC9" i="78"/>
  <c r="DQ9" i="78"/>
  <c r="CV9" i="78"/>
  <c r="DX9" i="78"/>
  <c r="AA27" i="78"/>
  <c r="AA24" i="78"/>
  <c r="DJ6" i="78"/>
  <c r="CV6" i="78"/>
  <c r="DQ6" i="78"/>
  <c r="AA15" i="78"/>
  <c r="DC6" i="78"/>
  <c r="DX6" i="78"/>
  <c r="AB6" i="78"/>
  <c r="EL6" i="78"/>
  <c r="EE6" i="78"/>
  <c r="EJ28" i="78"/>
  <c r="DV28" i="78"/>
  <c r="DO28" i="78"/>
  <c r="EC28" i="78"/>
  <c r="DA28" i="78"/>
  <c r="CT28" i="78"/>
  <c r="DH28" i="78"/>
  <c r="CU16" i="78"/>
  <c r="ED16" i="78"/>
  <c r="DP16" i="78"/>
  <c r="DW16" i="78"/>
  <c r="DI16" i="78"/>
  <c r="EK16" i="78"/>
  <c r="DB16" i="78"/>
  <c r="ED25" i="78"/>
  <c r="DI25" i="78"/>
  <c r="DW25" i="78"/>
  <c r="CU25" i="78"/>
  <c r="DP25" i="78"/>
  <c r="DB25" i="78"/>
  <c r="EK25" i="78"/>
  <c r="ED15" i="78"/>
  <c r="DI15" i="78"/>
  <c r="EK15" i="78"/>
  <c r="DB15" i="78"/>
  <c r="DW15" i="78"/>
  <c r="DP15" i="78"/>
  <c r="CU15" i="78"/>
  <c r="ED27" i="78"/>
  <c r="DB27" i="78"/>
  <c r="CU27" i="78"/>
  <c r="DP27" i="78"/>
  <c r="EK27" i="78"/>
  <c r="DI27" i="78"/>
  <c r="DW27" i="78"/>
  <c r="AA10" i="78"/>
  <c r="Z19" i="78"/>
  <c r="CU10" i="78"/>
  <c r="ED10" i="78"/>
  <c r="DP10" i="78"/>
  <c r="DI10" i="78"/>
  <c r="EK10" i="78"/>
  <c r="DW10" i="78"/>
  <c r="DB10" i="78"/>
  <c r="Z28" i="78"/>
  <c r="AL223" i="113"/>
  <c r="Y211" i="113"/>
  <c r="AZ215" i="113"/>
  <c r="AS215" i="113"/>
  <c r="BN212" i="113"/>
  <c r="AT214" i="113"/>
  <c r="BA219" i="113"/>
  <c r="Y212" i="113"/>
  <c r="BN211" i="113"/>
  <c r="AM219" i="113"/>
  <c r="AT109" i="64"/>
  <c r="R220" i="113"/>
  <c r="AT222" i="113"/>
  <c r="BM223" i="113"/>
  <c r="AL215" i="113"/>
  <c r="BA211" i="113"/>
  <c r="L211" i="113"/>
  <c r="Y110" i="64"/>
  <c r="AM211" i="113"/>
  <c r="L220" i="113"/>
  <c r="AM109" i="64"/>
  <c r="L222" i="113"/>
  <c r="Y109" i="64"/>
  <c r="Y220" i="113"/>
  <c r="BN214" i="113"/>
  <c r="R211" i="113"/>
  <c r="AF222" i="113"/>
  <c r="R110" i="64"/>
  <c r="R212" i="113"/>
  <c r="BA212" i="113"/>
  <c r="BA112" i="64"/>
  <c r="K223" i="113"/>
  <c r="AT112" i="64"/>
  <c r="Q113" i="64"/>
  <c r="AS223" i="113"/>
  <c r="R219" i="113"/>
  <c r="Y222" i="113"/>
  <c r="BM215" i="113"/>
  <c r="L112" i="64"/>
  <c r="AE223" i="113"/>
  <c r="AM110" i="64"/>
  <c r="Q215" i="113"/>
  <c r="AS113" i="64"/>
  <c r="X113" i="64"/>
  <c r="BN220" i="113"/>
  <c r="R112" i="64"/>
  <c r="AM222" i="113"/>
  <c r="AE215" i="113"/>
  <c r="L109" i="64"/>
  <c r="L212" i="113"/>
  <c r="Y219" i="113"/>
  <c r="Y112" i="64"/>
  <c r="AE113" i="64"/>
  <c r="Q223" i="113"/>
  <c r="AF214" i="113"/>
  <c r="BA220" i="113"/>
  <c r="AT110" i="64"/>
  <c r="R214" i="113"/>
  <c r="AT219" i="113"/>
  <c r="AT212" i="113"/>
  <c r="AM220" i="113"/>
  <c r="AM212" i="113"/>
  <c r="AL113" i="64"/>
  <c r="AZ113" i="64"/>
  <c r="BA109" i="64"/>
  <c r="AF212" i="113"/>
  <c r="AM112" i="64"/>
  <c r="X215" i="113"/>
  <c r="Y214" i="113"/>
  <c r="BA214" i="113"/>
  <c r="X223" i="113"/>
  <c r="AZ223" i="113"/>
  <c r="AT220" i="113"/>
  <c r="R222" i="113"/>
  <c r="AF110" i="64"/>
  <c r="R109" i="64"/>
  <c r="BN222" i="113"/>
  <c r="BA110" i="64"/>
  <c r="AM214" i="113"/>
  <c r="AF109" i="64"/>
  <c r="BA222" i="113"/>
  <c r="AF219" i="113"/>
  <c r="K113" i="64"/>
  <c r="AF112" i="64"/>
  <c r="BN219" i="113"/>
  <c r="L214" i="113"/>
  <c r="AF211" i="113"/>
  <c r="AT211" i="113"/>
  <c r="K215" i="113"/>
  <c r="L219" i="113"/>
  <c r="AF220" i="113"/>
  <c r="L110" i="64"/>
  <c r="EF9" i="78" l="1"/>
  <c r="CW9" i="78"/>
  <c r="DD9" i="78"/>
  <c r="AB18" i="78"/>
  <c r="AB27" i="78"/>
  <c r="DK9" i="78"/>
  <c r="DY9" i="78"/>
  <c r="DR9" i="78"/>
  <c r="EM9" i="78"/>
  <c r="AC9" i="78"/>
  <c r="DJ24" i="78"/>
  <c r="DC24" i="78"/>
  <c r="DQ24" i="78"/>
  <c r="CV24" i="78"/>
  <c r="EL24" i="78"/>
  <c r="EE24" i="78"/>
  <c r="DX24" i="78"/>
  <c r="EL18" i="78"/>
  <c r="DQ18" i="78"/>
  <c r="CV18" i="78"/>
  <c r="EE18" i="78"/>
  <c r="DX18" i="78"/>
  <c r="DC18" i="78"/>
  <c r="DJ18" i="78"/>
  <c r="EE25" i="78"/>
  <c r="DC25" i="78"/>
  <c r="CV25" i="78"/>
  <c r="DJ25" i="78"/>
  <c r="EL25" i="78"/>
  <c r="DQ25" i="78"/>
  <c r="DX25" i="78"/>
  <c r="AC6" i="78"/>
  <c r="AB15" i="78"/>
  <c r="CW6" i="78"/>
  <c r="AB24" i="78"/>
  <c r="DD6" i="78"/>
  <c r="DK6" i="78"/>
  <c r="DR6" i="78"/>
  <c r="EM6" i="78"/>
  <c r="EF6" i="78"/>
  <c r="DY6" i="78"/>
  <c r="EE27" i="78"/>
  <c r="CV27" i="78"/>
  <c r="EL27" i="78"/>
  <c r="DQ27" i="78"/>
  <c r="DC27" i="78"/>
  <c r="DJ27" i="78"/>
  <c r="DX27" i="78"/>
  <c r="AC7" i="78"/>
  <c r="EF7" i="78"/>
  <c r="DY7" i="78"/>
  <c r="CW7" i="78"/>
  <c r="DR7" i="78"/>
  <c r="DK7" i="78"/>
  <c r="AB25" i="78"/>
  <c r="DD7" i="78"/>
  <c r="AB16" i="78"/>
  <c r="EM7" i="78"/>
  <c r="EK28" i="78"/>
  <c r="DI28" i="78"/>
  <c r="DP28" i="78"/>
  <c r="DB28" i="78"/>
  <c r="DW28" i="78"/>
  <c r="CU28" i="78"/>
  <c r="ED28" i="78"/>
  <c r="EK19" i="78"/>
  <c r="DP19" i="78"/>
  <c r="DW19" i="78"/>
  <c r="ED19" i="78"/>
  <c r="DI19" i="78"/>
  <c r="CU19" i="78"/>
  <c r="DB19" i="78"/>
  <c r="DX16" i="78"/>
  <c r="CV16" i="78"/>
  <c r="DJ16" i="78"/>
  <c r="DC16" i="78"/>
  <c r="EL16" i="78"/>
  <c r="EE16" i="78"/>
  <c r="DQ16" i="78"/>
  <c r="EE10" i="78"/>
  <c r="DC10" i="78"/>
  <c r="AB10" i="78"/>
  <c r="CV10" i="78"/>
  <c r="AA19" i="78"/>
  <c r="DJ10" i="78"/>
  <c r="DX10" i="78"/>
  <c r="AA28" i="78"/>
  <c r="DQ10" i="78"/>
  <c r="EL10" i="78"/>
  <c r="DQ15" i="78"/>
  <c r="EE15" i="78"/>
  <c r="DC15" i="78"/>
  <c r="EL15" i="78"/>
  <c r="CV15" i="78"/>
  <c r="DJ15" i="78"/>
  <c r="DX15" i="78"/>
  <c r="AU219" i="113"/>
  <c r="R223" i="113"/>
  <c r="BB110" i="64"/>
  <c r="BO211" i="113"/>
  <c r="AM113" i="64"/>
  <c r="AF223" i="113"/>
  <c r="Z212" i="113"/>
  <c r="BN223" i="113"/>
  <c r="AG109" i="64"/>
  <c r="AG212" i="113"/>
  <c r="AF215" i="113"/>
  <c r="M219" i="113"/>
  <c r="Z109" i="64"/>
  <c r="S214" i="113"/>
  <c r="AG222" i="113"/>
  <c r="AU109" i="64"/>
  <c r="AN109" i="64"/>
  <c r="BB109" i="64"/>
  <c r="BA215" i="113"/>
  <c r="S110" i="64"/>
  <c r="AN212" i="113"/>
  <c r="BN215" i="113"/>
  <c r="AG219" i="113"/>
  <c r="BB212" i="113"/>
  <c r="S112" i="64"/>
  <c r="BO222" i="113"/>
  <c r="Z110" i="64"/>
  <c r="M222" i="113"/>
  <c r="AN219" i="113"/>
  <c r="S222" i="113"/>
  <c r="AG214" i="113"/>
  <c r="AU211" i="113"/>
  <c r="AU220" i="113"/>
  <c r="M220" i="113"/>
  <c r="Z222" i="113"/>
  <c r="AN112" i="64"/>
  <c r="AM215" i="113"/>
  <c r="Y215" i="113"/>
  <c r="L215" i="113"/>
  <c r="Z214" i="113"/>
  <c r="AN220" i="113"/>
  <c r="Z211" i="113"/>
  <c r="AU214" i="113"/>
  <c r="BO212" i="113"/>
  <c r="AN110" i="64"/>
  <c r="M112" i="64"/>
  <c r="Z219" i="113"/>
  <c r="AN214" i="113"/>
  <c r="BB220" i="113"/>
  <c r="AN222" i="113"/>
  <c r="BB222" i="113"/>
  <c r="M211" i="113"/>
  <c r="Z220" i="113"/>
  <c r="S219" i="113"/>
  <c r="AF113" i="64"/>
  <c r="R215" i="113"/>
  <c r="Y113" i="64"/>
  <c r="BB211" i="113"/>
  <c r="AU110" i="64"/>
  <c r="BO219" i="113"/>
  <c r="BA223" i="113"/>
  <c r="BB112" i="64"/>
  <c r="Z112" i="64"/>
  <c r="Y223" i="113"/>
  <c r="AG211" i="113"/>
  <c r="M109" i="64"/>
  <c r="S109" i="64"/>
  <c r="AT215" i="113"/>
  <c r="M212" i="113"/>
  <c r="AG110" i="64"/>
  <c r="AU212" i="113"/>
  <c r="M110" i="64"/>
  <c r="L223" i="113"/>
  <c r="L113" i="64"/>
  <c r="AU112" i="64"/>
  <c r="S211" i="113"/>
  <c r="AM223" i="113"/>
  <c r="BB219" i="113"/>
  <c r="AG220" i="113"/>
  <c r="S220" i="113"/>
  <c r="S212" i="113"/>
  <c r="AN211" i="113"/>
  <c r="AT113" i="64"/>
  <c r="BO220" i="113"/>
  <c r="AU222" i="113"/>
  <c r="AG112" i="64"/>
  <c r="BB214" i="113"/>
  <c r="BA113" i="64"/>
  <c r="BO214" i="113"/>
  <c r="M214" i="113"/>
  <c r="R113" i="64"/>
  <c r="AT223" i="113"/>
  <c r="BD109" i="64" l="1"/>
  <c r="BD112" i="64"/>
  <c r="BD110" i="64"/>
  <c r="DK27" i="78"/>
  <c r="DY27" i="78"/>
  <c r="DD27" i="78"/>
  <c r="DR27" i="78"/>
  <c r="CW27" i="78"/>
  <c r="EF27" i="78"/>
  <c r="EM27" i="78"/>
  <c r="DX28" i="78"/>
  <c r="DJ28" i="78"/>
  <c r="DQ28" i="78"/>
  <c r="EL28" i="78"/>
  <c r="EE28" i="78"/>
  <c r="CV28" i="78"/>
  <c r="DC28" i="78"/>
  <c r="DR18" i="78"/>
  <c r="CW18" i="78"/>
  <c r="EF18" i="78"/>
  <c r="DK18" i="78"/>
  <c r="DD18" i="78"/>
  <c r="EM18" i="78"/>
  <c r="DY18" i="78"/>
  <c r="EE19" i="78"/>
  <c r="DX19" i="78"/>
  <c r="DC19" i="78"/>
  <c r="CV19" i="78"/>
  <c r="EL19" i="78"/>
  <c r="DQ19" i="78"/>
  <c r="DJ19" i="78"/>
  <c r="DY24" i="78"/>
  <c r="EF24" i="78"/>
  <c r="DD24" i="78"/>
  <c r="CW24" i="78"/>
  <c r="EM24" i="78"/>
  <c r="DK24" i="78"/>
  <c r="DR24" i="78"/>
  <c r="EO9" i="78"/>
  <c r="DL9" i="78"/>
  <c r="AC27" i="78"/>
  <c r="EG9" i="78"/>
  <c r="DS9" i="78"/>
  <c r="ES9" i="78" s="1"/>
  <c r="EN9" i="78"/>
  <c r="CX9" i="78"/>
  <c r="AC18" i="78"/>
  <c r="EO18" i="78" s="1"/>
  <c r="DZ9" i="78"/>
  <c r="DE9" i="78"/>
  <c r="DD10" i="78"/>
  <c r="DR10" i="78"/>
  <c r="DY10" i="78"/>
  <c r="AB28" i="78"/>
  <c r="CW10" i="78"/>
  <c r="EM10" i="78"/>
  <c r="AB19" i="78"/>
  <c r="AC10" i="78"/>
  <c r="DK10" i="78"/>
  <c r="EF10" i="78"/>
  <c r="DR16" i="78"/>
  <c r="DK16" i="78"/>
  <c r="EM16" i="78"/>
  <c r="DD16" i="78"/>
  <c r="EF16" i="78"/>
  <c r="DY16" i="78"/>
  <c r="CW16" i="78"/>
  <c r="EN7" i="78"/>
  <c r="AC16" i="78"/>
  <c r="DS7" i="78"/>
  <c r="ES7" i="78" s="1"/>
  <c r="DE7" i="78"/>
  <c r="DL7" i="78"/>
  <c r="ER7" i="78" s="1"/>
  <c r="AC25" i="78"/>
  <c r="DZ7" i="78"/>
  <c r="EG7" i="78"/>
  <c r="EU7" i="78" s="1"/>
  <c r="CX7" i="78"/>
  <c r="EO7" i="78"/>
  <c r="EV9" i="78"/>
  <c r="DD15" i="78"/>
  <c r="EM15" i="78"/>
  <c r="EF15" i="78"/>
  <c r="DY15" i="78"/>
  <c r="DK15" i="78"/>
  <c r="CW15" i="78"/>
  <c r="DR15" i="78"/>
  <c r="DY25" i="78"/>
  <c r="DR25" i="78"/>
  <c r="DK25" i="78"/>
  <c r="CW25" i="78"/>
  <c r="EF25" i="78"/>
  <c r="EM25" i="78"/>
  <c r="DD25" i="78"/>
  <c r="CX6" i="78"/>
  <c r="EP6" i="78" s="1"/>
  <c r="AC24" i="78"/>
  <c r="EO24" i="78" s="1"/>
  <c r="EN6" i="78"/>
  <c r="DZ6" i="78"/>
  <c r="DE6" i="78"/>
  <c r="DS6" i="78"/>
  <c r="ES6" i="78" s="1"/>
  <c r="AC15" i="78"/>
  <c r="DL6" i="78"/>
  <c r="ER6" i="78" s="1"/>
  <c r="EG6" i="78"/>
  <c r="EU6" i="78" s="1"/>
  <c r="EO6" i="78"/>
  <c r="AG113" i="64"/>
  <c r="BE109" i="64"/>
  <c r="AA219" i="113"/>
  <c r="T112" i="64"/>
  <c r="BP219" i="113"/>
  <c r="BP211" i="113"/>
  <c r="S223" i="113"/>
  <c r="AN215" i="113"/>
  <c r="BO215" i="113"/>
  <c r="AH214" i="113"/>
  <c r="BP220" i="113"/>
  <c r="AA214" i="113"/>
  <c r="BH110" i="64"/>
  <c r="N214" i="113"/>
  <c r="N219" i="113"/>
  <c r="AO219" i="113"/>
  <c r="AA112" i="64"/>
  <c r="AV211" i="113"/>
  <c r="AV214" i="113"/>
  <c r="AA110" i="64"/>
  <c r="AO222" i="113"/>
  <c r="T211" i="113"/>
  <c r="BH109" i="64"/>
  <c r="AA212" i="113"/>
  <c r="Z223" i="113"/>
  <c r="AG215" i="113"/>
  <c r="S215" i="113"/>
  <c r="BB223" i="113"/>
  <c r="BJ110" i="64"/>
  <c r="AO214" i="113"/>
  <c r="AV112" i="64"/>
  <c r="AU215" i="113"/>
  <c r="BJ109" i="64"/>
  <c r="N220" i="113"/>
  <c r="AA109" i="64"/>
  <c r="AH211" i="113"/>
  <c r="T219" i="113"/>
  <c r="BC214" i="113"/>
  <c r="BC220" i="113"/>
  <c r="AU223" i="113"/>
  <c r="AH219" i="113"/>
  <c r="AH112" i="64"/>
  <c r="T222" i="113"/>
  <c r="BP212" i="113"/>
  <c r="BC222" i="113"/>
  <c r="AA220" i="113"/>
  <c r="BK112" i="64"/>
  <c r="M113" i="64"/>
  <c r="BB113" i="64"/>
  <c r="AO211" i="113"/>
  <c r="AG223" i="113"/>
  <c r="AV220" i="113"/>
  <c r="AV222" i="113"/>
  <c r="AV109" i="64"/>
  <c r="AA211" i="113"/>
  <c r="AA222" i="113"/>
  <c r="T212" i="113"/>
  <c r="M223" i="113"/>
  <c r="BP214" i="113"/>
  <c r="T220" i="113"/>
  <c r="T214" i="113"/>
  <c r="BH112" i="64"/>
  <c r="N212" i="113"/>
  <c r="AH212" i="113"/>
  <c r="AH220" i="113"/>
  <c r="T110" i="64"/>
  <c r="AO112" i="64"/>
  <c r="M215" i="113"/>
  <c r="Z113" i="64"/>
  <c r="T109" i="64"/>
  <c r="BP222" i="113"/>
  <c r="AU113" i="64"/>
  <c r="BC212" i="113"/>
  <c r="AN113" i="64"/>
  <c r="AO110" i="64"/>
  <c r="BG109" i="64"/>
  <c r="AH222" i="113"/>
  <c r="AV110" i="64"/>
  <c r="BC211" i="113"/>
  <c r="AV212" i="113"/>
  <c r="S113" i="64"/>
  <c r="AO212" i="113"/>
  <c r="AH110" i="64"/>
  <c r="BG110" i="64"/>
  <c r="BB215" i="113"/>
  <c r="Z215" i="113"/>
  <c r="BC219" i="113"/>
  <c r="AV219" i="113"/>
  <c r="AN223" i="113"/>
  <c r="AO109" i="64"/>
  <c r="BO223" i="113"/>
  <c r="BC110" i="64"/>
  <c r="AH109" i="64"/>
  <c r="BC112" i="64"/>
  <c r="AO220" i="113"/>
  <c r="N222" i="113"/>
  <c r="BC109" i="64"/>
  <c r="N211" i="113"/>
  <c r="M21" i="78" l="1"/>
  <c r="N12" i="78"/>
  <c r="BR212" i="113"/>
  <c r="BR219" i="113"/>
  <c r="BR220" i="113"/>
  <c r="BR214" i="113"/>
  <c r="BR211" i="113"/>
  <c r="BR222" i="113"/>
  <c r="BD113" i="64"/>
  <c r="EV7" i="78"/>
  <c r="ET6" i="78"/>
  <c r="EP9" i="78"/>
  <c r="EQ6" i="78"/>
  <c r="EP7" i="78"/>
  <c r="DL18" i="78"/>
  <c r="ER18" i="78" s="1"/>
  <c r="EN18" i="78"/>
  <c r="DZ18" i="78"/>
  <c r="DE18" i="78"/>
  <c r="EQ18" i="78" s="1"/>
  <c r="CX18" i="78"/>
  <c r="EP18" i="78" s="1"/>
  <c r="DS18" i="78"/>
  <c r="EG18" i="78"/>
  <c r="EV6" i="78"/>
  <c r="ET7" i="78"/>
  <c r="DD28" i="78"/>
  <c r="EF28" i="78"/>
  <c r="DY28" i="78"/>
  <c r="DK28" i="78"/>
  <c r="CW28" i="78"/>
  <c r="DR28" i="78"/>
  <c r="EM28" i="78"/>
  <c r="EG24" i="78"/>
  <c r="EU24" i="78" s="1"/>
  <c r="DZ24" i="78"/>
  <c r="DE24" i="78"/>
  <c r="EN24" i="78"/>
  <c r="DL24" i="78"/>
  <c r="DS24" i="78"/>
  <c r="CX24" i="78"/>
  <c r="EP24" i="78" s="1"/>
  <c r="EO10" i="78"/>
  <c r="AC28" i="78"/>
  <c r="DL10" i="78"/>
  <c r="DE10" i="78"/>
  <c r="AC19" i="78"/>
  <c r="EO19" i="78" s="1"/>
  <c r="DZ10" i="78"/>
  <c r="EG10" i="78"/>
  <c r="DS10" i="78"/>
  <c r="ES10" i="78" s="1"/>
  <c r="CX10" i="78"/>
  <c r="EN10" i="78"/>
  <c r="EO16" i="78"/>
  <c r="DE16" i="78"/>
  <c r="EN16" i="78"/>
  <c r="CX16" i="78"/>
  <c r="DL16" i="78"/>
  <c r="ER16" i="78" s="1"/>
  <c r="DS16" i="78"/>
  <c r="EG16" i="78"/>
  <c r="DZ16" i="78"/>
  <c r="ET9" i="78"/>
  <c r="DY19" i="78"/>
  <c r="DD19" i="78"/>
  <c r="DK19" i="78"/>
  <c r="EF19" i="78"/>
  <c r="DR19" i="78"/>
  <c r="EM19" i="78"/>
  <c r="CW19" i="78"/>
  <c r="EU9" i="78"/>
  <c r="DE25" i="78"/>
  <c r="EQ25" i="78" s="1"/>
  <c r="DS25" i="78"/>
  <c r="EN25" i="78"/>
  <c r="DZ25" i="78"/>
  <c r="EG25" i="78"/>
  <c r="CX25" i="78"/>
  <c r="EP25" i="78" s="1"/>
  <c r="DL25" i="78"/>
  <c r="EO25" i="78"/>
  <c r="EQ7" i="78"/>
  <c r="DE27" i="78"/>
  <c r="CX27" i="78"/>
  <c r="EP27" i="78" s="1"/>
  <c r="DL27" i="78"/>
  <c r="DZ27" i="78"/>
  <c r="DS27" i="78"/>
  <c r="EN27" i="78"/>
  <c r="EG27" i="78"/>
  <c r="EO27" i="78"/>
  <c r="EX9" i="78" s="1"/>
  <c r="DS15" i="78"/>
  <c r="EN15" i="78"/>
  <c r="CX15" i="78"/>
  <c r="DZ15" i="78"/>
  <c r="EG15" i="78"/>
  <c r="DE15" i="78"/>
  <c r="DL15" i="78"/>
  <c r="EO15" i="78"/>
  <c r="EQ9" i="78"/>
  <c r="ER9" i="78"/>
  <c r="AI219" i="113"/>
  <c r="BT220" i="113"/>
  <c r="U220" i="113"/>
  <c r="BF110" i="64"/>
  <c r="BQ214" i="113"/>
  <c r="AI222" i="113"/>
  <c r="AP211" i="113"/>
  <c r="BK109" i="64"/>
  <c r="AW219" i="113"/>
  <c r="AW220" i="113"/>
  <c r="BQ212" i="113"/>
  <c r="T215" i="113"/>
  <c r="BF112" i="64"/>
  <c r="U212" i="113"/>
  <c r="AV223" i="113"/>
  <c r="AV113" i="64"/>
  <c r="AP220" i="113"/>
  <c r="BT214" i="113"/>
  <c r="BS214" i="113"/>
  <c r="AH223" i="113"/>
  <c r="BF109" i="64"/>
  <c r="BQ219" i="113"/>
  <c r="AB220" i="113"/>
  <c r="BQ211" i="113"/>
  <c r="AW212" i="113"/>
  <c r="BD211" i="113"/>
  <c r="AI214" i="113"/>
  <c r="AA223" i="113"/>
  <c r="U219" i="113"/>
  <c r="N215" i="113"/>
  <c r="BC223" i="113"/>
  <c r="AV215" i="113"/>
  <c r="BC215" i="113"/>
  <c r="AW211" i="113"/>
  <c r="AP212" i="113"/>
  <c r="BS220" i="113"/>
  <c r="AH215" i="113"/>
  <c r="AW222" i="113"/>
  <c r="T223" i="113"/>
  <c r="AH113" i="64"/>
  <c r="AB219" i="113"/>
  <c r="BU214" i="113"/>
  <c r="AI220" i="113"/>
  <c r="BE112" i="64"/>
  <c r="U222" i="113"/>
  <c r="BQ220" i="113"/>
  <c r="BP215" i="113"/>
  <c r="BG112" i="64"/>
  <c r="BI112" i="64"/>
  <c r="BI110" i="64"/>
  <c r="BS219" i="113"/>
  <c r="BD222" i="113"/>
  <c r="AP219" i="113"/>
  <c r="AO223" i="113"/>
  <c r="BJ112" i="64"/>
  <c r="BD212" i="113"/>
  <c r="BE110" i="64"/>
  <c r="BK110" i="64"/>
  <c r="AI211" i="113"/>
  <c r="AP222" i="113"/>
  <c r="BC113" i="64"/>
  <c r="BQ222" i="113"/>
  <c r="AA215" i="113"/>
  <c r="BU212" i="113"/>
  <c r="AW214" i="113"/>
  <c r="AO215" i="113"/>
  <c r="AA113" i="64"/>
  <c r="BH113" i="64"/>
  <c r="AI212" i="113"/>
  <c r="BD220" i="113"/>
  <c r="AB214" i="113"/>
  <c r="U211" i="113"/>
  <c r="U214" i="113"/>
  <c r="BD214" i="113"/>
  <c r="AB211" i="113"/>
  <c r="AB222" i="113"/>
  <c r="N223" i="113"/>
  <c r="BS222" i="113"/>
  <c r="BX219" i="113"/>
  <c r="BI109" i="64"/>
  <c r="T113" i="64"/>
  <c r="AP214" i="113"/>
  <c r="BP223" i="113"/>
  <c r="BD219" i="113"/>
  <c r="AO113" i="64"/>
  <c r="AB212" i="113"/>
  <c r="N21" i="78" l="1"/>
  <c r="BI21" i="78" s="1"/>
  <c r="BJ21" i="78" s="1"/>
  <c r="BK21" i="78" s="1"/>
  <c r="BL21" i="78" s="1"/>
  <c r="BM21" i="78" s="1"/>
  <c r="BN21" i="78" s="1"/>
  <c r="BO21" i="78" s="1"/>
  <c r="N30" i="78"/>
  <c r="M30" i="78"/>
  <c r="BI12" i="78"/>
  <c r="BJ12" i="78" s="1"/>
  <c r="BK12" i="78" s="1"/>
  <c r="BL12" i="78" s="1"/>
  <c r="BM12" i="78" s="1"/>
  <c r="BN12" i="78" s="1"/>
  <c r="BO12" i="78" s="1"/>
  <c r="ES15" i="78"/>
  <c r="ES27" i="78"/>
  <c r="ES25" i="78"/>
  <c r="ES16" i="78"/>
  <c r="ES24" i="78"/>
  <c r="ES18" i="78"/>
  <c r="BR223" i="113"/>
  <c r="BR215" i="113"/>
  <c r="EV16" i="78"/>
  <c r="ER10" i="78"/>
  <c r="ET24" i="78"/>
  <c r="EV18" i="78"/>
  <c r="EU15" i="78"/>
  <c r="EU27" i="78"/>
  <c r="ET25" i="78"/>
  <c r="EQ16" i="78"/>
  <c r="EZ7" i="78" s="1"/>
  <c r="EV10" i="78"/>
  <c r="DL28" i="78"/>
  <c r="ER28" i="78" s="1"/>
  <c r="EG28" i="78"/>
  <c r="EU28" i="78" s="1"/>
  <c r="DZ28" i="78"/>
  <c r="CX28" i="78"/>
  <c r="EP28" i="78" s="1"/>
  <c r="DS28" i="78"/>
  <c r="EN28" i="78"/>
  <c r="EV28" i="78" s="1"/>
  <c r="DE28" i="78"/>
  <c r="EO28" i="78"/>
  <c r="EX10" i="78" s="1"/>
  <c r="ET15" i="78"/>
  <c r="EV27" i="78"/>
  <c r="EV25" i="78"/>
  <c r="EP10" i="78"/>
  <c r="CX19" i="78"/>
  <c r="EN19" i="78"/>
  <c r="EG19" i="78"/>
  <c r="EU19" i="78" s="1"/>
  <c r="DL19" i="78"/>
  <c r="DS19" i="78"/>
  <c r="DZ19" i="78"/>
  <c r="DE19" i="78"/>
  <c r="EQ27" i="78"/>
  <c r="EZ9" i="78" s="1"/>
  <c r="EQ24" i="78"/>
  <c r="ET18" i="78"/>
  <c r="EP15" i="78"/>
  <c r="EU25" i="78"/>
  <c r="ET16" i="78"/>
  <c r="EU18" i="78"/>
  <c r="EQ10" i="78"/>
  <c r="EV15" i="78"/>
  <c r="EU16" i="78"/>
  <c r="EX6" i="78"/>
  <c r="EV24" i="78"/>
  <c r="EY9" i="78"/>
  <c r="ER15" i="78"/>
  <c r="ER25" i="78"/>
  <c r="FA7" i="78" s="1"/>
  <c r="ET27" i="78"/>
  <c r="EU10" i="78"/>
  <c r="EQ15" i="78"/>
  <c r="ER27" i="78"/>
  <c r="ET10" i="78"/>
  <c r="ER24" i="78"/>
  <c r="EX7" i="78"/>
  <c r="EP16" i="78"/>
  <c r="EY7" i="78" s="1"/>
  <c r="BI113" i="64"/>
  <c r="BY212" i="113"/>
  <c r="BU223" i="113"/>
  <c r="BD223" i="113"/>
  <c r="AP223" i="113"/>
  <c r="BU211" i="113"/>
  <c r="BW220" i="113"/>
  <c r="BE113" i="64"/>
  <c r="BY211" i="113"/>
  <c r="AI223" i="113"/>
  <c r="AW215" i="113"/>
  <c r="BU220" i="113"/>
  <c r="AI215" i="113"/>
  <c r="BW214" i="113"/>
  <c r="BY223" i="113"/>
  <c r="BX215" i="113"/>
  <c r="U223" i="113"/>
  <c r="BV220" i="113"/>
  <c r="BV214" i="113"/>
  <c r="BS211" i="113"/>
  <c r="BX211" i="113"/>
  <c r="BY222" i="113"/>
  <c r="BW222" i="113"/>
  <c r="BX214" i="113"/>
  <c r="BS223" i="113"/>
  <c r="BD215" i="113"/>
  <c r="BW211" i="113"/>
  <c r="BQ223" i="113"/>
  <c r="BX223" i="113"/>
  <c r="BT222" i="113"/>
  <c r="BK113" i="64"/>
  <c r="BQ215" i="113"/>
  <c r="BV219" i="113"/>
  <c r="BW219" i="113"/>
  <c r="BW212" i="113"/>
  <c r="BY214" i="113"/>
  <c r="BV212" i="113"/>
  <c r="BJ113" i="64"/>
  <c r="BY220" i="113"/>
  <c r="BX220" i="113"/>
  <c r="BT219" i="113"/>
  <c r="AP215" i="113"/>
  <c r="BS212" i="113"/>
  <c r="BX212" i="113"/>
  <c r="BU222" i="113"/>
  <c r="BT212" i="113"/>
  <c r="BU219" i="113"/>
  <c r="AW223" i="113"/>
  <c r="BG113" i="64"/>
  <c r="BT211" i="113"/>
  <c r="BF113" i="64"/>
  <c r="BV211" i="113"/>
  <c r="U215" i="113"/>
  <c r="BY219" i="113"/>
  <c r="BV222" i="113"/>
  <c r="BX222" i="113"/>
  <c r="AB223" i="113"/>
  <c r="AB215" i="113"/>
  <c r="BI30" i="78" l="1"/>
  <c r="BJ30" i="78" s="1"/>
  <c r="BK30" i="78" s="1"/>
  <c r="BL30" i="78" s="1"/>
  <c r="BM30" i="78" s="1"/>
  <c r="BN30" i="78" s="1"/>
  <c r="BO30" i="78" s="1"/>
  <c r="EZ6" i="78"/>
  <c r="FB9" i="78"/>
  <c r="FC7" i="78"/>
  <c r="FC6" i="78"/>
  <c r="FB7" i="78"/>
  <c r="FD9" i="78"/>
  <c r="FB6" i="78"/>
  <c r="ES19" i="78"/>
  <c r="ES28" i="78"/>
  <c r="EY6" i="78"/>
  <c r="ER19" i="78"/>
  <c r="FA10" i="78" s="1"/>
  <c r="EV19" i="78"/>
  <c r="FA6" i="78"/>
  <c r="EQ28" i="78"/>
  <c r="FD10" i="78"/>
  <c r="FD7" i="78"/>
  <c r="ET28" i="78"/>
  <c r="EQ19" i="78"/>
  <c r="FA9" i="78"/>
  <c r="FC9" i="78"/>
  <c r="EP19" i="78"/>
  <c r="ET19" i="78"/>
  <c r="FD6" i="78"/>
  <c r="BT223" i="113"/>
  <c r="BV223" i="113"/>
  <c r="BS215" i="113"/>
  <c r="BU215" i="113"/>
  <c r="BT215" i="113"/>
  <c r="BW215" i="113"/>
  <c r="BW223" i="113"/>
  <c r="BV215" i="113"/>
  <c r="BY215" i="113"/>
  <c r="G115" i="64"/>
  <c r="X12" i="78" l="1"/>
  <c r="FB10" i="78"/>
  <c r="EZ10" i="78"/>
  <c r="EY10" i="78"/>
  <c r="FC10" i="78"/>
  <c r="CY12" i="78"/>
  <c r="EH12" i="78"/>
  <c r="DT12" i="78"/>
  <c r="CR12" i="78"/>
  <c r="DF12" i="78"/>
  <c r="W30" i="78"/>
  <c r="EA12" i="78"/>
  <c r="W21" i="78"/>
  <c r="DM12" i="78"/>
  <c r="H225" i="113"/>
  <c r="H115" i="64"/>
  <c r="N115" i="64"/>
  <c r="AI115" i="64"/>
  <c r="AB115" i="64"/>
  <c r="U115" i="64"/>
  <c r="AP115" i="64"/>
  <c r="G116" i="64"/>
  <c r="H217" i="113"/>
  <c r="AW115" i="64"/>
  <c r="X13" i="78" l="1"/>
  <c r="G144" i="64"/>
  <c r="EA21" i="78"/>
  <c r="DF21" i="78"/>
  <c r="CR21" i="78"/>
  <c r="DM21" i="78"/>
  <c r="CY21" i="78"/>
  <c r="EH21" i="78"/>
  <c r="DT21" i="78"/>
  <c r="W22" i="78"/>
  <c r="DT13" i="78"/>
  <c r="DM13" i="78"/>
  <c r="CR13" i="78"/>
  <c r="CY13" i="78"/>
  <c r="EA13" i="78"/>
  <c r="EH13" i="78"/>
  <c r="W31" i="78"/>
  <c r="DF13" i="78"/>
  <c r="X21" i="78"/>
  <c r="EI12" i="78"/>
  <c r="DG12" i="78"/>
  <c r="X30" i="78"/>
  <c r="EB12" i="78"/>
  <c r="DN12" i="78"/>
  <c r="CZ12" i="78"/>
  <c r="CS12" i="78"/>
  <c r="DU12" i="78"/>
  <c r="Y12" i="78"/>
  <c r="Y12" i="132" s="1"/>
  <c r="EA30" i="78"/>
  <c r="CR30" i="78"/>
  <c r="CY30" i="78"/>
  <c r="DM30" i="78"/>
  <c r="DT30" i="78"/>
  <c r="EH30" i="78"/>
  <c r="DF30" i="78"/>
  <c r="AQ225" i="113"/>
  <c r="AC225" i="113"/>
  <c r="I115" i="64"/>
  <c r="I217" i="113"/>
  <c r="AJ225" i="113"/>
  <c r="U116" i="64"/>
  <c r="AJ115" i="64"/>
  <c r="AI116" i="64"/>
  <c r="BK225" i="113"/>
  <c r="AB116" i="64"/>
  <c r="AX225" i="113"/>
  <c r="N116" i="64"/>
  <c r="AX115" i="64"/>
  <c r="H226" i="113"/>
  <c r="AQ115" i="64"/>
  <c r="V115" i="64"/>
  <c r="I44" i="64"/>
  <c r="AX217" i="113"/>
  <c r="AJ217" i="113"/>
  <c r="AC115" i="64"/>
  <c r="H116" i="64"/>
  <c r="O217" i="113"/>
  <c r="AP116" i="64"/>
  <c r="BK217" i="113"/>
  <c r="I225" i="113"/>
  <c r="V225" i="113"/>
  <c r="AW116" i="64"/>
  <c r="O225" i="113"/>
  <c r="AQ217" i="113"/>
  <c r="O115" i="64"/>
  <c r="V217" i="113"/>
  <c r="H218" i="113"/>
  <c r="AC217" i="113"/>
  <c r="Y32" i="132" l="1"/>
  <c r="Y22" i="132"/>
  <c r="BK12" i="132"/>
  <c r="DH12" i="132" s="1"/>
  <c r="DO12" i="132"/>
  <c r="CT12" i="132"/>
  <c r="DV12" i="132"/>
  <c r="EC12" i="132"/>
  <c r="DA12" i="132"/>
  <c r="EJ12" i="132"/>
  <c r="Y10" i="132"/>
  <c r="G149" i="64"/>
  <c r="I14" i="71"/>
  <c r="H284" i="113"/>
  <c r="AW144" i="64"/>
  <c r="AP144" i="64"/>
  <c r="U144" i="64"/>
  <c r="U149" i="64" s="1"/>
  <c r="H144" i="64"/>
  <c r="N144" i="64"/>
  <c r="N149" i="64" s="1"/>
  <c r="AI144" i="64"/>
  <c r="AB144" i="64"/>
  <c r="AB149" i="64" s="1"/>
  <c r="H268" i="113"/>
  <c r="CR31" i="78"/>
  <c r="EA31" i="78"/>
  <c r="DF31" i="78"/>
  <c r="DM31" i="78"/>
  <c r="EH31" i="78"/>
  <c r="CY31" i="78"/>
  <c r="DT31" i="78"/>
  <c r="DN30" i="78"/>
  <c r="CZ30" i="78"/>
  <c r="EB30" i="78"/>
  <c r="CS30" i="78"/>
  <c r="EI30" i="78"/>
  <c r="DU30" i="78"/>
  <c r="DG30" i="78"/>
  <c r="DU13" i="78"/>
  <c r="CZ13" i="78"/>
  <c r="X22" i="78"/>
  <c r="DN13" i="78"/>
  <c r="EB13" i="78"/>
  <c r="CS13" i="78"/>
  <c r="EI13" i="78"/>
  <c r="DG13" i="78"/>
  <c r="X31" i="78"/>
  <c r="Y13" i="78"/>
  <c r="EJ12" i="78"/>
  <c r="DO12" i="78"/>
  <c r="DA12" i="78"/>
  <c r="DH12" i="78"/>
  <c r="Z12" i="78"/>
  <c r="Z12" i="132" s="1"/>
  <c r="CT12" i="78"/>
  <c r="Y30" i="78"/>
  <c r="EC12" i="78"/>
  <c r="Y21" i="78"/>
  <c r="DV12" i="78"/>
  <c r="CZ21" i="78"/>
  <c r="CS21" i="78"/>
  <c r="DG21" i="78"/>
  <c r="EB21" i="78"/>
  <c r="DU21" i="78"/>
  <c r="DN21" i="78"/>
  <c r="EI21" i="78"/>
  <c r="DT22" i="78"/>
  <c r="DM22" i="78"/>
  <c r="CR22" i="78"/>
  <c r="CY22" i="78"/>
  <c r="EA22" i="78"/>
  <c r="DF22" i="78"/>
  <c r="EH22" i="78"/>
  <c r="J75" i="113"/>
  <c r="P217" i="113"/>
  <c r="AY217" i="113"/>
  <c r="AD217" i="113"/>
  <c r="AC218" i="113"/>
  <c r="AY225" i="113"/>
  <c r="AY115" i="64"/>
  <c r="J44" i="64"/>
  <c r="AR44" i="64"/>
  <c r="AD115" i="64"/>
  <c r="BK218" i="113"/>
  <c r="AQ218" i="113"/>
  <c r="I218" i="113"/>
  <c r="P44" i="64"/>
  <c r="W44" i="64"/>
  <c r="P115" i="64"/>
  <c r="AQ116" i="64"/>
  <c r="J225" i="113"/>
  <c r="BL225" i="113"/>
  <c r="AX226" i="113"/>
  <c r="P225" i="113"/>
  <c r="AX116" i="64"/>
  <c r="AQ226" i="113"/>
  <c r="AJ218" i="113"/>
  <c r="V226" i="113"/>
  <c r="J115" i="64"/>
  <c r="AK44" i="64"/>
  <c r="AC226" i="113"/>
  <c r="AK225" i="113"/>
  <c r="V116" i="64"/>
  <c r="AC116" i="64"/>
  <c r="W217" i="113"/>
  <c r="AY44" i="64"/>
  <c r="O226" i="113"/>
  <c r="AD225" i="113"/>
  <c r="AK115" i="64"/>
  <c r="AR225" i="113"/>
  <c r="AK217" i="113"/>
  <c r="AR217" i="113"/>
  <c r="J217" i="113"/>
  <c r="O116" i="64"/>
  <c r="AD44" i="64"/>
  <c r="BK226" i="113"/>
  <c r="BL217" i="113"/>
  <c r="I116" i="64"/>
  <c r="J84" i="113"/>
  <c r="AJ116" i="64"/>
  <c r="AX218" i="113"/>
  <c r="O218" i="113"/>
  <c r="AJ226" i="113"/>
  <c r="I42" i="64"/>
  <c r="V218" i="113"/>
  <c r="W115" i="64"/>
  <c r="I226" i="113"/>
  <c r="AR115" i="64"/>
  <c r="W225" i="113"/>
  <c r="BS144" i="64" l="1"/>
  <c r="BL144" i="64"/>
  <c r="Z10" i="132"/>
  <c r="Z22" i="132"/>
  <c r="BL12" i="132"/>
  <c r="DI12" i="132" s="1"/>
  <c r="Z32" i="132"/>
  <c r="DP12" i="132"/>
  <c r="ED12" i="132"/>
  <c r="CU12" i="132"/>
  <c r="DB12" i="132"/>
  <c r="DW12" i="132"/>
  <c r="EK12" i="132"/>
  <c r="Y20" i="132"/>
  <c r="BK10" i="132"/>
  <c r="DH10" i="132" s="1"/>
  <c r="EJ10" i="132"/>
  <c r="DV10" i="132"/>
  <c r="DO10" i="132"/>
  <c r="DA10" i="132"/>
  <c r="CT10" i="132"/>
  <c r="Y30" i="132"/>
  <c r="EC10" i="132"/>
  <c r="DV22" i="132"/>
  <c r="DA22" i="132"/>
  <c r="EC22" i="132"/>
  <c r="EJ22" i="132"/>
  <c r="CT22" i="132"/>
  <c r="BK22" i="132"/>
  <c r="DH22" i="132" s="1"/>
  <c r="DO22" i="132"/>
  <c r="EC32" i="132"/>
  <c r="DA32" i="132"/>
  <c r="DV32" i="132"/>
  <c r="EJ32" i="132"/>
  <c r="CT32" i="132"/>
  <c r="DO32" i="132"/>
  <c r="BK32" i="132"/>
  <c r="DH32" i="132" s="1"/>
  <c r="I54" i="71"/>
  <c r="H289" i="113"/>
  <c r="I21" i="71"/>
  <c r="H273" i="113"/>
  <c r="I34" i="71"/>
  <c r="AR14" i="71"/>
  <c r="AP149" i="64"/>
  <c r="AK14" i="71"/>
  <c r="AI149" i="64"/>
  <c r="AI154" i="64" s="1"/>
  <c r="AD14" i="71"/>
  <c r="H149" i="64"/>
  <c r="J14" i="71"/>
  <c r="O284" i="113"/>
  <c r="O289" i="113" s="1"/>
  <c r="AC268" i="113"/>
  <c r="AC273" i="113" s="1"/>
  <c r="O144" i="64"/>
  <c r="O149" i="64" s="1"/>
  <c r="AQ268" i="113"/>
  <c r="AQ144" i="64"/>
  <c r="AJ284" i="113"/>
  <c r="V268" i="113"/>
  <c r="V273" i="113" s="1"/>
  <c r="V284" i="113"/>
  <c r="V289" i="113" s="1"/>
  <c r="AX268" i="113"/>
  <c r="O268" i="113"/>
  <c r="I268" i="113"/>
  <c r="AX284" i="113"/>
  <c r="I144" i="64"/>
  <c r="V144" i="64"/>
  <c r="V149" i="64" s="1"/>
  <c r="AJ268" i="113"/>
  <c r="I284" i="113"/>
  <c r="AJ144" i="64"/>
  <c r="AC284" i="113"/>
  <c r="AC289" i="113" s="1"/>
  <c r="AX144" i="64"/>
  <c r="AC144" i="64"/>
  <c r="AC149" i="64" s="1"/>
  <c r="AQ284" i="113"/>
  <c r="X14" i="71"/>
  <c r="W14" i="71"/>
  <c r="DA30" i="78"/>
  <c r="DV30" i="78"/>
  <c r="CT30" i="78"/>
  <c r="DO30" i="78"/>
  <c r="EC30" i="78"/>
  <c r="DH30" i="78"/>
  <c r="EJ30" i="78"/>
  <c r="EK12" i="78"/>
  <c r="DB12" i="78"/>
  <c r="Z30" i="78"/>
  <c r="CU12" i="78"/>
  <c r="DW12" i="78"/>
  <c r="ED12" i="78"/>
  <c r="Z21" i="78"/>
  <c r="DP12" i="78"/>
  <c r="AA12" i="78"/>
  <c r="AA12" i="132" s="1"/>
  <c r="DI12" i="78"/>
  <c r="CS22" i="78"/>
  <c r="DN22" i="78"/>
  <c r="DU22" i="78"/>
  <c r="CZ22" i="78"/>
  <c r="EB22" i="78"/>
  <c r="EI22" i="78"/>
  <c r="DG22" i="78"/>
  <c r="EC13" i="78"/>
  <c r="CT13" i="78"/>
  <c r="Z13" i="78"/>
  <c r="DA13" i="78"/>
  <c r="Y31" i="78"/>
  <c r="DV13" i="78"/>
  <c r="DH13" i="78"/>
  <c r="EJ13" i="78"/>
  <c r="DO13" i="78"/>
  <c r="Y22" i="78"/>
  <c r="DO21" i="78"/>
  <c r="DV21" i="78"/>
  <c r="DH21" i="78"/>
  <c r="DA21" i="78"/>
  <c r="CT21" i="78"/>
  <c r="EJ21" i="78"/>
  <c r="EC21" i="78"/>
  <c r="DN31" i="78"/>
  <c r="DU31" i="78"/>
  <c r="EI31" i="78"/>
  <c r="CS31" i="78"/>
  <c r="CZ31" i="78"/>
  <c r="DG31" i="78"/>
  <c r="EB31" i="78"/>
  <c r="K84" i="113"/>
  <c r="AR42" i="64"/>
  <c r="AS44" i="64"/>
  <c r="J116" i="64"/>
  <c r="X84" i="113"/>
  <c r="Q44" i="64"/>
  <c r="J218" i="113"/>
  <c r="W116" i="64"/>
  <c r="AY42" i="64"/>
  <c r="AZ75" i="113"/>
  <c r="AK42" i="64"/>
  <c r="AR116" i="64"/>
  <c r="AE75" i="113"/>
  <c r="X225" i="113"/>
  <c r="AE217" i="113"/>
  <c r="AE225" i="113"/>
  <c r="AZ217" i="113"/>
  <c r="P116" i="64"/>
  <c r="AD116" i="64"/>
  <c r="J73" i="113"/>
  <c r="AZ84" i="113"/>
  <c r="AS84" i="113"/>
  <c r="AS115" i="64"/>
  <c r="K225" i="113"/>
  <c r="AE44" i="64"/>
  <c r="J226" i="113"/>
  <c r="AK116" i="64"/>
  <c r="X75" i="113"/>
  <c r="AL217" i="113"/>
  <c r="P226" i="113"/>
  <c r="Q75" i="113"/>
  <c r="X217" i="113"/>
  <c r="AS75" i="113"/>
  <c r="AK218" i="113"/>
  <c r="K115" i="64"/>
  <c r="Q225" i="113"/>
  <c r="Q115" i="64"/>
  <c r="AZ115" i="64"/>
  <c r="I38" i="64"/>
  <c r="AZ44" i="64"/>
  <c r="AZ225" i="113"/>
  <c r="AD42" i="64"/>
  <c r="W218" i="113"/>
  <c r="AD218" i="113"/>
  <c r="K44" i="64"/>
  <c r="Q84" i="113"/>
  <c r="AL44" i="64"/>
  <c r="AS217" i="113"/>
  <c r="AY226" i="113"/>
  <c r="W226" i="113"/>
  <c r="AE84" i="113"/>
  <c r="AD226" i="113"/>
  <c r="P218" i="113"/>
  <c r="X44" i="64"/>
  <c r="W42" i="64"/>
  <c r="AE115" i="64"/>
  <c r="AY116" i="64"/>
  <c r="AK226" i="113"/>
  <c r="BM225" i="113"/>
  <c r="AY218" i="113"/>
  <c r="P42" i="64"/>
  <c r="K75" i="113"/>
  <c r="BM217" i="113"/>
  <c r="AL75" i="113"/>
  <c r="AR218" i="113"/>
  <c r="BM84" i="113"/>
  <c r="X115" i="64"/>
  <c r="AL84" i="113"/>
  <c r="AS225" i="113"/>
  <c r="J42" i="64"/>
  <c r="BM75" i="113"/>
  <c r="AL225" i="113"/>
  <c r="J82" i="113"/>
  <c r="BL226" i="113"/>
  <c r="BL218" i="113"/>
  <c r="K217" i="113"/>
  <c r="AR226" i="113"/>
  <c r="AL115" i="64"/>
  <c r="Q217" i="113"/>
  <c r="BT144" i="64" l="1"/>
  <c r="BM144" i="64"/>
  <c r="AA10" i="132"/>
  <c r="I141" i="64"/>
  <c r="I149" i="64" s="1"/>
  <c r="AA22" i="132"/>
  <c r="AA32" i="132"/>
  <c r="DX12" i="132"/>
  <c r="EE12" i="132"/>
  <c r="CV12" i="132"/>
  <c r="DC12" i="132"/>
  <c r="DQ12" i="132"/>
  <c r="EL12" i="132"/>
  <c r="BM12" i="132"/>
  <c r="DJ12" i="132" s="1"/>
  <c r="CU32" i="132"/>
  <c r="BL32" i="132"/>
  <c r="DI32" i="132" s="1"/>
  <c r="DW32" i="132"/>
  <c r="EK32" i="132"/>
  <c r="ED32" i="132"/>
  <c r="DB32" i="132"/>
  <c r="DP32" i="132"/>
  <c r="DO6" i="132"/>
  <c r="DV6" i="132"/>
  <c r="EJ6" i="132"/>
  <c r="CT6" i="132"/>
  <c r="Z6" i="132"/>
  <c r="DA6" i="132"/>
  <c r="BK6" i="132"/>
  <c r="DH6" i="132" s="1"/>
  <c r="Y16" i="132"/>
  <c r="Y26" i="132"/>
  <c r="EC6" i="132"/>
  <c r="Y36" i="132"/>
  <c r="DB22" i="132"/>
  <c r="DW22" i="132"/>
  <c r="ED22" i="132"/>
  <c r="EK22" i="132"/>
  <c r="CU22" i="132"/>
  <c r="BL22" i="132"/>
  <c r="DI22" i="132" s="1"/>
  <c r="DP22" i="132"/>
  <c r="EJ30" i="132"/>
  <c r="DA30" i="132"/>
  <c r="CT30" i="132"/>
  <c r="BK30" i="132"/>
  <c r="DH30" i="132" s="1"/>
  <c r="DO30" i="132"/>
  <c r="EC30" i="132"/>
  <c r="DV30" i="132"/>
  <c r="BK20" i="132"/>
  <c r="DH20" i="132" s="1"/>
  <c r="DV20" i="132"/>
  <c r="DO20" i="132"/>
  <c r="EJ20" i="132"/>
  <c r="EC20" i="132"/>
  <c r="DA20" i="132"/>
  <c r="CT20" i="132"/>
  <c r="BL10" i="132"/>
  <c r="DI10" i="132" s="1"/>
  <c r="DW10" i="132"/>
  <c r="Z30" i="132"/>
  <c r="ED10" i="132"/>
  <c r="Z20" i="132"/>
  <c r="EK10" i="132"/>
  <c r="CU10" i="132"/>
  <c r="DP10" i="132"/>
  <c r="J34" i="71"/>
  <c r="AQ289" i="113"/>
  <c r="AK54" i="71"/>
  <c r="AR54" i="71"/>
  <c r="AJ289" i="113"/>
  <c r="AD54" i="71"/>
  <c r="AR34" i="71"/>
  <c r="AQ273" i="113"/>
  <c r="AK34" i="71"/>
  <c r="AJ273" i="113"/>
  <c r="AD34" i="71"/>
  <c r="I289" i="113"/>
  <c r="J54" i="71"/>
  <c r="I61" i="71"/>
  <c r="J21" i="71"/>
  <c r="AS14" i="71"/>
  <c r="AQ149" i="64"/>
  <c r="AL14" i="71"/>
  <c r="AK21" i="71"/>
  <c r="AJ149" i="64"/>
  <c r="AJ154" i="64" s="1"/>
  <c r="AE14" i="71"/>
  <c r="AD21" i="71"/>
  <c r="AD22" i="71" s="1"/>
  <c r="K14" i="71"/>
  <c r="AK284" i="113"/>
  <c r="J284" i="113"/>
  <c r="AY268" i="113"/>
  <c r="W144" i="64"/>
  <c r="AR268" i="113"/>
  <c r="J144" i="64"/>
  <c r="W268" i="113"/>
  <c r="W273" i="113" s="1"/>
  <c r="AR284" i="113"/>
  <c r="J268" i="113"/>
  <c r="P144" i="64"/>
  <c r="AK268" i="113"/>
  <c r="AD284" i="113"/>
  <c r="AD289" i="113" s="1"/>
  <c r="AR144" i="64"/>
  <c r="W284" i="113"/>
  <c r="W289" i="113" s="1"/>
  <c r="AY144" i="64"/>
  <c r="P268" i="113"/>
  <c r="P273" i="113" s="1"/>
  <c r="P284" i="113"/>
  <c r="P289" i="113" s="1"/>
  <c r="AD144" i="64"/>
  <c r="AY284" i="113"/>
  <c r="AK144" i="64"/>
  <c r="AD268" i="113"/>
  <c r="AD273" i="113" s="1"/>
  <c r="Y14" i="71"/>
  <c r="DV31" i="78"/>
  <c r="DH31" i="78"/>
  <c r="EJ31" i="78"/>
  <c r="CT31" i="78"/>
  <c r="DA31" i="78"/>
  <c r="EC31" i="78"/>
  <c r="DO31" i="78"/>
  <c r="AB12" i="78"/>
  <c r="AB12" i="132" s="1"/>
  <c r="EE12" i="78"/>
  <c r="DJ12" i="78"/>
  <c r="DX12" i="78"/>
  <c r="AA21" i="78"/>
  <c r="DC12" i="78"/>
  <c r="AA30" i="78"/>
  <c r="DQ12" i="78"/>
  <c r="EL12" i="78"/>
  <c r="CV12" i="78"/>
  <c r="Z31" i="78"/>
  <c r="ED13" i="78"/>
  <c r="DP13" i="78"/>
  <c r="DB13" i="78"/>
  <c r="EK13" i="78"/>
  <c r="AA13" i="78"/>
  <c r="DI13" i="78"/>
  <c r="DW13" i="78"/>
  <c r="CU13" i="78"/>
  <c r="Z22" i="78"/>
  <c r="DB21" i="78"/>
  <c r="CU21" i="78"/>
  <c r="DP21" i="78"/>
  <c r="EK21" i="78"/>
  <c r="DI21" i="78"/>
  <c r="DW21" i="78"/>
  <c r="ED21" i="78"/>
  <c r="I273" i="113"/>
  <c r="EC22" i="78"/>
  <c r="EJ22" i="78"/>
  <c r="DH22" i="78"/>
  <c r="DA22" i="78"/>
  <c r="DO22" i="78"/>
  <c r="CT22" i="78"/>
  <c r="DV22" i="78"/>
  <c r="X34" i="71"/>
  <c r="X54" i="71"/>
  <c r="W21" i="71"/>
  <c r="O273" i="113"/>
  <c r="DP30" i="78"/>
  <c r="EK30" i="78"/>
  <c r="DW30" i="78"/>
  <c r="ED30" i="78"/>
  <c r="DI30" i="78"/>
  <c r="CU30" i="78"/>
  <c r="DB30" i="78"/>
  <c r="W54" i="71"/>
  <c r="W34" i="71"/>
  <c r="AT75" i="113"/>
  <c r="R44" i="64"/>
  <c r="Q218" i="113"/>
  <c r="J69" i="113"/>
  <c r="AY38" i="64"/>
  <c r="AE42" i="64"/>
  <c r="AZ82" i="113"/>
  <c r="AL218" i="113"/>
  <c r="BN84" i="113"/>
  <c r="L217" i="113"/>
  <c r="Y225" i="113"/>
  <c r="K73" i="113"/>
  <c r="AM84" i="113"/>
  <c r="Q226" i="113"/>
  <c r="AT44" i="64"/>
  <c r="AF44" i="64"/>
  <c r="X73" i="113"/>
  <c r="Y115" i="64"/>
  <c r="AS82" i="113"/>
  <c r="AE218" i="113"/>
  <c r="AF217" i="113"/>
  <c r="AL42" i="64"/>
  <c r="AF115" i="64"/>
  <c r="K218" i="113"/>
  <c r="AZ116" i="64"/>
  <c r="R115" i="64"/>
  <c r="BN217" i="113"/>
  <c r="AD38" i="64"/>
  <c r="K82" i="113"/>
  <c r="Q73" i="113"/>
  <c r="AZ42" i="64"/>
  <c r="AZ226" i="113"/>
  <c r="X116" i="64"/>
  <c r="BA225" i="113"/>
  <c r="Y84" i="113"/>
  <c r="X82" i="113"/>
  <c r="K42" i="64"/>
  <c r="L225" i="113"/>
  <c r="BM226" i="113"/>
  <c r="AT115" i="64"/>
  <c r="BA115" i="64"/>
  <c r="AF225" i="113"/>
  <c r="AT84" i="113"/>
  <c r="AE226" i="113"/>
  <c r="K226" i="113"/>
  <c r="AL116" i="64"/>
  <c r="Y44" i="64"/>
  <c r="BM82" i="113"/>
  <c r="AS226" i="113"/>
  <c r="AT217" i="113"/>
  <c r="Q42" i="64"/>
  <c r="AS73" i="113"/>
  <c r="Q82" i="113"/>
  <c r="Q116" i="64"/>
  <c r="BM218" i="113"/>
  <c r="R217" i="113"/>
  <c r="W38" i="64"/>
  <c r="AL226" i="113"/>
  <c r="AL82" i="113"/>
  <c r="AM225" i="113"/>
  <c r="J78" i="113"/>
  <c r="AF84" i="113"/>
  <c r="BN225" i="113"/>
  <c r="AM75" i="113"/>
  <c r="R84" i="113"/>
  <c r="L115" i="64"/>
  <c r="AS42" i="64"/>
  <c r="AT225" i="113"/>
  <c r="AM44" i="64"/>
  <c r="AE82" i="113"/>
  <c r="AK38" i="64"/>
  <c r="AZ218" i="113"/>
  <c r="BA84" i="113"/>
  <c r="AS116" i="64"/>
  <c r="AE116" i="64"/>
  <c r="BA44" i="64"/>
  <c r="L75" i="113"/>
  <c r="AS218" i="113"/>
  <c r="R75" i="113"/>
  <c r="AE73" i="113"/>
  <c r="Y75" i="113"/>
  <c r="K116" i="64"/>
  <c r="R225" i="113"/>
  <c r="J38" i="64"/>
  <c r="L44" i="64"/>
  <c r="X226" i="113"/>
  <c r="AR38" i="64"/>
  <c r="BN75" i="113"/>
  <c r="BM73" i="113"/>
  <c r="X218" i="113"/>
  <c r="AL73" i="113"/>
  <c r="AF75" i="113"/>
  <c r="AM217" i="113"/>
  <c r="Y217" i="113"/>
  <c r="BA217" i="113"/>
  <c r="L84" i="113"/>
  <c r="P38" i="64"/>
  <c r="AZ73" i="113"/>
  <c r="BA75" i="113"/>
  <c r="AM115" i="64"/>
  <c r="BN144" i="64" l="1"/>
  <c r="AB10" i="132"/>
  <c r="J141" i="64"/>
  <c r="P141" i="64"/>
  <c r="P149" i="64" s="1"/>
  <c r="AR141" i="64"/>
  <c r="AY141" i="64"/>
  <c r="AT11" i="71" s="1"/>
  <c r="J281" i="113"/>
  <c r="K51" i="71" s="1"/>
  <c r="AK141" i="64"/>
  <c r="AF11" i="71" s="1"/>
  <c r="J265" i="113"/>
  <c r="K31" i="71" s="1"/>
  <c r="AD141" i="64"/>
  <c r="AD149" i="64" s="1"/>
  <c r="W141" i="64"/>
  <c r="W149" i="64" s="1"/>
  <c r="AB32" i="132"/>
  <c r="AB22" i="132"/>
  <c r="EF12" i="132"/>
  <c r="EM12" i="132"/>
  <c r="CW12" i="132"/>
  <c r="DD12" i="132"/>
  <c r="BN12" i="132"/>
  <c r="DK12" i="132" s="1"/>
  <c r="DY12" i="132"/>
  <c r="DR12" i="132"/>
  <c r="BL6" i="132"/>
  <c r="DI6" i="132" s="1"/>
  <c r="AA6" i="132"/>
  <c r="DB6" i="132"/>
  <c r="DW6" i="132"/>
  <c r="DP6" i="132"/>
  <c r="CU6" i="132"/>
  <c r="EK6" i="132"/>
  <c r="Z16" i="132"/>
  <c r="Z26" i="132"/>
  <c r="ED6" i="132"/>
  <c r="Z36" i="132"/>
  <c r="DB10" i="132" s="1"/>
  <c r="ED30" i="132"/>
  <c r="DB30" i="132"/>
  <c r="DP30" i="132"/>
  <c r="CU30" i="132"/>
  <c r="EK30" i="132"/>
  <c r="DW30" i="132"/>
  <c r="BL30" i="132"/>
  <c r="DI30" i="132" s="1"/>
  <c r="DX32" i="132"/>
  <c r="EE32" i="132"/>
  <c r="EL32" i="132"/>
  <c r="BM32" i="132"/>
  <c r="DJ32" i="132" s="1"/>
  <c r="DC32" i="132"/>
  <c r="CV32" i="132"/>
  <c r="DQ32" i="132"/>
  <c r="BK26" i="132"/>
  <c r="DH26" i="132" s="1"/>
  <c r="EC26" i="132"/>
  <c r="DV26" i="132"/>
  <c r="EJ26" i="132"/>
  <c r="DO26" i="132"/>
  <c r="CT26" i="132"/>
  <c r="DA26" i="132"/>
  <c r="CV22" i="132"/>
  <c r="BM22" i="132"/>
  <c r="DJ22" i="132" s="1"/>
  <c r="DC22" i="132"/>
  <c r="DX22" i="132"/>
  <c r="EL22" i="132"/>
  <c r="EE22" i="132"/>
  <c r="DQ22" i="132"/>
  <c r="BM10" i="132"/>
  <c r="DJ10" i="132" s="1"/>
  <c r="CV10" i="132"/>
  <c r="DC10" i="132"/>
  <c r="DQ10" i="132"/>
  <c r="EL10" i="132"/>
  <c r="DX10" i="132"/>
  <c r="AA20" i="132"/>
  <c r="AA30" i="132"/>
  <c r="EE10" i="132"/>
  <c r="EC16" i="132"/>
  <c r="DV16" i="132"/>
  <c r="DO16" i="132"/>
  <c r="EJ16" i="132"/>
  <c r="CT16" i="132"/>
  <c r="BK16" i="132"/>
  <c r="DH16" i="132" s="1"/>
  <c r="DA16" i="132"/>
  <c r="K11" i="71"/>
  <c r="K21" i="71" s="1"/>
  <c r="EK20" i="132"/>
  <c r="DB20" i="132"/>
  <c r="CU20" i="132"/>
  <c r="DP20" i="132"/>
  <c r="DW20" i="132"/>
  <c r="ED20" i="132"/>
  <c r="BL20" i="132"/>
  <c r="DI20" i="132" s="1"/>
  <c r="K34" i="71"/>
  <c r="J61" i="71"/>
  <c r="AS54" i="71"/>
  <c r="AK289" i="113"/>
  <c r="AE54" i="71"/>
  <c r="AE61" i="71" s="1"/>
  <c r="AR289" i="113"/>
  <c r="AL54" i="71"/>
  <c r="AL61" i="71" s="1"/>
  <c r="AS34" i="71"/>
  <c r="AR273" i="113"/>
  <c r="AL34" i="71"/>
  <c r="AL41" i="71" s="1"/>
  <c r="AK273" i="113"/>
  <c r="AE34" i="71"/>
  <c r="AE41" i="71" s="1"/>
  <c r="K54" i="71"/>
  <c r="AD61" i="71"/>
  <c r="AD41" i="71"/>
  <c r="AK61" i="71"/>
  <c r="AK41" i="71"/>
  <c r="AT14" i="71"/>
  <c r="AM14" i="71"/>
  <c r="AL21" i="71"/>
  <c r="AF14" i="71"/>
  <c r="AE21" i="71"/>
  <c r="AE22" i="71" s="1"/>
  <c r="AE23" i="71" s="1"/>
  <c r="L14" i="71"/>
  <c r="AE268" i="113"/>
  <c r="Q144" i="64"/>
  <c r="K284" i="113"/>
  <c r="AE284" i="113"/>
  <c r="AZ268" i="113"/>
  <c r="AL144" i="64"/>
  <c r="AL284" i="113"/>
  <c r="AZ284" i="113"/>
  <c r="AS268" i="113"/>
  <c r="AE144" i="64"/>
  <c r="AS144" i="64"/>
  <c r="K144" i="64"/>
  <c r="AL268" i="113"/>
  <c r="AZ144" i="64"/>
  <c r="AS284" i="113"/>
  <c r="X268" i="113"/>
  <c r="K268" i="113"/>
  <c r="Q268" i="113"/>
  <c r="X144" i="64"/>
  <c r="X284" i="113"/>
  <c r="Q284" i="113"/>
  <c r="EK31" i="78"/>
  <c r="DB31" i="78"/>
  <c r="DP31" i="78"/>
  <c r="ED31" i="78"/>
  <c r="DI31" i="78"/>
  <c r="DW31" i="78"/>
  <c r="CU31" i="78"/>
  <c r="Y54" i="71"/>
  <c r="X21" i="71"/>
  <c r="Y34" i="71"/>
  <c r="J41" i="71"/>
  <c r="Z14" i="71"/>
  <c r="W61" i="71"/>
  <c r="W41" i="71"/>
  <c r="EF12" i="78"/>
  <c r="DK12" i="78"/>
  <c r="DR12" i="78"/>
  <c r="EM12" i="78"/>
  <c r="DD12" i="78"/>
  <c r="CW12" i="78"/>
  <c r="AB30" i="78"/>
  <c r="AB21" i="78"/>
  <c r="AC12" i="78"/>
  <c r="AC12" i="132" s="1"/>
  <c r="DY12" i="78"/>
  <c r="DC13" i="78"/>
  <c r="AB13" i="78"/>
  <c r="DJ13" i="78"/>
  <c r="AA31" i="78"/>
  <c r="EE13" i="78"/>
  <c r="EL13" i="78"/>
  <c r="DX13" i="78"/>
  <c r="DQ13" i="78"/>
  <c r="AA22" i="78"/>
  <c r="CV13" i="78"/>
  <c r="DX30" i="78"/>
  <c r="EL30" i="78"/>
  <c r="DJ30" i="78"/>
  <c r="DQ30" i="78"/>
  <c r="CV30" i="78"/>
  <c r="DC30" i="78"/>
  <c r="EE30" i="78"/>
  <c r="DW22" i="78"/>
  <c r="DP22" i="78"/>
  <c r="ED22" i="78"/>
  <c r="CU22" i="78"/>
  <c r="EK22" i="78"/>
  <c r="DB22" i="78"/>
  <c r="DI22" i="78"/>
  <c r="I41" i="71"/>
  <c r="DQ21" i="78"/>
  <c r="DC21" i="78"/>
  <c r="CV21" i="78"/>
  <c r="DX21" i="78"/>
  <c r="DJ21" i="78"/>
  <c r="EE21" i="78"/>
  <c r="EL21" i="78"/>
  <c r="R116" i="64"/>
  <c r="S84" i="113"/>
  <c r="BB75" i="113"/>
  <c r="BN226" i="113"/>
  <c r="AS69" i="113"/>
  <c r="L226" i="113"/>
  <c r="AN225" i="113"/>
  <c r="BM78" i="113"/>
  <c r="Z75" i="113"/>
  <c r="K69" i="113"/>
  <c r="BA73" i="113"/>
  <c r="BB115" i="64"/>
  <c r="L82" i="113"/>
  <c r="BA218" i="113"/>
  <c r="R82" i="113"/>
  <c r="AL38" i="64"/>
  <c r="AM116" i="64"/>
  <c r="BB84" i="113"/>
  <c r="AF116" i="64"/>
  <c r="R218" i="113"/>
  <c r="Q38" i="64"/>
  <c r="AF82" i="113"/>
  <c r="BM69" i="113"/>
  <c r="AG115" i="64"/>
  <c r="AU217" i="113"/>
  <c r="S75" i="113"/>
  <c r="BN82" i="113"/>
  <c r="K38" i="64"/>
  <c r="AF73" i="113"/>
  <c r="M115" i="64"/>
  <c r="Y226" i="113"/>
  <c r="M75" i="113"/>
  <c r="Y82" i="113"/>
  <c r="AS78" i="113"/>
  <c r="X42" i="64"/>
  <c r="AG84" i="113"/>
  <c r="AZ69" i="113"/>
  <c r="AM226" i="113"/>
  <c r="AU75" i="113"/>
  <c r="AT73" i="113"/>
  <c r="S115" i="64"/>
  <c r="BB44" i="64"/>
  <c r="R73" i="113"/>
  <c r="AE69" i="113"/>
  <c r="AN44" i="64"/>
  <c r="Q78" i="113"/>
  <c r="R226" i="113"/>
  <c r="AN84" i="113"/>
  <c r="AF218" i="113"/>
  <c r="AM82" i="113"/>
  <c r="AT82" i="113"/>
  <c r="X78" i="113"/>
  <c r="AT226" i="113"/>
  <c r="M44" i="64"/>
  <c r="AE38" i="64"/>
  <c r="AT42" i="64"/>
  <c r="Y73" i="113"/>
  <c r="Y42" i="64"/>
  <c r="AZ78" i="113"/>
  <c r="Z44" i="64"/>
  <c r="AL78" i="113"/>
  <c r="AM42" i="64"/>
  <c r="AU44" i="64"/>
  <c r="X69" i="113"/>
  <c r="AT116" i="64"/>
  <c r="AT218" i="113"/>
  <c r="AU84" i="113"/>
  <c r="AF226" i="113"/>
  <c r="M84" i="113"/>
  <c r="AM218" i="113"/>
  <c r="BO84" i="113"/>
  <c r="BA42" i="64"/>
  <c r="AS38" i="64"/>
  <c r="S44" i="64"/>
  <c r="S217" i="113"/>
  <c r="Y116" i="64"/>
  <c r="AL69" i="113"/>
  <c r="M217" i="113"/>
  <c r="AN75" i="113"/>
  <c r="AE78" i="113"/>
  <c r="AU115" i="64"/>
  <c r="L73" i="113"/>
  <c r="R42" i="64"/>
  <c r="AF42" i="64"/>
  <c r="AM73" i="113"/>
  <c r="AZ38" i="64"/>
  <c r="BB225" i="113"/>
  <c r="AG225" i="113"/>
  <c r="Z217" i="113"/>
  <c r="Z84" i="113"/>
  <c r="L116" i="64"/>
  <c r="Z225" i="113"/>
  <c r="AG75" i="113"/>
  <c r="Z115" i="64"/>
  <c r="Q69" i="113"/>
  <c r="S225" i="113"/>
  <c r="K78" i="113"/>
  <c r="AU225" i="113"/>
  <c r="BB217" i="113"/>
  <c r="BO225" i="113"/>
  <c r="BA226" i="113"/>
  <c r="BA82" i="113"/>
  <c r="Y218" i="113"/>
  <c r="BN73" i="113"/>
  <c r="L218" i="113"/>
  <c r="AN217" i="113"/>
  <c r="AN115" i="64"/>
  <c r="AG44" i="64"/>
  <c r="BO75" i="113"/>
  <c r="AG217" i="113"/>
  <c r="BN218" i="113"/>
  <c r="L42" i="64"/>
  <c r="M225" i="113"/>
  <c r="BA116" i="64"/>
  <c r="X38" i="64"/>
  <c r="BO217" i="113"/>
  <c r="BO144" i="64" l="1"/>
  <c r="AM11" i="71"/>
  <c r="BN141" i="64"/>
  <c r="AC10" i="132"/>
  <c r="EO10" i="132" s="1"/>
  <c r="AR149" i="64"/>
  <c r="J149" i="64"/>
  <c r="K61" i="71"/>
  <c r="J289" i="113"/>
  <c r="AK149" i="64"/>
  <c r="AK154" i="64" s="1"/>
  <c r="BD44" i="64"/>
  <c r="AE265" i="113"/>
  <c r="AE273" i="113" s="1"/>
  <c r="X281" i="113"/>
  <c r="X289" i="113" s="1"/>
  <c r="AL141" i="64"/>
  <c r="AG11" i="71" s="1"/>
  <c r="Q265" i="113"/>
  <c r="Q273" i="113" s="1"/>
  <c r="Q281" i="113"/>
  <c r="Q289" i="113" s="1"/>
  <c r="AS141" i="64"/>
  <c r="X141" i="64"/>
  <c r="X149" i="64" s="1"/>
  <c r="AZ265" i="113"/>
  <c r="AT31" i="71" s="1"/>
  <c r="K281" i="113"/>
  <c r="L51" i="71" s="1"/>
  <c r="K141" i="64"/>
  <c r="AZ281" i="113"/>
  <c r="AT51" i="71" s="1"/>
  <c r="K265" i="113"/>
  <c r="L31" i="71" s="1"/>
  <c r="AE141" i="64"/>
  <c r="AE149" i="64" s="1"/>
  <c r="AL265" i="113"/>
  <c r="AF31" i="71" s="1"/>
  <c r="AL281" i="113"/>
  <c r="AF51" i="71" s="1"/>
  <c r="AZ141" i="64"/>
  <c r="AU11" i="71" s="1"/>
  <c r="AS265" i="113"/>
  <c r="AM31" i="71" s="1"/>
  <c r="AS281" i="113"/>
  <c r="AM51" i="71" s="1"/>
  <c r="Q141" i="64"/>
  <c r="Q149" i="64" s="1"/>
  <c r="X265" i="113"/>
  <c r="X273" i="113" s="1"/>
  <c r="AE281" i="113"/>
  <c r="AE289" i="113" s="1"/>
  <c r="AC22" i="132"/>
  <c r="AC32" i="132"/>
  <c r="EN12" i="132"/>
  <c r="EG12" i="132"/>
  <c r="CX12" i="132"/>
  <c r="DE12" i="132"/>
  <c r="DZ12" i="132"/>
  <c r="BO12" i="132"/>
  <c r="DL12" i="132" s="1"/>
  <c r="DS12" i="132"/>
  <c r="ES12" i="132" s="1"/>
  <c r="EO12" i="132"/>
  <c r="J273" i="113"/>
  <c r="EF32" i="132"/>
  <c r="CW32" i="132"/>
  <c r="DR32" i="132"/>
  <c r="EM32" i="132"/>
  <c r="DD32" i="132"/>
  <c r="BN32" i="132"/>
  <c r="DK32" i="132" s="1"/>
  <c r="DY32" i="132"/>
  <c r="EK26" i="132"/>
  <c r="DW26" i="132"/>
  <c r="DP26" i="132"/>
  <c r="CU26" i="132"/>
  <c r="DB26" i="132"/>
  <c r="BL26" i="132"/>
  <c r="DI26" i="132" s="1"/>
  <c r="ED26" i="132"/>
  <c r="DQ6" i="132"/>
  <c r="DX6" i="132"/>
  <c r="DC6" i="132"/>
  <c r="CV6" i="132"/>
  <c r="EL6" i="132"/>
  <c r="BM6" i="132"/>
  <c r="DJ6" i="132" s="1"/>
  <c r="AB6" i="132"/>
  <c r="AA16" i="132"/>
  <c r="AA26" i="132"/>
  <c r="EE6" i="132"/>
  <c r="AA36" i="132"/>
  <c r="BM30" i="132"/>
  <c r="DJ30" i="132" s="1"/>
  <c r="EL30" i="132"/>
  <c r="EE30" i="132"/>
  <c r="DQ30" i="132"/>
  <c r="DX30" i="132"/>
  <c r="CV30" i="132"/>
  <c r="DC30" i="132"/>
  <c r="CU16" i="132"/>
  <c r="EK16" i="132"/>
  <c r="DB16" i="132"/>
  <c r="DW16" i="132"/>
  <c r="DP16" i="132"/>
  <c r="BL16" i="132"/>
  <c r="DI16" i="132" s="1"/>
  <c r="ED16" i="132"/>
  <c r="R11" i="71"/>
  <c r="BM20" i="132"/>
  <c r="DJ20" i="132" s="1"/>
  <c r="CV20" i="132"/>
  <c r="EL20" i="132"/>
  <c r="DX20" i="132"/>
  <c r="DC20" i="132"/>
  <c r="EE20" i="132"/>
  <c r="DQ20" i="132"/>
  <c r="BN10" i="132"/>
  <c r="DK10" i="132" s="1"/>
  <c r="EF10" i="132"/>
  <c r="AB20" i="132"/>
  <c r="DY10" i="132"/>
  <c r="DR10" i="132"/>
  <c r="AB30" i="132"/>
  <c r="CW10" i="132"/>
  <c r="DD10" i="132"/>
  <c r="EM10" i="132"/>
  <c r="L11" i="71"/>
  <c r="L21" i="71" s="1"/>
  <c r="EO32" i="132"/>
  <c r="DR22" i="132"/>
  <c r="EF22" i="132"/>
  <c r="CW22" i="132"/>
  <c r="DY22" i="132"/>
  <c r="BN22" i="132"/>
  <c r="DK22" i="132" s="1"/>
  <c r="EM22" i="132"/>
  <c r="DD22" i="132"/>
  <c r="L34" i="71"/>
  <c r="BD115" i="64"/>
  <c r="AT54" i="71"/>
  <c r="AM54" i="71"/>
  <c r="AF54" i="71"/>
  <c r="AT34" i="71"/>
  <c r="AF34" i="71"/>
  <c r="AM34" i="71"/>
  <c r="L54" i="71"/>
  <c r="AM21" i="71"/>
  <c r="AF21" i="71"/>
  <c r="AF22" i="71" s="1"/>
  <c r="AF23" i="71" s="1"/>
  <c r="AU14" i="71"/>
  <c r="AN14" i="71"/>
  <c r="AG14" i="71"/>
  <c r="M14" i="71"/>
  <c r="R284" i="113"/>
  <c r="BA268" i="113"/>
  <c r="BA144" i="64"/>
  <c r="AM284" i="113"/>
  <c r="R268" i="113"/>
  <c r="AT144" i="64"/>
  <c r="AF284" i="113"/>
  <c r="AM144" i="64"/>
  <c r="AT268" i="113"/>
  <c r="L284" i="113"/>
  <c r="AT284" i="113"/>
  <c r="AF144" i="64"/>
  <c r="Y268" i="113"/>
  <c r="AM268" i="113"/>
  <c r="R144" i="64"/>
  <c r="L144" i="64"/>
  <c r="Y284" i="113"/>
  <c r="L268" i="113"/>
  <c r="Y144" i="64"/>
  <c r="BA284" i="113"/>
  <c r="AF268" i="113"/>
  <c r="DJ31" i="78"/>
  <c r="DC31" i="78"/>
  <c r="CV31" i="78"/>
  <c r="EL31" i="78"/>
  <c r="DQ31" i="78"/>
  <c r="DX31" i="78"/>
  <c r="EE31" i="78"/>
  <c r="K41" i="71"/>
  <c r="X41" i="71"/>
  <c r="X61" i="71"/>
  <c r="AB31" i="78"/>
  <c r="EM13" i="78"/>
  <c r="DD13" i="78"/>
  <c r="DY13" i="78"/>
  <c r="EF13" i="78"/>
  <c r="AC13" i="78"/>
  <c r="CW13" i="78"/>
  <c r="DK13" i="78"/>
  <c r="DR13" i="78"/>
  <c r="AB22" i="78"/>
  <c r="EN12" i="78"/>
  <c r="EV12" i="78" s="1"/>
  <c r="AC30" i="78"/>
  <c r="DZ12" i="78"/>
  <c r="DE12" i="78"/>
  <c r="EQ12" i="78" s="1"/>
  <c r="DL12" i="78"/>
  <c r="ER12" i="78" s="1"/>
  <c r="AC21" i="78"/>
  <c r="DS12" i="78"/>
  <c r="ES12" i="78" s="1"/>
  <c r="CX12" i="78"/>
  <c r="EG12" i="78"/>
  <c r="EU12" i="78" s="1"/>
  <c r="EO12" i="78"/>
  <c r="DX22" i="78"/>
  <c r="EL22" i="78"/>
  <c r="CV22" i="78"/>
  <c r="DC22" i="78"/>
  <c r="DQ22" i="78"/>
  <c r="EE22" i="78"/>
  <c r="DJ22" i="78"/>
  <c r="CW21" i="78"/>
  <c r="DR21" i="78"/>
  <c r="DY21" i="78"/>
  <c r="EM21" i="78"/>
  <c r="DK21" i="78"/>
  <c r="EF21" i="78"/>
  <c r="DD21" i="78"/>
  <c r="CW30" i="78"/>
  <c r="DR30" i="78"/>
  <c r="EF30" i="78"/>
  <c r="DD30" i="78"/>
  <c r="DK30" i="78"/>
  <c r="DY30" i="78"/>
  <c r="EM30" i="78"/>
  <c r="Z34" i="71"/>
  <c r="Z54" i="71"/>
  <c r="AA14" i="71"/>
  <c r="N225" i="113"/>
  <c r="S226" i="113"/>
  <c r="R38" i="64"/>
  <c r="BB116" i="64"/>
  <c r="AT38" i="64"/>
  <c r="L78" i="113"/>
  <c r="AG226" i="113"/>
  <c r="AU82" i="113"/>
  <c r="AV225" i="113"/>
  <c r="AN218" i="113"/>
  <c r="BO218" i="113"/>
  <c r="S218" i="113"/>
  <c r="BC115" i="64"/>
  <c r="N217" i="113"/>
  <c r="AG82" i="113"/>
  <c r="AA84" i="113"/>
  <c r="AU116" i="64"/>
  <c r="AG73" i="113"/>
  <c r="Z116" i="64"/>
  <c r="M218" i="113"/>
  <c r="BK115" i="64"/>
  <c r="BO73" i="113"/>
  <c r="AU218" i="113"/>
  <c r="BC217" i="113"/>
  <c r="T225" i="113"/>
  <c r="M116" i="64"/>
  <c r="N84" i="113"/>
  <c r="T217" i="113"/>
  <c r="AM38" i="64"/>
  <c r="AN42" i="64"/>
  <c r="BP75" i="113"/>
  <c r="M226" i="113"/>
  <c r="AN82" i="113"/>
  <c r="AA75" i="113"/>
  <c r="T44" i="64"/>
  <c r="AM69" i="113"/>
  <c r="AF78" i="113"/>
  <c r="AU226" i="113"/>
  <c r="BP225" i="113"/>
  <c r="AG116" i="64"/>
  <c r="L69" i="113"/>
  <c r="AA115" i="64"/>
  <c r="T75" i="113"/>
  <c r="AV217" i="113"/>
  <c r="AH84" i="113"/>
  <c r="BO226" i="113"/>
  <c r="AH217" i="113"/>
  <c r="BC84" i="113"/>
  <c r="AU42" i="64"/>
  <c r="M73" i="113"/>
  <c r="L38" i="64"/>
  <c r="BP84" i="113"/>
  <c r="M82" i="113"/>
  <c r="AO44" i="64"/>
  <c r="BG115" i="64"/>
  <c r="AA217" i="113"/>
  <c r="BA69" i="113"/>
  <c r="N75" i="113"/>
  <c r="BH44" i="64"/>
  <c r="S42" i="64"/>
  <c r="BB218" i="113"/>
  <c r="AG218" i="113"/>
  <c r="AU73" i="113"/>
  <c r="AA225" i="113"/>
  <c r="S82" i="113"/>
  <c r="Z73" i="113"/>
  <c r="BC44" i="64"/>
  <c r="M42" i="64"/>
  <c r="AA44" i="64"/>
  <c r="AV84" i="113"/>
  <c r="Z226" i="113"/>
  <c r="AN73" i="113"/>
  <c r="Y69" i="113"/>
  <c r="R69" i="113"/>
  <c r="S116" i="64"/>
  <c r="AF69" i="113"/>
  <c r="BA78" i="113"/>
  <c r="AV44" i="64"/>
  <c r="AM78" i="113"/>
  <c r="BF115" i="64"/>
  <c r="AV75" i="113"/>
  <c r="AO75" i="113"/>
  <c r="Y78" i="113"/>
  <c r="Z82" i="113"/>
  <c r="T115" i="64"/>
  <c r="AO115" i="64"/>
  <c r="BA38" i="64"/>
  <c r="BN78" i="113"/>
  <c r="T84" i="113"/>
  <c r="BB73" i="113"/>
  <c r="AG42" i="64"/>
  <c r="BB226" i="113"/>
  <c r="AT78" i="113"/>
  <c r="BP217" i="113"/>
  <c r="AN226" i="113"/>
  <c r="BC225" i="113"/>
  <c r="BJ115" i="64"/>
  <c r="R78" i="113"/>
  <c r="BB82" i="113"/>
  <c r="AH44" i="64"/>
  <c r="AH75" i="113"/>
  <c r="AH225" i="113"/>
  <c r="S73" i="113"/>
  <c r="BH115" i="64"/>
  <c r="BO82" i="113"/>
  <c r="BB42" i="64"/>
  <c r="Z218" i="113"/>
  <c r="AO217" i="113"/>
  <c r="AH115" i="64"/>
  <c r="BN69" i="113"/>
  <c r="AT69" i="113"/>
  <c r="AN116" i="64"/>
  <c r="Y38" i="64"/>
  <c r="Z42" i="64"/>
  <c r="AF38" i="64"/>
  <c r="BC75" i="113"/>
  <c r="AO225" i="113"/>
  <c r="AO84" i="113"/>
  <c r="AV115" i="64"/>
  <c r="AN11" i="71" l="1"/>
  <c r="BO141" i="64"/>
  <c r="BP144" i="64"/>
  <c r="K289" i="113"/>
  <c r="K149" i="64"/>
  <c r="AS289" i="113"/>
  <c r="AM41" i="71"/>
  <c r="AS149" i="64"/>
  <c r="K273" i="113"/>
  <c r="AL289" i="113"/>
  <c r="AS273" i="113"/>
  <c r="AL149" i="64"/>
  <c r="AL154" i="64" s="1"/>
  <c r="AF61" i="71"/>
  <c r="AF141" i="64"/>
  <c r="AF149" i="64" s="1"/>
  <c r="Y281" i="113"/>
  <c r="Y289" i="113" s="1"/>
  <c r="AT265" i="113"/>
  <c r="AN31" i="71" s="1"/>
  <c r="BA141" i="64"/>
  <c r="AV11" i="71" s="1"/>
  <c r="R281" i="113"/>
  <c r="R289" i="113" s="1"/>
  <c r="AF265" i="113"/>
  <c r="AF273" i="113" s="1"/>
  <c r="R141" i="64"/>
  <c r="R149" i="64" s="1"/>
  <c r="AT141" i="64"/>
  <c r="Y141" i="64"/>
  <c r="Y149" i="64" s="1"/>
  <c r="AM281" i="113"/>
  <c r="AG51" i="71" s="1"/>
  <c r="AM265" i="113"/>
  <c r="AG31" i="71" s="1"/>
  <c r="L281" i="113"/>
  <c r="M51" i="71" s="1"/>
  <c r="AM141" i="64"/>
  <c r="AH11" i="71" s="1"/>
  <c r="BA281" i="113"/>
  <c r="AU51" i="71" s="1"/>
  <c r="Y265" i="113"/>
  <c r="Y273" i="113" s="1"/>
  <c r="L265" i="113"/>
  <c r="M31" i="71" s="1"/>
  <c r="BR84" i="113"/>
  <c r="BA265" i="113"/>
  <c r="AU31" i="71" s="1"/>
  <c r="AT281" i="113"/>
  <c r="AN51" i="71" s="1"/>
  <c r="BR75" i="113"/>
  <c r="BD42" i="64"/>
  <c r="R265" i="113"/>
  <c r="R273" i="113" s="1"/>
  <c r="L141" i="64"/>
  <c r="AF281" i="113"/>
  <c r="AF289" i="113" s="1"/>
  <c r="S11" i="71"/>
  <c r="S21" i="71" s="1"/>
  <c r="ET12" i="132"/>
  <c r="AF41" i="71"/>
  <c r="EM30" i="132"/>
  <c r="BN30" i="132"/>
  <c r="DK30" i="132" s="1"/>
  <c r="DD30" i="132"/>
  <c r="EF30" i="132"/>
  <c r="DY30" i="132"/>
  <c r="DR30" i="132"/>
  <c r="CW30" i="132"/>
  <c r="EQ12" i="132"/>
  <c r="AL273" i="113"/>
  <c r="EP12" i="132"/>
  <c r="Y11" i="71"/>
  <c r="Y21" i="71" s="1"/>
  <c r="Y51" i="71"/>
  <c r="Y61" i="71" s="1"/>
  <c r="Y31" i="71"/>
  <c r="Y41" i="71" s="1"/>
  <c r="M11" i="71"/>
  <c r="M21" i="71" s="1"/>
  <c r="DD20" i="132"/>
  <c r="DY20" i="132"/>
  <c r="BN20" i="132"/>
  <c r="DK20" i="132" s="1"/>
  <c r="EF20" i="132"/>
  <c r="DR20" i="132"/>
  <c r="CW20" i="132"/>
  <c r="EM20" i="132"/>
  <c r="R31" i="71"/>
  <c r="BM26" i="132"/>
  <c r="DJ26" i="132" s="1"/>
  <c r="DX26" i="132"/>
  <c r="DQ26" i="132"/>
  <c r="DC26" i="132"/>
  <c r="EL26" i="132"/>
  <c r="CV26" i="132"/>
  <c r="EE26" i="132"/>
  <c r="EV12" i="132"/>
  <c r="R51" i="71"/>
  <c r="BM16" i="132"/>
  <c r="DJ16" i="132" s="1"/>
  <c r="EL16" i="132"/>
  <c r="DQ16" i="132"/>
  <c r="CV16" i="132"/>
  <c r="DC16" i="132"/>
  <c r="DX16" i="132"/>
  <c r="EE16" i="132"/>
  <c r="EN32" i="132"/>
  <c r="BO32" i="132"/>
  <c r="DL32" i="132" s="1"/>
  <c r="CX32" i="132"/>
  <c r="EG32" i="132"/>
  <c r="DS32" i="132"/>
  <c r="DE32" i="132"/>
  <c r="DZ32" i="132"/>
  <c r="R21" i="71"/>
  <c r="EU22" i="132"/>
  <c r="CX22" i="132"/>
  <c r="DS22" i="132"/>
  <c r="EN22" i="132"/>
  <c r="DZ22" i="132"/>
  <c r="ET22" i="132" s="1"/>
  <c r="DE22" i="132"/>
  <c r="BO22" i="132"/>
  <c r="DL22" i="132" s="1"/>
  <c r="EO22" i="132"/>
  <c r="EX12" i="132" s="1"/>
  <c r="BO10" i="132"/>
  <c r="AC20" i="132"/>
  <c r="DS10" i="132"/>
  <c r="ES10" i="132" s="1"/>
  <c r="DZ10" i="132"/>
  <c r="CX10" i="132"/>
  <c r="EN10" i="132"/>
  <c r="EV10" i="132" s="1"/>
  <c r="AC30" i="132"/>
  <c r="EO30" i="132" s="1"/>
  <c r="EG10" i="132"/>
  <c r="EU10" i="132" s="1"/>
  <c r="DL10" i="132"/>
  <c r="ER10" i="132" s="1"/>
  <c r="DE10" i="132"/>
  <c r="DR6" i="132"/>
  <c r="EM6" i="132"/>
  <c r="DY6" i="132"/>
  <c r="CW6" i="132"/>
  <c r="BN6" i="132"/>
  <c r="DK6" i="132" s="1"/>
  <c r="AC6" i="132"/>
  <c r="DD6" i="132"/>
  <c r="AB26" i="132"/>
  <c r="AB16" i="132"/>
  <c r="EF6" i="132"/>
  <c r="AB36" i="132"/>
  <c r="ER12" i="132"/>
  <c r="M34" i="71"/>
  <c r="AM61" i="71"/>
  <c r="BR217" i="113"/>
  <c r="BR225" i="113"/>
  <c r="BD116" i="64"/>
  <c r="AU54" i="71"/>
  <c r="AG54" i="71"/>
  <c r="AN54" i="71"/>
  <c r="AU34" i="71"/>
  <c r="AN34" i="71"/>
  <c r="AG34" i="71"/>
  <c r="M54" i="71"/>
  <c r="L61" i="71"/>
  <c r="AN21" i="71"/>
  <c r="AG21" i="71"/>
  <c r="AG22" i="71" s="1"/>
  <c r="AG23" i="71" s="1"/>
  <c r="AV14" i="71"/>
  <c r="AO14" i="71"/>
  <c r="AH14" i="71"/>
  <c r="N14" i="71"/>
  <c r="Z268" i="113"/>
  <c r="M268" i="113"/>
  <c r="BB144" i="64"/>
  <c r="AN284" i="113"/>
  <c r="S268" i="113"/>
  <c r="M284" i="113"/>
  <c r="BB268" i="113"/>
  <c r="AG144" i="64"/>
  <c r="BB284" i="113"/>
  <c r="AN268" i="113"/>
  <c r="S144" i="64"/>
  <c r="S284" i="113"/>
  <c r="M144" i="64"/>
  <c r="Z284" i="113"/>
  <c r="AG268" i="113"/>
  <c r="AU144" i="64"/>
  <c r="AG284" i="113"/>
  <c r="AU268" i="113"/>
  <c r="AN144" i="64"/>
  <c r="Z144" i="64"/>
  <c r="AU284" i="113"/>
  <c r="EP12" i="78"/>
  <c r="CW22" i="78"/>
  <c r="EM22" i="78"/>
  <c r="DD22" i="78"/>
  <c r="DK22" i="78"/>
  <c r="DY22" i="78"/>
  <c r="EF22" i="78"/>
  <c r="DR22" i="78"/>
  <c r="DR31" i="78"/>
  <c r="DK31" i="78"/>
  <c r="CW31" i="78"/>
  <c r="DY31" i="78"/>
  <c r="DD31" i="78"/>
  <c r="EF31" i="78"/>
  <c r="EM31" i="78"/>
  <c r="EO21" i="78"/>
  <c r="CX21" i="78"/>
  <c r="EN21" i="78"/>
  <c r="DE21" i="78"/>
  <c r="EQ21" i="78" s="1"/>
  <c r="DZ21" i="78"/>
  <c r="DS21" i="78"/>
  <c r="DL21" i="78"/>
  <c r="EG21" i="78"/>
  <c r="EU21" i="78" s="1"/>
  <c r="AA34" i="71"/>
  <c r="AA54" i="71"/>
  <c r="EO13" i="78"/>
  <c r="EG13" i="78"/>
  <c r="EU13" i="78" s="1"/>
  <c r="DL13" i="78"/>
  <c r="ER13" i="78" s="1"/>
  <c r="DS13" i="78"/>
  <c r="ES13" i="78" s="1"/>
  <c r="EN13" i="78"/>
  <c r="AC22" i="78"/>
  <c r="DE13" i="78"/>
  <c r="DZ13" i="78"/>
  <c r="AC31" i="78"/>
  <c r="CX13" i="78"/>
  <c r="EP13" i="78" s="1"/>
  <c r="ET12" i="78"/>
  <c r="L41" i="71"/>
  <c r="DZ30" i="78"/>
  <c r="EG30" i="78"/>
  <c r="EN30" i="78"/>
  <c r="DL30" i="78"/>
  <c r="ER30" i="78" s="1"/>
  <c r="DE30" i="78"/>
  <c r="CX30" i="78"/>
  <c r="EP30" i="78" s="1"/>
  <c r="DS30" i="78"/>
  <c r="EO30" i="78"/>
  <c r="BD217" i="113"/>
  <c r="BF44" i="64"/>
  <c r="N218" i="113"/>
  <c r="BQ217" i="113"/>
  <c r="AA226" i="113"/>
  <c r="AN38" i="64"/>
  <c r="AU38" i="64"/>
  <c r="AA73" i="113"/>
  <c r="AI75" i="113"/>
  <c r="S78" i="113"/>
  <c r="AW217" i="113"/>
  <c r="AH42" i="64"/>
  <c r="AP84" i="113"/>
  <c r="BE44" i="64"/>
  <c r="S38" i="64"/>
  <c r="BP218" i="113"/>
  <c r="U217" i="113"/>
  <c r="T218" i="113"/>
  <c r="AP225" i="113"/>
  <c r="BX75" i="113"/>
  <c r="AI217" i="113"/>
  <c r="Z38" i="64"/>
  <c r="AG78" i="113"/>
  <c r="AA82" i="113"/>
  <c r="AV82" i="113"/>
  <c r="AO73" i="113"/>
  <c r="M38" i="64"/>
  <c r="AA116" i="64"/>
  <c r="BC218" i="113"/>
  <c r="BJ44" i="64"/>
  <c r="BC42" i="64"/>
  <c r="AU78" i="113"/>
  <c r="AP75" i="113"/>
  <c r="U225" i="113"/>
  <c r="BE115" i="64"/>
  <c r="AI225" i="113"/>
  <c r="AB75" i="113"/>
  <c r="AV116" i="64"/>
  <c r="AV73" i="113"/>
  <c r="AB84" i="113"/>
  <c r="N73" i="113"/>
  <c r="BC226" i="113"/>
  <c r="AN78" i="113"/>
  <c r="BX217" i="113"/>
  <c r="T42" i="64"/>
  <c r="N226" i="113"/>
  <c r="T82" i="113"/>
  <c r="AO116" i="64"/>
  <c r="S69" i="113"/>
  <c r="BH42" i="64"/>
  <c r="BI44" i="64"/>
  <c r="BU225" i="113"/>
  <c r="BG116" i="64"/>
  <c r="BC73" i="113"/>
  <c r="AB225" i="113"/>
  <c r="T73" i="113"/>
  <c r="BG42" i="64"/>
  <c r="BQ75" i="113"/>
  <c r="AH82" i="113"/>
  <c r="AI84" i="113"/>
  <c r="BB38" i="64"/>
  <c r="AA42" i="64"/>
  <c r="U75" i="113"/>
  <c r="BD84" i="113"/>
  <c r="AP217" i="113"/>
  <c r="AW225" i="113"/>
  <c r="AO42" i="64"/>
  <c r="BB78" i="113"/>
  <c r="BH116" i="64"/>
  <c r="T116" i="64"/>
  <c r="BW75" i="113"/>
  <c r="BO69" i="113"/>
  <c r="AV218" i="113"/>
  <c r="AH218" i="113"/>
  <c r="Z69" i="113"/>
  <c r="BP73" i="113"/>
  <c r="BK44" i="64"/>
  <c r="M69" i="113"/>
  <c r="BC82" i="113"/>
  <c r="BT217" i="113"/>
  <c r="BG44" i="64"/>
  <c r="N82" i="113"/>
  <c r="AO218" i="113"/>
  <c r="AO226" i="113"/>
  <c r="BJ42" i="64"/>
  <c r="AA218" i="113"/>
  <c r="AW75" i="113"/>
  <c r="BC116" i="64"/>
  <c r="U84" i="113"/>
  <c r="BE116" i="64"/>
  <c r="AH226" i="113"/>
  <c r="BB69" i="113"/>
  <c r="BQ84" i="113"/>
  <c r="BI115" i="64"/>
  <c r="BQ225" i="113"/>
  <c r="BD225" i="113"/>
  <c r="AV42" i="64"/>
  <c r="M78" i="113"/>
  <c r="Z78" i="113"/>
  <c r="BS225" i="113"/>
  <c r="AW84" i="113"/>
  <c r="AG38" i="64"/>
  <c r="AO82" i="113"/>
  <c r="AB217" i="113"/>
  <c r="BP226" i="113"/>
  <c r="AH73" i="113"/>
  <c r="T226" i="113"/>
  <c r="BD75" i="113"/>
  <c r="BK42" i="64"/>
  <c r="AU69" i="113"/>
  <c r="AV226" i="113"/>
  <c r="AH116" i="64"/>
  <c r="BO78" i="113"/>
  <c r="AG69" i="113"/>
  <c r="BJ116" i="64"/>
  <c r="BP82" i="113"/>
  <c r="AN69" i="113"/>
  <c r="BQ144" i="64" l="1"/>
  <c r="AO11" i="71"/>
  <c r="BP141" i="64"/>
  <c r="AT273" i="113"/>
  <c r="AT149" i="64"/>
  <c r="AM289" i="113"/>
  <c r="L273" i="113"/>
  <c r="AG61" i="71"/>
  <c r="AM149" i="64"/>
  <c r="AM154" i="64" s="1"/>
  <c r="L289" i="113"/>
  <c r="L149" i="64"/>
  <c r="AG41" i="71"/>
  <c r="M61" i="71"/>
  <c r="AM273" i="113"/>
  <c r="AN61" i="71"/>
  <c r="AT289" i="113"/>
  <c r="AG281" i="113"/>
  <c r="AG289" i="113" s="1"/>
  <c r="AG265" i="113"/>
  <c r="AG273" i="113" s="1"/>
  <c r="AG141" i="64"/>
  <c r="AG149" i="64" s="1"/>
  <c r="AN265" i="113"/>
  <c r="AH31" i="71" s="1"/>
  <c r="S281" i="113"/>
  <c r="S289" i="113" s="1"/>
  <c r="Z141" i="64"/>
  <c r="Z149" i="64" s="1"/>
  <c r="BR73" i="113"/>
  <c r="Z265" i="113"/>
  <c r="Z273" i="113" s="1"/>
  <c r="M141" i="64"/>
  <c r="M149" i="64" s="1"/>
  <c r="BD38" i="64"/>
  <c r="BD141" i="64" s="1"/>
  <c r="S265" i="113"/>
  <c r="S273" i="113" s="1"/>
  <c r="BB281" i="113"/>
  <c r="AV51" i="71" s="1"/>
  <c r="M281" i="113"/>
  <c r="N51" i="71" s="1"/>
  <c r="AU265" i="113"/>
  <c r="AO31" i="71" s="1"/>
  <c r="AU281" i="113"/>
  <c r="AO51" i="71" s="1"/>
  <c r="Z281" i="113"/>
  <c r="Z289" i="113" s="1"/>
  <c r="S141" i="64"/>
  <c r="S149" i="64" s="1"/>
  <c r="BR82" i="113"/>
  <c r="AU141" i="64"/>
  <c r="AN141" i="64"/>
  <c r="AI11" i="71" s="1"/>
  <c r="BB265" i="113"/>
  <c r="AV31" i="71" s="1"/>
  <c r="AN281" i="113"/>
  <c r="AH51" i="71" s="1"/>
  <c r="M265" i="113"/>
  <c r="N31" i="71" s="1"/>
  <c r="BB141" i="64"/>
  <c r="AW11" i="71" s="1"/>
  <c r="ER22" i="132"/>
  <c r="Z11" i="71"/>
  <c r="Z21" i="71" s="1"/>
  <c r="Z51" i="71"/>
  <c r="Z61" i="71" s="1"/>
  <c r="Z31" i="71"/>
  <c r="Z41" i="71" s="1"/>
  <c r="EQ10" i="132"/>
  <c r="DZ20" i="132"/>
  <c r="DE20" i="132"/>
  <c r="BO20" i="132"/>
  <c r="DL20" i="132" s="1"/>
  <c r="ER20" i="132" s="1"/>
  <c r="DS20" i="132"/>
  <c r="EG20" i="132"/>
  <c r="EU20" i="132" s="1"/>
  <c r="CX20" i="132"/>
  <c r="EP20" i="132" s="1"/>
  <c r="EN20" i="132"/>
  <c r="EO20" i="132"/>
  <c r="EX10" i="132" s="1"/>
  <c r="EQ22" i="132"/>
  <c r="ET32" i="132"/>
  <c r="N11" i="71"/>
  <c r="N21" i="71" s="1"/>
  <c r="EO6" i="132"/>
  <c r="BO6" i="132"/>
  <c r="DL6" i="132" s="1"/>
  <c r="DS6" i="132"/>
  <c r="DE6" i="132"/>
  <c r="EQ6" i="132" s="1"/>
  <c r="AC16" i="132"/>
  <c r="EN6" i="132"/>
  <c r="CX6" i="132"/>
  <c r="DZ6" i="132"/>
  <c r="AC26" i="132"/>
  <c r="EO26" i="132" s="1"/>
  <c r="EG6" i="132"/>
  <c r="AC36" i="132"/>
  <c r="EQ32" i="132"/>
  <c r="R61" i="71"/>
  <c r="R41" i="71"/>
  <c r="DY26" i="132"/>
  <c r="DD26" i="132"/>
  <c r="CW26" i="132"/>
  <c r="DR26" i="132"/>
  <c r="EM26" i="132"/>
  <c r="BN26" i="132"/>
  <c r="DK26" i="132" s="1"/>
  <c r="EF26" i="132"/>
  <c r="EV32" i="132"/>
  <c r="EV22" i="132"/>
  <c r="ES32" i="132"/>
  <c r="EG30" i="132"/>
  <c r="BO30" i="132"/>
  <c r="DL30" i="132" s="1"/>
  <c r="CX30" i="132"/>
  <c r="DS30" i="132"/>
  <c r="DZ30" i="132"/>
  <c r="DE30" i="132"/>
  <c r="EN30" i="132"/>
  <c r="EV30" i="132" s="1"/>
  <c r="ES22" i="132"/>
  <c r="ET10" i="132"/>
  <c r="EU32" i="132"/>
  <c r="FD12" i="132" s="1"/>
  <c r="T11" i="71"/>
  <c r="EP22" i="132"/>
  <c r="EP32" i="132"/>
  <c r="S51" i="71"/>
  <c r="S61" i="71" s="1"/>
  <c r="DY16" i="132"/>
  <c r="DD16" i="132"/>
  <c r="CW16" i="132"/>
  <c r="BN16" i="132"/>
  <c r="DK16" i="132" s="1"/>
  <c r="DR16" i="132"/>
  <c r="EM16" i="132"/>
  <c r="EF16" i="132"/>
  <c r="ER32" i="132"/>
  <c r="FA12" i="132" s="1"/>
  <c r="EP10" i="132"/>
  <c r="S31" i="71"/>
  <c r="S41" i="71" s="1"/>
  <c r="N34" i="71"/>
  <c r="ES30" i="78"/>
  <c r="ES21" i="78"/>
  <c r="AB14" i="71"/>
  <c r="BR226" i="113"/>
  <c r="BR218" i="113"/>
  <c r="AH54" i="71"/>
  <c r="AV54" i="71"/>
  <c r="AO54" i="71"/>
  <c r="AV34" i="71"/>
  <c r="AH34" i="71"/>
  <c r="AO34" i="71"/>
  <c r="N54" i="71"/>
  <c r="AN41" i="71"/>
  <c r="AO21" i="71"/>
  <c r="AH21" i="71"/>
  <c r="AH22" i="71" s="1"/>
  <c r="AH23" i="71" s="1"/>
  <c r="AW14" i="71"/>
  <c r="AP14" i="71"/>
  <c r="AI14" i="71"/>
  <c r="O14" i="71"/>
  <c r="C14" i="71" s="1"/>
  <c r="BG144" i="64"/>
  <c r="N284" i="113"/>
  <c r="AO144" i="64"/>
  <c r="AO284" i="113"/>
  <c r="AH268" i="113"/>
  <c r="BJ144" i="64"/>
  <c r="BD144" i="64"/>
  <c r="AA284" i="113"/>
  <c r="AO268" i="113"/>
  <c r="AA144" i="64"/>
  <c r="T284" i="113"/>
  <c r="AA268" i="113"/>
  <c r="N268" i="113"/>
  <c r="AH284" i="113"/>
  <c r="BC268" i="113"/>
  <c r="BC144" i="64"/>
  <c r="T268" i="113"/>
  <c r="BH144" i="64"/>
  <c r="BE144" i="64"/>
  <c r="AH144" i="64"/>
  <c r="BC284" i="113"/>
  <c r="T144" i="64"/>
  <c r="AV144" i="64"/>
  <c r="AV284" i="113"/>
  <c r="AV268" i="113"/>
  <c r="CX31" i="78"/>
  <c r="EP31" i="78" s="1"/>
  <c r="DZ31" i="78"/>
  <c r="DL31" i="78"/>
  <c r="EN31" i="78"/>
  <c r="DS31" i="78"/>
  <c r="DE31" i="78"/>
  <c r="EG31" i="78"/>
  <c r="EO31" i="78"/>
  <c r="ET30" i="78"/>
  <c r="ET13" i="78"/>
  <c r="EP21" i="78"/>
  <c r="EY12" i="78" s="1"/>
  <c r="EV21" i="78"/>
  <c r="EU30" i="78"/>
  <c r="FD12" i="78" s="1"/>
  <c r="EQ13" i="78"/>
  <c r="M41" i="71"/>
  <c r="EX12" i="78"/>
  <c r="DE22" i="78"/>
  <c r="EQ22" i="78" s="1"/>
  <c r="DL22" i="78"/>
  <c r="DS22" i="78"/>
  <c r="EG22" i="78"/>
  <c r="EU22" i="78" s="1"/>
  <c r="DZ22" i="78"/>
  <c r="CX22" i="78"/>
  <c r="EP22" i="78" s="1"/>
  <c r="EN22" i="78"/>
  <c r="EO22" i="78"/>
  <c r="EV13" i="78"/>
  <c r="ER21" i="78"/>
  <c r="EQ30" i="78"/>
  <c r="ET21" i="78"/>
  <c r="EV30" i="78"/>
  <c r="BI42" i="64"/>
  <c r="AO69" i="113"/>
  <c r="BT225" i="113"/>
  <c r="BF116" i="64"/>
  <c r="BT218" i="113"/>
  <c r="U82" i="113"/>
  <c r="AW73" i="113"/>
  <c r="AV78" i="113"/>
  <c r="BT75" i="113"/>
  <c r="BX84" i="113"/>
  <c r="AP226" i="113"/>
  <c r="AA78" i="113"/>
  <c r="BK116" i="64"/>
  <c r="BP69" i="113"/>
  <c r="U73" i="113"/>
  <c r="AB218" i="113"/>
  <c r="BS226" i="113"/>
  <c r="AA38" i="64"/>
  <c r="U226" i="113"/>
  <c r="AP218" i="113"/>
  <c r="BQ218" i="113"/>
  <c r="BQ82" i="113"/>
  <c r="BX225" i="113"/>
  <c r="AV69" i="113"/>
  <c r="BU75" i="113"/>
  <c r="BW217" i="113"/>
  <c r="BY225" i="113"/>
  <c r="BY82" i="113"/>
  <c r="BS84" i="113"/>
  <c r="AH38" i="64"/>
  <c r="BC38" i="64"/>
  <c r="BI116" i="64"/>
  <c r="BD82" i="113"/>
  <c r="BD73" i="113"/>
  <c r="BF38" i="64"/>
  <c r="BX218" i="113"/>
  <c r="AP82" i="113"/>
  <c r="BV84" i="113"/>
  <c r="AA69" i="113"/>
  <c r="BP78" i="113"/>
  <c r="AB73" i="113"/>
  <c r="BW225" i="113"/>
  <c r="BU73" i="113"/>
  <c r="BY75" i="113"/>
  <c r="BY217" i="113"/>
  <c r="BV217" i="113"/>
  <c r="BV225" i="113"/>
  <c r="AW82" i="113"/>
  <c r="BC78" i="113"/>
  <c r="BS73" i="113"/>
  <c r="AW218" i="113"/>
  <c r="BD218" i="113"/>
  <c r="BF42" i="64"/>
  <c r="BS217" i="113"/>
  <c r="BS218" i="113"/>
  <c r="AO38" i="64"/>
  <c r="BW84" i="113"/>
  <c r="U218" i="113"/>
  <c r="N78" i="113"/>
  <c r="BQ73" i="113"/>
  <c r="BV75" i="113"/>
  <c r="AV38" i="64"/>
  <c r="BE42" i="64"/>
  <c r="BT84" i="113"/>
  <c r="AH78" i="113"/>
  <c r="BX73" i="113"/>
  <c r="T38" i="64"/>
  <c r="BD226" i="113"/>
  <c r="AI226" i="113"/>
  <c r="AB226" i="113"/>
  <c r="BU217" i="113"/>
  <c r="AI82" i="113"/>
  <c r="AH69" i="113"/>
  <c r="BC69" i="113"/>
  <c r="T69" i="113"/>
  <c r="AB82" i="113"/>
  <c r="BU84" i="113"/>
  <c r="AI73" i="113"/>
  <c r="AI218" i="113"/>
  <c r="BS75" i="113"/>
  <c r="T78" i="113"/>
  <c r="BY84" i="113"/>
  <c r="AP73" i="113"/>
  <c r="AO78" i="113"/>
  <c r="BQ226" i="113"/>
  <c r="AW226" i="113"/>
  <c r="N69" i="113"/>
  <c r="BR144" i="64" l="1"/>
  <c r="AP11" i="71"/>
  <c r="AP21" i="71" s="1"/>
  <c r="BQ141" i="64"/>
  <c r="FE12" i="132"/>
  <c r="M273" i="113"/>
  <c r="AU273" i="113"/>
  <c r="N61" i="71"/>
  <c r="M289" i="113"/>
  <c r="AO41" i="71"/>
  <c r="AN149" i="64"/>
  <c r="AN154" i="64" s="1"/>
  <c r="AH41" i="71"/>
  <c r="BD149" i="64"/>
  <c r="AN273" i="113"/>
  <c r="AN289" i="113"/>
  <c r="AU289" i="113"/>
  <c r="AU149" i="64"/>
  <c r="AH61" i="71"/>
  <c r="AH141" i="64"/>
  <c r="AH149" i="64" s="1"/>
  <c r="AH265" i="113"/>
  <c r="AH273" i="113" s="1"/>
  <c r="AV265" i="113"/>
  <c r="AP31" i="71" s="1"/>
  <c r="AO281" i="113"/>
  <c r="AI51" i="71" s="1"/>
  <c r="N265" i="113"/>
  <c r="O31" i="71" s="1"/>
  <c r="C31" i="71" s="1"/>
  <c r="BR69" i="113"/>
  <c r="BR265" i="113" s="1"/>
  <c r="BC265" i="113"/>
  <c r="AW31" i="71" s="1"/>
  <c r="AV281" i="113"/>
  <c r="AP51" i="71" s="1"/>
  <c r="AA141" i="64"/>
  <c r="AA149" i="64" s="1"/>
  <c r="AV141" i="64"/>
  <c r="BC281" i="113"/>
  <c r="AW51" i="71" s="1"/>
  <c r="N281" i="113"/>
  <c r="O51" i="71" s="1"/>
  <c r="C51" i="71" s="1"/>
  <c r="BR78" i="113"/>
  <c r="BR281" i="113" s="1"/>
  <c r="T265" i="113"/>
  <c r="T273" i="113" s="1"/>
  <c r="BF141" i="64"/>
  <c r="AA265" i="113"/>
  <c r="AA273" i="113" s="1"/>
  <c r="T281" i="113"/>
  <c r="T289" i="113" s="1"/>
  <c r="AO141" i="64"/>
  <c r="AA281" i="113"/>
  <c r="AA289" i="113" s="1"/>
  <c r="T141" i="64"/>
  <c r="T149" i="64" s="1"/>
  <c r="AO265" i="113"/>
  <c r="AI31" i="71" s="1"/>
  <c r="AH281" i="113"/>
  <c r="AH289" i="113" s="1"/>
  <c r="BC141" i="64"/>
  <c r="AX11" i="71" s="1"/>
  <c r="H11" i="71" s="1"/>
  <c r="ER6" i="132"/>
  <c r="T51" i="71"/>
  <c r="T61" i="71" s="1"/>
  <c r="CX16" i="132"/>
  <c r="DS16" i="132"/>
  <c r="DE16" i="132"/>
  <c r="DZ16" i="132"/>
  <c r="ET16" i="132" s="1"/>
  <c r="EN16" i="132"/>
  <c r="BO16" i="132"/>
  <c r="DL16" i="132" s="1"/>
  <c r="ER16" i="132" s="1"/>
  <c r="EG16" i="132"/>
  <c r="EU16" i="132" s="1"/>
  <c r="T21" i="71"/>
  <c r="ES30" i="132"/>
  <c r="EP30" i="132"/>
  <c r="EY10" i="132" s="1"/>
  <c r="U11" i="71"/>
  <c r="U21" i="71" s="1"/>
  <c r="EU6" i="132"/>
  <c r="ES6" i="132"/>
  <c r="EQ20" i="132"/>
  <c r="ES20" i="132"/>
  <c r="ER30" i="132"/>
  <c r="EN26" i="132"/>
  <c r="EV26" i="132" s="1"/>
  <c r="DZ26" i="132"/>
  <c r="ET26" i="132" s="1"/>
  <c r="CX26" i="132"/>
  <c r="EP26" i="132" s="1"/>
  <c r="DS26" i="132"/>
  <c r="DE26" i="132"/>
  <c r="BO26" i="132"/>
  <c r="DL26" i="132" s="1"/>
  <c r="ER26" i="132" s="1"/>
  <c r="EG26" i="132"/>
  <c r="ET20" i="132"/>
  <c r="EU30" i="132"/>
  <c r="ET30" i="132"/>
  <c r="EZ12" i="132"/>
  <c r="FB12" i="132"/>
  <c r="AA31" i="71"/>
  <c r="AA41" i="71" s="1"/>
  <c r="AA51" i="71"/>
  <c r="AA61" i="71" s="1"/>
  <c r="AA11" i="71"/>
  <c r="AA21" i="71" s="1"/>
  <c r="ET6" i="132"/>
  <c r="O11" i="71"/>
  <c r="C11" i="71" s="1"/>
  <c r="C21" i="71" s="1"/>
  <c r="EO16" i="132"/>
  <c r="EX6" i="132" s="1"/>
  <c r="EY12" i="132"/>
  <c r="EP6" i="132"/>
  <c r="T31" i="71"/>
  <c r="EV20" i="132"/>
  <c r="EV6" i="132"/>
  <c r="EQ30" i="132"/>
  <c r="FB12" i="78"/>
  <c r="O34" i="71"/>
  <c r="C34" i="71" s="1"/>
  <c r="EX13" i="78"/>
  <c r="ES22" i="78"/>
  <c r="ES31" i="78"/>
  <c r="AB54" i="71"/>
  <c r="AB34" i="71"/>
  <c r="AO61" i="71"/>
  <c r="AP54" i="71"/>
  <c r="AI54" i="71"/>
  <c r="AW54" i="71"/>
  <c r="AW34" i="71"/>
  <c r="AP34" i="71"/>
  <c r="AI34" i="71"/>
  <c r="O54" i="71"/>
  <c r="AI21" i="71"/>
  <c r="AI22" i="71" s="1"/>
  <c r="AI23" i="71" s="1"/>
  <c r="AX14" i="71"/>
  <c r="H14" i="71" s="1"/>
  <c r="AQ14" i="71"/>
  <c r="G14" i="71" s="1"/>
  <c r="AJ14" i="71"/>
  <c r="BS284" i="113"/>
  <c r="U268" i="113"/>
  <c r="AW284" i="113"/>
  <c r="BD268" i="113"/>
  <c r="BR284" i="113"/>
  <c r="BT268" i="113"/>
  <c r="BX268" i="113"/>
  <c r="AP268" i="113"/>
  <c r="AB284" i="113"/>
  <c r="AW268" i="113"/>
  <c r="BS268" i="113"/>
  <c r="BD284" i="113"/>
  <c r="BK144" i="64"/>
  <c r="AI268" i="113"/>
  <c r="BI144" i="64"/>
  <c r="AI284" i="113"/>
  <c r="AB268" i="113"/>
  <c r="BF144" i="64"/>
  <c r="AP284" i="113"/>
  <c r="BR268" i="113"/>
  <c r="U284" i="113"/>
  <c r="EY13" i="78"/>
  <c r="EU31" i="78"/>
  <c r="FC12" i="78"/>
  <c r="EV22" i="78"/>
  <c r="ET22" i="78"/>
  <c r="EQ31" i="78"/>
  <c r="AC14" i="71"/>
  <c r="FA12" i="78"/>
  <c r="EV31" i="78"/>
  <c r="ER22" i="78"/>
  <c r="ER31" i="78"/>
  <c r="EZ12" i="78"/>
  <c r="ET31" i="78"/>
  <c r="BW82" i="113"/>
  <c r="BQ78" i="113"/>
  <c r="BS78" i="113"/>
  <c r="BU218" i="113"/>
  <c r="BV73" i="113"/>
  <c r="BV82" i="113"/>
  <c r="BY73" i="113"/>
  <c r="AP69" i="113"/>
  <c r="BV226" i="113"/>
  <c r="AW69" i="113"/>
  <c r="BW226" i="113"/>
  <c r="AW78" i="113"/>
  <c r="BI38" i="64"/>
  <c r="BU82" i="113"/>
  <c r="BE38" i="64"/>
  <c r="U78" i="113"/>
  <c r="BS82" i="113"/>
  <c r="AB69" i="113"/>
  <c r="BU226" i="113"/>
  <c r="BT82" i="113"/>
  <c r="BQ69" i="113"/>
  <c r="AI78" i="113"/>
  <c r="BD69" i="113"/>
  <c r="BY218" i="113"/>
  <c r="AB78" i="113"/>
  <c r="BD78" i="113"/>
  <c r="U69" i="113"/>
  <c r="BU69" i="113"/>
  <c r="BW218" i="113"/>
  <c r="BX82" i="113"/>
  <c r="AP78" i="113"/>
  <c r="BY78" i="113"/>
  <c r="BT226" i="113"/>
  <c r="BU78" i="113"/>
  <c r="BH38" i="64"/>
  <c r="BG38" i="64"/>
  <c r="BW78" i="113"/>
  <c r="BK38" i="64"/>
  <c r="BY226" i="113"/>
  <c r="BT73" i="113"/>
  <c r="BJ38" i="64"/>
  <c r="AI69" i="113"/>
  <c r="BV218" i="113"/>
  <c r="BW73" i="113"/>
  <c r="BW69" i="113"/>
  <c r="BX69" i="113"/>
  <c r="BX226" i="113"/>
  <c r="AJ11" i="71" l="1"/>
  <c r="F11" i="71" s="1"/>
  <c r="AV149" i="64"/>
  <c r="BR141" i="64"/>
  <c r="AP41" i="71"/>
  <c r="AV289" i="113"/>
  <c r="EZ10" i="132"/>
  <c r="AI61" i="71"/>
  <c r="FC10" i="132"/>
  <c r="AO289" i="113"/>
  <c r="BR273" i="113"/>
  <c r="AV273" i="113"/>
  <c r="N273" i="113"/>
  <c r="BR289" i="113"/>
  <c r="O21" i="71"/>
  <c r="N289" i="113"/>
  <c r="AP61" i="71"/>
  <c r="AI41" i="71"/>
  <c r="BU281" i="113"/>
  <c r="BW281" i="113"/>
  <c r="BX265" i="113"/>
  <c r="BX273" i="113" s="1"/>
  <c r="AW281" i="113"/>
  <c r="AQ51" i="71" s="1"/>
  <c r="G51" i="71" s="1"/>
  <c r="BS281" i="113"/>
  <c r="BS289" i="113" s="1"/>
  <c r="BH141" i="64"/>
  <c r="BH149" i="64" s="1"/>
  <c r="U265" i="113"/>
  <c r="U273" i="113" s="1"/>
  <c r="BY281" i="113"/>
  <c r="BW265" i="113"/>
  <c r="BK141" i="64"/>
  <c r="AB281" i="113"/>
  <c r="AB289" i="113" s="1"/>
  <c r="BJ141" i="64"/>
  <c r="BJ149" i="64" s="1"/>
  <c r="BG141" i="64"/>
  <c r="BG149" i="64" s="1"/>
  <c r="AW265" i="113"/>
  <c r="AQ31" i="71" s="1"/>
  <c r="G31" i="71" s="1"/>
  <c r="U281" i="113"/>
  <c r="U289" i="113" s="1"/>
  <c r="AI265" i="113"/>
  <c r="AI273" i="113" s="1"/>
  <c r="BE141" i="64"/>
  <c r="BE149" i="64" s="1"/>
  <c r="AI281" i="113"/>
  <c r="AI289" i="113" s="1"/>
  <c r="BD265" i="113"/>
  <c r="AX31" i="71" s="1"/>
  <c r="H31" i="71" s="1"/>
  <c r="BU265" i="113"/>
  <c r="AP281" i="113"/>
  <c r="AJ51" i="71" s="1"/>
  <c r="F51" i="71" s="1"/>
  <c r="AP265" i="113"/>
  <c r="AJ31" i="71" s="1"/>
  <c r="F31" i="71" s="1"/>
  <c r="BI141" i="64"/>
  <c r="BI149" i="64" s="1"/>
  <c r="BD281" i="113"/>
  <c r="AX51" i="71" s="1"/>
  <c r="H51" i="71" s="1"/>
  <c r="AB265" i="113"/>
  <c r="AB273" i="113" s="1"/>
  <c r="EU26" i="132"/>
  <c r="FD6" i="132" s="1"/>
  <c r="ES16" i="132"/>
  <c r="BF149" i="64"/>
  <c r="FB10" i="132"/>
  <c r="EP16" i="132"/>
  <c r="EY6" i="132" s="1"/>
  <c r="FD10" i="132"/>
  <c r="FA6" i="132"/>
  <c r="ES26" i="132"/>
  <c r="U31" i="71"/>
  <c r="U41" i="71" s="1"/>
  <c r="AC11" i="71"/>
  <c r="AC51" i="71"/>
  <c r="AC31" i="71"/>
  <c r="T41" i="71"/>
  <c r="AO149" i="64"/>
  <c r="AO154" i="64" s="1"/>
  <c r="U51" i="71"/>
  <c r="FA10" i="132"/>
  <c r="EV16" i="132"/>
  <c r="AB51" i="71"/>
  <c r="AB31" i="71"/>
  <c r="AB11" i="71"/>
  <c r="AB21" i="71" s="1"/>
  <c r="AO273" i="113"/>
  <c r="FE10" i="132"/>
  <c r="EQ26" i="132"/>
  <c r="FC6" i="132"/>
  <c r="EQ16" i="132"/>
  <c r="AQ11" i="71"/>
  <c r="G11" i="71" s="1"/>
  <c r="G21" i="71" s="1"/>
  <c r="E14" i="71"/>
  <c r="O41" i="71"/>
  <c r="BV268" i="113"/>
  <c r="FC13" i="78"/>
  <c r="FB13" i="78"/>
  <c r="O61" i="71"/>
  <c r="C54" i="71"/>
  <c r="C61" i="71" s="1"/>
  <c r="AJ54" i="71"/>
  <c r="AX54" i="71"/>
  <c r="AQ54" i="71"/>
  <c r="AX34" i="71"/>
  <c r="AQ34" i="71"/>
  <c r="AJ34" i="71"/>
  <c r="F14" i="71"/>
  <c r="AJ21" i="71"/>
  <c r="AJ22" i="71" s="1"/>
  <c r="AJ23" i="71" s="1"/>
  <c r="N41" i="71"/>
  <c r="C41" i="71"/>
  <c r="BT284" i="113"/>
  <c r="BX284" i="113"/>
  <c r="BU284" i="113"/>
  <c r="BW268" i="113"/>
  <c r="BU268" i="113"/>
  <c r="BY268" i="113"/>
  <c r="BW284" i="113"/>
  <c r="BY284" i="113"/>
  <c r="AC34" i="71"/>
  <c r="AC54" i="71"/>
  <c r="E54" i="71" s="1"/>
  <c r="FD13" i="78"/>
  <c r="EZ13" i="78"/>
  <c r="FA13" i="78"/>
  <c r="BX78" i="113"/>
  <c r="BT69" i="113"/>
  <c r="BY69" i="113"/>
  <c r="BV78" i="113"/>
  <c r="BV69" i="113"/>
  <c r="BT78" i="113"/>
  <c r="BS69" i="113"/>
  <c r="AQ61" i="71" l="1"/>
  <c r="AW289" i="113"/>
  <c r="E31" i="71"/>
  <c r="BU289" i="113"/>
  <c r="BW273" i="113"/>
  <c r="E11" i="71"/>
  <c r="E21" i="71" s="1"/>
  <c r="BW289" i="113"/>
  <c r="AP289" i="113"/>
  <c r="AP273" i="113"/>
  <c r="AW273" i="113"/>
  <c r="BU273" i="113"/>
  <c r="AQ21" i="71"/>
  <c r="BT281" i="113"/>
  <c r="BT289" i="113" s="1"/>
  <c r="BY265" i="113"/>
  <c r="BV265" i="113"/>
  <c r="BV273" i="113" s="1"/>
  <c r="BS265" i="113"/>
  <c r="BS273" i="113" s="1"/>
  <c r="BT265" i="113"/>
  <c r="BT273" i="113" s="1"/>
  <c r="BX281" i="113"/>
  <c r="BX289" i="113" s="1"/>
  <c r="V11" i="71"/>
  <c r="AC41" i="71"/>
  <c r="AC21" i="71"/>
  <c r="U61" i="71"/>
  <c r="FE6" i="132"/>
  <c r="EZ6" i="132"/>
  <c r="E51" i="71"/>
  <c r="E61" i="71" s="1"/>
  <c r="FB6" i="132"/>
  <c r="AC61" i="71"/>
  <c r="E34" i="71"/>
  <c r="AQ41" i="71"/>
  <c r="G34" i="71"/>
  <c r="G41" i="71" s="1"/>
  <c r="G54" i="71"/>
  <c r="G61" i="71" s="1"/>
  <c r="H34" i="71"/>
  <c r="AJ61" i="71"/>
  <c r="F54" i="71"/>
  <c r="F61" i="71" s="1"/>
  <c r="AJ41" i="71"/>
  <c r="F34" i="71"/>
  <c r="F41" i="71" s="1"/>
  <c r="H54" i="71"/>
  <c r="F21" i="71"/>
  <c r="AB41" i="71"/>
  <c r="AB61" i="71"/>
  <c r="E41" i="71" l="1"/>
  <c r="V51" i="71"/>
  <c r="V21" i="71"/>
  <c r="D11" i="71"/>
  <c r="D21" i="71" s="1"/>
  <c r="V31" i="71"/>
  <c r="V41" i="71" l="1"/>
  <c r="D31" i="71"/>
  <c r="D41" i="71" s="1"/>
  <c r="V61" i="71"/>
  <c r="D51" i="71"/>
  <c r="D61" i="71" s="1"/>
  <c r="CR8" i="135" l="1"/>
  <c r="EO8" i="135" s="1"/>
  <c r="AW26" i="64"/>
  <c r="CS8" i="135" l="1"/>
  <c r="CT8" i="135" s="1"/>
  <c r="CU8" i="135" s="1"/>
  <c r="EQ8" i="135" l="1"/>
  <c r="EP8" i="135"/>
  <c r="CV8" i="135"/>
  <c r="ER8" i="135"/>
  <c r="AZ26" i="64"/>
  <c r="AY26" i="64"/>
  <c r="AX26" i="64"/>
  <c r="CW8" i="135" l="1"/>
  <c r="ES8" i="135"/>
  <c r="BA26" i="64"/>
  <c r="ET8" i="135" l="1"/>
  <c r="CX8" i="135"/>
  <c r="EU8" i="135" s="1"/>
  <c r="BC26" i="64"/>
  <c r="BB26" i="64"/>
  <c r="FC8" i="135" l="1"/>
  <c r="BK26" i="64"/>
  <c r="CR38" i="135" l="1"/>
  <c r="EO38" i="135" s="1"/>
  <c r="AX57" i="113"/>
  <c r="CS38" i="135" l="1"/>
  <c r="EP38" i="135" s="1"/>
  <c r="AX280" i="113"/>
  <c r="AY57" i="113"/>
  <c r="CT38" i="135" l="1"/>
  <c r="EQ38" i="135" s="1"/>
  <c r="AY280" i="113"/>
  <c r="AY289" i="113" s="1"/>
  <c r="AX289" i="113"/>
  <c r="AR50" i="71"/>
  <c r="AZ57" i="113"/>
  <c r="CU38" i="135" l="1"/>
  <c r="CV38" i="135" s="1"/>
  <c r="AS50" i="71"/>
  <c r="AS61" i="71" s="1"/>
  <c r="AZ280" i="113"/>
  <c r="AR61" i="71"/>
  <c r="ER38" i="135" l="1"/>
  <c r="ES38" i="135"/>
  <c r="CW38" i="135"/>
  <c r="AT50" i="71"/>
  <c r="AZ289" i="113"/>
  <c r="BB57" i="113"/>
  <c r="BA57" i="113"/>
  <c r="BA280" i="113" l="1"/>
  <c r="BA289" i="113" s="1"/>
  <c r="BB280" i="113"/>
  <c r="AT61" i="71"/>
  <c r="CX38" i="135"/>
  <c r="EU38" i="135" s="1"/>
  <c r="ET38" i="135"/>
  <c r="BC57" i="113"/>
  <c r="BD57" i="113"/>
  <c r="FC38" i="135" l="1"/>
  <c r="FL8" i="135" s="1"/>
  <c r="AU50" i="71"/>
  <c r="AU61" i="71" s="1"/>
  <c r="BC280" i="113"/>
  <c r="BD280" i="113"/>
  <c r="BB289" i="113"/>
  <c r="AV50" i="71"/>
  <c r="AV61" i="71" s="1"/>
  <c r="BY57" i="113"/>
  <c r="BY280" i="113" l="1"/>
  <c r="BY289" i="113" s="1"/>
  <c r="AX50" i="71"/>
  <c r="AX61" i="71" s="1"/>
  <c r="BD289" i="113"/>
  <c r="AW50" i="71"/>
  <c r="AW61" i="71" s="1"/>
  <c r="BC289" i="113"/>
  <c r="H50" i="71" l="1"/>
  <c r="H61" i="71" s="1"/>
  <c r="CR32" i="135"/>
  <c r="CS32" i="135" s="1"/>
  <c r="EO32" i="135" l="1"/>
  <c r="EP32" i="135"/>
  <c r="CT32" i="135"/>
  <c r="AX52" i="113"/>
  <c r="AY52" i="113"/>
  <c r="EQ32" i="135" l="1"/>
  <c r="CU32" i="135"/>
  <c r="AZ52" i="113"/>
  <c r="CV32" i="135" l="1"/>
  <c r="ER32" i="135"/>
  <c r="BA52" i="113"/>
  <c r="ES32" i="135" l="1"/>
  <c r="CW32" i="135"/>
  <c r="BB52" i="113"/>
  <c r="CX32" i="135" l="1"/>
  <c r="EU32" i="135" s="1"/>
  <c r="ET32" i="135"/>
  <c r="FC32" i="135"/>
  <c r="FL17" i="135" s="1"/>
  <c r="BY52" i="113"/>
  <c r="BD52" i="113"/>
  <c r="BC52" i="113"/>
  <c r="CR17" i="135" l="1"/>
  <c r="CS17" i="135" l="1"/>
  <c r="CT17" i="135" s="1"/>
  <c r="EO17" i="135"/>
  <c r="EP17" i="135"/>
  <c r="AW35" i="64"/>
  <c r="AX35" i="64"/>
  <c r="EQ17" i="135" l="1"/>
  <c r="CU17" i="135"/>
  <c r="AY35" i="64"/>
  <c r="ER17" i="135" l="1"/>
  <c r="CV17" i="135"/>
  <c r="AZ35" i="64"/>
  <c r="ES17" i="135" l="1"/>
  <c r="CW17" i="135"/>
  <c r="BA35" i="64"/>
  <c r="ET17" i="135" l="1"/>
  <c r="CX17" i="135"/>
  <c r="EU17" i="135" s="1"/>
  <c r="BC35" i="64"/>
  <c r="BB35" i="64"/>
  <c r="FC17" i="135" l="1"/>
  <c r="CR29" i="135"/>
  <c r="CS29" i="135" s="1"/>
  <c r="EO29" i="135"/>
  <c r="AX49" i="113"/>
  <c r="BK35" i="64"/>
  <c r="EP29" i="135" l="1"/>
  <c r="CT29" i="135"/>
  <c r="AY49" i="113"/>
  <c r="EQ29" i="135" l="1"/>
  <c r="CU29" i="135"/>
  <c r="AZ49" i="113"/>
  <c r="ER29" i="135" l="1"/>
  <c r="CV29" i="135"/>
  <c r="BA49" i="113"/>
  <c r="ES29" i="135" l="1"/>
  <c r="CW29" i="135"/>
  <c r="BB49" i="113"/>
  <c r="ET29" i="135" l="1"/>
  <c r="CX29" i="135"/>
  <c r="EU29" i="135" s="1"/>
  <c r="BD49" i="113"/>
  <c r="BC49" i="113"/>
  <c r="FC29" i="135" l="1"/>
  <c r="CR14" i="135"/>
  <c r="BY49" i="113"/>
  <c r="EO14" i="135" l="1"/>
  <c r="CS14" i="135"/>
  <c r="AW32" i="64"/>
  <c r="EP14" i="135" l="1"/>
  <c r="CT14" i="135"/>
  <c r="AX32" i="64"/>
  <c r="EQ14" i="135" l="1"/>
  <c r="CU14" i="135"/>
  <c r="AY32" i="64"/>
  <c r="ER14" i="135" l="1"/>
  <c r="CV14" i="135"/>
  <c r="AZ32" i="64"/>
  <c r="ES14" i="135" l="1"/>
  <c r="CW14" i="135"/>
  <c r="BA32" i="64"/>
  <c r="ET14" i="135" l="1"/>
  <c r="CX14" i="135"/>
  <c r="EU14" i="135" s="1"/>
  <c r="BB32" i="64"/>
  <c r="BC32" i="64"/>
  <c r="FC14" i="135" l="1"/>
  <c r="FL14" i="135" s="1"/>
  <c r="BK32" i="64"/>
  <c r="CR19" i="135" l="1"/>
  <c r="EO19" i="135" s="1"/>
  <c r="CS19" i="135"/>
  <c r="EP19" i="135" s="1"/>
  <c r="AW37" i="64"/>
  <c r="AX37" i="64"/>
  <c r="CT19" i="135" l="1"/>
  <c r="EQ19" i="135" l="1"/>
  <c r="CU19" i="135"/>
  <c r="AY37" i="64"/>
  <c r="ER19" i="135" l="1"/>
  <c r="CV19" i="135"/>
  <c r="AZ37" i="64"/>
  <c r="ES19" i="135" l="1"/>
  <c r="CW19" i="135"/>
  <c r="BA37" i="64"/>
  <c r="CX19" i="135" l="1"/>
  <c r="EU19" i="135" s="1"/>
  <c r="ET19" i="135"/>
  <c r="CR34" i="135"/>
  <c r="EO34" i="135" s="1"/>
  <c r="AX54" i="113"/>
  <c r="BC37" i="64"/>
  <c r="BB37" i="64"/>
  <c r="FC19" i="135" l="1"/>
  <c r="CS34" i="135"/>
  <c r="BK37" i="64"/>
  <c r="EP34" i="135" l="1"/>
  <c r="CT34" i="135"/>
  <c r="AY54" i="113"/>
  <c r="EQ34" i="135" l="1"/>
  <c r="CU34" i="135"/>
  <c r="AZ54" i="113"/>
  <c r="ER34" i="135" l="1"/>
  <c r="CV34" i="135"/>
  <c r="BA54" i="113"/>
  <c r="ES34" i="135" l="1"/>
  <c r="CW34" i="135"/>
  <c r="BB54" i="113"/>
  <c r="ET34" i="135" l="1"/>
  <c r="CX34" i="135"/>
  <c r="EU34" i="135" s="1"/>
  <c r="BC54" i="113"/>
  <c r="BD54" i="113"/>
  <c r="FC34" i="135" l="1"/>
  <c r="FL19" i="135" s="1"/>
  <c r="CR30" i="135"/>
  <c r="CR15" i="135"/>
  <c r="CS15" i="135" s="1"/>
  <c r="BY54" i="113"/>
  <c r="CS30" i="135" l="1"/>
  <c r="EO30" i="135"/>
  <c r="CT15" i="135"/>
  <c r="EP15" i="135"/>
  <c r="EO15" i="135"/>
  <c r="AX33" i="64"/>
  <c r="AW33" i="64"/>
  <c r="AX50" i="113"/>
  <c r="CT30" i="135" l="1"/>
  <c r="EP30" i="135"/>
  <c r="CU15" i="135"/>
  <c r="EQ15" i="135"/>
  <c r="AY33" i="64"/>
  <c r="AY50" i="113"/>
  <c r="CU30" i="135" l="1"/>
  <c r="EQ30" i="135"/>
  <c r="CV15" i="135"/>
  <c r="ER15" i="135"/>
  <c r="AZ33" i="64"/>
  <c r="AZ50" i="113"/>
  <c r="CW15" i="135" l="1"/>
  <c r="ES15" i="135"/>
  <c r="CV30" i="135"/>
  <c r="ER30" i="135"/>
  <c r="BA50" i="113"/>
  <c r="BA33" i="64"/>
  <c r="CW30" i="135" l="1"/>
  <c r="ES30" i="135"/>
  <c r="CX15" i="135"/>
  <c r="EU15" i="135" s="1"/>
  <c r="ET15" i="135"/>
  <c r="BC33" i="64"/>
  <c r="BB33" i="64"/>
  <c r="BB50" i="113"/>
  <c r="FC15" i="135" l="1"/>
  <c r="ET30" i="135"/>
  <c r="CX30" i="135"/>
  <c r="EU30" i="135" s="1"/>
  <c r="BD50" i="113"/>
  <c r="BK33" i="64"/>
  <c r="BC50" i="113"/>
  <c r="FC30" i="135" l="1"/>
  <c r="FL15" i="135" s="1"/>
  <c r="CR31" i="135"/>
  <c r="CR16" i="135"/>
  <c r="CS16" i="135" s="1"/>
  <c r="BY50" i="113"/>
  <c r="CT16" i="135" l="1"/>
  <c r="EP16" i="135"/>
  <c r="EO16" i="135"/>
  <c r="CS31" i="135"/>
  <c r="EO31" i="135"/>
  <c r="AX34" i="64"/>
  <c r="AX51" i="113"/>
  <c r="AW34" i="64"/>
  <c r="CT31" i="135" l="1"/>
  <c r="EP31" i="135"/>
  <c r="CU16" i="135"/>
  <c r="EQ16" i="135"/>
  <c r="AY51" i="113"/>
  <c r="AY34" i="64"/>
  <c r="CV16" i="135" l="1"/>
  <c r="ER16" i="135"/>
  <c r="CU31" i="135"/>
  <c r="EQ31" i="135"/>
  <c r="AZ34" i="64"/>
  <c r="AZ51" i="113"/>
  <c r="CV31" i="135" l="1"/>
  <c r="ER31" i="135"/>
  <c r="CW16" i="135"/>
  <c r="ES16" i="135"/>
  <c r="BA51" i="113"/>
  <c r="BA34" i="64"/>
  <c r="CW31" i="135" l="1"/>
  <c r="ES31" i="135"/>
  <c r="CX16" i="135"/>
  <c r="EU16" i="135" s="1"/>
  <c r="ET16" i="135"/>
  <c r="BB34" i="64"/>
  <c r="BB51" i="113"/>
  <c r="BC34" i="64"/>
  <c r="CX31" i="135" l="1"/>
  <c r="EU31" i="135" s="1"/>
  <c r="ET31" i="135"/>
  <c r="FC16" i="135"/>
  <c r="BD51" i="113"/>
  <c r="BC51" i="113"/>
  <c r="BK34" i="64"/>
  <c r="FC31" i="135" l="1"/>
  <c r="FL16" i="135" s="1"/>
  <c r="CR33" i="135"/>
  <c r="EO33" i="135" s="1"/>
  <c r="AX53" i="113"/>
  <c r="BY51" i="113"/>
  <c r="AX264" i="113" l="1"/>
  <c r="CS33" i="135"/>
  <c r="CR18" i="135"/>
  <c r="EO18" i="135" l="1"/>
  <c r="CS18" i="135"/>
  <c r="EP33" i="135"/>
  <c r="CT33" i="135"/>
  <c r="AX273" i="113"/>
  <c r="AR30" i="71"/>
  <c r="AW36" i="64"/>
  <c r="AY53" i="113"/>
  <c r="AY264" i="113" l="1"/>
  <c r="AW140" i="64"/>
  <c r="BS140" i="64" s="1"/>
  <c r="AR41" i="71"/>
  <c r="EQ33" i="135"/>
  <c r="CU33" i="135"/>
  <c r="EP18" i="135"/>
  <c r="CT18" i="135"/>
  <c r="AX36" i="64"/>
  <c r="AZ53" i="113"/>
  <c r="AX140" i="64" l="1"/>
  <c r="BT140" i="64" s="1"/>
  <c r="AZ264" i="113"/>
  <c r="EQ18" i="135"/>
  <c r="CU18" i="135"/>
  <c r="ER33" i="135"/>
  <c r="CV33" i="135"/>
  <c r="AR10" i="71"/>
  <c r="AW149" i="64"/>
  <c r="AS30" i="71"/>
  <c r="AY273" i="113"/>
  <c r="AY36" i="64"/>
  <c r="BA53" i="113"/>
  <c r="BA264" i="113" l="1"/>
  <c r="AY140" i="64"/>
  <c r="AS41" i="71"/>
  <c r="AR21" i="71"/>
  <c r="ES33" i="135"/>
  <c r="CW33" i="135"/>
  <c r="ER18" i="135"/>
  <c r="CV18" i="135"/>
  <c r="AT30" i="71"/>
  <c r="AT41" i="71" s="1"/>
  <c r="AZ273" i="113"/>
  <c r="AX149" i="64"/>
  <c r="AS10" i="71"/>
  <c r="AS21" i="71" s="1"/>
  <c r="AZ36" i="64"/>
  <c r="BB53" i="113"/>
  <c r="AZ140" i="64" l="1"/>
  <c r="BB264" i="113"/>
  <c r="ES18" i="135"/>
  <c r="CW18" i="135"/>
  <c r="ET33" i="135"/>
  <c r="CX33" i="135"/>
  <c r="EU33" i="135" s="1"/>
  <c r="AY149" i="64"/>
  <c r="AT10" i="71"/>
  <c r="AT21" i="71" s="1"/>
  <c r="BA273" i="113"/>
  <c r="AU30" i="71"/>
  <c r="AU41" i="71" s="1"/>
  <c r="BC53" i="113"/>
  <c r="BA36" i="64"/>
  <c r="BD53" i="113"/>
  <c r="BC264" i="113" l="1"/>
  <c r="BD264" i="113"/>
  <c r="BA140" i="64"/>
  <c r="FC33" i="135"/>
  <c r="FL18" i="135" s="1"/>
  <c r="AV30" i="71"/>
  <c r="AV41" i="71" s="1"/>
  <c r="BB273" i="113"/>
  <c r="CX18" i="135"/>
  <c r="EU18" i="135" s="1"/>
  <c r="ET18" i="135"/>
  <c r="AU10" i="71"/>
  <c r="AU21" i="71" s="1"/>
  <c r="AZ149" i="64"/>
  <c r="BB36" i="64"/>
  <c r="BC36" i="64"/>
  <c r="BY53" i="113"/>
  <c r="BC140" i="64" l="1"/>
  <c r="BY264" i="113"/>
  <c r="BY273" i="113" s="1"/>
  <c r="BB140" i="64"/>
  <c r="BA149" i="64"/>
  <c r="AV10" i="71"/>
  <c r="AV21" i="71" s="1"/>
  <c r="AX30" i="71"/>
  <c r="AX41" i="71" s="1"/>
  <c r="BD273" i="113"/>
  <c r="AW30" i="71"/>
  <c r="AW41" i="71" s="1"/>
  <c r="BC273" i="113"/>
  <c r="FC18" i="135"/>
  <c r="BK36" i="64"/>
  <c r="BK140" i="64" l="1"/>
  <c r="BK149" i="64" s="1"/>
  <c r="H30" i="71"/>
  <c r="H41" i="71" s="1"/>
  <c r="AW10" i="71"/>
  <c r="BB149" i="64"/>
  <c r="AX10" i="71"/>
  <c r="AX21" i="71" s="1"/>
  <c r="BC149" i="64"/>
  <c r="AW21" i="71" l="1"/>
  <c r="H10" i="71"/>
  <c r="H21"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tc={27AE8D66-0E56-480F-9D59-D48E816C4729}</author>
  </authors>
  <commentList>
    <comment ref="AU153" authorId="0" shapeId="0" xr:uid="{27AE8D66-0E56-480F-9D59-D48E816C4729}">
      <text>
        <t>[Threaded comment]
Your version of Excel allows you to read this threaded comment; however, any edits to it will get removed if the file is opened in a newer version of Excel. Learn more: https://go.microsoft.com/fwlink/?linkid=870924
Comment:
    Why does online marketplace have no kW?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Aquila Velonis</author>
  </authors>
  <commentList>
    <comment ref="B43" authorId="0" shapeId="0" xr:uid="{4FDE6EB5-B042-48F4-A98D-685B77E15A05}">
      <text>
        <r>
          <rPr>
            <b/>
            <sz val="9"/>
            <color indexed="81"/>
            <rFont val="Tahoma"/>
            <family val="2"/>
          </rPr>
          <t>Aquila Velonis:</t>
        </r>
        <r>
          <rPr>
            <sz val="9"/>
            <color indexed="81"/>
            <rFont val="Tahoma"/>
            <family val="2"/>
          </rPr>
          <t xml:space="preserve">
Energy bill credits of $5 per month (up to $20 annually) per device in June, July, August and September for each central air conditioning unit or heat pump system weighing up to five tons, plus an additional $1 per month for every additional ton.</t>
        </r>
      </text>
    </comment>
    <comment ref="B44" authorId="0" shapeId="0" xr:uid="{E2812BD9-EF88-4EB1-8E79-D891E38C31C7}">
      <text>
        <r>
          <rPr>
            <b/>
            <sz val="9"/>
            <color indexed="81"/>
            <rFont val="Tahoma"/>
            <family val="2"/>
          </rPr>
          <t>Aquila Velonis:</t>
        </r>
        <r>
          <rPr>
            <sz val="9"/>
            <color indexed="81"/>
            <rFont val="Tahoma"/>
            <family val="2"/>
          </rPr>
          <t xml:space="preserve">
Energy bill credits of $2 per month (up to $8 annually) per device in June, July, August and September for each electric water heater or in-ground swimming pool pump.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Andy Eiden</author>
  </authors>
  <commentList>
    <comment ref="B10" authorId="0" shapeId="0" xr:uid="{EDF20DB6-9772-43A4-A9C0-22250408541F}">
      <text>
        <r>
          <rPr>
            <b/>
            <sz val="9"/>
            <color indexed="81"/>
            <rFont val="Tahoma"/>
            <family val="2"/>
          </rPr>
          <t>Andy Eiden:</t>
        </r>
        <r>
          <rPr>
            <sz val="9"/>
            <color indexed="81"/>
            <rFont val="Tahoma"/>
            <family val="2"/>
          </rPr>
          <t xml:space="preserve">
Note DHP savings did not have the same detail provided. Only evaluating kW demand impacts since those were 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Aquila Velonis</author>
  </authors>
  <commentList>
    <comment ref="AA34" authorId="0" shapeId="0" xr:uid="{00000000-0006-0000-0A00-000050000000}">
      <text>
        <r>
          <rPr>
            <b/>
            <sz val="9"/>
            <color indexed="81"/>
            <rFont val="Tahoma"/>
            <family val="2"/>
          </rPr>
          <t>Aquila Velonis:</t>
        </r>
        <r>
          <rPr>
            <sz val="9"/>
            <color indexed="81"/>
            <rFont val="Tahoma"/>
            <family val="2"/>
          </rPr>
          <t xml:space="preserve">
Program projection data from LG&amp;E and KU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Aquila Velonis</author>
  </authors>
  <commentList>
    <comment ref="B99" authorId="0" shapeId="0" xr:uid="{92639126-F033-4600-ACA0-574E47CB3867}">
      <text>
        <r>
          <rPr>
            <b/>
            <sz val="9"/>
            <color indexed="81"/>
            <rFont val="Tahoma"/>
            <family val="2"/>
          </rPr>
          <t>Aquila Velonis:</t>
        </r>
        <r>
          <rPr>
            <sz val="9"/>
            <color indexed="81"/>
            <rFont val="Tahoma"/>
            <family val="2"/>
          </rPr>
          <t xml:space="preserve">
Energy bill credits of $5 per month (up to $20 annually) per device in June, July, August and September for each central air conditioning unit or heat pump system weighing up to five tons, plus an additional $1 per month for every additional ton.</t>
        </r>
      </text>
    </comment>
    <comment ref="B100" authorId="0" shapeId="0" xr:uid="{EE9A50C3-2C63-4F37-AB1C-FADB4DB1700F}">
      <text>
        <r>
          <rPr>
            <b/>
            <sz val="9"/>
            <color indexed="81"/>
            <rFont val="Tahoma"/>
            <family val="2"/>
          </rPr>
          <t>Aquila Velonis:</t>
        </r>
        <r>
          <rPr>
            <sz val="9"/>
            <color indexed="81"/>
            <rFont val="Tahoma"/>
            <family val="2"/>
          </rPr>
          <t xml:space="preserve">
Energy bill credits of $2 per month (up to $8 annually) per device in June, July, August and September for each electric water heater or in-ground swimming pool pump.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Aquila Velonis</author>
  </authors>
  <commentList>
    <comment ref="B52" authorId="0" shapeId="0" xr:uid="{88F44110-F3FA-4DC0-8DEA-402B6DCCD8AA}">
      <text>
        <r>
          <rPr>
            <b/>
            <sz val="9"/>
            <color indexed="81"/>
            <rFont val="Tahoma"/>
            <family val="2"/>
          </rPr>
          <t>Aquila Velonis:</t>
        </r>
        <r>
          <rPr>
            <sz val="9"/>
            <color indexed="81"/>
            <rFont val="Tahoma"/>
            <family val="2"/>
          </rPr>
          <t xml:space="preserve">
Energy bill credits of $5 per month (up to $20 annually) per device in June, July, August and September for each central air conditioning unit or heat pump system weighing up to five tons, plus an additional $1 per month for every additional ton.</t>
        </r>
      </text>
    </comment>
    <comment ref="B53" authorId="0" shapeId="0" xr:uid="{F4540E96-7D0F-4308-8C28-F9EA822561EF}">
      <text>
        <r>
          <rPr>
            <b/>
            <sz val="9"/>
            <color indexed="81"/>
            <rFont val="Tahoma"/>
            <family val="2"/>
          </rPr>
          <t>Aquila Velonis:</t>
        </r>
        <r>
          <rPr>
            <sz val="9"/>
            <color indexed="81"/>
            <rFont val="Tahoma"/>
            <family val="2"/>
          </rPr>
          <t xml:space="preserve">
Energy bill credits of $2 per month (up to $8 annually) per device in June, July, August and September for each electric water heater or in-ground swimming pool pump.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Aquila Velonis</author>
  </authors>
  <commentList>
    <comment ref="R48" authorId="0" shapeId="0" xr:uid="{F8260101-9E35-47E7-B305-B373C61CA558}">
      <text>
        <r>
          <rPr>
            <b/>
            <sz val="9"/>
            <color indexed="81"/>
            <rFont val="Tahoma"/>
            <family val="2"/>
          </rPr>
          <t>Aquila Velonis:</t>
        </r>
        <r>
          <rPr>
            <sz val="9"/>
            <color indexed="81"/>
            <rFont val="Tahoma"/>
            <family val="2"/>
          </rPr>
          <t xml:space="preserve">
No cooling savings = no demand impacts</t>
        </r>
      </text>
    </comment>
    <comment ref="S48" authorId="0" shapeId="0" xr:uid="{1705192E-000F-47C6-B65E-8F3BAFEE76A5}">
      <text>
        <r>
          <rPr>
            <b/>
            <sz val="9"/>
            <color indexed="81"/>
            <rFont val="Tahoma"/>
            <family val="2"/>
          </rPr>
          <t>Aquila Velonis:</t>
        </r>
        <r>
          <rPr>
            <sz val="9"/>
            <color indexed="81"/>
            <rFont val="Tahoma"/>
            <family val="2"/>
          </rPr>
          <t xml:space="preserve">
50% LGE only receives savings</t>
        </r>
      </text>
    </comment>
    <comment ref="R49" authorId="0" shapeId="0" xr:uid="{9C1A9992-636B-49F2-B1FA-1DA7225F2F50}">
      <text>
        <r>
          <rPr>
            <b/>
            <sz val="9"/>
            <color indexed="81"/>
            <rFont val="Tahoma"/>
            <family val="2"/>
          </rPr>
          <t>Aquila Velonis:</t>
        </r>
        <r>
          <rPr>
            <sz val="9"/>
            <color indexed="81"/>
            <rFont val="Tahoma"/>
            <family val="2"/>
          </rPr>
          <t xml:space="preserve">
No cooling savings = no demand impacts</t>
        </r>
      </text>
    </comment>
    <comment ref="S49" authorId="0" shapeId="0" xr:uid="{8ABA5D61-BC14-4A90-9FBB-7B901FAD9DD5}">
      <text>
        <r>
          <rPr>
            <b/>
            <sz val="9"/>
            <color indexed="81"/>
            <rFont val="Tahoma"/>
            <family val="2"/>
          </rPr>
          <t>Aquila Velonis:</t>
        </r>
        <r>
          <rPr>
            <sz val="9"/>
            <color indexed="81"/>
            <rFont val="Tahoma"/>
            <family val="2"/>
          </rPr>
          <t xml:space="preserve">
50% LGE only receives savings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<sst xmlns="http://schemas.openxmlformats.org/spreadsheetml/2006/main" count="17586" uniqueCount="2768">
  <si>
    <t>Program</t>
  </si>
  <si>
    <t>Existing</t>
  </si>
  <si>
    <t>N/A</t>
  </si>
  <si>
    <t>New</t>
  </si>
  <si>
    <t>Residential Demand Conservation</t>
  </si>
  <si>
    <t>Commercial Energy Rebates</t>
  </si>
  <si>
    <t>Company Summary (LG&amp;E and KU)</t>
  </si>
  <si>
    <t>Total Plan Summary 
2024-2030</t>
  </si>
  <si>
    <t>Program Name</t>
  </si>
  <si>
    <t>Participation</t>
  </si>
  <si>
    <t>Administation Costs ($)</t>
  </si>
  <si>
    <t>Incentives ($)</t>
  </si>
  <si>
    <t>Electric kWh  Benefits</t>
  </si>
  <si>
    <t>Electric kW Peak Demand Benefits</t>
  </si>
  <si>
    <t>Natural Gas Therms Benefits</t>
  </si>
  <si>
    <t>Participation 2024</t>
  </si>
  <si>
    <t>Participation 2025</t>
  </si>
  <si>
    <t>Participation 2026</t>
  </si>
  <si>
    <t>Participation 2027</t>
  </si>
  <si>
    <t>Participation 2028</t>
  </si>
  <si>
    <t>Participation 2029</t>
  </si>
  <si>
    <t>Participation 2030</t>
  </si>
  <si>
    <t>Administration 2024</t>
  </si>
  <si>
    <t>Administration 2025</t>
  </si>
  <si>
    <t>Administration 2026</t>
  </si>
  <si>
    <t>Administration 2027</t>
  </si>
  <si>
    <t>Administration 2028</t>
  </si>
  <si>
    <t>Administration 2029</t>
  </si>
  <si>
    <t>Administration 2030</t>
  </si>
  <si>
    <t>Incentives 2024</t>
  </si>
  <si>
    <t>Incentives 2025</t>
  </si>
  <si>
    <t>Incentives 2026</t>
  </si>
  <si>
    <t>Incentives 2027</t>
  </si>
  <si>
    <t>Incentives 2028</t>
  </si>
  <si>
    <t>Incentives 2029</t>
  </si>
  <si>
    <t>Incentives 2030</t>
  </si>
  <si>
    <t>Electric kWh 2024</t>
  </si>
  <si>
    <t>Electric kWh 2025</t>
  </si>
  <si>
    <t>Electric kWh 2026</t>
  </si>
  <si>
    <t>Electric kWh 2027</t>
  </si>
  <si>
    <t>Electric kWh 2028</t>
  </si>
  <si>
    <t>Electric kWh 2029</t>
  </si>
  <si>
    <t>Electric kWh 2030</t>
  </si>
  <si>
    <t>Electric kW 2024</t>
  </si>
  <si>
    <t>Electric kW 2025</t>
  </si>
  <si>
    <t>Electric kW 2026</t>
  </si>
  <si>
    <t>Electric kW 2027</t>
  </si>
  <si>
    <t>Electric kW 2028</t>
  </si>
  <si>
    <t>Electric kW 2029</t>
  </si>
  <si>
    <t>Electric kW 2030</t>
  </si>
  <si>
    <t>Gas Therms 2024</t>
  </si>
  <si>
    <t>Gas Therms 2025</t>
  </si>
  <si>
    <t>Gas Therms 2026</t>
  </si>
  <si>
    <t>Gas Therms 2027</t>
  </si>
  <si>
    <t>Gas Therms 2028</t>
  </si>
  <si>
    <t>Gas Therms 2029</t>
  </si>
  <si>
    <t>Gas Therms 2030</t>
  </si>
  <si>
    <t>WeCare V2</t>
  </si>
  <si>
    <t>LI Multifamily - Whole Building</t>
  </si>
  <si>
    <t>Appliance Recycling</t>
  </si>
  <si>
    <t>Online Marketplace</t>
  </si>
  <si>
    <t>Residential Audit Online</t>
  </si>
  <si>
    <t>BYOT &amp; BYOD</t>
  </si>
  <si>
    <t>Business Rebates</t>
  </si>
  <si>
    <t>Small Business - Audit &amp; DI</t>
  </si>
  <si>
    <t>Large Nonres Demand Con.</t>
  </si>
  <si>
    <t>Peak Time Rebate</t>
  </si>
  <si>
    <t>Residential Managed Charging</t>
  </si>
  <si>
    <t>NonRes Midstream Lighting</t>
  </si>
  <si>
    <t>PDA</t>
  </si>
  <si>
    <t>Portfolio Plan</t>
  </si>
  <si>
    <t xml:space="preserve">KU Summary </t>
  </si>
  <si>
    <t>KU Plan</t>
  </si>
  <si>
    <t xml:space="preserve">LG&amp;E Summary </t>
  </si>
  <si>
    <t>LG&amp;E Plan</t>
  </si>
  <si>
    <t>Measure</t>
  </si>
  <si>
    <t>Unit</t>
  </si>
  <si>
    <t>Qty_2024</t>
  </si>
  <si>
    <t>Qty_2025</t>
  </si>
  <si>
    <t>Qty_2026</t>
  </si>
  <si>
    <t>Qty_2027</t>
  </si>
  <si>
    <t>Qty_2028</t>
  </si>
  <si>
    <t>Qty_2029</t>
  </si>
  <si>
    <t>Qty_2030</t>
  </si>
  <si>
    <t>Cost_2024</t>
  </si>
  <si>
    <t>Cost_2025</t>
  </si>
  <si>
    <t>Cost_2026</t>
  </si>
  <si>
    <t>Cost_2027</t>
  </si>
  <si>
    <t>Cost_2028</t>
  </si>
  <si>
    <t>Cost_2029</t>
  </si>
  <si>
    <t>Cost_2030</t>
  </si>
  <si>
    <t>O&amp;M_2024</t>
  </si>
  <si>
    <t>O&amp;M_2025</t>
  </si>
  <si>
    <t>O&amp;M_2026</t>
  </si>
  <si>
    <t>O&amp;M_2027</t>
  </si>
  <si>
    <t>O&amp;M_2028</t>
  </si>
  <si>
    <t>O&amp;M_2029</t>
  </si>
  <si>
    <t>O&amp;M_2030</t>
  </si>
  <si>
    <t>Incentive$_2024</t>
  </si>
  <si>
    <t>Incentive$_2025</t>
  </si>
  <si>
    <t>Incentive$_2026</t>
  </si>
  <si>
    <t>Incentive$_2027</t>
  </si>
  <si>
    <t>Incentive$_2028</t>
  </si>
  <si>
    <t>Incentive$_2029</t>
  </si>
  <si>
    <t>Incentive$_2030</t>
  </si>
  <si>
    <t>kWh_2024</t>
  </si>
  <si>
    <t>kWh_2025</t>
  </si>
  <si>
    <t>kWh_2026</t>
  </si>
  <si>
    <t>kWh_2027</t>
  </si>
  <si>
    <t>kWh_2028</t>
  </si>
  <si>
    <t>kWh_2029</t>
  </si>
  <si>
    <t>kWh_2030</t>
  </si>
  <si>
    <t>kW_2024</t>
  </si>
  <si>
    <t>kW_2025</t>
  </si>
  <si>
    <t>kW_2026</t>
  </si>
  <si>
    <t>kW_2027</t>
  </si>
  <si>
    <t>kW_2028</t>
  </si>
  <si>
    <t>kW_2029</t>
  </si>
  <si>
    <t>kW_2030</t>
  </si>
  <si>
    <t>Therms_2024</t>
  </si>
  <si>
    <t>Therms_2025</t>
  </si>
  <si>
    <t>Therms_2026</t>
  </si>
  <si>
    <t>Therms_2027</t>
  </si>
  <si>
    <t>Therms_2028</t>
  </si>
  <si>
    <t>Therms_2029</t>
  </si>
  <si>
    <t>Therms_2030</t>
  </si>
  <si>
    <t>Company Portfolio Summary</t>
  </si>
  <si>
    <t>Measure Details</t>
  </si>
  <si>
    <t>Incremental Costs</t>
  </si>
  <si>
    <t>Incremental Annual O&amp;M</t>
  </si>
  <si>
    <t>Customer &amp; Dealer Incentives</t>
  </si>
  <si>
    <t xml:space="preserve">kWh </t>
  </si>
  <si>
    <t>kW</t>
  </si>
  <si>
    <t>Therms</t>
  </si>
  <si>
    <t>Total Plan Summary 2024-2030</t>
  </si>
  <si>
    <t>Measure ID</t>
  </si>
  <si>
    <t>Measure Name</t>
  </si>
  <si>
    <t>Measure Description/Qualification</t>
  </si>
  <si>
    <t>Per Unit Assumption</t>
  </si>
  <si>
    <t>Incremental Costs ($)</t>
  </si>
  <si>
    <t>Incremental Annual O&amp;M ($)</t>
  </si>
  <si>
    <t>Customer &amp; Dealer Incentives ($)</t>
  </si>
  <si>
    <t>Implementation Costs ($)</t>
  </si>
  <si>
    <t>Incremental Costs 2024</t>
  </si>
  <si>
    <t>Incremental Annual O&amp;M 2024</t>
  </si>
  <si>
    <t>Total Program Summary</t>
  </si>
  <si>
    <t>Per Widget (Total)</t>
  </si>
  <si>
    <t xml:space="preserve">Total Porfolio </t>
  </si>
  <si>
    <t>Total</t>
  </si>
  <si>
    <t>ElecTargetSector</t>
  </si>
  <si>
    <t>ElecEndUseShape</t>
  </si>
  <si>
    <t>GasSavingsProfile</t>
  </si>
  <si>
    <t>ElecRateSchedule</t>
  </si>
  <si>
    <t>GasRateSchedule</t>
  </si>
  <si>
    <t>EUL</t>
  </si>
  <si>
    <t>Already in the Program Costs Summary - DO NOT DOUBLE COUNT</t>
  </si>
  <si>
    <t>__Participation 2024</t>
  </si>
  <si>
    <t>__Participation 2025</t>
  </si>
  <si>
    <t>__Participation 2026</t>
  </si>
  <si>
    <t>__Participation 2027</t>
  </si>
  <si>
    <t>__Participation 2028</t>
  </si>
  <si>
    <t>__Participation 2029</t>
  </si>
  <si>
    <t>__Participation 2030</t>
  </si>
  <si>
    <t>Lookup</t>
  </si>
  <si>
    <t>Utility Portfolio Summary</t>
  </si>
  <si>
    <t>Implementation Costs</t>
  </si>
  <si>
    <t>Sector</t>
  </si>
  <si>
    <t>Electric Load Shape</t>
  </si>
  <si>
    <t>Natural Gas Load Shape</t>
  </si>
  <si>
    <t>Customer Rate Class</t>
  </si>
  <si>
    <t>Measure Life</t>
  </si>
  <si>
    <t>1-KU</t>
  </si>
  <si>
    <t>1-LGE</t>
  </si>
  <si>
    <t>2-KU</t>
  </si>
  <si>
    <t>2-LGE</t>
  </si>
  <si>
    <t>3-KU</t>
  </si>
  <si>
    <t>4-KU</t>
  </si>
  <si>
    <t>5-KU</t>
  </si>
  <si>
    <t>6-KU</t>
  </si>
  <si>
    <t>3-LGE</t>
  </si>
  <si>
    <t>4-LGE</t>
  </si>
  <si>
    <t>5-LGE</t>
  </si>
  <si>
    <t>6-LGE</t>
  </si>
  <si>
    <t>7-KU</t>
  </si>
  <si>
    <t>8-KU</t>
  </si>
  <si>
    <t>9-KU</t>
  </si>
  <si>
    <t>10-KU</t>
  </si>
  <si>
    <t>11-KU</t>
  </si>
  <si>
    <t>12-KU</t>
  </si>
  <si>
    <t>13-KU</t>
  </si>
  <si>
    <t>14-KU</t>
  </si>
  <si>
    <t>7-LGE</t>
  </si>
  <si>
    <t>8-LGE</t>
  </si>
  <si>
    <t>9-LGE</t>
  </si>
  <si>
    <t>10-LGE</t>
  </si>
  <si>
    <t>11-LGE</t>
  </si>
  <si>
    <t>12-LGE</t>
  </si>
  <si>
    <t>13-LGE</t>
  </si>
  <si>
    <t>14-LGE</t>
  </si>
  <si>
    <t>15-KU</t>
  </si>
  <si>
    <t>16-KU</t>
  </si>
  <si>
    <t>17-KU</t>
  </si>
  <si>
    <t>18-KU</t>
  </si>
  <si>
    <t>19-KU</t>
  </si>
  <si>
    <t>20-KU</t>
  </si>
  <si>
    <t>21-KU</t>
  </si>
  <si>
    <t>22-KU</t>
  </si>
  <si>
    <t>23-KU</t>
  </si>
  <si>
    <t>24-KU</t>
  </si>
  <si>
    <t>25-KU</t>
  </si>
  <si>
    <t>26-KU</t>
  </si>
  <si>
    <t>27-KU</t>
  </si>
  <si>
    <t>28-KU</t>
  </si>
  <si>
    <t>29-KU</t>
  </si>
  <si>
    <t>30-KU</t>
  </si>
  <si>
    <t>31-KU</t>
  </si>
  <si>
    <t>32-KU</t>
  </si>
  <si>
    <t>33-KU</t>
  </si>
  <si>
    <t>34-KU</t>
  </si>
  <si>
    <t>35-KU</t>
  </si>
  <si>
    <t>36-KU</t>
  </si>
  <si>
    <t>37-KU</t>
  </si>
  <si>
    <t>38-KU</t>
  </si>
  <si>
    <t>39-KU</t>
  </si>
  <si>
    <t>40-KU</t>
  </si>
  <si>
    <t>41-KU</t>
  </si>
  <si>
    <t>42-KU</t>
  </si>
  <si>
    <t>43-KU</t>
  </si>
  <si>
    <t>44-KU</t>
  </si>
  <si>
    <t>45-KU</t>
  </si>
  <si>
    <t>46-KU</t>
  </si>
  <si>
    <t>47-KU</t>
  </si>
  <si>
    <t>48-KU</t>
  </si>
  <si>
    <t>49-KU</t>
  </si>
  <si>
    <t>50-KU</t>
  </si>
  <si>
    <t>51-KU</t>
  </si>
  <si>
    <t>52-KU</t>
  </si>
  <si>
    <t>53-KU</t>
  </si>
  <si>
    <t>54-KU</t>
  </si>
  <si>
    <t>55-KU</t>
  </si>
  <si>
    <t>56-KU</t>
  </si>
  <si>
    <t>15-LGE</t>
  </si>
  <si>
    <t>16-LGE</t>
  </si>
  <si>
    <t>17-LGE</t>
  </si>
  <si>
    <t>18-LGE</t>
  </si>
  <si>
    <t>19-LGE</t>
  </si>
  <si>
    <t>20-LGE</t>
  </si>
  <si>
    <t>21-LGE</t>
  </si>
  <si>
    <t>22-LGE</t>
  </si>
  <si>
    <t>23-LGE</t>
  </si>
  <si>
    <t>24-LGE</t>
  </si>
  <si>
    <t>25-LGE</t>
  </si>
  <si>
    <t>26-LGE</t>
  </si>
  <si>
    <t>27-LGE</t>
  </si>
  <si>
    <t>28-LGE</t>
  </si>
  <si>
    <t>29-LGE</t>
  </si>
  <si>
    <t>30-LGE</t>
  </si>
  <si>
    <t>31-LGE</t>
  </si>
  <si>
    <t>32-LGE</t>
  </si>
  <si>
    <t>33-LGE</t>
  </si>
  <si>
    <t>34-LGE</t>
  </si>
  <si>
    <t>35-LGE</t>
  </si>
  <si>
    <t>36-LGE</t>
  </si>
  <si>
    <t>37-LGE</t>
  </si>
  <si>
    <t>38-LGE</t>
  </si>
  <si>
    <t>39-LGE</t>
  </si>
  <si>
    <t>40-LGE</t>
  </si>
  <si>
    <t>41-LGE</t>
  </si>
  <si>
    <t>42-LGE</t>
  </si>
  <si>
    <t>43-LGE</t>
  </si>
  <si>
    <t>44-LGE</t>
  </si>
  <si>
    <t>45-LGE</t>
  </si>
  <si>
    <t>46-LGE</t>
  </si>
  <si>
    <t>47-LGE</t>
  </si>
  <si>
    <t>48-LGE</t>
  </si>
  <si>
    <t>49-LGE</t>
  </si>
  <si>
    <t>50-LGE</t>
  </si>
  <si>
    <t>51-LGE</t>
  </si>
  <si>
    <t>52-LGE</t>
  </si>
  <si>
    <t>53-LGE</t>
  </si>
  <si>
    <t>54-LGE</t>
  </si>
  <si>
    <t>55-LGE</t>
  </si>
  <si>
    <t>56-LGE</t>
  </si>
  <si>
    <t>KU</t>
  </si>
  <si>
    <t xml:space="preserve">KU Porfolio </t>
  </si>
  <si>
    <t>LGE</t>
  </si>
  <si>
    <t xml:space="preserve">LG&amp;E Porfolio </t>
  </si>
  <si>
    <t>LGE-KU Budgets</t>
  </si>
  <si>
    <t>LGE/KU (in $000s)-Planning Total</t>
  </si>
  <si>
    <t>Model Input: Administration Program Costs</t>
  </si>
  <si>
    <t>Model Input: Incentives</t>
  </si>
  <si>
    <t>Programs</t>
  </si>
  <si>
    <t>Utility</t>
  </si>
  <si>
    <t>Utility Costs_2024</t>
  </si>
  <si>
    <t>Utility Costs_2025</t>
  </si>
  <si>
    <t>Utility Costs_2026</t>
  </si>
  <si>
    <t>Utility Costs_2027</t>
  </si>
  <si>
    <t>Utility Costs_2028</t>
  </si>
  <si>
    <t>Utility Costs_2029</t>
  </si>
  <si>
    <t>Utility Costs_2030</t>
  </si>
  <si>
    <t>Admin Costs_2024</t>
  </si>
  <si>
    <t>Admin Costs_2025</t>
  </si>
  <si>
    <t>Admin Costs_2026</t>
  </si>
  <si>
    <t>Admin Costs_2027</t>
  </si>
  <si>
    <t>Admin Costs_2028</t>
  </si>
  <si>
    <t>Admin Costs_2029</t>
  </si>
  <si>
    <t>Admin Costs_2030</t>
  </si>
  <si>
    <t>Incentives_2024</t>
  </si>
  <si>
    <t>Incentives_2025</t>
  </si>
  <si>
    <t>Incentives_2026</t>
  </si>
  <si>
    <t>Incentives_2027</t>
  </si>
  <si>
    <t>Incentives_2028</t>
  </si>
  <si>
    <t>Incentives_2029</t>
  </si>
  <si>
    <t>Incentives_2030</t>
  </si>
  <si>
    <t>LG&amp;E</t>
  </si>
  <si>
    <t>Admin Annual Increase</t>
  </si>
  <si>
    <t>Assumptions</t>
  </si>
  <si>
    <t xml:space="preserve">Program </t>
  </si>
  <si>
    <t>Administration</t>
  </si>
  <si>
    <t>Equipment</t>
  </si>
  <si>
    <t>Incentives</t>
  </si>
  <si>
    <t>None</t>
  </si>
  <si>
    <t>Multifamily</t>
  </si>
  <si>
    <t>Program Development &amp; Administration (PDA)</t>
  </si>
  <si>
    <t>Source</t>
  </si>
  <si>
    <t>Other</t>
  </si>
  <si>
    <t>TOTAL</t>
  </si>
  <si>
    <t>Costs</t>
  </si>
  <si>
    <t>Electric Benefits</t>
  </si>
  <si>
    <t>Electric Peak Demand Benefits</t>
  </si>
  <si>
    <t>Natural Gas Benefits</t>
  </si>
  <si>
    <t>Per Unit</t>
  </si>
  <si>
    <t>First Year Costs</t>
  </si>
  <si>
    <t>First Year Energy Savings</t>
  </si>
  <si>
    <t>Participation Assumptions</t>
  </si>
  <si>
    <t>Modeling Measure-level Inputs</t>
  </si>
  <si>
    <t>Measure Tier Share</t>
  </si>
  <si>
    <t>Measure Fuel Weights</t>
  </si>
  <si>
    <t>Implementation Cost</t>
  </si>
  <si>
    <t>Base Equipment</t>
  </si>
  <si>
    <t>Full or Incremental Cost</t>
  </si>
  <si>
    <t>Full/Incremental Equipment Cost (Per Unit)</t>
  </si>
  <si>
    <t>Full/Incremental Labor Cost (Per Unit)</t>
  </si>
  <si>
    <t>Full/Incremental Cost (Per Unit)</t>
  </si>
  <si>
    <t>Incremental Annual O&amp;M (Per Unit)</t>
  </si>
  <si>
    <t>50% of Incremental Cost</t>
  </si>
  <si>
    <t>Cost Sources</t>
  </si>
  <si>
    <t>Current Incentive</t>
  </si>
  <si>
    <t>Proposed Incentive Level</t>
  </si>
  <si>
    <t>Dealer Incentive</t>
  </si>
  <si>
    <t>Electric kWh Savings Per Unit</t>
  </si>
  <si>
    <t>Electric kW Savings Per Unit</t>
  </si>
  <si>
    <t>Natural Gas Therms Savings Per Unit</t>
  </si>
  <si>
    <t>Energy Savings Source</t>
  </si>
  <si>
    <t>Escalation Rate</t>
  </si>
  <si>
    <t>Number of Unit Per Participant</t>
  </si>
  <si>
    <t>Projected 2021</t>
  </si>
  <si>
    <t>Projected 2022</t>
  </si>
  <si>
    <t>Participation 2023</t>
  </si>
  <si>
    <t>Fuel Type</t>
  </si>
  <si>
    <t>Segment</t>
  </si>
  <si>
    <t>Enduse</t>
  </si>
  <si>
    <t>Construction Type</t>
  </si>
  <si>
    <t>Potential Study Measure Name</t>
  </si>
  <si>
    <t>Potential Study Measure Description</t>
  </si>
  <si>
    <t>Potential Study Baseline Description</t>
  </si>
  <si>
    <t>Baseline Life</t>
  </si>
  <si>
    <t>Life Source</t>
  </si>
  <si>
    <t>Tier Share</t>
  </si>
  <si>
    <t>Electric Share</t>
  </si>
  <si>
    <t>Natural Gas Share</t>
  </si>
  <si>
    <t>Per Program</t>
  </si>
  <si>
    <t>Full Cost</t>
  </si>
  <si>
    <t>Modeled as funding only program - no savings</t>
  </si>
  <si>
    <t>Both</t>
  </si>
  <si>
    <t>Residential</t>
  </si>
  <si>
    <t>Single Family</t>
  </si>
  <si>
    <t>All</t>
  </si>
  <si>
    <t>NA</t>
  </si>
  <si>
    <t>ResEleTotal - SF Wtd</t>
  </si>
  <si>
    <t>ResSFGasTotal</t>
  </si>
  <si>
    <t>LGE Res</t>
  </si>
  <si>
    <t>Annual program life</t>
  </si>
  <si>
    <t>KU-Program Development &amp; Administration (PDA)</t>
  </si>
  <si>
    <t>Electric</t>
  </si>
  <si>
    <t>KU Res</t>
  </si>
  <si>
    <t>LG&amp;E-Program Development &amp; Administration (PDA)</t>
  </si>
  <si>
    <t>Modeled as Funding Only</t>
  </si>
  <si>
    <t>See "LGE-KU Budgets" tab</t>
  </si>
  <si>
    <t>WeCare V2 - Low - Moderate Income with DR Direct Enrollment</t>
  </si>
  <si>
    <t>Projected 2023</t>
  </si>
  <si>
    <t>WeCare V2 Weatherization Project - Single Family - Complete Package</t>
  </si>
  <si>
    <t>Low Income Heating Assistance Program (LIHEAP) at 300% FPL</t>
  </si>
  <si>
    <t>Existing conditions</t>
  </si>
  <si>
    <t>Per Home</t>
  </si>
  <si>
    <t>LG&amp;E - KU actual 2015 - 2016 savings, number of projects, and average costs: WeCare_Savings_Summary</t>
  </si>
  <si>
    <t>2022 Evaluation of B&amp;C Tiers - https://cadmus.sharepoint.com/sites/CP6923/Shared%20Documents/LGE%20KU%202023%20DSM%20Plan/Data/LGE%20KU%20Data/LGE%20KU_2022%20Deemed%20Savings%20Recommendations_2022-09-30%20V1.xlsx?web=1</t>
  </si>
  <si>
    <t>Most installations are insulations and other weatherization measures. Assume 20 years from Database for Energy Efficient Resources (DEER), Summary of EUL Analysis, 2014  for "Roof/Ceiling Insulation - Residential" measure (consistent with Cadmus potential study 2016).</t>
  </si>
  <si>
    <t>WeCare V2 Smart Thermostat - Single Family (with direct enrollment to DR)</t>
  </si>
  <si>
    <t>Smart thermostat rebate with direct enrollment to DR</t>
  </si>
  <si>
    <t>Mix of manual and programmable thermostats</t>
  </si>
  <si>
    <t>Per smart thermostat</t>
  </si>
  <si>
    <t>Incremental Cost</t>
  </si>
  <si>
    <t>Mid Atlantic TRM v9</t>
  </si>
  <si>
    <t>Mid Atlantic TRM v.9 (p.139-140)</t>
  </si>
  <si>
    <t>HVAC</t>
  </si>
  <si>
    <t>ResCooling - SF Wtd</t>
  </si>
  <si>
    <t>ResSFGasHeat</t>
  </si>
  <si>
    <t>Mid-Atlantic TRM, Version 10 (May 2020), page 106</t>
  </si>
  <si>
    <t>KU-WeCare Weatherization Project - Single Family - Complete Package</t>
  </si>
  <si>
    <t>KU-WeCare V2 Smart Thermostat - Single Family (with direct enrollment to DR)</t>
  </si>
  <si>
    <t>Mid Atlantic TRM v10 and v9 (see Mid Atlantic TRM V10 Res Tables tab)</t>
  </si>
  <si>
    <t>Mid Atlantic TRM v.10 (p.105-106)</t>
  </si>
  <si>
    <t>LG&amp;E-WeCare Weatherization Project - Single Family - Complete Package</t>
  </si>
  <si>
    <t>LG&amp;E-WeCare V2 Smart Thermostat - Single Family (with direct enrollment to DR)</t>
  </si>
  <si>
    <t>Updated with 2022 evaluation data</t>
  </si>
  <si>
    <t>https://cadmus.sharepoint.com/sites/CP6923/Shared%20Documents/2021%20EE%20Plan%20Update/Projections/LGE%20KU%20Program%20Measure%20Inputs_27OCT2017.xlsx?web=1</t>
  </si>
  <si>
    <t>10-6-22: Increased incentive + Admin from 1650 (1500 +150 Admin) to 2000 (1650 incentive + 204 t-stat + 165 Admin)</t>
  </si>
  <si>
    <t xml:space="preserve"> In 2020, the U.S. annual average heat content of natural gas delivered to consumers was about 1,037 Btu per cubic foot. Therefore, 100 cubic feet (Ccf) of natural gas equals 103,700 Btu, or 1.037 therms.</t>
  </si>
  <si>
    <t>https://www.eia.gov/tools/faqs/faq.php?id=45&amp;t=7</t>
  </si>
  <si>
    <t>Distribution of Total Population by Federal Poverty Level (2020 data)</t>
  </si>
  <si>
    <t>https://www.kff.org/other/state-indicator/distribution-of-total-population-by-federal-poverty-level-cps/?currentTimeframe=0&amp;sortModel=%7B%22colId%22:%22Location%22,%22sort%22:%22asc%22%7D</t>
  </si>
  <si>
    <t>Location</t>
  </si>
  <si>
    <t>Under 100%</t>
  </si>
  <si>
    <t>100-199%</t>
  </si>
  <si>
    <t>200-399%</t>
  </si>
  <si>
    <t>400%+</t>
  </si>
  <si>
    <t>Kentucky</t>
  </si>
  <si>
    <t>&lt;200 FPL</t>
  </si>
  <si>
    <t>&lt;300 FPL</t>
  </si>
  <si>
    <t>Ratio</t>
  </si>
  <si>
    <t xml:space="preserve">SMART THERMOSTAT </t>
  </si>
  <si>
    <t>Use the DR potential to inform participation. Considering T-stat rebate included in the program starting in 2023:</t>
  </si>
  <si>
    <t>Assume faster ramp than the potential study</t>
  </si>
  <si>
    <t>Rounded down to the nearest 1000 or 100</t>
  </si>
  <si>
    <t xml:space="preserve">Assume some customers will participation through the rebate offering and others will be existing BYOT. </t>
  </si>
  <si>
    <t>SMART THERMOSTAT ENERGY SAVINGS:</t>
  </si>
  <si>
    <t>SMART THERMOSTAT kW SAVINGS:</t>
  </si>
  <si>
    <t>\\cadmusgroup.org\projects\6235-LGE\Reporting\Market Analyzer</t>
  </si>
  <si>
    <t>Mid-Atlantic TRM, Version 10 (May 2020), page 105-106, https://neep.org/sites/default/files/media-files/trmv10.pdf</t>
  </si>
  <si>
    <t>Mid-Atlantic TRM, Version 10 (May 2020), page 106, https://neep.org/sites/default/files/media-files/trmv10.pdf</t>
  </si>
  <si>
    <t>\\cadmusgroup.org\projects\6235-LGE\Measure Characterization\Residential\Measure Database</t>
  </si>
  <si>
    <t>Small Commercial - AC Demand Conservation</t>
  </si>
  <si>
    <t>Small Commercial - Water Heater Demand Conservation</t>
  </si>
  <si>
    <t>2016 participation data from Jan to Oct, projected annual data</t>
  </si>
  <si>
    <t>Small commercial assume 0% as placeholder.Large Commercial 207 participants in 2016 assume escalation of 5%.</t>
  </si>
  <si>
    <t xml:space="preserve">Assume average across pervious years. </t>
  </si>
  <si>
    <t>Assume historical incentive costs per customer</t>
  </si>
  <si>
    <t>Assume even split bettern LGE and KU</t>
  </si>
  <si>
    <t>MEASURE LIFE</t>
  </si>
  <si>
    <t>Estimated Percent of Program Adoption (Awareness of the program; participation)</t>
  </si>
  <si>
    <t>Estimated customers with Smart Thermostats</t>
  </si>
  <si>
    <t>Remaining Customers</t>
  </si>
  <si>
    <t>LGE total Customer</t>
  </si>
  <si>
    <t>Central AC</t>
  </si>
  <si>
    <t xml:space="preserve">ASHP  </t>
  </si>
  <si>
    <t>KU total customers</t>
  </si>
  <si>
    <t>HEATING CONS. for DE</t>
  </si>
  <si>
    <t xml:space="preserve">Natural Gas Heat. Cons. (MMBTU) </t>
  </si>
  <si>
    <t>Natural Gas Heat. Cons. (therms)</t>
  </si>
  <si>
    <t xml:space="preserve">DR potential study, page B-10: Cadmus conservatively estimated 10% smart thermostat saturation in 2023 and 3.3% annual growth in saturation. </t>
  </si>
  <si>
    <t>ASHP Heating (kWh) - assume 8.2 HSPF</t>
  </si>
  <si>
    <t>Base Saturation (naturally occuring)</t>
  </si>
  <si>
    <t>Electric Furnace heating (kWh) - COP 1</t>
  </si>
  <si>
    <t>Program Adoption (assumes double naturaly occuring in year one and 50% increase thereafter, capping at 15,000 units a year)</t>
  </si>
  <si>
    <t>COOLING CONS. for DE</t>
  </si>
  <si>
    <t>LGE customer numbers are below</t>
  </si>
  <si>
    <t>\\cadmusgroup.org\projects\6936-LGEKU_2023_DR_Potential\Demand Response\LGE\Summer Model\Inputs\Inputs_Global_LGE_Summer.xlsx</t>
  </si>
  <si>
    <t>AC cooling (kWh)</t>
  </si>
  <si>
    <t>ASHP Cooling (kWh)</t>
  </si>
  <si>
    <t>Cooling % savings</t>
  </si>
  <si>
    <t>Heating % savings</t>
  </si>
  <si>
    <t>Heating Savings for DE</t>
  </si>
  <si>
    <t>Natural gas savings (Therms)</t>
  </si>
  <si>
    <t>KU customer numbers are below</t>
  </si>
  <si>
    <t>\\cadmusgroup.org\projects\6936-LGEKU_2023_DR_Potential\Demand Response\KU\Summer Model\Inputs\Inputs_Global_KU_Summer.xlsx</t>
  </si>
  <si>
    <t>ASHP Heating savings (kWh)</t>
  </si>
  <si>
    <t>Electric Furnace heating savings (kWh)</t>
  </si>
  <si>
    <t>Cooling Savings for DE</t>
  </si>
  <si>
    <t>AC cooling savings (kWh)</t>
  </si>
  <si>
    <t>ASHP cooling savings (kWh)</t>
  </si>
  <si>
    <t>Equipment saturations LGE</t>
  </si>
  <si>
    <t>Equipment Saturations KU</t>
  </si>
  <si>
    <t>Electric furnace</t>
  </si>
  <si>
    <t>Natural gas furnace</t>
  </si>
  <si>
    <t>ASHP</t>
  </si>
  <si>
    <t>LGE Heating &amp; Cooling Savings (kWh)</t>
  </si>
  <si>
    <t>KU Heating &amp; Cooling Savings (kWh)</t>
  </si>
  <si>
    <t>LGE Natural Gas Heating Savings (therms)</t>
  </si>
  <si>
    <t>KU Natural Gas Heating Savings (therms)</t>
  </si>
  <si>
    <t>* Saturation numbers are from the potential study</t>
  </si>
  <si>
    <t>\\cadmusgroup.org\projects\6936-LGEKU_2023_DR_Potential\Demand Response\LGE\Sources\Saturations.xlsx</t>
  </si>
  <si>
    <t>* AC saturation is 94.6%</t>
  </si>
  <si>
    <t>Sept 9/27/2021</t>
  </si>
  <si>
    <t>Reference summary</t>
  </si>
  <si>
    <t>keep as is for now (SF and MF)</t>
  </si>
  <si>
    <t>KU - SF  2020</t>
  </si>
  <si>
    <t>LGE - SF 2020</t>
  </si>
  <si>
    <t>SUM MF</t>
  </si>
  <si>
    <t>safe - assume 50/50</t>
  </si>
  <si>
    <t>Nov. 11/22/2021</t>
  </si>
  <si>
    <t>move admin 15% back 10%</t>
  </si>
  <si>
    <t>THE ASSUMPTIONS BELOW ARE FROM PREVIOUS PLANNING. NOTES OF 2021 PLANNING ARE ADDED AS COMMENTS.</t>
  </si>
  <si>
    <t>Program Assumptions:</t>
  </si>
  <si>
    <t xml:space="preserve">Change to one tier - average per home $1500 per SF home for energy savings; adding MF LI participants where 50% of costs are assumed per home ($750). It is assumed from Franklin Energy (Census data) that 22% of MF customers are LI. The Plan assumes 20% of parts will be MF LI. Assume  10% adder for Admin cost for implementer.  </t>
  </si>
  <si>
    <t xml:space="preserve">Adder for Admin cost for implementer </t>
  </si>
  <si>
    <t xml:space="preserve">redesign this program </t>
  </si>
  <si>
    <t>Used Tetra Tech kWh evaluated results of participant savings using a billing analysis and initial review of LG&amp;E and KU’s own savings estimates that we conducted during the evaluation of Program Years 2013 (PY2013) &amp; 2014 (PY2014). This update incorporates additional data more recently provided by LG&amp;E and KU for PY2015 and PY2016.</t>
  </si>
  <si>
    <t xml:space="preserve">Estimate kW impacts (ratio of kWh Tetra Tech savings to LG&amp;E's tracking data). No adjustment made to LG&amp;E therm savings from the original tracking data. Assume MF savings is 50% of SF savings based on 50% of costs. </t>
  </si>
  <si>
    <t xml:space="preserve">Add lighting O&amp;M savings to align with other programs. Assume 7.4 LED bulbs per home to determine O&amp;M costs. Assume average O&amp;M per year. </t>
  </si>
  <si>
    <t>2011-2018 plan assumes cap of 4,200 (50/50 split per utility) per year (in 2018). Meeting in May 2017 updated 2019-2023 to assume 4,000 to account for new MF customers and focus efforts on deeper retrofits for SF. Meeting agreed for flat parts across 2019 - 2023.</t>
  </si>
  <si>
    <t>KU Savings</t>
  </si>
  <si>
    <t>LG&amp;E Savings</t>
  </si>
  <si>
    <t>Overall Savings</t>
  </si>
  <si>
    <t>Building</t>
  </si>
  <si>
    <t>Weight</t>
  </si>
  <si>
    <t>Parts</t>
  </si>
  <si>
    <t>SF</t>
  </si>
  <si>
    <t>MF</t>
  </si>
  <si>
    <t>WeCare Measures Summary Include (2015-2016):</t>
  </si>
  <si>
    <t>APPLIANCE REPLACEMENT</t>
  </si>
  <si>
    <t>Refrigerator replacement and removal</t>
  </si>
  <si>
    <t>Existing equipment</t>
  </si>
  <si>
    <t>ATTIC/WALLS/DUCTS INSULATION</t>
  </si>
  <si>
    <t>Air sealing, insulation, duct repair, duct sealing and venting</t>
  </si>
  <si>
    <t>DOOR REPAIR/IMPROVE-WEATHER STRIP</t>
  </si>
  <si>
    <t>Weather stripping kit</t>
  </si>
  <si>
    <t>DOOR REPLACEMENT</t>
  </si>
  <si>
    <t>Exterior door replacement and storm door</t>
  </si>
  <si>
    <t>GENERAL MEASURES</t>
  </si>
  <si>
    <t>Building repairs, baseboard heater replacement, health and safety, mobile home measures</t>
  </si>
  <si>
    <t>HVAC CURSORY REVIEW</t>
  </si>
  <si>
    <t xml:space="preserve">HVAC measures </t>
  </si>
  <si>
    <t>LIGHTING RETROFIT/REPLACE</t>
  </si>
  <si>
    <t>CFLs and nightlights</t>
  </si>
  <si>
    <t>POWER FACTOR CORRECTION</t>
  </si>
  <si>
    <t>Smart Strips</t>
  </si>
  <si>
    <t>PROGRAMMABLE THERMOSTATS/EMS INSTALLATION</t>
  </si>
  <si>
    <t>Programmable thermostats</t>
  </si>
  <si>
    <t>WATER CONSERVATION-LOW FLOW AERATORS</t>
  </si>
  <si>
    <t>Bathroom, kitchen, and shower low-flow</t>
  </si>
  <si>
    <t>WATER HEATER/DHW</t>
  </si>
  <si>
    <t>Pipe insulation, repair, tank wrap, temp reduction</t>
  </si>
  <si>
    <t>WINDOW REPAIR/IMPROVE-CAULK</t>
  </si>
  <si>
    <t>Weather stripping kit and storm window install</t>
  </si>
  <si>
    <t>WINDOW REPLACEMENT</t>
  </si>
  <si>
    <t>Window replacement</t>
  </si>
  <si>
    <t>From Jan 1, 2015 through May 1, 2016</t>
  </si>
  <si>
    <t>2015</t>
  </si>
  <si>
    <t>2016</t>
  </si>
  <si>
    <t>Total Sum of VRM Qty</t>
  </si>
  <si>
    <t>Total Count of Enrollment ID</t>
  </si>
  <si>
    <t>ECM</t>
  </si>
  <si>
    <t>Sum of VRM Qty</t>
  </si>
  <si>
    <t>Count of Enrollment ID</t>
  </si>
  <si>
    <t>Grand Total</t>
  </si>
  <si>
    <t>Average Lighting Installation per Home</t>
  </si>
  <si>
    <t>Overall O&amp;M per lamp</t>
  </si>
  <si>
    <t>Weight by Type</t>
  </si>
  <si>
    <t>Weight by Year</t>
  </si>
  <si>
    <t>Overall Weight</t>
  </si>
  <si>
    <t>DI-Lighting General Service Lamp - Premium Efficiency LED</t>
  </si>
  <si>
    <t>DI-Lighting Specialty Lamp - Premium Efficiency LED</t>
  </si>
  <si>
    <t>Full list included:</t>
  </si>
  <si>
    <t>All CFLs will now be LEDs. Assume same distribution for LEDs.</t>
  </si>
  <si>
    <t>Row Labels</t>
  </si>
  <si>
    <t>VRM</t>
  </si>
  <si>
    <t>QTY</t>
  </si>
  <si>
    <t>LED Map Type</t>
  </si>
  <si>
    <t>CFL - SCREW IN BULB 3-WAY SPIRAL</t>
  </si>
  <si>
    <t>FRIDGE - COIL CLEANING KIT - LEAVE BEHIN</t>
  </si>
  <si>
    <t>CFL - SCREW IN BULB DIMMABLE</t>
  </si>
  <si>
    <t>FRIDGE - REFRIGERATOR THERMOMETER - LEAV</t>
  </si>
  <si>
    <t>CFL - SCREW IN BULB ONLY REPLACE 100W WITH (25-30W)</t>
  </si>
  <si>
    <t>FRIDGE - SECONDARY REMOVAL</t>
  </si>
  <si>
    <t>CFL - SCREW IN BULB ONLY REPLACE 100W WITH 23W</t>
  </si>
  <si>
    <t>FRIDGE REPLACEMENT - (ENERGY STAR) 15 CU</t>
  </si>
  <si>
    <t>CFL - SCREW IN BULB ONLY REPLACE 100W WITH 25-30W EXT FLOOD</t>
  </si>
  <si>
    <t>FRIDGE REPLACEMENT - (ENERGY STAR) 17 CU</t>
  </si>
  <si>
    <t>CFL - SCREW IN BULB ONLY REPLACE 100W WITH 25W</t>
  </si>
  <si>
    <t>FRIDGE REPLACEMENT - (ENERGY STAR) 18 CU</t>
  </si>
  <si>
    <t>CFL - SCREW IN BULB ONLY REPLACE 100W WITH 28W</t>
  </si>
  <si>
    <t>FRIDGE REPLACEMENT - (ENERGY STAR) 21 CU</t>
  </si>
  <si>
    <t>CFL - SCREW IN BULB ONLY REPLACE 100W WITH 30W</t>
  </si>
  <si>
    <t>Result</t>
  </si>
  <si>
    <t>CFL - SCREW IN BULB ONLY REPLACE 60W WITH (13-15W)</t>
  </si>
  <si>
    <t>CFL - SCREW IN BULB ONLY REPLACE 60W WITH 13W</t>
  </si>
  <si>
    <t>5.5 INCH (DENSE PACK)</t>
  </si>
  <si>
    <t>CFL - SCREW IN BULB ONLY REPLACE 60W WITH 13W (PORCH - COMP)</t>
  </si>
  <si>
    <t>AIR SEALING - BLOWER DOOR GUIDED</t>
  </si>
  <si>
    <t>CFL - SCREW IN BULB ONLY REPLACE 60W WITH 14W</t>
  </si>
  <si>
    <t>AIR SEALING - FOAM (PER 10 LB CANISTER)</t>
  </si>
  <si>
    <t>CFL - SCREW IN BULB ONLY REPLACE 60W WITH 14W (COMP)</t>
  </si>
  <si>
    <t>AIR SEALING - FOAM (PER 12 OZ CAN - NO L</t>
  </si>
  <si>
    <t>CFL - SCREW IN BULB ONLY REPLACE 75W WITH (18-23W)</t>
  </si>
  <si>
    <t>AIR SEALING - FOAM (PER LINEAR FT)</t>
  </si>
  <si>
    <t>CFL - SCREW IN BULB ONLY REPLACE 75W WITH 18W</t>
  </si>
  <si>
    <t>ATTIC - BOXING AND DAMMING ATTIC ACCESS</t>
  </si>
  <si>
    <t>CFL - SCREW IN BULB ONLY REPLACE 75W WITH 23W</t>
  </si>
  <si>
    <t>ATTIC - BOXING AND DAMMING HEAT PRODUCIN</t>
  </si>
  <si>
    <t>ATTIC - CELLULOSE - OPEN ATTIC - ADD R30</t>
  </si>
  <si>
    <t>ATTIC - CELLULOSE - OPEN ATTIC - ADD R35</t>
  </si>
  <si>
    <t>ATTIC - CREATE ATTIC HATCH COVER - INSUL</t>
  </si>
  <si>
    <t>ATTIC - CREATE ATTIC HATCH INTERIOR GREA</t>
  </si>
  <si>
    <t>ATTIC - CREATE ATTIC HATCH INTERIOR LESS</t>
  </si>
  <si>
    <t>ATTIC - GENERAL INSULATION (ATTIC PREP)</t>
  </si>
  <si>
    <t>ATTIC - INTERIOR ATTIC STAIR COVER</t>
  </si>
  <si>
    <t>ATTIC - PULL DOWN STAIR COVER - BUILT ON</t>
  </si>
  <si>
    <t>ATTIC - PULL DOWN STAIR COVER - PRE-FAB</t>
  </si>
  <si>
    <t>BARRIER - VAPOR BARRIER</t>
  </si>
  <si>
    <t>CRAWL SPACE - AIR SEAL AND INSULATE WALL</t>
  </si>
  <si>
    <t>CRAWL SPACE - FLOOR COVERING</t>
  </si>
  <si>
    <t>CRAWL SPACE - INSTALL 6 MILL VAPOR BARRI</t>
  </si>
  <si>
    <t>CRAWL SPACE - INSTALL CEILING/FLOOR INSU</t>
  </si>
  <si>
    <t>CRAWL SPACE - PERIMETER INSULATION (RIM</t>
  </si>
  <si>
    <t>DOOR - INSTALL DOOR SWEEP</t>
  </si>
  <si>
    <t>DUCT - REPLACE DAMAGED FLEX DUCT</t>
  </si>
  <si>
    <t>DUCT - SEAL/INSTALL INSULATION TO R6 EQU</t>
  </si>
  <si>
    <t>DUCT - SEALING (DUCT BLASTER GUIDED OR E</t>
  </si>
  <si>
    <t>DUCT - WRAP</t>
  </si>
  <si>
    <t>FLUE - REPAIR</t>
  </si>
  <si>
    <t>GABLE VENT INSTALLED</t>
  </si>
  <si>
    <t>INSULATE - ATTIC FLOOR R15</t>
  </si>
  <si>
    <t>INSULATE - INSTALL 1 INCH INSULATION BOA</t>
  </si>
  <si>
    <t>INSULATE - INSTALL 1/2 INCH INSULATION B</t>
  </si>
  <si>
    <t>INSULATE - INSTALL 2 INCH INSULATION BOA</t>
  </si>
  <si>
    <t>INSULATE - INSTALL SWITCH OUTLET GASKETS</t>
  </si>
  <si>
    <t>INSULATE - RIM JOIST</t>
  </si>
  <si>
    <t>INSULATE - UNINSULATED FLOORED ATTICS TO</t>
  </si>
  <si>
    <t>INSULATE - UNINSULATED KNEEWALLS TO R11</t>
  </si>
  <si>
    <t>INSULATE - UNINSULATED KNEEWALLS TO R13</t>
  </si>
  <si>
    <t>INSULATE - UNINSULATED KNEEWALLS TO R19</t>
  </si>
  <si>
    <t>INSULATE - UNINSULATED SLOPE CEILINGS TO</t>
  </si>
  <si>
    <t>INSULATE - UNINSULATED WALLS 3.5 INCH (F</t>
  </si>
  <si>
    <t>INSULATE - UNRESTRICTED ATTICS FROM R11</t>
  </si>
  <si>
    <t>INSULATE - UNRESTRICTED ATTICS FROM R8 T</t>
  </si>
  <si>
    <t>ROOF VENT INSTALLED</t>
  </si>
  <si>
    <t>VENTING - INSTALL BATHROOM VENTILATION F</t>
  </si>
  <si>
    <t>VENTING - INSTALL DRYER VENT</t>
  </si>
  <si>
    <t>VENTING - INSTALL DRYER VENTILATION FAN</t>
  </si>
  <si>
    <t>DOOR - WEATHER STRIPPING KIT - GENERAL</t>
  </si>
  <si>
    <t>CONTRACTOR - SERVICE VISIT OR PROCESS FE</t>
  </si>
  <si>
    <t>DOOR - INSTALL STORM DOORS</t>
  </si>
  <si>
    <t>DOOR - LOCKSET REPLACEMENT</t>
  </si>
  <si>
    <t>DOOR - PRIMARY SOLID CORE WOOD DOOR REPL</t>
  </si>
  <si>
    <t>DOOR - REPLACE EXTERIOR DOORS W METAL/FI</t>
  </si>
  <si>
    <t>WINDOW - DOUBLE PANE WOOD SASH REPLACEME</t>
  </si>
  <si>
    <t>GENERAL INSULATION MEASURES</t>
  </si>
  <si>
    <t>INSULATION TRUCK SET-UP CHARGE  (601 - 9</t>
  </si>
  <si>
    <t>INSULATION TRUCK SET-UP CHARGE  (901 - 1</t>
  </si>
  <si>
    <t>INSULATION TRUCK SET-UP CHARGE  (GRTR TH</t>
  </si>
  <si>
    <t>INSULATION TRUCK SET-UP CHARGE  (LESS TH</t>
  </si>
  <si>
    <t>GENERAL REPAIR MEASURES</t>
  </si>
  <si>
    <t>BLDG REPAIRS - DRYWALL REPLACEMENT (FINI</t>
  </si>
  <si>
    <t>BLDG REPAIRS - EXTERIOR SIDING REPLACEME</t>
  </si>
  <si>
    <t>BLDG REPAIRS - FLOORING REPLACEMENT (FIN</t>
  </si>
  <si>
    <t>BLDG REPAIRS - FLOORING REPLACEMENT (PLY</t>
  </si>
  <si>
    <t>BLDG REPAIRS - MISCELLANEOUS</t>
  </si>
  <si>
    <t>ELECTRIC BASEBOARD HEATER - REPLACEMENT</t>
  </si>
  <si>
    <t>ELECTRONIC BASEBOARD THERMOSTATS - REPAI</t>
  </si>
  <si>
    <t>GENERAL SERVICES/PRODUCTS FOR EE MEASURES</t>
  </si>
  <si>
    <t>CONTRACTOR - GAS LEAK REPAIR FEE</t>
  </si>
  <si>
    <t>CONTRACTOR - MISC PARTS OR MATERIALS</t>
  </si>
  <si>
    <t>CONTRACTOR - MISCELLANEOUS</t>
  </si>
  <si>
    <t>CONTRACTOR - QUOTE FEE</t>
  </si>
  <si>
    <t>CONTRACTOR - SPECIALTY OR MAJOR ISSUES (</t>
  </si>
  <si>
    <t>MOBILE HOME - BELLY BLOW FIBERGLASS LABO</t>
  </si>
  <si>
    <t>MOBILE HOME - FIBERGLASS BLOW BELLY R-19</t>
  </si>
  <si>
    <t>MOBILE HOME - INSTALL 6 MIL VISQUEEN</t>
  </si>
  <si>
    <t>MOBILE HOME - INSTALL DOOR SWEEP</t>
  </si>
  <si>
    <t>MOBILE HOME - INSTALL PLEXIGLASS</t>
  </si>
  <si>
    <t>MOBILE HOME - REPAIR BELLY RUPTURES HOLE</t>
  </si>
  <si>
    <t>MOBILE HOME - REPAIR SUBFLOOR</t>
  </si>
  <si>
    <t>MOBILE HOME - REPL MISSING WALL FLOOR CE</t>
  </si>
  <si>
    <t>MOBILE HOME - SEAL AROUND A/C UNIT</t>
  </si>
  <si>
    <t>MOBILE HOME - SILICONE AROUND BOOTS</t>
  </si>
  <si>
    <t>MOBILE HOME - TIGHTEN &amp; STRAIGHEN FLEX R</t>
  </si>
  <si>
    <t>HEALTH/SAFETY</t>
  </si>
  <si>
    <t>CO DETECTOR - INSTALLATION</t>
  </si>
  <si>
    <t>FILTER - CLEAN/REPLACE HVAC FILTER</t>
  </si>
  <si>
    <t>FILTER - CLEAN/REPLACE WINDOW AC FILTER</t>
  </si>
  <si>
    <t>HP - ENERGY EFFICIENT UNITARY HEAT PUMP</t>
  </si>
  <si>
    <t>HVAC - COOLING - REPAIR SYSTEM (HRLY LAB</t>
  </si>
  <si>
    <t>HVAC - COOLING - TUNE-UP (LABOR)</t>
  </si>
  <si>
    <t>HVAC - HEATING - REPAIR SYSTEM (HRLY LAB</t>
  </si>
  <si>
    <t>HVAC - HEATING - REPLACE W EE FURNACE UN</t>
  </si>
  <si>
    <t>HVAC - HEATING - TUNE-UP (LABOR)</t>
  </si>
  <si>
    <t>WINDOW AC - REMOVAL OF SECONDARY UNIT</t>
  </si>
  <si>
    <t>WINDOW AC 10000 BTUH; 10.8 EER - INSTALL</t>
  </si>
  <si>
    <t>WINDOW AC 12000 BTUH; 10.8 EER - INSTALL</t>
  </si>
  <si>
    <t>WINDOW AC 15000 BTUH; 10.7 EER - INSTALL</t>
  </si>
  <si>
    <t>WINDOW AC 18000 BTUH; 10.7 EER - INSTALL</t>
  </si>
  <si>
    <t>WINDOW AC 5000 BTUH; 10.8 EER - INSTALLA</t>
  </si>
  <si>
    <t>WINDOW AC 6000 BTUH; 11.2 EER - INSTALLA</t>
  </si>
  <si>
    <t>WINDOW AC 8000 BTUH; 10.8 EER - INSTALLA</t>
  </si>
  <si>
    <t>CFL - SCREW IN BULB ONLY REPLACE 100W WI</t>
  </si>
  <si>
    <t>CFL - SCREW IN BULB ONLY REPLACE 60W WIT</t>
  </si>
  <si>
    <t>CFL - SCREW IN BULB ONLY REPLACE 75W WIT</t>
  </si>
  <si>
    <t>LED NIGHT LIGHTS</t>
  </si>
  <si>
    <t>SMART STRIP SURGE PROTECTOR - INSTALLATI</t>
  </si>
  <si>
    <t>THERMOSTAT - PROGRAMMABLE (HONEYWELL)</t>
  </si>
  <si>
    <t>THERMOSTAT - PROGRAMMABLE (HUNTER)</t>
  </si>
  <si>
    <t>THERMOSTAT - PROGRAMMABLE (LIGHTSTAT)</t>
  </si>
  <si>
    <t>THERMOSTAT (EASY TO READ)</t>
  </si>
  <si>
    <t>THERMOSTAT (SETBACK)</t>
  </si>
  <si>
    <t>(blank)</t>
  </si>
  <si>
    <t>AERATOR - INSTALL LOW FLOW BATHROOM SINK</t>
  </si>
  <si>
    <t>AERATOR - INSTALL LOW FLOW KITCHEN SINK</t>
  </si>
  <si>
    <t>FAUCET - REPLACEMENT (KITCHEN)</t>
  </si>
  <si>
    <t>SHOWERHEAD - INSTALL LOW FLOW SHOWERHEAD</t>
  </si>
  <si>
    <t>HOT WATER FAUCET - LEAK REPAIR BATHROOM</t>
  </si>
  <si>
    <t>HOT WATER FAUCET - LEAK REPAIR KITCHEN F</t>
  </si>
  <si>
    <t>HOT WATER HEATER - LEAK REPAIR</t>
  </si>
  <si>
    <t>HOT WATER HEATER - ON/OFF SWITCH &amp; BOX 2</t>
  </si>
  <si>
    <t>HOT WATER HEATER - PIPE INSULATION (PER</t>
  </si>
  <si>
    <t>HOT WATER HEATER - PIPE INSULATION 8 FT</t>
  </si>
  <si>
    <t>HOT WATER HEATER - PRESSURE RELIEF DISCH</t>
  </si>
  <si>
    <t>HOT WATER HEATER - TANK WRAP INSULATION</t>
  </si>
  <si>
    <t>HOT WATER HEATER - TEMP REDUCTION TO 120</t>
  </si>
  <si>
    <t>WINDOW - INSTALL INTERIOR WINDOW KIT</t>
  </si>
  <si>
    <t>WINDOW - INSTALL STORM WINDOW</t>
  </si>
  <si>
    <t>WINDOW - DOUBLE PANE GLAZING REPLACEMENT</t>
  </si>
  <si>
    <t>WINDOW - DOUBLE PANE WOOD WINDOW REPLACE</t>
  </si>
  <si>
    <t>WINDOW - SINGLE PANE GLAZING REPLACEMENT</t>
  </si>
  <si>
    <t>WINDOW - SINGLE PANE WOOD SASH REPLACEME</t>
  </si>
  <si>
    <t>WINDOW - SINGLE PANE WOOD WINDOW REPLACE</t>
  </si>
  <si>
    <t>WeCare Measures Report 2020 and 2021 (on Sharepoint Data&gt;&gt;WeCare&gt;&gt;WeCare Measures Report 2020 and 2021)</t>
  </si>
  <si>
    <t>Jan 2020 to December 2020</t>
  </si>
  <si>
    <t>Quantity</t>
  </si>
  <si>
    <t>LED - REPLACE INCANDESCENT WITH 11W BR30</t>
  </si>
  <si>
    <t>specialty - BR is specialty lamp</t>
  </si>
  <si>
    <t>LED - REPLACE INCANDESCENT WITH 8.5W A19</t>
  </si>
  <si>
    <t>general - A line is general service</t>
  </si>
  <si>
    <t>Jan 2021 to August 2021</t>
  </si>
  <si>
    <t>From Jan 2020 through August 2021</t>
  </si>
  <si>
    <t>DI-Lighting General Service Lamp - Premium Efficiency LED - eisa 2020</t>
  </si>
  <si>
    <t>DI-Lighting Specialty Lamp - Premium Efficiency LED - eisa 2020</t>
  </si>
  <si>
    <t>Low Income  Multifamily - Whole Building</t>
  </si>
  <si>
    <t>Total Plan Summary 2024 - 2030</t>
  </si>
  <si>
    <t>WeCare Weatherization Project - Multi Family - Complete Package (MF-GS Com)</t>
  </si>
  <si>
    <t>Low Income Heating Assistance Program (LIHEAP) at 200% poverty</t>
  </si>
  <si>
    <t>All three savings (kWh, kW and natural gas) are from LG&amp;E - KU actual savings from 2017 - 2020. EE-Energy Actuals 2021.xls</t>
  </si>
  <si>
    <t>Commercial</t>
  </si>
  <si>
    <t>Lodging</t>
  </si>
  <si>
    <t>OFFLGElecTotl</t>
  </si>
  <si>
    <t>OFFSMGasHeat</t>
  </si>
  <si>
    <t>LGE NonRes</t>
  </si>
  <si>
    <t>WeCare Weatherization Project - Multi Family - Complete Package (MF-NonRes Com)</t>
  </si>
  <si>
    <t>Direct Install - Water Conservation Bathroom Aerators</t>
  </si>
  <si>
    <t>Aerators 0.5 GPM</t>
  </si>
  <si>
    <t>Existing 2.2 GPM</t>
  </si>
  <si>
    <t>Average cost based on web search</t>
  </si>
  <si>
    <t>Based on the Mid Atlantic TRM v10 (p 133) for the residential measure "Faucet Aerators" for the bathroom. Engineering Calculation.</t>
  </si>
  <si>
    <t>Water Heat</t>
  </si>
  <si>
    <t>ResHotWater - MF Wtd</t>
  </si>
  <si>
    <t>ResMFGasDHW</t>
  </si>
  <si>
    <t>Mid Atlantic TRM v10</t>
  </si>
  <si>
    <t>Direct Install - Water Conservation Kitchen Aerators</t>
  </si>
  <si>
    <t>Aerators 1.5 GPM</t>
  </si>
  <si>
    <t>Direct Install - Water Conservation Showerheads</t>
  </si>
  <si>
    <t>Showerhead 1.5 GPM</t>
  </si>
  <si>
    <t>Existing 2.5 GPM</t>
  </si>
  <si>
    <t>Based on the Mid Atlantic TRM v10 (p 137) for the residential measure "Low Flow Showerhead". Engineering Calculation</t>
  </si>
  <si>
    <t>Custom MF Retrofit Common Area</t>
  </si>
  <si>
    <t>Custom Projects - for common areas</t>
  </si>
  <si>
    <t>Existing Equipment</t>
  </si>
  <si>
    <t>Per Saved kWh (first year savings only)</t>
  </si>
  <si>
    <t xml:space="preserve">Benchmarking custom projects from other utilties to estimate incremental cost. Roughly $0.22 per kWh saved as incermental costs. MF are more expensive than large commercial by x 5. </t>
  </si>
  <si>
    <t>No incentive; free to customers</t>
  </si>
  <si>
    <t>Custom measure EULs ranges from 10 to 25 years depending on end use (NEEP EUL study by GDS 2007)</t>
  </si>
  <si>
    <t>KU-WeCare Weatherization Project - Multi Family - Complete Package (MF-GS Com)</t>
  </si>
  <si>
    <t>KU NonRes</t>
  </si>
  <si>
    <t>KU-WeCare Weatherization Project - Multi Family - Complete Package (MF-NonRes Com)</t>
  </si>
  <si>
    <t>KU-Direct Install - Water Conservation Bathroom Aerators</t>
  </si>
  <si>
    <t>KU-Direct Install - Water Conservation Kitchen Aerators</t>
  </si>
  <si>
    <t>KU-Direct Install - Water Conservation Showerheads</t>
  </si>
  <si>
    <t>KU-Custom MF Retrofit Common Area</t>
  </si>
  <si>
    <t>LG&amp;E-WeCare Weatherization Project - Multi Family - Complete Package (MF-GS Com)</t>
  </si>
  <si>
    <t>LG&amp;E-WeCare Weatherization Project - Multi Family - Complete Package (MF-NonRes Com)</t>
  </si>
  <si>
    <t>LG&amp;E-Direct Install - Water Conservation Bathroom Aerators</t>
  </si>
  <si>
    <t>LG&amp;E-Direct Install - Water Conservation Kitchen Aerators</t>
  </si>
  <si>
    <t>LG&amp;E-Direct Install - Water Conservation Showerheads</t>
  </si>
  <si>
    <t>LG&amp;E-Custom MF Retrofit Common Area</t>
  </si>
  <si>
    <t>Original Budget</t>
  </si>
  <si>
    <t>Weighted DI Participation Assumptions:</t>
  </si>
  <si>
    <t>KU - MF  2020</t>
  </si>
  <si>
    <t>LGE - MF 2020</t>
  </si>
  <si>
    <t xml:space="preserve">LG&amp;E and KU meeting </t>
  </si>
  <si>
    <t>MF plus to add custom</t>
  </si>
  <si>
    <t>75% of project cost; benchmark % of low income apt. per building criteria (50% to 60%); check if there are caps; 10 projects a year</t>
  </si>
  <si>
    <t>15k-20k per project; 150k total; confirm with benchmarking</t>
  </si>
  <si>
    <t>add management budgets</t>
  </si>
  <si>
    <t>Move share to 30% and 70% instead of 80/20 for the SF and MF</t>
  </si>
  <si>
    <t>keep total at 4000 parts</t>
  </si>
  <si>
    <t>MF Custom Project Benchmarching</t>
  </si>
  <si>
    <t>Average Savings Per Project kWh</t>
  </si>
  <si>
    <t>Average Savings Per Project Therms</t>
  </si>
  <si>
    <t>Project Savings Range (kWh)</t>
  </si>
  <si>
    <t>MF Custom Project Savings Assumption</t>
  </si>
  <si>
    <t>Project Amount Assumption</t>
  </si>
  <si>
    <t>Mid-utility 1</t>
  </si>
  <si>
    <t>4,500 to 167,000 Savings</t>
  </si>
  <si>
    <t>Mid-utility 2</t>
  </si>
  <si>
    <t>Estimated the number of projects based on 2020 annual reports</t>
  </si>
  <si>
    <t>Cost per unit Savings ($/kWh)</t>
  </si>
  <si>
    <t>Cost per unit Savings ($/therms)</t>
  </si>
  <si>
    <t>IMC estimate costs to savings</t>
  </si>
  <si>
    <t>actual project costs to savings (used this)</t>
  </si>
  <si>
    <t xml:space="preserve">IMC Custom projects </t>
  </si>
  <si>
    <t>comparison</t>
  </si>
  <si>
    <t>Overall Savings - (MF-NonRes Com)</t>
  </si>
  <si>
    <t>1 bathroom, 1 kitchen, 1 showerhead</t>
  </si>
  <si>
    <t>Electric water heater</t>
  </si>
  <si>
    <t>NG water heater</t>
  </si>
  <si>
    <t>Kit item</t>
  </si>
  <si>
    <t>Total Cost</t>
  </si>
  <si>
    <t>Unit kWh Savings</t>
  </si>
  <si>
    <t>Unit kW savings</t>
  </si>
  <si>
    <t>Unit therms savings</t>
  </si>
  <si>
    <t>Affected eq.</t>
  </si>
  <si>
    <t>Electric eq. saturation</t>
  </si>
  <si>
    <t>NG eq. saturation</t>
  </si>
  <si>
    <t>% installation rate (100% as this is direct install)</t>
  </si>
  <si>
    <t>Total kWh savings</t>
  </si>
  <si>
    <t>Total kW savings</t>
  </si>
  <si>
    <t>Total therms savings</t>
  </si>
  <si>
    <t>Savings source</t>
  </si>
  <si>
    <t>Savings assumptions</t>
  </si>
  <si>
    <t xml:space="preserve">Measure life </t>
  </si>
  <si>
    <t>Low flow aeretor (2.2. to 0.5 gpm), bathroom</t>
  </si>
  <si>
    <t>Water heater</t>
  </si>
  <si>
    <t>Mid-At TRM, v10, p.133 &amp; PA TRM (2021), v2, p.79</t>
  </si>
  <si>
    <t>Electric domestic water heater. The baseline is a standard faucet aerator using 2.2 GPM. Average minutes of use per person per fixture per day is 1.6 minutes for bathrooms. For kW savings, assume 13% faucet use takes place during peak hours and the peak period is 180 minutes.</t>
  </si>
  <si>
    <t>Low flow aeretor (1.5 gpm), kitchen</t>
  </si>
  <si>
    <t>Mid-At TRM, v10, p.133</t>
  </si>
  <si>
    <t>Electric domestic water heater. The baseline is a standard faucet aerator using 2.2 GPM. Average minutes of use per person per fixture per day is 4.5 minutes for kitchens. Claiming kWh savings from the reduction in water consumption arising from this measure. The kWh savings would be in relation to the pumping and wastewater treatment. For kW savings, assume 13% faucet use takes place during peak hours and the peak period is 180 minutes.</t>
  </si>
  <si>
    <t>https://www.amazon.com/Sink-Faucet-Aerators-1-5-packs/dp/B083R4X8SY/ref=asc_df_B083R4X8SY/?tag=hyprod-20&amp;linkCode=df0&amp;hvadid=459693563969&amp;hvpos=&amp;hvnetw=g&amp;hvrand=13053134597248756696&amp;hvpone=&amp;hvptwo=&amp;hvqmt=&amp;hvdev=c&amp;hvdvcmdl=&amp;hvlocint=&amp;hvlocphy=9030049&amp;hvtargid=pla-946525136297&amp;th=1</t>
  </si>
  <si>
    <t>Low flow (2.5 to 1.5 gpm) Showerhead</t>
  </si>
  <si>
    <t>Mid-At TRM, v10, p.137</t>
  </si>
  <si>
    <t>The baseline is a standard showerhead using 2.5 GPM.</t>
  </si>
  <si>
    <t>LOW FLOW SHOWER HEAD (1.5 GPM)</t>
  </si>
  <si>
    <t>Cost</t>
  </si>
  <si>
    <t>Source (09/19/2022)</t>
  </si>
  <si>
    <t>https://www.conservationmart.com/p-7177-bits-15-gpm-showerhead-b150-ch-chrome.aspx?gclid=EAIaIQobChMIq_n6hpKi-gIVrxNMCh3C9gSbEAQYCiABEgLEl_D_BwE</t>
  </si>
  <si>
    <t>https://www.conservationmart.com/p-2138-sava-spa-15-gpm-chrome-showerhead-n2515ch.aspx?gclid=EAIaIQobChMIq_n6hpKi-gIVrxNMCh3C9gSbEAQYBCABEgIA9_D_BwE</t>
  </si>
  <si>
    <t>https://www.conservationwarehouse.com/earth-massage-showerhead-chrome.html?utm_source=Earth-Massage-Chrome-Showerhead&amp;utm_medium=google-shopping%2Bengine&amp;utm_campaign=PLA-Showerheads&amp;gclid=EAIaIQobChMIq_n6hpKi-gIVrxNMCh3C9gSbEAQYAiABEgKGl_D_BwE</t>
  </si>
  <si>
    <t>Average</t>
  </si>
  <si>
    <t>FAUCET AERATOR (0.5 GPM) - bathroom</t>
  </si>
  <si>
    <t>http://www.supplyhouse.com/Wal-rich-4309500-Lo-Flo-Chrome-Plated-Male-x-Female-Faucet-Aerator-5-GPM-Lead-Free</t>
  </si>
  <si>
    <t>https://www.conservationmart.com/p-8231-bits-05-gpm-faucet-aerator-needle-spray-ban050.aspx</t>
  </si>
  <si>
    <t>https://www.grainger.com/product/10N182?gucid=N:N:FPL:Free:MS:CSM-1946:tew63h4:20501231</t>
  </si>
  <si>
    <t>https://www.homedepot.com/p/NEOPERL-1-5-GPM-Dual-Thread-Water-Saving-Faucet-Aerator-37-0086-98/100666002</t>
  </si>
  <si>
    <t>https://www.conservationwarehouse.com/1-5-gpm-faucet-aerator-bathroom-sink-n3215n-pc.html</t>
  </si>
  <si>
    <t>Refrigerator - Removal of Secondary</t>
  </si>
  <si>
    <t>Proper Disposal of Refrigerator</t>
  </si>
  <si>
    <t>Existing Non-Efficient Refrigerator</t>
  </si>
  <si>
    <t>No equipment cost</t>
  </si>
  <si>
    <t>Our past kWh savings assumption was 852.35 kWh based on the Evaluated Savings in the Tetra Tech Program Impact Evaluation of the LG&amp;E and KU's Fridge and Freezer Recycling Program (dated: April 11, 2016) (see the red tab called "ARP-Fridge-Freeze Recycle" in this workbook ). For planning purposes, we assume 750 kWh based on LG&amp;E - KU actual savings for 2017 and 2018 (see EE-Energy Actuals 2021.xls). Program stopped in 2019. kW savings are also based on 2017 and 2018 actuals (EE-Energy Actuals 2021.xls; https://cadmus.sharepoint.com/:x:/r/sites/CP6923/_layouts/15/Doc.aspx?sourcedoc=%7BE8F5586F-AB97-4DD1-B86B-84B09E7165B8%7D&amp;file=EE%20-%20Energy%20Actuals%202021.xlsx&amp;action=default&amp;mobileredirect=true )</t>
  </si>
  <si>
    <t>Refrigerator</t>
  </si>
  <si>
    <t>ResRefrig - SF Wtd</t>
  </si>
  <si>
    <t>Mid Atlantic TRM v.10 (p.69)</t>
  </si>
  <si>
    <t>Freezer - Removal of Stand-Alone</t>
  </si>
  <si>
    <t>Proper Disposal of Freezer</t>
  </si>
  <si>
    <t>Existing Non-Efficient Freezer</t>
  </si>
  <si>
    <t>Freezer</t>
  </si>
  <si>
    <t>ResFreezer - SF Wtd</t>
  </si>
  <si>
    <t>Mid Atlantic TRM v.10(p.69)</t>
  </si>
  <si>
    <t>Room AC - Removal of inefficient unit</t>
  </si>
  <si>
    <t>Proper Disposal of Room AC - Available only if there is a refrigrator and/or freezer to remove</t>
  </si>
  <si>
    <t>Existing Non-Efficient Room AC</t>
  </si>
  <si>
    <t>Mid-Atlantic TRM, v.10, May 2020 (see below for the details)</t>
  </si>
  <si>
    <t>Room AC</t>
  </si>
  <si>
    <t>ResElecMisc - SF Wtd</t>
  </si>
  <si>
    <t>Mid Atlantic TRM v.10 (p.111)</t>
  </si>
  <si>
    <t>Dehumidifier - Removal of inefficient unit</t>
  </si>
  <si>
    <t>Proper Disposal of Dehumidifier - Available only if there is a refrigrator and/or freezer to remove</t>
  </si>
  <si>
    <t>Existing Non-Efficient Dehumidifier</t>
  </si>
  <si>
    <t>Dehumidifier</t>
  </si>
  <si>
    <t>Mid Atlantic TRM v.10 (1/4 of dehumidifier measure life (p.183))</t>
  </si>
  <si>
    <t>KU-Refrigerator - Removal of Secondary</t>
  </si>
  <si>
    <t>KU-Freezer - Removal of Stand-Alone</t>
  </si>
  <si>
    <t>KU-Room AC - Removal of inefficient unit</t>
  </si>
  <si>
    <t>KU-Dehumidifier - Removal of inefficient unit</t>
  </si>
  <si>
    <t>LG&amp;E-Refrigerator - Removal of Secondary</t>
  </si>
  <si>
    <t>LG&amp;E-Freezer - Removal of Stand-Alone</t>
  </si>
  <si>
    <t>LG&amp;E-Room AC - Removal of inefficient unit</t>
  </si>
  <si>
    <t>LG&amp;E-Dehumidifier - Removal of inefficient unit</t>
  </si>
  <si>
    <t xml:space="preserve">Appliance Recycling: 
not passing the C-E test. We can ramp it later (2026) and the costs in earlier years decrease. 
John: doesn’t start in 2024, DR value is low. Start in 2026. We can drop totally but for now start in 2026 and see the C-E results. 
Lana: 2026 salary will stay as 2026 salary. All the rest will move from 2024 to 2026. </t>
  </si>
  <si>
    <t>ROOM AC kWh SAVINGS:</t>
  </si>
  <si>
    <t>ROOM AC kW SAVINGS:</t>
  </si>
  <si>
    <t>Mid-Atlantic TRM, Version 10 (May 2020), page 110, https://neep.org/sites/default/files/media-files/trmv10.pdf</t>
  </si>
  <si>
    <t>Mid-Atlantic TRM, Version 10 (May 2020), page 111, https://neep.org/sites/default/files/media-files/trmv10.pdf</t>
  </si>
  <si>
    <t>Below percentages is from the previous program planning calculations - see the red "ARP- Fridge-Freeze Recycle" tab.</t>
  </si>
  <si>
    <t>2016 Program to date (~11/21/16)</t>
  </si>
  <si>
    <t>Frig</t>
  </si>
  <si>
    <t>Below participation numbers estimated based historicals and estimated ramp back to annual participation in 2018 (10/15/2021)</t>
  </si>
  <si>
    <t>Total (fridge+freezer) participation assumptions for 2023-2029</t>
  </si>
  <si>
    <t>Room AC participation assumption</t>
  </si>
  <si>
    <t>of fridge+freezer</t>
  </si>
  <si>
    <t>Dehumidifier participation assumption</t>
  </si>
  <si>
    <t>Run hours</t>
  </si>
  <si>
    <t>CF</t>
  </si>
  <si>
    <t>Btuh</t>
  </si>
  <si>
    <t>EER</t>
  </si>
  <si>
    <t>kWh savings of Room AC</t>
  </si>
  <si>
    <t>kW savings of Room AC</t>
  </si>
  <si>
    <t>DEHUMIDIFIER kWh SAVINGS:</t>
  </si>
  <si>
    <t>DEHUMIDIFIER kW SAVINGS:</t>
  </si>
  <si>
    <t>Mid-Atlantic TRM, Version 10 (May 2020), page 185, https://neep.org/sites/default/files/media-files/trmv10.pdf</t>
  </si>
  <si>
    <t>Mid-Atlantic TRM, Version 10 (May 2020), page 185-186, https://neep.org/sites/default/files/media-files/trmv10.pdf</t>
  </si>
  <si>
    <t>kWh savings for a mid capacity dehumidifier ( &gt;35 to &lt;45)</t>
  </si>
  <si>
    <t>kW savings for a mid capacity dehumidifier ( &gt;35 to &lt;45)</t>
  </si>
  <si>
    <t>Residential Audit - Virtual</t>
  </si>
  <si>
    <t>Virtual audit with no cost to customer</t>
  </si>
  <si>
    <t>Incremental</t>
  </si>
  <si>
    <t>no cost audit</t>
  </si>
  <si>
    <t>-</t>
  </si>
  <si>
    <t>Assume audit equals 1 yr</t>
  </si>
  <si>
    <t>Virtual Energy Kit</t>
  </si>
  <si>
    <t>Kits will be mailed to customer</t>
  </si>
  <si>
    <t>Kit costs</t>
  </si>
  <si>
    <t>Mid Atlantic TRM and Pennsylvania TRM</t>
  </si>
  <si>
    <t>Weighted average EUL by savings across the kit based on Mid-Altantic TRM, PA TRM</t>
  </si>
  <si>
    <t>RSMeans scaled up by 25% to account for 2022 dollars</t>
  </si>
  <si>
    <t>2010 - ETO - Residential Duct Insulation scaled up to account for 2022 dollars</t>
  </si>
  <si>
    <t>ENERGY STAR Central Air Conditioner - SEER2 15.2 (Split System)</t>
  </si>
  <si>
    <t>Federal Standard 2023 Central Air Conditioner - SEER2 14.3</t>
  </si>
  <si>
    <t>IL TRM (assume similar as increment cost from SEER 15 to SEER 16)</t>
  </si>
  <si>
    <t>Mid Atlantic TRM</t>
  </si>
  <si>
    <t>ENERGY STAR Air Source Heat Pump - SEER2 15.2 and HSPF2 7.8 (Split System) (CEE Tier 1)</t>
  </si>
  <si>
    <t>Federal Standard 2023 Air Source Heat Pump - SEER2 14.3 and HSPF2 7.5 (Split System)</t>
  </si>
  <si>
    <t>Ductless Heat Pump - SEER/EER 18/12.5, HSPF 10.0</t>
  </si>
  <si>
    <t>Standard Baseboard Heating - HSPF 3.41</t>
  </si>
  <si>
    <t xml:space="preserve">IL TRM (334/ton), if Full install cost (1715/ton) </t>
  </si>
  <si>
    <t>ENERGY STAR Boiler - 90% AFUE</t>
  </si>
  <si>
    <t>Federal Standard 2012 Boiler - 82% AFUE</t>
  </si>
  <si>
    <t>IL TRM (Installation Cost is 5519)</t>
  </si>
  <si>
    <t>ENERGY STAR Furnace - 95% AFUE</t>
  </si>
  <si>
    <t>Federal Standard 2016 Furnace - 80% AFUE</t>
  </si>
  <si>
    <t>WI TRM average NG Furnace, Multi-stage+, 95% AFUE and Tier 2.</t>
  </si>
  <si>
    <t>ENERGY STAR Heat Pump Water Heater ≤ 55 GAL - UEF 2.2</t>
  </si>
  <si>
    <t>Federal Standard 2015 Storage Water Heater ≤ 55 GAL - UEF 0.95</t>
  </si>
  <si>
    <t>IL TRM (Installed Cost is 2062)</t>
  </si>
  <si>
    <t>ResHotWater - SF Wtd</t>
  </si>
  <si>
    <t xml:space="preserve">Electric </t>
  </si>
  <si>
    <t>Percentage of Exisiting Participants</t>
  </si>
  <si>
    <t>Total Weatherization</t>
  </si>
  <si>
    <t>Assume require some time to reach the similar audits as prior HEA</t>
  </si>
  <si>
    <t>Distribution of Participants from HEP</t>
  </si>
  <si>
    <t>Participants</t>
  </si>
  <si>
    <t>%</t>
  </si>
  <si>
    <t>Weatherization-Ceiling Insulation (KY) - Code</t>
  </si>
  <si>
    <t>Weatherization-Duct Sealing and Insulation - Code</t>
  </si>
  <si>
    <t>The kit contains:</t>
  </si>
  <si>
    <t>We did a similar analysis for previous plan (HEA onsite and online offering.xls)</t>
  </si>
  <si>
    <t>Weatherization-Infiltration Control - Reduction of Existing Conditions</t>
  </si>
  <si>
    <t>bathroom faucet aerator (1)</t>
  </si>
  <si>
    <t>Measure Mix</t>
  </si>
  <si>
    <t>Weatherization-Wall Insulation (KY) - Maximum Feasible</t>
  </si>
  <si>
    <t>kitchen faucet aerator (1)</t>
  </si>
  <si>
    <t>Number installed per home</t>
  </si>
  <si>
    <t>Estimate Direct Install Total Cost</t>
  </si>
  <si>
    <t>WI TRM Pack/Kit Costs</t>
  </si>
  <si>
    <t>Weatherization-Floor Insulation (KY) - Above Code</t>
  </si>
  <si>
    <t>low flow showerhead (1)</t>
  </si>
  <si>
    <t>Weatherization-Insulation - Basement Wall - Code</t>
  </si>
  <si>
    <t>advanced power strip (1)</t>
  </si>
  <si>
    <r>
      <t xml:space="preserve">3 LEDs (2 general service, 1 specialty) </t>
    </r>
    <r>
      <rPr>
        <b/>
        <sz val="11"/>
        <rFont val="Calibri"/>
        <family val="2"/>
        <scheme val="minor"/>
      </rPr>
      <t>-</t>
    </r>
    <r>
      <rPr>
        <b/>
        <sz val="11"/>
        <rFont val="Calibri"/>
        <family val="2"/>
      </rPr>
      <t xml:space="preserve"> REMOVED</t>
    </r>
  </si>
  <si>
    <t>DI-Faucet Aerator Low Flow - Bathroom</t>
  </si>
  <si>
    <t>HVAC Participants</t>
  </si>
  <si>
    <t>Average from LGE-KU Parts - Actuals</t>
  </si>
  <si>
    <t>Ramp Rate</t>
  </si>
  <si>
    <t>Water heater pipe insulation (installed on hot and cold pipes for up to six feet from water heater tank, when accessible)</t>
  </si>
  <si>
    <t>DI-Faucet Aerator Low Flow - Kitchen</t>
  </si>
  <si>
    <t>Heat Pump Water Heater</t>
  </si>
  <si>
    <t>HVAC-DWH-Central Air Conditioner - ENERGY STAR</t>
  </si>
  <si>
    <t>Weatherization-Weatherstripping, Caulking, and Spray Foam</t>
  </si>
  <si>
    <t>DI-Low-Flow Showerhead</t>
  </si>
  <si>
    <t>Clothes Washer</t>
  </si>
  <si>
    <t>HVAC-DWH-Heat Pump - Air Source ENERGY STAR</t>
  </si>
  <si>
    <t>Delta_kWh</t>
  </si>
  <si>
    <t>DI-Pipe Insulation - Water Heater</t>
  </si>
  <si>
    <t>HVAC-DWH-Ductless Heat Pump (DHP)</t>
  </si>
  <si>
    <t>&lt;- Averaged</t>
  </si>
  <si>
    <t>BTUHCexist</t>
  </si>
  <si>
    <t>DI-Weatherization-Weatherstripping, Caulking, and Spray Foam</t>
  </si>
  <si>
    <t>HVAC-DWH-Boiler - ENERGY STAR</t>
  </si>
  <si>
    <t>SEERbase</t>
  </si>
  <si>
    <t>DI-Advanced Power Strip</t>
  </si>
  <si>
    <t>Dishwasher</t>
  </si>
  <si>
    <t>HVAC-DWH-Furnace - ENERGY STAR</t>
  </si>
  <si>
    <t>BTUHCee</t>
  </si>
  <si>
    <t>TOTAL COST OF THE KIT</t>
  </si>
  <si>
    <t>Window Film</t>
  </si>
  <si>
    <t>HVAC-DWH-Heat Pump Water Heater - ENERGY STAR</t>
  </si>
  <si>
    <t>SEERee</t>
  </si>
  <si>
    <t>Central Air Conditioner</t>
  </si>
  <si>
    <t>BTUHHexist</t>
  </si>
  <si>
    <t>Central Heat Pump</t>
  </si>
  <si>
    <t>HSPFbase</t>
  </si>
  <si>
    <t>Energy Star Requirements</t>
  </si>
  <si>
    <t>Boiler</t>
  </si>
  <si>
    <t>Furnace</t>
  </si>
  <si>
    <t>kWhwater</t>
  </si>
  <si>
    <t>% installation rate</t>
  </si>
  <si>
    <t>Cost source</t>
  </si>
  <si>
    <t>BTUFFee</t>
  </si>
  <si>
    <t>SEER2</t>
  </si>
  <si>
    <t>UEFbase</t>
  </si>
  <si>
    <t>Conversion</t>
  </si>
  <si>
    <t>Low flow aeretor (1.5 gpm), bathroom</t>
  </si>
  <si>
    <t>Electric domestic water heater. The baseline is a standard faucet aerator using 2.2 GPM. Average minutes of use per person per fixture per day is 1.6 minutes for bathrooms. Claiming kWh savings from the reduction in water consumption arising from this measure. The kWh savings would be in relation to the pumping and wastewater treatment. For kW savings, assume 13% faucet use takes place during peak hours and the peak period is 180 minutes.</t>
  </si>
  <si>
    <t>https://www.energystar.gov/products/water_heaters/residential_water_heaters_key_product_criteria</t>
  </si>
  <si>
    <t>Measure Code</t>
  </si>
  <si>
    <t>HSPFee</t>
  </si>
  <si>
    <t>HSPF2</t>
  </si>
  <si>
    <t>MMBTU</t>
  </si>
  <si>
    <t>UEFef</t>
  </si>
  <si>
    <t>CAC</t>
  </si>
  <si>
    <t>delta kWh</t>
  </si>
  <si>
    <t>CAC Cooling EFLH</t>
  </si>
  <si>
    <t>BGE</t>
  </si>
  <si>
    <t>Avg</t>
  </si>
  <si>
    <t>https://www.energystar.gov/products/heating_cooling/furnaces/key_product_criteria</t>
  </si>
  <si>
    <t>RS_HV_TOS_CENA</t>
  </si>
  <si>
    <t>EFLHcool</t>
  </si>
  <si>
    <t>AFUEbase</t>
  </si>
  <si>
    <t>LEDs - general service - REPLACE INCANDESCENT WITH 8.5W A19</t>
  </si>
  <si>
    <t>Mid-At TRM, v10, p.26</t>
  </si>
  <si>
    <t>8.5 W A19 LED - 800 lumen - 43 W equiavalent</t>
  </si>
  <si>
    <t>https://www.1000bulbs.com/product/203518/SATCO-S8915.html?gclid=EAIaIQobChMIy-6KxJvs8wIVxHxvBB0UKALQEAQYAiABEgKQNPD_BwE</t>
  </si>
  <si>
    <t>Hours</t>
  </si>
  <si>
    <t>Pepco</t>
  </si>
  <si>
    <t>https://www.energystar.gov/products/boilers</t>
  </si>
  <si>
    <t>RS_HV_TOS_ASHP_0420</t>
  </si>
  <si>
    <t>EFLHheat</t>
  </si>
  <si>
    <t>MMBTU/yr</t>
  </si>
  <si>
    <t>LEDs - specialty - REPLACE INCANDESCENT WITH 11W BR30</t>
  </si>
  <si>
    <t>11 W BR30 LED - 850 lumen - 65 W equivalent</t>
  </si>
  <si>
    <t>https://www.1000bulbs.com/product/203079/PLT-11050.html?gclid=EAIaIQobChMIk-vT4pvs8wIVgG1vBB3ArAPtEAQYASABEgKKwPD_BwE</t>
  </si>
  <si>
    <t>BTU_exist</t>
  </si>
  <si>
    <t>Baseline</t>
  </si>
  <si>
    <t>DPL</t>
  </si>
  <si>
    <t>chrome-extension://efaidnbmnnnibpcajpcglclefindmkaj/https://www.energystar.gov/sites/default/files/asset/document/ENERGY%20STAR%20Central%20Air%20Conditioner%20and%20Heat%20Pump%20Version%206.1%20Final%20Specification.pdf</t>
  </si>
  <si>
    <t>RS_HV_TOS_MSHP_0518</t>
  </si>
  <si>
    <t>cooling EFLH</t>
  </si>
  <si>
    <t>BTUh</t>
  </si>
  <si>
    <t>GPD</t>
  </si>
  <si>
    <t>Low flow  (1.5 gpm) Showerhead</t>
  </si>
  <si>
    <t>https://www.build.com/product/summary/971573?uid=2408083&amp;jmtest=gg-gbav2_2408083&amp;inv2=1&amp;&amp;source=gg-gba-pla_2408083!c1707632144!a68158363098!dc!ng&amp;gclid=EAIaIQobChMIzfn6k5vs8wIVv21vBB2njAafEAQYASABEgLRWfD_BwE&amp;gclsrc=aw.ds</t>
  </si>
  <si>
    <t>SEER_base</t>
  </si>
  <si>
    <t>CAC - &gt;= 15.2 SEER2, &gt;=11.5 EER2 , Split System - 15.2 SEER and 12.0 EER</t>
  </si>
  <si>
    <t>RS_HV_TOS_GASBLR_0415</t>
  </si>
  <si>
    <t>Assumed Capcity</t>
  </si>
  <si>
    <t>tons</t>
  </si>
  <si>
    <t>AFUEee</t>
  </si>
  <si>
    <t>Days in year</t>
  </si>
  <si>
    <t>caulk (10.1 oz tube)</t>
  </si>
  <si>
    <t>Heating/Cooling</t>
  </si>
  <si>
    <t>Equipment saturations are taken into account in the unit kWh and kW savings calculations.</t>
  </si>
  <si>
    <t>Pennysylvania TRM, 2021, vol 2, page 153</t>
  </si>
  <si>
    <t>https://www.lowes.com/pd/DAP-Alex-Plus-10-1-oz-Clear-Paintable-Latex-Caulk/3025039#preview-reviews</t>
  </si>
  <si>
    <t>BTUH_ee</t>
  </si>
  <si>
    <t>Actual Capacity</t>
  </si>
  <si>
    <t>SMECO</t>
  </si>
  <si>
    <t>ASHP - SEER2 &gt;= 15.2, EER2&gt;11.7, HSPF2&gt;7.8 (Split System)</t>
  </si>
  <si>
    <t>RS_HV_TOS_GASFUR_0415</t>
  </si>
  <si>
    <t>BTU</t>
  </si>
  <si>
    <t>Specific weight of water</t>
  </si>
  <si>
    <t>weatherstripping (17 ft, medium gap)</t>
  </si>
  <si>
    <t>https://www.walmart.com/ip/Duck-Brand-17-ft-Heavy-Duty-Rubber-Weatherstrip-Seal-Medium-Gap/17133813?wl13=1512&amp;selectedSellerId=0</t>
  </si>
  <si>
    <t>SEER_ee</t>
  </si>
  <si>
    <t>SEER of unit actually installed</t>
  </si>
  <si>
    <t>RS_WT_TOS_HPRSHW_0420</t>
  </si>
  <si>
    <t>Tout</t>
  </si>
  <si>
    <t>spray-foam (12 oz can)</t>
  </si>
  <si>
    <t>https://www.homedepot.com/p/Loctite-TITE-FOAM-Big-Gaps-12-oz-Insulating-Foam-Sealant-2378565/305120190?source=shoppingads&amp;locale=en-US&amp;&amp;mtc=Shopping-VF-F_DYNM-G-D22-022_004_INSULATION-LOCTITE-NA-NA-PLA_LIA-NA-NA-MK472953324_9016497484_FY21_3408_Henkel&amp;cm_mmc=Shopping-VF-F_DYNM-G-D22-022_004_INSULATION-LOCTITE-NA-NA-PLA_LIA-NA-NA-MK472953324_9016497484_FY21_3408_Henkel-71700000087792962-58700007461816806-92700067085547422&amp;gclid=EAIaIQobChMI99j9iJXs8wIVlAaICR0V2Q7_EAQYASABEgINQPD_BwE&amp;gclsrc=aw.ds#product-overview</t>
  </si>
  <si>
    <t>Energy Star SEER 2 CAC Requirement</t>
  </si>
  <si>
    <t>Tin</t>
  </si>
  <si>
    <t>pipe-wrap (for 6 ft piece)</t>
  </si>
  <si>
    <t>Pennysylvania TRM, 2021, vol 2, page 77</t>
  </si>
  <si>
    <t xml:space="preserve">The annual energy savings are assumed to be 3% of the annual energy use of an electric water heater (2,939 kWh), or 88.2 kWh based on 10 feet of ¾” thick insulation (equal to R-3 on a ½” pipe). </t>
  </si>
  <si>
    <t>https://www.lowes.com/pd/Frost-King-1-2-in-Wall-Thickness-x-1-in-Id-x-6-ft-Foam-Pipe-Insulation/1001089478?cm_mmc=shp-_-c-_-prd-_-plb-_-ggl-_-LIA_PLB_171_Air-Circulation-_-1001089478-_-0-_-0-_-0&amp;ds_rl=1286981&amp;gclid=EAIaIQobChMI0aX80Jfs8wIVhG1vBB08yAMXEAQYAiABEgJTB_D_BwE&amp;gclsrc=aw.ds</t>
  </si>
  <si>
    <t>New Requirement (SEER2)</t>
  </si>
  <si>
    <t>heat capacity</t>
  </si>
  <si>
    <t>advanced power strip</t>
  </si>
  <si>
    <t>Mid-At TRM, v10, p.199</t>
  </si>
  <si>
    <t>The assumed baseline is a standard power strip that does not control any of the connected loads.</t>
  </si>
  <si>
    <t>https://www.amazon.com/TrickleStar-Outlet-Advanced-PowerStrip-Joules/dp/B00JPDYYSM/ref=asc_df_B00JPDYYSM/?tag=hyprod-20&amp;linkCode=df0&amp;hvadid=198076677096&amp;hvpos=&amp;hvnetw=g&amp;hvrand=11677588706551963321&amp;hvpone=&amp;hvptwo=&amp;hvqmt=&amp;hvdev=c&amp;hvdvcmdl=&amp;hvlocint=&amp;hvlocphy=9030049&amp;hvtargid=pla-350856871876&amp;th=1</t>
  </si>
  <si>
    <t>Assume 3 ton unit and no change in size</t>
  </si>
  <si>
    <t>Heating EFLH</t>
  </si>
  <si>
    <t>LFc</t>
  </si>
  <si>
    <t>WMFc</t>
  </si>
  <si>
    <t>EER_Baseline</t>
  </si>
  <si>
    <t>estimated range from 11.3 to 11.7</t>
  </si>
  <si>
    <t>COPcool</t>
  </si>
  <si>
    <t>EER_ee</t>
  </si>
  <si>
    <t>Energy Star Require for split system</t>
  </si>
  <si>
    <t>LFh</t>
  </si>
  <si>
    <t>AHP</t>
  </si>
  <si>
    <t>CAC SEER 16 CF</t>
  </si>
  <si>
    <t>avg</t>
  </si>
  <si>
    <t>WMFh</t>
  </si>
  <si>
    <t>Delta kW</t>
  </si>
  <si>
    <t>COPheat</t>
  </si>
  <si>
    <t>Summer</t>
  </si>
  <si>
    <t>Pennysylvania TRM, 2021, vol 2, page 156</t>
  </si>
  <si>
    <t>Winter</t>
  </si>
  <si>
    <t>BTUc</t>
  </si>
  <si>
    <t>ASHP winter</t>
  </si>
  <si>
    <t>https://thefurnaceoutlet.com/blogs/hvac-tips/seer2-eer2-and-hspf2-2023-hvac-efficiency-standards</t>
  </si>
  <si>
    <t>EERbase</t>
  </si>
  <si>
    <t>estimated</t>
  </si>
  <si>
    <t>EERee</t>
  </si>
  <si>
    <t>LED measure</t>
  </si>
  <si>
    <t>HOU</t>
  </si>
  <si>
    <t>WHFe</t>
  </si>
  <si>
    <t>WHFd</t>
  </si>
  <si>
    <t>CFw</t>
  </si>
  <si>
    <t>CFs</t>
  </si>
  <si>
    <t>ASHP summer</t>
  </si>
  <si>
    <t>Delmarva Power</t>
  </si>
  <si>
    <t xml:space="preserve">PE </t>
  </si>
  <si>
    <t>AVERAGE</t>
  </si>
  <si>
    <t>SAVINGS TABLE</t>
  </si>
  <si>
    <t>12.1 SEER AC Cool. savings (kWh)</t>
  </si>
  <si>
    <t>El. Res. Heat. savings (COP=1) (kWh)</t>
  </si>
  <si>
    <t>Nat. Gas heat. savings (COP = 0.9) (therms)</t>
  </si>
  <si>
    <t>14 SEER ASHP cooling savings (kWh)</t>
  </si>
  <si>
    <t>8.2 HSPF ASHP heating savings (kWh)</t>
  </si>
  <si>
    <t>CONVERSION HELPER</t>
  </si>
  <si>
    <t>Cooling BTU savings</t>
  </si>
  <si>
    <t xml:space="preserve">ASHP cooling kWh savings  </t>
  </si>
  <si>
    <t xml:space="preserve">Heating BTU savings </t>
  </si>
  <si>
    <t>SEER of Air Source Heat Pump (Mid At TRM v.10, p. 80)</t>
  </si>
  <si>
    <t>COP to HSPF conversion</t>
  </si>
  <si>
    <t>HSPF of Air Source Heat Pump (Mid At TRM v.10, p. 80)</t>
  </si>
  <si>
    <t>Efficiency of NG furnace (an estimate of the market average efficiency level for furnaces)</t>
  </si>
  <si>
    <t>Peak demand savings conversion factor (PA TRM, p.155)</t>
  </si>
  <si>
    <t>Below tables are use as a savings resource (Pennsylvania TRM, p. 156)</t>
  </si>
  <si>
    <t xml:space="preserve">Merged  together in Business Rebates. (Small business audit and midstream lighting). Modeled separately for flexibility. </t>
  </si>
  <si>
    <t>Small Business Audit - On Site</t>
  </si>
  <si>
    <t>In person audit with no cost to customer</t>
  </si>
  <si>
    <t>Per Audit</t>
  </si>
  <si>
    <t>No cost audit</t>
  </si>
  <si>
    <t>No savings for the audit</t>
  </si>
  <si>
    <t>Small Office</t>
  </si>
  <si>
    <t>OFFSMGasDHW</t>
  </si>
  <si>
    <t>Small Business Direct Install - LED Lighting Bulbs</t>
  </si>
  <si>
    <t>Linear LED Direct Install Bulbs</t>
  </si>
  <si>
    <t>Existing Lighting</t>
  </si>
  <si>
    <t>Benchmark from another jurisdiction</t>
  </si>
  <si>
    <t>Lighting</t>
  </si>
  <si>
    <t>OFFLGInLight</t>
  </si>
  <si>
    <t>Measure life is not to exceed 15 years based on Mid Atlantic TRM v10, p.279 (Even though the rated hours may last longer than 15 years, due to remodeling effects a maximum of 15 years is assumed) &amp; PA TRM Vol 3 p.1. New Linear Fluorescent Fixture: 15 years (PA TRM v3, p.1)</t>
  </si>
  <si>
    <t>Small Business Direct Install - LED Lighting Retrofit Fixtures</t>
  </si>
  <si>
    <t>Linear LED Direct Install Retrofits</t>
  </si>
  <si>
    <t>Small Business Direct Install - Water Conservation Aerators</t>
  </si>
  <si>
    <t>OFFSMElecDHW</t>
  </si>
  <si>
    <t>Small Business Direct Install - Water Conservation Showerheads</t>
  </si>
  <si>
    <t>Small Business Direct Install - Water Conservation Sprayers</t>
  </si>
  <si>
    <t>Pre-rinse Spray Valves 1.15GPM</t>
  </si>
  <si>
    <t>Existing 1.6 GPM</t>
  </si>
  <si>
    <t>Based on the Mid Atlantic TRM v10 (p 355) "Pre Rinse Spray Valve". Engineering Calculation</t>
  </si>
  <si>
    <t>2022 planning notes</t>
  </si>
  <si>
    <t>Assuming the audit implementation cost is the same as residential audit.</t>
  </si>
  <si>
    <t>Using the residential showerhead/aerator inputs as these are residential measures. I am also using the equipment/fuel shares same as residential</t>
  </si>
  <si>
    <t>FAUCET AERATOR (0.5 GPM)</t>
  </si>
  <si>
    <t>ASSUMING SAME STAURATIONS AS RESIDENTIAL</t>
  </si>
  <si>
    <t>PRE RINSE SPRAY VALVE (1.15 GPM)</t>
  </si>
  <si>
    <t>Source (09/20/2022)</t>
  </si>
  <si>
    <t>https://www.webstaurantstore.com/fisher-2949-ultra-pre-rinse-spray-valve-for-pre-rinse-units/3402949.html?utm_source=google&amp;utm_medium=cpc&amp;utm_campaign=GoogleShopping&amp;gclid=EAIaIQobChMIop7zisCh-gIVXRXUAR2NyQGIEAQYASABEgI6IvD_BwE</t>
  </si>
  <si>
    <t>https://www.webstaurantstore.com/assure-parts-1-15-gpm-pre-rinse-spray-valve/190FPRSVHF.html?utm_source=google&amp;utm_medium=cpc&amp;utm_campaign=GoogleShopping&amp;gclid=EAIaIQobChMIlae59O-j-gIVrhXUAR20Hgz-EAQYAiABEgL23vD_BwE</t>
  </si>
  <si>
    <t>https://www.webstaurantstore.com/waterloo-prsv-1-15-gpm-pre-rinse-spray-valve/750PRSV.html?utm_source=google&amp;utm_medium=freeclicks&amp;utm_campaign=GoogleShopping</t>
  </si>
  <si>
    <t>Low flow aeretor (2.2. to 0.5 gpm), kitchen</t>
  </si>
  <si>
    <t>Pre rinse spray valve (1.6 to 1.15 gpm)</t>
  </si>
  <si>
    <t>Mid-At TRM, v10, p.355</t>
  </si>
  <si>
    <t xml:space="preserve"> Typical supply water temperature of 70°F and a hot water storage tank temperature of 140°F.</t>
  </si>
  <si>
    <t>Good reading about faucet aerators:</t>
  </si>
  <si>
    <t>https://www.cleanenergyresourceteams.org/faucet-aerators-are-great-water-and-energy-savings-when-should-you-use-them</t>
  </si>
  <si>
    <t>Old Per Unit Assumption</t>
  </si>
  <si>
    <t>Commercial Energy Audit</t>
  </si>
  <si>
    <t>Audit</t>
  </si>
  <si>
    <t>n/a</t>
  </si>
  <si>
    <t>LG&amp;E and KU previous plan max program requirements</t>
  </si>
  <si>
    <t>No savings for audit</t>
  </si>
  <si>
    <t>Large Office</t>
  </si>
  <si>
    <t>OFFSMCool</t>
  </si>
  <si>
    <t>Assume audit EUL is one year</t>
  </si>
  <si>
    <t xml:space="preserve">Air Cooled Chiller </t>
  </si>
  <si>
    <t>1.18 kW/ton full load (10.1 EER)</t>
  </si>
  <si>
    <t>IECC 2012 Code 9.562 EER (1.25 kW/ton)</t>
  </si>
  <si>
    <t>Per Ton</t>
  </si>
  <si>
    <t>Mid-Atlantic TRM V9 Electric Chillers (p.435) - Assuming 100 tons from 'Assumptions' tab</t>
  </si>
  <si>
    <t>Per unit savings estimate from Mid-Atlantic TRM v9 "Electric Chillers"</t>
  </si>
  <si>
    <t>Miscellaneous</t>
  </si>
  <si>
    <t>Cooling Chillers</t>
  </si>
  <si>
    <t>2008 Database for Energy-Efficiency Resources (DEER), Version 2008.2.05, “Effective/Remaining Useful Life Values”, California Public Utilities Commission, December 16, 2008</t>
  </si>
  <si>
    <t>Water Cooled Chiller &lt; 150 Tons</t>
  </si>
  <si>
    <t>0.66 kW/ton (full load); 0.54 kW/ton (IPLV)</t>
  </si>
  <si>
    <t>IECC 2015 - 0.72 kW/ton (full load); 0.56 kW/ton (IPLV)</t>
  </si>
  <si>
    <r>
      <t xml:space="preserve">Mid-Atlantic TRM V9 Electric Chillers (p.435) - Assuming 100 tons from 'Assumptions' tab, </t>
    </r>
    <r>
      <rPr>
        <b/>
        <u/>
        <sz val="10"/>
        <color theme="10"/>
        <rFont val="Arial"/>
        <family val="2"/>
      </rPr>
      <t>0.68 kW/ton for efficient equipment to match TRM table</t>
    </r>
    <r>
      <rPr>
        <u/>
        <sz val="10"/>
        <color theme="10"/>
        <rFont val="Arial"/>
        <family val="2"/>
      </rPr>
      <t>, and Water-Cooled Scroll/Screw Chiller Incremental Costs ($/Ton) for Maryland to match baseline kW/ton</t>
    </r>
  </si>
  <si>
    <t>Water Cooled Chiller ≥ 150 Tons &amp; ≤ 300 Tons</t>
  </si>
  <si>
    <t>0.58 kW/ton (full load); 0.49 kW/ton (IPLV)</t>
  </si>
  <si>
    <t>IECC 2015 - 0.66 kW/ton (full load); 0.54 kW/ton (IPLV)</t>
  </si>
  <si>
    <r>
      <t xml:space="preserve">Mid-Atlantic TRM V9 Electric Chillers (p.435) - Assuming 200 tons from 'Assumptions' tab, </t>
    </r>
    <r>
      <rPr>
        <b/>
        <u/>
        <sz val="10"/>
        <color theme="10"/>
        <rFont val="Arial"/>
        <family val="2"/>
      </rPr>
      <t>0.60 kW/ton for efficient equipment to match TRM table</t>
    </r>
    <r>
      <rPr>
        <u/>
        <sz val="10"/>
        <color theme="10"/>
        <rFont val="Arial"/>
        <family val="2"/>
      </rPr>
      <t>, and Water-Cooled Scroll/Screw Chiller Incremental Costs ($/Ton) for Maryland to match baseline kW/ton</t>
    </r>
  </si>
  <si>
    <t>Health</t>
  </si>
  <si>
    <t>OFFLGCool</t>
  </si>
  <si>
    <t>Water Cooled Chiller &gt; 300 Tons</t>
  </si>
  <si>
    <t>0.53 kW/ton (full load); 0.46 kW/ton (IPLV)</t>
  </si>
  <si>
    <t>IECC 2015 - 0.56 kW/ton (full load); 0.52 kW/ton (IPLV)</t>
  </si>
  <si>
    <t>Mid-Atlantic TRM V9 Electric Chillers (p.435) - Assuming 400 tons from 'Assumptions' tab - See BizRebates_Cost_Savings tab for calculations (assumed Water-Cooled Centrifugal Chiller Incremental Costs ($/Ton) for Maryland for 300 and 600 tons as baseline kW/ton was more accurate)</t>
  </si>
  <si>
    <t>LG&amp;E/KU Commercial Rebates Report - Appendix A</t>
  </si>
  <si>
    <t>Air Cooled Chilled Water Reset, 0-100 tons</t>
  </si>
  <si>
    <t>Air Cooled Chilled Water Reset</t>
  </si>
  <si>
    <t>No Reset</t>
  </si>
  <si>
    <t>Estimated incentive equals 25% of incremental cost. Reference: Assume 2 point for air cooled. CWST Reset Costs CA 2013 Standard Doc: http://www.energy.ca.gov/title24/2013standards/prerulemaking/documents/2011-08-17_workshop/presentations/05%20Condenser%20Water%20Reset%20Control.pdf</t>
  </si>
  <si>
    <t>LG&amp;E and KU Commercial Rebates Program Impact Evaluation for Chillers - FINAL October 24, 2016 by The Tetra Tech Evaluation Team</t>
  </si>
  <si>
    <t>Air Cooled Chilled Water Reset, 100-200 tons</t>
  </si>
  <si>
    <t>Air Cooled Chilled Water Reset, 200-300 tons</t>
  </si>
  <si>
    <t>Air Cooled Chilled Water Reset, 300-400 tons</t>
  </si>
  <si>
    <t>Air Cooled Chilled Water Reset, 400-500 tons</t>
  </si>
  <si>
    <t>Water Cooled Chilled Water Reset, 0-1000 tons</t>
  </si>
  <si>
    <t>Water Cooled Chilled Water Reset</t>
  </si>
  <si>
    <t>Water Cooled Chilled Water Reset, 1000-2000 tons</t>
  </si>
  <si>
    <t>Water Cooled Chilled Water Reset, 2000-3000 tons</t>
  </si>
  <si>
    <t>Motor - High Efficiency (1 HP - 250 HP)</t>
  </si>
  <si>
    <t>High Efficiency Motors - 1 HP to 250 HP (Open Drip Roof and Totally Enclosed Fan-Cooled)</t>
  </si>
  <si>
    <t xml:space="preserve">Standard Motor Efficiency </t>
  </si>
  <si>
    <t>Per Motor</t>
  </si>
  <si>
    <t>Per HP</t>
  </si>
  <si>
    <t>This is the average ($/HP) cost of all possible motors (HP, RPM, and open drip proof/Totally Enclosed Fan-Cooled) See BizRebates_Costs_Savings for full table adapted from MN TRM</t>
  </si>
  <si>
    <t>Ventilation And Circulation</t>
  </si>
  <si>
    <t>Pump - High Efficiency (7.5 HP)</t>
  </si>
  <si>
    <t xml:space="preserve">Efficiency of 73% or more for system </t>
  </si>
  <si>
    <t>Standard Pump Efficiency</t>
  </si>
  <si>
    <t>Per Pump</t>
  </si>
  <si>
    <t>Adapted from data in https://nwcouncil.app.box.com/v/ComAgIndPumpsv2-2 (See 'BizRebates_Costs' tab for full methodology)</t>
  </si>
  <si>
    <t>Based on savings from LG&amp;E/KU Commercial Rebates report for 20 HP pump - assumes savings increase linearly per HP increases</t>
  </si>
  <si>
    <t>Pump - High Efficiency (10 HP)</t>
  </si>
  <si>
    <t xml:space="preserve">Efficiency of 75% or more for system </t>
  </si>
  <si>
    <t>Adapted from data in https://nwcouncil.app.box.com/v/ComAgIndPumpsv2-2</t>
  </si>
  <si>
    <t>Pump - High Efficiency (15 HP)</t>
  </si>
  <si>
    <t xml:space="preserve">Efficiency of 77% or more for system </t>
  </si>
  <si>
    <t>Pump - High Efficiency (20 HP)</t>
  </si>
  <si>
    <t>Pump - High Efficiency (30 HP)</t>
  </si>
  <si>
    <t>Pump - High Efficiency (40 HP)</t>
  </si>
  <si>
    <t>Pump - High Efficiency (50 HP)</t>
  </si>
  <si>
    <t>Variable Frequency Drives</t>
  </si>
  <si>
    <t>Variable Frequency Drives (VFDs) - All Sizes</t>
  </si>
  <si>
    <t>No Drive</t>
  </si>
  <si>
    <t>Per VFD</t>
  </si>
  <si>
    <t>$210.52/HP for variable torque measures; $122.48/HP for constant torque measures per FOE TRM (p. 721). This cost represents an everage of the two values.</t>
  </si>
  <si>
    <t>LED Refrigerated Display Light</t>
  </si>
  <si>
    <t>T8 Refrigerated Display Light</t>
  </si>
  <si>
    <t>Per 5' Lamp</t>
  </si>
  <si>
    <t>Assuming 5' lamp, incremental cost is $23/linear foot; PV lifetime O&amp;M impacts per linear foot are $2.17 - assumed 5' lamp with maximum 15 year measure life</t>
  </si>
  <si>
    <t>Based on savings algorithms and assumptions from Mid-Atlanatic TRM v10 (LED Refrigerated Case Lighting) - Assuming unit size is 5' as with costs</t>
  </si>
  <si>
    <t>Grocery</t>
  </si>
  <si>
    <t>Display Case LEDs (Closed Cases)</t>
  </si>
  <si>
    <t>Standard Case Lighting</t>
  </si>
  <si>
    <t>Grocery InLight</t>
  </si>
  <si>
    <t>LED Exit Signs (replacement)</t>
  </si>
  <si>
    <t>CFL Exit Signs</t>
  </si>
  <si>
    <t>Per Fixture</t>
  </si>
  <si>
    <t>LED Exit Sign from Mid-Atl TRM v9</t>
  </si>
  <si>
    <t>Exit Sign - LED</t>
  </si>
  <si>
    <t>LED Exit Sign</t>
  </si>
  <si>
    <t>CFL Exit Sign</t>
  </si>
  <si>
    <t>Efficient Lighting Controls - Occupancy Sensor</t>
  </si>
  <si>
    <t>Occupancy Sensor ($0.03 per Controlled Watt)</t>
  </si>
  <si>
    <t xml:space="preserve">No Occupancy Sensor Controls </t>
  </si>
  <si>
    <t>Per Watt Controlled</t>
  </si>
  <si>
    <t>Per Controlled Watt</t>
  </si>
  <si>
    <t>Costs estimated from IL TRM v9: 4.5.10 Lighting Controls</t>
  </si>
  <si>
    <t>Efficient Lighting Controls - Daylight Dimming-Continuous Fixtures</t>
  </si>
  <si>
    <t>Daylight Dimming-Continuous Fixtures ($0.03 per Controlled Watt)</t>
  </si>
  <si>
    <t xml:space="preserve">No Daylight Controls </t>
  </si>
  <si>
    <t>Per Watt savings estimate from IL TRM v10.0 "4.5.10 Lighting Controls" - use-specific input assumptions are for "unknown" building type</t>
  </si>
  <si>
    <t>Efficient Lighting Controls - Occupancy/Daylight Dual Control</t>
  </si>
  <si>
    <t>Occupancy/Daylight Dual Control ($0.03 per Controlled Watt)</t>
  </si>
  <si>
    <t>No Lighting Controls</t>
  </si>
  <si>
    <t>Custom Projects</t>
  </si>
  <si>
    <t>Custom Projects - Saves 1 kW of Demand or More</t>
  </si>
  <si>
    <t>Per Saved kW</t>
  </si>
  <si>
    <t xml:space="preserve">Benchmarking custom projects from other utilties to estimate incremental cost. Roughly $0.22 per kWh saved as incermental costs. </t>
  </si>
  <si>
    <t>LG&amp;E and KUCommercial Rebates Program Impact Evaluation for Custom Projects – FINAL November 3, 2016 by The Tetra Tech Evaluation Team</t>
  </si>
  <si>
    <t>Commercial New Construction Tier 1 &lt;25,000 sqft</t>
  </si>
  <si>
    <t>Commercial New Construction Tier 1 - 10% Over Code</t>
  </si>
  <si>
    <t>State and Federal Energy Code</t>
  </si>
  <si>
    <t>Per Project</t>
  </si>
  <si>
    <t>Estimated savings from LG&amp;E and KU projections and 2016 program data.</t>
  </si>
  <si>
    <t>Commercial New Construction Tier 2 &lt;25,000 sqft</t>
  </si>
  <si>
    <t>Commercial New Construction Tier 2 - 15% Over Code</t>
  </si>
  <si>
    <t>Commercial New Construction Tier 3 &lt;25,000 sqft</t>
  </si>
  <si>
    <t>Commercial New Construction Tier 3 - 20% Over Code</t>
  </si>
  <si>
    <t>Commercial New Construction Tier 4 &lt;25,000 sqft</t>
  </si>
  <si>
    <t>Commercial New Construction Tier 4 - 25% Over Code</t>
  </si>
  <si>
    <t>Commercial New Construction Tier 1 ≥25,000 sqft</t>
  </si>
  <si>
    <t>Commercial New Construction Tier 2 ≥25,000 sqft</t>
  </si>
  <si>
    <t>Commercial New Construction Tier 3 ≥25,000 sqft</t>
  </si>
  <si>
    <t>Commercial New Construction Tier 4 ≥25,000 sqft</t>
  </si>
  <si>
    <t>Commercial New Construction LEED 1 to 5 Points &lt;25,000 sqft</t>
  </si>
  <si>
    <t>Commercial New Construction LEED 1 to 5 Points - LEED Energy &amp; Atmosphere, Credit 1 Category Optimize Energy Efficiency Performance</t>
  </si>
  <si>
    <t>Non-LEED Building</t>
  </si>
  <si>
    <t>Assume Direct Costs of LEED Certification ONLY: http://www.josre.org/wp-content/uploads/2012/09/Cost_of_LEED_Analysis_of_Construction_Costs-JOSRE_v3-13.pdf</t>
  </si>
  <si>
    <t>Assume no additional savings for LEED. Bonus incentive. Estimated savings from LG&amp;E and KU projections and 2016 program data.</t>
  </si>
  <si>
    <t>Commercial New Construction LEED 6 to 10 Points &lt;25,000 sqft</t>
  </si>
  <si>
    <t>Commercial New Construction LEED 6 to 10 Points - LEED Energy &amp; Atmosphere, Credit 1 Category Optimize Energy Efficiency Performance</t>
  </si>
  <si>
    <t>Commercial New Construction LEED 11 to 15 Points &lt;25,000 sqft</t>
  </si>
  <si>
    <t>Commercial New Construction LEED 11 to 15 Points - LEED Energy &amp; Atmosphere, Credit 1 Category Optimize Energy Efficiency Performance</t>
  </si>
  <si>
    <t>Commercial New Construction LEED 16+ Points &lt;25,000 sqft</t>
  </si>
  <si>
    <t>Commercial New Construction LEED 16+ Points - LEED Energy &amp; Atmosphere, Credit 1 Category Optimize Energy Efficiency Performance</t>
  </si>
  <si>
    <t>Commercial New Construction LEED 1 to 5 Points ≥25,000 sqft</t>
  </si>
  <si>
    <t>Commercial New Construction LEED 6 to 10 Points ≥25,000 sqft</t>
  </si>
  <si>
    <t>Commercial New Construction LEED 11 to 15 Points ≥25,000 sqft</t>
  </si>
  <si>
    <t>Commercial New Construction LEED 16+ Points ≥25,000 sqft</t>
  </si>
  <si>
    <t>LED Troffer</t>
  </si>
  <si>
    <t>Any LED lamps or ballasts must also be ENERGY STAR® certified or listed on the Design Lights Consortium (DLC) qualified list.</t>
  </si>
  <si>
    <t>1-, 2-, 3-, or 4-Lamp 32w T8</t>
  </si>
  <si>
    <t>Costs estimated from IL TRM v9: 4.5.4 LED Bulbs and Fixtures: LED Troffers</t>
  </si>
  <si>
    <t>Per unit savings estimate from IL TRM v10.0 "4.5.4 LED Bulbs and Fixtures" - use-specific input assumptions are for "Unknown" building/space type and Energy Star Fixtures</t>
  </si>
  <si>
    <t>LED High Bay</t>
  </si>
  <si>
    <t>High-bay luminaire with a high intensity discharge or fluorescent light-source</t>
  </si>
  <si>
    <t>Costs estimated from Mid-Atlantic TRM v9: LED High-Bay Luminaires and Retrofit Kits; O&amp;M impact - $32.50/lamp over 15 year max measure life</t>
  </si>
  <si>
    <t>Per unit savings estimate from Mid-Atlantic TRM v9 "LED LED High-Bay Luminaires and Retrofit Kits" - use-specific input assumptions are average of all building types from Table D-3; Base and EE Wattage assumptions are average from IL TRM 4.5.4 LED Bulbs and Fixtures "LED Fixture Wattage, TOS Baseline and Incremental Cost Assumptions" Table</t>
  </si>
  <si>
    <t>LED Tube</t>
  </si>
  <si>
    <t>Existing four-foot linear fluorescent fixture</t>
  </si>
  <si>
    <t xml:space="preserve">Costs estimated from Mid-Atlantic TRM v9: LED Four-Foot Linear Replacement Lamps; </t>
  </si>
  <si>
    <t>Per unit savings estimate from Mid-Atlantic TRM v9 "LED LED High-Bay Luminaires and Retrofit Kits" - use-specific input assumptions are average of all building types from Table D-3</t>
  </si>
  <si>
    <t>Interior ≤ 10W</t>
  </si>
  <si>
    <t>Baseline Wall-Wash Fixtures or 2 ft F17T8 Standard Lamp</t>
  </si>
  <si>
    <t>Costs estimated from IL TRM v10: "4.5.4 LED Bulbs and Fixtures;" LED Downlight Fixtures, LED Interior Directional, LED Linear Replacement Lamps, and LED Linear Ambient Fixtures</t>
  </si>
  <si>
    <t>Interior &gt; 10W and &lt; 50W</t>
  </si>
  <si>
    <t>Baseline Recessed, Surface, Pendant Downlights; Baseline Track Lighting; 4 ft F32T8 Standard Lamp; 4 ft F32T8/HO Standard Lamp; 1-, 2-, or 3-lamp 32w T8</t>
  </si>
  <si>
    <t>Interior ≥ 50W</t>
  </si>
  <si>
    <t>4 ft T5HO 2L-F54T5HO or T5HO 3L-F54T5HO</t>
  </si>
  <si>
    <t>Exterior: LED Other</t>
  </si>
  <si>
    <t>Exterior flood or spot fixture with a high intensity discharge or PAR light-source</t>
  </si>
  <si>
    <t>Average of all "Exterior LED Flood and Spot Luminaires" costs from Mid-Atlantic TRM</t>
  </si>
  <si>
    <t>Wall Pack &amp; Canopy Fixtures ≤ 150W</t>
  </si>
  <si>
    <t>A parking garage or canopy luminaire with a high intensity discharge light-source</t>
  </si>
  <si>
    <t>Equipment and O&amp;M costs pulled directly from Mid Atlantic TRM V9: LED Parking Garage/Canopy Luminaires and Retrofit Kit</t>
  </si>
  <si>
    <t>Per unit savings estimate from Mid-Atlantic TRM v9 "LED Parking Garage/Canopy Luminaires and Retrofit Kits"</t>
  </si>
  <si>
    <t>Wall Pack &amp; Canopy Fixtures &gt; 150W</t>
  </si>
  <si>
    <t>Mid Atlantic TRM V9 (see BizRebates_Costs_Savings tab) - "LED Parking Garage/Canopy Luminaires and Retrofit Kits"</t>
  </si>
  <si>
    <t>Small Business Kits</t>
  </si>
  <si>
    <t>No kit</t>
  </si>
  <si>
    <t>Email from John 11/4/21; ~$100/kit with savings of ~339 kWh/kit.</t>
  </si>
  <si>
    <t>LED Pole Light ≤ 250W</t>
  </si>
  <si>
    <t>Outdoor pole/arm- or wall-mounted luminaire with a high intensity discharge light-source</t>
  </si>
  <si>
    <t>Costs estimated from Mid-Atlantic TRM v9: LED Outdoor Pole/Arm- or Wall-Mounted Area and Roadway Lighting Luminaires and Retrofit Kits; Cost is average of "LED Fixtures up to 150 W" and "LED Fixtures between 150W to 265W"</t>
  </si>
  <si>
    <t>Per unit savings estimate from Mid-Atlantic TRM v9 "LED Outdoor Pole/Arm- or Wall-Mounted Area and Roadway Lighting Luminaires and Retrofit Kits"</t>
  </si>
  <si>
    <t>LED Pole Light &gt; 250W</t>
  </si>
  <si>
    <t>Costs estimated from Mid-Atlantic TRM v9: LED LED Outdoor Pole/Arm- or Wall-Mounted Area and Roadway Lighting Luminaires and Retrofit Kits; Cost is for "LED Fixtures between 150W to 265W"</t>
  </si>
  <si>
    <t>KU-Commercial Energy Audit</t>
  </si>
  <si>
    <t xml:space="preserve">KU-Air Cooled Chiller </t>
  </si>
  <si>
    <t>KU-Water Cooled Chiller &lt; 150 Tons</t>
  </si>
  <si>
    <t>KU-Water Cooled Chiller ≥ 150 Tons &amp; ≤ 300 Tons</t>
  </si>
  <si>
    <t>KU-Water Cooled Chiller &gt; 300 Tons</t>
  </si>
  <si>
    <t>KU-Air Cooled Chilled Water Reset, 0-100 tons</t>
  </si>
  <si>
    <t>KU-Air Cooled Chilled Water Reset, 100-200 tons</t>
  </si>
  <si>
    <t>KU-Air Cooled Chilled Water Reset, 200-300 tons</t>
  </si>
  <si>
    <t>KU-Air Cooled Chilled Water Reset, 300-400 tons</t>
  </si>
  <si>
    <t>KU-Air Cooled Chilled Water Reset, 400-500 tons</t>
  </si>
  <si>
    <t>KU-Water Cooled Chilled Water Reset, 0-1000 tons</t>
  </si>
  <si>
    <t>KU-Water Cooled Chilled Water Reset, 1000-2000 tons</t>
  </si>
  <si>
    <t>KU-Water Cooled Chilled Water Reset, 2000-3000 tons</t>
  </si>
  <si>
    <t>KU-Motor - High Efficiency (1 HP - 250 HP)</t>
  </si>
  <si>
    <t>KU-Pump - High Efficiency (7.5 HP)</t>
  </si>
  <si>
    <t>KU-Pump - High Efficiency (10 HP)</t>
  </si>
  <si>
    <t>KU-Pump - High Efficiency (15 HP)</t>
  </si>
  <si>
    <t>KU-Pump - High Efficiency (20 HP)</t>
  </si>
  <si>
    <t>KU-Pump - High Efficiency (30 HP)</t>
  </si>
  <si>
    <t>KU-Pump - High Efficiency (40 HP)</t>
  </si>
  <si>
    <t>KU-Pump - High Efficiency (50 HP)</t>
  </si>
  <si>
    <t>KU-Variable Frequency Drives</t>
  </si>
  <si>
    <t>KU-LED Refrigerated Display Light</t>
  </si>
  <si>
    <t>KU-LED Exit Signs (replacement)</t>
  </si>
  <si>
    <t>KU-Efficient Lighting Controls - Occupancy Sensor</t>
  </si>
  <si>
    <t>KU-Efficient Lighting Controls - Daylight Dimming-Continuous Fixtures</t>
  </si>
  <si>
    <t>KU-Efficient Lighting Controls - Occupancy/Daylight Dual Control</t>
  </si>
  <si>
    <t>KU-Custom Projects</t>
  </si>
  <si>
    <t>KU-Commercial New Construction Tier 1 &lt;25,000 sqft</t>
  </si>
  <si>
    <t>KU-Commercial New Construction Tier 2 &lt;25,000 sqft</t>
  </si>
  <si>
    <t>KU-Commercial New Construction Tier 3 &lt;25,000 sqft</t>
  </si>
  <si>
    <t>KU-Commercial New Construction Tier 4 &lt;25,000 sqft</t>
  </si>
  <si>
    <t>KU-Commercial New Construction Tier 1 ≥25,000 sqft</t>
  </si>
  <si>
    <t>KU-Commercial New Construction Tier 2 ≥25,000 sqft</t>
  </si>
  <si>
    <t>KU-Commercial New Construction Tier 3 ≥25,000 sqft</t>
  </si>
  <si>
    <t>KU-Commercial New Construction Tier 4 ≥25,000 sqft</t>
  </si>
  <si>
    <t>KU-Commercial New Construction LEED 1 to 5 Points &lt;25,000 sqft</t>
  </si>
  <si>
    <t>KU-Commercial New Construction LEED 6 to 10 Points &lt;25,000 sqft</t>
  </si>
  <si>
    <t>KU-Commercial New Construction LEED 11 to 15 Points &lt;25,000 sqft</t>
  </si>
  <si>
    <t>KU-Commercial New Construction LEED 16+ Points &lt;25,000 sqft</t>
  </si>
  <si>
    <t>KU-Commercial New Construction LEED 1 to 5 Points ≥25,000 sqft</t>
  </si>
  <si>
    <t>KU-Commercial New Construction LEED 6 to 10 Points ≥25,000 sqft</t>
  </si>
  <si>
    <t>KU-Commercial New Construction LEED 11 to 15 Points ≥25,000 sqft</t>
  </si>
  <si>
    <t>KU-Commercial New Construction LEED 16+ Points ≥25,000 sqft</t>
  </si>
  <si>
    <t>KU-LED Troffer</t>
  </si>
  <si>
    <t>KU-LED High Bay</t>
  </si>
  <si>
    <t>KU-LED Tube</t>
  </si>
  <si>
    <t>KU-Interior ≤ 10W</t>
  </si>
  <si>
    <t>KU-Interior &gt; 10W and &lt; 50W</t>
  </si>
  <si>
    <t>KU-Interior ≥ 50W</t>
  </si>
  <si>
    <t>KU-Exterior: LED Other</t>
  </si>
  <si>
    <t>KU-Wall Pack &amp; Canopy Fixtures ≤ 150W</t>
  </si>
  <si>
    <t>KU-Wall Pack &amp; Canopy Fixtures &gt; 150W</t>
  </si>
  <si>
    <t>KU-Small Business Kits</t>
  </si>
  <si>
    <t>KU-LED Pole Light ≤ 250W</t>
  </si>
  <si>
    <t>KU-LED Pole Light &gt; 250W</t>
  </si>
  <si>
    <t>LG&amp;E-Commercial Energy Audit</t>
  </si>
  <si>
    <t xml:space="preserve">LG&amp;E-Air Cooled Chiller </t>
  </si>
  <si>
    <t>LG&amp;E-Water Cooled Chiller &lt; 150 Tons</t>
  </si>
  <si>
    <t>LG&amp;E-Water Cooled Chiller ≥ 150 Tons &amp; ≤ 300 Tons</t>
  </si>
  <si>
    <t>LG&amp;E-Water Cooled Chiller &gt; 300 Tons</t>
  </si>
  <si>
    <t>LG&amp;E-Air Cooled Chilled Water Reset, 0-100 tons</t>
  </si>
  <si>
    <t>LG&amp;E-Air Cooled Chilled Water Reset, 100-200 tons</t>
  </si>
  <si>
    <t>LG&amp;E-Air Cooled Chilled Water Reset, 200-300 tons</t>
  </si>
  <si>
    <t>LG&amp;E-Air Cooled Chilled Water Reset, 300-400 tons</t>
  </si>
  <si>
    <t>LG&amp;E-Air Cooled Chilled Water Reset, 400-500 tons</t>
  </si>
  <si>
    <t>LG&amp;E-Water Cooled Chilled Water Reset, 0-1000 tons</t>
  </si>
  <si>
    <t>LG&amp;E-Water Cooled Chilled Water Reset, 1000-2000 tons</t>
  </si>
  <si>
    <t>LG&amp;E-Water Cooled Chilled Water Reset, 2000-3000 tons</t>
  </si>
  <si>
    <t>LG&amp;E-Motor - High Efficiency (1 HP - 250 HP)</t>
  </si>
  <si>
    <t>LG&amp;E-Pump - High Efficiency (7.5 HP)</t>
  </si>
  <si>
    <t>LG&amp;E-Pump - High Efficiency (10 HP)</t>
  </si>
  <si>
    <t>LG&amp;E-Pump - High Efficiency (15 HP)</t>
  </si>
  <si>
    <t>LG&amp;E-Pump - High Efficiency (20 HP)</t>
  </si>
  <si>
    <t>LG&amp;E-Pump - High Efficiency (30 HP)</t>
  </si>
  <si>
    <t>LG&amp;E-Pump - High Efficiency (40 HP)</t>
  </si>
  <si>
    <t>LG&amp;E-Pump - High Efficiency (50 HP)</t>
  </si>
  <si>
    <t>LG&amp;E-Variable Frequency Drives</t>
  </si>
  <si>
    <t>LG&amp;E-LED Refrigerated Display Light</t>
  </si>
  <si>
    <t>LG&amp;E-LED Exit Signs (replacement)</t>
  </si>
  <si>
    <t>LG&amp;E-Efficient Lighting Controls - Occupancy Sensor</t>
  </si>
  <si>
    <t>LG&amp;E-Efficient Lighting Controls - Daylight Dimming-Continuous Fixtures</t>
  </si>
  <si>
    <t>LG&amp;E-Efficient Lighting Controls - Occupancy/Daylight Dual Control</t>
  </si>
  <si>
    <t>LG&amp;E-Custom Projects</t>
  </si>
  <si>
    <t>LG&amp;E-Commercial New Construction Tier 1 &lt;25,000 sqft</t>
  </si>
  <si>
    <t>LG&amp;E-Commercial New Construction Tier 2 &lt;25,000 sqft</t>
  </si>
  <si>
    <t>LG&amp;E-Commercial New Construction Tier 3 &lt;25,000 sqft</t>
  </si>
  <si>
    <t>LG&amp;E-Commercial New Construction Tier 4 &lt;25,000 sqft</t>
  </si>
  <si>
    <t>LG&amp;E-Commercial New Construction Tier 1 ≥25,000 sqft</t>
  </si>
  <si>
    <t>LG&amp;E-Commercial New Construction Tier 2 ≥25,000 sqft</t>
  </si>
  <si>
    <t>LG&amp;E-Commercial New Construction Tier 3 ≥25,000 sqft</t>
  </si>
  <si>
    <t>LG&amp;E-Commercial New Construction Tier 4 ≥25,000 sqft</t>
  </si>
  <si>
    <t>LG&amp;E-Commercial New Construction LEED 1 to 5 Points &lt;25,000 sqft</t>
  </si>
  <si>
    <t>LG&amp;E-Commercial New Construction LEED 6 to 10 Points &lt;25,000 sqft</t>
  </si>
  <si>
    <t>LG&amp;E-Commercial New Construction LEED 11 to 15 Points &lt;25,000 sqft</t>
  </si>
  <si>
    <t>LG&amp;E-Commercial New Construction LEED 16+ Points &lt;25,000 sqft</t>
  </si>
  <si>
    <t>LG&amp;E-Commercial New Construction LEED 1 to 5 Points ≥25,000 sqft</t>
  </si>
  <si>
    <t>LG&amp;E-Commercial New Construction LEED 6 to 10 Points ≥25,000 sqft</t>
  </si>
  <si>
    <t>LG&amp;E-Commercial New Construction LEED 11 to 15 Points ≥25,000 sqft</t>
  </si>
  <si>
    <t>LG&amp;E-Commercial New Construction LEED 16+ Points ≥25,000 sqft</t>
  </si>
  <si>
    <t>LG&amp;E-LED Troffer</t>
  </si>
  <si>
    <t>LG&amp;E-LED High Bay</t>
  </si>
  <si>
    <t>LG&amp;E-LED Tube</t>
  </si>
  <si>
    <t>LG&amp;E-Interior ≤ 10W</t>
  </si>
  <si>
    <t>LG&amp;E-Interior &gt; 10W and &lt; 50W</t>
  </si>
  <si>
    <t>LG&amp;E-Interior ≥ 50W</t>
  </si>
  <si>
    <t>LG&amp;E-Exterior: LED Other</t>
  </si>
  <si>
    <t>LG&amp;E-Wall Pack &amp; Canopy Fixtures ≤ 150W</t>
  </si>
  <si>
    <t>LG&amp;E-Wall Pack &amp; Canopy Fixtures &gt; 150W</t>
  </si>
  <si>
    <t>LG&amp;E-Small Business Kits</t>
  </si>
  <si>
    <t>LG&amp;E-LED Pole Light ≤ 250W</t>
  </si>
  <si>
    <t>LG&amp;E-LED Pole Light &gt; 250W</t>
  </si>
  <si>
    <t>kW Savings</t>
  </si>
  <si>
    <t>Source: Custom Incentive Example from Aquila</t>
  </si>
  <si>
    <t>Breakdown</t>
  </si>
  <si>
    <t>Option 1</t>
  </si>
  <si>
    <t>Option 2</t>
  </si>
  <si>
    <t>Option 3</t>
  </si>
  <si>
    <t xml:space="preserve">Per kWh </t>
  </si>
  <si>
    <t>Per kW</t>
  </si>
  <si>
    <t>Per Therms</t>
  </si>
  <si>
    <t>Managed Custom - Large (Industrial)</t>
  </si>
  <si>
    <t>Managed Custom - Small (Commercial)</t>
  </si>
  <si>
    <t>Managed Custom - Agriculture</t>
  </si>
  <si>
    <t>kWh</t>
  </si>
  <si>
    <t xml:space="preserve">Industrial (non-opt out participation) assume 1% increase to current levels. </t>
  </si>
  <si>
    <t xml:space="preserve">For audit, prescriptive and custom measures only. </t>
  </si>
  <si>
    <t>Nonresidential Midstream Lighting</t>
  </si>
  <si>
    <t>Based on the DEER 2014 EUL database for the measure "Linear Fluorescent with Electronic Ballast"</t>
  </si>
  <si>
    <t>Based on the DEER 2014 EUL database for the measure "HID Lighting (T-5)"</t>
  </si>
  <si>
    <t>Engineering calculation. Assuming a 10,000 hour lifetime and an average screw base hours of use for commercial buildings of 3856 hours per year.</t>
  </si>
  <si>
    <t>2015/2016 Xcel Demand-Side Management Plan, Electric and Natural Gas. pg. 516; Commercial Prescriptive Retrofit Lighting; LED Exterior Wall Pack 26W - 60W measure</t>
  </si>
  <si>
    <t>Based on the DEER 2014 EUL database for the measure "Occupancy sensors"</t>
  </si>
  <si>
    <t>KU - LED Troffer</t>
  </si>
  <si>
    <t>KU - LED High Bay</t>
  </si>
  <si>
    <t>KU - LED Tube</t>
  </si>
  <si>
    <t>KU - Interior ≤ 10W</t>
  </si>
  <si>
    <t>KU - Interior &gt; 10W and &lt; 50W</t>
  </si>
  <si>
    <t>KU - Interior ≥ 50W</t>
  </si>
  <si>
    <t>KU - Exterior: LED Other</t>
  </si>
  <si>
    <t>KU - Wall Pack &amp; Canopy Fixtures ≤ 150W</t>
  </si>
  <si>
    <t>KU - Wall Pack &amp; Canopy Fixtures &gt; 150W</t>
  </si>
  <si>
    <t>LGE - LED Troffer</t>
  </si>
  <si>
    <t>LGE - LED High Bay</t>
  </si>
  <si>
    <t>LGE - LED Tube</t>
  </si>
  <si>
    <t>LGE - Interior ≤ 10W</t>
  </si>
  <si>
    <t>LGE - Interior &gt; 10W and &lt; 50W</t>
  </si>
  <si>
    <t>LGE - Interior ≥ 50W</t>
  </si>
  <si>
    <t>LGE - Exterior: LED Other</t>
  </si>
  <si>
    <t>LGE - Wall Pack &amp; Canopy Fixtures ≤ 150W</t>
  </si>
  <si>
    <t>LGE - Wall Pack &amp; Canopy Fixtures &gt; 150W</t>
  </si>
  <si>
    <t>ZERO IN 2024</t>
  </si>
  <si>
    <t>ZERO IN 2025</t>
  </si>
  <si>
    <t>2026 - A bit in Business Rebates, most is here</t>
  </si>
  <si>
    <t>2027 - 2030 all here</t>
  </si>
  <si>
    <t>Assuming same nonres lighitng measures and specs as Business Rebates. Particpation the same in 2021 plan, but changed to have a 20% a year escalation rate</t>
  </si>
  <si>
    <t>Residential and Small Business Demand Conservation</t>
  </si>
  <si>
    <t>Single Family - AC and ASHP Demand Conservation</t>
  </si>
  <si>
    <t>Summer for each central air conditioning unit and all year round for each heat pump on single-family homes</t>
  </si>
  <si>
    <t>No demand conservation</t>
  </si>
  <si>
    <t>Per Customer</t>
  </si>
  <si>
    <t>LG&amp;E and KU program data kW savings by appliance type</t>
  </si>
  <si>
    <t>Assume 1 year DLC program</t>
  </si>
  <si>
    <t>Single Family - Water Heater Demand Conservation</t>
  </si>
  <si>
    <t>All year round for each electric water heater on single-family homes</t>
  </si>
  <si>
    <t>Single Family - Pool Pump Demand Conservation</t>
  </si>
  <si>
    <t>Summer for each electric in-ground swimming pool pump on single-family homes</t>
  </si>
  <si>
    <t>Pool Pump</t>
  </si>
  <si>
    <t>ResPoolSpa - SF Wtd</t>
  </si>
  <si>
    <t>Multi-Family - AC and ASHP Demand Conservation</t>
  </si>
  <si>
    <t>Summer for each central air conditioning unit and all year round for each heat pump on on multifamily homes</t>
  </si>
  <si>
    <t>ResCooling - MF Wtd</t>
  </si>
  <si>
    <t>Multi-Family - Water Heater Demand Conservation</t>
  </si>
  <si>
    <t>All year round for each electric water heater on multifamily homes</t>
  </si>
  <si>
    <t>Multi-Family - Pool Pump Demand Conservation</t>
  </si>
  <si>
    <t>Summer for each electric in-ground swimming pool pump on multifamily homes</t>
  </si>
  <si>
    <t>ResPoolSpa - MF Wtd</t>
  </si>
  <si>
    <t>Summer for each air conditioning unit</t>
  </si>
  <si>
    <t>Cooling DX</t>
  </si>
  <si>
    <t>Assume 1 year demand response programs</t>
  </si>
  <si>
    <t>All year round for each water heater unit</t>
  </si>
  <si>
    <t>KU-Single Family - AC and ASHP Demand Conservation</t>
  </si>
  <si>
    <t>KU-Single Family - Water Heater Demand Conservation</t>
  </si>
  <si>
    <t>KU-Single Family - Pool Pump Demand Conservation</t>
  </si>
  <si>
    <t>KU-Multi-Family - AC and ASHP Demand Conservation</t>
  </si>
  <si>
    <t>KU-Multi-Family - Water Heater Demand Conservation</t>
  </si>
  <si>
    <t>KU-Multi-Family - Pool Pump Demand Conservation</t>
  </si>
  <si>
    <t>KU-Small Commercial - AC Demand Conservation</t>
  </si>
  <si>
    <t>KU-Small Commercial - Water Heater Demand Conservation</t>
  </si>
  <si>
    <t>LG&amp;E-Single Family - AC and ASHP Demand Conservation</t>
  </si>
  <si>
    <t>LG&amp;E-Single Family - Water Heater Demand Conservation</t>
  </si>
  <si>
    <t>LG&amp;E-Single Family - Pool Pump Demand Conservation</t>
  </si>
  <si>
    <t>LG&amp;E-Multi-Family - AC and ASHP Demand Conservation</t>
  </si>
  <si>
    <t>LG&amp;E-Multi-Family - Water Heater Demand Conservation</t>
  </si>
  <si>
    <t>LG&amp;E-Multi-Family - Pool Pump Demand Conservation</t>
  </si>
  <si>
    <t>LG&amp;E-Small Commercial - AC Demand Conservation</t>
  </si>
  <si>
    <t>LG&amp;E-Small Commercial - Water Heater Demand Conservation</t>
  </si>
  <si>
    <t>MF Bonus Assumptions:</t>
  </si>
  <si>
    <t>MF Bonus of per new install</t>
  </si>
  <si>
    <t>Total DLC new installs per year</t>
  </si>
  <si>
    <t>MF DLC new installs per year</t>
  </si>
  <si>
    <t>Rounded MF annual new installs</t>
  </si>
  <si>
    <t>Rounded MF annual existing installs</t>
  </si>
  <si>
    <t>Percent new vs existing</t>
  </si>
  <si>
    <t>Dollars of new install</t>
  </si>
  <si>
    <t>Dollars of new install per customer</t>
  </si>
  <si>
    <t>Marketplace</t>
  </si>
  <si>
    <t>No Marketplace</t>
  </si>
  <si>
    <t>Smart Thermostat (with direct enrollment to DR)</t>
  </si>
  <si>
    <t>Smart thermostat sold on online marketplace (with direct enrollment to DR)</t>
  </si>
  <si>
    <t>Mid Atlantic TRM v.9</t>
  </si>
  <si>
    <t>Smart plug</t>
  </si>
  <si>
    <t>Smart plug sold on online marketplace</t>
  </si>
  <si>
    <t>Standard plug</t>
  </si>
  <si>
    <t>Per smart plug</t>
  </si>
  <si>
    <t>Full cost</t>
  </si>
  <si>
    <t>Web search</t>
  </si>
  <si>
    <t>Consumers Energy 2020 Smart Home Proof of Concept Evaluation Report 2020 PROGRAM YEAR</t>
  </si>
  <si>
    <t>Plug</t>
  </si>
  <si>
    <t>Mid-Atlantic TRM, Version 10 (May 2020), page 201 (Assumed the same measure life with advanced power strip)</t>
  </si>
  <si>
    <t>BYOD enablement devices</t>
  </si>
  <si>
    <t>Attachments for water heaters</t>
  </si>
  <si>
    <t>No device</t>
  </si>
  <si>
    <t>Per device</t>
  </si>
  <si>
    <t>No savings</t>
  </si>
  <si>
    <t>KU-Marketplace</t>
  </si>
  <si>
    <t>KU-Smart Thermostat (with direct enrollment to DR)</t>
  </si>
  <si>
    <t>Smart thermostat sold on online marketplace</t>
  </si>
  <si>
    <t>KU-Smart plug</t>
  </si>
  <si>
    <t>KU-BYOD enablement devices</t>
  </si>
  <si>
    <t>LG&amp;E-Marketplace</t>
  </si>
  <si>
    <t>LG&amp;E-Smart Thermostat (with direct enrollment to DR)</t>
  </si>
  <si>
    <t>LG&amp;E-Smart plug</t>
  </si>
  <si>
    <t>LG&amp;E-BYOD enablement devices</t>
  </si>
  <si>
    <t>thermostat</t>
  </si>
  <si>
    <t>plug</t>
  </si>
  <si>
    <t>BYOD enablement device cost</t>
  </si>
  <si>
    <t>prices range in $30-$200, assume $50</t>
  </si>
  <si>
    <t>SMART PLUG</t>
  </si>
  <si>
    <t>Potential energy savings per smart plug</t>
  </si>
  <si>
    <t>No demand savings information int the evaluation report</t>
  </si>
  <si>
    <t>MEASURE COST</t>
  </si>
  <si>
    <t>Brand/Model</t>
  </si>
  <si>
    <t>Source (accessed 09/16/2022)</t>
  </si>
  <si>
    <t>Leviton D215P-2RW Decora Smart Wi-Fi Mini Plug-In Switch (2nd Gen)</t>
  </si>
  <si>
    <t>https://www.amazon.com/Leviton-D215P-2RW-Anywhere-Companions-Required/dp/B08RRVKL3S?tag=cnet-buy-button-20&amp;ascsubtag=62feb660f40e48d5abc690840e828d80%7C80becdea-bfbd-4fe3-9a9b-575c96f8c0bc%7Cdtp</t>
  </si>
  <si>
    <t>TP-Link - Kasa Smart Wi-Fi Plug Mini with Homekit - White</t>
  </si>
  <si>
    <t>https://www.bestbuy.com/site/tp-link-kasa-smart-wi-fi-plug-mini-with-homekit-white/6472520.p?acampID=0&amp;cmp=RMX&amp;irclickid=wYKSjNzirxyNUYt3YzTy7VPIUkDWO43Z3TkBUY0&amp;irgwc=1&amp;loc=Narrativ&amp;mpid=376373&amp;ref=198&amp;skuId=6472520</t>
  </si>
  <si>
    <t>EMPORIA SMART PLUG | SINGLE ENERGY MONITORING OUTLET</t>
  </si>
  <si>
    <t>https://shop.emporiaenergy.com/collections/smart-plugs</t>
  </si>
  <si>
    <t>GE CYNC Indoor Smart Plug, Bluetooth and Wi-Fi Outlet Socket, Works with Alexa and Google Home (1 Pack)</t>
  </si>
  <si>
    <t>https://www.amazon.com/GE-Lighting-Built-Bluetooth-Compatible/dp/B0948L7Z5W?tag=cnet-buy-button-20&amp;ascsubtag=35c39b51de8143609fe4aca8a1ab113e%7C80becdea-bfbd-4fe3-9a9b-575c96f8c0bc%7Cdtp</t>
  </si>
  <si>
    <t>Linksys WSO080 Wemo Wi-Fi Smart Plug</t>
  </si>
  <si>
    <t>https://www.walmart.com/ip/Linksys-WSO080-Wemo-Wi-Fi-Smart-Plug/470431655?irgwc=1&amp;sourceid=imp_V27WgOzirxyNRRTSC-SiVU1mUkDWO9wt3TkBUY0&amp;veh=aff&amp;wmlspartner=imp_1943169&amp;clickid=V27WgOzirxyNRRTSC-SiVU1mUkDWO9wt3TkBUY0&amp;sharedid=tomsguide-us&amp;affiliates_ad_id=568844&amp;campaign_id=9383</t>
  </si>
  <si>
    <t>PARTICIPATION</t>
  </si>
  <si>
    <t>LGE KU_Appliance Choice Evaluation Report_FINAL_2022-01-12</t>
  </si>
  <si>
    <t>Evaluation of Illinois Energy Now K-12 Energy Efficiency Program: June 2014 through May 2015</t>
  </si>
  <si>
    <t>With a residential customer base of more than 800,000 customers , the Marketplace recognized almost 325,000 visitors. From November of 2019 through November of 2021, Tetra Tech estimated that LG&amp;E and KU’s Marketplace could have impacted a range of purchased energy-efficient products—approximately 23,000 on the lower end and 97,000 on the higher end.</t>
  </si>
  <si>
    <t>total lights bulbs</t>
  </si>
  <si>
    <t>Table 5. Summary of Range of Potential Impacts*</t>
  </si>
  <si>
    <t>holiday lights</t>
  </si>
  <si>
    <t>All Product Categories</t>
  </si>
  <si>
    <t>Estimated Gross Units Purchased</t>
  </si>
  <si>
    <t>First-Year Gross Estimated Savings</t>
  </si>
  <si>
    <t>Lifetime Gross Estimated Savings</t>
  </si>
  <si>
    <t>ratio of holiday lights to total bulbs</t>
  </si>
  <si>
    <t>Overall Totals – Lower Bound</t>
  </si>
  <si>
    <t>Overall Totals – Upper Bound</t>
  </si>
  <si>
    <t xml:space="preserve">LG&amp;E and KU are implementing the Marketplace pilot without offering rebates or incentives. The approach used for estimating purchased products and the potential energy savings for non-rebated product purchases differs somewhat from recent approaches used for estimating savings resulting from rebated or other tracked product purchases. </t>
  </si>
  <si>
    <t>Table 7. Estimated Gross Units Purchased – Lower Bound</t>
  </si>
  <si>
    <t>Product Category</t>
  </si>
  <si>
    <t>Total Number of Visitors*</t>
  </si>
  <si>
    <t>Population Weighted Percent of Purchases</t>
  </si>
  <si>
    <t>Total Estimated Number of Purchases</t>
  </si>
  <si>
    <t>Percent of Purchases Verified as Efficient</t>
  </si>
  <si>
    <t>Total Estimated Number of Efficient Purchases (Gross Units)</t>
  </si>
  <si>
    <t>Study year</t>
  </si>
  <si>
    <t>F</t>
  </si>
  <si>
    <t>G</t>
  </si>
  <si>
    <t>H = F x G</t>
  </si>
  <si>
    <t>D</t>
  </si>
  <si>
    <t>I = H x D</t>
  </si>
  <si>
    <t>Visitor per year</t>
  </si>
  <si>
    <t>Air conditioner (window AC)</t>
  </si>
  <si>
    <t>power strip</t>
  </si>
  <si>
    <t>all purchases (sum of efficient and standard products) without rebate.</t>
  </si>
  <si>
    <t>Air purifier</t>
  </si>
  <si>
    <t>light bulb</t>
  </si>
  <si>
    <t>Clothes dryer (electric)</t>
  </si>
  <si>
    <t>Clothes dryer (gas)</t>
  </si>
  <si>
    <t>Clothes washer</t>
  </si>
  <si>
    <t>Electronics</t>
  </si>
  <si>
    <t>Light bulbs**</t>
  </si>
  <si>
    <t>Power strips</t>
  </si>
  <si>
    <t>Thermostat</t>
  </si>
  <si>
    <t>Water heater (electric)</t>
  </si>
  <si>
    <t>Water heater (gas)</t>
  </si>
  <si>
    <t>Overall Totals</t>
  </si>
  <si>
    <t>Residential - BYOT - Cooling - Summer</t>
  </si>
  <si>
    <t>This product targets customers with smart thermostats and pays participants an incentive to curtail load during events</t>
  </si>
  <si>
    <t>2023 Potential Study</t>
  </si>
  <si>
    <t>Residential - BYOT - Heating - Winter</t>
  </si>
  <si>
    <t>Heating</t>
  </si>
  <si>
    <t>LI - Cooling</t>
  </si>
  <si>
    <t>This product targets LI customers who have smart thermostats through We Care direct installs and pays participants an incentive to curtail load during events</t>
  </si>
  <si>
    <t>LI - Heating</t>
  </si>
  <si>
    <t>Marketplace - Cooling</t>
  </si>
  <si>
    <t>This product targets customers who had their smart thermostats from online marketplace and pays participants an incentive to curtail load during events</t>
  </si>
  <si>
    <t>Marketplace - Heating</t>
  </si>
  <si>
    <t>Small NonRes - Cooling</t>
  </si>
  <si>
    <t>This product targets small non-residential customers with smart thermostats and pays participants an incentive to curtail load during events</t>
  </si>
  <si>
    <t>Residential - BYOD - Room A/C - Summer</t>
  </si>
  <si>
    <t>This product targets customers with grid connected room A/Cs and pays participants an incentive to curtail load during events</t>
  </si>
  <si>
    <t>2024 - 2028 IPL Plan</t>
  </si>
  <si>
    <t>Residential - BYOD - Water Heating</t>
  </si>
  <si>
    <t>This product targets customers with grid connected water heaters and pays participants an incentive to curtail load during events</t>
  </si>
  <si>
    <t>2025 - 2028 IPL Plan</t>
  </si>
  <si>
    <t>Summer participation ratio</t>
  </si>
  <si>
    <t>Winter participation ratio</t>
  </si>
  <si>
    <t>COSTS</t>
  </si>
  <si>
    <t>Google - Nest Learning Smart Thermostat - 3rd Generation - White</t>
  </si>
  <si>
    <t>https://www.lowes.com/pd/Google-Nest-Learning-3rd-Gen-White-Smart-Thermostat-with-Wi-Fi-Compatibility/1001080182</t>
  </si>
  <si>
    <t>Google Nest Learning Third Generation Thermostat in Stainless Steel</t>
  </si>
  <si>
    <t>https://www.bedbathandbeyond.com/store/product/google-nest-learning-third-generation-thermostat/5003888?skuId=47370289&amp;mcid=PS_googlepla_nonbrand_electronicstoys_local&amp;product_id=47370289&amp;adtype=pla&amp;product_channel=local&amp;enginename=google&amp;creative=399038037572&amp;device=c&amp;matchtype=&amp;network=g&amp;utm_campaignid=71700000037211688&amp;utm_adgroupid=58700005460329784&amp;targetid=92700049767583861&amp;gclid=EAIaIQobChMIndHumK_X8wIVEI_ICh0S-QlnEAQYBSABEgK4z_D_BwE&amp;gclsrc=aw.ds</t>
  </si>
  <si>
    <t>Google - Nest Smart Programmable Wifi Thermostat (with motion sensing)</t>
  </si>
  <si>
    <t>https://www.bestbuy.com/site/google-nest-smart-programmable-wifi-thermostat-snow/6427015.p?skuId=6427015&amp;ref=212&amp;loc=1&amp;ref=212&amp;loc=1&amp;extStoreId=869&amp;ref=212&amp;loc=1&amp;ds_rl=1268652&amp;gclid=EAIaIQobChMIndHumK_X8wIVEI_ICh0S-QlnEAQYAiABEgIipvD_BwE&amp;gclsrc=aw.ds</t>
  </si>
  <si>
    <t>ecobee - Smart Thermostat with Voice Control - Black</t>
  </si>
  <si>
    <t>https://www.bestbuy.com/site/ecobee-smart-thermostat-with-voice-control-black/6339170.p?skuId=6339170&amp;ref=212&amp;loc=1</t>
  </si>
  <si>
    <t>T9 WiFi 7-Day Programmable Smart Thermostat with Touchscreen Display and Smart Room Sensor</t>
  </si>
  <si>
    <t>https://www.homedepot.com/p/Honeywell-Home-T9-WiFi-7-Day-Programmable-Smart-Thermostat-with-Touchscreen-Display-and-Smart-Room-Sensor-RCHT9610WFSW2003/312604036?source=shoppingads&amp;locale=en-US</t>
  </si>
  <si>
    <t>Honeywell Home T6 Pro 7-Day Digital Programmable Thermostat</t>
  </si>
  <si>
    <t>https://www.homedepot.com/p/Honeywell-Home-T6-Pro-7-Day-Digital-Programmable-Thermostat-TH6210U2001/309647457?source=shoppingads&amp;locale=en-US</t>
  </si>
  <si>
    <t>Honeywell T5 Selectable-Flexible Programmable Thermostat</t>
  </si>
  <si>
    <t>https://www.lowes.com/pd/Honeywell-T5-Selectable-Flexible-Programmable-Thermostat/1000150903</t>
  </si>
  <si>
    <t>Honeywell 5-2 Day Programmable Thermostat with Digital Backlit Display</t>
  </si>
  <si>
    <t>https://www.homedepot.com/p/5-2-Day-Programmable-Thermostat-with-Digital-Backlit-Display-RTH2300B/203539496?MERCH=REC-_-pipsem-_-204356294-_-203539496-_-N</t>
  </si>
  <si>
    <t>Honeywell 1-Week Programmable Thermostat with Digital Display</t>
  </si>
  <si>
    <t>https://www.homedepot.com/p/1-Week-Programmable-Thermostat-with-Digital-Display-RTH221B/203539508?MERCH=REC-_-pipsem-_-204356294-_-203539508-_-N&amp;</t>
  </si>
  <si>
    <t>Lux 7-Day Touchscreen Universal Application Programmable Thermostat</t>
  </si>
  <si>
    <t>https://www.homedepot.com/p/Lux-7-Day-Touchscreen-Universal-Application-Programmable-Thermostat-LTX9600TS-A04/204356294?source=shoppingads&amp;locale=en-US</t>
  </si>
  <si>
    <t>Median hourly rate of an electrician in Kentucky</t>
  </si>
  <si>
    <t>https://www.bls.gov/oes/current/oes_ky.htm#49-0000</t>
  </si>
  <si>
    <t>Hour of installation</t>
  </si>
  <si>
    <t>https://www.homeserve.com/en-us/blog/cost-guide/thermostat-replacement/</t>
  </si>
  <si>
    <t>LABOR COST</t>
  </si>
  <si>
    <t>Measure Demand Savings</t>
  </si>
  <si>
    <t>Source: IPL Plan Draft -  https://cadmus.sharepoint.com/:x:/r/sites/CP6385/_layouts/15/Doc.aspx?sourcedoc=%7BC06FE10B-6BEC-4D33-9838-88DF03EBA3F7%7D&amp;file=2024-2028%20IPL%20Plan%20Draft_v5.xlsx&amp;wdLOR=c0D5ACD27-E474-446C-A3C6-8564A033CBC9&amp;action=default&amp;mobileredirect=true</t>
  </si>
  <si>
    <t>Measure Description</t>
  </si>
  <si>
    <t>Per Unit Electric Savings Summer kW</t>
  </si>
  <si>
    <t>Per Unit Gas Savings Peak Therm-Day</t>
  </si>
  <si>
    <t>For BYOD:</t>
  </si>
  <si>
    <t>ENERGY STAR SEER/EER 16.0/12.5, SEER2/EER2 15.2/12.0</t>
  </si>
  <si>
    <t xml:space="preserve">Measure </t>
  </si>
  <si>
    <t>Per Unit Summer kW Savings</t>
  </si>
  <si>
    <t>Air Source Heat Pumps</t>
  </si>
  <si>
    <t>ENERGY STAR SEER/EER/HSPF 16.0/12.2/9.0, SEER2/EER2/HSPF2 15.2/11.7/7.8 (split system)</t>
  </si>
  <si>
    <t>Geothermal Heat Pumps</t>
  </si>
  <si>
    <t>ENERGY STAR Tier 1</t>
  </si>
  <si>
    <t>ENERGY STAR Tier 2 (variable speed)</t>
  </si>
  <si>
    <t>Mini-Split Heat Pump</t>
  </si>
  <si>
    <t>ENERGY STAR Cold Climate Ductless Heat Pump SEER/HSPF 16.0/10, SEER2/HSPF2 15.2/8.5</t>
  </si>
  <si>
    <t>Advanced Thermostat- Electric Customers Only</t>
  </si>
  <si>
    <t>ENERGY STAR Smart Thermostat</t>
  </si>
  <si>
    <t>Advanced Thermostat- Gas Customers Only</t>
  </si>
  <si>
    <t>Advanced Thermostat- Combination Customers Only</t>
  </si>
  <si>
    <t>ENERGY STAR EF/UEF 3.39/3.3 (Integrated), EF/UEF 2.06/2.2 (Split-System)</t>
  </si>
  <si>
    <t>Refrigerator Recycling</t>
  </si>
  <si>
    <t>Freezer Recycling</t>
  </si>
  <si>
    <t>Refrigerator Replacement</t>
  </si>
  <si>
    <t>Retrofit upgrades - SF</t>
  </si>
  <si>
    <t>Freezer Replacement</t>
  </si>
  <si>
    <t>Infiltration Reduction</t>
  </si>
  <si>
    <t>Home</t>
  </si>
  <si>
    <t>Attic/Ceiling Insulation</t>
  </si>
  <si>
    <t>Wall Insulation</t>
  </si>
  <si>
    <t>Foundation/Basement Wall Insulation</t>
  </si>
  <si>
    <t xml:space="preserve">Lighting Controls (Daylighting Controls) </t>
  </si>
  <si>
    <t>Fixture-mounted</t>
  </si>
  <si>
    <t>Lighting Controls (Occupancy Sensor)</t>
  </si>
  <si>
    <t xml:space="preserve">Lighting Controls (Dual Occupancy and Daylighting Controls) </t>
  </si>
  <si>
    <t>Glass Door Freezers</t>
  </si>
  <si>
    <t>ENERGY STAR Vertical or Horizontal Closed Door</t>
  </si>
  <si>
    <t>Advanced Power Strips</t>
  </si>
  <si>
    <t>Tier 2 advanced power strips</t>
  </si>
  <si>
    <t>Room Air Purifiers</t>
  </si>
  <si>
    <t>ENERGY STAR Room Air Purifier</t>
  </si>
  <si>
    <t>Room Air Conditioner</t>
  </si>
  <si>
    <t>ENERGY STAR Room AC</t>
  </si>
  <si>
    <t>ENERGY STAR Dehumidifier</t>
  </si>
  <si>
    <t>LED Interior Fixtures</t>
  </si>
  <si>
    <t>ENERGY STAR ≤ 2,000 lumens</t>
  </si>
  <si>
    <t>ENERGY STAR 2,001 to 4,000 lumens</t>
  </si>
  <si>
    <t>ENERGY STAR 4,001 to 6,000 lumens</t>
  </si>
  <si>
    <t>ENERGY STAR 6,001 to 8,000 lumens</t>
  </si>
  <si>
    <t>ENERGY STAR 8,001 to 12,000 lumens</t>
  </si>
  <si>
    <t>ENERGY STAR 12,001 to 16,000 lumens</t>
  </si>
  <si>
    <t>ENERGY STAR 16,001 to 20,000 lumens</t>
  </si>
  <si>
    <t>ENERGY STAR 20,001 to 30,000 lumens</t>
  </si>
  <si>
    <t>LED Exterior Fixtures</t>
  </si>
  <si>
    <t>ENERGY STAR ≤ 5,000 lumens</t>
  </si>
  <si>
    <t>ENERGY STAR 5,001 to 10,000 lumens</t>
  </si>
  <si>
    <t>ENERGY STAR 10,001 to 15,000 lumens</t>
  </si>
  <si>
    <t>ENERGY STAR ≥15,000 lumens</t>
  </si>
  <si>
    <t>Horticulture Lighting Fixtures</t>
  </si>
  <si>
    <t>&gt; 650 Watt Fixture</t>
  </si>
  <si>
    <t>&gt; 400 Watt Fixture</t>
  </si>
  <si>
    <t>&gt; 200 Watt Fixture</t>
  </si>
  <si>
    <t>≤ 200 Watt Fixture</t>
  </si>
  <si>
    <t>Dairy Automatic Milker Takeoff</t>
  </si>
  <si>
    <t>Automatic Milker Takeoff shuts off the milking vacuum pump suction once a minimum flowrate has been achieved</t>
  </si>
  <si>
    <t>Dairy Milk Precooler</t>
  </si>
  <si>
    <t>Dairy plate cooler</t>
  </si>
  <si>
    <t>Dairy Variable Speed Drive Vacuum Pumps</t>
  </si>
  <si>
    <t>Variable Speed Frequency Drive for Dairy Vacuum Pump</t>
  </si>
  <si>
    <t>Ventilation Fan</t>
  </si>
  <si>
    <t>14-23 inch; 10.1 cfm/watt</t>
  </si>
  <si>
    <t>24-35 inch; 13.5 cfm/watt</t>
  </si>
  <si>
    <t>36-47 inch; 17.4 cfm/watt</t>
  </si>
  <si>
    <t>≥ 48 inch; 20.3 cfm/watt</t>
  </si>
  <si>
    <t>Circulating Fan</t>
  </si>
  <si>
    <t>12-23 inch; 10.7 cfm/watt</t>
  </si>
  <si>
    <t>24-35 inch; 11.5 cfm/watt</t>
  </si>
  <si>
    <t>36-47 inch; 19.0 cfm/watt</t>
  </si>
  <si>
    <t>≥ 48 inch; 21.5 cfm/watt</t>
  </si>
  <si>
    <t>Solid Door Freezers</t>
  </si>
  <si>
    <t>Air-Source Heat Pumps</t>
  </si>
  <si>
    <t>SEER/EER 15/12.5 and HSPF 8.5</t>
  </si>
  <si>
    <t>Minimum 14.5 IEER and minimum 3.5 COP, ≥ 65 and &lt; 135 MBTUH</t>
  </si>
  <si>
    <t>Minimum 14 IEER and minimum 3.5 COP, ≥ 135 and &lt; 240 MBTUH</t>
  </si>
  <si>
    <t>Minimum 13.0 IEER and minimum 3.5 COP, ≥ 240 and &lt; 760 MBTUH</t>
  </si>
  <si>
    <t>ENERGY STAR Tier 1, &lt; 240 MBTUH</t>
  </si>
  <si>
    <t>ENERGY STAR Tier 2 variable speed, &lt; 240 MBTUH</t>
  </si>
  <si>
    <t>Package Terminal Heat Pumps</t>
  </si>
  <si>
    <t>&lt; 8,000 BTUH = 12.6 EER, COP 3.5</t>
  </si>
  <si>
    <t>8,000-9,999 BTUH = 12.1 EER, COP 3.5</t>
  </si>
  <si>
    <t>10,000-11,999 BTUH = 11.4 EER, COP 3.3</t>
  </si>
  <si>
    <t>12,000-13,999 BTUH = 10.7 EER, COP 3.1</t>
  </si>
  <si>
    <t>≥ 14,000 BTUH = 10.4 EER, COP 3.1</t>
  </si>
  <si>
    <t>Package Terminal Air Conditioners</t>
  </si>
  <si>
    <t>&lt; 8,000 BTUH = 12.6 EER</t>
  </si>
  <si>
    <t>8,000-9,999 BTUH = 12.1 EER</t>
  </si>
  <si>
    <t>10,000-11,999 BTUH = 11.4 EER</t>
  </si>
  <si>
    <t>12,000-13,999 BTUH = 10.7 EER</t>
  </si>
  <si>
    <t>≥ 14,000 BTUH = 10.4 EER</t>
  </si>
  <si>
    <t>Air Conditioning</t>
  </si>
  <si>
    <t>SEER/EER 15/12.5</t>
  </si>
  <si>
    <t>Minimum 14.6 IEER, ≥ 65 and &lt; 135 MBTUH</t>
  </si>
  <si>
    <t>Minimum 14.0 IEER, ≥ 135 and &lt; 240 MBTUH</t>
  </si>
  <si>
    <t>Minimum 13.1 IEER, ≥ 240 and &lt; 760 MBTUH</t>
  </si>
  <si>
    <t>Ductless Heat Pumps</t>
  </si>
  <si>
    <t>Ductless heat pump (SEER/EER 15/12 and HSPF 8.5)</t>
  </si>
  <si>
    <t>Heat Pump Water Heaters</t>
  </si>
  <si>
    <t>ENERGY STAR  UEF &gt;= 3.3 for Integrated HPWH; UEF &gt;= 2.2 for Integrated HPWH, 120V/15A Circuit; UEF &gt;= 2.2 for Split-System HPWH</t>
  </si>
  <si>
    <t>LED Downlight Fixtures</t>
  </si>
  <si>
    <t>ENERGY STAR LED recessed, surface and pendant fixtures</t>
  </si>
  <si>
    <t>LED Interior Directional</t>
  </si>
  <si>
    <t>ENERGY STAR Track lighting</t>
  </si>
  <si>
    <t>ENERGY STAR Wall-wash fixtures</t>
  </si>
  <si>
    <t>LED Display Cases</t>
  </si>
  <si>
    <t>ENERGY STAR LED display case light fixture</t>
  </si>
  <si>
    <t>ENERGY STAR LED under-cabinet shelf-mounted task light fixtures</t>
  </si>
  <si>
    <t>ENERGY STAR LED refrigerated case light, horizontal or vertical</t>
  </si>
  <si>
    <t>ENERGY STAR LED freezer case light, horizontal or vertical</t>
  </si>
  <si>
    <t>Refrigeration case lighting motion sensor controls</t>
  </si>
  <si>
    <t>T8 LED Linear Replacement Lamps</t>
  </si>
  <si>
    <t>ENERGY STAR &lt; 1,200 lumens</t>
  </si>
  <si>
    <t>ENERGY STAR 1,200-2,400 lumens</t>
  </si>
  <si>
    <t>ENERGY STAR 2,401-4,000 lumens</t>
  </si>
  <si>
    <t>LED Troffers: Recessed Light Fixtures</t>
  </si>
  <si>
    <t>ENERGY STAR 2x2 2,000-3,500 lumens</t>
  </si>
  <si>
    <t>ENERGY STAR 2x2 3501-5000 lumens</t>
  </si>
  <si>
    <t>ENERGY STAR 2x4 3000-4500 lumens</t>
  </si>
  <si>
    <t>ENERGY STAR 2x4 4,501-6,000 lumens</t>
  </si>
  <si>
    <t>ENERGY STAR 2x4 6,001-7,500 lumens</t>
  </si>
  <si>
    <t>ENERGY STAR 1x4 1,500-3,000 lumens</t>
  </si>
  <si>
    <t>ENERGY STAR 1x4 3,001-4,500 lumens</t>
  </si>
  <si>
    <t>ENERGY STAR 1x4 4,501-6,000 lumens</t>
  </si>
  <si>
    <t>LED Surface and Suspended Linear Fixtures</t>
  </si>
  <si>
    <t>ENERGY STAR ≤ 3,000 lumens</t>
  </si>
  <si>
    <t>ENERGY STAR 3,001-4,500 lumens</t>
  </si>
  <si>
    <t>ENERGY STAR 4,501-6,000 lumens</t>
  </si>
  <si>
    <t>ENERGY STAR 6,001-7,500 lumens</t>
  </si>
  <si>
    <t>ENERGY STAR 7,501-15,000 lumens</t>
  </si>
  <si>
    <t>LED Low Bay Fixtures</t>
  </si>
  <si>
    <t>ENERGY STAR ≤ 10,000 lumens</t>
  </si>
  <si>
    <t>LED High Bay Fixtures</t>
  </si>
  <si>
    <t>ENERGY STAR 10,001-15,000 lumens</t>
  </si>
  <si>
    <t>ENERGY STAR 15,001-20,000 lumens</t>
  </si>
  <si>
    <t>ENERGY STAR ≥20,000 lumens</t>
  </si>
  <si>
    <t>ENERGY STAR 5,001-10,000 lumens</t>
  </si>
  <si>
    <t>Ice Maker</t>
  </si>
  <si>
    <t>ENERGY STAR Ice Maker</t>
  </si>
  <si>
    <t>Advanced Thermostat</t>
  </si>
  <si>
    <t>ENERGY STAR Smart Thermostat - SF</t>
  </si>
  <si>
    <t>ENERGY STAR Smart Thermostat - MF</t>
  </si>
  <si>
    <t>Tier 1 Advanced Power Strips - SF</t>
  </si>
  <si>
    <t>Electric HVAC System Tune-Up</t>
  </si>
  <si>
    <t>Unitary air conditioning tune-up</t>
  </si>
  <si>
    <t>Air source heat pump tune-up</t>
  </si>
  <si>
    <t>Geothermal heat pump tune-up</t>
  </si>
  <si>
    <t>Chiller tune-up</t>
  </si>
  <si>
    <t>Refrigeration System - Remote Condensing Unit Tune-Ups</t>
  </si>
  <si>
    <t>Non-self-contained refrigeration equipment including split systems, rack systems or similar</t>
  </si>
  <si>
    <t>Refrigeration System - Self Contained Unit Tune-Ups</t>
  </si>
  <si>
    <t>Self-contained refrigeration equipment including plug-in coolers, ice machines or similar</t>
  </si>
  <si>
    <t>Lighting Retrofits</t>
  </si>
  <si>
    <t>Various LED lighting applications</t>
  </si>
  <si>
    <t>Participant</t>
  </si>
  <si>
    <t>Refrigeration Retrofits</t>
  </si>
  <si>
    <t>Various refrigeration applications</t>
  </si>
  <si>
    <t>Retrocommissioning</t>
  </si>
  <si>
    <t>Custom Rebates</t>
  </si>
  <si>
    <t>Individual measures not offered through IPL’s Nonresidential Prescriptive Rebates or Agriculture Solutions programs</t>
  </si>
  <si>
    <t>Industrial</t>
  </si>
  <si>
    <t>Streamlined</t>
  </si>
  <si>
    <t>Standard</t>
  </si>
  <si>
    <t>Enhanced</t>
  </si>
  <si>
    <t>Duct Insulation</t>
  </si>
  <si>
    <t>Duct Insulation - SF</t>
  </si>
  <si>
    <t>Residential HVAC DLC - Switch</t>
  </si>
  <si>
    <t>Residential HVAC DLC - BYOT</t>
  </si>
  <si>
    <t>Large C&amp;I Interruptible</t>
  </si>
  <si>
    <t>Peak Time Rebate - Peak Time Rebate</t>
  </si>
  <si>
    <t>X</t>
  </si>
  <si>
    <t>DLC Water End Uses - Water Heating</t>
  </si>
  <si>
    <t>DLC - EV Charger</t>
  </si>
  <si>
    <t>Commercial HVAC DLC - BYOT</t>
  </si>
  <si>
    <t>Room Air Conditioner DLC - BYOD</t>
  </si>
  <si>
    <t>Room Air Conditioner Recycling</t>
  </si>
  <si>
    <t>Room Air Conditioner Recycling (when another pickup is scheduled)</t>
  </si>
  <si>
    <t>Faucet Aerators</t>
  </si>
  <si>
    <t>Bathroom Aerator 1.0 GPM - MF</t>
  </si>
  <si>
    <t>Kitchen Aerator 1.5 GPM - MF</t>
  </si>
  <si>
    <t xml:space="preserve">Low-Flow Showerheads </t>
  </si>
  <si>
    <t>Standard and handheld low-flow showerhead, 1.5 GPM - MF</t>
  </si>
  <si>
    <t>Tier 1 Advanced Power Strips - MF</t>
  </si>
  <si>
    <t>Retrofit Project</t>
  </si>
  <si>
    <t>Low-Income Multifamily Retrofit Project - MF</t>
  </si>
  <si>
    <t>Efficient lighting</t>
  </si>
  <si>
    <t>LED Linear T8 Replacement Lamps  - MF</t>
  </si>
  <si>
    <t>Residential and Small Business Managed Charging</t>
  </si>
  <si>
    <t>Residential - EV Charger Demand Conservation</t>
  </si>
  <si>
    <t>This product targets customers with EV chargers and pays participants an incentive to curtail load all year round</t>
  </si>
  <si>
    <t>Plug Load</t>
  </si>
  <si>
    <t>LGE&amp;KU data (Sept 27 meeting)</t>
  </si>
  <si>
    <t># of EVs</t>
  </si>
  <si>
    <t>Year</t>
  </si>
  <si>
    <t>program participation</t>
  </si>
  <si>
    <t># of participants in</t>
  </si>
  <si>
    <t>Residential - Peak Time Rebate</t>
  </si>
  <si>
    <t>Relies on customers to curtail their load during called events</t>
  </si>
  <si>
    <t>KU-Residential - Peak Time Rebate</t>
  </si>
  <si>
    <t>LG&amp;E-Residential - Peak Time Rebate</t>
  </si>
  <si>
    <t>Used potential 2026 data and moved to start year of 2023 (initial launch); use 2028 potential data from year 2</t>
  </si>
  <si>
    <t>Rounded down for planning to the nearest 1000 or 100</t>
  </si>
  <si>
    <t>20% reduction in kW (and kWh).</t>
  </si>
  <si>
    <t xml:space="preserve">kW </t>
  </si>
  <si>
    <t>from the DR potential study, average of LGE and KU</t>
  </si>
  <si>
    <t>80% of savings due to increasing the number of events</t>
  </si>
  <si>
    <t>events</t>
  </si>
  <si>
    <t>hour</t>
  </si>
  <si>
    <t>Large Nonresidential Demand Conservation</t>
  </si>
  <si>
    <t>Large Nonresidential - Smart Demand Conservation</t>
  </si>
  <si>
    <t>all year round for nonresidential customers</t>
  </si>
  <si>
    <t>Standard practice of 75% of incentive costs are considered to be incremental customer costs for curtailment programs.</t>
  </si>
  <si>
    <t>Energy savings kWh based on 2016 program data</t>
  </si>
  <si>
    <t>LGE Large Com</t>
  </si>
  <si>
    <t>Large Industrial - Smart Demand Conservation</t>
  </si>
  <si>
    <t>all year round for large industiral customers</t>
  </si>
  <si>
    <t>KU-Large Nonresidential - Smart Demand Conservation</t>
  </si>
  <si>
    <t>KU Large Com</t>
  </si>
  <si>
    <t>KU-Large Industrial - Smart Demand Conservation</t>
  </si>
  <si>
    <t>LG&amp;E-Large Nonresidential - Smart Demand Conservation</t>
  </si>
  <si>
    <t>LG&amp;E-Large Industrial- Smart Demand Conservation</t>
  </si>
  <si>
    <t>Flat in 2030</t>
  </si>
  <si>
    <t>Preserved what was previously in this column</t>
  </si>
  <si>
    <t xml:space="preserve">2021 DR potential study </t>
  </si>
  <si>
    <t>increase to around $30/kw</t>
  </si>
  <si>
    <t>For Commercial C only. As the incentive increases from $15 to $30 per kilowatt, there could be an increase of potential by roughly 48%. Increasing the incentives $15 to $45 per kilowatt could see an increase by about 82% in the potential demand reduction.</t>
  </si>
  <si>
    <t>At $15 incentive = 33.3 MW (in final year)</t>
  </si>
  <si>
    <t>At $45 incentive = 60.6 MW (in final year)</t>
  </si>
  <si>
    <t>MW</t>
  </si>
  <si>
    <t>Parts @ 15$ and at 97/kW</t>
  </si>
  <si>
    <t>Ramp</t>
  </si>
  <si>
    <t>Normalized</t>
  </si>
  <si>
    <t>Full</t>
  </si>
  <si>
    <t>ResSFGasDHW</t>
  </si>
  <si>
    <t>ResSFGasDryer</t>
  </si>
  <si>
    <t>ResElecDryer - SF Wtd</t>
  </si>
  <si>
    <t>ResElecHeat - SF Wtd</t>
  </si>
  <si>
    <t>ResLighting - SF Wtd</t>
  </si>
  <si>
    <t>Home Energy Performance Program</t>
  </si>
  <si>
    <t xml:space="preserve">Total Plan Summary </t>
  </si>
  <si>
    <t>Projected 2017</t>
  </si>
  <si>
    <t>Projected 2018</t>
  </si>
  <si>
    <t>Participation 2019</t>
  </si>
  <si>
    <t>Participation 2020</t>
  </si>
  <si>
    <t>Participation 2021</t>
  </si>
  <si>
    <t>Participation 2022</t>
  </si>
  <si>
    <t>Audit - Basic</t>
  </si>
  <si>
    <t>Audit - Includes direct install measures and retrofit measure recommendations</t>
  </si>
  <si>
    <t>Audit Fee to Customer</t>
  </si>
  <si>
    <t>No saving for audit</t>
  </si>
  <si>
    <t>Lighting Standard</t>
  </si>
  <si>
    <t>Assume 1 EUL for audits</t>
  </si>
  <si>
    <t xml:space="preserve">Audit - Comprehensive </t>
  </si>
  <si>
    <t xml:space="preserve">Audit - Includes Blower door test (test-in only), Duct air tightness testing and gas combustion appliance safety tests </t>
  </si>
  <si>
    <t xml:space="preserve">Audit On-Line </t>
  </si>
  <si>
    <t>Audit Free</t>
  </si>
  <si>
    <t>Free to customer</t>
  </si>
  <si>
    <t>On-Line Audit Promo-Lighting General Service Lamp - Premium Efficiency LED</t>
  </si>
  <si>
    <t>Lighting General Service Lamp - EISA Standard 2014</t>
  </si>
  <si>
    <t>Calculated based based on the RTF LED/CFL workbook "ResLightingCFLand LEDLamps_v4_2.xlsm"; accessed 6/6/2016: http://rtf.nwcouncil.org//measures/measure.asp?id=141</t>
  </si>
  <si>
    <t>Free</t>
  </si>
  <si>
    <t>Potential Study Results: Calculated based on assumptions from the RTF LED/CFL workbook "ResLightingCFLand LEDLamps_v4_2.xlsm"; accessed 6/6/2016: http://rtf.nwcouncil.org//measures/measure.asp?id=141</t>
  </si>
  <si>
    <t>Lighting General Service Lamp - Premium Efficiency LED</t>
  </si>
  <si>
    <t>Calculated based on assumptions from the RTF LED/CFL workbook "ResLightingCFLand LEDLamps_v4_2.xlsm"; accessed 6/6/2016: http://rtf.nwcouncil.org//measures/measure.asp?id=141</t>
  </si>
  <si>
    <t>Lighting General Service Lamp - EISA Standard 2020</t>
  </si>
  <si>
    <t>Calculated based on assumptions from the RTF LED/CFL workbook "ResLightingCFLand LEDLamps_v4_2.xlsm"; accessed 6/6/2016: http://rtf.nwcouncil.org//measures/measure.asp?id=142</t>
  </si>
  <si>
    <t>Lighting Interior Specialty</t>
  </si>
  <si>
    <t>Lighting Specialty Lamp - Premium Efficiency LED</t>
  </si>
  <si>
    <t>Based on the RTF LED/CFL workbook "ResLightingCFLand LEDLamps_v4_2.xlsm"; accessed 6/6/2016: http://rtf.nwcouncil.org//measures/measure.asp?id=141</t>
  </si>
  <si>
    <t>1.0 GPM</t>
  </si>
  <si>
    <t>Federal Standard 1994 Aerator - 2.2 GPM</t>
  </si>
  <si>
    <t>Applied Multifamily cost estimates based on program development by Franklin Energy, Feb 2017</t>
  </si>
  <si>
    <t>Potential Study Results: Engineering Calculation</t>
  </si>
  <si>
    <t>Water Heat LE 55 Gal</t>
  </si>
  <si>
    <t>Faucet Aerator Low Flow - Bathroom</t>
  </si>
  <si>
    <t>Database for Energy Efficient Resources (DEER), Summary of EUL Analysis, 2014  for "Faucet Aerators" measure</t>
  </si>
  <si>
    <t>okay</t>
  </si>
  <si>
    <t>Faucet Aerator Low Flow - Kitchen</t>
  </si>
  <si>
    <t>Low-Flow Showerhead - 1.5 GPM</t>
  </si>
  <si>
    <t>Federal Standard 1994 Showerhead - 2.5 GPM</t>
  </si>
  <si>
    <t>LG&amp;E and KU Data: 
CAC  (nonprofit): The cost for their standard 1.5 GPM is $13.72.
SEEL: The cost for their standard 1.5 GPM is $18.00.
Nexant: The cost for their standard 1.5 GPM is $6.87.</t>
  </si>
  <si>
    <t>Low-Flow Showerhead</t>
  </si>
  <si>
    <t>Database for Energy Efficient Resources (DEER), Summary of EUL Analysis, 2014  for "Low-Flow Showerhead" measure</t>
  </si>
  <si>
    <t>R-4 Pipe Wrap</t>
  </si>
  <si>
    <t>No Pipe Insulation</t>
  </si>
  <si>
    <t>RSMeans Online; Louisville ,KY; Polyethylene closed cell foam tubing for a 3/4" iron pipe size assumed - Accessed 06/08/2016</t>
  </si>
  <si>
    <t>Potential Study Results: Engineering Calculation and 5th Power Plan</t>
  </si>
  <si>
    <t>Pipe Insulation - Water Heater</t>
  </si>
  <si>
    <t>Database for Energy Efficient Resources (DEER), Summary of EUL Analysis, 2014  for "Pipe Insulation - Electric Water Heater" measure</t>
  </si>
  <si>
    <t>DI-Programmable Thermostat</t>
  </si>
  <si>
    <t>Programmable Thermostat</t>
  </si>
  <si>
    <t>Manual Thermostat</t>
  </si>
  <si>
    <t>Company cost estimates based on program estimates</t>
  </si>
  <si>
    <t>Potential Study Results: Pennsylvania 2017 TRM Protocol for Smart Thermostats; based on numerous recent evaluations and studies. Assuming installation of thermostat by consumer.</t>
  </si>
  <si>
    <t>Cool Central</t>
  </si>
  <si>
    <t>Database for Energy Efficient Resources (DEER), Summary of EUL Analysis, 2014  for "Programmable Thermostat" measure</t>
  </si>
  <si>
    <t>Appliance-Dryer - ENERGY STAR</t>
  </si>
  <si>
    <t>ENERGY STAR Dryer - CEF 3.93 (Electric Dryer)</t>
  </si>
  <si>
    <t>Federal Standard 2016 Dryer - EF 3.73 (Electric Dryer)</t>
  </si>
  <si>
    <t>ENERGY STAR Appliances Calculator - Accessed 05/19/2016</t>
  </si>
  <si>
    <t>Potential Study Results: ENERGY STAR Appliances Calculator - Accessed 05/19/2016; Calculations using ENERGY STAR appliances calculator</t>
  </si>
  <si>
    <t>Dryer</t>
  </si>
  <si>
    <t>Dryer - ENERGY STAR</t>
  </si>
  <si>
    <t>ENERGY STAR Dryer - CEF 3.48 (Gas Dryer)</t>
  </si>
  <si>
    <t>Federal Standard 2016 Dryer - EF 3.30 (Gas Dryer)</t>
  </si>
  <si>
    <t>Gas</t>
  </si>
  <si>
    <t>Appliance-Freezer - ENERGY STAR</t>
  </si>
  <si>
    <t>ENERGY STAR Freezer</t>
  </si>
  <si>
    <t>Federal Standard 2015 Freezer</t>
  </si>
  <si>
    <t>As referenced in SWE 2014 potential study, Regional Technical Forum Freezers v2.2 (Regional Technical Forum (RTF): Accessed from &lt;http://www.nwcouncil.org/energy/rtf/measures/Default.asp&gt;)</t>
  </si>
  <si>
    <t>Potential Study Results: Below Standard Freezer: Calculated based on maximum allowed kWh/yr abiding by the outdated 1997 Federal Standards and using the average volume found in the ENERGY STAR Appliance Calculator, accessed 9/8/2015: http://www.energystar.gov/sites/default/files/a</t>
  </si>
  <si>
    <t>Freezer - ENERGY STAR</t>
  </si>
  <si>
    <t>ENERGY STAR Appliances Calculator - Accessed 06/08/2016; https://www.energystar.gov/sites/default/files/asset/document/appliance_calculator.xlsx</t>
  </si>
  <si>
    <t>Appliance-Refrigerator - ENERGY STAR</t>
  </si>
  <si>
    <t>ENERGY STAR Refrigerator</t>
  </si>
  <si>
    <t>Federal Standard 2015 Refrigerator</t>
  </si>
  <si>
    <t>Ratio-adjusted based on magnitude of kWh/yr savings; Incremental Cost of CEE Tier 2 = Incremental Cost of ENERGY STAR x {(?kWh/yr of CEE Tier 2) / (?kWh/yr of Federal Standard)}</t>
  </si>
  <si>
    <t>Potential Study Results: Engineering calculation based on ENERGY STAR Appliance Calculator and CEE Efficiency Specfications</t>
  </si>
  <si>
    <t>Refrigerator - ENERGY STAR</t>
  </si>
  <si>
    <t>Appliance-Clothes Washer (Front Loading) - ENERGY STAR</t>
  </si>
  <si>
    <t>ENERGY STAR Clothes Washer (Front Loading) - IMEF 2.38 and IWF 3.7 (Electric DHW &amp; Dryer)</t>
  </si>
  <si>
    <t>Federal Standard 2018 Clothes Washer (Front Loading) - IMEF 1.84 and IWF 4.7 (Electric DHW &amp; Dryer)</t>
  </si>
  <si>
    <t>Based on online research from various retailers: Best Buy, Lowes, Home Depot and Sears. Reviewed all possible models found on these retailers websites. Mapped model numbers to ENERGY STAR qualified product list. Engineering calculation to interpolate costs</t>
  </si>
  <si>
    <t>Potential Study Results: Calculations based on ENERGY STAR Appliances Calculator. Accessed 06.07.2016</t>
  </si>
  <si>
    <t>Clothes Washer (Front Loading) - ENERGY STAR</t>
  </si>
  <si>
    <t>ENERGY STAR Appliances Calculator - Accessed 06/07/2016</t>
  </si>
  <si>
    <t>Appliance-Clothes Washer (Top Loading) - ENERGY STAR</t>
  </si>
  <si>
    <t>ENERGY STAR Clothes Washer (Top Loading) - IMEF 2.06 and IWF 4.3 (Electric DHW &amp; Dryer)</t>
  </si>
  <si>
    <t>Federal Standard 2018 Clothes Washer (Top Loading) - IMEF 1.57 and IWF 6.5 (Electric DHW &amp; Dryer)</t>
  </si>
  <si>
    <t>Clothes Washer (Top Loading) - ENERGY STAR</t>
  </si>
  <si>
    <t>ENERGY STAR Clothes Washer (Front Loading) - IMEF 2.38 and IWF 3.7 (Gas DHW &amp; Dryer)</t>
  </si>
  <si>
    <t>Federal Standard 2018 Clothes Washer (Front Loading) - IMEF 1.84 and IWF 4.7 (Gas DHW &amp; Dryer)</t>
  </si>
  <si>
    <t>Potential Study Results: Engineering calculations based on ENERGY STAR Appliances Calculator. Accessed 06.07.2016</t>
  </si>
  <si>
    <t>ENERGY STAR Clothes Washer (Top Loading) - IMEF 2.06 and IWF 4.3 (Gas DHW &amp; Dryer)</t>
  </si>
  <si>
    <t>Federal Standard 2018 Clothes Washer (Top Loading) - IMEF 1.57 and IWF 6.5 (Gas DHW &amp; Dryer)</t>
  </si>
  <si>
    <t>Appliance-Dishwasher - ENERGY STAR</t>
  </si>
  <si>
    <t>ENERGY STAR Dishwasher - 270 kWh/yr and 3.55 gal/cycle</t>
  </si>
  <si>
    <t>Federal Standard 2014 Dishwasher - 307 kWh/yr and 5.0 gal/cycle</t>
  </si>
  <si>
    <t>ENERGY STAR Appliance Calculator, accessed 6/13/2016: http://www.energystar.gov/sites/default/files/asset/document/appliance_calculator.xlsx</t>
  </si>
  <si>
    <t>Potential Study Results: ENERGY STAR Appliance Calculator, accessed 6/13/2016: http://www.energystar.gov/sites/default/files/asset/document/appliance_calculator.xlsx. Also provided in Measure Description</t>
  </si>
  <si>
    <t>Dishwasher - ENERGY STAR</t>
  </si>
  <si>
    <t>ENERGY STAR Central Air Conditioner - SEER/EER 15/12.5 (Split System)</t>
  </si>
  <si>
    <t>Federal Standard 2015 Central Air Conditioner - SEER/EER 14/12 (Split System)</t>
  </si>
  <si>
    <t>2012 - Cadmus Analysis of Installed Cost Data from Rebate Applications</t>
  </si>
  <si>
    <t>Potential Study Results: End use usage based on prototypical building simulations adjusted by CDD to the region.</t>
  </si>
  <si>
    <t>Central Air Conditioner - ENERGY STAR</t>
  </si>
  <si>
    <t>DEER 2014 EUL Database for the measure "High Efficiency Air Conditioner (package and split systems)", accessed 6/7/2016: http://www.deeresources.com/files/DEER2013codeUpdate/download/DEER2014-EUL-table-update_2014-02-05.xlsx</t>
  </si>
  <si>
    <t>HVAC-DWH-Central Cooling - Evaporative Cooler</t>
  </si>
  <si>
    <t>Evaporative Cooler</t>
  </si>
  <si>
    <t>Xcel TRM 2015/2016 Demand-Side Management Plan pg. 472; PSCC Proceding No. 14A-1057EG, High Efficiency Air Conditioning, Accessed 6/7/2016 - https://www.xcelenergy.com/staticfiles/xe/Regulatory/Regulatory%20PDFs/EvaporativeCoolingEvaluationFile.pdf. A two-</t>
  </si>
  <si>
    <t>Central Cooling - Evaporative Cooler</t>
  </si>
  <si>
    <t>Assuming same as CAC - DEER 2014 EUL Database for the measure "High Efficiency Air Conditioner (package and split systems)", accessed 6/7/2016: http://www.deeresources.com/files/DEER2013codeUpdate/download/DEER2014-EUL-table-update_2014-02-05.xlsx</t>
  </si>
  <si>
    <t>Air Source Heat Pump - SEER/EER 15/12.5 and HSPF 8.5 (Split System) (CEE Tier 1)</t>
  </si>
  <si>
    <t>Federal Standard 2015 Air Source Heat Pump - SEER/EER 14/12 and HSPF 8.2 (Split System)</t>
  </si>
  <si>
    <t>2012 - Cadmus Evaluation of a Mid-Atlantic Utility Program</t>
  </si>
  <si>
    <t>Potential Study Results: End use usage based on prototypical building simulations adjusted by HDD to the region.</t>
  </si>
  <si>
    <t>Heat Pump</t>
  </si>
  <si>
    <t>Heat Pump - Air Source CEE Tier 1</t>
  </si>
  <si>
    <t>DEER 2014 EUL Database for the measure "Heat Pumps", accessed 6/1/2016: http://www.deeresources.com/files/DEER2013codeUpdate/download/DEER2014-EUL-table-update_2014-02-05.xlsx</t>
  </si>
  <si>
    <t>HVAC-DWH-Heat Pump - Ground Source ENERGY STAR</t>
  </si>
  <si>
    <t>ENERGY STAR Ground Source Heat Pump - EER 17.1 and 3.6 COP (Split System)</t>
  </si>
  <si>
    <t>2008 - Indiana - GHP Program Report</t>
  </si>
  <si>
    <t>Heat Pump - Ground Source ENERGY STAR</t>
  </si>
  <si>
    <t>Regional Technical Forum, "Ground Source Heta Pump Upgrades" measure workbook v2.3, accessed 6/1/2016: http://rtf.nwcouncil.org/measures/res/ResGSHP_v2_3.xlsm</t>
  </si>
  <si>
    <t>NEEP Incremental Cost Study - Phase 2; Accessed 6/3/2016, http://www.neep.org/file/1002/download?token=hYnSw9sW</t>
  </si>
  <si>
    <t>Heat Room</t>
  </si>
  <si>
    <t>Ductless Heat Pump (DHP)</t>
  </si>
  <si>
    <t>2014 - DEER (Assumed same as air-source heat pump and central AC)</t>
  </si>
  <si>
    <t>Various contractor estimates and retailers.</t>
  </si>
  <si>
    <t>Heat Central Boiler</t>
  </si>
  <si>
    <t>Boiler - ENERGY STAR</t>
  </si>
  <si>
    <t>DEER 2014 EUL Database for the measure "High Efficiency Boiler", accessed 6/21/2016: http://www.deeresources.com/files/DEER2013codeUpdate/download/DEER2014-EUL-table-update_2014-02-05.xlsx</t>
  </si>
  <si>
    <t>ENERGY STAR Furnace - 90% AFUE</t>
  </si>
  <si>
    <t>DEER 2008</t>
  </si>
  <si>
    <t>Heat Central Furnace</t>
  </si>
  <si>
    <t>Furnace - ENERGY STAR</t>
  </si>
  <si>
    <t>DEER 2014 EUL Database for the measure "High Efficiency Furnace", accessed 6/3/2016: http://www.deeresources.com/files/DEER2013codeUpdate/download/DEER2014-EUL-table-update_2014-02-05.xlsx</t>
  </si>
  <si>
    <t>HVAC-DWH-Tune-up - Central Air Conditioner</t>
  </si>
  <si>
    <t>Central Air Conditioner with Tune-up</t>
  </si>
  <si>
    <t>Central Air Conditioner with no Tune-up</t>
  </si>
  <si>
    <t>Assuming equipment cost included in labor cost</t>
  </si>
  <si>
    <t>Tune-up - Central Air Conditioner</t>
  </si>
  <si>
    <t>GDS Associates, Inc. (2007). Measure Life Report: Residential and Commercial/Industrial Lighting and HVAC Measures. Prepared for The New England State Program Working Group.</t>
  </si>
  <si>
    <t>HVAC-DWH-Tune-up - Heat Pump</t>
  </si>
  <si>
    <t>Heat Pump with Tune-up</t>
  </si>
  <si>
    <t>Heat Pump with no Tune-up</t>
  </si>
  <si>
    <t>Tune-up - Heat Pump</t>
  </si>
  <si>
    <t>HVAC-DWH-Tune-up - Furnace/Boiler</t>
  </si>
  <si>
    <t>Furnace/Boiler with Tune-up</t>
  </si>
  <si>
    <t>No Tune-up</t>
  </si>
  <si>
    <t>Tune-up - Furnace/Boiler</t>
  </si>
  <si>
    <t>HVAC-DWH-Motor - ECM</t>
  </si>
  <si>
    <t>Electronically Commutated Motor (ECM)</t>
  </si>
  <si>
    <t>Federal Standard 2019 Furnace Fan</t>
  </si>
  <si>
    <t>Based on the EERE TSD TECHNICAL SUPPORT DOCUMENT: ENERGY EFFICIENCY PROGRAM FOR CONSUMER PRODUCTS AND COMMERCIAL AND INDUSTRIAL EQUIPMENT: RESIDENTIAL FURNACE FANS from June 2014. Based on cost tables 8.2.5 and 8.2.6; Assuming the motor product class of no</t>
  </si>
  <si>
    <t>Motor - ECM</t>
  </si>
  <si>
    <t>DEER 2014 EUL Database for the measure "HVAC Fan Motor", accessed 6/8/2016: http://www.deeresources.com/files/DEER2013codeUpdate/download/DEER2014-EUL-table-update_2014-02-05.xlsx</t>
  </si>
  <si>
    <t>ENERGY STAR Heat Pump Water Heater ≤ 55 GAL - EF 2.0</t>
  </si>
  <si>
    <t>Federal Standard 2015 Storage Water Heater ≤ 55 GAL - EF 0.95</t>
  </si>
  <si>
    <t>As referenced in SWE 2014 Potential Study, Regional Technical Forum Heat Pump Water Heaters v1.3</t>
  </si>
  <si>
    <t>Heat Pump Water Heater - ENERGY STAR</t>
  </si>
  <si>
    <t>DEER 2014 EUL Database for the measure "Heat Pump Water Heater", accessed 6/8/2016: http://www.deeresources.com/files/DEER2013codeUpdate/download/DEER2014-EUL-table-update_2014-02-05.xlsx</t>
  </si>
  <si>
    <t>HVAC-DWH-Water Heater - Condensing</t>
  </si>
  <si>
    <t>Condensing Water Heater = 55 GAL - EF 0.90</t>
  </si>
  <si>
    <t>Federal Standard 2015 Storage Water Heater = 55 GAL - EF 0.62</t>
  </si>
  <si>
    <t>DEER 2008 and ACEEE 2011</t>
  </si>
  <si>
    <t>Water Heater - Condensing</t>
  </si>
  <si>
    <t>DEER 2014 EUL Database for the measure "Residential Gas Water Heater", accessed 6/21/2016: http://www.deeresources.com/files/DEER2013codeUpdate/download/DEER2014-EUL-table-update_2014-02-05.xlsx</t>
  </si>
  <si>
    <t>HVAC-DWH-Water Heater - ENERGY STAR Storage</t>
  </si>
  <si>
    <t>ENERGY STAR Storage Water Heater = 55 GAL - EF 0.67</t>
  </si>
  <si>
    <t>Water Heater - ENERGY STAR Storage</t>
  </si>
  <si>
    <t>HVAC-DWH-Water Heater - ENERGY STAR Tankless</t>
  </si>
  <si>
    <t>ENERGY STAR Tankless Water Heater = 55 GAL - EF 0.90</t>
  </si>
  <si>
    <t>Various Retailers</t>
  </si>
  <si>
    <t>Water Heater - ENERGY STAR Tankless</t>
  </si>
  <si>
    <t>R-49</t>
  </si>
  <si>
    <t>Average Existing Insulation</t>
  </si>
  <si>
    <t>RS Means 2009</t>
  </si>
  <si>
    <t>Ceiling Insulation (KY) - Code</t>
  </si>
  <si>
    <t>Database for Energy Efficient Resources (DEER), Summary of EUL Analysis, 2014  for "Roof/Ceiling Insulation - Residential" measure</t>
  </si>
  <si>
    <t>Code Duct Sealing and Insulation - R-8</t>
  </si>
  <si>
    <t>Existing Duct Sealing and Insulation - R-4</t>
  </si>
  <si>
    <t>2010 - ETO - Residential Duct Insulation</t>
  </si>
  <si>
    <t>Potential Study Results: NAIMA Duct Insulation 2001 &amp; 2013 - EnergyStar - QI Fact Sheet</t>
  </si>
  <si>
    <t>Duct Sealing and Insulation - Code</t>
  </si>
  <si>
    <t>Infiltration Control - 0.1 ACH Reduction</t>
  </si>
  <si>
    <t>Existing Infiltration Conditions</t>
  </si>
  <si>
    <t>RSMeans</t>
  </si>
  <si>
    <t>Potential Study Results: Cadmus analysis using building modeling to calculate measure percent savings</t>
  </si>
  <si>
    <t>Infiltration Control - Reduction of Existing Conditions</t>
  </si>
  <si>
    <t>Database for Energy Efficient Resources (DEER), Summary of EUL Analysis, 2014  for "Low-Income Weatherization" measure</t>
  </si>
  <si>
    <t>R-13 (Maximum Insulation Feasible)</t>
  </si>
  <si>
    <t>Wall Insulation (KY) - Maximum Feasible</t>
  </si>
  <si>
    <t>Database for Energy Efficient Resources (DEER), Summary of EUL Analysis, 2014  for "Wall Insulation" measure</t>
  </si>
  <si>
    <t>R-30</t>
  </si>
  <si>
    <t>Floor Insulation (KY) - Above Code</t>
  </si>
  <si>
    <t>Database for Energy Efficient Resources (DEER), Summary of EUL Analysis, 2014  for "Floor Insulation - Residential" measure</t>
  </si>
  <si>
    <t>R-10 (IECC 2012 - Future KY Code)</t>
  </si>
  <si>
    <t>RS Means 2012</t>
  </si>
  <si>
    <t>Insulation - Basement Wall - Code</t>
  </si>
  <si>
    <t>Database for Energy Efficient Resources (DEER), Summary of EUL Analysis, 2014  assumed same as "Wall Insulation" measure</t>
  </si>
  <si>
    <t xml:space="preserve"> </t>
  </si>
  <si>
    <t>KU-Audit - Basic</t>
  </si>
  <si>
    <t>1.1-KU</t>
  </si>
  <si>
    <t xml:space="preserve">KU-Audit - Comprehensive </t>
  </si>
  <si>
    <t xml:space="preserve">KU-Audit On-Line </t>
  </si>
  <si>
    <t>KU-On-Line Audit Promo-Lighting General Service Lamp - Premium Efficiency LED</t>
  </si>
  <si>
    <t>KU-DI-Lighting General Service Lamp - Premium Efficiency LED</t>
  </si>
  <si>
    <t>KU-DI-Lighting Specialty Lamp - Premium Efficiency LED</t>
  </si>
  <si>
    <t>KU-DI-Faucet Aerator Low Flow - Bathroom</t>
  </si>
  <si>
    <t>KU-DI-Faucet Aerator Low Flow - Kitchen</t>
  </si>
  <si>
    <t>KU-DI-Low-Flow Showerhead</t>
  </si>
  <si>
    <t>KU-DI-Pipe Insulation - Water Heater</t>
  </si>
  <si>
    <t>KU-DI-Programmable Thermostat</t>
  </si>
  <si>
    <t>KU-Appliance-Dryer - ENERGY STAR</t>
  </si>
  <si>
    <t>KU-Appliance-Freezer - ENERGY STAR</t>
  </si>
  <si>
    <t>KU-Appliance-Refrigerator - ENERGY STAR</t>
  </si>
  <si>
    <t>KU-Appliance-Clothes Washer (Front Loading) - ENERGY STAR</t>
  </si>
  <si>
    <t>KU-Appliance-Clothes Washer (Top Loading) - ENERGY STAR</t>
  </si>
  <si>
    <t>KU-Appliance-Dishwasher - ENERGY STAR</t>
  </si>
  <si>
    <t>KU-HVAC-DWH-Central Air Conditioner - ENERGY STAR</t>
  </si>
  <si>
    <t>KU-HVAC-DWH-Central Cooling - Evaporative Cooler</t>
  </si>
  <si>
    <t>KU-HVAC-DWH-Heat Pump - Air Source ENERGY STAR</t>
  </si>
  <si>
    <t>KU-HVAC-DWH-Heat Pump - Ground Source ENERGY STAR</t>
  </si>
  <si>
    <t>KU-HVAC-DWH-Ductless Heat Pump (DHP)</t>
  </si>
  <si>
    <t>KU-HVAC-DWH-Boiler - ENERGY STAR</t>
  </si>
  <si>
    <t>KU-HVAC-DWH-Furnace - ENERGY STAR</t>
  </si>
  <si>
    <t>KU-HVAC-DWH-Tune-up - Central Air Conditioner</t>
  </si>
  <si>
    <t>KU-HVAC-DWH-Tune-up - Heat Pump</t>
  </si>
  <si>
    <t>KU-HVAC-DWH-Tune-up - Furnace/Boiler</t>
  </si>
  <si>
    <t>KU-HVAC-DWH-Motor - ECM</t>
  </si>
  <si>
    <t>KU-HVAC-DWH-Heat Pump Water Heater - ENERGY STAR</t>
  </si>
  <si>
    <t>KU-HVAC-DWH-Water Heater - Condensing</t>
  </si>
  <si>
    <t>KU-HVAC-DWH-Water Heater - ENERGY STAR Storage</t>
  </si>
  <si>
    <t>KU-HVAC-DWH-Water Heater - ENERGY STAR Tankless</t>
  </si>
  <si>
    <t>KU-Weatherization-Ceiling Insulation (KY) - Code</t>
  </si>
  <si>
    <t>KU-Weatherization-Duct Sealing and Insulation - Code</t>
  </si>
  <si>
    <t>KU-Weatherization-Infiltration Control - Reduction of Existing Conditions</t>
  </si>
  <si>
    <t>KU-Weatherization-Wall Insulation (KY) - Maximum Feasible</t>
  </si>
  <si>
    <t>KU-Weatherization-Floor Insulation (KY) - Above Code</t>
  </si>
  <si>
    <t>KU-Weatherization-Insulation - Basement Wall - Code</t>
  </si>
  <si>
    <t>LG&amp;E-Audit - Basic</t>
  </si>
  <si>
    <t>1.1-LGE</t>
  </si>
  <si>
    <t xml:space="preserve">LG&amp;E-Audit - Comprehensive </t>
  </si>
  <si>
    <t xml:space="preserve">LG&amp;E-Audit On-Line </t>
  </si>
  <si>
    <t>LG&amp;E-On-Line Audit Promo-Lighting General Service Lamp - Premium Efficiency LED</t>
  </si>
  <si>
    <t>LG&amp;E-DI-Lighting General Service Lamp - Premium Efficiency LED</t>
  </si>
  <si>
    <t>LG&amp;E-DI-Lighting Specialty Lamp - Premium Efficiency LED</t>
  </si>
  <si>
    <t>LG&amp;E-DI-Faucet Aerator Low Flow - Bathroom</t>
  </si>
  <si>
    <t>LG&amp;E-DI-Faucet Aerator Low Flow - Kitchen</t>
  </si>
  <si>
    <t>LG&amp;E-DI-Low-Flow Showerhead</t>
  </si>
  <si>
    <t>LG&amp;E-DI-Pipe Insulation - Water Heater</t>
  </si>
  <si>
    <t>LG&amp;E-DI-Programmable Thermostat</t>
  </si>
  <si>
    <t>LG&amp;E-Appliance-Dryer - ENERGY STAR</t>
  </si>
  <si>
    <t>LG&amp;E-Appliance-Freezer - ENERGY STAR</t>
  </si>
  <si>
    <t>LG&amp;E-Appliance-Refrigerator - ENERGY STAR</t>
  </si>
  <si>
    <t>LG&amp;E-Appliance-Clothes Washer (Front Loading) - ENERGY STAR</t>
  </si>
  <si>
    <t>LG&amp;E-Appliance-Clothes Washer (Top Loading) - ENERGY STAR</t>
  </si>
  <si>
    <t>LG&amp;E-Appliance-Dishwasher - ENERGY STAR</t>
  </si>
  <si>
    <t>LG&amp;E-HVAC-DWH-Central Air Conditioner - ENERGY STAR</t>
  </si>
  <si>
    <t>LG&amp;E-HVAC-DWH-Central Cooling - Evaporative Cooler</t>
  </si>
  <si>
    <t>LG&amp;E-HVAC-DWH-Heat Pump - Air Source ENERGY STAR</t>
  </si>
  <si>
    <t>LG&amp;E-HVAC-DWH-Heat Pump - Ground Source ENERGY STAR</t>
  </si>
  <si>
    <t>LG&amp;E-HVAC-DWH-Ductless Heat Pump (DHP)</t>
  </si>
  <si>
    <t>LG&amp;E-HVAC-DWH-Boiler - ENERGY STAR</t>
  </si>
  <si>
    <t>LG&amp;E-HVAC-DWH-Furnace - ENERGY STAR</t>
  </si>
  <si>
    <t>LG&amp;E-HVAC-DWH-Tune-up - Central Air Conditioner</t>
  </si>
  <si>
    <t>LG&amp;E-HVAC-DWH-Tune-up - Heat Pump</t>
  </si>
  <si>
    <t>LG&amp;E-HVAC-DWH-Tune-up - Furnace/Boiler</t>
  </si>
  <si>
    <t>LG&amp;E-HVAC-DWH-Motor - ECM</t>
  </si>
  <si>
    <t>LG&amp;E-HVAC-DWH-Heat Pump Water Heater - ENERGY STAR</t>
  </si>
  <si>
    <t>LG&amp;E-HVAC-DWH-Water Heater - Condensing</t>
  </si>
  <si>
    <t>LG&amp;E-HVAC-DWH-Water Heater - ENERGY STAR Storage</t>
  </si>
  <si>
    <t>LG&amp;E-HVAC-DWH-Water Heater - ENERGY STAR Tankless</t>
  </si>
  <si>
    <t>LG&amp;E-Weatherization-Ceiling Insulation (KY) - Code</t>
  </si>
  <si>
    <t>LG&amp;E-Weatherization-Duct Sealing and Insulation - Code</t>
  </si>
  <si>
    <t>LG&amp;E-Weatherization-Infiltration Control - Reduction of Existing Conditions</t>
  </si>
  <si>
    <t>LG&amp;E-Weatherization-Wall Insulation (KY) - Maximum Feasible</t>
  </si>
  <si>
    <t>LG&amp;E-Weatherization-Floor Insulation (KY) - Above Code</t>
  </si>
  <si>
    <t>LG&amp;E-Weatherization-Insulation - Basement Wall - Code</t>
  </si>
  <si>
    <t>Removed Existing Program</t>
  </si>
  <si>
    <t>Add Direct Install Measures</t>
  </si>
  <si>
    <t>Questions</t>
  </si>
  <si>
    <t>LEDs</t>
  </si>
  <si>
    <t>Average savings and incentive amount per project?</t>
  </si>
  <si>
    <t>Water conservation measures</t>
  </si>
  <si>
    <t>installed savings vs recommended?</t>
  </si>
  <si>
    <t xml:space="preserve">Assume the same escalation rate as the audits </t>
  </si>
  <si>
    <t>Programmable t-stats</t>
  </si>
  <si>
    <t>No power strips</t>
  </si>
  <si>
    <t>Bundle approach</t>
  </si>
  <si>
    <t xml:space="preserve">Treat appliances as Bonus tier? </t>
  </si>
  <si>
    <t>Audit Split: - basic walk through audit 80%; 20% comprehensive audits (w. blower door)</t>
  </si>
  <si>
    <t>Basic</t>
  </si>
  <si>
    <t xml:space="preserve">Comprehensive </t>
  </si>
  <si>
    <t>Direct Install Measures:</t>
  </si>
  <si>
    <t>TRC</t>
  </si>
  <si>
    <t>Keep/Drop</t>
  </si>
  <si>
    <t>KU-Measure Name</t>
  </si>
  <si>
    <t>LG&amp;E-Measure Name</t>
  </si>
  <si>
    <t>Electric Savings kWh</t>
  </si>
  <si>
    <t>Gas Savings Therms</t>
  </si>
  <si>
    <t>Appliance Bundle:</t>
  </si>
  <si>
    <t>HVAC and Water Heating Bunble</t>
  </si>
  <si>
    <t>Nothing is remotely cost effective</t>
  </si>
  <si>
    <t>Weatherization Bunble</t>
  </si>
  <si>
    <t>Rollup</t>
  </si>
  <si>
    <t>Before Rollup:</t>
  </si>
  <si>
    <t>Secondary Electric Savings</t>
  </si>
  <si>
    <t>Secondary Gas Savings</t>
  </si>
  <si>
    <t>Heat Central</t>
  </si>
  <si>
    <t>Heat Pump - Air Source ENERGY STAR</t>
  </si>
  <si>
    <t>Measure(s)</t>
  </si>
  <si>
    <t>Chilled Water Reset Controls</t>
  </si>
  <si>
    <t>https://cadmus.sharepoint.com/sites/CP6923/Shared%20Documents/6659_Archived%20Planning%20Site%20Files/LG&amp;E%20KU%20Planning/Admin%20Documents/Documents/Data/Program%20Planning/Item6_7_8/LGE%20KU_Com%20Rebates%20Deemed%20Savings%20Values_DRAFT_27Jan2017.xlsx?web=1</t>
  </si>
  <si>
    <t>Base Case</t>
  </si>
  <si>
    <t>The base case assumes a standalone chiller system without chilled water supply temperature reset. Since all chilled water reset control measures in the LG&amp;E-KU program were completed on newly installed chillers, the baseline chiller is assumed to be the efficient case of the chiller replacement measure, as seen in Tables A1.1 and A1.2 below.</t>
  </si>
  <si>
    <t>Efficient Case</t>
  </si>
  <si>
    <t>The efficient case for this measure is a standalone chiller system with chilled water supply temperature (CHWT) reset. Lacking data to support custom bin analysis or building energy simulations, the evaluation team used a 5% efficiency improvement based on average kW/ton percentage savings of 0.5-1% per degree (°F) of reset for an assumed 5°F-10°F CHWT reset and the midpoint of source estimates.</t>
  </si>
  <si>
    <t>Energy Savings</t>
  </si>
  <si>
    <r>
      <t xml:space="preserve">The recommended energy savings algorithm for the chilled water reset control measure can be seen below.
Where:
</t>
    </r>
    <r>
      <rPr>
        <b/>
        <i/>
        <sz val="11"/>
        <color theme="1"/>
        <rFont val="Calibri"/>
        <family val="2"/>
      </rPr>
      <t xml:space="preserve">Tons </t>
    </r>
    <r>
      <rPr>
        <sz val="11"/>
        <color theme="1"/>
        <rFont val="Calibri"/>
        <family val="2"/>
        <scheme val="minor"/>
      </rPr>
      <t xml:space="preserve">= Nominal chiller capacity, in tons, of the installed chiller
</t>
    </r>
    <r>
      <rPr>
        <b/>
        <i/>
        <sz val="11"/>
        <color theme="1"/>
        <rFont val="Calibri"/>
        <family val="2"/>
      </rPr>
      <t xml:space="preserve">IPLV  </t>
    </r>
    <r>
      <rPr>
        <sz val="11"/>
        <color theme="1"/>
        <rFont val="Calibri"/>
        <family val="2"/>
        <scheme val="minor"/>
      </rPr>
      <t xml:space="preserve"> = The integrated part-load value efficiency at ARI (Air-Conditioning and Refrigeration Institute) rated conditions in kW/ton
</t>
    </r>
    <r>
      <rPr>
        <b/>
        <i/>
        <sz val="11"/>
        <color theme="1"/>
        <rFont val="Calibri"/>
        <family val="2"/>
      </rPr>
      <t xml:space="preserve">EFLH  </t>
    </r>
    <r>
      <rPr>
        <sz val="11"/>
        <color theme="1"/>
        <rFont val="Calibri"/>
        <family val="2"/>
        <scheme val="minor"/>
      </rPr>
      <t>= The equivalent full-load hours (from Table 3)</t>
    </r>
  </si>
  <si>
    <t>EFLH Determination</t>
  </si>
  <si>
    <t>To determine equivalent full-load hours (EFLH) for each building segment type, the evaluation team analyzed load shapes for electric-fuel commercial buildings in the Upper Southeast region, 
which includes Kentucky, using AEG’s EnergyShape database.  These load shapes were used for consistency with the coincidence factor determination (discussed below). EFLH was determined by dividing annual energy consumption for cooling and heating end uses by the maximum demand. The evaluation team assigned default EFLH values to each of the 52 building segments in the EnergyShape load shape database. The EFLH values reflect the hours during which the equipment operates at full load. Table 2 summarizes the EFLH for each segment. 
To determine a weighted average EFLH value for use in the deemed savings analysis, the evaluation team assigned a segment to each chiller installation project entry and used the resultant segment mix in PY2013 through PY2016 (see Table A2). Due to the incomplete and unverified nature of the PY2014-PY2016 tracking data, the weights were based on project entry count and not on the number of units installed. One value was used for calculation across all measure types since the total amount of installations was relatively small.</t>
  </si>
  <si>
    <t>Note: This analysis used PY2013-PY2016 data to establish weighted average parameters based on segment distributions. These segment distributions may not be representative of future program years; therefore, they should be revisited during future evaluations.</t>
  </si>
  <si>
    <t>Demand Reduction</t>
  </si>
  <si>
    <t xml:space="preserve">Demand reductions from the CHWT reset measure are not expected; if anything, these should be negative based on data from the Ohio TRM (2010). </t>
  </si>
  <si>
    <t xml:space="preserve">Measure life for chilled water reset controls is 10 years per the Ohio TRM (2010). </t>
  </si>
  <si>
    <t>Cadmus updated to 500</t>
  </si>
  <si>
    <t>Cadmus updated to 1500</t>
  </si>
  <si>
    <t>Deemed Savings</t>
  </si>
  <si>
    <t xml:space="preserve">(Based on Average Capacity) </t>
  </si>
  <si>
    <t>Air-Cooled Chiller</t>
  </si>
  <si>
    <t>Water-Cooled Chiller</t>
  </si>
  <si>
    <t>Any Chiller</t>
  </si>
  <si>
    <t>Capacity Category</t>
  </si>
  <si>
    <t>0-100 tons</t>
  </si>
  <si>
    <t>100-200 tons</t>
  </si>
  <si>
    <t>200-300 tons</t>
  </si>
  <si>
    <t>300-400 tons</t>
  </si>
  <si>
    <t>400-500 tons</t>
  </si>
  <si>
    <t>0-1000 tons</t>
  </si>
  <si>
    <t>1000-2000 tons</t>
  </si>
  <si>
    <t>2000-3000 tons</t>
  </si>
  <si>
    <t>Any Size</t>
  </si>
  <si>
    <t>Average Chiller Capacity in Tons</t>
  </si>
  <si>
    <r>
      <t>Installed Equipment Integrated Part-Load Value, IPLV</t>
    </r>
    <r>
      <rPr>
        <sz val="11"/>
        <rFont val="Calibri"/>
        <family val="2"/>
        <scheme val="minor"/>
      </rPr>
      <t>, kW/ton</t>
    </r>
  </si>
  <si>
    <t>--</t>
  </si>
  <si>
    <r>
      <t>Installed Equipment Full Load Efficiency, PE</t>
    </r>
    <r>
      <rPr>
        <sz val="11"/>
        <rFont val="Calibri"/>
        <family val="2"/>
        <scheme val="minor"/>
      </rPr>
      <t>, kW/ton</t>
    </r>
  </si>
  <si>
    <r>
      <t>Equivalent Full Load Hours of Cooling, EFLH</t>
    </r>
    <r>
      <rPr>
        <vertAlign val="subscript"/>
        <sz val="11"/>
        <rFont val="Calibri"/>
        <family val="2"/>
        <scheme val="minor"/>
      </rPr>
      <t>cool</t>
    </r>
    <r>
      <rPr>
        <sz val="11"/>
        <rFont val="Calibri"/>
        <family val="2"/>
        <scheme val="minor"/>
      </rPr>
      <t>, hours/yr</t>
    </r>
  </si>
  <si>
    <t>Equipment Baseline Energy Consumption, kWh/yr</t>
  </si>
  <si>
    <t>Assumed Energy Savings Percentage</t>
  </si>
  <si>
    <t>Energy Savings per Unit, ∆kWh/yr</t>
  </si>
  <si>
    <t>Demand Reduction per Unit, ΔkW</t>
  </si>
  <si>
    <t>kW to kWh Conversion Factor</t>
  </si>
  <si>
    <t>Deemed Savings per Ton</t>
  </si>
  <si>
    <t>(Need to Multiply by Actual Capacity in Tons)</t>
  </si>
  <si>
    <t>Energy Savings per Ton, ∆kWh/ton-yr</t>
  </si>
  <si>
    <r>
      <t xml:space="preserve">Demand Reduction per Ton, </t>
    </r>
    <r>
      <rPr>
        <b/>
        <sz val="11"/>
        <rFont val="Calibri"/>
        <family val="2"/>
      </rPr>
      <t>Δ</t>
    </r>
    <r>
      <rPr>
        <b/>
        <sz val="11"/>
        <rFont val="Calibri"/>
        <family val="2"/>
        <scheme val="minor"/>
      </rPr>
      <t>kW/ton</t>
    </r>
  </si>
  <si>
    <t>Tables from Memorandum</t>
  </si>
  <si>
    <t>Analysis Done for Deemed Savings Values:</t>
  </si>
  <si>
    <t>Table 1: 2012 IECC Central Chiller Equipment Efficiency Standards</t>
  </si>
  <si>
    <t>Table A1.1: Baseline and Efficient Case Efficiencies (kW/ton), All Sizes</t>
  </si>
  <si>
    <t>Table A1.2: Baseline and Efficient Case Values , Based on Rebate Application Categories</t>
  </si>
  <si>
    <t>Equipment Type</t>
  </si>
  <si>
    <t>Size Category</t>
  </si>
  <si>
    <t>Units</t>
  </si>
  <si>
    <t xml:space="preserve">Path A Efficiency </t>
  </si>
  <si>
    <t xml:space="preserve">Path B Efficiency </t>
  </si>
  <si>
    <t xml:space="preserve">Minimum Path A Efficiency </t>
  </si>
  <si>
    <t>Installed Chiller Efficiencies</t>
  </si>
  <si>
    <t>Count in 2013-16</t>
  </si>
  <si>
    <t>% in 2013-2016</t>
  </si>
  <si>
    <t>Average Tons</t>
  </si>
  <si>
    <t>Installed kWh/ton</t>
  </si>
  <si>
    <t>Incentive (per ton)</t>
  </si>
  <si>
    <t>Installed Chiller Efficiencies (kW/ton)</t>
  </si>
  <si>
    <t>Weights by Category</t>
  </si>
  <si>
    <t>Weights Total</t>
  </si>
  <si>
    <t>Installed kWh</t>
  </si>
  <si>
    <t>Installed kWh Weighted</t>
  </si>
  <si>
    <t>Full Load</t>
  </si>
  <si>
    <t>IPLV</t>
  </si>
  <si>
    <t>&lt; 150 Tons</t>
  </si>
  <si>
    <t>≥ 9.562</t>
  </si>
  <si>
    <t>≥ 12.500</t>
  </si>
  <si>
    <t>≥ 150 Tons</t>
  </si>
  <si>
    <t>≥ 12.750</t>
  </si>
  <si>
    <t>Water-Cooled, Positive Displacement</t>
  </si>
  <si>
    <t>&lt; 75 Tons</t>
  </si>
  <si>
    <t>kW/ton</t>
  </si>
  <si>
    <t>≤ 0.780</t>
  </si>
  <si>
    <t>≤ 0.630</t>
  </si>
  <si>
    <t>≤ 0.800</t>
  </si>
  <si>
    <t>≤ 0.600</t>
  </si>
  <si>
    <t>Water-Cooled Chiller, Positive Displacement (Reciprocal)</t>
  </si>
  <si>
    <t>75-150 Tons</t>
  </si>
  <si>
    <t>≤ 0.775</t>
  </si>
  <si>
    <t>≤ 0.615</t>
  </si>
  <si>
    <t>≤ 0.790</t>
  </si>
  <si>
    <t>≤ 0.586</t>
  </si>
  <si>
    <t>150-300 Tons</t>
  </si>
  <si>
    <t>≤ 0.680</t>
  </si>
  <si>
    <t>≤ 0.580</t>
  </si>
  <si>
    <t>≤ 0.718</t>
  </si>
  <si>
    <t>≤ 0.540</t>
  </si>
  <si>
    <t>≥ 300 Tons</t>
  </si>
  <si>
    <t>≤ 0.620</t>
  </si>
  <si>
    <t>≤ 0.639</t>
  </si>
  <si>
    <t>≤ 0.490</t>
  </si>
  <si>
    <t>Water-Cooled, Centrifugal</t>
  </si>
  <si>
    <t>&lt; 300 Tons</t>
  </si>
  <si>
    <t>≤ 0.634</t>
  </si>
  <si>
    <t>≤ 0.596</t>
  </si>
  <si>
    <t>≤ 0.450</t>
  </si>
  <si>
    <t>Water-Cooled Chiller, Centrifugal</t>
  </si>
  <si>
    <t>300-600 Tons</t>
  </si>
  <si>
    <t>≤ 0.576</t>
  </si>
  <si>
    <t>≤ 0.549</t>
  </si>
  <si>
    <t>≤ 0.400</t>
  </si>
  <si>
    <t>≥ 600 Tons</t>
  </si>
  <si>
    <t>≤ 0.570</t>
  </si>
  <si>
    <t>≤ 0.539</t>
  </si>
  <si>
    <t>≤ 0.590</t>
  </si>
  <si>
    <t>*Note: using weighted-average efficiencies is inappropriate for determining per-measure savings; the savings themselves are weighted.</t>
  </si>
  <si>
    <t>Improvement</t>
  </si>
  <si>
    <t>Table 3 (Amended): Summary of Equivalent Full-Load Hours (EFLH) and Coincident Factor (CF) per Segment</t>
  </si>
  <si>
    <t>Table A2: PY2013-2016 Building Type Project Summary for Chiller Replacement</t>
  </si>
  <si>
    <t>Table A1.3: Further Measure Counts and Weights</t>
  </si>
  <si>
    <t>EFLH Cool</t>
  </si>
  <si>
    <t>Count</t>
  </si>
  <si>
    <t>Education - College/University</t>
  </si>
  <si>
    <t>Air-Cooled Chiller 100-200 tons</t>
  </si>
  <si>
    <t>Education - Technical College</t>
  </si>
  <si>
    <t>Education - K-12</t>
  </si>
  <si>
    <t>Health Care - Inpatient - Hospital</t>
  </si>
  <si>
    <t>Food Sales - Supermarket</t>
  </si>
  <si>
    <t>Health Care - Outpatient - Clinic</t>
  </si>
  <si>
    <t>Water-Cooled Chiller 0-1000 tons</t>
  </si>
  <si>
    <t>Lodging - Hotel/Motel - Hotel</t>
  </si>
  <si>
    <t>Office - Large</t>
  </si>
  <si>
    <t>Lodging - Hotel/Motel - Casino</t>
  </si>
  <si>
    <t>Office - Medium</t>
  </si>
  <si>
    <t>Lodging - Residential Care</t>
  </si>
  <si>
    <t>Public Assembly</t>
  </si>
  <si>
    <t>Mercantile - Retail - Large</t>
  </si>
  <si>
    <t>Public Assembly - Religious Worship</t>
  </si>
  <si>
    <t>Service - Post Office</t>
  </si>
  <si>
    <t>Warehouse and Storage - Non-Refrigerated</t>
  </si>
  <si>
    <t>Warehouse and Storage - Refrigerated</t>
  </si>
  <si>
    <t>Chiller Water Reset</t>
  </si>
  <si>
    <t>https://cadmus.sharepoint.com/sites/CP6923/Shared%20Documents/6659_Archived%20Planning%20Site%20Files/LG&amp;E%20KU%20Planning/Admin%20Documents/Documents/Data/Program%20Planning/Item15_EMV_Reports/LGE%20KU%20Comm%20Rebates%20Impact%20Memo_Chillers_24Oct2016%20FINAL.docx?web=1</t>
  </si>
  <si>
    <t>Table 2. Savings Comparison by Measure for PY2013</t>
  </si>
  <si>
    <t>Measure Type</t>
  </si>
  <si>
    <t># of Measures</t>
  </si>
  <si>
    <t>Claimed Demand Savings (kW)</t>
  </si>
  <si>
    <t>Evaluated Peak Demand Savings (kW)</t>
  </si>
  <si>
    <t>Claimed Energy Savings (kWh)</t>
  </si>
  <si>
    <t>Evaluated Energy Savings (kWh) [1]</t>
  </si>
  <si>
    <t>Savings per project</t>
  </si>
  <si>
    <t>Savings Per Ton</t>
  </si>
  <si>
    <t>Air Cooled Chiller</t>
  </si>
  <si>
    <t>Air Cooled Reset</t>
  </si>
  <si>
    <t>Water Cooled Chiller</t>
  </si>
  <si>
    <t>Water Cooled Reset</t>
  </si>
  <si>
    <t>Not Claimed[2]</t>
  </si>
  <si>
    <t xml:space="preserve">[1] </t>
  </si>
  <si>
    <t>Because the program pays incentives for demand, the database does not track claimed energy savings.</t>
  </si>
  <si>
    <t xml:space="preserve">[2] </t>
  </si>
  <si>
    <t>While the evaluation team recognizes that the Commercial Rebate program incentivizes these measures on a $100/kW savings basis, our review assessed savings based on industry standard analysis, which included standard algorithms with region and segment-specific load shapes, and the results of our documentation review.</t>
  </si>
  <si>
    <t>Project</t>
  </si>
  <si>
    <t xml:space="preserve">Chiller </t>
  </si>
  <si>
    <t>Ton</t>
  </si>
  <si>
    <t>Enrollment ID 251779</t>
  </si>
  <si>
    <t>Air-Cooled</t>
  </si>
  <si>
    <t>Water-Cooled</t>
  </si>
  <si>
    <t>Enrollment ID 273125</t>
  </si>
  <si>
    <t>Enrollment ID 518715</t>
  </si>
  <si>
    <t>Enrollment ID 522494</t>
  </si>
  <si>
    <t>Enrollment ID 524387</t>
  </si>
  <si>
    <t>MN TRM Motor Costs</t>
  </si>
  <si>
    <t>Cooling Degree Days</t>
  </si>
  <si>
    <t>LG&amp;E/KU Measure</t>
  </si>
  <si>
    <t>Relevant TRM Measure</t>
  </si>
  <si>
    <t>Full/Incremental/O&amp;M Cost</t>
  </si>
  <si>
    <t>TRM Measure Description</t>
  </si>
  <si>
    <t>LG&amp;E/KU Measure Cost</t>
  </si>
  <si>
    <t xml:space="preserve">Justification </t>
  </si>
  <si>
    <t>RPM</t>
  </si>
  <si>
    <t>Enclosure</t>
  </si>
  <si>
    <t>HorsePower</t>
  </si>
  <si>
    <t>Incremental Cost (B to C)</t>
  </si>
  <si>
    <t>$/HP</t>
  </si>
  <si>
    <t>City</t>
  </si>
  <si>
    <t>LED Parking Garage/Canopy Luminaires and
Retrofit Kits</t>
  </si>
  <si>
    <t>LED Fixtures between 150 W to 265 W</t>
  </si>
  <si>
    <t>Average incremental cost of LED fixture strata above 150 W</t>
  </si>
  <si>
    <t>https://neep.org/sites/default/files/resources/Mid_Atlantic_TRM_V9_Final_clean_wUpdateSummary%20-%20CT%20FORMAT.pdf</t>
  </si>
  <si>
    <t>ODP</t>
  </si>
  <si>
    <t>Baltimore, MD</t>
  </si>
  <si>
    <t>Mean Annual CDD (Base 65); Monthly Summarized Data, Baltimore Area, 2011-2021</t>
  </si>
  <si>
    <t>LED Fixtures greater than 265 W</t>
  </si>
  <si>
    <t>Lousiville, KY</t>
  </si>
  <si>
    <t>Mean Annual CDD (Base 65); Monthly Summarized Data, Louisville Area, 2000-2021</t>
  </si>
  <si>
    <t>Wall Pack &amp; Canopy Fixtures</t>
  </si>
  <si>
    <t>O&amp;M</t>
  </si>
  <si>
    <t>Lamp at TOS</t>
  </si>
  <si>
    <t>Average annual O&amp;M cost of lamps and luminaires (NPVs of lifetime O&amp;M costs are divided by maximum measure life of 15 years noted in the TRM)</t>
  </si>
  <si>
    <t>Cooling Hours Ratio</t>
  </si>
  <si>
    <t>Luminaire at TOS</t>
  </si>
  <si>
    <t>4.5.4 LED Bulbs and Fixtures: LED Troffers</t>
  </si>
  <si>
    <t>LED 2x2 Recessed Light Fixture, 2000-3500 lumens</t>
  </si>
  <si>
    <t>Average incremental cost of all LED troffer sizes</t>
  </si>
  <si>
    <t>https://ilsag.s3.amazonaws.com/IL-TRM_Effective_010122_v10.0_Volumes-1-4-compiled_09242021-2.pdf</t>
  </si>
  <si>
    <t>LED 2x2 Recessed Light Fixture, 3501-5000 lumens</t>
  </si>
  <si>
    <t>7.5</t>
  </si>
  <si>
    <t>LED 2x4 Recessed Light Fixture, 3000-4500 lumens</t>
  </si>
  <si>
    <t xml:space="preserve">10 </t>
  </si>
  <si>
    <t>LED 2x4 Recessed Light Fixture, 4501-6000 lumens</t>
  </si>
  <si>
    <t xml:space="preserve">15 </t>
  </si>
  <si>
    <t>LED 2x4 Recessed Light Fixture, 6001-7500 lumens</t>
  </si>
  <si>
    <t xml:space="preserve">20 </t>
  </si>
  <si>
    <t>LED 1x4 Recessed Light Fixture, 1500-3000 lumens</t>
  </si>
  <si>
    <t xml:space="preserve">25 </t>
  </si>
  <si>
    <t>LED 1x4 Recessed Light Fixture, 3001-4500 lumens</t>
  </si>
  <si>
    <t xml:space="preserve">30 </t>
  </si>
  <si>
    <t>LED 1x4 Recessed Light Fixture, 4501-6000 lumens</t>
  </si>
  <si>
    <t xml:space="preserve">40 </t>
  </si>
  <si>
    <t>4.4.6 Electric Chilller</t>
  </si>
  <si>
    <t>Air Cooled Chiller, 10.2 EER, 100 tons</t>
  </si>
  <si>
    <t xml:space="preserve">Estimated $/ton cost for 100 ton, 10.1 EER assuming linear cost increases from 10.2 EE to 10.1 EER. </t>
  </si>
  <si>
    <t>Reference - not used</t>
  </si>
  <si>
    <t xml:space="preserve">50 </t>
  </si>
  <si>
    <t>Air Cooled Chiller, 10.52 EER, 100 tons</t>
  </si>
  <si>
    <t xml:space="preserve">60 </t>
  </si>
  <si>
    <t>Electric Chillers</t>
  </si>
  <si>
    <t xml:space="preserve">75 </t>
  </si>
  <si>
    <t>100</t>
  </si>
  <si>
    <t>Water Cooled Chiller, 0.54 kW/ton, 300 tons</t>
  </si>
  <si>
    <t>Estimated $/ton cost for 400 ton, 0.54 kW/ton assuming linear cost increases from 300 to 600 ton.</t>
  </si>
  <si>
    <t>125</t>
  </si>
  <si>
    <t>Water Cooled Chiller, 0.54 kW/ton, 600 tons</t>
  </si>
  <si>
    <t>150</t>
  </si>
  <si>
    <t>Efficient Pump</t>
  </si>
  <si>
    <t>Incremental (min/max)</t>
  </si>
  <si>
    <t>$23.49/$305.32</t>
  </si>
  <si>
    <t>Efficient Pump (5 to 9.9 HP)</t>
  </si>
  <si>
    <t xml:space="preserve">Assumed cost increases are linear based on pump sizes and min/max values, then fit a trend line to values those output values (in column F) to get Cost = -67.11ln(HP) + 296.79 (R² = ) -&gt; used that to estimate costs/HP 0.8517 </t>
  </si>
  <si>
    <t>https://nwcouncil.app.box.com/v/ComAgIndPumpsv2-2</t>
  </si>
  <si>
    <t>200</t>
  </si>
  <si>
    <t>$12.27/$159.57</t>
  </si>
  <si>
    <t>Efficient Pump (10 to 24.9 HP)</t>
  </si>
  <si>
    <t>250</t>
  </si>
  <si>
    <t>TEFC</t>
  </si>
  <si>
    <t>1.5</t>
  </si>
  <si>
    <t>$6.97/$90.67</t>
  </si>
  <si>
    <t>Efficient Pump (25 to 49.9 HP)</t>
  </si>
  <si>
    <t>$4.13/$53.69</t>
  </si>
  <si>
    <t>Efficient Pump (50 to 99.9 HP)</t>
  </si>
  <si>
    <t>Variable Frequency Drive (Variable Torque and Constant Torque)</t>
  </si>
  <si>
    <t>Variable Torque Measures</t>
  </si>
  <si>
    <t>Average cost of both applications</t>
  </si>
  <si>
    <t>https://focusonenergy.com/sites/default/files/Focus_on_Energy_2020_TRM.pdf</t>
  </si>
  <si>
    <t>Constant Torque Measures</t>
  </si>
  <si>
    <t>LED High-Bay Luminaires and Retrofit Kits</t>
  </si>
  <si>
    <t xml:space="preserve">LED High Bay Fixture up to 220W </t>
  </si>
  <si>
    <t>Average cost of all high-bay LED fixtures</t>
  </si>
  <si>
    <t>LED High Bay Fixture between 220-320W</t>
  </si>
  <si>
    <t xml:space="preserve">LED High Bay Fixture greater than
320 W </t>
  </si>
  <si>
    <t>LED Four-Foot Linear Replacement Lamps</t>
  </si>
  <si>
    <t>Type A Replacement (LED lamp)</t>
  </si>
  <si>
    <t>Average cost of replacement types</t>
  </si>
  <si>
    <t>Type C Replacement (LED lamp + external driver)</t>
  </si>
  <si>
    <t>C/I Motors</t>
  </si>
  <si>
    <t>see table</t>
  </si>
  <si>
    <t>Average cost of all motors in scope</t>
  </si>
  <si>
    <t>MN TRM v3.2 : C/I Motor Tables</t>
  </si>
  <si>
    <t>4.5.10 Lighting Controls</t>
  </si>
  <si>
    <t xml:space="preserve">Interior Wall Switch Occupancy Sensor </t>
  </si>
  <si>
    <t>Average cost of all occupancy sensor types</t>
  </si>
  <si>
    <t>https://ilsag.s3.amazonaws.com/IL-TRM_Effective_010122_v10.0_Vol_2_C_and_I_09242021.pdf</t>
  </si>
  <si>
    <t xml:space="preserve">Interior Fixture-Mounted Occupancy Sensor </t>
  </si>
  <si>
    <t>Interior Remote or Wall-Mounted Occupancy Sensor</t>
  </si>
  <si>
    <t xml:space="preserve">Interior Integrated Occupancy for LED Interior Fixtures &lt; 10,000 Lumens </t>
  </si>
  <si>
    <t xml:space="preserve">Interior Integrated Occupancy for LED Interior Fixtures &gt;= 10,000 Lumens </t>
  </si>
  <si>
    <t xml:space="preserve">Exterior Occupancy Sensor </t>
  </si>
  <si>
    <t xml:space="preserve">Interior Fixture-Mounted Daylight Sensor </t>
  </si>
  <si>
    <t>Average cost of all daylight sensor types</t>
  </si>
  <si>
    <t xml:space="preserve">Interior Remote or Wall-Mounted Daylight Sensor </t>
  </si>
  <si>
    <t xml:space="preserve">Interior Integrated Dual Occupancy &amp; Daylight Sensor for LED Interior Fixtures &lt; 10,000 Lumens </t>
  </si>
  <si>
    <t>Average cost of all dual sensor types</t>
  </si>
  <si>
    <t xml:space="preserve">Interior Integrated Dual Occupancy &amp; Daylight Sensor for LED Interior Fixtures &gt;= 10,000 Lumens </t>
  </si>
  <si>
    <t xml:space="preserve">Interior Fixture-Mounted Dual Occupancy &amp; Daylight Sensor for LED Interior Fixtures &lt; 10,000 Lumens </t>
  </si>
  <si>
    <t xml:space="preserve">Interior Fixture-Mounted Dual Occupancy &amp; Daylight Sensor for LED Interior Fixtures &gt;= 10,000 Lumens </t>
  </si>
  <si>
    <t>4.5.4 LED Bulbs and Fixtures</t>
  </si>
  <si>
    <t>LED Wall-Wash Fixtures</t>
  </si>
  <si>
    <t>Average of all interior LEDs under 10W</t>
  </si>
  <si>
    <t>T8 LED Replacement Lamp (TLED), &lt; 1200 lumens</t>
  </si>
  <si>
    <t>LED Recessed, Surface, Pendant Downlights</t>
  </si>
  <si>
    <t>Average of all interior LEDs between 10W and 50W</t>
  </si>
  <si>
    <t>LED Track Lighting</t>
  </si>
  <si>
    <t>T8 LED Replacement Lamp (TLED), 1200-2400 lumens</t>
  </si>
  <si>
    <t>T8 LED Replacement Lamp (TLED), &gt; 2400 lumens</t>
  </si>
  <si>
    <t>LED Surface &amp; Suspended Linear Fixture, &lt;= 3000 lumens</t>
  </si>
  <si>
    <t>LED Surface &amp; Suspended Linear Fixture, 3001-4500 lumens</t>
  </si>
  <si>
    <t>LED Surface &amp; Suspended Linear Fixture, 4501-6000 lumens</t>
  </si>
  <si>
    <t>LED Surface &amp; Suspended Linear Fixture, 6001-7500 lumens</t>
  </si>
  <si>
    <t>Average of all interior LEDs above 50 W</t>
  </si>
  <si>
    <t>LED Surface &amp; Suspended Linear Fixture, &gt; 7500 lumens</t>
  </si>
  <si>
    <t xml:space="preserve"> VRM</t>
  </si>
  <si>
    <t>UoM</t>
  </si>
  <si>
    <t>Evaluated Quantity</t>
  </si>
  <si>
    <t>Evaluated Savings kWh</t>
  </si>
  <si>
    <t>Evaluated Calculation Peak kW Savings</t>
  </si>
  <si>
    <t>Evaluated Savings kWh/UoM</t>
  </si>
  <si>
    <t>Evaluated Calculation Peak kW Savings/UoM</t>
  </si>
  <si>
    <t>LED INTERIOR &gt; 10W AND &lt; 50 W</t>
  </si>
  <si>
    <t>EACH</t>
  </si>
  <si>
    <t>LED INTERIOR &lt; = 10W</t>
  </si>
  <si>
    <t xml:space="preserve">POLE LIGHT REPLACED LIGHT &gt;= 750W </t>
  </si>
  <si>
    <t>POLE LIGHT REPLACED LIGHT &gt; 300W AND &lt; 750W</t>
  </si>
  <si>
    <t>LED EXIT SIGNS (REPLACEMENT)</t>
  </si>
  <si>
    <t>OCCUPANCY SENSOR - GENERAL</t>
  </si>
  <si>
    <t>WATT</t>
  </si>
  <si>
    <t>LED EXTERIOR &lt; 100W</t>
  </si>
  <si>
    <t>LED INTERIOR &gt;= 50W</t>
  </si>
  <si>
    <t>LED EXTERIOR &gt;= 100W</t>
  </si>
  <si>
    <t>20 HP MOTORS</t>
  </si>
  <si>
    <t>HP</t>
  </si>
  <si>
    <t>CHILLER</t>
  </si>
  <si>
    <t>TON</t>
  </si>
  <si>
    <t>WATER COOLED CHILLER, &gt;300 TONS</t>
  </si>
  <si>
    <t>1 HP VFDS</t>
  </si>
  <si>
    <t>1.5 HP VFDS</t>
  </si>
  <si>
    <t>2 HP VFDS</t>
  </si>
  <si>
    <t>3 HP VFDS</t>
  </si>
  <si>
    <t>5 HP VFDS</t>
  </si>
  <si>
    <t>7.5 HP VFDS</t>
  </si>
  <si>
    <t>10 HP VFDS</t>
  </si>
  <si>
    <t>15 HP VFDS</t>
  </si>
  <si>
    <t>20 HP VFDS</t>
  </si>
  <si>
    <t>25 HP VFDS</t>
  </si>
  <si>
    <t>30 HP VFDS</t>
  </si>
  <si>
    <t>40 HP VFDS</t>
  </si>
  <si>
    <t>50 HP VFDS</t>
  </si>
  <si>
    <t>100 HP VFDS</t>
  </si>
  <si>
    <t>150 HP VFDS</t>
  </si>
  <si>
    <t>250 HP VFDS</t>
  </si>
  <si>
    <t>7.5 HP PUMPS</t>
  </si>
  <si>
    <t>20 HP PUMPS</t>
  </si>
  <si>
    <t>100 HP MOTORS</t>
  </si>
  <si>
    <t>150 HP MOTORS</t>
  </si>
  <si>
    <t>250 HP MOTORS</t>
  </si>
  <si>
    <t>Custom Benchmarking</t>
  </si>
  <si>
    <t xml:space="preserve">Custom incentive is half of the incremental costs for IPL data </t>
  </si>
  <si>
    <t xml:space="preserve">New York Energy $martSM
Program Cost-Effectiveness Assessment
December 2004 </t>
  </si>
  <si>
    <t>Assume DP&amp;L project costs are incremental</t>
  </si>
  <si>
    <t>Limited data available. Need more if possible</t>
  </si>
  <si>
    <t>Summary</t>
  </si>
  <si>
    <t xml:space="preserve">Utility </t>
  </si>
  <si>
    <t>Incentive Cost Per kWh</t>
  </si>
  <si>
    <t>Incentive Cost Per Therms</t>
  </si>
  <si>
    <t>Incremental Costs Per kWh</t>
  </si>
  <si>
    <t>Incremental Costs Per Therm</t>
  </si>
  <si>
    <t>kWh Per Project</t>
  </si>
  <si>
    <t>Therms per Project</t>
  </si>
  <si>
    <t>IPL</t>
  </si>
  <si>
    <t>New York Energy $martSM (C/I Performance Program)</t>
  </si>
  <si>
    <t>SCE, PG&amp;E, SDG&amp;E, SoCalGas and SMUD</t>
  </si>
  <si>
    <t>PPL</t>
  </si>
  <si>
    <t>DP&amp;L</t>
  </si>
  <si>
    <t>IPL 2014 Custom Projects</t>
  </si>
  <si>
    <t>Customer Type R or Non</t>
  </si>
  <si>
    <t>Rebate Type</t>
  </si>
  <si>
    <t>Service Type</t>
  </si>
  <si>
    <t>Customer Incentive $</t>
  </si>
  <si>
    <t>Dealer Spiff</t>
  </si>
  <si>
    <t>Therm</t>
  </si>
  <si>
    <t>Elect Participant</t>
  </si>
  <si>
    <t>Gas Participant</t>
  </si>
  <si>
    <t>Non-Residential</t>
  </si>
  <si>
    <t>13. Custom Rebates</t>
  </si>
  <si>
    <t>Managed Custom</t>
  </si>
  <si>
    <t>Combo</t>
  </si>
  <si>
    <t xml:space="preserve">Total </t>
  </si>
  <si>
    <t>PPL 2013 Filed Plan Assumptions</t>
  </si>
  <si>
    <t>Custom (Small C&amp;I)</t>
  </si>
  <si>
    <t>PPL Summary Custom</t>
  </si>
  <si>
    <t>Benefit/Cost Component</t>
  </si>
  <si>
    <t>Plan Year</t>
  </si>
  <si>
    <t>64 projects</t>
  </si>
  <si>
    <t>PY5</t>
  </si>
  <si>
    <t>PY6</t>
  </si>
  <si>
    <t>PY7</t>
  </si>
  <si>
    <t>Savings (MWh/yr.)</t>
  </si>
  <si>
    <t>Capacity Savings (MW)</t>
  </si>
  <si>
    <t>Total Resource Cost</t>
  </si>
  <si>
    <t>Direct Participant Costs</t>
  </si>
  <si>
    <t>Direct Utility Costs</t>
  </si>
  <si>
    <t>Customer Incentives</t>
  </si>
  <si>
    <t>EDC Labor, Materials &amp; Supplies</t>
  </si>
  <si>
    <t>CSP Variable Costs</t>
  </si>
  <si>
    <t>CSP Labor, Supplies &amp; Marketing</t>
  </si>
  <si>
    <t>Custom (Large C&amp;I)</t>
  </si>
  <si>
    <t>62 projects</t>
  </si>
  <si>
    <t>Custom (GNI)</t>
  </si>
  <si>
    <t>30 projects</t>
  </si>
  <si>
    <t xml:space="preserve">DP&amp;L 2013 Evaluation </t>
  </si>
  <si>
    <t>Sum of Reported Gross Savings kWh</t>
  </si>
  <si>
    <t>Sum of Project Costs</t>
  </si>
  <si>
    <t>Sum of Rebates</t>
  </si>
  <si>
    <t>Custom</t>
  </si>
  <si>
    <t>At-A-Glance Measure List - SoCalREN02_MF</t>
  </si>
  <si>
    <t xml:space="preserve">SoCalREN Multifamily 
Energy Savings Work Paper 
</t>
  </si>
  <si>
    <t>DEER  Impact ID</t>
  </si>
  <si>
    <t>Building Type</t>
  </si>
  <si>
    <t>Climate Zone</t>
  </si>
  <si>
    <t>Peak Electric Demand Reduction (kW / household)</t>
  </si>
  <si>
    <t>Electric Savings (kWh / household)</t>
  </si>
  <si>
    <t>Gas Savings (therms / household)</t>
  </si>
  <si>
    <t>Base Case Cost ($ / household)</t>
  </si>
  <si>
    <t>Measure Cost[1]</t>
  </si>
  <si>
    <t>Measure Incremental Cost  ($ / household)</t>
  </si>
  <si>
    <t>Effective Useful Life (years)</t>
  </si>
  <si>
    <t>($ / household)</t>
  </si>
  <si>
    <t>Convert to BTUs</t>
  </si>
  <si>
    <t>$/Btu per household</t>
  </si>
  <si>
    <t>SoCalREN_02Multifamily_LessThan20</t>
  </si>
  <si>
    <t>SoCalREN02_MF_Sys_L</t>
  </si>
  <si>
    <t>SoCalREN  Multifamily</t>
  </si>
  <si>
    <t>Residential Multifamily Building, 20 units or Less</t>
  </si>
  <si>
    <t>System</t>
  </si>
  <si>
    <t>SoCalREN_02Multifamily_Mid21to50</t>
  </si>
  <si>
    <t>SoCalREN02_MF_Sys_M</t>
  </si>
  <si>
    <t>Residential Multifamily Building, 21-50 units</t>
  </si>
  <si>
    <t>SoCalREN_02Multifamily_High51+</t>
  </si>
  <si>
    <t>SoCalREN02_MF_Sys_H</t>
  </si>
  <si>
    <t>Residential Multifamily Building, 51 units or more</t>
  </si>
  <si>
    <t>[1] Includes equipment, labor, overhead and profit</t>
  </si>
  <si>
    <t>http://library.cee1.org/sites/default/files/library/1209/381.pdf</t>
  </si>
  <si>
    <t>Table 16. Program and Participant Spending</t>
  </si>
  <si>
    <t xml:space="preserve">Participant Cofunding
($ Million) </t>
  </si>
  <si>
    <t>Savings</t>
  </si>
  <si>
    <t>Incremental Cost/ kWh</t>
  </si>
  <si>
    <t>C/I Performance Program</t>
  </si>
  <si>
    <t>**</t>
  </si>
  <si>
    <t>used</t>
  </si>
  <si>
    <t>New Construction Program</t>
  </si>
  <si>
    <t>New York Energy $martSM Loan Fund</t>
  </si>
  <si>
    <t>Smart Equipment Choices Program</t>
  </si>
  <si>
    <t>Weighted by savings</t>
  </si>
  <si>
    <t>**For these programs, only full project cost (including measure and labor costs) were readily available. Labor cost associated with the installation of the measures was conservatively assumed to be 50% of total project cost and these costs were removed from the full project cost since they would be incurred regardless of whether the equipment installed were efficient or standard.</t>
  </si>
  <si>
    <t xml:space="preserve">Incremental Measure Costs
in New Construction Programs </t>
  </si>
  <si>
    <t>http://www.calmac.org/publications/HMG_IMC_White_Paper_v3_Final.pdf</t>
  </si>
  <si>
    <t>New Construction (Non-Residential) (NRNC) (4)</t>
  </si>
  <si>
    <t>Whole Building-Owner-Electric</t>
  </si>
  <si>
    <t>$/kWH</t>
  </si>
  <si>
    <t>From PG&amp;E Savings By Design Program Workpapers for 2004-2005 Program Years, the
incremental cost is based on the 2001 DEER study and the 1996 Measure Cost Study using
weighted averages derived from historical program data</t>
  </si>
  <si>
    <t>Whole Building-Owner-Gas</t>
  </si>
  <si>
    <t>$/therm</t>
  </si>
  <si>
    <t>From PG&amp;E Savings By Design Program Workpapers for 2004-2005 Program Years, the incremental cost is based on Equipoise's summary, Exhibit 8 average, which is associated with the "Southern California Gas Company's Commercial Gas Water Heaters in the Savings By Design Program-Whole Building and Systems Approach", Equipoise Consulting Incorporated, October 10, 2000.</t>
  </si>
  <si>
    <t>HVAC &amp; Refrig-Electric</t>
  </si>
  <si>
    <t>HVAC-Gas</t>
  </si>
  <si>
    <t>Implementation</t>
  </si>
  <si>
    <t>Based on the DEER 2014 EUL database for the measure "High Efficiency Chillers"</t>
  </si>
  <si>
    <t>DEER 2005 and Engineering Judgement. Assuming 10 years.</t>
  </si>
  <si>
    <t>Based on the Xcel 2015/2016 DSM plan for the product "Motor Efficiency". Pg 440</t>
  </si>
  <si>
    <t>Based on the Xcel 2015/2016 DSM plan for the product "Motor Efficiency - VFD". Pg 440</t>
  </si>
  <si>
    <t>Based on the RTF workbook: ComGroceryDisplayCaseLEDs_v3_2</t>
  </si>
  <si>
    <t>Based on the DEER 2014 EUL database for the measure "Exit Lighting"</t>
  </si>
  <si>
    <t>Based on the 2010 OH TRM for the measure "C&amp;I Lighting Controls (Time of Sale, Retrofit)". Pg 149. Based on the lighting controls "Remote-Mounted Daylight Dimming Sensors" and "Fixture Mounted Daylight Dimming Sensors".</t>
  </si>
  <si>
    <t>NWPPC 6th Plan</t>
  </si>
  <si>
    <t>General Budget Category</t>
  </si>
  <si>
    <t>Initial LGEKU est</t>
  </si>
  <si>
    <t>Updated</t>
  </si>
  <si>
    <t>Population (2025-2030)</t>
  </si>
  <si>
    <t>DHP</t>
  </si>
  <si>
    <t>Changing from 15.2 to 16 per CEE Tier 1 for Jan 1, 2026 start date</t>
  </si>
  <si>
    <t>https://cee1.my.site.com/s/resources?id=a0V2R00000sUQby</t>
  </si>
  <si>
    <t>Updated SEER2/EER2 for CAC and HP</t>
  </si>
  <si>
    <t>Delta kWh (2025-2030)</t>
  </si>
  <si>
    <t>Hospital - Medical</t>
  </si>
  <si>
    <t>Lodging - Hotel</t>
  </si>
  <si>
    <t>Eff</t>
  </si>
  <si>
    <t>Type</t>
  </si>
  <si>
    <t>at page 441</t>
  </si>
  <si>
    <t>Full load hours - Maryland scaled up</t>
  </si>
  <si>
    <t>Building type</t>
  </si>
  <si>
    <t>FLH</t>
  </si>
  <si>
    <t>Scaled up for KY</t>
  </si>
  <si>
    <t>Notes</t>
  </si>
  <si>
    <t>Trane Ascend ACS, scroll</t>
  </si>
  <si>
    <t>Carrier 30XV, VFD compressors and fans</t>
  </si>
  <si>
    <t>New savings estimates</t>
  </si>
  <si>
    <t>Office</t>
  </si>
  <si>
    <t>Everything else</t>
  </si>
  <si>
    <t>Office*</t>
  </si>
  <si>
    <t>current assumption per year (tons)</t>
  </si>
  <si>
    <t>Large hospital/lodging</t>
  </si>
  <si>
    <t>x higher than current</t>
  </si>
  <si>
    <t>x higher than current for mid-tier efficiency</t>
  </si>
  <si>
    <t>Heat pump+DHP</t>
  </si>
  <si>
    <t>Extra HP savings</t>
  </si>
  <si>
    <t>Flat</t>
  </si>
  <si>
    <t>DSM-EE</t>
  </si>
  <si>
    <t>Peak</t>
  </si>
  <si>
    <t>Nonres</t>
  </si>
  <si>
    <t>Res</t>
  </si>
  <si>
    <t>Com</t>
  </si>
  <si>
    <t>Ind</t>
  </si>
  <si>
    <t>From Pg 10 of 2022 Cadmus Study</t>
  </si>
  <si>
    <t>TP</t>
  </si>
  <si>
    <t>Economic</t>
  </si>
  <si>
    <t>Achievable</t>
  </si>
  <si>
    <t>Business</t>
  </si>
  <si>
    <t>Cadmus Study</t>
  </si>
  <si>
    <t>2024-2030 DSM-EE Plan</t>
  </si>
  <si>
    <t>354.84 kWh savings derived by Changing source Cell AU72 from 15.2 to 16 SEER2, per CEE Tier 1 for Jan 1, 2026 start date</t>
  </si>
  <si>
    <t>216.71 kWh savings derived by Changing source Cell AC77 from 15.2 to 17 SEER2, per CEE Tier 1 for Jan 1, 2026 start date</t>
  </si>
  <si>
    <t>Figure 7. Final 2024-2030 DSM-EE Plan Savings Targets by Sector</t>
  </si>
  <si>
    <t>Figure 6. Comparison of Residential and Business Sector’s Contributions to Technical and Achievable EE Savings Potential by 2043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</si>
</sst>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0.000"/>
    <numFmt numFmtId="168" formatCode="_(* #,##0_);_(* \(#,##0\);_(* &quot;-&quot;??_);_(@_)"/>
    <numFmt numFmtId="169" formatCode="_(&quot;$&quot;* #,##0_);_(&quot;$&quot;* \(#,##0\);_(&quot;$&quot;* &quot;-&quot;??_);_(@_)"/>
    <numFmt numFmtId="170" formatCode="&quot;$&quot;#,##0\ ;\(&quot;$&quot;#,##0\)"/>
    <numFmt numFmtId="171" formatCode="m/d/\ h:mm"/>
    <numFmt numFmtId="172" formatCode="########\-###\-###"/>
    <numFmt numFmtId="173" formatCode="General_)"/>
    <numFmt numFmtId="174" formatCode="0.0%"/>
    <numFmt numFmtId="175" formatCode="#,##0.00;\(#,##0.00\)"/>
    <numFmt numFmtId="176" formatCode="0.0"/>
    <numFmt numFmtId="177" formatCode="0.000000"/>
    <numFmt numFmtId="178" formatCode="0.00000"/>
    <numFmt numFmtId="179" formatCode="0.0000"/>
    <numFmt numFmtId="180" formatCode="0.000"/>
    <numFmt numFmtId="181" formatCode="_(* #,##0.0_);_(* \(#,##0.0\);_(* &quot;-&quot;??_);_(@_)"/>
    <numFmt numFmtId="182" formatCode="_(* #,##0.0000_);_(* \(#,##0.0000\);_(* &quot;-&quot;??_);_(@_)"/>
    <numFmt numFmtId="183" formatCode="_(* #,##0.000_);_(* \(#,##0.000\);_(* &quot;-&quot;??_);_(@_)"/>
    <numFmt numFmtId="184" formatCode="&quot;$&quot;#,##0.000_);[Red]\(&quot;$&quot;#,##0.000\)"/>
    <numFmt numFmtId="185" formatCode="_(&quot;$&quot;* #,##0.0_);_(&quot;$&quot;* \(#,##0.0\);_(&quot;$&quot;* &quot;-&quot;??_);_(@_)"/>
    <numFmt numFmtId="186" formatCode="#,##0.0000_);\(#,##0.0000\)"/>
    <numFmt numFmtId="187" formatCode="_(* #,##0.00000000_);_(* \(#,##0.00000000\);_(* &quot;-&quot;??_);_(@_)"/>
    <numFmt numFmtId="188" formatCode="_(* #,##0.0_);_(* \(#,##0.0\);_(* &quot;-&quot;?_);_(@_)"/>
    <numFmt numFmtId="189" formatCode="_(* #,##0.000000_);_(* \(#,##0.000000\);_(* &quot;-&quot;??_);_(@_)"/>
    <numFmt numFmtId="190" formatCode="&quot;$&quot;#,##0.0000_);[Red]\(&quot;$&quot;#,##0.0000\)"/>
    <numFmt numFmtId="191" formatCode="_(* #,##0.000_);_(* \(#,##0.000\);_(* &quot;-&quot;???_);_(@_)"/>
    <numFmt numFmtId="192" formatCode="_(* #,##0.0000000_);_(* \(#,##0.0000000\);_(* &quot;-&quot;??_);_(@_)"/>
  </numFmts>
  <fonts count="182">
    <font>
      <sz val="11"/>
      <color theme="1"/>
      <name val="Calibri"/>
      <family val="2"/>
      <scheme val="minor"/>
    </font>
    <font>
      <u/>
      <sz val="11"/>
      <color theme="10"/>
      <name val="Calibri"/>
      <family val="2"/>
    </font>
    <font>
      <u/>
      <sz val="11"/>
      <color theme="11"/>
      <name val="Calibri"/>
      <family val="2"/>
      <scheme val="minor"/>
    </font>
    <font>
      <sz val="12"/>
      <color rgb="FF9C0006"/>
      <name val="Calibri"/>
      <family val="2"/>
      <scheme val="minor"/>
    </font>
    <font>
      <sz val="11"/>
      <color indexed="8"/>
      <name val="Calibri"/>
      <family val="2"/>
    </font>
    <font>
      <sz val="10"/>
      <name val="Arial"/>
      <family val="2"/>
    </font>
    <font>
      <sz val="11"/>
      <color rgb="FF000000"/>
      <name val="Arial"/>
      <family val="2"/>
    </font>
    <font>
      <sz val="10"/>
      <name val="Arial"/>
      <family val="2"/>
    </font>
    <font>
      <b/>
      <sz val="11"/>
      <color theme="0"/>
      <name val="Calibri"/>
      <family val="2"/>
      <scheme val="minor"/>
    </font>
    <font>
      <sz val="11"/>
      <color rgb="FFFF0000"/>
      <name val="Calibri"/>
      <family val="2"/>
      <scheme val="minor"/>
    </font>
    <font>
      <sz val="9"/>
      <color indexed="81"/>
      <name val="Tahoma"/>
      <family val="2"/>
    </font>
    <font>
      <b/>
      <sz val="9"/>
      <color indexed="81"/>
      <name val="Tahoma"/>
      <family val="2"/>
    </font>
    <font>
      <sz val="11"/>
      <color theme="1"/>
      <name val="Calibri"/>
      <family val="2"/>
      <scheme val="minor"/>
    </font>
    <font>
      <sz val="10"/>
      <name val="MS Sans Serif"/>
      <family val="2"/>
    </font>
    <font>
      <sz val="10"/>
      <name val="Arial Black"/>
      <family val="2"/>
    </font>
    <font>
      <b/>
      <sz val="10"/>
      <name val="Arial Black"/>
      <family val="2"/>
    </font>
    <font>
      <b/>
      <sz val="10"/>
      <name val="MS Sans Serif"/>
      <family val="2"/>
    </font>
    <font>
      <sz val="10"/>
      <name val="Arial Narrow"/>
      <family val="2"/>
    </font>
    <font>
      <b/>
      <sz val="10"/>
      <name val="Arial Narrow"/>
      <family val="2"/>
    </font>
    <font>
      <b/>
      <sz val="14"/>
      <color theme="2"/>
      <name val="Arial Narrow"/>
      <family val="2"/>
    </font>
    <font>
      <sz val="10"/>
      <color theme="2"/>
      <name val="Arial Narrow"/>
      <family val="2"/>
    </font>
    <font>
      <sz val="10"/>
      <color theme="2"/>
      <name val="Arial Black"/>
      <family val="2"/>
    </font>
    <font>
      <sz val="9"/>
      <color indexed="8"/>
      <name val="Arial"/>
      <family val="2"/>
    </font>
    <font>
      <sz val="10"/>
      <name val="Arial"/>
      <family val="2"/>
    </font>
    <font>
      <b/>
      <sz val="9"/>
      <color indexed="8"/>
      <name val="Arial"/>
      <family val="2"/>
    </font>
    <font>
      <sz val="8"/>
      <name val="Arial"/>
      <family val="2"/>
    </font>
    <font>
      <b/>
      <sz val="8"/>
      <name val="Arial"/>
      <family val="2"/>
    </font>
    <font>
      <sz val="10"/>
      <color theme="1"/>
      <name val="Calibri"/>
      <family val="2"/>
      <scheme val="minor"/>
    </font>
    <font>
      <b/>
      <sz val="11"/>
      <color theme="1"/>
      <name val="Calibri"/>
      <family val="2"/>
      <scheme val="minor"/>
    </font>
    <font>
      <sz val="12"/>
      <color theme="1"/>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theme="1"/>
      <name val="Calibri"/>
      <family val="2"/>
    </font>
    <font>
      <sz val="10"/>
      <color indexed="24"/>
      <name val="Times New Roman"/>
      <family val="1"/>
    </font>
    <font>
      <sz val="12"/>
      <name val="Times New Roman"/>
      <family val="1"/>
    </font>
    <font>
      <i/>
      <sz val="11"/>
      <color indexed="23"/>
      <name val="Calibri"/>
      <family val="2"/>
    </font>
    <font>
      <sz val="7"/>
      <name val="Arial"/>
      <family val="2"/>
    </font>
    <font>
      <sz val="11"/>
      <color indexed="17"/>
      <name val="Calibri"/>
      <family val="2"/>
    </font>
    <font>
      <b/>
      <sz val="12"/>
      <name val="Times New Roman"/>
      <family val="1"/>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indexed="8"/>
      <name val="TimesNewRomanPS"/>
    </font>
    <font>
      <sz val="12"/>
      <color indexed="12"/>
      <name val="Times New Roman"/>
      <family val="1"/>
    </font>
    <font>
      <b/>
      <sz val="11"/>
      <color indexed="63"/>
      <name val="Calibri"/>
      <family val="2"/>
    </font>
    <font>
      <sz val="10"/>
      <name val="Helv"/>
      <charset val="204"/>
    </font>
    <font>
      <b/>
      <sz val="18"/>
      <color indexed="56"/>
      <name val="Cambria"/>
      <family val="2"/>
    </font>
    <font>
      <b/>
      <sz val="11"/>
      <color indexed="8"/>
      <name val="Calibri"/>
      <family val="2"/>
    </font>
    <font>
      <sz val="10"/>
      <name val="LinePrinter"/>
    </font>
    <font>
      <sz val="11"/>
      <color indexed="10"/>
      <name val="Calibri"/>
      <family val="2"/>
    </font>
    <font>
      <b/>
      <sz val="12"/>
      <name val="Arial"/>
      <family val="2"/>
    </font>
    <font>
      <b/>
      <sz val="14"/>
      <name val="Arial"/>
      <family val="2"/>
    </font>
    <font>
      <sz val="11"/>
      <color theme="1"/>
      <name val="Arial"/>
      <family val="2"/>
    </font>
    <font>
      <sz val="10"/>
      <color rgb="FFFF0000"/>
      <name val="Arial Black"/>
      <family val="2"/>
    </font>
    <font>
      <sz val="10"/>
      <color rgb="FFFF0000"/>
      <name val="MS Sans Serif"/>
      <family val="2"/>
    </font>
    <font>
      <sz val="10"/>
      <color rgb="FF000000"/>
      <name val="Calibri"/>
      <family val="2"/>
    </font>
    <font>
      <sz val="9"/>
      <color rgb="FFFF0000"/>
      <name val="Calibri"/>
      <family val="2"/>
      <scheme val="minor"/>
    </font>
    <font>
      <sz val="10"/>
      <color theme="1"/>
      <name val="Calibri"/>
      <family val="2"/>
    </font>
    <font>
      <b/>
      <sz val="10"/>
      <name val="Calibri"/>
      <family val="2"/>
      <scheme val="minor"/>
    </font>
    <font>
      <sz val="8"/>
      <name val="Calibri"/>
      <family val="2"/>
      <scheme val="minor"/>
    </font>
    <font>
      <sz val="10"/>
      <name val="Calibri"/>
      <family val="2"/>
      <scheme val="minor"/>
    </font>
    <font>
      <i/>
      <sz val="10"/>
      <name val="Arial"/>
      <family val="2"/>
    </font>
    <font>
      <sz val="10"/>
      <color indexed="8"/>
      <name val="Arial"/>
      <family val="2"/>
    </font>
    <font>
      <b/>
      <sz val="10"/>
      <color theme="1"/>
      <name val="Calibri"/>
      <family val="2"/>
    </font>
    <font>
      <sz val="10"/>
      <color theme="1"/>
      <name val="Times New Roman"/>
      <family val="2"/>
    </font>
    <font>
      <b/>
      <sz val="11"/>
      <color rgb="FFFFFFFF"/>
      <name val="Calibri"/>
      <family val="2"/>
    </font>
    <font>
      <sz val="10"/>
      <color theme="0" tint="-0.499984740745262"/>
      <name val="MS Sans Serif"/>
      <family val="2"/>
    </font>
    <font>
      <b/>
      <sz val="7"/>
      <color theme="1"/>
      <name val="Calibri"/>
      <family val="2"/>
      <scheme val="minor"/>
    </font>
    <font>
      <b/>
      <sz val="7"/>
      <color rgb="FF333333"/>
      <name val="Calibri"/>
      <family val="2"/>
      <scheme val="minor"/>
    </font>
    <font>
      <sz val="7"/>
      <color theme="1"/>
      <name val="Calibri"/>
      <family val="2"/>
      <scheme val="minor"/>
    </font>
    <font>
      <sz val="12"/>
      <color theme="1"/>
      <name val="Times New Roman"/>
      <family val="1"/>
    </font>
    <font>
      <b/>
      <sz val="8"/>
      <color rgb="FFFF0000"/>
      <name val="Times New Roman"/>
      <family val="1"/>
    </font>
    <font>
      <u/>
      <sz val="11"/>
      <color theme="10"/>
      <name val="Calibri"/>
      <family val="2"/>
      <scheme val="minor"/>
    </font>
    <font>
      <u/>
      <sz val="11"/>
      <color rgb="FFFF0000"/>
      <name val="Calibri"/>
      <family val="2"/>
      <scheme val="minor"/>
    </font>
    <font>
      <sz val="10"/>
      <color theme="1"/>
      <name val="Arial"/>
      <family val="2"/>
    </font>
    <font>
      <b/>
      <sz val="11"/>
      <color rgb="FFFFFFFF"/>
      <name val="Calibri"/>
      <family val="2"/>
      <scheme val="minor"/>
    </font>
    <font>
      <sz val="11"/>
      <color rgb="FF000000"/>
      <name val="Calibri"/>
      <family val="2"/>
      <scheme val="minor"/>
    </font>
    <font>
      <b/>
      <sz val="11"/>
      <color rgb="FF000000"/>
      <name val="Calibri"/>
      <family val="2"/>
      <scheme val="minor"/>
    </font>
    <font>
      <sz val="10"/>
      <color rgb="FF000000"/>
      <name val="Times New Roman"/>
      <family val="1"/>
    </font>
    <font>
      <u/>
      <sz val="10"/>
      <color theme="10"/>
      <name val="Arial"/>
      <family val="2"/>
    </font>
    <font>
      <sz val="9"/>
      <color theme="1"/>
      <name val="Calibri"/>
      <family val="2"/>
      <scheme val="minor"/>
    </font>
    <font>
      <i/>
      <sz val="11"/>
      <color theme="1"/>
      <name val="Calibri"/>
      <family val="2"/>
      <scheme val="minor"/>
    </font>
    <font>
      <sz val="10"/>
      <name val="MS Sans Serif"/>
      <family val="2"/>
    </font>
    <font>
      <b/>
      <sz val="10"/>
      <name val="MS Sans Serif"/>
      <family val="2"/>
    </font>
    <font>
      <sz val="10"/>
      <name val="Arial"/>
      <family val="2"/>
    </font>
    <font>
      <sz val="10"/>
      <color rgb="FFFF0000"/>
      <name val="MS Sans Serif"/>
      <family val="2"/>
    </font>
    <font>
      <b/>
      <sz val="10"/>
      <name val="MS Sans Serif"/>
      <family val="2"/>
    </font>
    <font>
      <sz val="10"/>
      <name val="MS Sans Serif"/>
      <family val="2"/>
    </font>
    <font>
      <sz val="9"/>
      <name val="Arial"/>
      <family val="2"/>
    </font>
    <font>
      <sz val="10"/>
      <color rgb="FFFF0000"/>
      <name val="Arial"/>
      <family val="2"/>
    </font>
    <font>
      <sz val="10"/>
      <name val="MS Sans Serif"/>
    </font>
    <font>
      <sz val="11"/>
      <name val="Calibri"/>
      <family val="2"/>
      <scheme val="minor"/>
    </font>
    <font>
      <b/>
      <u/>
      <sz val="10"/>
      <color theme="10"/>
      <name val="Arial"/>
      <family val="2"/>
    </font>
    <font>
      <b/>
      <sz val="10"/>
      <color theme="2"/>
      <name val="Calibri"/>
      <family val="2"/>
      <scheme val="minor"/>
    </font>
    <font>
      <sz val="10"/>
      <color rgb="FFFF0000"/>
      <name val="Calibri"/>
      <family val="2"/>
      <scheme val="minor"/>
    </font>
    <font>
      <b/>
      <sz val="10"/>
      <color theme="1"/>
      <name val="Calibri"/>
      <family val="2"/>
      <scheme val="minor"/>
    </font>
    <font>
      <sz val="10"/>
      <color theme="2"/>
      <name val="Calibri"/>
      <family val="2"/>
      <scheme val="minor"/>
    </font>
    <font>
      <b/>
      <sz val="10"/>
      <color theme="0"/>
      <name val="Calibri"/>
      <family val="2"/>
      <scheme val="minor"/>
    </font>
    <font>
      <i/>
      <sz val="10"/>
      <color theme="0" tint="-0.14999847407452621"/>
      <name val="Calibri"/>
      <family val="2"/>
      <scheme val="minor"/>
    </font>
    <font>
      <b/>
      <sz val="10"/>
      <color rgb="FF005DAA"/>
      <name val="Calibri"/>
      <family val="2"/>
    </font>
    <font>
      <b/>
      <sz val="10"/>
      <color rgb="FF000000"/>
      <name val="Calibri"/>
      <family val="2"/>
    </font>
    <font>
      <b/>
      <sz val="10"/>
      <color rgb="FFFFFFFF"/>
      <name val="Calibri"/>
      <family val="2"/>
    </font>
    <font>
      <u/>
      <sz val="10"/>
      <color theme="10"/>
      <name val="Calibri"/>
      <family val="2"/>
      <scheme val="minor"/>
    </font>
    <font>
      <sz val="11"/>
      <color rgb="FF202124"/>
      <name val="Calibri"/>
      <family val="2"/>
      <scheme val="minor"/>
    </font>
    <font>
      <sz val="11"/>
      <color rgb="FF040C13"/>
      <name val="Calibri"/>
      <family val="2"/>
      <scheme val="minor"/>
    </font>
    <font>
      <sz val="11"/>
      <color rgb="FF333333"/>
      <name val="Calibri"/>
      <family val="2"/>
      <scheme val="minor"/>
    </font>
    <font>
      <b/>
      <sz val="11"/>
      <color rgb="FF202124"/>
      <name val="Calibri"/>
      <family val="2"/>
      <scheme val="minor"/>
    </font>
    <font>
      <sz val="9"/>
      <color rgb="FF000000"/>
      <name val="Calibri"/>
      <family val="2"/>
      <scheme val="minor"/>
    </font>
    <font>
      <b/>
      <sz val="11"/>
      <name val="Calibri"/>
      <family val="2"/>
      <scheme val="minor"/>
    </font>
    <font>
      <b/>
      <sz val="10"/>
      <color indexed="8"/>
      <name val="Arial"/>
      <family val="2"/>
    </font>
    <font>
      <b/>
      <sz val="10"/>
      <name val="MS Sans Serif"/>
    </font>
    <font>
      <sz val="10"/>
      <color theme="5"/>
      <name val="MS Sans Serif"/>
      <family val="2"/>
    </font>
    <font>
      <sz val="10"/>
      <color theme="5"/>
      <name val="MS Sans Serif"/>
    </font>
    <font>
      <b/>
      <sz val="9"/>
      <color rgb="FFFFFFFF"/>
      <name val="Arial"/>
      <family val="2"/>
    </font>
    <font>
      <sz val="9"/>
      <color rgb="FF000000"/>
      <name val="Arial"/>
      <family val="2"/>
    </font>
    <font>
      <b/>
      <sz val="9"/>
      <color rgb="FF000000"/>
      <name val="Arial"/>
      <family val="2"/>
    </font>
    <font>
      <vertAlign val="superscript"/>
      <sz val="9"/>
      <color theme="1"/>
      <name val="Arial"/>
      <family val="2"/>
    </font>
    <font>
      <sz val="9"/>
      <color theme="1"/>
      <name val="Arial"/>
      <family val="2"/>
    </font>
    <font>
      <b/>
      <sz val="10"/>
      <color theme="1"/>
      <name val="Arial"/>
      <family val="2"/>
    </font>
    <font>
      <i/>
      <sz val="12"/>
      <color rgb="FF0070C0"/>
      <name val="Gill Sans MT"/>
      <family val="2"/>
    </font>
    <font>
      <i/>
      <sz val="12"/>
      <color rgb="FF0070C0"/>
      <name val="Arial"/>
      <family val="2"/>
    </font>
    <font>
      <sz val="11"/>
      <name val="Calibri"/>
      <family val="2"/>
    </font>
    <font>
      <b/>
      <i/>
      <sz val="11"/>
      <color theme="1"/>
      <name val="Calibri"/>
      <family val="2"/>
      <scheme val="minor"/>
    </font>
    <font>
      <b/>
      <i/>
      <sz val="11"/>
      <color rgb="FFFF0000"/>
      <name val="Calibri"/>
      <family val="2"/>
      <scheme val="minor"/>
    </font>
    <font>
      <b/>
      <sz val="12"/>
      <color theme="1"/>
      <name val="Calibri"/>
      <family val="2"/>
    </font>
    <font>
      <b/>
      <i/>
      <sz val="11"/>
      <color theme="1"/>
      <name val="Calibri"/>
      <family val="2"/>
    </font>
    <font>
      <vertAlign val="subscript"/>
      <sz val="11"/>
      <name val="Calibri"/>
      <family val="2"/>
      <scheme val="minor"/>
    </font>
    <font>
      <b/>
      <sz val="11"/>
      <name val="Calibri"/>
      <family val="2"/>
    </font>
    <font>
      <i/>
      <sz val="10"/>
      <color theme="0" tint="-0.249977111117893"/>
      <name val="MS Sans Serif"/>
    </font>
    <font>
      <sz val="10"/>
      <color theme="0" tint="-0.34998626667073579"/>
      <name val="Calibri"/>
      <family val="2"/>
      <scheme val="minor"/>
    </font>
    <font>
      <sz val="10"/>
      <color rgb="FF00B050"/>
      <name val="Calibri"/>
      <family val="2"/>
      <scheme val="minor"/>
    </font>
    <font>
      <sz val="10"/>
      <color rgb="FF00B050"/>
      <name val="Arial Narrow"/>
      <family val="2"/>
    </font>
    <font>
      <sz val="10"/>
      <color rgb="FF00B050"/>
      <name val="Arial"/>
      <family val="2"/>
    </font>
    <font>
      <sz val="10"/>
      <color rgb="FF00B050"/>
      <name val="MS Sans Serif"/>
      <family val="2"/>
    </font>
    <font>
      <sz val="9"/>
      <color theme="1"/>
      <name val="Segoe UI"/>
      <family val="2"/>
    </font>
    <font>
      <sz val="11"/>
      <color rgb="FF00B050"/>
      <name val="Calibri"/>
      <family val="2"/>
      <scheme val="minor"/>
    </font>
    <font>
      <b/>
      <sz val="9"/>
      <color rgb="FF00B050"/>
      <name val="Arial"/>
      <family val="2"/>
    </font>
    <font>
      <b/>
      <sz val="10"/>
      <color rgb="FF00B050"/>
      <name val="Calibri"/>
      <family val="2"/>
      <scheme val="minor"/>
    </font>
    <font>
      <b/>
      <sz val="11"/>
      <color rgb="FF00B050"/>
      <name val="Calibri"/>
      <family val="2"/>
      <scheme val="minor"/>
    </font>
    <font>
      <b/>
      <sz val="9"/>
      <color theme="1"/>
      <name val="Calibri"/>
      <family val="2"/>
      <scheme val="minor"/>
    </font>
    <font>
      <u/>
      <sz val="11"/>
      <color rgb="FF00B050"/>
      <name val="Calibri"/>
      <family val="2"/>
      <scheme val="minor"/>
    </font>
    <font>
      <i/>
      <sz val="11"/>
      <color rgb="FF00B050"/>
      <name val="Calibri"/>
      <family val="2"/>
      <scheme val="minor"/>
    </font>
    <font>
      <sz val="10"/>
      <color rgb="FF00B050"/>
      <name val="MS Sans Serif"/>
    </font>
    <font>
      <sz val="10"/>
      <color rgb="FFFF0000"/>
      <name val="MS Sans Serif"/>
    </font>
    <font>
      <b/>
      <sz val="10"/>
      <color rgb="FF00B050"/>
      <name val="MS Sans Serif"/>
      <family val="2"/>
    </font>
    <font>
      <b/>
      <sz val="10"/>
      <color rgb="FF00B050"/>
      <name val="MS Sans Serif"/>
    </font>
    <font>
      <sz val="10"/>
      <color theme="0" tint="-0.249977111117893"/>
      <name val="MS Sans Serif"/>
      <family val="2"/>
    </font>
    <font>
      <b/>
      <sz val="10"/>
      <color theme="0" tint="-0.249977111117893"/>
      <name val="MS Sans Serif"/>
      <family val="2"/>
    </font>
    <font>
      <sz val="10"/>
      <color theme="0" tint="-0.249977111117893"/>
      <name val="MS Sans Serif"/>
    </font>
    <font>
      <sz val="10"/>
      <color theme="0"/>
      <name val="MS Sans Serif"/>
      <family val="2"/>
    </font>
    <font>
      <sz val="10"/>
      <color theme="0"/>
      <name val="Arial Narrow"/>
      <family val="2"/>
    </font>
    <font>
      <sz val="10"/>
      <color rgb="FFFF3300"/>
      <name val="MS Sans Serif"/>
      <family val="2"/>
    </font>
    <font>
      <b/>
      <sz val="10"/>
      <color rgb="FFFF0000"/>
      <name val="Calibri"/>
      <family val="2"/>
      <scheme val="minor"/>
    </font>
    <font>
      <b/>
      <sz val="24"/>
      <name val="Arial Narrow"/>
      <family val="2"/>
    </font>
    <font>
      <sz val="9"/>
      <name val="Calibri"/>
      <family val="2"/>
      <scheme val="minor"/>
    </font>
    <font>
      <b/>
      <sz val="10"/>
      <color rgb="FFFF0000"/>
      <name val="MS Sans Serif"/>
      <family val="2"/>
    </font>
    <font>
      <sz val="10"/>
      <color rgb="FFFF0000"/>
      <name val="Arial Narrow"/>
      <family val="2"/>
    </font>
    <font>
      <i/>
      <sz val="10"/>
      <color theme="0" tint="-4.9989318521683403E-2"/>
      <name val="Calibri"/>
      <family val="2"/>
      <scheme val="minor"/>
    </font>
    <font>
      <sz val="9"/>
      <name val="Segoe UI"/>
      <family val="2"/>
    </font>
    <font>
      <u/>
      <sz val="11"/>
      <name val="Calibri"/>
      <family val="2"/>
      <scheme val="minor"/>
    </font>
    <font>
      <i/>
      <sz val="11"/>
      <name val="Calibri"/>
      <family val="2"/>
      <scheme val="minor"/>
    </font>
    <font>
      <sz val="10"/>
      <color theme="0" tint="-0.34998626667073579"/>
      <name val="MS Sans Serif"/>
      <family val="2"/>
    </font>
    <font>
      <sz val="9"/>
      <color theme="0" tint="-0.34998626667073579"/>
      <name val="Calibri"/>
      <family val="2"/>
      <scheme val="minor"/>
    </font>
  </fonts>
  <fills count="91">
    <fill>
      <patternFill patternType="none"/>
    </fill>
    <fill>
      <patternFill patternType="gray125"/>
    </fill>
    <fill>
      <patternFill patternType="solid">
        <fgColor rgb="FFFFC7CE"/>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indexed="30"/>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theme="5"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rgb="FF0069AA"/>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6"/>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C0C0C0"/>
        <bgColor indexed="64"/>
      </patternFill>
    </fill>
    <fill>
      <patternFill patternType="darkGray">
        <fgColor rgb="FF000000"/>
        <bgColor rgb="FF121212"/>
      </patternFill>
    </fill>
    <fill>
      <patternFill patternType="solid">
        <fgColor rgb="FFA6A6A6"/>
        <bgColor indexed="64"/>
      </patternFill>
    </fill>
    <fill>
      <patternFill patternType="solid">
        <fgColor rgb="FFD9D9D9"/>
        <bgColor indexed="64"/>
      </patternFill>
    </fill>
    <fill>
      <patternFill patternType="solid">
        <fgColor theme="9" tint="-0.499984740745262"/>
        <bgColor indexed="64"/>
      </patternFill>
    </fill>
    <fill>
      <patternFill patternType="solid">
        <fgColor theme="3"/>
        <bgColor indexed="64"/>
      </patternFill>
    </fill>
    <fill>
      <patternFill patternType="solid">
        <fgColor theme="8"/>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bgColor indexed="64"/>
      </patternFill>
    </fill>
    <fill>
      <patternFill patternType="solid">
        <fgColor theme="9"/>
        <bgColor indexed="64"/>
      </patternFill>
    </fill>
    <fill>
      <patternFill patternType="solid">
        <fgColor rgb="FF003478"/>
        <bgColor indexed="64"/>
      </patternFill>
    </fill>
    <fill>
      <patternFill patternType="solid">
        <fgColor theme="4" tint="0.59999389629810485"/>
        <bgColor auto="1"/>
      </patternFill>
    </fill>
    <fill>
      <patternFill patternType="solid">
        <fgColor theme="7" tint="0.39997558519241921"/>
        <bgColor indexed="64"/>
      </patternFill>
    </fill>
  </fills>
  <borders count="141">
    <border>
      <left/>
      <right/>
      <top/>
      <bottom/>
      <diagonal/>
    </border>
    <border>
      <left/>
      <right/>
      <top/>
      <bottom style="thick">
        <color theme="4"/>
      </bottom>
      <diagonal/>
    </border>
    <border>
      <left/>
      <right/>
      <top/>
      <bottom style="thin">
        <color auto="1"/>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style="medium">
        <color rgb="FFBFBFBF"/>
      </left>
      <right/>
      <top style="medium">
        <color rgb="FFBFBFBF"/>
      </top>
      <bottom style="medium">
        <color rgb="FFBFBFBF"/>
      </bottom>
      <diagonal/>
    </border>
    <border>
      <left style="medium">
        <color rgb="FFBFBFBF"/>
      </left>
      <right style="medium">
        <color rgb="FFBFBFBF"/>
      </right>
      <top style="medium">
        <color rgb="FFBFBFBF"/>
      </top>
      <bottom style="medium">
        <color rgb="FFBFBFBF"/>
      </bottom>
      <diagonal/>
    </border>
    <border>
      <left/>
      <right/>
      <top/>
      <bottom style="thin">
        <color theme="4" tint="0.39997558519241921"/>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style="thin">
        <color auto="1"/>
      </right>
      <top/>
      <bottom/>
      <diagonal/>
    </border>
    <border>
      <left/>
      <right/>
      <top/>
      <bottom style="thick">
        <color rgb="FF000000"/>
      </bottom>
      <diagonal/>
    </border>
    <border>
      <left style="medium">
        <color rgb="FF000000"/>
      </left>
      <right style="medium">
        <color rgb="FF000000"/>
      </right>
      <top style="thick">
        <color rgb="FF000000"/>
      </top>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333333"/>
      </right>
      <top style="thick">
        <color rgb="FF000000"/>
      </top>
      <bottom style="medium">
        <color rgb="FF000000"/>
      </bottom>
      <diagonal/>
    </border>
    <border>
      <left style="medium">
        <color rgb="FF333333"/>
      </left>
      <right style="thick">
        <color rgb="FF000000"/>
      </right>
      <top style="thick">
        <color rgb="FF000000"/>
      </top>
      <bottom/>
      <diagonal/>
    </border>
    <border>
      <left style="medium">
        <color rgb="FF000000"/>
      </left>
      <right style="medium">
        <color rgb="FF000000"/>
      </right>
      <top/>
      <bottom style="thick">
        <color rgb="FF000000"/>
      </bottom>
      <diagonal/>
    </border>
    <border>
      <left/>
      <right style="medium">
        <color rgb="FF000000"/>
      </right>
      <top/>
      <bottom style="thick">
        <color rgb="FF000000"/>
      </bottom>
      <diagonal/>
    </border>
    <border>
      <left/>
      <right style="medium">
        <color rgb="FF000000"/>
      </right>
      <top style="medium">
        <color rgb="FF000000"/>
      </top>
      <bottom style="thick">
        <color rgb="FF000000"/>
      </bottom>
      <diagonal/>
    </border>
    <border>
      <left/>
      <right style="medium">
        <color rgb="FF333333"/>
      </right>
      <top style="medium">
        <color rgb="FF000000"/>
      </top>
      <bottom style="thick">
        <color rgb="FF000000"/>
      </bottom>
      <diagonal/>
    </border>
    <border>
      <left style="medium">
        <color rgb="FF333333"/>
      </left>
      <right style="thick">
        <color rgb="FF000000"/>
      </right>
      <top/>
      <bottom style="medium">
        <color rgb="FF333333"/>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ck">
        <color rgb="FF000000"/>
      </right>
      <top/>
      <bottom style="medium">
        <color rgb="FF000000"/>
      </bottom>
      <diagonal/>
    </border>
    <border>
      <left/>
      <right style="thick">
        <color rgb="FFFFFFFF"/>
      </right>
      <top/>
      <bottom/>
      <diagonal/>
    </border>
    <border>
      <left style="thick">
        <color rgb="FFFFFFFF"/>
      </left>
      <right style="thick">
        <color rgb="FFFFFFFF"/>
      </right>
      <top/>
      <bottom/>
      <diagonal/>
    </border>
    <border>
      <left/>
      <right style="thick">
        <color rgb="FFFFFFFF"/>
      </right>
      <top/>
      <bottom style="thick">
        <color rgb="FFFFFFFF"/>
      </bottom>
      <diagonal/>
    </border>
    <border>
      <left style="thick">
        <color rgb="FFFFFFFF"/>
      </left>
      <right style="thick">
        <color rgb="FFFFFFFF"/>
      </right>
      <top/>
      <bottom style="thick">
        <color rgb="FFFFFFFF"/>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rgb="FFDDD9C3"/>
      </left>
      <right style="medium">
        <color rgb="FFDDD9C3"/>
      </right>
      <top style="medium">
        <color rgb="FFDDD9C3"/>
      </top>
      <bottom/>
      <diagonal/>
    </border>
    <border>
      <left style="medium">
        <color rgb="FFDDD9C3"/>
      </left>
      <right/>
      <top style="medium">
        <color rgb="FFDDD9C3"/>
      </top>
      <bottom style="medium">
        <color rgb="FFDDD9C3"/>
      </bottom>
      <diagonal/>
    </border>
    <border>
      <left/>
      <right style="medium">
        <color rgb="FFDDD9C3"/>
      </right>
      <top style="medium">
        <color rgb="FFDDD9C3"/>
      </top>
      <bottom style="medium">
        <color rgb="FFDDD9C3"/>
      </bottom>
      <diagonal/>
    </border>
    <border>
      <left style="medium">
        <color rgb="FFDDD9C3"/>
      </left>
      <right style="medium">
        <color rgb="FFDDD9C3"/>
      </right>
      <top/>
      <bottom style="medium">
        <color rgb="FFDDD9C3"/>
      </bottom>
      <diagonal/>
    </border>
    <border>
      <left/>
      <right style="medium">
        <color rgb="FFDDD9C3"/>
      </right>
      <top/>
      <bottom style="medium">
        <color rgb="FFDDD9C3"/>
      </bottom>
      <diagonal/>
    </border>
    <border>
      <left style="medium">
        <color rgb="FFD0CECE"/>
      </left>
      <right style="medium">
        <color rgb="FFD0CECE"/>
      </right>
      <top/>
      <bottom style="medium">
        <color rgb="FFD0CECE"/>
      </bottom>
      <diagonal/>
    </border>
    <border>
      <left/>
      <right style="medium">
        <color rgb="FFD0CECE"/>
      </right>
      <top/>
      <bottom style="medium">
        <color rgb="FFD0CECE"/>
      </bottom>
      <diagonal/>
    </border>
    <border>
      <left style="medium">
        <color rgb="FFD0CECE"/>
      </left>
      <right style="medium">
        <color rgb="FFD0CECE"/>
      </right>
      <top style="medium">
        <color rgb="FFD0CECE"/>
      </top>
      <bottom style="medium">
        <color rgb="FFD0CECE"/>
      </bottom>
      <diagonal/>
    </border>
    <border>
      <left/>
      <right style="medium">
        <color rgb="FFD0CECE"/>
      </right>
      <top style="medium">
        <color rgb="FFD0CECE"/>
      </top>
      <bottom style="medium">
        <color rgb="FFD0CECE"/>
      </bottom>
      <diagonal/>
    </border>
    <border>
      <left style="thin">
        <color indexed="64"/>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rgb="FF55B3FF"/>
      </bottom>
      <diagonal/>
    </border>
    <border>
      <left style="medium">
        <color rgb="FFD0CECE"/>
      </left>
      <right style="medium">
        <color rgb="FFD0CECE"/>
      </right>
      <top style="medium">
        <color rgb="FFDDD9C3"/>
      </top>
      <bottom/>
      <diagonal/>
    </border>
    <border>
      <left style="medium">
        <color rgb="FFD0CECE"/>
      </left>
      <right style="medium">
        <color rgb="FFD0CECE"/>
      </right>
      <top/>
      <bottom/>
      <diagonal/>
    </border>
    <border>
      <left style="medium">
        <color rgb="FFDDD9C3"/>
      </left>
      <right style="medium">
        <color rgb="FFDDD9C3"/>
      </right>
      <top/>
      <bottom/>
      <diagonal/>
    </border>
    <border>
      <left style="medium">
        <color rgb="FFD0CECE"/>
      </left>
      <right style="medium">
        <color rgb="FFD0CECE"/>
      </right>
      <top style="medium">
        <color rgb="FFD0CECE"/>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auto="1"/>
      </left>
      <right style="medium">
        <color indexed="64"/>
      </right>
      <top style="thin">
        <color auto="1"/>
      </top>
      <bottom/>
      <diagonal/>
    </border>
    <border>
      <left/>
      <right/>
      <top style="thin">
        <color indexed="64"/>
      </top>
      <bottom/>
      <diagonal/>
    </border>
    <border>
      <left style="medium">
        <color rgb="FFBFBFBF"/>
      </left>
      <right style="medium">
        <color rgb="FFBFBFBF"/>
      </right>
      <top/>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7221">
    <xf numFmtId="0" fontId="0" fillId="0" borderId="0"/>
    <xf numFmtId="0" fontId="1" fillId="0" borderId="0" applyNumberFormat="0" applyFill="0" applyBorder="0" applyAlignment="0" applyProtection="0">
      <alignment vertical="top"/>
      <protection locked="0"/>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2"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5" fillId="0" borderId="0">
      <alignment wrapText="1"/>
    </xf>
    <xf numFmtId="0" fontId="6" fillId="0" borderId="0" applyNumberFormat="0" applyFont="0" applyBorder="0" applyProtection="0"/>
    <xf numFmtId="0" fontId="7" fillId="0" borderId="0">
      <alignmen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12" fillId="0" borderId="0" applyFont="0" applyFill="0" applyBorder="0" applyAlignment="0" applyProtection="0"/>
    <xf numFmtId="0" fontId="13" fillId="0" borderId="0"/>
    <xf numFmtId="43" fontId="13" fillId="0" borderId="0" applyFont="0" applyFill="0" applyBorder="0" applyAlignment="0" applyProtection="0"/>
    <xf numFmtId="0" fontId="23" fillId="0" borderId="0">
      <alignment wrapText="1"/>
    </xf>
    <xf numFmtId="0" fontId="5" fillId="0" borderId="0"/>
    <xf numFmtId="0" fontId="29"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13" fillId="0" borderId="0"/>
    <xf numFmtId="9" fontId="5" fillId="0" borderId="0" applyFont="0" applyFill="0" applyBorder="0" applyAlignment="0" applyProtection="0"/>
    <xf numFmtId="0" fontId="5" fillId="0" borderId="0"/>
    <xf numFmtId="0" fontId="5" fillId="0" borderId="0"/>
    <xf numFmtId="0" fontId="4" fillId="0" borderId="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12"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12"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12"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2" fillId="2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2" fillId="2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2" fillId="2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2" fillId="28"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2" fillId="28"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2" fillId="28"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2" fillId="3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2" fillId="3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2" fillId="3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2"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2"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2"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2" fillId="4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2" fillId="4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2" fillId="4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2" fillId="2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2" fillId="2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2" fillId="2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12" fillId="25"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12" fillId="25"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12" fillId="25"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2" fillId="2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2" fillId="2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2" fillId="2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2" fillId="33"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2" fillId="33"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2" fillId="33"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2" fillId="37"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2" fillId="37"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2" fillId="37"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2"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2"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2"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30" fillId="22"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30" fillId="22"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30" fillId="26"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30" fillId="26"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30" fillId="3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30" fillId="3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30" fillId="34"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30" fillId="34"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30" fillId="38"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30" fillId="38"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30" fillId="42"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30" fillId="42"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0" fillId="1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0" fillId="1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30" fillId="23"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30" fillId="23"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0" fillId="2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0" fillId="2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30" fillId="31"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30" fillId="31"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30" fillId="35"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30" fillId="35"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30" fillId="3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30" fillId="3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35" fillId="2"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35" fillId="2"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39" fillId="16" borderId="5"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39" fillId="16" borderId="5"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8" fillId="17" borderId="8"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8" fillId="17" borderId="8"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0" fontId="46" fillId="61" borderId="12" applyNumberFormat="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48"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170" fontId="48" fillId="0" borderId="0" applyFont="0" applyFill="0" applyBorder="0" applyAlignment="0" applyProtection="0"/>
    <xf numFmtId="0" fontId="5" fillId="62" borderId="0" applyNumberFormat="0" applyAlignment="0">
      <alignment horizontal="right"/>
    </xf>
    <xf numFmtId="0" fontId="5" fillId="63" borderId="0" applyNumberFormat="0" applyAlignment="0"/>
    <xf numFmtId="0" fontId="48" fillId="0" borderId="0" applyFont="0" applyFill="0" applyBorder="0" applyAlignment="0" applyProtection="0"/>
    <xf numFmtId="171" fontId="49"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2" fontId="48" fillId="0" borderId="0" applyFont="0" applyFill="0" applyBorder="0" applyAlignment="0" applyProtection="0"/>
    <xf numFmtId="0" fontId="51" fillId="0" borderId="0" applyFont="0" applyFill="0" applyBorder="0" applyAlignment="0" applyProtection="0">
      <alignment horizontal="left"/>
    </xf>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34" fillId="13"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34" fillId="13"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3" fillId="0" borderId="0">
      <alignment horizontal="center" wrapText="1"/>
    </xf>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31" fillId="0" borderId="1"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31" fillId="0" borderId="1"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4" fillId="0" borderId="13"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32" fillId="0" borderId="3"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32" fillId="0" borderId="3"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5" fillId="0" borderId="14"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33" fillId="0" borderId="4"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33" fillId="0" borderId="4"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15"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3"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3"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37" fillId="15" borderId="5"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37" fillId="15" borderId="5"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40" fillId="0" borderId="7"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40" fillId="0" borderId="7"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172" fontId="5" fillId="0" borderId="0"/>
    <xf numFmtId="172" fontId="5" fillId="0" borderId="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36" fillId="1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36" fillId="1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37" fontId="61" fillId="0" borderId="0" applyNumberFormat="0" applyFill="0" applyBorder="0"/>
    <xf numFmtId="168" fontId="62" fillId="0" borderId="0" applyFont="0" applyAlignment="0" applyProtection="0"/>
    <xf numFmtId="168" fontId="62" fillId="0" borderId="0" applyFont="0" applyAlignment="0" applyProtection="0"/>
    <xf numFmtId="168" fontId="62" fillId="0" borderId="0" applyFont="0" applyAlignment="0" applyProtection="0"/>
    <xf numFmtId="168" fontId="62" fillId="0" borderId="0" applyFont="0" applyAlignment="0" applyProtection="0"/>
    <xf numFmtId="168" fontId="62" fillId="0" borderId="0" applyFont="0" applyAlignment="0" applyProtection="0"/>
    <xf numFmtId="168" fontId="62" fillId="0" borderId="0" applyFont="0" applyAlignment="0" applyProtection="0"/>
    <xf numFmtId="168" fontId="62" fillId="0" borderId="0" applyFont="0" applyAlignment="0" applyProtection="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4" fillId="0" borderId="0"/>
    <xf numFmtId="0" fontId="12"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7" fillId="0" borderId="0"/>
    <xf numFmtId="0" fontId="12"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12"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47" fillId="0" borderId="0"/>
    <xf numFmtId="0" fontId="12" fillId="0" borderId="0"/>
    <xf numFmtId="0" fontId="5" fillId="0" borderId="0"/>
    <xf numFmtId="0" fontId="12" fillId="0" borderId="0"/>
    <xf numFmtId="0" fontId="12"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3" fillId="0" borderId="0"/>
    <xf numFmtId="0" fontId="47" fillId="0" borderId="0"/>
    <xf numFmtId="0" fontId="13" fillId="0" borderId="0"/>
    <xf numFmtId="0" fontId="47" fillId="0" borderId="0"/>
    <xf numFmtId="0" fontId="5" fillId="0" borderId="0"/>
    <xf numFmtId="0" fontId="5"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13" fillId="0" borderId="0"/>
    <xf numFmtId="0" fontId="12" fillId="0" borderId="0"/>
    <xf numFmtId="0" fontId="13"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7"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12" fillId="0" borderId="0"/>
    <xf numFmtId="0" fontId="12" fillId="0" borderId="0"/>
    <xf numFmtId="0" fontId="12" fillId="0" borderId="0"/>
    <xf numFmtId="0" fontId="5" fillId="0" borderId="0"/>
    <xf numFmtId="0" fontId="12" fillId="0" borderId="0"/>
    <xf numFmtId="0" fontId="5" fillId="0" borderId="0"/>
    <xf numFmtId="0" fontId="5" fillId="0" borderId="0"/>
    <xf numFmtId="0" fontId="12" fillId="0" borderId="0"/>
    <xf numFmtId="0" fontId="5"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5" fillId="0" borderId="0"/>
    <xf numFmtId="0" fontId="5" fillId="0" borderId="0"/>
    <xf numFmtId="0" fontId="13"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12" fillId="18" borderId="9"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12" fillId="18" borderId="9"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12" fillId="18" borderId="9"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12" fillId="18" borderId="9"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12" fillId="18" borderId="9"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12" fillId="18" borderId="9"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38" fillId="16" borderId="6"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38" fillId="16" borderId="6"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64"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28" fillId="0" borderId="10"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28" fillId="0" borderId="10"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173" fontId="67" fillId="0" borderId="0">
      <alignment horizontal="left"/>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wrapText="1"/>
    </xf>
    <xf numFmtId="43" fontId="5" fillId="0" borderId="0" applyFont="0" applyFill="0" applyBorder="0" applyAlignment="0" applyProtection="0">
      <alignment wrapText="1"/>
    </xf>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39" fillId="16" borderId="5"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39" fillId="16" borderId="5"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45" fillId="60" borderId="11" applyNumberFormat="0" applyAlignment="0" applyProtection="0"/>
    <xf numFmtId="0" fontId="8" fillId="17" borderId="8" applyNumberFormat="0" applyAlignment="0" applyProtection="0"/>
    <xf numFmtId="0" fontId="8" fillId="17" borderId="8" applyNumberFormat="0" applyAlignment="0" applyProtection="0"/>
    <xf numFmtId="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NumberFormat="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166"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5" fontId="25" fillId="0" borderId="0"/>
    <xf numFmtId="4" fontId="25" fillId="0" borderId="0"/>
    <xf numFmtId="167" fontId="25" fillId="0" borderId="0"/>
    <xf numFmtId="0" fontId="41" fillId="0" borderId="0" applyNumberFormat="0" applyFill="0" applyBorder="0" applyAlignment="0" applyProtection="0"/>
    <xf numFmtId="0" fontId="41" fillId="0" borderId="0" applyNumberFormat="0" applyFill="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1" fillId="0" borderId="1" applyNumberFormat="0" applyFill="0" applyAlignment="0" applyProtection="0"/>
    <xf numFmtId="0" fontId="31" fillId="0" borderId="1"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42" fillId="0" borderId="0">
      <alignment horizontal="center"/>
    </xf>
    <xf numFmtId="0" fontId="69" fillId="0" borderId="0">
      <alignment horizontal="center"/>
    </xf>
    <xf numFmtId="0" fontId="70" fillId="0" borderId="0">
      <alignment horizontal="center"/>
    </xf>
    <xf numFmtId="0" fontId="26" fillId="0" borderId="0">
      <alignment horizontal="center"/>
    </xf>
    <xf numFmtId="0" fontId="57" fillId="0" borderId="0" applyNumberFormat="0" applyFill="0" applyBorder="0" applyAlignment="0" applyProtection="0">
      <alignment vertical="top"/>
      <protection locked="0"/>
    </xf>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37" fillId="15" borderId="5"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37" fillId="15" borderId="5"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58" fillId="48" borderId="11" applyNumberFormat="0" applyAlignment="0" applyProtection="0"/>
    <xf numFmtId="0" fontId="40" fillId="0" borderId="7" applyNumberFormat="0" applyFill="0" applyAlignment="0" applyProtection="0"/>
    <xf numFmtId="0" fontId="40" fillId="0" borderId="7" applyNumberFormat="0" applyFill="0" applyAlignment="0" applyProtection="0"/>
    <xf numFmtId="0" fontId="36" fillId="14" borderId="0" applyNumberFormat="0" applyBorder="0" applyAlignment="0" applyProtection="0"/>
    <xf numFmtId="0" fontId="36" fillId="14" borderId="0" applyNumberFormat="0" applyBorder="0" applyAlignment="0" applyProtection="0"/>
    <xf numFmtId="0" fontId="13"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12" fillId="0" borderId="0"/>
    <xf numFmtId="0" fontId="12" fillId="0" borderId="0"/>
    <xf numFmtId="0" fontId="12" fillId="0" borderId="0"/>
    <xf numFmtId="0" fontId="12" fillId="0" borderId="0"/>
    <xf numFmtId="0" fontId="12" fillId="0" borderId="0"/>
    <xf numFmtId="0" fontId="4" fillId="0" borderId="0"/>
    <xf numFmtId="0" fontId="12" fillId="0" borderId="0"/>
    <xf numFmtId="0" fontId="12" fillId="0" borderId="0"/>
    <xf numFmtId="0" fontId="4" fillId="0" borderId="0"/>
    <xf numFmtId="0" fontId="12" fillId="0" borderId="0"/>
    <xf numFmtId="0" fontId="4" fillId="0" borderId="0"/>
    <xf numFmtId="0" fontId="12" fillId="0" borderId="0"/>
    <xf numFmtId="0" fontId="12" fillId="0" borderId="0"/>
    <xf numFmtId="0" fontId="4" fillId="0" borderId="0"/>
    <xf numFmtId="0" fontId="4" fillId="0" borderId="0"/>
    <xf numFmtId="0" fontId="12"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5" fillId="0" borderId="0"/>
    <xf numFmtId="0" fontId="12" fillId="0" borderId="0"/>
    <xf numFmtId="0" fontId="12" fillId="0" borderId="0"/>
    <xf numFmtId="0" fontId="5" fillId="0" borderId="0"/>
    <xf numFmtId="0" fontId="12" fillId="0" borderId="0"/>
    <xf numFmtId="0" fontId="5" fillId="0" borderId="0"/>
    <xf numFmtId="0" fontId="12" fillId="0" borderId="0"/>
    <xf numFmtId="0" fontId="4" fillId="0" borderId="0"/>
    <xf numFmtId="0" fontId="13" fillId="0" borderId="0"/>
    <xf numFmtId="0" fontId="4" fillId="0" borderId="0"/>
    <xf numFmtId="0" fontId="13" fillId="0" borderId="0"/>
    <xf numFmtId="0" fontId="12" fillId="0" borderId="0"/>
    <xf numFmtId="0" fontId="12" fillId="0" borderId="0"/>
    <xf numFmtId="0" fontId="4" fillId="0" borderId="0"/>
    <xf numFmtId="0" fontId="4" fillId="0" borderId="0"/>
    <xf numFmtId="0" fontId="13"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12" fillId="18" borderId="9"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12" fillId="18" borderId="9" applyNumberFormat="0" applyFont="0" applyAlignment="0" applyProtection="0"/>
    <xf numFmtId="0" fontId="5"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4"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5" fillId="65" borderId="17" applyNumberFormat="0" applyFon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38" fillId="16" borderId="6"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38" fillId="16" borderId="6"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0" fontId="63" fillId="60" borderId="18" applyNumberFormat="0" applyAlignment="0" applyProtection="0"/>
    <xf numFmtId="9" fontId="5" fillId="0" borderId="0" applyFont="0" applyFill="0" applyBorder="0" applyAlignment="0" applyProtection="0"/>
    <xf numFmtId="174" fontId="5" fillId="0" borderId="0" applyFont="0" applyFill="0" applyBorder="0" applyAlignment="0" applyProtection="0"/>
    <xf numFmtId="174" fontId="25" fillId="0" borderId="0">
      <alignment horizontal="right"/>
    </xf>
    <xf numFmtId="10" fontId="25" fillId="0" borderId="0">
      <alignment horizontal="right"/>
    </xf>
    <xf numFmtId="174" fontId="25" fillId="0" borderId="0">
      <alignment horizontal="centerContinuous"/>
    </xf>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64" fillId="0" borderId="0"/>
    <xf numFmtId="0" fontId="5" fillId="0" borderId="0">
      <alignment horizontal="left"/>
    </xf>
    <xf numFmtId="0" fontId="25" fillId="0" borderId="0">
      <alignment horizontal="left"/>
    </xf>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28" fillId="0" borderId="10"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28" fillId="0" borderId="10"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wrapText="1"/>
    </xf>
    <xf numFmtId="43" fontId="5" fillId="0" borderId="0" applyFont="0" applyFill="0" applyBorder="0" applyAlignment="0" applyProtection="0">
      <alignment wrapText="1"/>
    </xf>
    <xf numFmtId="43" fontId="5" fillId="0" borderId="0" applyFont="0" applyFill="0" applyBorder="0" applyAlignment="0" applyProtection="0"/>
    <xf numFmtId="0" fontId="5" fillId="0" borderId="0">
      <alignment wrapText="1"/>
    </xf>
    <xf numFmtId="43" fontId="5" fillId="0" borderId="0" applyFont="0" applyFill="0" applyBorder="0" applyAlignment="0" applyProtection="0">
      <alignment wrapText="1"/>
    </xf>
    <xf numFmtId="0" fontId="5" fillId="0" borderId="0">
      <alignment wrapText="1"/>
    </xf>
    <xf numFmtId="0" fontId="71" fillId="0" borderId="0"/>
    <xf numFmtId="43" fontId="71" fillId="0" borderId="0" applyFont="0" applyFill="0" applyBorder="0" applyAlignment="0" applyProtection="0"/>
    <xf numFmtId="44" fontId="12" fillId="0" borderId="0" applyFont="0" applyFill="0" applyBorder="0" applyAlignment="0" applyProtection="0"/>
    <xf numFmtId="44" fontId="47"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76" fillId="0" borderId="0"/>
    <xf numFmtId="43" fontId="76" fillId="0" borderId="0" applyFont="0" applyFill="0" applyBorder="0" applyAlignment="0" applyProtection="0"/>
    <xf numFmtId="9" fontId="76" fillId="0" borderId="0" applyFont="0" applyFill="0" applyBorder="0" applyAlignment="0" applyProtection="0"/>
    <xf numFmtId="44" fontId="76" fillId="0" borderId="0" applyFont="0" applyFill="0" applyBorder="0" applyAlignment="0" applyProtection="0"/>
    <xf numFmtId="0" fontId="83" fillId="0" borderId="0"/>
    <xf numFmtId="9" fontId="83" fillId="0" borderId="0" applyFont="0" applyFill="0" applyBorder="0" applyAlignment="0" applyProtection="0"/>
    <xf numFmtId="49" fontId="84" fillId="9" borderId="25">
      <alignment horizontal="center" vertical="center" wrapText="1" readingOrder="1"/>
    </xf>
    <xf numFmtId="0" fontId="30" fillId="39" borderId="0" applyNumberFormat="0" applyBorder="0" applyAlignment="0" applyProtection="0"/>
    <xf numFmtId="0" fontId="27" fillId="0" borderId="0"/>
    <xf numFmtId="175" fontId="27" fillId="0" borderId="0" applyFill="0" applyProtection="0"/>
    <xf numFmtId="9" fontId="74" fillId="0" borderId="0">
      <alignment horizontal="right" vertical="center" wrapText="1" readingOrder="1"/>
    </xf>
    <xf numFmtId="0" fontId="12" fillId="0" borderId="0"/>
    <xf numFmtId="0" fontId="81" fillId="0" borderId="0"/>
    <xf numFmtId="0" fontId="91" fillId="0" borderId="0" applyNumberFormat="0" applyFill="0" applyBorder="0" applyAlignment="0" applyProtection="0"/>
    <xf numFmtId="0" fontId="49" fillId="0" borderId="0"/>
    <xf numFmtId="44" fontId="5" fillId="0" borderId="0" applyFont="0" applyFill="0" applyBorder="0" applyAlignment="0" applyProtection="0"/>
    <xf numFmtId="43" fontId="49" fillId="0" borderId="0" applyFont="0" applyFill="0" applyBorder="0" applyAlignment="0" applyProtection="0"/>
    <xf numFmtId="0" fontId="97" fillId="0" borderId="0"/>
    <xf numFmtId="0" fontId="93" fillId="0" borderId="0"/>
    <xf numFmtId="0" fontId="98" fillId="0" borderId="0" applyNumberFormat="0" applyFill="0" applyBorder="0" applyAlignment="0" applyProtection="0">
      <alignment vertical="top"/>
      <protection locked="0"/>
    </xf>
    <xf numFmtId="9" fontId="93" fillId="0" borderId="0" applyFont="0" applyFill="0" applyBorder="0" applyAlignment="0" applyProtection="0"/>
    <xf numFmtId="164" fontId="74" fillId="0" borderId="0">
      <alignment horizontal="right" vertical="center" wrapText="1" readingOrder="1"/>
    </xf>
    <xf numFmtId="9" fontId="74" fillId="0" borderId="0">
      <alignment horizontal="right" vertical="center" wrapText="1" readingOrder="1"/>
    </xf>
    <xf numFmtId="49" fontId="118" fillId="87" borderId="25" applyNumberFormat="0">
      <alignment vertical="center" wrapText="1" readingOrder="1"/>
    </xf>
    <xf numFmtId="49" fontId="119" fillId="83" borderId="25">
      <alignment horizontal="center" vertical="center" wrapText="1" readingOrder="1"/>
    </xf>
    <xf numFmtId="49" fontId="74" fillId="0" borderId="25">
      <alignment horizontal="left" vertical="center" wrapText="1" readingOrder="1"/>
    </xf>
    <xf numFmtId="0" fontId="74" fillId="0" borderId="25">
      <alignment horizontal="right" vertical="center" wrapText="1" readingOrder="1"/>
    </xf>
    <xf numFmtId="3" fontId="74" fillId="0" borderId="25">
      <alignment horizontal="right" vertical="center" wrapText="1" readingOrder="1"/>
    </xf>
    <xf numFmtId="4" fontId="74" fillId="0" borderId="25">
      <alignment horizontal="right" vertical="center" wrapText="1" readingOrder="1"/>
    </xf>
    <xf numFmtId="175" fontId="27" fillId="0" borderId="0" applyFill="0" applyProtection="0"/>
    <xf numFmtId="175" fontId="27" fillId="0" borderId="61" applyFill="0" applyProtection="0"/>
    <xf numFmtId="9" fontId="74" fillId="0" borderId="61">
      <alignment horizontal="right" vertical="center" wrapText="1" readingOrder="1"/>
    </xf>
    <xf numFmtId="164" fontId="74" fillId="0" borderId="61">
      <alignment horizontal="right" vertical="center" wrapText="1" readingOrder="1"/>
    </xf>
    <xf numFmtId="0" fontId="32" fillId="0" borderId="76" applyNumberFormat="0" applyFill="0" applyAlignment="0" applyProtection="0"/>
    <xf numFmtId="49" fontId="120" fillId="9" borderId="25">
      <alignment horizontal="center" vertical="center" wrapText="1" readingOrder="1"/>
    </xf>
    <xf numFmtId="0" fontId="121" fillId="0" borderId="0" applyNumberFormat="0" applyFill="0" applyBorder="0" applyAlignment="0" applyProtection="0"/>
    <xf numFmtId="0" fontId="121" fillId="0" borderId="0" applyNumberFormat="0" applyFill="0" applyBorder="0" applyAlignment="0" applyProtection="0"/>
    <xf numFmtId="0" fontId="27" fillId="0" borderId="0"/>
    <xf numFmtId="0" fontId="91" fillId="0" borderId="0" applyNumberFormat="0" applyFill="0" applyBorder="0" applyAlignment="0" applyProtection="0"/>
    <xf numFmtId="0" fontId="91" fillId="0" borderId="0" applyNumberFormat="0" applyFill="0" applyBorder="0" applyAlignment="0" applyProtection="0"/>
    <xf numFmtId="0" fontId="109" fillId="0" borderId="0"/>
    <xf numFmtId="0" fontId="5" fillId="0" borderId="0">
      <alignment wrapText="1"/>
    </xf>
    <xf numFmtId="0" fontId="5" fillId="0" borderId="0">
      <alignment wrapText="1"/>
    </xf>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45" fillId="60"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8" fillId="48" borderId="110" applyNumberForma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4"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5" fillId="65" borderId="111" applyNumberFormat="0" applyFon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3" fillId="60" borderId="112" applyNumberFormat="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66" fillId="0" borderId="113" applyNumberFormat="0" applyFill="0" applyAlignment="0" applyProtection="0"/>
    <xf numFmtId="0" fontId="5" fillId="65" borderId="119" applyNumberFormat="0" applyFont="0" applyAlignment="0" applyProtection="0"/>
    <xf numFmtId="0" fontId="5" fillId="65" borderId="119" applyNumberFormat="0" applyFont="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6" fillId="0" borderId="121" applyNumberFormat="0" applyFill="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63" fillId="60" borderId="120" applyNumberForma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58" fillId="48"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 fillId="65" borderId="119" applyNumberFormat="0" applyFont="0" applyAlignment="0" applyProtection="0"/>
    <xf numFmtId="0" fontId="66" fillId="0" borderId="121" applyNumberFormat="0" applyFill="0" applyAlignment="0" applyProtection="0"/>
    <xf numFmtId="0" fontId="66" fillId="0" borderId="121" applyNumberFormat="0" applyFill="0" applyAlignment="0" applyProtection="0"/>
    <xf numFmtId="0" fontId="63" fillId="60" borderId="120" applyNumberFormat="0" applyAlignment="0" applyProtection="0"/>
    <xf numFmtId="0" fontId="63" fillId="60" borderId="120" applyNumberForma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8" fillId="48" borderId="118" applyNumberFormat="0" applyAlignment="0" applyProtection="0"/>
    <xf numFmtId="0" fontId="45" fillId="60" borderId="118" applyNumberFormat="0" applyAlignment="0" applyProtection="0"/>
    <xf numFmtId="0" fontId="45" fillId="60" borderId="118" applyNumberFormat="0" applyAlignment="0" applyProtection="0"/>
    <xf numFmtId="0" fontId="66" fillId="0" borderId="121" applyNumberFormat="0" applyFill="0" applyAlignment="0" applyProtection="0"/>
    <xf numFmtId="0" fontId="66" fillId="0" borderId="121" applyNumberFormat="0" applyFill="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8" fillId="48"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5" fillId="60" borderId="118" applyNumberFormat="0" applyAlignment="0" applyProtection="0"/>
    <xf numFmtId="0" fontId="4"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5" fillId="65" borderId="119" applyNumberFormat="0" applyFont="0" applyAlignment="0" applyProtection="0"/>
    <xf numFmtId="0" fontId="4" fillId="65" borderId="119" applyNumberFormat="0" applyFont="0" applyAlignment="0" applyProtection="0"/>
    <xf numFmtId="0" fontId="4" fillId="65" borderId="119" applyNumberFormat="0" applyFon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45" fillId="60"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8" fillId="48" borderId="114" applyNumberForma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4"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5" fillId="65" borderId="115" applyNumberFormat="0" applyFon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3" fillId="60" borderId="116" applyNumberFormat="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66" fillId="0" borderId="117" applyNumberFormat="0" applyFill="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45" fillId="60"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8" fillId="48" borderId="122" applyNumberForma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4"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5" fillId="65" borderId="123" applyNumberFormat="0" applyFon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3" fillId="60" borderId="124" applyNumberFormat="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xf numFmtId="0" fontId="66" fillId="0" borderId="125" applyNumberFormat="0" applyFill="0" applyAlignment="0" applyProtection="0"/>
  </cellStyleXfs>
  <cellXfs count="1470">
    <xf numFmtId="0" fontId="0" fillId="0" borderId="0" xfId="0"/>
    <xf numFmtId="0" fontId="14" fillId="0" borderId="0" xfId="133" applyFont="1"/>
    <xf numFmtId="0" fontId="13" fillId="0" borderId="0" xfId="133"/>
    <xf numFmtId="0" fontId="13" fillId="0" borderId="0" xfId="133" applyAlignment="1">
      <alignment horizontal="center" vertical="center"/>
    </xf>
    <xf numFmtId="0" fontId="15" fillId="0" borderId="0" xfId="133" applyFont="1"/>
    <xf numFmtId="0" fontId="16" fillId="0" borderId="0" xfId="133" applyFont="1"/>
    <xf numFmtId="0" fontId="16" fillId="0" borderId="0" xfId="133" applyFont="1" applyAlignment="1">
      <alignment horizontal="center" vertical="center"/>
    </xf>
    <xf numFmtId="0" fontId="16" fillId="0" borderId="0" xfId="133" applyFont="1" applyAlignment="1">
      <alignment horizontal="center"/>
    </xf>
    <xf numFmtId="0" fontId="17" fillId="0" borderId="0" xfId="133" applyFont="1"/>
    <xf numFmtId="0" fontId="13" fillId="0" borderId="0" xfId="133" applyAlignment="1">
      <alignment horizontal="center"/>
    </xf>
    <xf numFmtId="0" fontId="5" fillId="0" borderId="0" xfId="133" applyFont="1"/>
    <xf numFmtId="0" fontId="24" fillId="0" borderId="2" xfId="0" applyFont="1" applyBorder="1" applyAlignment="1">
      <alignment vertical="top"/>
    </xf>
    <xf numFmtId="168" fontId="0" fillId="0" borderId="0" xfId="0" applyNumberFormat="1"/>
    <xf numFmtId="0" fontId="72" fillId="0" borderId="0" xfId="133" applyFont="1"/>
    <xf numFmtId="0" fontId="73" fillId="0" borderId="0" xfId="133" applyFont="1"/>
    <xf numFmtId="0" fontId="28" fillId="12" borderId="26" xfId="0" applyFont="1" applyFill="1" applyBorder="1"/>
    <xf numFmtId="0" fontId="28" fillId="0" borderId="26" xfId="0" applyFont="1" applyBorder="1" applyAlignment="1">
      <alignment horizontal="left"/>
    </xf>
    <xf numFmtId="0" fontId="0" fillId="0" borderId="0" xfId="0" applyAlignment="1">
      <alignment horizontal="left" indent="1"/>
    </xf>
    <xf numFmtId="0" fontId="13" fillId="0" borderId="0" xfId="133" applyAlignment="1">
      <alignment horizontal="left" vertical="center"/>
    </xf>
    <xf numFmtId="0" fontId="13" fillId="0" borderId="0" xfId="133" applyAlignment="1">
      <alignment vertical="center"/>
    </xf>
    <xf numFmtId="0" fontId="13" fillId="0" borderId="0" xfId="133" applyAlignment="1">
      <alignment horizontal="right" vertical="center"/>
    </xf>
    <xf numFmtId="168" fontId="0" fillId="0" borderId="0" xfId="132" applyNumberFormat="1" applyFont="1"/>
    <xf numFmtId="0" fontId="28" fillId="0" borderId="0" xfId="0" applyFont="1"/>
    <xf numFmtId="9" fontId="0" fillId="0" borderId="0" xfId="0" applyNumberFormat="1"/>
    <xf numFmtId="9" fontId="0" fillId="0" borderId="0" xfId="4416" applyFont="1"/>
    <xf numFmtId="44" fontId="0" fillId="0" borderId="0" xfId="4417" applyFont="1"/>
    <xf numFmtId="2" fontId="0" fillId="0" borderId="0" xfId="0" applyNumberFormat="1"/>
    <xf numFmtId="0" fontId="27" fillId="0" borderId="0" xfId="4426"/>
    <xf numFmtId="177" fontId="27" fillId="0" borderId="0" xfId="4426" applyNumberFormat="1" applyAlignment="1">
      <alignment horizontal="right"/>
    </xf>
    <xf numFmtId="176" fontId="27" fillId="0" borderId="0" xfId="4426" applyNumberFormat="1" applyAlignment="1">
      <alignment horizontal="right"/>
    </xf>
    <xf numFmtId="43" fontId="0" fillId="0" borderId="0" xfId="132" applyFont="1"/>
    <xf numFmtId="0" fontId="29" fillId="0" borderId="0" xfId="137"/>
    <xf numFmtId="0" fontId="86" fillId="0" borderId="50" xfId="137" applyFont="1" applyBorder="1" applyAlignment="1">
      <alignment horizontal="center" vertical="center" wrapText="1"/>
    </xf>
    <xf numFmtId="0" fontId="86" fillId="0" borderId="51" xfId="137" applyFont="1" applyBorder="1" applyAlignment="1">
      <alignment horizontal="center" vertical="center" wrapText="1"/>
    </xf>
    <xf numFmtId="0" fontId="86" fillId="0" borderId="52" xfId="137" applyFont="1" applyBorder="1" applyAlignment="1">
      <alignment horizontal="center" vertical="center" wrapText="1"/>
    </xf>
    <xf numFmtId="0" fontId="88" fillId="0" borderId="54" xfId="137" applyFont="1" applyBorder="1" applyAlignment="1">
      <alignment vertical="center" wrapText="1"/>
    </xf>
    <xf numFmtId="3" fontId="88" fillId="0" borderId="55" xfId="137" applyNumberFormat="1" applyFont="1" applyBorder="1" applyAlignment="1">
      <alignment horizontal="right" vertical="center" wrapText="1"/>
    </xf>
    <xf numFmtId="3" fontId="88" fillId="0" borderId="56" xfId="137" applyNumberFormat="1" applyFont="1" applyBorder="1" applyAlignment="1">
      <alignment horizontal="left" vertical="center" wrapText="1" indent="3"/>
    </xf>
    <xf numFmtId="0" fontId="88" fillId="0" borderId="55" xfId="137" applyFont="1" applyBorder="1" applyAlignment="1">
      <alignment horizontal="right" vertical="center" wrapText="1"/>
    </xf>
    <xf numFmtId="0" fontId="88" fillId="0" borderId="56" xfId="137" applyFont="1" applyBorder="1" applyAlignment="1">
      <alignment horizontal="right" vertical="center" wrapText="1"/>
    </xf>
    <xf numFmtId="6" fontId="88" fillId="0" borderId="55" xfId="137" applyNumberFormat="1" applyFont="1" applyBorder="1" applyAlignment="1">
      <alignment horizontal="left" vertical="center" wrapText="1" indent="3"/>
    </xf>
    <xf numFmtId="6" fontId="88" fillId="0" borderId="55" xfId="137" applyNumberFormat="1" applyFont="1" applyBorder="1" applyAlignment="1">
      <alignment horizontal="left" vertical="center" wrapText="1" indent="4"/>
    </xf>
    <xf numFmtId="6" fontId="88" fillId="0" borderId="56" xfId="137" applyNumberFormat="1" applyFont="1" applyBorder="1" applyAlignment="1">
      <alignment horizontal="left" vertical="center" wrapText="1" indent="1"/>
    </xf>
    <xf numFmtId="6" fontId="88" fillId="0" borderId="56" xfId="137" applyNumberFormat="1" applyFont="1" applyBorder="1" applyAlignment="1">
      <alignment horizontal="left" vertical="center" wrapText="1" indent="2"/>
    </xf>
    <xf numFmtId="6" fontId="88" fillId="0" borderId="55" xfId="137" applyNumberFormat="1" applyFont="1" applyBorder="1" applyAlignment="1">
      <alignment horizontal="right" vertical="center" wrapText="1"/>
    </xf>
    <xf numFmtId="6" fontId="88" fillId="0" borderId="56" xfId="137" applyNumberFormat="1" applyFont="1" applyBorder="1" applyAlignment="1">
      <alignment horizontal="right" vertical="center" wrapText="1"/>
    </xf>
    <xf numFmtId="3" fontId="27" fillId="0" borderId="55" xfId="137" applyNumberFormat="1" applyFont="1" applyBorder="1" applyAlignment="1">
      <alignment horizontal="right" vertical="center" wrapText="1"/>
    </xf>
    <xf numFmtId="3" fontId="27" fillId="0" borderId="56" xfId="137" applyNumberFormat="1" applyFont="1" applyBorder="1" applyAlignment="1">
      <alignment horizontal="left" vertical="center" wrapText="1" indent="3"/>
    </xf>
    <xf numFmtId="0" fontId="27" fillId="0" borderId="55" xfId="137" applyFont="1" applyBorder="1" applyAlignment="1">
      <alignment horizontal="right" vertical="center" wrapText="1"/>
    </xf>
    <xf numFmtId="0" fontId="27" fillId="0" borderId="56" xfId="137" applyFont="1" applyBorder="1" applyAlignment="1">
      <alignment horizontal="right" vertical="center" wrapText="1"/>
    </xf>
    <xf numFmtId="6" fontId="27" fillId="0" borderId="55" xfId="137" applyNumberFormat="1" applyFont="1" applyBorder="1" applyAlignment="1">
      <alignment horizontal="left" vertical="center" wrapText="1" indent="3"/>
    </xf>
    <xf numFmtId="6" fontId="27" fillId="0" borderId="55" xfId="137" applyNumberFormat="1" applyFont="1" applyBorder="1" applyAlignment="1">
      <alignment horizontal="left" vertical="center" wrapText="1" indent="4"/>
    </xf>
    <xf numFmtId="6" fontId="27" fillId="0" borderId="56" xfId="137" applyNumberFormat="1" applyFont="1" applyBorder="1" applyAlignment="1">
      <alignment horizontal="left" vertical="center" wrapText="1" indent="1"/>
    </xf>
    <xf numFmtId="6" fontId="27" fillId="0" borderId="56" xfId="137" applyNumberFormat="1" applyFont="1" applyBorder="1" applyAlignment="1">
      <alignment horizontal="left" vertical="center" wrapText="1" indent="2"/>
    </xf>
    <xf numFmtId="6" fontId="27" fillId="0" borderId="55" xfId="137" applyNumberFormat="1" applyFont="1" applyBorder="1" applyAlignment="1">
      <alignment horizontal="right" vertical="center" wrapText="1"/>
    </xf>
    <xf numFmtId="6" fontId="27" fillId="0" borderId="56" xfId="137" applyNumberFormat="1" applyFont="1" applyBorder="1" applyAlignment="1">
      <alignment horizontal="right" vertical="center" wrapText="1"/>
    </xf>
    <xf numFmtId="0" fontId="89" fillId="0" borderId="0" xfId="0" applyFont="1"/>
    <xf numFmtId="0" fontId="90" fillId="77" borderId="57" xfId="0" applyFont="1" applyFill="1" applyBorder="1" applyAlignment="1">
      <alignment horizontal="center" vertical="center" wrapText="1"/>
    </xf>
    <xf numFmtId="0" fontId="92" fillId="77" borderId="57" xfId="4431" applyFont="1" applyFill="1" applyBorder="1" applyAlignment="1">
      <alignment horizontal="center" vertical="center" wrapText="1"/>
    </xf>
    <xf numFmtId="0" fontId="90" fillId="77" borderId="59" xfId="0" applyFont="1" applyFill="1" applyBorder="1" applyAlignment="1">
      <alignment horizontal="center" vertical="center" wrapText="1"/>
    </xf>
    <xf numFmtId="0" fontId="93" fillId="78" borderId="59" xfId="0" applyFont="1" applyFill="1" applyBorder="1" applyAlignment="1">
      <alignment horizontal="center" vertical="center" wrapText="1"/>
    </xf>
    <xf numFmtId="3" fontId="93" fillId="78" borderId="59" xfId="0" applyNumberFormat="1" applyFont="1" applyFill="1" applyBorder="1" applyAlignment="1">
      <alignment horizontal="center" vertical="center" wrapText="1"/>
    </xf>
    <xf numFmtId="0" fontId="93" fillId="79" borderId="59" xfId="0" applyFont="1" applyFill="1" applyBorder="1" applyAlignment="1">
      <alignment horizontal="center" vertical="center" wrapText="1"/>
    </xf>
    <xf numFmtId="3" fontId="93" fillId="79" borderId="59" xfId="0" applyNumberFormat="1" applyFont="1" applyFill="1" applyBorder="1" applyAlignment="1">
      <alignment horizontal="center" vertical="center" wrapText="1"/>
    </xf>
    <xf numFmtId="0" fontId="91" fillId="0" borderId="0" xfId="4431" applyAlignment="1">
      <alignment vertical="center"/>
    </xf>
    <xf numFmtId="0" fontId="0" fillId="0" borderId="0" xfId="0" applyAlignment="1">
      <alignment wrapText="1"/>
    </xf>
    <xf numFmtId="8" fontId="0" fillId="0" borderId="0" xfId="0" applyNumberFormat="1"/>
    <xf numFmtId="0" fontId="0" fillId="0" borderId="0" xfId="0" quotePrefix="1"/>
    <xf numFmtId="0" fontId="28" fillId="0" borderId="0" xfId="0" applyFont="1" applyAlignment="1">
      <alignment horizontal="left" vertical="center"/>
    </xf>
    <xf numFmtId="0" fontId="12" fillId="0" borderId="0" xfId="0" applyFont="1"/>
    <xf numFmtId="0" fontId="94" fillId="80" borderId="66" xfId="0" applyFont="1" applyFill="1" applyBorder="1" applyAlignment="1">
      <alignment horizontal="center" vertical="center" wrapText="1"/>
    </xf>
    <xf numFmtId="0" fontId="95" fillId="71" borderId="67" xfId="0" applyFont="1" applyFill="1" applyBorder="1" applyAlignment="1">
      <alignment vertical="center"/>
    </xf>
    <xf numFmtId="180" fontId="95" fillId="71" borderId="68" xfId="0" applyNumberFormat="1" applyFont="1" applyFill="1" applyBorder="1" applyAlignment="1">
      <alignment horizontal="right" vertical="center" indent="1"/>
    </xf>
    <xf numFmtId="0" fontId="95" fillId="71" borderId="68" xfId="0" applyFont="1" applyFill="1" applyBorder="1" applyAlignment="1">
      <alignment horizontal="right" vertical="center" indent="1"/>
    </xf>
    <xf numFmtId="1" fontId="95" fillId="71" borderId="68" xfId="0" applyNumberFormat="1" applyFont="1" applyFill="1" applyBorder="1" applyAlignment="1">
      <alignment horizontal="right" vertical="center" indent="1"/>
    </xf>
    <xf numFmtId="0" fontId="94" fillId="80" borderId="70" xfId="0" applyFont="1" applyFill="1" applyBorder="1" applyAlignment="1">
      <alignment horizontal="center" vertical="center"/>
    </xf>
    <xf numFmtId="0" fontId="95" fillId="71" borderId="68" xfId="0" applyFont="1" applyFill="1" applyBorder="1" applyAlignment="1">
      <alignment horizontal="right" vertical="center"/>
    </xf>
    <xf numFmtId="0" fontId="96" fillId="71" borderId="67" xfId="0" applyFont="1" applyFill="1" applyBorder="1" applyAlignment="1">
      <alignment vertical="center"/>
    </xf>
    <xf numFmtId="0" fontId="96" fillId="71" borderId="68" xfId="0" applyFont="1" applyFill="1" applyBorder="1" applyAlignment="1">
      <alignment horizontal="right" vertical="center"/>
    </xf>
    <xf numFmtId="3" fontId="95" fillId="71" borderId="68" xfId="0" applyNumberFormat="1" applyFont="1" applyFill="1" applyBorder="1" applyAlignment="1">
      <alignment horizontal="right" vertical="center" indent="1"/>
    </xf>
    <xf numFmtId="9" fontId="95" fillId="71" borderId="68" xfId="0" applyNumberFormat="1" applyFont="1" applyFill="1" applyBorder="1" applyAlignment="1">
      <alignment horizontal="center" vertical="center"/>
    </xf>
    <xf numFmtId="168" fontId="16" fillId="0" borderId="0" xfId="132" applyNumberFormat="1" applyFont="1" applyAlignment="1">
      <alignment horizontal="center" vertical="center"/>
    </xf>
    <xf numFmtId="168" fontId="13" fillId="0" borderId="0" xfId="132" applyNumberFormat="1" applyFont="1" applyAlignment="1">
      <alignment horizontal="center" vertical="center"/>
    </xf>
    <xf numFmtId="44" fontId="13" fillId="0" borderId="0" xfId="4417" applyFont="1" applyBorder="1"/>
    <xf numFmtId="168" fontId="13" fillId="0" borderId="0" xfId="133" applyNumberFormat="1"/>
    <xf numFmtId="2" fontId="13" fillId="0" borderId="0" xfId="133" applyNumberFormat="1"/>
    <xf numFmtId="43" fontId="13" fillId="0" borderId="0" xfId="132" applyFont="1" applyBorder="1"/>
    <xf numFmtId="0" fontId="82" fillId="12" borderId="26" xfId="0" applyFont="1" applyFill="1" applyBorder="1"/>
    <xf numFmtId="0" fontId="82" fillId="0" borderId="0" xfId="0" applyFont="1"/>
    <xf numFmtId="0" fontId="82" fillId="0" borderId="26" xfId="0" applyFont="1" applyBorder="1"/>
    <xf numFmtId="6" fontId="13" fillId="0" borderId="0" xfId="133" applyNumberFormat="1"/>
    <xf numFmtId="0" fontId="81" fillId="0" borderId="0" xfId="0" applyFont="1" applyAlignment="1">
      <alignment vertical="top"/>
    </xf>
    <xf numFmtId="0" fontId="73" fillId="0" borderId="0" xfId="133" applyFont="1" applyAlignment="1">
      <alignment horizontal="left" vertical="center"/>
    </xf>
    <xf numFmtId="0" fontId="101" fillId="0" borderId="0" xfId="133" applyFont="1"/>
    <xf numFmtId="0" fontId="102" fillId="0" borderId="0" xfId="133" applyFont="1"/>
    <xf numFmtId="0" fontId="101" fillId="0" borderId="0" xfId="133" applyFont="1" applyAlignment="1">
      <alignment horizontal="center" vertical="center"/>
    </xf>
    <xf numFmtId="0" fontId="103" fillId="0" borderId="0" xfId="133" applyFont="1"/>
    <xf numFmtId="0" fontId="104" fillId="0" borderId="0" xfId="133" applyFont="1"/>
    <xf numFmtId="0" fontId="105" fillId="0" borderId="0" xfId="133" applyFont="1"/>
    <xf numFmtId="0" fontId="106" fillId="0" borderId="0" xfId="133" applyFont="1"/>
    <xf numFmtId="0" fontId="106" fillId="0" borderId="0" xfId="133" applyFont="1" applyAlignment="1">
      <alignment horizontal="center" vertical="center"/>
    </xf>
    <xf numFmtId="9" fontId="13" fillId="0" borderId="0" xfId="4416" applyFont="1"/>
    <xf numFmtId="169" fontId="13" fillId="0" borderId="0" xfId="4417" applyNumberFormat="1" applyFont="1" applyAlignment="1">
      <alignment horizontal="center" vertical="center"/>
    </xf>
    <xf numFmtId="43" fontId="13" fillId="0" borderId="0" xfId="133" applyNumberFormat="1" applyAlignment="1">
      <alignment horizontal="center" vertical="center"/>
    </xf>
    <xf numFmtId="0" fontId="5" fillId="0" borderId="0" xfId="133" applyFont="1" applyAlignment="1">
      <alignment vertical="center"/>
    </xf>
    <xf numFmtId="9" fontId="16" fillId="0" borderId="0" xfId="4416" applyFont="1" applyAlignment="1">
      <alignment horizontal="center" vertical="center"/>
    </xf>
    <xf numFmtId="9" fontId="13" fillId="0" borderId="0" xfId="4416" applyFont="1" applyAlignment="1">
      <alignment horizontal="center" vertical="center"/>
    </xf>
    <xf numFmtId="168" fontId="13" fillId="0" borderId="0" xfId="133" applyNumberFormat="1" applyAlignment="1">
      <alignment horizontal="center" vertical="center"/>
    </xf>
    <xf numFmtId="9" fontId="13" fillId="0" borderId="0" xfId="4416" applyFont="1" applyAlignment="1">
      <alignment vertical="center"/>
    </xf>
    <xf numFmtId="1" fontId="17" fillId="6" borderId="73" xfId="0" applyNumberFormat="1" applyFont="1" applyFill="1" applyBorder="1" applyAlignment="1">
      <alignment horizontal="center" vertical="center" wrapText="1"/>
    </xf>
    <xf numFmtId="1" fontId="17" fillId="6" borderId="74" xfId="0" applyNumberFormat="1" applyFont="1" applyFill="1" applyBorder="1" applyAlignment="1">
      <alignment horizontal="center" vertical="center" wrapText="1"/>
    </xf>
    <xf numFmtId="1" fontId="17" fillId="6" borderId="75" xfId="0" applyNumberFormat="1" applyFont="1" applyFill="1" applyBorder="1" applyAlignment="1">
      <alignment horizontal="center" vertical="center" wrapText="1"/>
    </xf>
    <xf numFmtId="0" fontId="17" fillId="7" borderId="73" xfId="0" applyFont="1" applyFill="1" applyBorder="1"/>
    <xf numFmtId="0" fontId="17" fillId="7" borderId="74" xfId="0" applyFont="1" applyFill="1" applyBorder="1"/>
    <xf numFmtId="0" fontId="17" fillId="7" borderId="75" xfId="0" applyFont="1" applyFill="1" applyBorder="1"/>
    <xf numFmtId="0" fontId="17" fillId="7" borderId="73" xfId="0" applyFont="1" applyFill="1" applyBorder="1" applyAlignment="1">
      <alignment horizontal="center"/>
    </xf>
    <xf numFmtId="0" fontId="17" fillId="7" borderId="74" xfId="0" applyFont="1" applyFill="1" applyBorder="1" applyAlignment="1">
      <alignment horizontal="center"/>
    </xf>
    <xf numFmtId="0" fontId="17" fillId="7" borderId="75" xfId="0" applyFont="1" applyFill="1" applyBorder="1" applyAlignment="1">
      <alignment horizontal="center"/>
    </xf>
    <xf numFmtId="0" fontId="15" fillId="0" borderId="0" xfId="133" applyFont="1" applyAlignment="1">
      <alignment wrapText="1"/>
    </xf>
    <xf numFmtId="0" fontId="17" fillId="0" borderId="0" xfId="133" applyFont="1" applyAlignment="1">
      <alignment wrapText="1"/>
    </xf>
    <xf numFmtId="0" fontId="13" fillId="0" borderId="0" xfId="133" applyAlignment="1">
      <alignment wrapText="1"/>
    </xf>
    <xf numFmtId="1" fontId="17" fillId="6" borderId="73" xfId="0" applyNumberFormat="1" applyFont="1" applyFill="1" applyBorder="1" applyAlignment="1">
      <alignment horizontal="center" wrapText="1"/>
    </xf>
    <xf numFmtId="1" fontId="17" fillId="6" borderId="74" xfId="0" applyNumberFormat="1" applyFont="1" applyFill="1" applyBorder="1" applyAlignment="1">
      <alignment horizontal="center" wrapText="1"/>
    </xf>
    <xf numFmtId="0" fontId="109" fillId="0" borderId="0" xfId="133" applyFont="1"/>
    <xf numFmtId="44" fontId="5" fillId="0" borderId="0" xfId="4417" applyFont="1" applyFill="1" applyBorder="1"/>
    <xf numFmtId="44" fontId="5" fillId="0" borderId="0" xfId="4417" applyFont="1" applyFill="1" applyBorder="1" applyAlignment="1">
      <alignment horizontal="center" vertical="center"/>
    </xf>
    <xf numFmtId="1" fontId="5" fillId="0" borderId="0" xfId="133" applyNumberFormat="1" applyFont="1" applyAlignment="1">
      <alignment vertical="center"/>
    </xf>
    <xf numFmtId="179" fontId="5" fillId="0" borderId="0" xfId="133" applyNumberFormat="1" applyFont="1" applyAlignment="1">
      <alignment vertical="center"/>
    </xf>
    <xf numFmtId="2" fontId="5" fillId="0" borderId="0" xfId="133" applyNumberFormat="1" applyFont="1" applyAlignment="1">
      <alignment vertical="center"/>
    </xf>
    <xf numFmtId="0" fontId="5" fillId="0" borderId="0" xfId="133" applyFont="1" applyAlignment="1">
      <alignment horizontal="left" vertical="center"/>
    </xf>
    <xf numFmtId="9" fontId="5" fillId="0" borderId="0" xfId="133" applyNumberFormat="1" applyFont="1" applyAlignment="1">
      <alignment horizontal="left" vertical="center"/>
    </xf>
    <xf numFmtId="168" fontId="5" fillId="0" borderId="0" xfId="132" applyNumberFormat="1" applyFont="1" applyFill="1" applyBorder="1" applyAlignment="1">
      <alignment horizontal="left" vertical="center"/>
    </xf>
    <xf numFmtId="8" fontId="5" fillId="0" borderId="0" xfId="133" applyNumberFormat="1" applyFont="1" applyAlignment="1">
      <alignment horizontal="left" vertical="center"/>
    </xf>
    <xf numFmtId="8" fontId="5" fillId="0" borderId="0" xfId="133" applyNumberFormat="1" applyFont="1" applyAlignment="1">
      <alignment vertical="center"/>
    </xf>
    <xf numFmtId="44" fontId="5" fillId="0" borderId="0" xfId="133" applyNumberFormat="1" applyFont="1" applyAlignment="1">
      <alignment vertical="center"/>
    </xf>
    <xf numFmtId="43" fontId="5" fillId="0" borderId="0" xfId="133" applyNumberFormat="1" applyFont="1"/>
    <xf numFmtId="164" fontId="5" fillId="0" borderId="0" xfId="133" applyNumberFormat="1" applyFont="1"/>
    <xf numFmtId="168" fontId="5" fillId="0" borderId="0" xfId="132" applyNumberFormat="1" applyFont="1" applyFill="1" applyBorder="1"/>
    <xf numFmtId="166" fontId="5" fillId="0" borderId="0" xfId="133" applyNumberFormat="1" applyFont="1"/>
    <xf numFmtId="168" fontId="5" fillId="0" borderId="0" xfId="133" applyNumberFormat="1" applyFont="1"/>
    <xf numFmtId="3" fontId="13" fillId="0" borderId="0" xfId="133" applyNumberFormat="1"/>
    <xf numFmtId="4" fontId="13" fillId="0" borderId="0" xfId="133" applyNumberFormat="1"/>
    <xf numFmtId="3" fontId="109" fillId="0" borderId="0" xfId="133" applyNumberFormat="1" applyFont="1"/>
    <xf numFmtId="0" fontId="28" fillId="0" borderId="0" xfId="0" applyFont="1" applyAlignment="1">
      <alignment horizontal="center" vertical="center"/>
    </xf>
    <xf numFmtId="43" fontId="0" fillId="0" borderId="0" xfId="132" applyFont="1" applyFill="1"/>
    <xf numFmtId="43" fontId="28" fillId="0" borderId="0" xfId="132" applyFont="1"/>
    <xf numFmtId="0" fontId="0" fillId="0" borderId="31" xfId="0" applyBorder="1" applyAlignment="1">
      <alignment horizontal="left" indent="1"/>
    </xf>
    <xf numFmtId="2" fontId="0" fillId="0" borderId="33" xfId="0" applyNumberFormat="1" applyBorder="1" applyAlignment="1">
      <alignment horizontal="left" indent="1"/>
    </xf>
    <xf numFmtId="0" fontId="0" fillId="0" borderId="0" xfId="0" applyAlignment="1">
      <alignment horizontal="left" wrapText="1" indent="1"/>
    </xf>
    <xf numFmtId="164" fontId="0" fillId="0" borderId="0" xfId="0" applyNumberFormat="1" applyAlignment="1">
      <alignment horizontal="center" vertical="center"/>
    </xf>
    <xf numFmtId="0" fontId="0" fillId="0" borderId="0" xfId="0" applyAlignment="1">
      <alignment horizontal="center" vertical="center"/>
    </xf>
    <xf numFmtId="0" fontId="91" fillId="0" borderId="0" xfId="4431" applyAlignment="1">
      <alignment horizontal="center" vertical="center"/>
    </xf>
    <xf numFmtId="0" fontId="0" fillId="0" borderId="0" xfId="0" applyAlignment="1">
      <alignment horizontal="center" vertical="center" wrapText="1"/>
    </xf>
    <xf numFmtId="4" fontId="0" fillId="0" borderId="0" xfId="0" applyNumberFormat="1" applyAlignment="1">
      <alignment horizontal="center" vertical="center"/>
    </xf>
    <xf numFmtId="0" fontId="0" fillId="0" borderId="0" xfId="0" applyAlignment="1">
      <alignment horizontal="right" indent="1"/>
    </xf>
    <xf numFmtId="0" fontId="13" fillId="0" borderId="0" xfId="133" applyAlignment="1">
      <alignment horizontal="left"/>
    </xf>
    <xf numFmtId="0" fontId="91" fillId="0" borderId="0" xfId="4431"/>
    <xf numFmtId="0" fontId="79" fillId="0" borderId="0" xfId="133" applyFont="1" applyAlignment="1">
      <alignment vertical="center"/>
    </xf>
    <xf numFmtId="0" fontId="114" fillId="0" borderId="0" xfId="0" applyFont="1"/>
    <xf numFmtId="0" fontId="27" fillId="0" borderId="0" xfId="0" applyFont="1"/>
    <xf numFmtId="169" fontId="27" fillId="0" borderId="0" xfId="4417" applyNumberFormat="1" applyFont="1"/>
    <xf numFmtId="169" fontId="27" fillId="0" borderId="0" xfId="4417" applyNumberFormat="1" applyFont="1" applyBorder="1"/>
    <xf numFmtId="169" fontId="27" fillId="0" borderId="0" xfId="0" applyNumberFormat="1" applyFont="1"/>
    <xf numFmtId="0" fontId="115" fillId="0" borderId="0" xfId="0" applyFont="1"/>
    <xf numFmtId="0" fontId="113" fillId="0" borderId="0" xfId="0" applyFont="1"/>
    <xf numFmtId="0" fontId="27" fillId="0" borderId="2" xfId="0" applyFont="1" applyBorder="1"/>
    <xf numFmtId="168" fontId="117" fillId="0" borderId="0" xfId="132" applyNumberFormat="1" applyFont="1"/>
    <xf numFmtId="9" fontId="13" fillId="85" borderId="0" xfId="133" applyNumberFormat="1" applyFill="1"/>
    <xf numFmtId="10" fontId="0" fillId="0" borderId="0" xfId="0" applyNumberFormat="1" applyAlignment="1">
      <alignment horizontal="right" indent="1"/>
    </xf>
    <xf numFmtId="10" fontId="0" fillId="0" borderId="0" xfId="0" applyNumberFormat="1" applyAlignment="1">
      <alignment horizontal="left" indent="1"/>
    </xf>
    <xf numFmtId="10" fontId="28" fillId="0" borderId="0" xfId="0" applyNumberFormat="1" applyFont="1" applyAlignment="1">
      <alignment horizontal="left" indent="1"/>
    </xf>
    <xf numFmtId="0" fontId="91" fillId="0" borderId="0" xfId="4431" applyBorder="1"/>
    <xf numFmtId="0" fontId="122" fillId="0" borderId="0" xfId="0" applyFont="1"/>
    <xf numFmtId="0" fontId="95" fillId="0" borderId="0" xfId="0" applyFont="1" applyAlignment="1">
      <alignment vertical="center" wrapText="1"/>
    </xf>
    <xf numFmtId="8" fontId="110" fillId="0" borderId="0" xfId="133" applyNumberFormat="1" applyFont="1"/>
    <xf numFmtId="0" fontId="110" fillId="0" borderId="0" xfId="133" applyFont="1"/>
    <xf numFmtId="0" fontId="123" fillId="0" borderId="0" xfId="0" applyFont="1" applyAlignment="1">
      <alignment vertical="center" wrapText="1"/>
    </xf>
    <xf numFmtId="0" fontId="124" fillId="0" borderId="0" xfId="0" applyFont="1"/>
    <xf numFmtId="0" fontId="125" fillId="0" borderId="0" xfId="0" applyFont="1"/>
    <xf numFmtId="0" fontId="126" fillId="0" borderId="0" xfId="0" applyFont="1"/>
    <xf numFmtId="1" fontId="110" fillId="0" borderId="0" xfId="133" applyNumberFormat="1" applyFont="1"/>
    <xf numFmtId="10" fontId="13" fillId="0" borderId="0" xfId="133" applyNumberFormat="1" applyAlignment="1">
      <alignment horizontal="center" vertical="center"/>
    </xf>
    <xf numFmtId="0" fontId="28" fillId="0" borderId="26" xfId="0" applyFont="1" applyBorder="1"/>
    <xf numFmtId="16" fontId="13" fillId="0" borderId="0" xfId="133" applyNumberFormat="1"/>
    <xf numFmtId="0" fontId="73" fillId="0" borderId="0" xfId="133" applyFont="1" applyAlignment="1">
      <alignment horizontal="center" vertical="center"/>
    </xf>
    <xf numFmtId="0" fontId="28" fillId="0" borderId="0" xfId="0" applyFont="1" applyAlignment="1">
      <alignment horizontal="center" vertical="center" wrapText="1"/>
    </xf>
    <xf numFmtId="0" fontId="91" fillId="0" borderId="0" xfId="4431" applyBorder="1" applyAlignment="1">
      <alignment horizontal="center" vertical="center"/>
    </xf>
    <xf numFmtId="184" fontId="13" fillId="0" borderId="0" xfId="133" applyNumberFormat="1"/>
    <xf numFmtId="0" fontId="0" fillId="85" borderId="0" xfId="0" applyFill="1"/>
    <xf numFmtId="180" fontId="0" fillId="0" borderId="0" xfId="0" applyNumberFormat="1"/>
    <xf numFmtId="176" fontId="0" fillId="0" borderId="0" xfId="0" applyNumberFormat="1"/>
    <xf numFmtId="43" fontId="0" fillId="0" borderId="0" xfId="132" applyFont="1" applyBorder="1"/>
    <xf numFmtId="43" fontId="0" fillId="0" borderId="0" xfId="132" applyFont="1" applyFill="1" applyBorder="1"/>
    <xf numFmtId="0" fontId="28" fillId="0" borderId="0" xfId="0" applyFont="1" applyAlignment="1">
      <alignment horizontal="left"/>
    </xf>
    <xf numFmtId="0" fontId="128" fillId="0" borderId="0" xfId="0" applyFont="1" applyAlignment="1">
      <alignment vertical="top"/>
    </xf>
    <xf numFmtId="0" fontId="109" fillId="0" borderId="0" xfId="133" applyFont="1" applyAlignment="1">
      <alignment horizontal="center" vertical="center"/>
    </xf>
    <xf numFmtId="0" fontId="93" fillId="0" borderId="0" xfId="4426" applyFont="1"/>
    <xf numFmtId="10" fontId="13" fillId="0" borderId="0" xfId="133" applyNumberFormat="1"/>
    <xf numFmtId="0" fontId="100" fillId="0" borderId="42" xfId="0" applyFont="1" applyBorder="1"/>
    <xf numFmtId="2" fontId="129" fillId="0" borderId="0" xfId="133" applyNumberFormat="1" applyFont="1"/>
    <xf numFmtId="2" fontId="16" fillId="0" borderId="0" xfId="133" applyNumberFormat="1" applyFont="1"/>
    <xf numFmtId="179" fontId="0" fillId="0" borderId="0" xfId="0" applyNumberFormat="1"/>
    <xf numFmtId="9" fontId="110" fillId="0" borderId="0" xfId="133" applyNumberFormat="1" applyFont="1"/>
    <xf numFmtId="0" fontId="110" fillId="0" borderId="0" xfId="0" applyFont="1"/>
    <xf numFmtId="0" fontId="112" fillId="86" borderId="71" xfId="133" applyFont="1" applyFill="1" applyBorder="1" applyAlignment="1">
      <alignment wrapText="1"/>
    </xf>
    <xf numFmtId="0" fontId="112" fillId="86" borderId="0" xfId="133" applyFont="1" applyFill="1" applyAlignment="1">
      <alignment wrapText="1"/>
    </xf>
    <xf numFmtId="0" fontId="112" fillId="86" borderId="27" xfId="133" applyFont="1" applyFill="1" applyBorder="1" applyAlignment="1">
      <alignment wrapText="1"/>
    </xf>
    <xf numFmtId="187" fontId="13" fillId="0" borderId="0" xfId="132" applyNumberFormat="1" applyFont="1"/>
    <xf numFmtId="168" fontId="129" fillId="0" borderId="0" xfId="132" applyNumberFormat="1" applyFont="1"/>
    <xf numFmtId="169" fontId="114" fillId="0" borderId="0" xfId="4417" applyNumberFormat="1" applyFont="1" applyFill="1" applyBorder="1"/>
    <xf numFmtId="169" fontId="114" fillId="0" borderId="0" xfId="4417" applyNumberFormat="1" applyFont="1" applyBorder="1"/>
    <xf numFmtId="0" fontId="77" fillId="0" borderId="0" xfId="133" applyFont="1" applyAlignment="1">
      <alignment vertical="center"/>
    </xf>
    <xf numFmtId="169" fontId="114" fillId="0" borderId="0" xfId="4417" applyNumberFormat="1" applyFont="1"/>
    <xf numFmtId="0" fontId="94" fillId="80" borderId="62" xfId="0" applyFont="1" applyFill="1" applyBorder="1" applyAlignment="1">
      <alignment horizontal="center" vertical="center" wrapText="1"/>
    </xf>
    <xf numFmtId="168" fontId="109" fillId="0" borderId="0" xfId="132" applyNumberFormat="1" applyFont="1"/>
    <xf numFmtId="9" fontId="110" fillId="0" borderId="0" xfId="4416" applyFont="1"/>
    <xf numFmtId="1" fontId="109" fillId="0" borderId="0" xfId="133" applyNumberFormat="1" applyFont="1"/>
    <xf numFmtId="188" fontId="13" fillId="0" borderId="0" xfId="133" applyNumberFormat="1" applyAlignment="1">
      <alignment horizontal="center" vertical="center"/>
    </xf>
    <xf numFmtId="0" fontId="130" fillId="0" borderId="0" xfId="133" applyFont="1" applyAlignment="1">
      <alignment horizontal="left" vertical="center"/>
    </xf>
    <xf numFmtId="0" fontId="131" fillId="0" borderId="0" xfId="133" applyFont="1" applyAlignment="1">
      <alignment horizontal="left" vertical="center"/>
    </xf>
    <xf numFmtId="0" fontId="132" fillId="70" borderId="69" xfId="0" applyFont="1" applyFill="1" applyBorder="1" applyAlignment="1">
      <alignment horizontal="center" vertical="center"/>
    </xf>
    <xf numFmtId="0" fontId="132" fillId="70" borderId="70" xfId="0" applyFont="1" applyFill="1" applyBorder="1" applyAlignment="1">
      <alignment horizontal="right" vertical="center"/>
    </xf>
    <xf numFmtId="0" fontId="132" fillId="70" borderId="70" xfId="0" applyFont="1" applyFill="1" applyBorder="1" applyAlignment="1">
      <alignment horizontal="right" vertical="center" wrapText="1"/>
    </xf>
    <xf numFmtId="0" fontId="91" fillId="70" borderId="70" xfId="4431" applyFill="1" applyBorder="1" applyAlignment="1">
      <alignment horizontal="right" vertical="center"/>
    </xf>
    <xf numFmtId="0" fontId="133" fillId="71" borderId="67" xfId="0" applyFont="1" applyFill="1" applyBorder="1" applyAlignment="1">
      <alignment vertical="center"/>
    </xf>
    <xf numFmtId="0" fontId="133" fillId="71" borderId="68" xfId="0" applyFont="1" applyFill="1" applyBorder="1" applyAlignment="1">
      <alignment horizontal="right" vertical="center"/>
    </xf>
    <xf numFmtId="0" fontId="133" fillId="71" borderId="68" xfId="0" applyFont="1" applyFill="1" applyBorder="1" applyAlignment="1">
      <alignment horizontal="right" vertical="center" wrapText="1"/>
    </xf>
    <xf numFmtId="3" fontId="133" fillId="71" borderId="68" xfId="0" applyNumberFormat="1" applyFont="1" applyFill="1" applyBorder="1" applyAlignment="1">
      <alignment horizontal="right" vertical="center"/>
    </xf>
    <xf numFmtId="4" fontId="133" fillId="71" borderId="68" xfId="0" applyNumberFormat="1" applyFont="1" applyFill="1" applyBorder="1" applyAlignment="1">
      <alignment horizontal="right" vertical="center"/>
    </xf>
    <xf numFmtId="0" fontId="134" fillId="71" borderId="67" xfId="0" applyFont="1" applyFill="1" applyBorder="1" applyAlignment="1">
      <alignment vertical="center"/>
    </xf>
    <xf numFmtId="0" fontId="134" fillId="71" borderId="68" xfId="0" applyFont="1" applyFill="1" applyBorder="1" applyAlignment="1">
      <alignment horizontal="right" vertical="center"/>
    </xf>
    <xf numFmtId="4" fontId="134" fillId="71" borderId="68" xfId="0" applyNumberFormat="1" applyFont="1" applyFill="1" applyBorder="1" applyAlignment="1">
      <alignment horizontal="right" vertical="center"/>
    </xf>
    <xf numFmtId="0" fontId="91" fillId="71" borderId="68" xfId="4431" applyFill="1" applyBorder="1" applyAlignment="1">
      <alignment horizontal="right" vertical="center" wrapText="1"/>
    </xf>
    <xf numFmtId="3" fontId="134" fillId="71" borderId="68" xfId="0" applyNumberFormat="1" applyFont="1" applyFill="1" applyBorder="1" applyAlignment="1">
      <alignment horizontal="right" vertical="center"/>
    </xf>
    <xf numFmtId="0" fontId="135" fillId="0" borderId="0" xfId="0" applyFont="1" applyAlignment="1">
      <alignment horizontal="left" vertical="center" indent="1"/>
    </xf>
    <xf numFmtId="0" fontId="91" fillId="0" borderId="0" xfId="4431" applyAlignment="1">
      <alignment horizontal="left" vertical="center" indent="1"/>
    </xf>
    <xf numFmtId="0" fontId="136" fillId="0" borderId="0" xfId="0" applyFont="1" applyAlignment="1">
      <alignment horizontal="left" vertical="center" indent="1"/>
    </xf>
    <xf numFmtId="0" fontId="137" fillId="0" borderId="0" xfId="0" applyFont="1" applyAlignment="1">
      <alignment horizontal="left" vertical="center"/>
    </xf>
    <xf numFmtId="0" fontId="138" fillId="0" borderId="0" xfId="0" applyFont="1" applyAlignment="1">
      <alignment vertical="center"/>
    </xf>
    <xf numFmtId="0" fontId="28" fillId="0" borderId="0" xfId="0" applyFont="1" applyAlignment="1">
      <alignment horizontal="left" vertical="top"/>
    </xf>
    <xf numFmtId="0" fontId="0" fillId="0" borderId="0" xfId="0" applyAlignment="1">
      <alignment horizontal="left" vertical="top"/>
    </xf>
    <xf numFmtId="0" fontId="28" fillId="0" borderId="0" xfId="0" applyFont="1" applyAlignment="1">
      <alignment horizontal="left" vertical="top" wrapText="1"/>
    </xf>
    <xf numFmtId="0" fontId="0" fillId="0" borderId="0" xfId="0" applyAlignment="1">
      <alignment vertical="top" wrapText="1"/>
    </xf>
    <xf numFmtId="0" fontId="140" fillId="0" borderId="0" xfId="0" applyFont="1" applyAlignment="1">
      <alignment horizontal="left" vertical="center" wrapText="1"/>
    </xf>
    <xf numFmtId="0" fontId="28" fillId="0" borderId="0" xfId="0" applyFont="1" applyAlignment="1">
      <alignment horizontal="left" vertical="center" wrapText="1"/>
    </xf>
    <xf numFmtId="0" fontId="141" fillId="0" borderId="0" xfId="0" applyFont="1" applyAlignment="1">
      <alignment horizontal="center" vertical="center"/>
    </xf>
    <xf numFmtId="0" fontId="110" fillId="72" borderId="71" xfId="0" applyFont="1" applyFill="1" applyBorder="1" applyAlignment="1">
      <alignment horizontal="right"/>
    </xf>
    <xf numFmtId="0" fontId="142" fillId="0" borderId="0" xfId="0" applyFont="1" applyAlignment="1">
      <alignment horizontal="center" vertical="center"/>
    </xf>
    <xf numFmtId="0" fontId="143" fillId="0" borderId="0" xfId="0" applyFont="1"/>
    <xf numFmtId="0" fontId="94" fillId="88" borderId="66" xfId="0" applyFont="1" applyFill="1" applyBorder="1" applyAlignment="1">
      <alignment horizontal="right" vertical="center" wrapText="1"/>
    </xf>
    <xf numFmtId="0" fontId="95" fillId="71" borderId="66" xfId="0" applyFont="1" applyFill="1" applyBorder="1" applyAlignment="1">
      <alignment horizontal="center" vertical="center" wrapText="1"/>
    </xf>
    <xf numFmtId="0" fontId="95" fillId="71" borderId="66" xfId="0" applyFont="1" applyFill="1" applyBorder="1" applyAlignment="1">
      <alignment horizontal="right" vertical="center" wrapText="1"/>
    </xf>
    <xf numFmtId="9" fontId="95" fillId="71" borderId="68" xfId="0" applyNumberFormat="1" applyFont="1" applyFill="1" applyBorder="1" applyAlignment="1">
      <alignment horizontal="right" vertical="center" indent="1"/>
    </xf>
    <xf numFmtId="0" fontId="95" fillId="71" borderId="67" xfId="0" applyFont="1" applyFill="1" applyBorder="1" applyAlignment="1">
      <alignment horizontal="left" vertical="center"/>
    </xf>
    <xf numFmtId="0" fontId="95" fillId="71" borderId="67" xfId="0" applyFont="1" applyFill="1" applyBorder="1" applyAlignment="1">
      <alignment horizontal="center" vertical="center" wrapText="1"/>
    </xf>
    <xf numFmtId="6" fontId="95" fillId="71" borderId="68" xfId="0" applyNumberFormat="1" applyFont="1" applyFill="1" applyBorder="1" applyAlignment="1">
      <alignment horizontal="right" vertical="center"/>
    </xf>
    <xf numFmtId="0" fontId="9" fillId="71" borderId="78" xfId="0" applyFont="1" applyFill="1" applyBorder="1" applyAlignment="1">
      <alignment horizontal="left" vertical="center"/>
    </xf>
    <xf numFmtId="0" fontId="94" fillId="88" borderId="69" xfId="0" applyFont="1" applyFill="1" applyBorder="1" applyAlignment="1">
      <alignment horizontal="center" vertical="center"/>
    </xf>
    <xf numFmtId="0" fontId="94" fillId="88" borderId="70" xfId="0" applyFont="1" applyFill="1" applyBorder="1" applyAlignment="1">
      <alignment horizontal="center" vertical="center"/>
    </xf>
    <xf numFmtId="0" fontId="94" fillId="80" borderId="70" xfId="0" applyFont="1" applyFill="1" applyBorder="1" applyAlignment="1">
      <alignment horizontal="right" vertical="center"/>
    </xf>
    <xf numFmtId="9" fontId="95" fillId="71" borderId="68" xfId="0" applyNumberFormat="1" applyFont="1" applyFill="1" applyBorder="1" applyAlignment="1">
      <alignment horizontal="right" vertical="center"/>
    </xf>
    <xf numFmtId="0" fontId="95" fillId="71" borderId="70" xfId="0" applyFont="1" applyFill="1" applyBorder="1" applyAlignment="1">
      <alignment vertical="center"/>
    </xf>
    <xf numFmtId="9" fontId="96" fillId="71" borderId="68" xfId="0" applyNumberFormat="1" applyFont="1" applyFill="1" applyBorder="1" applyAlignment="1">
      <alignment horizontal="right" vertical="center"/>
    </xf>
    <xf numFmtId="3" fontId="96" fillId="71" borderId="68" xfId="0" applyNumberFormat="1" applyFont="1" applyFill="1" applyBorder="1" applyAlignment="1">
      <alignment horizontal="right" vertical="center"/>
    </xf>
    <xf numFmtId="180" fontId="96" fillId="71" borderId="68" xfId="0" applyNumberFormat="1" applyFont="1" applyFill="1" applyBorder="1" applyAlignment="1">
      <alignment horizontal="right" vertical="center"/>
    </xf>
    <xf numFmtId="180" fontId="95" fillId="71" borderId="68" xfId="0" quotePrefix="1" applyNumberFormat="1" applyFont="1" applyFill="1" applyBorder="1" applyAlignment="1">
      <alignment horizontal="right" vertical="center" indent="1"/>
    </xf>
    <xf numFmtId="0" fontId="114" fillId="0" borderId="2" xfId="0" applyFont="1" applyBorder="1"/>
    <xf numFmtId="168" fontId="13" fillId="0" borderId="0" xfId="132" applyNumberFormat="1" applyFont="1"/>
    <xf numFmtId="1" fontId="13" fillId="0" borderId="0" xfId="133" applyNumberFormat="1"/>
    <xf numFmtId="0" fontId="28" fillId="0" borderId="2" xfId="0" applyFont="1" applyBorder="1" applyAlignment="1">
      <alignment horizontal="center" vertical="center"/>
    </xf>
    <xf numFmtId="0" fontId="0" fillId="0" borderId="2" xfId="0" applyBorder="1" applyAlignment="1">
      <alignment horizontal="center" vertical="center"/>
    </xf>
    <xf numFmtId="43" fontId="13" fillId="0" borderId="0" xfId="132" applyFont="1"/>
    <xf numFmtId="44" fontId="13" fillId="0" borderId="0" xfId="133" applyNumberFormat="1"/>
    <xf numFmtId="0" fontId="73" fillId="85" borderId="0" xfId="133" applyFont="1" applyFill="1"/>
    <xf numFmtId="169" fontId="5" fillId="0" borderId="0" xfId="4417" applyNumberFormat="1" applyFont="1"/>
    <xf numFmtId="0" fontId="148" fillId="0" borderId="0" xfId="0" applyFont="1"/>
    <xf numFmtId="180" fontId="110" fillId="72" borderId="42" xfId="1494" applyNumberFormat="1" applyFont="1" applyFill="1" applyBorder="1" applyAlignment="1">
      <alignment horizontal="right" indent="1"/>
    </xf>
    <xf numFmtId="3" fontId="110" fillId="72" borderId="42" xfId="1494" applyNumberFormat="1" applyFont="1" applyFill="1" applyBorder="1" applyAlignment="1">
      <alignment horizontal="right" indent="1"/>
    </xf>
    <xf numFmtId="9" fontId="110" fillId="72" borderId="42" xfId="1494" applyNumberFormat="1" applyFont="1" applyFill="1" applyBorder="1" applyAlignment="1">
      <alignment horizontal="right" indent="1"/>
    </xf>
    <xf numFmtId="0" fontId="18" fillId="7" borderId="0" xfId="0" applyFont="1" applyFill="1" applyAlignment="1">
      <alignment horizontal="center"/>
    </xf>
    <xf numFmtId="0" fontId="149" fillId="0" borderId="0" xfId="133" applyFont="1"/>
    <xf numFmtId="0" fontId="79" fillId="0" borderId="0" xfId="133" applyFont="1"/>
    <xf numFmtId="1" fontId="17" fillId="6" borderId="81" xfId="0" applyNumberFormat="1" applyFont="1" applyFill="1" applyBorder="1" applyAlignment="1">
      <alignment horizontal="center" vertical="center" wrapText="1"/>
    </xf>
    <xf numFmtId="0" fontId="17" fillId="7" borderId="81" xfId="0" applyFont="1" applyFill="1" applyBorder="1"/>
    <xf numFmtId="0" fontId="17" fillId="7" borderId="81" xfId="0" applyFont="1" applyFill="1" applyBorder="1" applyAlignment="1">
      <alignment horizontal="center"/>
    </xf>
    <xf numFmtId="44" fontId="5" fillId="0" borderId="0" xfId="4417" applyFont="1" applyBorder="1" applyAlignment="1">
      <alignment horizontal="left" vertical="center"/>
    </xf>
    <xf numFmtId="168" fontId="5" fillId="0" borderId="0" xfId="132" applyNumberFormat="1" applyFont="1" applyBorder="1"/>
    <xf numFmtId="0" fontId="151" fillId="0" borderId="0" xfId="0" applyFont="1" applyAlignment="1">
      <alignment vertical="top"/>
    </xf>
    <xf numFmtId="1" fontId="17" fillId="6" borderId="82" xfId="0" applyNumberFormat="1" applyFont="1" applyFill="1" applyBorder="1" applyAlignment="1">
      <alignment horizontal="center" vertical="center" wrapText="1"/>
    </xf>
    <xf numFmtId="0" fontId="17" fillId="7" borderId="82" xfId="0" applyFont="1" applyFill="1" applyBorder="1"/>
    <xf numFmtId="1" fontId="17" fillId="6" borderId="34" xfId="0" applyNumberFormat="1" applyFont="1" applyFill="1" applyBorder="1" applyAlignment="1">
      <alignment horizontal="center" vertical="center" wrapText="1"/>
    </xf>
    <xf numFmtId="1" fontId="17" fillId="6" borderId="40" xfId="0" applyNumberFormat="1" applyFont="1" applyFill="1" applyBorder="1" applyAlignment="1">
      <alignment horizontal="center" vertical="center" wrapText="1"/>
    </xf>
    <xf numFmtId="1" fontId="17" fillId="6" borderId="35" xfId="0" applyNumberFormat="1" applyFont="1" applyFill="1" applyBorder="1" applyAlignment="1">
      <alignment horizontal="center" vertical="center" wrapText="1"/>
    </xf>
    <xf numFmtId="1" fontId="17" fillId="6" borderId="39" xfId="0" applyNumberFormat="1" applyFont="1" applyFill="1" applyBorder="1" applyAlignment="1">
      <alignment horizontal="center" vertical="center" wrapText="1"/>
    </xf>
    <xf numFmtId="1" fontId="17" fillId="6" borderId="83" xfId="0" applyNumberFormat="1" applyFont="1" applyFill="1" applyBorder="1" applyAlignment="1">
      <alignment horizontal="center" vertical="center" wrapText="1"/>
    </xf>
    <xf numFmtId="1" fontId="17" fillId="6" borderId="36" xfId="0" applyNumberFormat="1" applyFont="1" applyFill="1" applyBorder="1" applyAlignment="1">
      <alignment horizontal="center" vertical="center" wrapText="1"/>
    </xf>
    <xf numFmtId="1" fontId="17" fillId="6" borderId="37" xfId="0" applyNumberFormat="1" applyFont="1" applyFill="1" applyBorder="1" applyAlignment="1">
      <alignment horizontal="center" vertical="center" wrapText="1"/>
    </xf>
    <xf numFmtId="0" fontId="17" fillId="7" borderId="34" xfId="0" applyFont="1" applyFill="1" applyBorder="1" applyAlignment="1">
      <alignment horizontal="center"/>
    </xf>
    <xf numFmtId="0" fontId="17" fillId="7" borderId="40" xfId="0" applyFont="1" applyFill="1" applyBorder="1" applyAlignment="1">
      <alignment horizontal="center"/>
    </xf>
    <xf numFmtId="0" fontId="17" fillId="7" borderId="35" xfId="0" applyFont="1" applyFill="1" applyBorder="1" applyAlignment="1">
      <alignment horizontal="center"/>
    </xf>
    <xf numFmtId="0" fontId="17" fillId="7" borderId="39" xfId="0" applyFont="1" applyFill="1" applyBorder="1" applyAlignment="1">
      <alignment horizontal="center"/>
    </xf>
    <xf numFmtId="43" fontId="5" fillId="0" borderId="73" xfId="133" applyNumberFormat="1" applyFont="1" applyBorder="1"/>
    <xf numFmtId="43" fontId="5" fillId="0" borderId="74" xfId="133" applyNumberFormat="1" applyFont="1" applyBorder="1"/>
    <xf numFmtId="43" fontId="5" fillId="0" borderId="75" xfId="133" applyNumberFormat="1" applyFont="1" applyBorder="1"/>
    <xf numFmtId="8" fontId="5" fillId="0" borderId="74" xfId="133" applyNumberFormat="1" applyFont="1" applyBorder="1" applyAlignment="1">
      <alignment vertical="center"/>
    </xf>
    <xf numFmtId="44" fontId="5" fillId="0" borderId="73" xfId="133" applyNumberFormat="1" applyFont="1" applyBorder="1" applyAlignment="1">
      <alignment vertical="center"/>
    </xf>
    <xf numFmtId="44" fontId="5" fillId="0" borderId="74" xfId="133" applyNumberFormat="1" applyFont="1" applyBorder="1" applyAlignment="1">
      <alignment vertical="center"/>
    </xf>
    <xf numFmtId="164" fontId="5" fillId="0" borderId="73" xfId="133" applyNumberFormat="1" applyFont="1" applyBorder="1"/>
    <xf numFmtId="164" fontId="5" fillId="0" borderId="74" xfId="133" applyNumberFormat="1" applyFont="1" applyBorder="1"/>
    <xf numFmtId="1" fontId="17" fillId="6" borderId="81" xfId="0" applyNumberFormat="1" applyFont="1" applyFill="1" applyBorder="1" applyAlignment="1">
      <alignment horizontal="center" wrapText="1"/>
    </xf>
    <xf numFmtId="43" fontId="5" fillId="3" borderId="84" xfId="133" applyNumberFormat="1" applyFont="1" applyFill="1" applyBorder="1"/>
    <xf numFmtId="43" fontId="5" fillId="3" borderId="85" xfId="133" applyNumberFormat="1" applyFont="1" applyFill="1" applyBorder="1"/>
    <xf numFmtId="0" fontId="152" fillId="0" borderId="0" xfId="133" applyFont="1" applyAlignment="1">
      <alignment horizontal="center" vertical="center"/>
    </xf>
    <xf numFmtId="44" fontId="5" fillId="0" borderId="88" xfId="133" applyNumberFormat="1" applyFont="1" applyBorder="1" applyAlignment="1">
      <alignment vertical="center"/>
    </xf>
    <xf numFmtId="44" fontId="5" fillId="0" borderId="89" xfId="133" applyNumberFormat="1" applyFont="1" applyBorder="1" applyAlignment="1">
      <alignment vertical="center"/>
    </xf>
    <xf numFmtId="0" fontId="153" fillId="0" borderId="0" xfId="0" applyFont="1" applyAlignment="1">
      <alignment vertical="center"/>
    </xf>
    <xf numFmtId="0" fontId="150" fillId="0" borderId="0" xfId="133" applyFont="1"/>
    <xf numFmtId="0" fontId="154" fillId="0" borderId="0" xfId="0" applyFont="1"/>
    <xf numFmtId="0" fontId="152" fillId="0" borderId="0" xfId="133" applyFont="1"/>
    <xf numFmtId="0" fontId="155" fillId="0" borderId="2" xfId="0" applyFont="1" applyBorder="1" applyAlignment="1">
      <alignment vertical="top"/>
    </xf>
    <xf numFmtId="0" fontId="156" fillId="0" borderId="0" xfId="133" applyFont="1"/>
    <xf numFmtId="0" fontId="17" fillId="7" borderId="82" xfId="0" applyFont="1" applyFill="1" applyBorder="1" applyAlignment="1">
      <alignment horizontal="center"/>
    </xf>
    <xf numFmtId="0" fontId="154" fillId="0" borderId="0" xfId="133" applyFont="1"/>
    <xf numFmtId="1" fontId="18" fillId="6" borderId="91" xfId="0" applyNumberFormat="1" applyFont="1" applyFill="1" applyBorder="1" applyAlignment="1">
      <alignment horizontal="center" vertical="center" wrapText="1"/>
    </xf>
    <xf numFmtId="8" fontId="13" fillId="0" borderId="0" xfId="133" applyNumberFormat="1"/>
    <xf numFmtId="0" fontId="157" fillId="0" borderId="0" xfId="133" applyFont="1"/>
    <xf numFmtId="179" fontId="13" fillId="0" borderId="0" xfId="4416" applyNumberFormat="1" applyFont="1" applyFill="1" applyAlignment="1">
      <alignment horizontal="center" vertical="center"/>
    </xf>
    <xf numFmtId="1" fontId="17" fillId="6" borderId="93" xfId="0" applyNumberFormat="1" applyFont="1" applyFill="1" applyBorder="1" applyAlignment="1">
      <alignment horizontal="center" vertical="center" wrapText="1"/>
    </xf>
    <xf numFmtId="14" fontId="13" fillId="0" borderId="0" xfId="133" applyNumberFormat="1"/>
    <xf numFmtId="1" fontId="17" fillId="6" borderId="82" xfId="0" applyNumberFormat="1" applyFont="1" applyFill="1" applyBorder="1" applyAlignment="1">
      <alignment horizontal="center" wrapText="1"/>
    </xf>
    <xf numFmtId="1" fontId="17" fillId="6" borderId="75" xfId="0" applyNumberFormat="1" applyFont="1" applyFill="1" applyBorder="1" applyAlignment="1">
      <alignment horizontal="center" wrapText="1"/>
    </xf>
    <xf numFmtId="43" fontId="5" fillId="3" borderId="94" xfId="133" applyNumberFormat="1" applyFont="1" applyFill="1" applyBorder="1"/>
    <xf numFmtId="0" fontId="112" fillId="86" borderId="89" xfId="133" applyFont="1" applyFill="1" applyBorder="1" applyAlignment="1">
      <alignment horizontal="center" wrapText="1"/>
    </xf>
    <xf numFmtId="0" fontId="112" fillId="82" borderId="89" xfId="133" applyFont="1" applyFill="1" applyBorder="1" applyAlignment="1">
      <alignment horizontal="center" wrapText="1"/>
    </xf>
    <xf numFmtId="0" fontId="18" fillId="7" borderId="88" xfId="0" applyFont="1" applyFill="1" applyBorder="1" applyAlignment="1">
      <alignment horizontal="center"/>
    </xf>
    <xf numFmtId="0" fontId="18" fillId="7" borderId="89" xfId="0" applyFont="1" applyFill="1" applyBorder="1" applyAlignment="1">
      <alignment horizontal="center"/>
    </xf>
    <xf numFmtId="0" fontId="5" fillId="74" borderId="86" xfId="133" applyFont="1" applyFill="1" applyBorder="1" applyAlignment="1">
      <alignment horizontal="right" vertical="center"/>
    </xf>
    <xf numFmtId="1" fontId="18" fillId="6" borderId="89" xfId="0" applyNumberFormat="1" applyFont="1" applyFill="1" applyBorder="1" applyAlignment="1">
      <alignment horizontal="center" vertical="center" wrapText="1"/>
    </xf>
    <xf numFmtId="0" fontId="18" fillId="7" borderId="91" xfId="0" applyFont="1" applyFill="1" applyBorder="1" applyAlignment="1">
      <alignment horizontal="center"/>
    </xf>
    <xf numFmtId="0" fontId="18" fillId="7" borderId="95" xfId="0" applyFont="1" applyFill="1" applyBorder="1" applyAlignment="1">
      <alignment horizontal="center"/>
    </xf>
    <xf numFmtId="0" fontId="110" fillId="72" borderId="89" xfId="0" applyFont="1" applyFill="1" applyBorder="1" applyAlignment="1">
      <alignment horizontal="right"/>
    </xf>
    <xf numFmtId="0" fontId="127" fillId="72" borderId="88" xfId="1494" applyNumberFormat="1" applyFont="1" applyFill="1" applyBorder="1" applyAlignment="1">
      <alignment horizontal="center"/>
    </xf>
    <xf numFmtId="3" fontId="110" fillId="72" borderId="88" xfId="1494" applyNumberFormat="1" applyFont="1" applyFill="1" applyBorder="1" applyAlignment="1">
      <alignment horizontal="right" indent="1"/>
    </xf>
    <xf numFmtId="3" fontId="110" fillId="5" borderId="88" xfId="1494" applyNumberFormat="1" applyFont="1" applyFill="1" applyBorder="1" applyAlignment="1">
      <alignment horizontal="right" indent="1"/>
    </xf>
    <xf numFmtId="168" fontId="79" fillId="75" borderId="88" xfId="1494" applyNumberFormat="1" applyFont="1" applyFill="1" applyBorder="1" applyAlignment="1">
      <alignment horizontal="right"/>
    </xf>
    <xf numFmtId="168" fontId="110" fillId="75" borderId="88" xfId="1494" applyNumberFormat="1" applyFont="1" applyFill="1" applyBorder="1"/>
    <xf numFmtId="168" fontId="110" fillId="75" borderId="95" xfId="1494" applyNumberFormat="1" applyFont="1" applyFill="1" applyBorder="1"/>
    <xf numFmtId="181" fontId="110" fillId="75" borderId="88" xfId="1494" applyNumberFormat="1" applyFont="1" applyFill="1" applyBorder="1"/>
    <xf numFmtId="181" fontId="110" fillId="75" borderId="95" xfId="1494" applyNumberFormat="1" applyFont="1" applyFill="1" applyBorder="1"/>
    <xf numFmtId="0" fontId="20" fillId="9" borderId="96" xfId="133" applyFont="1" applyFill="1" applyBorder="1" applyAlignment="1">
      <alignment wrapText="1"/>
    </xf>
    <xf numFmtId="0" fontId="91" fillId="85" borderId="0" xfId="4431" applyFill="1"/>
    <xf numFmtId="1" fontId="17" fillId="6" borderId="87" xfId="133" applyNumberFormat="1" applyFont="1" applyFill="1" applyBorder="1" applyAlignment="1">
      <alignment horizontal="center" vertical="center" wrapText="1"/>
    </xf>
    <xf numFmtId="1" fontId="17" fillId="6" borderId="88" xfId="133" applyNumberFormat="1" applyFont="1" applyFill="1" applyBorder="1" applyAlignment="1">
      <alignment horizontal="center" vertical="center" wrapText="1"/>
    </xf>
    <xf numFmtId="164" fontId="5" fillId="0" borderId="81" xfId="133" applyNumberFormat="1" applyFont="1" applyBorder="1"/>
    <xf numFmtId="0" fontId="17" fillId="7" borderId="87" xfId="0" applyFont="1" applyFill="1" applyBorder="1" applyAlignment="1">
      <alignment horizontal="center" vertical="center" wrapText="1"/>
    </xf>
    <xf numFmtId="0" fontId="17" fillId="7" borderId="88" xfId="0" applyFont="1" applyFill="1" applyBorder="1" applyAlignment="1">
      <alignment horizontal="center" vertical="center" wrapText="1"/>
    </xf>
    <xf numFmtId="0" fontId="129" fillId="0" borderId="0" xfId="133" applyFont="1"/>
    <xf numFmtId="0" fontId="13" fillId="0" borderId="0" xfId="133" applyAlignment="1">
      <alignment horizontal="center" vertical="center" wrapText="1"/>
    </xf>
    <xf numFmtId="0" fontId="16" fillId="0" borderId="0" xfId="133" applyFont="1" applyAlignment="1">
      <alignment wrapText="1"/>
    </xf>
    <xf numFmtId="43" fontId="109" fillId="0" borderId="0" xfId="133" applyNumberFormat="1" applyFont="1"/>
    <xf numFmtId="179" fontId="129" fillId="0" borderId="0" xfId="133" applyNumberFormat="1" applyFont="1"/>
    <xf numFmtId="179" fontId="109" fillId="0" borderId="0" xfId="133" applyNumberFormat="1" applyFont="1"/>
    <xf numFmtId="0" fontId="157" fillId="0" borderId="0" xfId="0" applyFont="1"/>
    <xf numFmtId="44" fontId="81" fillId="0" borderId="0" xfId="4417" applyFont="1" applyAlignment="1">
      <alignment vertical="top"/>
    </xf>
    <xf numFmtId="185" fontId="0" fillId="0" borderId="0" xfId="4417" applyNumberFormat="1" applyFont="1"/>
    <xf numFmtId="185" fontId="28" fillId="0" borderId="0" xfId="4417" applyNumberFormat="1" applyFont="1"/>
    <xf numFmtId="0" fontId="152" fillId="0" borderId="0" xfId="133" applyFont="1" applyAlignment="1">
      <alignment horizontal="left" vertical="top"/>
    </xf>
    <xf numFmtId="0" fontId="17" fillId="7" borderId="41" xfId="0" applyFont="1" applyFill="1" applyBorder="1" applyAlignment="1">
      <alignment horizontal="center"/>
    </xf>
    <xf numFmtId="0" fontId="21" fillId="0" borderId="0" xfId="133" applyFont="1" applyAlignment="1">
      <alignment vertical="center"/>
    </xf>
    <xf numFmtId="44" fontId="148" fillId="0" borderId="0" xfId="4417" applyFont="1"/>
    <xf numFmtId="44" fontId="27" fillId="0" borderId="0" xfId="4417" applyFont="1"/>
    <xf numFmtId="0" fontId="154" fillId="0" borderId="0" xfId="133" applyFont="1" applyAlignment="1">
      <alignment horizontal="center" vertical="center"/>
    </xf>
    <xf numFmtId="0" fontId="154" fillId="0" borderId="0" xfId="133" applyFont="1" applyAlignment="1">
      <alignment horizontal="left" vertical="center"/>
    </xf>
    <xf numFmtId="168" fontId="154" fillId="0" borderId="0" xfId="132" applyNumberFormat="1" applyFont="1" applyAlignment="1">
      <alignment horizontal="center" vertical="center"/>
    </xf>
    <xf numFmtId="0" fontId="110" fillId="0" borderId="0" xfId="133" applyFont="1" applyAlignment="1">
      <alignment horizontal="center" vertical="center"/>
    </xf>
    <xf numFmtId="0" fontId="12" fillId="0" borderId="0" xfId="0" applyFont="1" applyAlignment="1">
      <alignment vertical="center"/>
    </xf>
    <xf numFmtId="0" fontId="127" fillId="0" borderId="0" xfId="133" applyFont="1"/>
    <xf numFmtId="10" fontId="154" fillId="0" borderId="0" xfId="4416" applyNumberFormat="1" applyFont="1"/>
    <xf numFmtId="44" fontId="5" fillId="0" borderId="0" xfId="4417" applyFont="1" applyFill="1" applyBorder="1" applyAlignment="1">
      <alignment horizontal="left" vertical="center"/>
    </xf>
    <xf numFmtId="168" fontId="5" fillId="0" borderId="0" xfId="133" applyNumberFormat="1" applyFont="1" applyAlignment="1">
      <alignment horizontal="left" vertical="center"/>
    </xf>
    <xf numFmtId="2" fontId="5" fillId="0" borderId="0" xfId="133" applyNumberFormat="1" applyFont="1" applyAlignment="1">
      <alignment horizontal="right" vertical="center"/>
    </xf>
    <xf numFmtId="2" fontId="5" fillId="0" borderId="0" xfId="133" applyNumberFormat="1" applyFont="1" applyAlignment="1">
      <alignment horizontal="left" vertical="center"/>
    </xf>
    <xf numFmtId="9" fontId="5" fillId="0" borderId="0" xfId="4416" applyFont="1" applyFill="1" applyBorder="1" applyAlignment="1">
      <alignment horizontal="right" vertical="center"/>
    </xf>
    <xf numFmtId="0" fontId="5" fillId="0" borderId="0" xfId="132" applyNumberFormat="1" applyFont="1" applyFill="1" applyBorder="1" applyAlignment="1">
      <alignment horizontal="right" vertical="center"/>
    </xf>
    <xf numFmtId="1" fontId="13" fillId="0" borderId="0" xfId="133" applyNumberFormat="1" applyAlignment="1">
      <alignment horizontal="left" vertical="center"/>
    </xf>
    <xf numFmtId="1" fontId="109" fillId="0" borderId="0" xfId="133" applyNumberFormat="1" applyFont="1" applyAlignment="1">
      <alignment horizontal="left" vertical="center"/>
    </xf>
    <xf numFmtId="9" fontId="109" fillId="0" borderId="0" xfId="4416" applyFont="1" applyAlignment="1">
      <alignment horizontal="center" vertical="center"/>
    </xf>
    <xf numFmtId="1" fontId="73" fillId="0" borderId="0" xfId="133" applyNumberFormat="1" applyFont="1" applyAlignment="1">
      <alignment horizontal="left" vertical="center"/>
    </xf>
    <xf numFmtId="169" fontId="13" fillId="0" borderId="0" xfId="133" applyNumberFormat="1"/>
    <xf numFmtId="182" fontId="109" fillId="0" borderId="0" xfId="133" applyNumberFormat="1" applyFont="1"/>
    <xf numFmtId="180" fontId="13" fillId="0" borderId="0" xfId="133" applyNumberFormat="1"/>
    <xf numFmtId="1" fontId="17" fillId="6" borderId="89" xfId="133" applyNumberFormat="1" applyFont="1" applyFill="1" applyBorder="1" applyAlignment="1">
      <alignment horizontal="center" vertical="center" wrapText="1"/>
    </xf>
    <xf numFmtId="44" fontId="5" fillId="0" borderId="98" xfId="133" applyNumberFormat="1" applyFont="1" applyBorder="1" applyAlignment="1">
      <alignment vertical="center"/>
    </xf>
    <xf numFmtId="43" fontId="5" fillId="0" borderId="81" xfId="133" applyNumberFormat="1" applyFont="1" applyBorder="1"/>
    <xf numFmtId="1" fontId="17" fillId="6" borderId="99" xfId="133" applyNumberFormat="1" applyFont="1" applyFill="1" applyBorder="1" applyAlignment="1">
      <alignment horizontal="center" vertical="center" wrapText="1"/>
    </xf>
    <xf numFmtId="164" fontId="5" fillId="0" borderId="82" xfId="133" applyNumberFormat="1" applyFont="1" applyBorder="1"/>
    <xf numFmtId="164" fontId="5" fillId="0" borderId="93" xfId="133" applyNumberFormat="1" applyFont="1" applyBorder="1"/>
    <xf numFmtId="43" fontId="5" fillId="0" borderId="97" xfId="133" applyNumberFormat="1" applyFont="1" applyBorder="1"/>
    <xf numFmtId="43" fontId="5" fillId="0" borderId="2" xfId="133" applyNumberFormat="1" applyFont="1" applyBorder="1"/>
    <xf numFmtId="1" fontId="162" fillId="0" borderId="0" xfId="133" applyNumberFormat="1" applyFont="1" applyAlignment="1">
      <alignment horizontal="left" vertical="center"/>
    </xf>
    <xf numFmtId="9" fontId="73" fillId="0" borderId="0" xfId="4416" applyFont="1" applyAlignment="1">
      <alignment horizontal="left" vertical="center"/>
    </xf>
    <xf numFmtId="9" fontId="162" fillId="0" borderId="0" xfId="4416" applyFont="1" applyAlignment="1">
      <alignment horizontal="left" vertical="center"/>
    </xf>
    <xf numFmtId="1" fontId="13" fillId="0" borderId="0" xfId="133" applyNumberFormat="1" applyAlignment="1">
      <alignment horizontal="center" vertical="center"/>
    </xf>
    <xf numFmtId="1" fontId="109" fillId="0" borderId="0" xfId="133" applyNumberFormat="1" applyFont="1" applyAlignment="1">
      <alignment horizontal="center" vertical="center"/>
    </xf>
    <xf numFmtId="0" fontId="116" fillId="86" borderId="42" xfId="133" applyFont="1" applyFill="1" applyBorder="1" applyAlignment="1">
      <alignment vertical="center"/>
    </xf>
    <xf numFmtId="0" fontId="112" fillId="86" borderId="88" xfId="133" applyFont="1" applyFill="1" applyBorder="1" applyAlignment="1">
      <alignment horizontal="center" wrapText="1"/>
    </xf>
    <xf numFmtId="1" fontId="18" fillId="6" borderId="91" xfId="0" applyNumberFormat="1" applyFont="1" applyFill="1" applyBorder="1" applyAlignment="1">
      <alignment vertical="center" wrapText="1"/>
    </xf>
    <xf numFmtId="1" fontId="18" fillId="6" borderId="95" xfId="0" applyNumberFormat="1" applyFont="1" applyFill="1" applyBorder="1" applyAlignment="1">
      <alignment vertical="center" wrapText="1"/>
    </xf>
    <xf numFmtId="0" fontId="18" fillId="7" borderId="91" xfId="0" applyFont="1" applyFill="1" applyBorder="1"/>
    <xf numFmtId="0" fontId="18" fillId="7" borderId="95" xfId="0" applyFont="1" applyFill="1" applyBorder="1"/>
    <xf numFmtId="0" fontId="18" fillId="7" borderId="88" xfId="0" applyFont="1" applyFill="1" applyBorder="1"/>
    <xf numFmtId="0" fontId="161" fillId="0" borderId="0" xfId="133" applyFont="1" applyAlignment="1">
      <alignment horizontal="center" vertical="center"/>
    </xf>
    <xf numFmtId="0" fontId="159" fillId="0" borderId="0" xfId="4431" applyFont="1"/>
    <xf numFmtId="0" fontId="163" fillId="0" borderId="0" xfId="133" applyFont="1"/>
    <xf numFmtId="0" fontId="164" fillId="0" borderId="0" xfId="133" applyFont="1"/>
    <xf numFmtId="9" fontId="154" fillId="0" borderId="0" xfId="0" applyNumberFormat="1" applyFont="1"/>
    <xf numFmtId="9" fontId="152" fillId="0" borderId="0" xfId="133" applyNumberFormat="1" applyFont="1"/>
    <xf numFmtId="0" fontId="79" fillId="89" borderId="0" xfId="4458" applyFont="1" applyFill="1"/>
    <xf numFmtId="0" fontId="79" fillId="89" borderId="0" xfId="4458" quotePrefix="1" applyFont="1" applyFill="1"/>
    <xf numFmtId="0" fontId="149" fillId="0" borderId="0" xfId="0" applyFont="1"/>
    <xf numFmtId="191" fontId="13" fillId="0" borderId="0" xfId="133" applyNumberFormat="1"/>
    <xf numFmtId="1" fontId="17" fillId="6" borderId="41" xfId="0" applyNumberFormat="1" applyFont="1" applyFill="1" applyBorder="1" applyAlignment="1">
      <alignment horizontal="center" vertical="center" wrapText="1"/>
    </xf>
    <xf numFmtId="1" fontId="17" fillId="6" borderId="38" xfId="0" applyNumberFormat="1" applyFont="1" applyFill="1" applyBorder="1" applyAlignment="1">
      <alignment horizontal="center" vertical="center" wrapText="1"/>
    </xf>
    <xf numFmtId="1" fontId="17" fillId="6" borderId="101" xfId="0" applyNumberFormat="1" applyFont="1" applyFill="1" applyBorder="1" applyAlignment="1">
      <alignment horizontal="center" vertical="center" wrapText="1"/>
    </xf>
    <xf numFmtId="0" fontId="17" fillId="7" borderId="0" xfId="0" applyFont="1" applyFill="1" applyAlignment="1">
      <alignment horizontal="center"/>
    </xf>
    <xf numFmtId="0" fontId="165" fillId="0" borderId="0" xfId="133" applyFont="1"/>
    <xf numFmtId="0" fontId="166" fillId="0" borderId="0" xfId="133" applyFont="1"/>
    <xf numFmtId="0" fontId="91" fillId="0" borderId="0" xfId="4431" applyAlignment="1">
      <alignment horizontal="left" vertical="center"/>
    </xf>
    <xf numFmtId="0" fontId="110" fillId="0" borderId="0" xfId="133" applyFont="1" applyAlignment="1">
      <alignment horizontal="left" vertical="center"/>
    </xf>
    <xf numFmtId="9" fontId="154" fillId="0" borderId="0" xfId="4416" applyFont="1" applyAlignment="1">
      <alignment horizontal="center" vertical="center"/>
    </xf>
    <xf numFmtId="3" fontId="127" fillId="75" borderId="97" xfId="0" applyNumberFormat="1" applyFont="1" applyFill="1" applyBorder="1"/>
    <xf numFmtId="43" fontId="5" fillId="3" borderId="97" xfId="133" applyNumberFormat="1" applyFont="1" applyFill="1" applyBorder="1"/>
    <xf numFmtId="43" fontId="5" fillId="3" borderId="2" xfId="133" applyNumberFormat="1" applyFont="1" applyFill="1" applyBorder="1"/>
    <xf numFmtId="0" fontId="5" fillId="3" borderId="0" xfId="133" applyFont="1" applyFill="1"/>
    <xf numFmtId="0" fontId="18" fillId="7" borderId="39" xfId="0" applyFont="1" applyFill="1" applyBorder="1"/>
    <xf numFmtId="0" fontId="18" fillId="7" borderId="40" xfId="0" applyFont="1" applyFill="1" applyBorder="1"/>
    <xf numFmtId="0" fontId="18" fillId="7" borderId="40" xfId="0" applyFont="1" applyFill="1" applyBorder="1" applyAlignment="1">
      <alignment horizontal="center"/>
    </xf>
    <xf numFmtId="0" fontId="18" fillId="7" borderId="35" xfId="0" applyFont="1" applyFill="1" applyBorder="1" applyAlignment="1">
      <alignment horizontal="center"/>
    </xf>
    <xf numFmtId="0" fontId="168" fillId="0" borderId="0" xfId="133" applyFont="1"/>
    <xf numFmtId="169" fontId="12" fillId="0" borderId="0" xfId="4417" applyNumberFormat="1" applyFont="1" applyFill="1"/>
    <xf numFmtId="0" fontId="14" fillId="5" borderId="102" xfId="133" applyFont="1" applyFill="1" applyBorder="1" applyAlignment="1">
      <alignment horizontal="center" vertical="center" wrapText="1"/>
    </xf>
    <xf numFmtId="1" fontId="18" fillId="6" borderId="102" xfId="0" applyNumberFormat="1" applyFont="1" applyFill="1" applyBorder="1" applyAlignment="1">
      <alignment horizontal="center" vertical="center" wrapText="1"/>
    </xf>
    <xf numFmtId="0" fontId="169" fillId="86" borderId="96" xfId="133" applyFont="1" applyFill="1" applyBorder="1" applyAlignment="1">
      <alignment wrapText="1"/>
    </xf>
    <xf numFmtId="0" fontId="20" fillId="86" borderId="96" xfId="133" applyFont="1" applyFill="1" applyBorder="1" applyAlignment="1">
      <alignment wrapText="1"/>
    </xf>
    <xf numFmtId="0" fontId="112" fillId="86" borderId="96" xfId="133" applyFont="1" applyFill="1" applyBorder="1" applyAlignment="1">
      <alignment horizontal="center" wrapText="1"/>
    </xf>
    <xf numFmtId="1" fontId="17" fillId="6" borderId="103" xfId="0" applyNumberFormat="1" applyFont="1" applyFill="1" applyBorder="1" applyAlignment="1">
      <alignment horizontal="center" vertical="center" wrapText="1"/>
    </xf>
    <xf numFmtId="1" fontId="150" fillId="6" borderId="103" xfId="133" applyNumberFormat="1" applyFont="1" applyFill="1" applyBorder="1" applyAlignment="1">
      <alignment horizontal="center" vertical="center" wrapText="1"/>
    </xf>
    <xf numFmtId="8" fontId="5" fillId="0" borderId="103" xfId="133" applyNumberFormat="1" applyFont="1" applyBorder="1" applyAlignment="1">
      <alignment vertical="center"/>
    </xf>
    <xf numFmtId="8" fontId="5" fillId="74" borderId="103" xfId="133" applyNumberFormat="1" applyFont="1" applyFill="1" applyBorder="1" applyAlignment="1">
      <alignment vertical="center"/>
    </xf>
    <xf numFmtId="1" fontId="17" fillId="6" borderId="96" xfId="0" applyNumberFormat="1" applyFont="1" applyFill="1" applyBorder="1" applyAlignment="1">
      <alignment horizontal="center" vertical="center" wrapText="1"/>
    </xf>
    <xf numFmtId="164" fontId="5" fillId="0" borderId="102" xfId="133" applyNumberFormat="1" applyFont="1" applyBorder="1"/>
    <xf numFmtId="164" fontId="5" fillId="0" borderId="103" xfId="133" applyNumberFormat="1" applyFont="1" applyBorder="1"/>
    <xf numFmtId="43" fontId="5" fillId="0" borderId="102" xfId="133" applyNumberFormat="1" applyFont="1" applyBorder="1"/>
    <xf numFmtId="43" fontId="5" fillId="0" borderId="103" xfId="133" applyNumberFormat="1" applyFont="1" applyBorder="1"/>
    <xf numFmtId="164" fontId="5" fillId="74" borderId="102" xfId="133" applyNumberFormat="1" applyFont="1" applyFill="1" applyBorder="1"/>
    <xf numFmtId="164" fontId="5" fillId="74" borderId="103" xfId="133" applyNumberFormat="1" applyFont="1" applyFill="1" applyBorder="1"/>
    <xf numFmtId="164" fontId="5" fillId="3" borderId="103" xfId="133" applyNumberFormat="1" applyFont="1" applyFill="1" applyBorder="1"/>
    <xf numFmtId="164" fontId="5" fillId="3" borderId="102" xfId="133" applyNumberFormat="1" applyFont="1" applyFill="1" applyBorder="1"/>
    <xf numFmtId="0" fontId="14" fillId="5" borderId="102" xfId="133" applyFont="1" applyFill="1" applyBorder="1" applyAlignment="1">
      <alignment horizontal="center" wrapText="1"/>
    </xf>
    <xf numFmtId="168" fontId="77" fillId="75" borderId="96" xfId="1494" applyNumberFormat="1" applyFont="1" applyFill="1" applyBorder="1" applyAlignment="1">
      <alignment horizontal="right"/>
    </xf>
    <xf numFmtId="3" fontId="127" fillId="75" borderId="96" xfId="0" applyNumberFormat="1" applyFont="1" applyFill="1" applyBorder="1"/>
    <xf numFmtId="168" fontId="127" fillId="75" borderId="96" xfId="1494" applyNumberFormat="1" applyFont="1" applyFill="1" applyBorder="1" applyAlignment="1">
      <alignment horizontal="right"/>
    </xf>
    <xf numFmtId="0" fontId="0" fillId="0" borderId="104" xfId="0" applyBorder="1"/>
    <xf numFmtId="168" fontId="0" fillId="0" borderId="104" xfId="132" applyNumberFormat="1" applyFont="1" applyBorder="1"/>
    <xf numFmtId="43" fontId="0" fillId="0" borderId="104" xfId="0" applyNumberFormat="1" applyBorder="1"/>
    <xf numFmtId="44" fontId="0" fillId="0" borderId="104" xfId="0" applyNumberFormat="1" applyBorder="1"/>
    <xf numFmtId="168" fontId="0" fillId="0" borderId="104" xfId="0" applyNumberFormat="1" applyBorder="1"/>
    <xf numFmtId="0" fontId="5" fillId="0" borderId="104" xfId="4430" applyFont="1" applyBorder="1" applyAlignment="1">
      <alignment horizontal="left"/>
    </xf>
    <xf numFmtId="3" fontId="5" fillId="0" borderId="104" xfId="4430" applyNumberFormat="1" applyFont="1" applyBorder="1" applyAlignment="1">
      <alignment horizontal="center"/>
    </xf>
    <xf numFmtId="44" fontId="5" fillId="0" borderId="104" xfId="4417" applyFont="1" applyFill="1" applyBorder="1" applyAlignment="1" applyProtection="1">
      <alignment horizontal="center"/>
    </xf>
    <xf numFmtId="167" fontId="5" fillId="0" borderId="104" xfId="4430" applyNumberFormat="1" applyFont="1" applyBorder="1" applyAlignment="1">
      <alignment horizontal="center"/>
    </xf>
    <xf numFmtId="44" fontId="0" fillId="0" borderId="104" xfId="4417" applyFont="1" applyBorder="1"/>
    <xf numFmtId="0" fontId="86" fillId="0" borderId="104" xfId="137" applyFont="1" applyBorder="1" applyAlignment="1">
      <alignment horizontal="center" vertical="center" wrapText="1"/>
    </xf>
    <xf numFmtId="0" fontId="28" fillId="12" borderId="104" xfId="0" applyFont="1" applyFill="1" applyBorder="1"/>
    <xf numFmtId="0" fontId="0" fillId="0" borderId="104" xfId="0" applyBorder="1" applyAlignment="1">
      <alignment horizontal="left"/>
    </xf>
    <xf numFmtId="2" fontId="0" fillId="0" borderId="104" xfId="0" applyNumberFormat="1" applyBorder="1"/>
    <xf numFmtId="1" fontId="17" fillId="6" borderId="104" xfId="0" applyNumberFormat="1" applyFont="1" applyFill="1" applyBorder="1" applyAlignment="1">
      <alignment horizontal="center" vertical="center" wrapText="1"/>
    </xf>
    <xf numFmtId="0" fontId="17" fillId="7" borderId="104" xfId="0" applyFont="1" applyFill="1" applyBorder="1"/>
    <xf numFmtId="0" fontId="17" fillId="7" borderId="104" xfId="0" applyFont="1" applyFill="1" applyBorder="1" applyAlignment="1">
      <alignment horizontal="center"/>
    </xf>
    <xf numFmtId="1" fontId="17" fillId="6" borderId="106" xfId="133" applyNumberFormat="1" applyFont="1" applyFill="1" applyBorder="1" applyAlignment="1">
      <alignment horizontal="center" vertical="center" wrapText="1"/>
    </xf>
    <xf numFmtId="0" fontId="17" fillId="7" borderId="104" xfId="0" applyFont="1" applyFill="1" applyBorder="1" applyAlignment="1">
      <alignment horizontal="center" vertical="center" wrapText="1"/>
    </xf>
    <xf numFmtId="10" fontId="13" fillId="0" borderId="0" xfId="4416" applyNumberFormat="1" applyFont="1"/>
    <xf numFmtId="164" fontId="13" fillId="0" borderId="0" xfId="133" applyNumberFormat="1"/>
    <xf numFmtId="1" fontId="110" fillId="0" borderId="0" xfId="133" applyNumberFormat="1" applyFont="1" applyAlignment="1">
      <alignment horizontal="center" vertical="center"/>
    </xf>
    <xf numFmtId="168" fontId="16" fillId="0" borderId="0" xfId="132" applyNumberFormat="1" applyFont="1"/>
    <xf numFmtId="1" fontId="17" fillId="6" borderId="105" xfId="133" applyNumberFormat="1" applyFont="1" applyFill="1" applyBorder="1" applyAlignment="1">
      <alignment horizontal="center" vertical="center" wrapText="1"/>
    </xf>
    <xf numFmtId="1" fontId="17" fillId="6" borderId="104" xfId="133" applyNumberFormat="1" applyFont="1" applyFill="1" applyBorder="1" applyAlignment="1">
      <alignment horizontal="center" vertical="center" wrapText="1"/>
    </xf>
    <xf numFmtId="43" fontId="5" fillId="74" borderId="104" xfId="133" applyNumberFormat="1" applyFont="1" applyFill="1" applyBorder="1"/>
    <xf numFmtId="43" fontId="5" fillId="74" borderId="107" xfId="133" applyNumberFormat="1" applyFont="1" applyFill="1" applyBorder="1"/>
    <xf numFmtId="43" fontId="5" fillId="74" borderId="109" xfId="133" applyNumberFormat="1" applyFont="1" applyFill="1" applyBorder="1"/>
    <xf numFmtId="1" fontId="17" fillId="6" borderId="105" xfId="0" applyNumberFormat="1" applyFont="1" applyFill="1" applyBorder="1" applyAlignment="1">
      <alignment horizontal="center" vertical="center" wrapText="1"/>
    </xf>
    <xf numFmtId="164" fontId="5" fillId="74" borderId="105" xfId="133" applyNumberFormat="1" applyFont="1" applyFill="1" applyBorder="1"/>
    <xf numFmtId="164" fontId="5" fillId="74" borderId="104" xfId="133" applyNumberFormat="1" applyFont="1" applyFill="1" applyBorder="1"/>
    <xf numFmtId="164" fontId="5" fillId="74" borderId="107" xfId="133" applyNumberFormat="1" applyFont="1" applyFill="1" applyBorder="1"/>
    <xf numFmtId="164" fontId="5" fillId="74" borderId="109" xfId="133" applyNumberFormat="1" applyFont="1" applyFill="1" applyBorder="1"/>
    <xf numFmtId="0" fontId="170" fillId="0" borderId="0" xfId="133" applyFont="1" applyAlignment="1">
      <alignment horizontal="center" vertical="center"/>
    </xf>
    <xf numFmtId="0" fontId="170" fillId="0" borderId="0" xfId="133" applyFont="1" applyAlignment="1">
      <alignment horizontal="left" vertical="center"/>
    </xf>
    <xf numFmtId="44" fontId="5" fillId="0" borderId="105" xfId="133" applyNumberFormat="1" applyFont="1" applyBorder="1" applyAlignment="1">
      <alignment vertical="center"/>
    </xf>
    <xf numFmtId="0" fontId="80" fillId="74" borderId="105" xfId="133" applyFont="1" applyFill="1" applyBorder="1" applyAlignment="1">
      <alignment vertical="center"/>
    </xf>
    <xf numFmtId="8" fontId="5" fillId="0" borderId="104" xfId="133" applyNumberFormat="1" applyFont="1" applyBorder="1" applyAlignment="1">
      <alignment vertical="center"/>
    </xf>
    <xf numFmtId="0" fontId="80" fillId="74" borderId="106" xfId="133" applyFont="1" applyFill="1" applyBorder="1" applyAlignment="1">
      <alignment vertical="center"/>
    </xf>
    <xf numFmtId="0" fontId="80" fillId="74" borderId="100" xfId="133" applyFont="1" applyFill="1" applyBorder="1" applyAlignment="1">
      <alignment vertical="center"/>
    </xf>
    <xf numFmtId="1" fontId="17" fillId="6" borderId="106" xfId="0" applyNumberFormat="1" applyFont="1" applyFill="1" applyBorder="1" applyAlignment="1">
      <alignment horizontal="center" vertical="center" wrapText="1"/>
    </xf>
    <xf numFmtId="44" fontId="5" fillId="0" borderId="104" xfId="133" applyNumberFormat="1" applyFont="1" applyBorder="1" applyAlignment="1">
      <alignment vertical="center"/>
    </xf>
    <xf numFmtId="0" fontId="80" fillId="74" borderId="104" xfId="133" applyFont="1" applyFill="1" applyBorder="1" applyAlignment="1">
      <alignment vertical="center"/>
    </xf>
    <xf numFmtId="0" fontId="17" fillId="7" borderId="105" xfId="0" applyFont="1" applyFill="1" applyBorder="1"/>
    <xf numFmtId="0" fontId="17" fillId="7" borderId="105" xfId="0" applyFont="1" applyFill="1" applyBorder="1" applyAlignment="1">
      <alignment horizontal="center" vertical="center" wrapText="1"/>
    </xf>
    <xf numFmtId="43" fontId="5" fillId="0" borderId="105" xfId="133" applyNumberFormat="1" applyFont="1" applyBorder="1"/>
    <xf numFmtId="164" fontId="5" fillId="0" borderId="104" xfId="133" applyNumberFormat="1" applyFont="1" applyBorder="1"/>
    <xf numFmtId="164" fontId="5" fillId="0" borderId="105" xfId="133" applyNumberFormat="1" applyFont="1" applyBorder="1"/>
    <xf numFmtId="43" fontId="5" fillId="74" borderId="105" xfId="133" applyNumberFormat="1" applyFont="1" applyFill="1" applyBorder="1"/>
    <xf numFmtId="43" fontId="5" fillId="0" borderId="104" xfId="133" applyNumberFormat="1" applyFont="1" applyBorder="1"/>
    <xf numFmtId="0" fontId="17" fillId="7" borderId="106" xfId="0" applyFont="1" applyFill="1" applyBorder="1"/>
    <xf numFmtId="43" fontId="5" fillId="74" borderId="106" xfId="133" applyNumberFormat="1" applyFont="1" applyFill="1" applyBorder="1"/>
    <xf numFmtId="1" fontId="20" fillId="86" borderId="105" xfId="0" applyNumberFormat="1" applyFont="1" applyFill="1" applyBorder="1" applyAlignment="1">
      <alignment horizontal="center" vertical="center" wrapText="1"/>
    </xf>
    <xf numFmtId="168" fontId="5" fillId="74" borderId="105" xfId="132" applyNumberFormat="1" applyFont="1" applyFill="1" applyBorder="1"/>
    <xf numFmtId="0" fontId="22" fillId="0" borderId="96" xfId="0" applyFont="1" applyBorder="1" applyAlignment="1">
      <alignment vertical="top"/>
    </xf>
    <xf numFmtId="9" fontId="27" fillId="0" borderId="0" xfId="4416" applyFont="1"/>
    <xf numFmtId="0" fontId="85" fillId="0" borderId="0" xfId="133" applyFont="1" applyAlignment="1">
      <alignment horizontal="center" vertical="center"/>
    </xf>
    <xf numFmtId="168" fontId="85" fillId="0" borderId="0" xfId="133" applyNumberFormat="1" applyFont="1" applyAlignment="1">
      <alignment horizontal="center" vertical="center"/>
    </xf>
    <xf numFmtId="1" fontId="85" fillId="0" borderId="0" xfId="133" applyNumberFormat="1" applyFont="1" applyAlignment="1">
      <alignment horizontal="center" vertical="center"/>
    </xf>
    <xf numFmtId="9" fontId="85" fillId="0" borderId="0" xfId="4416" applyFont="1" applyAlignment="1">
      <alignment horizontal="center" vertical="center"/>
    </xf>
    <xf numFmtId="179" fontId="128" fillId="0" borderId="0" xfId="0" applyNumberFormat="1" applyFont="1" applyAlignment="1">
      <alignment vertical="top"/>
    </xf>
    <xf numFmtId="179" fontId="16" fillId="0" borderId="0" xfId="133" applyNumberFormat="1" applyFont="1"/>
    <xf numFmtId="0" fontId="5" fillId="67" borderId="0" xfId="133" applyFont="1" applyFill="1"/>
    <xf numFmtId="0" fontId="5" fillId="68" borderId="0" xfId="133" applyFont="1" applyFill="1"/>
    <xf numFmtId="0" fontId="75" fillId="0" borderId="0" xfId="0" applyFont="1" applyAlignment="1">
      <alignment horizontal="center"/>
    </xf>
    <xf numFmtId="0" fontId="147" fillId="0" borderId="0" xfId="133" applyFont="1"/>
    <xf numFmtId="0" fontId="174" fillId="0" borderId="0" xfId="133" applyFont="1"/>
    <xf numFmtId="168" fontId="113" fillId="0" borderId="0" xfId="132" applyNumberFormat="1" applyFont="1"/>
    <xf numFmtId="0" fontId="171" fillId="0" borderId="0" xfId="0" applyFont="1"/>
    <xf numFmtId="0" fontId="167" fillId="0" borderId="0" xfId="133" applyFont="1"/>
    <xf numFmtId="164" fontId="5" fillId="7" borderId="104" xfId="133" applyNumberFormat="1" applyFont="1" applyFill="1" applyBorder="1"/>
    <xf numFmtId="164" fontId="5" fillId="7" borderId="105" xfId="133" applyNumberFormat="1" applyFont="1" applyFill="1" applyBorder="1"/>
    <xf numFmtId="43" fontId="5" fillId="7" borderId="104" xfId="133" applyNumberFormat="1" applyFont="1" applyFill="1" applyBorder="1"/>
    <xf numFmtId="43" fontId="5" fillId="7" borderId="105" xfId="133" applyNumberFormat="1" applyFont="1" applyFill="1" applyBorder="1"/>
    <xf numFmtId="0" fontId="5" fillId="7" borderId="0" xfId="133" applyFont="1" applyFill="1"/>
    <xf numFmtId="0" fontId="28" fillId="0" borderId="104" xfId="0" applyFont="1" applyBorder="1"/>
    <xf numFmtId="0" fontId="0" fillId="0" borderId="104" xfId="0" applyBorder="1" applyAlignment="1">
      <alignment wrapText="1"/>
    </xf>
    <xf numFmtId="43" fontId="5" fillId="0" borderId="106" xfId="133" applyNumberFormat="1" applyFont="1" applyBorder="1"/>
    <xf numFmtId="0" fontId="80" fillId="74" borderId="109" xfId="133" applyFont="1" applyFill="1" applyBorder="1" applyAlignment="1">
      <alignment vertical="center"/>
    </xf>
    <xf numFmtId="0" fontId="17" fillId="7" borderId="105" xfId="0" applyFont="1" applyFill="1" applyBorder="1" applyAlignment="1">
      <alignment horizontal="center"/>
    </xf>
    <xf numFmtId="43" fontId="13" fillId="0" borderId="0" xfId="133" applyNumberFormat="1"/>
    <xf numFmtId="1" fontId="17" fillId="6" borderId="90" xfId="133" applyNumberFormat="1" applyFont="1" applyFill="1" applyBorder="1" applyAlignment="1">
      <alignment horizontal="center" vertical="center" wrapText="1"/>
    </xf>
    <xf numFmtId="0" fontId="17" fillId="7" borderId="90" xfId="0" applyFont="1" applyFill="1" applyBorder="1" applyAlignment="1">
      <alignment horizontal="center" vertical="center" wrapText="1"/>
    </xf>
    <xf numFmtId="44" fontId="5" fillId="7" borderId="104" xfId="0" applyNumberFormat="1" applyFont="1" applyFill="1" applyBorder="1" applyAlignment="1">
      <alignment vertical="top"/>
    </xf>
    <xf numFmtId="39" fontId="5" fillId="85" borderId="104" xfId="0" applyNumberFormat="1" applyFont="1" applyFill="1" applyBorder="1" applyAlignment="1">
      <alignment vertical="top"/>
    </xf>
    <xf numFmtId="0" fontId="110" fillId="0" borderId="0" xfId="0" applyFont="1" applyAlignment="1">
      <alignment horizontal="left" indent="1"/>
    </xf>
    <xf numFmtId="14" fontId="13" fillId="0" borderId="0" xfId="133" applyNumberFormat="1" applyAlignment="1">
      <alignment horizontal="center" vertical="center"/>
    </xf>
    <xf numFmtId="174" fontId="13" fillId="0" borderId="0" xfId="133" applyNumberFormat="1" applyAlignment="1">
      <alignment horizontal="center" vertical="center"/>
    </xf>
    <xf numFmtId="9" fontId="110" fillId="0" borderId="0" xfId="0" applyNumberFormat="1" applyFont="1"/>
    <xf numFmtId="9" fontId="13" fillId="0" borderId="0" xfId="133" applyNumberFormat="1" applyAlignment="1">
      <alignment horizontal="center" vertical="center"/>
    </xf>
    <xf numFmtId="164" fontId="5" fillId="90" borderId="102" xfId="133" applyNumberFormat="1" applyFont="1" applyFill="1" applyBorder="1"/>
    <xf numFmtId="164" fontId="5" fillId="90" borderId="103" xfId="133" applyNumberFormat="1" applyFont="1" applyFill="1" applyBorder="1"/>
    <xf numFmtId="43" fontId="5" fillId="90" borderId="102" xfId="133" applyNumberFormat="1" applyFont="1" applyFill="1" applyBorder="1"/>
    <xf numFmtId="43" fontId="5" fillId="90" borderId="103" xfId="133" applyNumberFormat="1" applyFont="1" applyFill="1" applyBorder="1"/>
    <xf numFmtId="0" fontId="5" fillId="90" borderId="0" xfId="133" applyFont="1" applyFill="1"/>
    <xf numFmtId="0" fontId="13" fillId="90" borderId="0" xfId="133" applyFill="1"/>
    <xf numFmtId="0" fontId="27" fillId="0" borderId="104" xfId="0" applyFont="1" applyBorder="1" applyAlignment="1">
      <alignment vertical="center"/>
    </xf>
    <xf numFmtId="169" fontId="0" fillId="0" borderId="104" xfId="4417" applyNumberFormat="1" applyFont="1" applyBorder="1"/>
    <xf numFmtId="0" fontId="77" fillId="0" borderId="0" xfId="133" applyFont="1"/>
    <xf numFmtId="2" fontId="79" fillId="0" borderId="0" xfId="133" applyNumberFormat="1" applyFont="1"/>
    <xf numFmtId="4" fontId="73" fillId="0" borderId="0" xfId="133" applyNumberFormat="1" applyFont="1"/>
    <xf numFmtId="3" fontId="73" fillId="0" borderId="0" xfId="133" applyNumberFormat="1" applyFont="1"/>
    <xf numFmtId="0" fontId="73" fillId="0" borderId="0" xfId="133" applyFont="1" applyAlignment="1">
      <alignment horizontal="left"/>
    </xf>
    <xf numFmtId="0" fontId="175" fillId="0" borderId="0" xfId="133" applyFont="1"/>
    <xf numFmtId="1" fontId="175" fillId="6" borderId="74" xfId="0" applyNumberFormat="1" applyFont="1" applyFill="1" applyBorder="1" applyAlignment="1">
      <alignment horizontal="center" vertical="center" wrapText="1"/>
    </xf>
    <xf numFmtId="1" fontId="175" fillId="6" borderId="81" xfId="0" applyNumberFormat="1" applyFont="1" applyFill="1" applyBorder="1" applyAlignment="1">
      <alignment horizontal="center" vertical="center" wrapText="1"/>
    </xf>
    <xf numFmtId="189" fontId="13" fillId="0" borderId="0" xfId="133" applyNumberFormat="1"/>
    <xf numFmtId="9" fontId="13" fillId="0" borderId="0" xfId="4416" applyFont="1" applyFill="1"/>
    <xf numFmtId="0" fontId="17" fillId="0" borderId="96" xfId="133" applyFont="1" applyBorder="1" applyAlignment="1">
      <alignment wrapText="1"/>
    </xf>
    <xf numFmtId="168" fontId="107" fillId="0" borderId="106" xfId="132" applyNumberFormat="1" applyFont="1" applyFill="1" applyBorder="1" applyAlignment="1">
      <alignment vertical="top"/>
    </xf>
    <xf numFmtId="168" fontId="107" fillId="0" borderId="104" xfId="132" applyNumberFormat="1" applyFont="1" applyFill="1" applyBorder="1" applyAlignment="1">
      <alignment vertical="top"/>
    </xf>
    <xf numFmtId="168" fontId="107" fillId="0" borderId="105" xfId="132" applyNumberFormat="1" applyFont="1" applyFill="1" applyBorder="1" applyAlignment="1">
      <alignment vertical="top"/>
    </xf>
    <xf numFmtId="0" fontId="107" fillId="0" borderId="96" xfId="0" applyFont="1" applyBorder="1" applyAlignment="1">
      <alignment vertical="top"/>
    </xf>
    <xf numFmtId="0" fontId="155" fillId="0" borderId="0" xfId="0" applyFont="1" applyAlignment="1">
      <alignment vertical="top"/>
    </xf>
    <xf numFmtId="1" fontId="169" fillId="81" borderId="73" xfId="0" applyNumberFormat="1" applyFont="1" applyFill="1" applyBorder="1" applyAlignment="1">
      <alignment horizontal="center" vertical="center" wrapText="1"/>
    </xf>
    <xf numFmtId="1" fontId="169" fillId="81" borderId="74" xfId="0" applyNumberFormat="1" applyFont="1" applyFill="1" applyBorder="1" applyAlignment="1">
      <alignment horizontal="center" vertical="center" wrapText="1"/>
    </xf>
    <xf numFmtId="1" fontId="169" fillId="81" borderId="75" xfId="0" applyNumberFormat="1" applyFont="1" applyFill="1" applyBorder="1" applyAlignment="1">
      <alignment horizontal="center" vertical="center" wrapText="1"/>
    </xf>
    <xf numFmtId="1" fontId="169" fillId="81" borderId="105" xfId="0" applyNumberFormat="1" applyFont="1" applyFill="1" applyBorder="1" applyAlignment="1">
      <alignment horizontal="center" vertical="center" wrapText="1"/>
    </xf>
    <xf numFmtId="0" fontId="172" fillId="0" borderId="0" xfId="133" applyFont="1" applyAlignment="1">
      <alignment wrapText="1"/>
    </xf>
    <xf numFmtId="0" fontId="79" fillId="0" borderId="0" xfId="0" applyFont="1"/>
    <xf numFmtId="0" fontId="176" fillId="0" borderId="0" xfId="0" applyFont="1"/>
    <xf numFmtId="0" fontId="162" fillId="0" borderId="0" xfId="133" applyFont="1"/>
    <xf numFmtId="0" fontId="79" fillId="0" borderId="98" xfId="133" applyFont="1" applyBorder="1" applyAlignment="1">
      <alignment vertical="center"/>
    </xf>
    <xf numFmtId="0" fontId="79" fillId="0" borderId="74" xfId="133" applyFont="1" applyBorder="1" applyAlignment="1">
      <alignment vertical="center"/>
    </xf>
    <xf numFmtId="0" fontId="77" fillId="0" borderId="100" xfId="133" applyFont="1" applyBorder="1" applyAlignment="1">
      <alignment vertical="center"/>
    </xf>
    <xf numFmtId="0" fontId="79" fillId="0" borderId="73" xfId="133" applyFont="1" applyBorder="1" applyAlignment="1">
      <alignment vertical="center"/>
    </xf>
    <xf numFmtId="0" fontId="79" fillId="0" borderId="83" xfId="133" applyFont="1" applyBorder="1" applyAlignment="1">
      <alignment vertical="center"/>
    </xf>
    <xf numFmtId="0" fontId="113" fillId="0" borderId="0" xfId="0" applyFont="1" applyAlignment="1">
      <alignment wrapText="1"/>
    </xf>
    <xf numFmtId="0" fontId="156" fillId="0" borderId="0" xfId="133" applyFont="1" applyAlignment="1">
      <alignment vertical="center"/>
    </xf>
    <xf numFmtId="0" fontId="156" fillId="0" borderId="0" xfId="0" applyFont="1"/>
    <xf numFmtId="44" fontId="149" fillId="0" borderId="0" xfId="4417" applyFont="1" applyBorder="1"/>
    <xf numFmtId="168" fontId="149" fillId="0" borderId="0" xfId="132" applyNumberFormat="1" applyFont="1" applyBorder="1"/>
    <xf numFmtId="0" fontId="127" fillId="0" borderId="0" xfId="0" applyFont="1"/>
    <xf numFmtId="0" fontId="177" fillId="0" borderId="0" xfId="0" applyFont="1" applyAlignment="1">
      <alignment vertical="center"/>
    </xf>
    <xf numFmtId="10" fontId="110" fillId="0" borderId="0" xfId="0" applyNumberFormat="1" applyFont="1" applyAlignment="1">
      <alignment horizontal="left" indent="1"/>
    </xf>
    <xf numFmtId="44" fontId="5" fillId="0" borderId="0" xfId="4417" applyFont="1" applyBorder="1" applyAlignment="1">
      <alignment vertical="top"/>
    </xf>
    <xf numFmtId="185" fontId="110" fillId="0" borderId="0" xfId="4417" applyNumberFormat="1" applyFont="1" applyBorder="1"/>
    <xf numFmtId="10" fontId="110" fillId="0" borderId="0" xfId="0" applyNumberFormat="1" applyFont="1" applyAlignment="1">
      <alignment horizontal="right" indent="1"/>
    </xf>
    <xf numFmtId="10" fontId="127" fillId="0" borderId="0" xfId="0" applyNumberFormat="1" applyFont="1" applyAlignment="1">
      <alignment horizontal="left" indent="1"/>
    </xf>
    <xf numFmtId="185" fontId="127" fillId="0" borderId="0" xfId="4417" applyNumberFormat="1" applyFont="1" applyBorder="1"/>
    <xf numFmtId="0" fontId="42" fillId="0" borderId="0" xfId="0" applyFont="1" applyAlignment="1">
      <alignment vertical="top"/>
    </xf>
    <xf numFmtId="0" fontId="179" fillId="0" borderId="42" xfId="0" applyFont="1" applyBorder="1"/>
    <xf numFmtId="176" fontId="110" fillId="0" borderId="0" xfId="0" applyNumberFormat="1" applyFont="1"/>
    <xf numFmtId="44" fontId="110" fillId="0" borderId="0" xfId="4417" applyFont="1"/>
    <xf numFmtId="0" fontId="42" fillId="0" borderId="0" xfId="0" applyFont="1" applyAlignment="1">
      <alignment horizontal="center" vertical="center"/>
    </xf>
    <xf numFmtId="0" fontId="42" fillId="0" borderId="0" xfId="0" applyFont="1" applyAlignment="1">
      <alignment vertical="center" wrapText="1"/>
    </xf>
    <xf numFmtId="0" fontId="42" fillId="0" borderId="0" xfId="0" applyFont="1" applyAlignment="1">
      <alignment horizontal="right" vertical="center" wrapText="1"/>
    </xf>
    <xf numFmtId="0" fontId="5" fillId="0" borderId="0" xfId="0" applyFont="1" applyAlignment="1">
      <alignment horizontal="left" vertical="center"/>
    </xf>
    <xf numFmtId="0" fontId="5" fillId="0" borderId="0" xfId="0" applyFont="1" applyAlignment="1">
      <alignment vertical="center" wrapText="1"/>
    </xf>
    <xf numFmtId="3" fontId="5" fillId="0" borderId="0" xfId="0" applyNumberFormat="1" applyFont="1" applyAlignment="1">
      <alignment vertical="center" wrapText="1"/>
    </xf>
    <xf numFmtId="10" fontId="5" fillId="0" borderId="0" xfId="0" applyNumberFormat="1" applyFont="1" applyAlignment="1">
      <alignment horizontal="right" vertical="center" wrapText="1"/>
    </xf>
    <xf numFmtId="3" fontId="5" fillId="0" borderId="0" xfId="0" applyNumberFormat="1" applyFont="1" applyAlignment="1">
      <alignment horizontal="right" vertical="center" wrapText="1"/>
    </xf>
    <xf numFmtId="0" fontId="5" fillId="0" borderId="0" xfId="0" applyFont="1" applyAlignment="1">
      <alignment horizontal="right" vertical="center" wrapText="1"/>
    </xf>
    <xf numFmtId="0" fontId="42" fillId="88" borderId="23" xfId="0" applyFont="1" applyFill="1" applyBorder="1" applyAlignment="1">
      <alignment horizontal="right" vertical="center" wrapText="1"/>
    </xf>
    <xf numFmtId="0" fontId="42" fillId="0" borderId="21" xfId="0" applyFont="1" applyBorder="1" applyAlignment="1">
      <alignment vertical="center" wrapText="1"/>
    </xf>
    <xf numFmtId="3" fontId="42" fillId="0" borderId="23" xfId="0" applyNumberFormat="1" applyFont="1" applyBorder="1" applyAlignment="1">
      <alignment horizontal="right" vertical="center" wrapText="1"/>
    </xf>
    <xf numFmtId="0" fontId="42" fillId="0" borderId="23" xfId="0" applyFont="1" applyBorder="1" applyAlignment="1">
      <alignment horizontal="right" vertical="center" wrapText="1"/>
    </xf>
    <xf numFmtId="4" fontId="42" fillId="0" borderId="23" xfId="0" applyNumberFormat="1" applyFont="1" applyBorder="1" applyAlignment="1">
      <alignment horizontal="right" vertical="center" wrapText="1"/>
    </xf>
    <xf numFmtId="0" fontId="42" fillId="88" borderId="22" xfId="0" applyFont="1" applyFill="1" applyBorder="1" applyAlignment="1">
      <alignment horizontal="right" vertical="center" wrapText="1"/>
    </xf>
    <xf numFmtId="0" fontId="5" fillId="0" borderId="21" xfId="0" applyFont="1" applyBorder="1" applyAlignment="1">
      <alignment vertical="center" wrapText="1"/>
    </xf>
    <xf numFmtId="10" fontId="5" fillId="0" borderId="23" xfId="0" applyNumberFormat="1" applyFont="1" applyBorder="1" applyAlignment="1">
      <alignment horizontal="right" vertical="center" wrapText="1"/>
    </xf>
    <xf numFmtId="3" fontId="5" fillId="0" borderId="23" xfId="0" applyNumberFormat="1" applyFont="1" applyBorder="1" applyAlignment="1">
      <alignment horizontal="right" vertical="center" wrapText="1"/>
    </xf>
    <xf numFmtId="0" fontId="5" fillId="0" borderId="23" xfId="0" applyFont="1" applyBorder="1" applyAlignment="1">
      <alignment horizontal="right" vertical="center" wrapText="1"/>
    </xf>
    <xf numFmtId="3" fontId="42" fillId="0" borderId="0" xfId="0" applyNumberFormat="1" applyFont="1" applyAlignment="1">
      <alignment horizontal="right" vertical="center" wrapText="1"/>
    </xf>
    <xf numFmtId="10" fontId="42" fillId="0" borderId="0" xfId="0" applyNumberFormat="1" applyFont="1" applyAlignment="1">
      <alignment horizontal="right" vertical="center" wrapText="1"/>
    </xf>
    <xf numFmtId="0" fontId="5" fillId="11" borderId="21" xfId="0" applyFont="1" applyFill="1" applyBorder="1" applyAlignment="1">
      <alignment vertical="center" wrapText="1"/>
    </xf>
    <xf numFmtId="10" fontId="5" fillId="11" borderId="23" xfId="0" applyNumberFormat="1" applyFont="1" applyFill="1" applyBorder="1" applyAlignment="1">
      <alignment horizontal="right" vertical="center" wrapText="1"/>
    </xf>
    <xf numFmtId="3" fontId="5" fillId="11" borderId="23" xfId="0" applyNumberFormat="1" applyFont="1" applyFill="1" applyBorder="1" applyAlignment="1">
      <alignment horizontal="right" vertical="center" wrapText="1"/>
    </xf>
    <xf numFmtId="0" fontId="5" fillId="11" borderId="23" xfId="0" applyFont="1" applyFill="1" applyBorder="1" applyAlignment="1">
      <alignment horizontal="right" vertical="center" wrapText="1"/>
    </xf>
    <xf numFmtId="10" fontId="42" fillId="0" borderId="23" xfId="0" applyNumberFormat="1" applyFont="1" applyBorder="1" applyAlignment="1">
      <alignment horizontal="right" vertical="center" wrapText="1"/>
    </xf>
    <xf numFmtId="0" fontId="127" fillId="0" borderId="26" xfId="0" applyFont="1" applyBorder="1" applyAlignment="1">
      <alignment horizontal="left"/>
    </xf>
    <xf numFmtId="0" fontId="178" fillId="0" borderId="0" xfId="4431" applyFont="1"/>
    <xf numFmtId="0" fontId="110" fillId="0" borderId="0" xfId="0" applyFont="1" applyAlignment="1">
      <alignment horizontal="right" indent="1"/>
    </xf>
    <xf numFmtId="0" fontId="173" fillId="0" borderId="0" xfId="0" applyFont="1"/>
    <xf numFmtId="39" fontId="5" fillId="0" borderId="0" xfId="132" applyNumberFormat="1" applyFont="1" applyFill="1" applyBorder="1"/>
    <xf numFmtId="0" fontId="5" fillId="0" borderId="0" xfId="0" applyFont="1" applyAlignment="1">
      <alignment vertical="top"/>
    </xf>
    <xf numFmtId="43" fontId="13" fillId="0" borderId="0" xfId="132" applyFont="1" applyFill="1" applyBorder="1"/>
    <xf numFmtId="44" fontId="13" fillId="0" borderId="0" xfId="4417" applyFont="1" applyFill="1" applyBorder="1"/>
    <xf numFmtId="43" fontId="109" fillId="0" borderId="0" xfId="132" applyFont="1" applyFill="1" applyBorder="1"/>
    <xf numFmtId="44" fontId="109" fillId="0" borderId="0" xfId="4417" applyFont="1" applyFill="1" applyBorder="1"/>
    <xf numFmtId="164" fontId="5" fillId="0" borderId="75" xfId="133" applyNumberFormat="1" applyFont="1" applyBorder="1"/>
    <xf numFmtId="43" fontId="5" fillId="0" borderId="88" xfId="133" applyNumberFormat="1" applyFont="1" applyBorder="1"/>
    <xf numFmtId="43" fontId="5" fillId="0" borderId="90" xfId="133" applyNumberFormat="1" applyFont="1" applyBorder="1"/>
    <xf numFmtId="44" fontId="5" fillId="0" borderId="106" xfId="133" applyNumberFormat="1" applyFont="1" applyBorder="1" applyAlignment="1">
      <alignment vertical="center"/>
    </xf>
    <xf numFmtId="0" fontId="21" fillId="86" borderId="104" xfId="133" applyFont="1" applyFill="1" applyBorder="1" applyAlignment="1">
      <alignment horizontal="center" vertical="center"/>
    </xf>
    <xf numFmtId="1" fontId="169" fillId="86" borderId="104" xfId="0" applyNumberFormat="1" applyFont="1" applyFill="1" applyBorder="1" applyAlignment="1">
      <alignment horizontal="center" vertical="center" wrapText="1"/>
    </xf>
    <xf numFmtId="1" fontId="169" fillId="81" borderId="104" xfId="0" applyNumberFormat="1" applyFont="1" applyFill="1" applyBorder="1" applyAlignment="1">
      <alignment horizontal="center" vertical="center" wrapText="1"/>
    </xf>
    <xf numFmtId="0" fontId="79" fillId="0" borderId="106" xfId="133" applyFont="1" applyBorder="1" applyAlignment="1">
      <alignment vertical="center"/>
    </xf>
    <xf numFmtId="169" fontId="107" fillId="0" borderId="104" xfId="4417" applyNumberFormat="1" applyFont="1" applyFill="1" applyBorder="1" applyAlignment="1">
      <alignment vertical="top"/>
    </xf>
    <xf numFmtId="0" fontId="42" fillId="0" borderId="104" xfId="133" applyFont="1" applyBorder="1" applyAlignment="1">
      <alignment vertical="center"/>
    </xf>
    <xf numFmtId="168" fontId="22" fillId="0" borderId="104" xfId="132" applyNumberFormat="1" applyFont="1" applyFill="1" applyBorder="1" applyAlignment="1">
      <alignment vertical="top"/>
    </xf>
    <xf numFmtId="169" fontId="22" fillId="0" borderId="104" xfId="4417" applyNumberFormat="1" applyFont="1" applyFill="1" applyBorder="1" applyAlignment="1">
      <alignment vertical="top"/>
    </xf>
    <xf numFmtId="0" fontId="18" fillId="7" borderId="102" xfId="0" applyFont="1" applyFill="1" applyBorder="1" applyAlignment="1">
      <alignment horizontal="center"/>
    </xf>
    <xf numFmtId="0" fontId="18" fillId="7" borderId="105" xfId="0" applyFont="1" applyFill="1" applyBorder="1" applyAlignment="1">
      <alignment horizontal="center"/>
    </xf>
    <xf numFmtId="0" fontId="21" fillId="86" borderId="104" xfId="133" applyFont="1" applyFill="1" applyBorder="1" applyAlignment="1">
      <alignment vertical="center"/>
    </xf>
    <xf numFmtId="0" fontId="14" fillId="5" borderId="105" xfId="133" applyFont="1" applyFill="1" applyBorder="1" applyAlignment="1">
      <alignment horizontal="center" vertical="center"/>
    </xf>
    <xf numFmtId="0" fontId="17" fillId="5" borderId="104" xfId="133" applyFont="1" applyFill="1" applyBorder="1" applyAlignment="1">
      <alignment horizontal="center" vertical="center" wrapText="1"/>
    </xf>
    <xf numFmtId="1" fontId="20" fillId="86" borderId="104" xfId="0" applyNumberFormat="1" applyFont="1" applyFill="1" applyBorder="1" applyAlignment="1">
      <alignment horizontal="center" vertical="center" wrapText="1"/>
    </xf>
    <xf numFmtId="0" fontId="22" fillId="0" borderId="104" xfId="0" applyFont="1" applyBorder="1" applyAlignment="1">
      <alignment vertical="top"/>
    </xf>
    <xf numFmtId="0" fontId="5" fillId="0" borderId="104" xfId="133" applyFont="1" applyBorder="1" applyAlignment="1">
      <alignment horizontal="right" vertical="center"/>
    </xf>
    <xf numFmtId="0" fontId="5" fillId="0" borderId="104" xfId="133" applyFont="1" applyBorder="1" applyAlignment="1">
      <alignment vertical="center"/>
    </xf>
    <xf numFmtId="0" fontId="107" fillId="0" borderId="104" xfId="0" applyFont="1" applyBorder="1" applyAlignment="1">
      <alignment vertical="top"/>
    </xf>
    <xf numFmtId="168" fontId="107" fillId="0" borderId="126" xfId="132" applyNumberFormat="1" applyFont="1" applyFill="1" applyBorder="1" applyAlignment="1">
      <alignment vertical="top"/>
    </xf>
    <xf numFmtId="168" fontId="107" fillId="0" borderId="127" xfId="132" applyNumberFormat="1" applyFont="1" applyFill="1" applyBorder="1" applyAlignment="1">
      <alignment vertical="top"/>
    </xf>
    <xf numFmtId="168" fontId="107" fillId="0" borderId="128" xfId="132" applyNumberFormat="1" applyFont="1" applyFill="1" applyBorder="1" applyAlignment="1">
      <alignment vertical="top"/>
    </xf>
    <xf numFmtId="168" fontId="107" fillId="0" borderId="129" xfId="132" applyNumberFormat="1" applyFont="1" applyFill="1" applyBorder="1" applyAlignment="1">
      <alignment vertical="top"/>
    </xf>
    <xf numFmtId="168" fontId="107" fillId="0" borderId="130" xfId="132" applyNumberFormat="1" applyFont="1" applyFill="1" applyBorder="1" applyAlignment="1">
      <alignment vertical="top"/>
    </xf>
    <xf numFmtId="1" fontId="175" fillId="6" borderId="104" xfId="0" applyNumberFormat="1" applyFont="1" applyFill="1" applyBorder="1" applyAlignment="1">
      <alignment horizontal="center" vertical="center" wrapText="1"/>
    </xf>
    <xf numFmtId="0" fontId="175" fillId="7" borderId="104" xfId="0" applyFont="1" applyFill="1" applyBorder="1" applyAlignment="1">
      <alignment horizontal="center"/>
    </xf>
    <xf numFmtId="0" fontId="17" fillId="0" borderId="104" xfId="133" applyFont="1" applyBorder="1" applyAlignment="1">
      <alignment horizontal="center" vertical="center" wrapText="1"/>
    </xf>
    <xf numFmtId="1" fontId="17" fillId="0" borderId="106" xfId="133" applyNumberFormat="1" applyFont="1" applyBorder="1" applyAlignment="1">
      <alignment horizontal="center" vertical="center" wrapText="1"/>
    </xf>
    <xf numFmtId="1" fontId="17" fillId="0" borderId="104" xfId="0" applyNumberFormat="1" applyFont="1" applyBorder="1" applyAlignment="1">
      <alignment horizontal="center" vertical="center" wrapText="1"/>
    </xf>
    <xf numFmtId="0" fontId="17" fillId="0" borderId="104" xfId="0" applyFont="1" applyBorder="1" applyAlignment="1">
      <alignment horizontal="center" vertical="center" wrapText="1"/>
    </xf>
    <xf numFmtId="0" fontId="112" fillId="82" borderId="104" xfId="133" applyFont="1" applyFill="1" applyBorder="1" applyAlignment="1">
      <alignment horizontal="center" wrapText="1"/>
    </xf>
    <xf numFmtId="0" fontId="112" fillId="81" borderId="104" xfId="133" applyFont="1" applyFill="1" applyBorder="1" applyAlignment="1">
      <alignment horizontal="center" wrapText="1"/>
    </xf>
    <xf numFmtId="0" fontId="79" fillId="0" borderId="104" xfId="0" applyFont="1" applyBorder="1"/>
    <xf numFmtId="0" fontId="77" fillId="0" borderId="106" xfId="133" applyFont="1" applyBorder="1" applyAlignment="1">
      <alignment vertical="center"/>
    </xf>
    <xf numFmtId="0" fontId="77" fillId="0" borderId="104" xfId="0" applyFont="1" applyBorder="1"/>
    <xf numFmtId="0" fontId="77" fillId="0" borderId="104" xfId="133" applyFont="1" applyBorder="1" applyAlignment="1">
      <alignment vertical="center"/>
    </xf>
    <xf numFmtId="9" fontId="77" fillId="0" borderId="104" xfId="133" applyNumberFormat="1" applyFont="1" applyBorder="1" applyAlignment="1">
      <alignment vertical="center"/>
    </xf>
    <xf numFmtId="0" fontId="79" fillId="0" borderId="131" xfId="133" applyFont="1" applyBorder="1" applyAlignment="1">
      <alignment vertical="center"/>
    </xf>
    <xf numFmtId="0" fontId="77" fillId="0" borderId="108" xfId="133" applyFont="1" applyBorder="1" applyAlignment="1">
      <alignment vertical="center"/>
    </xf>
    <xf numFmtId="0" fontId="77" fillId="0" borderId="107" xfId="133" applyFont="1" applyBorder="1" applyAlignment="1">
      <alignment vertical="center"/>
    </xf>
    <xf numFmtId="0" fontId="110" fillId="0" borderId="104" xfId="0" applyFont="1" applyBorder="1"/>
    <xf numFmtId="0" fontId="127" fillId="0" borderId="104" xfId="0" applyFont="1" applyBorder="1"/>
    <xf numFmtId="1" fontId="15" fillId="8" borderId="106" xfId="133" applyNumberFormat="1" applyFont="1" applyFill="1" applyBorder="1" applyAlignment="1">
      <alignment horizontal="center" vertical="center" wrapText="1"/>
    </xf>
    <xf numFmtId="1" fontId="17" fillId="6" borderId="126" xfId="0" applyNumberFormat="1" applyFont="1" applyFill="1" applyBorder="1" applyAlignment="1">
      <alignment horizontal="center" vertical="center" wrapText="1"/>
    </xf>
    <xf numFmtId="1" fontId="17" fillId="6" borderId="127" xfId="0" applyNumberFormat="1" applyFont="1" applyFill="1" applyBorder="1" applyAlignment="1">
      <alignment horizontal="center" vertical="center" wrapText="1"/>
    </xf>
    <xf numFmtId="0" fontId="17" fillId="7" borderId="126" xfId="0" applyFont="1" applyFill="1" applyBorder="1"/>
    <xf numFmtId="0" fontId="17" fillId="7" borderId="127" xfId="0" applyFont="1" applyFill="1" applyBorder="1"/>
    <xf numFmtId="0" fontId="17" fillId="3" borderId="104" xfId="133" applyFont="1" applyFill="1" applyBorder="1" applyAlignment="1">
      <alignment wrapText="1"/>
    </xf>
    <xf numFmtId="0" fontId="17" fillId="4" borderId="104" xfId="133" applyFont="1" applyFill="1" applyBorder="1" applyAlignment="1">
      <alignment wrapText="1"/>
    </xf>
    <xf numFmtId="0" fontId="17" fillId="66" borderId="104" xfId="133" applyFont="1" applyFill="1" applyBorder="1" applyAlignment="1">
      <alignment horizontal="center" vertical="center" wrapText="1"/>
    </xf>
    <xf numFmtId="0" fontId="17" fillId="5" borderId="104" xfId="133" applyFont="1" applyFill="1" applyBorder="1" applyAlignment="1">
      <alignment horizontal="center" wrapText="1"/>
    </xf>
    <xf numFmtId="0" fontId="150" fillId="5" borderId="104" xfId="133" applyFont="1" applyFill="1" applyBorder="1" applyAlignment="1">
      <alignment horizontal="center" wrapText="1"/>
    </xf>
    <xf numFmtId="1" fontId="17" fillId="8" borderId="104" xfId="133" applyNumberFormat="1" applyFont="1" applyFill="1" applyBorder="1" applyAlignment="1">
      <alignment horizontal="center" vertical="center"/>
    </xf>
    <xf numFmtId="1" fontId="17" fillId="8" borderId="104" xfId="133" applyNumberFormat="1" applyFont="1" applyFill="1" applyBorder="1" applyAlignment="1">
      <alignment horizontal="center" vertical="center" wrapText="1"/>
    </xf>
    <xf numFmtId="1" fontId="17" fillId="8" borderId="106" xfId="133" applyNumberFormat="1" applyFont="1" applyFill="1" applyBorder="1" applyAlignment="1">
      <alignment horizontal="center" vertical="center" wrapText="1"/>
    </xf>
    <xf numFmtId="1" fontId="17" fillId="6" borderId="126" xfId="133" applyNumberFormat="1" applyFont="1" applyFill="1" applyBorder="1" applyAlignment="1">
      <alignment horizontal="center" vertical="center" wrapText="1"/>
    </xf>
    <xf numFmtId="1" fontId="150" fillId="6" borderId="127" xfId="133" applyNumberFormat="1" applyFont="1" applyFill="1" applyBorder="1" applyAlignment="1">
      <alignment horizontal="center" vertical="center" wrapText="1"/>
    </xf>
    <xf numFmtId="1" fontId="150" fillId="6" borderId="106" xfId="133" applyNumberFormat="1" applyFont="1" applyFill="1" applyBorder="1" applyAlignment="1">
      <alignment horizontal="center" vertical="center" wrapText="1"/>
    </xf>
    <xf numFmtId="0" fontId="5" fillId="0" borderId="104" xfId="0" applyFont="1" applyBorder="1" applyAlignment="1">
      <alignment vertical="top"/>
    </xf>
    <xf numFmtId="44" fontId="5" fillId="0" borderId="104" xfId="4417" applyFont="1" applyFill="1" applyBorder="1" applyAlignment="1">
      <alignment horizontal="center" vertical="center"/>
    </xf>
    <xf numFmtId="6" fontId="5" fillId="0" borderId="104" xfId="4417" applyNumberFormat="1" applyFont="1" applyFill="1" applyBorder="1" applyAlignment="1">
      <alignment horizontal="center" vertical="center"/>
    </xf>
    <xf numFmtId="169" fontId="5" fillId="0" borderId="104" xfId="4417" applyNumberFormat="1" applyFont="1" applyFill="1" applyBorder="1" applyAlignment="1">
      <alignment horizontal="center" vertical="center"/>
    </xf>
    <xf numFmtId="44" fontId="5" fillId="0" borderId="104" xfId="4417" applyFont="1" applyFill="1" applyBorder="1" applyAlignment="1">
      <alignment horizontal="left" vertical="center"/>
    </xf>
    <xf numFmtId="6" fontId="5" fillId="0" borderId="104" xfId="4417" applyNumberFormat="1" applyFont="1" applyFill="1" applyBorder="1" applyAlignment="1">
      <alignment horizontal="left" vertical="center"/>
    </xf>
    <xf numFmtId="6" fontId="5" fillId="0" borderId="104" xfId="4417" applyNumberFormat="1" applyFont="1" applyFill="1" applyBorder="1" applyAlignment="1">
      <alignment horizontal="right" vertical="center"/>
    </xf>
    <xf numFmtId="2" fontId="5" fillId="0" borderId="104" xfId="133" applyNumberFormat="1" applyFont="1" applyBorder="1" applyAlignment="1">
      <alignment horizontal="left" vertical="center"/>
    </xf>
    <xf numFmtId="0" fontId="5" fillId="0" borderId="104" xfId="133" applyFont="1" applyBorder="1" applyAlignment="1">
      <alignment horizontal="left" vertical="center"/>
    </xf>
    <xf numFmtId="9" fontId="5" fillId="0" borderId="104" xfId="4416" applyFont="1" applyFill="1" applyBorder="1" applyAlignment="1">
      <alignment horizontal="right" vertical="center"/>
    </xf>
    <xf numFmtId="0" fontId="5" fillId="0" borderId="104" xfId="132" applyNumberFormat="1" applyFont="1" applyFill="1" applyBorder="1" applyAlignment="1">
      <alignment horizontal="right" vertical="center"/>
    </xf>
    <xf numFmtId="1" fontId="5" fillId="0" borderId="104" xfId="132" applyNumberFormat="1" applyFont="1" applyFill="1" applyBorder="1" applyAlignment="1">
      <alignment horizontal="right" vertical="center"/>
    </xf>
    <xf numFmtId="0" fontId="5" fillId="0" borderId="104" xfId="133" applyFont="1" applyBorder="1"/>
    <xf numFmtId="9" fontId="5" fillId="0" borderId="104" xfId="133" applyNumberFormat="1" applyFont="1" applyBorder="1" applyAlignment="1">
      <alignment horizontal="left" vertical="center"/>
    </xf>
    <xf numFmtId="9" fontId="5" fillId="0" borderId="106" xfId="133" applyNumberFormat="1" applyFont="1" applyBorder="1" applyAlignment="1">
      <alignment horizontal="left" vertical="center"/>
    </xf>
    <xf numFmtId="169" fontId="5" fillId="0" borderId="126" xfId="133" applyNumberFormat="1" applyFont="1" applyBorder="1" applyAlignment="1">
      <alignment vertical="center"/>
    </xf>
    <xf numFmtId="8" fontId="5" fillId="0" borderId="127" xfId="133" applyNumberFormat="1" applyFont="1" applyBorder="1" applyAlignment="1">
      <alignment vertical="center"/>
    </xf>
    <xf numFmtId="8" fontId="5" fillId="0" borderId="106" xfId="133" applyNumberFormat="1" applyFont="1" applyBorder="1" applyAlignment="1">
      <alignment vertical="center"/>
    </xf>
    <xf numFmtId="8" fontId="5" fillId="0" borderId="126" xfId="133" applyNumberFormat="1" applyFont="1" applyBorder="1" applyAlignment="1">
      <alignment vertical="center"/>
    </xf>
    <xf numFmtId="43" fontId="5" fillId="0" borderId="126" xfId="133" applyNumberFormat="1" applyFont="1" applyBorder="1"/>
    <xf numFmtId="43" fontId="5" fillId="0" borderId="127" xfId="133" applyNumberFormat="1" applyFont="1" applyBorder="1"/>
    <xf numFmtId="164" fontId="5" fillId="0" borderId="126" xfId="133" applyNumberFormat="1" applyFont="1" applyBorder="1"/>
    <xf numFmtId="164" fontId="5" fillId="0" borderId="127" xfId="133" applyNumberFormat="1" applyFont="1" applyBorder="1"/>
    <xf numFmtId="164" fontId="5" fillId="0" borderId="106" xfId="133" applyNumberFormat="1" applyFont="1" applyBorder="1"/>
    <xf numFmtId="168" fontId="5" fillId="0" borderId="105" xfId="132" applyNumberFormat="1" applyFont="1" applyBorder="1"/>
    <xf numFmtId="166" fontId="5" fillId="0" borderId="104" xfId="133" applyNumberFormat="1" applyFont="1" applyBorder="1"/>
    <xf numFmtId="0" fontId="5" fillId="74" borderId="104" xfId="133" applyFont="1" applyFill="1" applyBorder="1" applyAlignment="1">
      <alignment vertical="center"/>
    </xf>
    <xf numFmtId="0" fontId="5" fillId="74" borderId="104" xfId="0" applyFont="1" applyFill="1" applyBorder="1" applyAlignment="1">
      <alignment vertical="top"/>
    </xf>
    <xf numFmtId="44" fontId="5" fillId="74" borderId="104" xfId="4417" applyFont="1" applyFill="1" applyBorder="1" applyAlignment="1">
      <alignment horizontal="center" vertical="center"/>
    </xf>
    <xf numFmtId="169" fontId="5" fillId="74" borderId="104" xfId="4417" applyNumberFormat="1" applyFont="1" applyFill="1" applyBorder="1" applyAlignment="1">
      <alignment horizontal="center" vertical="center"/>
    </xf>
    <xf numFmtId="0" fontId="5" fillId="74" borderId="104" xfId="133" applyFont="1" applyFill="1" applyBorder="1" applyAlignment="1">
      <alignment horizontal="left" vertical="center"/>
    </xf>
    <xf numFmtId="44" fontId="5" fillId="74" borderId="104" xfId="4417" applyFont="1" applyFill="1" applyBorder="1" applyAlignment="1">
      <alignment horizontal="left" vertical="center"/>
    </xf>
    <xf numFmtId="44" fontId="5" fillId="74" borderId="104" xfId="4417" applyFont="1" applyFill="1" applyBorder="1" applyAlignment="1">
      <alignment horizontal="right" vertical="center"/>
    </xf>
    <xf numFmtId="168" fontId="5" fillId="74" borderId="104" xfId="133" applyNumberFormat="1" applyFont="1" applyFill="1" applyBorder="1" applyAlignment="1">
      <alignment horizontal="left" vertical="center"/>
    </xf>
    <xf numFmtId="2" fontId="5" fillId="74" borderId="104" xfId="133" applyNumberFormat="1" applyFont="1" applyFill="1" applyBorder="1" applyAlignment="1">
      <alignment horizontal="left" vertical="center"/>
    </xf>
    <xf numFmtId="9" fontId="5" fillId="74" borderId="104" xfId="4416" applyFont="1" applyFill="1" applyBorder="1" applyAlignment="1">
      <alignment horizontal="right" vertical="center"/>
    </xf>
    <xf numFmtId="0" fontId="5" fillId="74" borderId="104" xfId="132" applyNumberFormat="1" applyFont="1" applyFill="1" applyBorder="1" applyAlignment="1">
      <alignment horizontal="right" vertical="center"/>
    </xf>
    <xf numFmtId="0" fontId="5" fillId="74" borderId="104" xfId="133" applyFont="1" applyFill="1" applyBorder="1" applyAlignment="1">
      <alignment horizontal="right" vertical="center"/>
    </xf>
    <xf numFmtId="1" fontId="5" fillId="74" borderId="104" xfId="132" applyNumberFormat="1" applyFont="1" applyFill="1" applyBorder="1" applyAlignment="1">
      <alignment horizontal="right" vertical="center"/>
    </xf>
    <xf numFmtId="168" fontId="5" fillId="74" borderId="104" xfId="132" applyNumberFormat="1" applyFont="1" applyFill="1" applyBorder="1" applyAlignment="1">
      <alignment horizontal="left" vertical="center"/>
    </xf>
    <xf numFmtId="0" fontId="110" fillId="74" borderId="104" xfId="0" applyFont="1" applyFill="1" applyBorder="1"/>
    <xf numFmtId="0" fontId="5" fillId="74" borderId="106" xfId="133" applyFont="1" applyFill="1" applyBorder="1" applyAlignment="1">
      <alignment horizontal="left" vertical="center"/>
    </xf>
    <xf numFmtId="8" fontId="5" fillId="74" borderId="126" xfId="133" applyNumberFormat="1" applyFont="1" applyFill="1" applyBorder="1" applyAlignment="1">
      <alignment vertical="center"/>
    </xf>
    <xf numFmtId="8" fontId="5" fillId="74" borderId="104" xfId="133" applyNumberFormat="1" applyFont="1" applyFill="1" applyBorder="1" applyAlignment="1">
      <alignment vertical="center"/>
    </xf>
    <xf numFmtId="8" fontId="5" fillId="74" borderId="127" xfId="133" applyNumberFormat="1" applyFont="1" applyFill="1" applyBorder="1" applyAlignment="1">
      <alignment vertical="center"/>
    </xf>
    <xf numFmtId="8" fontId="5" fillId="74" borderId="105" xfId="133" applyNumberFormat="1" applyFont="1" applyFill="1" applyBorder="1" applyAlignment="1">
      <alignment vertical="center"/>
    </xf>
    <xf numFmtId="8" fontId="5" fillId="74" borderId="106" xfId="133" applyNumberFormat="1" applyFont="1" applyFill="1" applyBorder="1" applyAlignment="1">
      <alignment vertical="center"/>
    </xf>
    <xf numFmtId="43" fontId="5" fillId="74" borderId="126" xfId="133" applyNumberFormat="1" applyFont="1" applyFill="1" applyBorder="1"/>
    <xf numFmtId="43" fontId="5" fillId="74" borderId="127" xfId="133" applyNumberFormat="1" applyFont="1" applyFill="1" applyBorder="1"/>
    <xf numFmtId="164" fontId="5" fillId="74" borderId="126" xfId="133" applyNumberFormat="1" applyFont="1" applyFill="1" applyBorder="1"/>
    <xf numFmtId="164" fontId="5" fillId="74" borderId="127" xfId="133" applyNumberFormat="1" applyFont="1" applyFill="1" applyBorder="1"/>
    <xf numFmtId="164" fontId="5" fillId="74" borderId="106" xfId="133" applyNumberFormat="1" applyFont="1" applyFill="1" applyBorder="1"/>
    <xf numFmtId="166" fontId="5" fillId="74" borderId="104" xfId="133" applyNumberFormat="1" applyFont="1" applyFill="1" applyBorder="1"/>
    <xf numFmtId="168" fontId="5" fillId="74" borderId="104" xfId="132" applyNumberFormat="1" applyFont="1" applyFill="1" applyBorder="1"/>
    <xf numFmtId="168" fontId="5" fillId="74" borderId="104" xfId="133" applyNumberFormat="1" applyFont="1" applyFill="1" applyBorder="1"/>
    <xf numFmtId="2" fontId="5" fillId="74" borderId="104" xfId="133" applyNumberFormat="1" applyFont="1" applyFill="1" applyBorder="1" applyAlignment="1">
      <alignment horizontal="right" vertical="center"/>
    </xf>
    <xf numFmtId="0" fontId="81" fillId="74" borderId="104" xfId="0" applyFont="1" applyFill="1" applyBorder="1" applyAlignment="1">
      <alignment vertical="top"/>
    </xf>
    <xf numFmtId="0" fontId="0" fillId="74" borderId="104" xfId="0" applyFill="1" applyBorder="1"/>
    <xf numFmtId="8" fontId="5" fillId="74" borderId="107" xfId="133" applyNumberFormat="1" applyFont="1" applyFill="1" applyBorder="1" applyAlignment="1">
      <alignment vertical="center"/>
    </xf>
    <xf numFmtId="8" fontId="5" fillId="74" borderId="129" xfId="133" applyNumberFormat="1" applyFont="1" applyFill="1" applyBorder="1" applyAlignment="1">
      <alignment vertical="center"/>
    </xf>
    <xf numFmtId="8" fontId="5" fillId="74" borderId="109" xfId="133" applyNumberFormat="1" applyFont="1" applyFill="1" applyBorder="1" applyAlignment="1">
      <alignment vertical="center"/>
    </xf>
    <xf numFmtId="8" fontId="5" fillId="74" borderId="135" xfId="133" applyNumberFormat="1" applyFont="1" applyFill="1" applyBorder="1" applyAlignment="1">
      <alignment vertical="center"/>
    </xf>
    <xf numFmtId="8" fontId="5" fillId="74" borderId="133" xfId="133" applyNumberFormat="1" applyFont="1" applyFill="1" applyBorder="1" applyAlignment="1">
      <alignment vertical="center"/>
    </xf>
    <xf numFmtId="43" fontId="5" fillId="74" borderId="129" xfId="133" applyNumberFormat="1" applyFont="1" applyFill="1" applyBorder="1"/>
    <xf numFmtId="43" fontId="5" fillId="74" borderId="135" xfId="133" applyNumberFormat="1" applyFont="1" applyFill="1" applyBorder="1"/>
    <xf numFmtId="43" fontId="5" fillId="74" borderId="133" xfId="133" applyNumberFormat="1" applyFont="1" applyFill="1" applyBorder="1"/>
    <xf numFmtId="164" fontId="5" fillId="74" borderId="129" xfId="133" applyNumberFormat="1" applyFont="1" applyFill="1" applyBorder="1"/>
    <xf numFmtId="164" fontId="5" fillId="74" borderId="135" xfId="133" applyNumberFormat="1" applyFont="1" applyFill="1" applyBorder="1"/>
    <xf numFmtId="164" fontId="5" fillId="74" borderId="133" xfId="133" applyNumberFormat="1" applyFont="1" applyFill="1" applyBorder="1"/>
    <xf numFmtId="1" fontId="17" fillId="6" borderId="131" xfId="133" applyNumberFormat="1" applyFont="1" applyFill="1" applyBorder="1" applyAlignment="1">
      <alignment horizontal="center" vertical="center" wrapText="1"/>
    </xf>
    <xf numFmtId="1" fontId="5" fillId="0" borderId="104" xfId="133" applyNumberFormat="1" applyFont="1" applyBorder="1" applyAlignment="1">
      <alignment horizontal="right" vertical="center"/>
    </xf>
    <xf numFmtId="44" fontId="5" fillId="0" borderId="126" xfId="133" applyNumberFormat="1" applyFont="1" applyBorder="1" applyAlignment="1">
      <alignment vertical="center"/>
    </xf>
    <xf numFmtId="6" fontId="5" fillId="0" borderId="126" xfId="133" applyNumberFormat="1" applyFont="1" applyBorder="1" applyAlignment="1">
      <alignment vertical="center"/>
    </xf>
    <xf numFmtId="44" fontId="5" fillId="0" borderId="127" xfId="133" applyNumberFormat="1" applyFont="1" applyBorder="1" applyAlignment="1">
      <alignment vertical="center"/>
    </xf>
    <xf numFmtId="168" fontId="5" fillId="0" borderId="104" xfId="132" applyNumberFormat="1" applyFont="1" applyBorder="1"/>
    <xf numFmtId="168" fontId="5" fillId="0" borderId="104" xfId="133" applyNumberFormat="1" applyFont="1" applyBorder="1"/>
    <xf numFmtId="169" fontId="5" fillId="0" borderId="104" xfId="4417" applyNumberFormat="1" applyFont="1" applyFill="1" applyBorder="1" applyAlignment="1">
      <alignment horizontal="left" vertical="center"/>
    </xf>
    <xf numFmtId="37" fontId="5" fillId="0" borderId="104" xfId="133" applyNumberFormat="1" applyFont="1" applyBorder="1" applyAlignment="1">
      <alignment horizontal="right" vertical="center"/>
    </xf>
    <xf numFmtId="168" fontId="5" fillId="0" borderId="104" xfId="132" applyNumberFormat="1" applyFont="1" applyFill="1" applyBorder="1" applyAlignment="1">
      <alignment horizontal="left" vertical="center"/>
    </xf>
    <xf numFmtId="8" fontId="5" fillId="74" borderId="132" xfId="133" applyNumberFormat="1" applyFont="1" applyFill="1" applyBorder="1" applyAlignment="1">
      <alignment vertical="center"/>
    </xf>
    <xf numFmtId="0" fontId="79" fillId="0" borderId="104" xfId="133" applyFont="1" applyBorder="1"/>
    <xf numFmtId="10" fontId="79" fillId="0" borderId="104" xfId="133" applyNumberFormat="1" applyFont="1" applyBorder="1"/>
    <xf numFmtId="9" fontId="79" fillId="0" borderId="104" xfId="4416" applyFont="1" applyBorder="1"/>
    <xf numFmtId="2" fontId="79" fillId="0" borderId="104" xfId="133" applyNumberFormat="1" applyFont="1" applyBorder="1"/>
    <xf numFmtId="0" fontId="13" fillId="0" borderId="104" xfId="133" applyBorder="1" applyAlignment="1">
      <alignment horizontal="center" vertical="center"/>
    </xf>
    <xf numFmtId="43" fontId="13" fillId="0" borderId="104" xfId="133" applyNumberFormat="1" applyBorder="1"/>
    <xf numFmtId="0" fontId="81" fillId="0" borderId="104" xfId="0" applyFont="1" applyBorder="1" applyAlignment="1">
      <alignment vertical="top"/>
    </xf>
    <xf numFmtId="0" fontId="5" fillId="0" borderId="104" xfId="132" applyNumberFormat="1" applyFont="1" applyFill="1" applyBorder="1" applyAlignment="1">
      <alignment horizontal="left" vertical="center"/>
    </xf>
    <xf numFmtId="0" fontId="127" fillId="0" borderId="104" xfId="133" applyFont="1" applyBorder="1"/>
    <xf numFmtId="1" fontId="110" fillId="0" borderId="104" xfId="133" applyNumberFormat="1" applyFont="1" applyBorder="1"/>
    <xf numFmtId="9" fontId="110" fillId="0" borderId="104" xfId="4416" applyFont="1" applyBorder="1"/>
    <xf numFmtId="0" fontId="110" fillId="0" borderId="104" xfId="133" applyFont="1" applyBorder="1"/>
    <xf numFmtId="0" fontId="0" fillId="0" borderId="104" xfId="0" applyBorder="1" applyAlignment="1">
      <alignment horizontal="left" indent="1"/>
    </xf>
    <xf numFmtId="0" fontId="0" fillId="0" borderId="104" xfId="0" applyBorder="1" applyAlignment="1">
      <alignment horizontal="right" indent="1"/>
    </xf>
    <xf numFmtId="0" fontId="28" fillId="0" borderId="104" xfId="0" applyFont="1" applyBorder="1" applyAlignment="1">
      <alignment horizontal="left" indent="1"/>
    </xf>
    <xf numFmtId="10" fontId="28" fillId="0" borderId="104" xfId="0" applyNumberFormat="1" applyFont="1" applyBorder="1" applyAlignment="1">
      <alignment horizontal="right" indent="1"/>
    </xf>
    <xf numFmtId="1" fontId="0" fillId="0" borderId="104" xfId="0" applyNumberFormat="1" applyBorder="1" applyAlignment="1">
      <alignment horizontal="right" indent="1"/>
    </xf>
    <xf numFmtId="179" fontId="0" fillId="0" borderId="104" xfId="0" applyNumberFormat="1" applyBorder="1"/>
    <xf numFmtId="0" fontId="109" fillId="0" borderId="104" xfId="133" applyFont="1" applyBorder="1"/>
    <xf numFmtId="10" fontId="0" fillId="0" borderId="104" xfId="0" applyNumberFormat="1" applyBorder="1" applyAlignment="1">
      <alignment horizontal="right" indent="1"/>
    </xf>
    <xf numFmtId="0" fontId="13" fillId="0" borderId="104" xfId="133" applyBorder="1"/>
    <xf numFmtId="0" fontId="13" fillId="0" borderId="106" xfId="133" applyBorder="1"/>
    <xf numFmtId="0" fontId="13" fillId="0" borderId="126" xfId="133" applyBorder="1"/>
    <xf numFmtId="0" fontId="13" fillId="0" borderId="127" xfId="133" applyBorder="1"/>
    <xf numFmtId="9" fontId="13" fillId="0" borderId="104" xfId="133" applyNumberFormat="1" applyBorder="1" applyAlignment="1">
      <alignment horizontal="right" vertical="center"/>
    </xf>
    <xf numFmtId="6" fontId="13" fillId="0" borderId="104" xfId="133" applyNumberFormat="1" applyBorder="1"/>
    <xf numFmtId="168" fontId="5" fillId="0" borderId="104" xfId="133" applyNumberFormat="1" applyFont="1" applyBorder="1" applyAlignment="1">
      <alignment horizontal="left" vertical="center"/>
    </xf>
    <xf numFmtId="2" fontId="5" fillId="0" borderId="104" xfId="133" applyNumberFormat="1" applyFont="1" applyBorder="1" applyAlignment="1">
      <alignment horizontal="right" vertical="center"/>
    </xf>
    <xf numFmtId="2" fontId="5" fillId="0" borderId="106" xfId="133" applyNumberFormat="1" applyFont="1" applyBorder="1" applyAlignment="1">
      <alignment horizontal="right" vertical="center"/>
    </xf>
    <xf numFmtId="168" fontId="13" fillId="0" borderId="126" xfId="133" applyNumberFormat="1" applyBorder="1"/>
    <xf numFmtId="39" fontId="13" fillId="0" borderId="104" xfId="133" applyNumberFormat="1" applyBorder="1"/>
    <xf numFmtId="39" fontId="13" fillId="0" borderId="127" xfId="133" applyNumberFormat="1" applyBorder="1"/>
    <xf numFmtId="9" fontId="13" fillId="0" borderId="104" xfId="133" applyNumberFormat="1" applyBorder="1" applyAlignment="1">
      <alignment horizontal="right"/>
    </xf>
    <xf numFmtId="43" fontId="13" fillId="0" borderId="104" xfId="132" applyFont="1" applyFill="1" applyBorder="1"/>
    <xf numFmtId="43" fontId="13" fillId="0" borderId="126" xfId="132" applyFont="1" applyFill="1" applyBorder="1"/>
    <xf numFmtId="39" fontId="13" fillId="0" borderId="127" xfId="132" applyNumberFormat="1" applyFont="1" applyFill="1" applyBorder="1"/>
    <xf numFmtId="0" fontId="13" fillId="0" borderId="104" xfId="133" applyBorder="1" applyAlignment="1">
      <alignment horizontal="left" vertical="center"/>
    </xf>
    <xf numFmtId="43" fontId="13" fillId="0" borderId="104" xfId="132" applyFont="1" applyBorder="1"/>
    <xf numFmtId="43" fontId="13" fillId="0" borderId="106" xfId="132" applyFont="1" applyBorder="1"/>
    <xf numFmtId="43" fontId="13" fillId="0" borderId="129" xfId="132" applyFont="1" applyBorder="1"/>
    <xf numFmtId="0" fontId="20" fillId="9" borderId="104" xfId="133" applyFont="1" applyFill="1" applyBorder="1" applyAlignment="1">
      <alignment wrapText="1"/>
    </xf>
    <xf numFmtId="44" fontId="13" fillId="0" borderId="104" xfId="133" applyNumberFormat="1" applyBorder="1"/>
    <xf numFmtId="9" fontId="13" fillId="0" borderId="104" xfId="4416" applyFont="1" applyBorder="1"/>
    <xf numFmtId="9" fontId="13" fillId="85" borderId="104" xfId="4416" applyFont="1" applyFill="1" applyBorder="1"/>
    <xf numFmtId="0" fontId="108" fillId="0" borderId="104" xfId="0" applyFont="1" applyBorder="1" applyAlignment="1">
      <alignment vertical="top"/>
    </xf>
    <xf numFmtId="0" fontId="73" fillId="0" borderId="104" xfId="133" applyFont="1" applyBorder="1"/>
    <xf numFmtId="43" fontId="73" fillId="0" borderId="104" xfId="132" applyFont="1" applyBorder="1"/>
    <xf numFmtId="44" fontId="73" fillId="85" borderId="104" xfId="133" applyNumberFormat="1" applyFont="1" applyFill="1" applyBorder="1"/>
    <xf numFmtId="9" fontId="73" fillId="0" borderId="104" xfId="4416" applyFont="1" applyBorder="1"/>
    <xf numFmtId="44" fontId="73" fillId="0" borderId="104" xfId="133" applyNumberFormat="1" applyFont="1" applyBorder="1"/>
    <xf numFmtId="1" fontId="150" fillId="6" borderId="104" xfId="133" applyNumberFormat="1" applyFont="1" applyFill="1" applyBorder="1" applyAlignment="1">
      <alignment horizontal="center" vertical="center" wrapText="1"/>
    </xf>
    <xf numFmtId="37" fontId="5" fillId="0" borderId="104" xfId="133" applyNumberFormat="1" applyFont="1" applyBorder="1" applyAlignment="1">
      <alignment horizontal="center" vertical="center"/>
    </xf>
    <xf numFmtId="2" fontId="5" fillId="0" borderId="104" xfId="133" applyNumberFormat="1" applyFont="1" applyBorder="1" applyAlignment="1">
      <alignment horizontal="center" vertical="center"/>
    </xf>
    <xf numFmtId="6" fontId="5" fillId="0" borderId="104" xfId="133" applyNumberFormat="1" applyFont="1" applyBorder="1" applyAlignment="1">
      <alignment vertical="center"/>
    </xf>
    <xf numFmtId="164" fontId="5" fillId="0" borderId="131" xfId="133" applyNumberFormat="1" applyFont="1" applyBorder="1"/>
    <xf numFmtId="43" fontId="5" fillId="0" borderId="131" xfId="133" applyNumberFormat="1" applyFont="1" applyBorder="1"/>
    <xf numFmtId="0" fontId="5" fillId="90" borderId="104" xfId="133" applyFont="1" applyFill="1" applyBorder="1" applyAlignment="1">
      <alignment vertical="center"/>
    </xf>
    <xf numFmtId="0" fontId="107" fillId="90" borderId="104" xfId="0" applyFont="1" applyFill="1" applyBorder="1" applyAlignment="1">
      <alignment vertical="top"/>
    </xf>
    <xf numFmtId="44" fontId="5" fillId="90" borderId="104" xfId="4417" applyFont="1" applyFill="1" applyBorder="1" applyAlignment="1">
      <alignment horizontal="right" vertical="center"/>
    </xf>
    <xf numFmtId="0" fontId="107" fillId="90" borderId="104" xfId="0" applyFont="1" applyFill="1" applyBorder="1" applyAlignment="1">
      <alignment vertical="top" wrapText="1"/>
    </xf>
    <xf numFmtId="44" fontId="5" fillId="90" borderId="104" xfId="4417" applyFont="1" applyFill="1" applyBorder="1" applyAlignment="1">
      <alignment horizontal="left" vertical="center"/>
    </xf>
    <xf numFmtId="1" fontId="5" fillId="90" borderId="104" xfId="132" applyNumberFormat="1" applyFont="1" applyFill="1" applyBorder="1" applyAlignment="1">
      <alignment horizontal="right" vertical="center"/>
    </xf>
    <xf numFmtId="9" fontId="5" fillId="90" borderId="104" xfId="4416" applyFont="1" applyFill="1" applyBorder="1" applyAlignment="1">
      <alignment horizontal="right" vertical="center"/>
    </xf>
    <xf numFmtId="0" fontId="5" fillId="90" borderId="104" xfId="132" applyNumberFormat="1" applyFont="1" applyFill="1" applyBorder="1" applyAlignment="1">
      <alignment horizontal="right" vertical="center"/>
    </xf>
    <xf numFmtId="0" fontId="5" fillId="90" borderId="104" xfId="133" applyFont="1" applyFill="1" applyBorder="1" applyAlignment="1">
      <alignment horizontal="left" vertical="center"/>
    </xf>
    <xf numFmtId="0" fontId="5" fillId="90" borderId="104" xfId="133" applyFont="1" applyFill="1" applyBorder="1"/>
    <xf numFmtId="9" fontId="5" fillId="90" borderId="104" xfId="133" applyNumberFormat="1" applyFont="1" applyFill="1" applyBorder="1" applyAlignment="1">
      <alignment horizontal="left" vertical="center"/>
    </xf>
    <xf numFmtId="9" fontId="5" fillId="90" borderId="106" xfId="133" applyNumberFormat="1" applyFont="1" applyFill="1" applyBorder="1" applyAlignment="1">
      <alignment horizontal="left" vertical="center"/>
    </xf>
    <xf numFmtId="8" fontId="5" fillId="90" borderId="126" xfId="133" applyNumberFormat="1" applyFont="1" applyFill="1" applyBorder="1" applyAlignment="1">
      <alignment vertical="center"/>
    </xf>
    <xf numFmtId="8" fontId="5" fillId="90" borderId="104" xfId="133" applyNumberFormat="1" applyFont="1" applyFill="1" applyBorder="1" applyAlignment="1">
      <alignment vertical="center"/>
    </xf>
    <xf numFmtId="44" fontId="5" fillId="90" borderId="126" xfId="133" applyNumberFormat="1" applyFont="1" applyFill="1" applyBorder="1" applyAlignment="1">
      <alignment vertical="center"/>
    </xf>
    <xf numFmtId="44" fontId="5" fillId="90" borderId="104" xfId="133" applyNumberFormat="1" applyFont="1" applyFill="1" applyBorder="1" applyAlignment="1">
      <alignment vertical="center"/>
    </xf>
    <xf numFmtId="43" fontId="5" fillId="90" borderId="126" xfId="133" applyNumberFormat="1" applyFont="1" applyFill="1" applyBorder="1"/>
    <xf numFmtId="43" fontId="5" fillId="90" borderId="104" xfId="133" applyNumberFormat="1" applyFont="1" applyFill="1" applyBorder="1"/>
    <xf numFmtId="164" fontId="5" fillId="90" borderId="131" xfId="133" applyNumberFormat="1" applyFont="1" applyFill="1" applyBorder="1"/>
    <xf numFmtId="164" fontId="5" fillId="90" borderId="104" xfId="133" applyNumberFormat="1" applyFont="1" applyFill="1" applyBorder="1"/>
    <xf numFmtId="164" fontId="5" fillId="90" borderId="105" xfId="133" applyNumberFormat="1" applyFont="1" applyFill="1" applyBorder="1"/>
    <xf numFmtId="164" fontId="5" fillId="90" borderId="126" xfId="133" applyNumberFormat="1" applyFont="1" applyFill="1" applyBorder="1"/>
    <xf numFmtId="164" fontId="5" fillId="90" borderId="127" xfId="133" applyNumberFormat="1" applyFont="1" applyFill="1" applyBorder="1"/>
    <xf numFmtId="43" fontId="5" fillId="90" borderId="105" xfId="133" applyNumberFormat="1" applyFont="1" applyFill="1" applyBorder="1"/>
    <xf numFmtId="43" fontId="5" fillId="90" borderId="106" xfId="133" applyNumberFormat="1" applyFont="1" applyFill="1" applyBorder="1"/>
    <xf numFmtId="43" fontId="5" fillId="90" borderId="131" xfId="133" applyNumberFormat="1" applyFont="1" applyFill="1" applyBorder="1"/>
    <xf numFmtId="168" fontId="5" fillId="90" borderId="105" xfId="132" applyNumberFormat="1" applyFont="1" applyFill="1" applyBorder="1"/>
    <xf numFmtId="166" fontId="5" fillId="90" borderId="104" xfId="133" applyNumberFormat="1" applyFont="1" applyFill="1" applyBorder="1"/>
    <xf numFmtId="168" fontId="5" fillId="90" borderId="104" xfId="132" applyNumberFormat="1" applyFont="1" applyFill="1" applyBorder="1"/>
    <xf numFmtId="168" fontId="5" fillId="90" borderId="104" xfId="133" applyNumberFormat="1" applyFont="1" applyFill="1" applyBorder="1"/>
    <xf numFmtId="44" fontId="5" fillId="0" borderId="104" xfId="4417" applyFont="1" applyBorder="1" applyAlignment="1">
      <alignment horizontal="center" vertical="center"/>
    </xf>
    <xf numFmtId="190" fontId="5" fillId="0" borderId="104" xfId="133" applyNumberFormat="1" applyFont="1" applyBorder="1" applyAlignment="1">
      <alignment horizontal="left" vertical="center"/>
    </xf>
    <xf numFmtId="168" fontId="5" fillId="0" borderId="104" xfId="132" applyNumberFormat="1" applyFont="1" applyFill="1" applyBorder="1" applyAlignment="1">
      <alignment vertical="center"/>
    </xf>
    <xf numFmtId="179" fontId="5" fillId="0" borderId="104" xfId="133" applyNumberFormat="1" applyFont="1" applyBorder="1" applyAlignment="1">
      <alignment vertical="center"/>
    </xf>
    <xf numFmtId="0" fontId="5" fillId="74" borderId="106" xfId="133" applyFont="1" applyFill="1" applyBorder="1" applyAlignment="1">
      <alignment horizontal="right" vertical="center"/>
    </xf>
    <xf numFmtId="0" fontId="5" fillId="74" borderId="126" xfId="133" applyFont="1" applyFill="1" applyBorder="1" applyAlignment="1">
      <alignment horizontal="right" vertical="center"/>
    </xf>
    <xf numFmtId="0" fontId="5" fillId="74" borderId="127" xfId="133" applyFont="1" applyFill="1" applyBorder="1" applyAlignment="1">
      <alignment horizontal="right" vertical="center"/>
    </xf>
    <xf numFmtId="0" fontId="5" fillId="74" borderId="105" xfId="133" applyFont="1" applyFill="1" applyBorder="1" applyAlignment="1">
      <alignment horizontal="right" vertical="center"/>
    </xf>
    <xf numFmtId="0" fontId="5" fillId="90" borderId="104" xfId="133" applyFont="1" applyFill="1" applyBorder="1" applyAlignment="1">
      <alignment horizontal="right" vertical="center"/>
    </xf>
    <xf numFmtId="0" fontId="5" fillId="90" borderId="104" xfId="0" applyFont="1" applyFill="1" applyBorder="1" applyAlignment="1">
      <alignment vertical="top"/>
    </xf>
    <xf numFmtId="44" fontId="5" fillId="90" borderId="104" xfId="4417" applyFont="1" applyFill="1" applyBorder="1" applyAlignment="1">
      <alignment horizontal="center" vertical="center"/>
    </xf>
    <xf numFmtId="6" fontId="5" fillId="90" borderId="104" xfId="4417" applyNumberFormat="1" applyFont="1" applyFill="1" applyBorder="1" applyAlignment="1">
      <alignment horizontal="left" vertical="center"/>
    </xf>
    <xf numFmtId="44" fontId="5" fillId="0" borderId="104" xfId="4417" applyFont="1" applyBorder="1" applyAlignment="1">
      <alignment horizontal="left" vertical="center"/>
    </xf>
    <xf numFmtId="168" fontId="5" fillId="0" borderId="104" xfId="132" applyNumberFormat="1" applyFont="1" applyBorder="1" applyAlignment="1">
      <alignment vertical="center"/>
    </xf>
    <xf numFmtId="1" fontId="5" fillId="0" borderId="104" xfId="132" applyNumberFormat="1" applyFont="1" applyBorder="1" applyAlignment="1">
      <alignment horizontal="right" vertical="center"/>
    </xf>
    <xf numFmtId="164" fontId="5" fillId="74" borderId="131" xfId="133" applyNumberFormat="1" applyFont="1" applyFill="1" applyBorder="1"/>
    <xf numFmtId="43" fontId="5" fillId="90" borderId="127" xfId="133" applyNumberFormat="1" applyFont="1" applyFill="1" applyBorder="1"/>
    <xf numFmtId="183" fontId="5" fillId="0" borderId="104" xfId="132" applyNumberFormat="1" applyFont="1" applyBorder="1" applyAlignment="1">
      <alignment vertical="center"/>
    </xf>
    <xf numFmtId="169" fontId="13" fillId="0" borderId="104" xfId="4417" applyNumberFormat="1" applyFont="1" applyBorder="1"/>
    <xf numFmtId="0" fontId="152" fillId="0" borderId="104" xfId="133" applyFont="1" applyBorder="1" applyAlignment="1">
      <alignment horizontal="left" vertical="center"/>
    </xf>
    <xf numFmtId="9" fontId="152" fillId="0" borderId="104" xfId="4416" applyFont="1" applyBorder="1" applyAlignment="1">
      <alignment horizontal="center" vertical="center"/>
    </xf>
    <xf numFmtId="0" fontId="16" fillId="0" borderId="104" xfId="133" applyFont="1" applyBorder="1"/>
    <xf numFmtId="43" fontId="13" fillId="85" borderId="104" xfId="132" applyFont="1" applyFill="1" applyBorder="1"/>
    <xf numFmtId="0" fontId="22" fillId="85" borderId="104" xfId="0" applyFont="1" applyFill="1" applyBorder="1" applyAlignment="1">
      <alignment vertical="top"/>
    </xf>
    <xf numFmtId="0" fontId="128" fillId="0" borderId="104" xfId="0" applyFont="1" applyBorder="1" applyAlignment="1">
      <alignment vertical="top"/>
    </xf>
    <xf numFmtId="0" fontId="157" fillId="0" borderId="104" xfId="0" applyFont="1" applyBorder="1"/>
    <xf numFmtId="0" fontId="160" fillId="0" borderId="104" xfId="0" applyFont="1" applyBorder="1"/>
    <xf numFmtId="185" fontId="0" fillId="0" borderId="104" xfId="4417" applyNumberFormat="1" applyFont="1" applyBorder="1"/>
    <xf numFmtId="176" fontId="154" fillId="0" borderId="104" xfId="0" applyNumberFormat="1" applyFont="1" applyBorder="1"/>
    <xf numFmtId="179" fontId="154" fillId="0" borderId="104" xfId="0" applyNumberFormat="1" applyFont="1" applyBorder="1"/>
    <xf numFmtId="2" fontId="154" fillId="0" borderId="104" xfId="0" applyNumberFormat="1" applyFont="1" applyBorder="1"/>
    <xf numFmtId="0" fontId="154" fillId="0" borderId="104" xfId="0" applyFont="1" applyBorder="1"/>
    <xf numFmtId="0" fontId="100" fillId="0" borderId="104" xfId="0" applyFont="1" applyBorder="1"/>
    <xf numFmtId="176" fontId="0" fillId="0" borderId="104" xfId="0" applyNumberFormat="1" applyBorder="1"/>
    <xf numFmtId="0" fontId="91" fillId="0" borderId="104" xfId="4431" applyBorder="1"/>
    <xf numFmtId="179" fontId="28" fillId="0" borderId="104" xfId="0" applyNumberFormat="1" applyFont="1" applyBorder="1"/>
    <xf numFmtId="43" fontId="154" fillId="0" borderId="104" xfId="132" applyFont="1" applyBorder="1"/>
    <xf numFmtId="0" fontId="159" fillId="0" borderId="104" xfId="4431" applyFont="1" applyBorder="1"/>
    <xf numFmtId="0" fontId="154" fillId="0" borderId="104" xfId="0" applyFont="1" applyBorder="1" applyAlignment="1">
      <alignment horizontal="right" indent="1"/>
    </xf>
    <xf numFmtId="0" fontId="161" fillId="0" borderId="104" xfId="133" applyFont="1" applyBorder="1"/>
    <xf numFmtId="2" fontId="154" fillId="0" borderId="104" xfId="0" applyNumberFormat="1" applyFont="1" applyBorder="1" applyAlignment="1">
      <alignment horizontal="right" indent="1"/>
    </xf>
    <xf numFmtId="1" fontId="17" fillId="6" borderId="127" xfId="133" applyNumberFormat="1" applyFont="1" applyFill="1" applyBorder="1" applyAlignment="1">
      <alignment horizontal="center" vertical="center" wrapText="1"/>
    </xf>
    <xf numFmtId="180" fontId="5" fillId="0" borderId="104" xfId="133" applyNumberFormat="1" applyFont="1" applyBorder="1" applyAlignment="1">
      <alignment horizontal="left" vertical="center"/>
    </xf>
    <xf numFmtId="1" fontId="5" fillId="0" borderId="104" xfId="133" applyNumberFormat="1" applyFont="1" applyBorder="1" applyAlignment="1">
      <alignment horizontal="left" vertical="center"/>
    </xf>
    <xf numFmtId="0" fontId="5" fillId="0" borderId="104" xfId="133" applyFont="1" applyBorder="1" applyAlignment="1">
      <alignment horizontal="left" vertical="center" wrapText="1"/>
    </xf>
    <xf numFmtId="1" fontId="151" fillId="0" borderId="104" xfId="133" applyNumberFormat="1" applyFont="1" applyBorder="1" applyAlignment="1">
      <alignment horizontal="right" vertical="center"/>
    </xf>
    <xf numFmtId="0" fontId="5" fillId="0" borderId="104" xfId="133" applyFont="1" applyBorder="1" applyAlignment="1">
      <alignment horizontal="right" vertical="center" wrapText="1"/>
    </xf>
    <xf numFmtId="8" fontId="5" fillId="0" borderId="131" xfId="133" applyNumberFormat="1" applyFont="1" applyBorder="1" applyAlignment="1">
      <alignment vertical="center"/>
    </xf>
    <xf numFmtId="166" fontId="5" fillId="0" borderId="105" xfId="133" applyNumberFormat="1" applyFont="1" applyBorder="1"/>
    <xf numFmtId="166" fontId="5" fillId="0" borderId="106" xfId="133" applyNumberFormat="1" applyFont="1" applyBorder="1"/>
    <xf numFmtId="168" fontId="5" fillId="0" borderId="126" xfId="133" applyNumberFormat="1" applyFont="1" applyBorder="1"/>
    <xf numFmtId="168" fontId="5" fillId="0" borderId="127" xfId="133" applyNumberFormat="1" applyFont="1" applyBorder="1"/>
    <xf numFmtId="168" fontId="151" fillId="0" borderId="105" xfId="132" applyNumberFormat="1" applyFont="1" applyBorder="1"/>
    <xf numFmtId="166" fontId="151" fillId="0" borderId="104" xfId="133" applyNumberFormat="1" applyFont="1" applyBorder="1"/>
    <xf numFmtId="168" fontId="151" fillId="0" borderId="104" xfId="132" applyNumberFormat="1" applyFont="1" applyBorder="1"/>
    <xf numFmtId="168" fontId="151" fillId="0" borderId="104" xfId="133" applyNumberFormat="1" applyFont="1" applyBorder="1"/>
    <xf numFmtId="0" fontId="151" fillId="0" borderId="104" xfId="133" applyFont="1" applyBorder="1" applyAlignment="1">
      <alignment horizontal="right" vertical="center"/>
    </xf>
    <xf numFmtId="1" fontId="5" fillId="74" borderId="104" xfId="133" applyNumberFormat="1" applyFont="1" applyFill="1" applyBorder="1" applyAlignment="1">
      <alignment horizontal="left" vertical="center"/>
    </xf>
    <xf numFmtId="166" fontId="5" fillId="74" borderId="105" xfId="133" applyNumberFormat="1" applyFont="1" applyFill="1" applyBorder="1"/>
    <xf numFmtId="166" fontId="5" fillId="74" borderId="106" xfId="133" applyNumberFormat="1" applyFont="1" applyFill="1" applyBorder="1"/>
    <xf numFmtId="168" fontId="5" fillId="74" borderId="126" xfId="133" applyNumberFormat="1" applyFont="1" applyFill="1" applyBorder="1"/>
    <xf numFmtId="168" fontId="5" fillId="74" borderId="127" xfId="133" applyNumberFormat="1" applyFont="1" applyFill="1" applyBorder="1"/>
    <xf numFmtId="168" fontId="5" fillId="74" borderId="104" xfId="132" applyNumberFormat="1" applyFont="1" applyFill="1" applyBorder="1" applyAlignment="1">
      <alignment horizontal="right" vertical="center"/>
    </xf>
    <xf numFmtId="1" fontId="5" fillId="0" borderId="104" xfId="133" applyNumberFormat="1" applyFont="1" applyBorder="1" applyAlignment="1">
      <alignment horizontal="right" vertical="center" wrapText="1"/>
    </xf>
    <xf numFmtId="9" fontId="110" fillId="0" borderId="104" xfId="0" applyNumberFormat="1" applyFont="1" applyBorder="1"/>
    <xf numFmtId="185" fontId="5" fillId="0" borderId="104" xfId="4417" applyNumberFormat="1" applyFont="1" applyBorder="1" applyAlignment="1">
      <alignment horizontal="left" vertical="center"/>
    </xf>
    <xf numFmtId="39" fontId="5" fillId="0" borderId="104" xfId="133" applyNumberFormat="1" applyFont="1" applyBorder="1" applyAlignment="1">
      <alignment horizontal="left" vertical="center" wrapText="1"/>
    </xf>
    <xf numFmtId="39" fontId="5" fillId="0" borderId="104" xfId="133" applyNumberFormat="1" applyFont="1" applyBorder="1" applyAlignment="1">
      <alignment horizontal="left" vertical="center"/>
    </xf>
    <xf numFmtId="185" fontId="5" fillId="0" borderId="104" xfId="4417" applyNumberFormat="1" applyFont="1" applyFill="1" applyBorder="1" applyAlignment="1">
      <alignment horizontal="left" vertical="center"/>
    </xf>
    <xf numFmtId="0" fontId="5" fillId="84" borderId="104" xfId="133" applyFont="1" applyFill="1" applyBorder="1" applyAlignment="1">
      <alignment horizontal="right" vertical="center"/>
    </xf>
    <xf numFmtId="1" fontId="5" fillId="84" borderId="104" xfId="132" applyNumberFormat="1" applyFont="1" applyFill="1" applyBorder="1" applyAlignment="1">
      <alignment horizontal="right" vertical="center"/>
    </xf>
    <xf numFmtId="168" fontId="5" fillId="0" borderId="104" xfId="133" applyNumberFormat="1" applyFont="1" applyBorder="1" applyAlignment="1">
      <alignment horizontal="right" vertical="center"/>
    </xf>
    <xf numFmtId="0" fontId="5" fillId="7" borderId="104" xfId="133" applyFont="1" applyFill="1" applyBorder="1" applyAlignment="1">
      <alignment vertical="center"/>
    </xf>
    <xf numFmtId="0" fontId="5" fillId="7" borderId="104" xfId="0" applyFont="1" applyFill="1" applyBorder="1" applyAlignment="1">
      <alignment vertical="top"/>
    </xf>
    <xf numFmtId="44" fontId="5" fillId="7" borderId="104" xfId="4417" applyFont="1" applyFill="1" applyBorder="1" applyAlignment="1">
      <alignment vertical="top"/>
    </xf>
    <xf numFmtId="39" fontId="5" fillId="7" borderId="104" xfId="0" applyNumberFormat="1" applyFont="1" applyFill="1" applyBorder="1" applyAlignment="1">
      <alignment vertical="top"/>
    </xf>
    <xf numFmtId="39" fontId="5" fillId="7" borderId="104" xfId="133" applyNumberFormat="1" applyFont="1" applyFill="1" applyBorder="1" applyAlignment="1">
      <alignment horizontal="left" vertical="center" wrapText="1"/>
    </xf>
    <xf numFmtId="9" fontId="5" fillId="7" borderId="104" xfId="4416" applyFont="1" applyFill="1" applyBorder="1" applyAlignment="1">
      <alignment horizontal="right" vertical="center"/>
    </xf>
    <xf numFmtId="0" fontId="5" fillId="7" borderId="104" xfId="132" applyNumberFormat="1" applyFont="1" applyFill="1" applyBorder="1" applyAlignment="1">
      <alignment horizontal="right" vertical="center"/>
    </xf>
    <xf numFmtId="0" fontId="5" fillId="7" borderId="104" xfId="133" applyFont="1" applyFill="1" applyBorder="1" applyAlignment="1">
      <alignment horizontal="right" vertical="center"/>
    </xf>
    <xf numFmtId="1" fontId="5" fillId="7" borderId="104" xfId="132" applyNumberFormat="1" applyFont="1" applyFill="1" applyBorder="1" applyAlignment="1">
      <alignment horizontal="right" vertical="center"/>
    </xf>
    <xf numFmtId="1" fontId="5" fillId="7" borderId="104" xfId="133" applyNumberFormat="1" applyFont="1" applyFill="1" applyBorder="1" applyAlignment="1">
      <alignment horizontal="right" vertical="center"/>
    </xf>
    <xf numFmtId="0" fontId="5" fillId="7" borderId="104" xfId="133" applyFont="1" applyFill="1" applyBorder="1"/>
    <xf numFmtId="0" fontId="5" fillId="7" borderId="104" xfId="133" applyFont="1" applyFill="1" applyBorder="1" applyAlignment="1">
      <alignment horizontal="left" vertical="center"/>
    </xf>
    <xf numFmtId="168" fontId="5" fillId="7" borderId="104" xfId="133" applyNumberFormat="1" applyFont="1" applyFill="1" applyBorder="1" applyAlignment="1">
      <alignment horizontal="right" vertical="center"/>
    </xf>
    <xf numFmtId="9" fontId="5" fillId="7" borderId="104" xfId="133" applyNumberFormat="1" applyFont="1" applyFill="1" applyBorder="1" applyAlignment="1">
      <alignment horizontal="left" vertical="center"/>
    </xf>
    <xf numFmtId="9" fontId="5" fillId="7" borderId="106" xfId="133" applyNumberFormat="1" applyFont="1" applyFill="1" applyBorder="1" applyAlignment="1">
      <alignment horizontal="left" vertical="center"/>
    </xf>
    <xf numFmtId="8" fontId="5" fillId="7" borderId="126" xfId="133" applyNumberFormat="1" applyFont="1" applyFill="1" applyBorder="1" applyAlignment="1">
      <alignment vertical="center"/>
    </xf>
    <xf numFmtId="8" fontId="5" fillId="7" borderId="104" xfId="133" applyNumberFormat="1" applyFont="1" applyFill="1" applyBorder="1" applyAlignment="1">
      <alignment vertical="center"/>
    </xf>
    <xf numFmtId="44" fontId="5" fillId="7" borderId="104" xfId="133" applyNumberFormat="1" applyFont="1" applyFill="1" applyBorder="1" applyAlignment="1">
      <alignment vertical="center"/>
    </xf>
    <xf numFmtId="44" fontId="5" fillId="7" borderId="127" xfId="133" applyNumberFormat="1" applyFont="1" applyFill="1" applyBorder="1" applyAlignment="1">
      <alignment vertical="center"/>
    </xf>
    <xf numFmtId="43" fontId="5" fillId="7" borderId="126" xfId="133" applyNumberFormat="1" applyFont="1" applyFill="1" applyBorder="1"/>
    <xf numFmtId="164" fontId="5" fillId="7" borderId="126" xfId="133" applyNumberFormat="1" applyFont="1" applyFill="1" applyBorder="1"/>
    <xf numFmtId="164" fontId="5" fillId="7" borderId="106" xfId="133" applyNumberFormat="1" applyFont="1" applyFill="1" applyBorder="1"/>
    <xf numFmtId="164" fontId="5" fillId="7" borderId="127" xfId="133" applyNumberFormat="1" applyFont="1" applyFill="1" applyBorder="1"/>
    <xf numFmtId="43" fontId="5" fillId="7" borderId="127" xfId="133" applyNumberFormat="1" applyFont="1" applyFill="1" applyBorder="1"/>
    <xf numFmtId="168" fontId="5" fillId="7" borderId="105" xfId="132" applyNumberFormat="1" applyFont="1" applyFill="1" applyBorder="1"/>
    <xf numFmtId="166" fontId="5" fillId="7" borderId="104" xfId="133" applyNumberFormat="1" applyFont="1" applyFill="1" applyBorder="1"/>
    <xf numFmtId="168" fontId="5" fillId="7" borderId="104" xfId="132" applyNumberFormat="1" applyFont="1" applyFill="1" applyBorder="1"/>
    <xf numFmtId="168" fontId="5" fillId="7" borderId="104" xfId="133" applyNumberFormat="1" applyFont="1" applyFill="1" applyBorder="1"/>
    <xf numFmtId="44" fontId="5" fillId="0" borderId="104" xfId="4417" applyFont="1" applyBorder="1" applyAlignment="1">
      <alignment vertical="top"/>
    </xf>
    <xf numFmtId="44" fontId="5" fillId="0" borderId="104" xfId="0" applyNumberFormat="1" applyFont="1" applyBorder="1" applyAlignment="1">
      <alignment vertical="top"/>
    </xf>
    <xf numFmtId="39" fontId="5" fillId="0" borderId="104" xfId="0" applyNumberFormat="1" applyFont="1" applyBorder="1" applyAlignment="1">
      <alignment vertical="top"/>
    </xf>
    <xf numFmtId="1" fontId="5" fillId="85" borderId="104" xfId="133" applyNumberFormat="1" applyFont="1" applyFill="1" applyBorder="1" applyAlignment="1">
      <alignment horizontal="right" vertical="center"/>
    </xf>
    <xf numFmtId="37" fontId="5" fillId="0" borderId="104" xfId="133" applyNumberFormat="1" applyFont="1" applyBorder="1" applyAlignment="1">
      <alignment horizontal="left" vertical="center" wrapText="1"/>
    </xf>
    <xf numFmtId="186" fontId="5" fillId="0" borderId="104" xfId="133" applyNumberFormat="1" applyFont="1" applyBorder="1" applyAlignment="1">
      <alignment horizontal="left" vertical="center" wrapText="1"/>
    </xf>
    <xf numFmtId="0" fontId="5" fillId="85" borderId="104" xfId="0" applyFont="1" applyFill="1" applyBorder="1" applyAlignment="1">
      <alignment vertical="top"/>
    </xf>
    <xf numFmtId="44" fontId="5" fillId="0" borderId="104" xfId="4417" applyFont="1" applyFill="1" applyBorder="1" applyAlignment="1">
      <alignment vertical="top"/>
    </xf>
    <xf numFmtId="168" fontId="5" fillId="0" borderId="105" xfId="132" applyNumberFormat="1" applyFont="1" applyFill="1" applyBorder="1"/>
    <xf numFmtId="168" fontId="5" fillId="0" borderId="104" xfId="132" applyNumberFormat="1" applyFont="1" applyFill="1" applyBorder="1"/>
    <xf numFmtId="0" fontId="151" fillId="0" borderId="104" xfId="0" applyFont="1" applyBorder="1" applyAlignment="1">
      <alignment vertical="top"/>
    </xf>
    <xf numFmtId="44" fontId="81" fillId="0" borderId="104" xfId="4417" applyFont="1" applyBorder="1" applyAlignment="1">
      <alignment vertical="top"/>
    </xf>
    <xf numFmtId="0" fontId="0" fillId="81" borderId="104" xfId="0" applyFill="1" applyBorder="1"/>
    <xf numFmtId="185" fontId="28" fillId="0" borderId="104" xfId="4417" applyNumberFormat="1" applyFont="1" applyBorder="1"/>
    <xf numFmtId="185" fontId="0" fillId="0" borderId="104" xfId="4417" applyNumberFormat="1" applyFont="1" applyFill="1" applyBorder="1"/>
    <xf numFmtId="0" fontId="0" fillId="0" borderId="104" xfId="0" quotePrefix="1" applyBorder="1"/>
    <xf numFmtId="180" fontId="28" fillId="0" borderId="104" xfId="0" applyNumberFormat="1" applyFont="1" applyBorder="1"/>
    <xf numFmtId="44" fontId="109" fillId="0" borderId="104" xfId="133" applyNumberFormat="1" applyFont="1" applyBorder="1"/>
    <xf numFmtId="0" fontId="100" fillId="0" borderId="106" xfId="0" applyFont="1" applyBorder="1"/>
    <xf numFmtId="180" fontId="0" fillId="0" borderId="104" xfId="0" applyNumberFormat="1" applyBorder="1"/>
    <xf numFmtId="44" fontId="5" fillId="0" borderId="104" xfId="4417" applyFont="1" applyFill="1" applyBorder="1" applyAlignment="1">
      <alignment horizontal="right" vertical="center"/>
    </xf>
    <xf numFmtId="0" fontId="107" fillId="0" borderId="104" xfId="0" applyFont="1" applyBorder="1" applyAlignment="1">
      <alignment vertical="top" wrapText="1"/>
    </xf>
    <xf numFmtId="44" fontId="5" fillId="0" borderId="104" xfId="4417" applyFont="1" applyFill="1" applyBorder="1" applyAlignment="1">
      <alignment horizontal="left" vertical="center" wrapText="1"/>
    </xf>
    <xf numFmtId="44" fontId="5" fillId="0" borderId="104" xfId="4417" applyFont="1" applyFill="1" applyBorder="1" applyAlignment="1">
      <alignment horizontal="right" vertical="center" wrapText="1"/>
    </xf>
    <xf numFmtId="0" fontId="5" fillId="74" borderId="104" xfId="133" applyFont="1" applyFill="1" applyBorder="1" applyAlignment="1">
      <alignment horizontal="left" vertical="center" wrapText="1"/>
    </xf>
    <xf numFmtId="169" fontId="5" fillId="0" borderId="104" xfId="4417" applyNumberFormat="1" applyFont="1" applyBorder="1" applyAlignment="1">
      <alignment horizontal="center" vertical="center"/>
    </xf>
    <xf numFmtId="2" fontId="5" fillId="0" borderId="104" xfId="133" applyNumberFormat="1" applyFont="1" applyBorder="1" applyAlignment="1">
      <alignment horizontal="left" vertical="center" wrapText="1"/>
    </xf>
    <xf numFmtId="0" fontId="5" fillId="0" borderId="104" xfId="132" applyNumberFormat="1" applyFont="1" applyBorder="1" applyAlignment="1">
      <alignment horizontal="right" vertical="center"/>
    </xf>
    <xf numFmtId="9" fontId="5" fillId="0" borderId="104" xfId="4416" applyFont="1" applyBorder="1" applyAlignment="1">
      <alignment horizontal="left" vertical="center"/>
    </xf>
    <xf numFmtId="9" fontId="5" fillId="0" borderId="104" xfId="4416" applyFont="1" applyBorder="1" applyAlignment="1">
      <alignment horizontal="right" vertical="center"/>
    </xf>
    <xf numFmtId="9" fontId="5" fillId="0" borderId="104" xfId="4416" applyFont="1" applyBorder="1" applyAlignment="1">
      <alignment horizontal="right" vertical="center" wrapText="1"/>
    </xf>
    <xf numFmtId="43" fontId="110" fillId="0" borderId="104" xfId="132" applyFont="1" applyBorder="1"/>
    <xf numFmtId="0" fontId="178" fillId="0" borderId="104" xfId="4431" applyFont="1" applyBorder="1"/>
    <xf numFmtId="179" fontId="110" fillId="0" borderId="104" xfId="0" applyNumberFormat="1" applyFont="1" applyBorder="1"/>
    <xf numFmtId="10" fontId="110" fillId="0" borderId="104" xfId="0" applyNumberFormat="1" applyFont="1" applyBorder="1" applyAlignment="1">
      <alignment horizontal="right" indent="1"/>
    </xf>
    <xf numFmtId="0" fontId="42" fillId="0" borderId="104" xfId="0" applyFont="1" applyBorder="1" applyAlignment="1">
      <alignment vertical="top"/>
    </xf>
    <xf numFmtId="0" fontId="179" fillId="0" borderId="104" xfId="0" applyFont="1" applyBorder="1"/>
    <xf numFmtId="185" fontId="110" fillId="0" borderId="104" xfId="4417" applyNumberFormat="1" applyFont="1" applyFill="1" applyBorder="1"/>
    <xf numFmtId="176" fontId="110" fillId="0" borderId="104" xfId="0" applyNumberFormat="1" applyFont="1" applyBorder="1"/>
    <xf numFmtId="2" fontId="110" fillId="0" borderId="104" xfId="0" applyNumberFormat="1" applyFont="1" applyBorder="1"/>
    <xf numFmtId="176" fontId="110" fillId="85" borderId="104" xfId="0" applyNumberFormat="1" applyFont="1" applyFill="1" applyBorder="1"/>
    <xf numFmtId="179" fontId="127" fillId="0" borderId="104" xfId="0" applyNumberFormat="1" applyFont="1" applyBorder="1"/>
    <xf numFmtId="185" fontId="110" fillId="0" borderId="104" xfId="4417" applyNumberFormat="1" applyFont="1" applyBorder="1"/>
    <xf numFmtId="179" fontId="110" fillId="85" borderId="104" xfId="0" applyNumberFormat="1" applyFont="1" applyFill="1" applyBorder="1"/>
    <xf numFmtId="0" fontId="21" fillId="86" borderId="106" xfId="133" applyFont="1" applyFill="1" applyBorder="1" applyAlignment="1">
      <alignment vertical="center"/>
    </xf>
    <xf numFmtId="0" fontId="17" fillId="66" borderId="104" xfId="132" applyNumberFormat="1" applyFont="1" applyFill="1" applyBorder="1" applyAlignment="1">
      <alignment horizontal="center" vertical="center" wrapText="1"/>
    </xf>
    <xf numFmtId="168" fontId="17" fillId="66" borderId="104" xfId="132" applyNumberFormat="1" applyFont="1" applyFill="1" applyBorder="1" applyAlignment="1">
      <alignment horizontal="center" vertical="center" wrapText="1"/>
    </xf>
    <xf numFmtId="1" fontId="17" fillId="6" borderId="133" xfId="133" applyNumberFormat="1" applyFont="1" applyFill="1" applyBorder="1" applyAlignment="1">
      <alignment horizontal="center" vertical="center" wrapText="1"/>
    </xf>
    <xf numFmtId="1" fontId="17" fillId="6" borderId="109" xfId="133" applyNumberFormat="1" applyFont="1" applyFill="1" applyBorder="1" applyAlignment="1">
      <alignment horizontal="center" vertical="center" wrapText="1"/>
    </xf>
    <xf numFmtId="0" fontId="17" fillId="7" borderId="129" xfId="0" applyFont="1" applyFill="1" applyBorder="1" applyAlignment="1">
      <alignment horizontal="center" vertical="center" wrapText="1"/>
    </xf>
    <xf numFmtId="0" fontId="17" fillId="7" borderId="109" xfId="0" applyFont="1" applyFill="1" applyBorder="1" applyAlignment="1">
      <alignment horizontal="center" vertical="center" wrapText="1"/>
    </xf>
    <xf numFmtId="0" fontId="17" fillId="7" borderId="133" xfId="0" applyFont="1" applyFill="1" applyBorder="1" applyAlignment="1">
      <alignment horizontal="center" vertical="center" wrapText="1"/>
    </xf>
    <xf numFmtId="1" fontId="5" fillId="0" borderId="104" xfId="133" applyNumberFormat="1" applyFont="1" applyBorder="1" applyAlignment="1">
      <alignment vertical="center"/>
    </xf>
    <xf numFmtId="2" fontId="5" fillId="0" borderId="104" xfId="133" applyNumberFormat="1" applyFont="1" applyBorder="1" applyAlignment="1">
      <alignment vertical="center"/>
    </xf>
    <xf numFmtId="0" fontId="98" fillId="0" borderId="104" xfId="4431" applyNumberFormat="1" applyFont="1" applyFill="1" applyBorder="1" applyAlignment="1">
      <alignment horizontal="left" vertical="center"/>
    </xf>
    <xf numFmtId="8" fontId="5" fillId="0" borderId="104" xfId="133" applyNumberFormat="1" applyFont="1" applyBorder="1" applyAlignment="1">
      <alignment horizontal="left" vertical="center"/>
    </xf>
    <xf numFmtId="178" fontId="5" fillId="0" borderId="104" xfId="133" applyNumberFormat="1" applyFont="1" applyBorder="1" applyAlignment="1">
      <alignment vertical="center"/>
    </xf>
    <xf numFmtId="0" fontId="98" fillId="0" borderId="104" xfId="4431" applyFont="1" applyFill="1" applyBorder="1"/>
    <xf numFmtId="168" fontId="5" fillId="0" borderId="104" xfId="132" applyNumberFormat="1" applyFont="1" applyBorder="1" applyAlignment="1">
      <alignment horizontal="left" vertical="center"/>
    </xf>
    <xf numFmtId="168" fontId="5" fillId="0" borderId="104" xfId="132" applyNumberFormat="1" applyFont="1" applyFill="1" applyBorder="1" applyAlignment="1">
      <alignment horizontal="center" vertical="center"/>
    </xf>
    <xf numFmtId="0" fontId="5" fillId="0" borderId="104" xfId="4431" applyFont="1" applyFill="1" applyBorder="1"/>
    <xf numFmtId="168" fontId="5" fillId="0" borderId="104" xfId="132" applyNumberFormat="1" applyFont="1" applyBorder="1" applyAlignment="1">
      <alignment horizontal="center" vertical="center"/>
    </xf>
    <xf numFmtId="176" fontId="5" fillId="0" borderId="104" xfId="133" applyNumberFormat="1" applyFont="1" applyBorder="1" applyAlignment="1">
      <alignment horizontal="right" vertical="center"/>
    </xf>
    <xf numFmtId="44" fontId="5" fillId="0" borderId="104" xfId="133" applyNumberFormat="1" applyFont="1" applyBorder="1"/>
    <xf numFmtId="164" fontId="5" fillId="0" borderId="104" xfId="4417" applyNumberFormat="1" applyFont="1" applyFill="1" applyBorder="1" applyAlignment="1">
      <alignment horizontal="left" vertical="center"/>
    </xf>
    <xf numFmtId="168" fontId="5" fillId="0" borderId="104" xfId="132" applyNumberFormat="1" applyFont="1" applyFill="1" applyBorder="1" applyAlignment="1">
      <alignment horizontal="right" vertical="center"/>
    </xf>
    <xf numFmtId="0" fontId="98" fillId="0" borderId="104" xfId="4431" applyFont="1" applyFill="1" applyBorder="1" applyAlignment="1"/>
    <xf numFmtId="0" fontId="5" fillId="3" borderId="104" xfId="133" applyFont="1" applyFill="1" applyBorder="1" applyAlignment="1">
      <alignment vertical="center"/>
    </xf>
    <xf numFmtId="0" fontId="81" fillId="3" borderId="104" xfId="0" applyFont="1" applyFill="1" applyBorder="1" applyAlignment="1">
      <alignment vertical="top"/>
    </xf>
    <xf numFmtId="0" fontId="5" fillId="3" borderId="104" xfId="133" applyFont="1" applyFill="1" applyBorder="1"/>
    <xf numFmtId="44" fontId="5" fillId="3" borderId="104" xfId="4417" applyFont="1" applyFill="1" applyBorder="1"/>
    <xf numFmtId="6" fontId="5" fillId="3" borderId="104" xfId="133" applyNumberFormat="1" applyFont="1" applyFill="1" applyBorder="1"/>
    <xf numFmtId="44" fontId="5" fillId="3" borderId="104" xfId="4417" applyFont="1" applyFill="1" applyBorder="1" applyAlignment="1">
      <alignment horizontal="center" vertical="center"/>
    </xf>
    <xf numFmtId="8" fontId="5" fillId="3" borderId="104" xfId="133" applyNumberFormat="1" applyFont="1" applyFill="1" applyBorder="1" applyAlignment="1">
      <alignment horizontal="left" vertical="center"/>
    </xf>
    <xf numFmtId="1" fontId="5" fillId="3" borderId="104" xfId="133" applyNumberFormat="1" applyFont="1" applyFill="1" applyBorder="1" applyAlignment="1">
      <alignment vertical="center"/>
    </xf>
    <xf numFmtId="179" fontId="5" fillId="3" borderId="104" xfId="133" applyNumberFormat="1" applyFont="1" applyFill="1" applyBorder="1" applyAlignment="1">
      <alignment vertical="center"/>
    </xf>
    <xf numFmtId="2" fontId="5" fillId="3" borderId="104" xfId="133" applyNumberFormat="1" applyFont="1" applyFill="1" applyBorder="1" applyAlignment="1">
      <alignment vertical="center"/>
    </xf>
    <xf numFmtId="9" fontId="5" fillId="3" borderId="104" xfId="4416" applyFont="1" applyFill="1" applyBorder="1" applyAlignment="1">
      <alignment horizontal="left" vertical="center"/>
    </xf>
    <xf numFmtId="168" fontId="5" fillId="3" borderId="104" xfId="132" applyNumberFormat="1" applyFont="1" applyFill="1" applyBorder="1" applyAlignment="1">
      <alignment horizontal="left" vertical="center"/>
    </xf>
    <xf numFmtId="0" fontId="5" fillId="3" borderId="104" xfId="133" applyFont="1" applyFill="1" applyBorder="1" applyAlignment="1">
      <alignment horizontal="left" vertical="center"/>
    </xf>
    <xf numFmtId="9" fontId="5" fillId="3" borderId="104" xfId="133" applyNumberFormat="1" applyFont="1" applyFill="1" applyBorder="1" applyAlignment="1">
      <alignment horizontal="left" vertical="center"/>
    </xf>
    <xf numFmtId="9" fontId="5" fillId="3" borderId="106" xfId="133" applyNumberFormat="1" applyFont="1" applyFill="1" applyBorder="1" applyAlignment="1">
      <alignment horizontal="left" vertical="center"/>
    </xf>
    <xf numFmtId="8" fontId="5" fillId="3" borderId="126" xfId="133" applyNumberFormat="1" applyFont="1" applyFill="1" applyBorder="1" applyAlignment="1">
      <alignment vertical="center"/>
    </xf>
    <xf numFmtId="8" fontId="5" fillId="3" borderId="104" xfId="133" applyNumberFormat="1" applyFont="1" applyFill="1" applyBorder="1" applyAlignment="1">
      <alignment vertical="center"/>
    </xf>
    <xf numFmtId="43" fontId="5" fillId="3" borderId="126" xfId="133" applyNumberFormat="1" applyFont="1" applyFill="1" applyBorder="1"/>
    <xf numFmtId="43" fontId="5" fillId="3" borderId="104" xfId="133" applyNumberFormat="1" applyFont="1" applyFill="1" applyBorder="1"/>
    <xf numFmtId="43" fontId="5" fillId="3" borderId="106" xfId="133" applyNumberFormat="1" applyFont="1" applyFill="1" applyBorder="1"/>
    <xf numFmtId="164" fontId="5" fillId="3" borderId="126" xfId="133" applyNumberFormat="1" applyFont="1" applyFill="1" applyBorder="1"/>
    <xf numFmtId="164" fontId="5" fillId="3" borderId="104" xfId="133" applyNumberFormat="1" applyFont="1" applyFill="1" applyBorder="1"/>
    <xf numFmtId="164" fontId="5" fillId="3" borderId="106" xfId="133" applyNumberFormat="1" applyFont="1" applyFill="1" applyBorder="1"/>
    <xf numFmtId="164" fontId="5" fillId="3" borderId="105" xfId="133" applyNumberFormat="1" applyFont="1" applyFill="1" applyBorder="1"/>
    <xf numFmtId="43" fontId="5" fillId="3" borderId="127" xfId="133" applyNumberFormat="1" applyFont="1" applyFill="1" applyBorder="1"/>
    <xf numFmtId="168" fontId="5" fillId="3" borderId="105" xfId="132" applyNumberFormat="1" applyFont="1" applyFill="1" applyBorder="1"/>
    <xf numFmtId="166" fontId="5" fillId="3" borderId="104" xfId="133" applyNumberFormat="1" applyFont="1" applyFill="1" applyBorder="1"/>
    <xf numFmtId="168" fontId="5" fillId="3" borderId="104" xfId="132" applyNumberFormat="1" applyFont="1" applyFill="1" applyBorder="1"/>
    <xf numFmtId="168" fontId="5" fillId="3" borderId="104" xfId="133" applyNumberFormat="1" applyFont="1" applyFill="1" applyBorder="1"/>
    <xf numFmtId="0" fontId="151" fillId="0" borderId="104" xfId="133" applyFont="1" applyBorder="1"/>
    <xf numFmtId="0" fontId="5" fillId="0" borderId="106" xfId="133" applyFont="1" applyBorder="1" applyAlignment="1">
      <alignment horizontal="left" vertical="center"/>
    </xf>
    <xf numFmtId="0" fontId="5" fillId="11" borderId="106" xfId="133" applyFont="1" applyFill="1" applyBorder="1" applyAlignment="1">
      <alignment horizontal="left" vertical="center"/>
    </xf>
    <xf numFmtId="2" fontId="5" fillId="11" borderId="104" xfId="133" applyNumberFormat="1" applyFont="1" applyFill="1" applyBorder="1" applyAlignment="1">
      <alignment vertical="center"/>
    </xf>
    <xf numFmtId="8" fontId="5" fillId="0" borderId="107" xfId="133" applyNumberFormat="1" applyFont="1" applyBorder="1" applyAlignment="1">
      <alignment vertical="center"/>
    </xf>
    <xf numFmtId="8" fontId="5" fillId="0" borderId="129" xfId="133" applyNumberFormat="1" applyFont="1" applyBorder="1" applyAlignment="1">
      <alignment vertical="center"/>
    </xf>
    <xf numFmtId="44" fontId="5" fillId="0" borderId="107" xfId="133" applyNumberFormat="1" applyFont="1" applyBorder="1" applyAlignment="1">
      <alignment vertical="center"/>
    </xf>
    <xf numFmtId="44" fontId="5" fillId="0" borderId="129" xfId="133" applyNumberFormat="1" applyFont="1" applyBorder="1" applyAlignment="1">
      <alignment vertical="center"/>
    </xf>
    <xf numFmtId="43" fontId="5" fillId="0" borderId="107" xfId="133" applyNumberFormat="1" applyFont="1" applyBorder="1"/>
    <xf numFmtId="43" fontId="5" fillId="0" borderId="129" xfId="133" applyNumberFormat="1" applyFont="1" applyBorder="1"/>
    <xf numFmtId="43" fontId="5" fillId="0" borderId="133" xfId="133" applyNumberFormat="1" applyFont="1" applyBorder="1"/>
    <xf numFmtId="164" fontId="5" fillId="0" borderId="107" xfId="133" applyNumberFormat="1" applyFont="1" applyBorder="1"/>
    <xf numFmtId="164" fontId="5" fillId="0" borderId="129" xfId="133" applyNumberFormat="1" applyFont="1" applyBorder="1"/>
    <xf numFmtId="164" fontId="5" fillId="0" borderId="133" xfId="133" applyNumberFormat="1" applyFont="1" applyBorder="1"/>
    <xf numFmtId="164" fontId="5" fillId="0" borderId="135" xfId="133" applyNumberFormat="1" applyFont="1" applyBorder="1"/>
    <xf numFmtId="164" fontId="5" fillId="0" borderId="132" xfId="133" applyNumberFormat="1" applyFont="1" applyBorder="1"/>
    <xf numFmtId="43" fontId="5" fillId="0" borderId="109" xfId="133" applyNumberFormat="1" applyFont="1" applyBorder="1"/>
    <xf numFmtId="44" fontId="0" fillId="73" borderId="104" xfId="4417" applyFont="1" applyFill="1" applyBorder="1"/>
    <xf numFmtId="169" fontId="0" fillId="73" borderId="104" xfId="4417" applyNumberFormat="1" applyFont="1" applyFill="1" applyBorder="1"/>
    <xf numFmtId="9" fontId="13" fillId="0" borderId="104" xfId="133" applyNumberFormat="1" applyBorder="1"/>
    <xf numFmtId="0" fontId="13" fillId="0" borderId="104" xfId="133" applyBorder="1" applyAlignment="1">
      <alignment horizontal="left"/>
    </xf>
    <xf numFmtId="1" fontId="5" fillId="0" borderId="104" xfId="133" applyNumberFormat="1" applyFont="1" applyBorder="1" applyAlignment="1">
      <alignment horizontal="left" vertical="top"/>
    </xf>
    <xf numFmtId="179" fontId="5" fillId="0" borderId="104" xfId="133" applyNumberFormat="1" applyFont="1" applyBorder="1" applyAlignment="1">
      <alignment horizontal="left" vertical="top"/>
    </xf>
    <xf numFmtId="2" fontId="5" fillId="0" borderId="104" xfId="133" applyNumberFormat="1" applyFont="1" applyBorder="1" applyAlignment="1">
      <alignment horizontal="left" vertical="top"/>
    </xf>
    <xf numFmtId="0" fontId="98" fillId="0" borderId="104" xfId="4431" applyFont="1" applyFill="1" applyBorder="1" applyAlignment="1">
      <alignment horizontal="left" vertical="top"/>
    </xf>
    <xf numFmtId="6" fontId="5" fillId="0" borderId="104" xfId="4417" applyNumberFormat="1" applyFont="1" applyBorder="1" applyAlignment="1">
      <alignment horizontal="left" vertical="center"/>
    </xf>
    <xf numFmtId="44" fontId="5" fillId="0" borderId="104" xfId="4417" applyFont="1" applyFill="1" applyBorder="1" applyAlignment="1">
      <alignment horizontal="left" vertical="top"/>
    </xf>
    <xf numFmtId="169" fontId="5" fillId="0" borderId="104" xfId="4417" applyNumberFormat="1" applyFont="1" applyFill="1" applyBorder="1" applyAlignment="1">
      <alignment horizontal="left" vertical="top"/>
    </xf>
    <xf numFmtId="0" fontId="13" fillId="0" borderId="104" xfId="133" applyBorder="1" applyAlignment="1">
      <alignment horizontal="left" vertical="top"/>
    </xf>
    <xf numFmtId="6" fontId="5" fillId="0" borderId="104" xfId="4417" applyNumberFormat="1" applyFont="1" applyFill="1" applyBorder="1" applyAlignment="1">
      <alignment horizontal="left" vertical="top"/>
    </xf>
    <xf numFmtId="44" fontId="5" fillId="74" borderId="104" xfId="4417" applyFont="1" applyFill="1" applyBorder="1" applyAlignment="1">
      <alignment horizontal="left" vertical="top"/>
    </xf>
    <xf numFmtId="169" fontId="5" fillId="74" borderId="104" xfId="4417" applyNumberFormat="1" applyFont="1" applyFill="1" applyBorder="1" applyAlignment="1">
      <alignment horizontal="left" vertical="top"/>
    </xf>
    <xf numFmtId="0" fontId="5" fillId="74" borderId="104" xfId="133" applyFont="1" applyFill="1" applyBorder="1" applyAlignment="1">
      <alignment horizontal="left" vertical="top"/>
    </xf>
    <xf numFmtId="0" fontId="21" fillId="86" borderId="104" xfId="133" applyFont="1" applyFill="1" applyBorder="1"/>
    <xf numFmtId="0" fontId="21" fillId="86" borderId="104" xfId="133" applyFont="1" applyFill="1" applyBorder="1" applyAlignment="1">
      <alignment wrapText="1"/>
    </xf>
    <xf numFmtId="1" fontId="15" fillId="8" borderId="106" xfId="133" applyNumberFormat="1" applyFont="1" applyFill="1" applyBorder="1" applyAlignment="1">
      <alignment horizontal="center" wrapText="1"/>
    </xf>
    <xf numFmtId="1" fontId="17" fillId="6" borderId="126" xfId="0" applyNumberFormat="1" applyFont="1" applyFill="1" applyBorder="1" applyAlignment="1">
      <alignment horizontal="center" wrapText="1"/>
    </xf>
    <xf numFmtId="1" fontId="17" fillId="6" borderId="104" xfId="0" applyNumberFormat="1" applyFont="1" applyFill="1" applyBorder="1" applyAlignment="1">
      <alignment horizontal="center" wrapText="1"/>
    </xf>
    <xf numFmtId="1" fontId="17" fillId="6" borderId="127" xfId="0" applyNumberFormat="1" applyFont="1" applyFill="1" applyBorder="1" applyAlignment="1">
      <alignment horizontal="center" wrapText="1"/>
    </xf>
    <xf numFmtId="1" fontId="17" fillId="6" borderId="105" xfId="0" applyNumberFormat="1" applyFont="1" applyFill="1" applyBorder="1" applyAlignment="1">
      <alignment horizontal="center" wrapText="1"/>
    </xf>
    <xf numFmtId="1" fontId="17" fillId="6" borderId="106" xfId="0" applyNumberFormat="1" applyFont="1" applyFill="1" applyBorder="1" applyAlignment="1">
      <alignment horizontal="center" wrapText="1"/>
    </xf>
    <xf numFmtId="1" fontId="17" fillId="8" borderId="104" xfId="133" applyNumberFormat="1" applyFont="1" applyFill="1" applyBorder="1" applyAlignment="1">
      <alignment horizontal="center"/>
    </xf>
    <xf numFmtId="1" fontId="17" fillId="8" borderId="104" xfId="133" applyNumberFormat="1" applyFont="1" applyFill="1" applyBorder="1" applyAlignment="1">
      <alignment horizontal="center" wrapText="1"/>
    </xf>
    <xf numFmtId="1" fontId="17" fillId="8" borderId="106" xfId="133" applyNumberFormat="1" applyFont="1" applyFill="1" applyBorder="1" applyAlignment="1">
      <alignment horizontal="center" wrapText="1"/>
    </xf>
    <xf numFmtId="1" fontId="17" fillId="6" borderId="126" xfId="133" applyNumberFormat="1" applyFont="1" applyFill="1" applyBorder="1" applyAlignment="1">
      <alignment horizontal="center" wrapText="1"/>
    </xf>
    <xf numFmtId="1" fontId="17" fillId="6" borderId="104" xfId="133" applyNumberFormat="1" applyFont="1" applyFill="1" applyBorder="1" applyAlignment="1">
      <alignment horizontal="center" wrapText="1"/>
    </xf>
    <xf numFmtId="1" fontId="17" fillId="6" borderId="127" xfId="133" applyNumberFormat="1" applyFont="1" applyFill="1" applyBorder="1" applyAlignment="1">
      <alignment horizontal="center" wrapText="1"/>
    </xf>
    <xf numFmtId="1" fontId="17" fillId="6" borderId="105" xfId="133" applyNumberFormat="1" applyFont="1" applyFill="1" applyBorder="1" applyAlignment="1">
      <alignment horizontal="center" wrapText="1"/>
    </xf>
    <xf numFmtId="1" fontId="17" fillId="6" borderId="106" xfId="133" applyNumberFormat="1" applyFont="1" applyFill="1" applyBorder="1" applyAlignment="1">
      <alignment horizontal="center" wrapText="1"/>
    </xf>
    <xf numFmtId="0" fontId="17" fillId="7" borderId="126" xfId="0" applyFont="1" applyFill="1" applyBorder="1" applyAlignment="1">
      <alignment horizontal="center" wrapText="1"/>
    </xf>
    <xf numFmtId="0" fontId="17" fillId="7" borderId="104" xfId="0" applyFont="1" applyFill="1" applyBorder="1" applyAlignment="1">
      <alignment horizontal="center" wrapText="1"/>
    </xf>
    <xf numFmtId="0" fontId="17" fillId="7" borderId="127" xfId="0" applyFont="1" applyFill="1" applyBorder="1" applyAlignment="1">
      <alignment horizontal="center" wrapText="1"/>
    </xf>
    <xf numFmtId="0" fontId="17" fillId="7" borderId="106" xfId="0" applyFont="1" applyFill="1" applyBorder="1" applyAlignment="1">
      <alignment horizontal="center" wrapText="1"/>
    </xf>
    <xf numFmtId="0" fontId="17" fillId="7" borderId="105" xfId="0" applyFont="1" applyFill="1" applyBorder="1" applyAlignment="1">
      <alignment horizontal="center" wrapText="1"/>
    </xf>
    <xf numFmtId="0" fontId="5" fillId="0" borderId="104" xfId="0" applyFont="1" applyBorder="1"/>
    <xf numFmtId="44" fontId="5" fillId="0" borderId="104" xfId="4417" applyFont="1" applyFill="1" applyBorder="1" applyAlignment="1"/>
    <xf numFmtId="44" fontId="5" fillId="0" borderId="104" xfId="4417" applyFont="1" applyFill="1" applyBorder="1" applyAlignment="1">
      <alignment horizontal="center"/>
    </xf>
    <xf numFmtId="8" fontId="5" fillId="0" borderId="104" xfId="133" applyNumberFormat="1" applyFont="1" applyBorder="1" applyAlignment="1">
      <alignment horizontal="right" vertical="center"/>
    </xf>
    <xf numFmtId="2" fontId="5" fillId="0" borderId="104" xfId="133" applyNumberFormat="1" applyFont="1" applyBorder="1" applyAlignment="1">
      <alignment horizontal="right" vertical="center" indent="1"/>
    </xf>
    <xf numFmtId="9" fontId="5" fillId="0" borderId="104" xfId="4416" applyFont="1" applyFill="1" applyBorder="1" applyAlignment="1">
      <alignment horizontal="left" vertical="center"/>
    </xf>
    <xf numFmtId="0" fontId="5" fillId="0" borderId="104" xfId="132" applyNumberFormat="1" applyFont="1" applyFill="1" applyBorder="1" applyAlignment="1"/>
    <xf numFmtId="0" fontId="5" fillId="0" borderId="104" xfId="133" applyFont="1" applyBorder="1" applyAlignment="1">
      <alignment horizontal="left"/>
    </xf>
    <xf numFmtId="9" fontId="5" fillId="0" borderId="104" xfId="133" applyNumberFormat="1" applyFont="1" applyBorder="1" applyAlignment="1">
      <alignment horizontal="left"/>
    </xf>
    <xf numFmtId="9" fontId="5" fillId="0" borderId="106" xfId="133" applyNumberFormat="1" applyFont="1" applyBorder="1" applyAlignment="1">
      <alignment horizontal="left"/>
    </xf>
    <xf numFmtId="44" fontId="5" fillId="0" borderId="126" xfId="133" applyNumberFormat="1" applyFont="1" applyBorder="1"/>
    <xf numFmtId="8" fontId="5" fillId="0" borderId="104" xfId="133" applyNumberFormat="1" applyFont="1" applyBorder="1"/>
    <xf numFmtId="8" fontId="5" fillId="0" borderId="127" xfId="133" applyNumberFormat="1" applyFont="1" applyBorder="1"/>
    <xf numFmtId="8" fontId="5" fillId="0" borderId="105" xfId="133" applyNumberFormat="1" applyFont="1" applyBorder="1"/>
    <xf numFmtId="44" fontId="5" fillId="0" borderId="127" xfId="133" applyNumberFormat="1" applyFont="1" applyBorder="1"/>
    <xf numFmtId="44" fontId="5" fillId="0" borderId="104" xfId="4417" applyFont="1" applyFill="1" applyBorder="1"/>
    <xf numFmtId="2" fontId="5" fillId="0" borderId="104" xfId="133" applyNumberFormat="1" applyFont="1" applyBorder="1" applyAlignment="1">
      <alignment horizontal="right" indent="1"/>
    </xf>
    <xf numFmtId="8" fontId="5" fillId="0" borderId="106" xfId="133" applyNumberFormat="1" applyFont="1" applyBorder="1"/>
    <xf numFmtId="0" fontId="5" fillId="0" borderId="104" xfId="133" applyFont="1" applyBorder="1" applyAlignment="1">
      <alignment horizontal="right" indent="1"/>
    </xf>
    <xf numFmtId="44" fontId="5" fillId="0" borderId="104" xfId="133" applyNumberFormat="1" applyFont="1" applyBorder="1" applyAlignment="1">
      <alignment horizontal="right" vertical="center"/>
    </xf>
    <xf numFmtId="0" fontId="5" fillId="3" borderId="104" xfId="0" applyFont="1" applyFill="1" applyBorder="1" applyAlignment="1">
      <alignment vertical="top"/>
    </xf>
    <xf numFmtId="8" fontId="5" fillId="3" borderId="104" xfId="133" applyNumberFormat="1" applyFont="1" applyFill="1" applyBorder="1" applyAlignment="1">
      <alignment horizontal="right" vertical="center"/>
    </xf>
    <xf numFmtId="44" fontId="5" fillId="3" borderId="104" xfId="133" applyNumberFormat="1" applyFont="1" applyFill="1" applyBorder="1" applyAlignment="1">
      <alignment horizontal="right" vertical="center"/>
    </xf>
    <xf numFmtId="0" fontId="5" fillId="3" borderId="104" xfId="133" applyFont="1" applyFill="1" applyBorder="1" applyAlignment="1">
      <alignment horizontal="right" indent="1"/>
    </xf>
    <xf numFmtId="0" fontId="5" fillId="3" borderId="104" xfId="132" applyNumberFormat="1" applyFont="1" applyFill="1" applyBorder="1" applyAlignment="1">
      <alignment horizontal="right" vertical="center"/>
    </xf>
    <xf numFmtId="8" fontId="5" fillId="3" borderId="127" xfId="133" applyNumberFormat="1" applyFont="1" applyFill="1" applyBorder="1" applyAlignment="1">
      <alignment vertical="center"/>
    </xf>
    <xf numFmtId="8" fontId="5" fillId="3" borderId="105" xfId="133" applyNumberFormat="1" applyFont="1" applyFill="1" applyBorder="1" applyAlignment="1">
      <alignment vertical="center"/>
    </xf>
    <xf numFmtId="8" fontId="5" fillId="3" borderId="106" xfId="133" applyNumberFormat="1" applyFont="1" applyFill="1" applyBorder="1" applyAlignment="1">
      <alignment vertical="center"/>
    </xf>
    <xf numFmtId="164" fontId="5" fillId="3" borderId="127" xfId="133" applyNumberFormat="1" applyFont="1" applyFill="1" applyBorder="1"/>
    <xf numFmtId="43" fontId="5" fillId="3" borderId="105" xfId="133" applyNumberFormat="1" applyFont="1" applyFill="1" applyBorder="1"/>
    <xf numFmtId="0" fontId="5" fillId="0" borderId="104" xfId="132" applyNumberFormat="1" applyFont="1" applyBorder="1"/>
    <xf numFmtId="0" fontId="5" fillId="0" borderId="104" xfId="132" applyNumberFormat="1" applyFont="1" applyFill="1" applyBorder="1"/>
    <xf numFmtId="0" fontId="5" fillId="3" borderId="104" xfId="133" applyFont="1" applyFill="1" applyBorder="1" applyAlignment="1">
      <alignment vertical="center" wrapText="1"/>
    </xf>
    <xf numFmtId="8" fontId="5" fillId="3" borderId="107" xfId="133" applyNumberFormat="1" applyFont="1" applyFill="1" applyBorder="1" applyAlignment="1">
      <alignment vertical="center"/>
    </xf>
    <xf numFmtId="8" fontId="5" fillId="3" borderId="129" xfId="133" applyNumberFormat="1" applyFont="1" applyFill="1" applyBorder="1" applyAlignment="1">
      <alignment vertical="center"/>
    </xf>
    <xf numFmtId="8" fontId="5" fillId="3" borderId="109" xfId="133" applyNumberFormat="1" applyFont="1" applyFill="1" applyBorder="1" applyAlignment="1">
      <alignment vertical="center"/>
    </xf>
    <xf numFmtId="8" fontId="5" fillId="3" borderId="135" xfId="133" applyNumberFormat="1" applyFont="1" applyFill="1" applyBorder="1" applyAlignment="1">
      <alignment vertical="center"/>
    </xf>
    <xf numFmtId="8" fontId="5" fillId="3" borderId="133" xfId="133" applyNumberFormat="1" applyFont="1" applyFill="1" applyBorder="1" applyAlignment="1">
      <alignment vertical="center"/>
    </xf>
    <xf numFmtId="43" fontId="5" fillId="3" borderId="107" xfId="133" applyNumberFormat="1" applyFont="1" applyFill="1" applyBorder="1"/>
    <xf numFmtId="43" fontId="5" fillId="3" borderId="129" xfId="133" applyNumberFormat="1" applyFont="1" applyFill="1" applyBorder="1"/>
    <xf numFmtId="43" fontId="5" fillId="3" borderId="109" xfId="133" applyNumberFormat="1" applyFont="1" applyFill="1" applyBorder="1"/>
    <xf numFmtId="43" fontId="5" fillId="3" borderId="133" xfId="133" applyNumberFormat="1" applyFont="1" applyFill="1" applyBorder="1"/>
    <xf numFmtId="164" fontId="5" fillId="3" borderId="107" xfId="133" applyNumberFormat="1" applyFont="1" applyFill="1" applyBorder="1"/>
    <xf numFmtId="164" fontId="5" fillId="3" borderId="129" xfId="133" applyNumberFormat="1" applyFont="1" applyFill="1" applyBorder="1"/>
    <xf numFmtId="164" fontId="5" fillId="3" borderId="109" xfId="133" applyNumberFormat="1" applyFont="1" applyFill="1" applyBorder="1"/>
    <xf numFmtId="164" fontId="5" fillId="3" borderId="135" xfId="133" applyNumberFormat="1" applyFont="1" applyFill="1" applyBorder="1"/>
    <xf numFmtId="164" fontId="5" fillId="3" borderId="133" xfId="133" applyNumberFormat="1" applyFont="1" applyFill="1" applyBorder="1"/>
    <xf numFmtId="43" fontId="5" fillId="3" borderId="135" xfId="133" applyNumberFormat="1" applyFont="1" applyFill="1" applyBorder="1"/>
    <xf numFmtId="169" fontId="13" fillId="0" borderId="104" xfId="4417" applyNumberFormat="1" applyFont="1" applyFill="1" applyBorder="1"/>
    <xf numFmtId="168" fontId="13" fillId="0" borderId="104" xfId="132" applyNumberFormat="1" applyFont="1" applyFill="1" applyBorder="1"/>
    <xf numFmtId="168" fontId="13" fillId="0" borderId="104" xfId="133" applyNumberFormat="1" applyBorder="1"/>
    <xf numFmtId="9" fontId="13" fillId="0" borderId="104" xfId="4416" applyFont="1" applyFill="1" applyBorder="1"/>
    <xf numFmtId="174" fontId="13" fillId="0" borderId="104" xfId="4416" applyNumberFormat="1" applyFont="1" applyFill="1" applyBorder="1"/>
    <xf numFmtId="44" fontId="13" fillId="0" borderId="104" xfId="4417" applyFont="1" applyFill="1" applyBorder="1"/>
    <xf numFmtId="0" fontId="5" fillId="0" borderId="104" xfId="4417" applyNumberFormat="1" applyFont="1" applyFill="1" applyBorder="1" applyAlignment="1">
      <alignment horizontal="center" vertical="center"/>
    </xf>
    <xf numFmtId="8" fontId="5" fillId="0" borderId="105" xfId="133" applyNumberFormat="1" applyFont="1" applyBorder="1" applyAlignment="1">
      <alignment vertical="center"/>
    </xf>
    <xf numFmtId="164" fontId="110" fillId="0" borderId="104" xfId="133" applyNumberFormat="1" applyFont="1" applyBorder="1"/>
    <xf numFmtId="0" fontId="110" fillId="0" borderId="104" xfId="0" applyFont="1" applyBorder="1" applyAlignment="1">
      <alignment horizontal="left" indent="1"/>
    </xf>
    <xf numFmtId="0" fontId="110" fillId="0" borderId="104" xfId="0" applyFont="1" applyBorder="1" applyAlignment="1">
      <alignment horizontal="right" indent="1"/>
    </xf>
    <xf numFmtId="0" fontId="127" fillId="0" borderId="104" xfId="0" applyFont="1" applyBorder="1" applyAlignment="1">
      <alignment horizontal="left" indent="1"/>
    </xf>
    <xf numFmtId="10" fontId="127" fillId="0" borderId="104" xfId="0" applyNumberFormat="1" applyFont="1" applyBorder="1" applyAlignment="1">
      <alignment horizontal="right" indent="1"/>
    </xf>
    <xf numFmtId="1" fontId="110" fillId="0" borderId="104" xfId="0" applyNumberFormat="1" applyFont="1" applyBorder="1" applyAlignment="1">
      <alignment horizontal="right" indent="1"/>
    </xf>
    <xf numFmtId="0" fontId="17" fillId="7" borderId="126" xfId="0" applyFont="1" applyFill="1" applyBorder="1" applyAlignment="1">
      <alignment horizontal="center" vertical="center" wrapText="1"/>
    </xf>
    <xf numFmtId="0" fontId="17" fillId="7" borderId="127" xfId="0" applyFont="1" applyFill="1" applyBorder="1" applyAlignment="1">
      <alignment horizontal="center" vertical="center" wrapText="1"/>
    </xf>
    <xf numFmtId="169" fontId="5" fillId="0" borderId="104" xfId="4417" applyNumberFormat="1" applyFont="1" applyFill="1" applyBorder="1"/>
    <xf numFmtId="43" fontId="5" fillId="0" borderId="104" xfId="132" applyFont="1" applyFill="1" applyBorder="1"/>
    <xf numFmtId="39" fontId="5" fillId="0" borderId="104" xfId="132" applyNumberFormat="1" applyFont="1" applyFill="1" applyBorder="1"/>
    <xf numFmtId="169" fontId="5" fillId="0" borderId="104" xfId="133" applyNumberFormat="1" applyFont="1" applyBorder="1" applyAlignment="1">
      <alignment vertical="center"/>
    </xf>
    <xf numFmtId="1" fontId="80" fillId="74" borderId="104" xfId="133" applyNumberFormat="1" applyFont="1" applyFill="1" applyBorder="1" applyAlignment="1">
      <alignment vertical="center"/>
    </xf>
    <xf numFmtId="0" fontId="80" fillId="74" borderId="126" xfId="133" applyFont="1" applyFill="1" applyBorder="1" applyAlignment="1">
      <alignment vertical="center"/>
    </xf>
    <xf numFmtId="0" fontId="80" fillId="74" borderId="127" xfId="133" applyFont="1" applyFill="1" applyBorder="1" applyAlignment="1">
      <alignment vertical="center"/>
    </xf>
    <xf numFmtId="1" fontId="5" fillId="0" borderId="104" xfId="132" applyNumberFormat="1" applyFont="1" applyFill="1" applyBorder="1"/>
    <xf numFmtId="2" fontId="5" fillId="0" borderId="104" xfId="133" applyNumberFormat="1" applyFont="1" applyBorder="1"/>
    <xf numFmtId="169" fontId="5" fillId="0" borderId="107" xfId="133" applyNumberFormat="1" applyFont="1" applyBorder="1" applyAlignment="1">
      <alignment vertical="center"/>
    </xf>
    <xf numFmtId="8" fontId="5" fillId="0" borderId="109" xfId="133" applyNumberFormat="1" applyFont="1" applyBorder="1" applyAlignment="1">
      <alignment vertical="center"/>
    </xf>
    <xf numFmtId="44" fontId="5" fillId="0" borderId="109" xfId="133" applyNumberFormat="1" applyFont="1" applyBorder="1" applyAlignment="1">
      <alignment vertical="center"/>
    </xf>
    <xf numFmtId="164" fontId="5" fillId="0" borderId="109" xfId="133" applyNumberFormat="1" applyFont="1" applyBorder="1"/>
    <xf numFmtId="43" fontId="5" fillId="0" borderId="135" xfId="133" applyNumberFormat="1" applyFont="1" applyBorder="1"/>
    <xf numFmtId="43" fontId="5" fillId="0" borderId="132" xfId="133" applyNumberFormat="1" applyFont="1" applyBorder="1"/>
    <xf numFmtId="43" fontId="5" fillId="0" borderId="134" xfId="133" applyNumberFormat="1" applyFont="1" applyBorder="1"/>
    <xf numFmtId="0" fontId="158" fillId="67" borderId="104" xfId="0" applyFont="1" applyFill="1" applyBorder="1" applyAlignment="1">
      <alignment horizontal="center" vertical="center" wrapText="1"/>
    </xf>
    <xf numFmtId="0" fontId="158" fillId="85" borderId="104" xfId="0" applyFont="1" applyFill="1" applyBorder="1" applyAlignment="1">
      <alignment horizontal="center" vertical="center"/>
    </xf>
    <xf numFmtId="0" fontId="158" fillId="85" borderId="104" xfId="0" applyFont="1" applyFill="1" applyBorder="1" applyAlignment="1">
      <alignment horizontal="center" vertical="center" wrapText="1"/>
    </xf>
    <xf numFmtId="0" fontId="99" fillId="0" borderId="104" xfId="0" applyFont="1" applyBorder="1" applyAlignment="1">
      <alignment vertical="center"/>
    </xf>
    <xf numFmtId="0" fontId="99" fillId="0" borderId="104" xfId="0" applyFont="1" applyBorder="1" applyAlignment="1">
      <alignment horizontal="center" vertical="center"/>
    </xf>
    <xf numFmtId="43" fontId="99" fillId="0" borderId="104" xfId="132" quotePrefix="1" applyFont="1" applyBorder="1" applyAlignment="1">
      <alignment vertical="center"/>
    </xf>
    <xf numFmtId="43" fontId="99" fillId="0" borderId="104" xfId="132" applyFont="1" applyBorder="1" applyAlignment="1">
      <alignment vertical="center"/>
    </xf>
    <xf numFmtId="168" fontId="99" fillId="0" borderId="104" xfId="132" quotePrefix="1" applyNumberFormat="1" applyFont="1" applyBorder="1" applyAlignment="1">
      <alignment horizontal="left" vertical="center"/>
    </xf>
    <xf numFmtId="43" fontId="99" fillId="0" borderId="104" xfId="132" quotePrefix="1" applyFont="1" applyFill="1" applyBorder="1" applyAlignment="1">
      <alignment vertical="center"/>
    </xf>
    <xf numFmtId="168" fontId="99" fillId="0" borderId="104" xfId="132" applyNumberFormat="1" applyFont="1" applyBorder="1" applyAlignment="1">
      <alignment vertical="center"/>
    </xf>
    <xf numFmtId="0" fontId="99" fillId="0" borderId="104" xfId="0" quotePrefix="1" applyFont="1" applyBorder="1" applyAlignment="1">
      <alignment horizontal="center" vertical="center"/>
    </xf>
    <xf numFmtId="43" fontId="99" fillId="0" borderId="104" xfId="132" applyFont="1" applyFill="1" applyBorder="1" applyAlignment="1">
      <alignment vertical="center"/>
    </xf>
    <xf numFmtId="168" fontId="99" fillId="0" borderId="104" xfId="132" quotePrefix="1" applyNumberFormat="1" applyFont="1" applyFill="1" applyBorder="1" applyAlignment="1">
      <alignment horizontal="left" vertical="center"/>
    </xf>
    <xf numFmtId="0" fontId="99" fillId="0" borderId="104" xfId="0" quotePrefix="1" applyFont="1" applyBorder="1" applyAlignment="1">
      <alignment horizontal="left" vertical="center"/>
    </xf>
    <xf numFmtId="43" fontId="99" fillId="68" borderId="104" xfId="132" quotePrefix="1" applyFont="1" applyFill="1" applyBorder="1" applyAlignment="1">
      <alignment vertical="center"/>
    </xf>
    <xf numFmtId="43" fontId="99" fillId="68" borderId="104" xfId="132" applyFont="1" applyFill="1" applyBorder="1" applyAlignment="1">
      <alignment vertical="center"/>
    </xf>
    <xf numFmtId="44" fontId="5" fillId="0" borderId="104" xfId="4417" applyFont="1" applyBorder="1"/>
    <xf numFmtId="169" fontId="5" fillId="0" borderId="104" xfId="4417" applyNumberFormat="1" applyFont="1" applyBorder="1"/>
    <xf numFmtId="0" fontId="17" fillId="7" borderId="106" xfId="0" applyFont="1" applyFill="1" applyBorder="1" applyAlignment="1">
      <alignment horizontal="center" vertical="center" wrapText="1"/>
    </xf>
    <xf numFmtId="0" fontId="80" fillId="74" borderId="131" xfId="133" applyFont="1" applyFill="1" applyBorder="1" applyAlignment="1">
      <alignment vertical="center"/>
    </xf>
    <xf numFmtId="0" fontId="80" fillId="74" borderId="107" xfId="133" applyFont="1" applyFill="1" applyBorder="1" applyAlignment="1">
      <alignment vertical="center"/>
    </xf>
    <xf numFmtId="0" fontId="80" fillId="74" borderId="129" xfId="133" applyFont="1" applyFill="1" applyBorder="1" applyAlignment="1">
      <alignment vertical="center"/>
    </xf>
    <xf numFmtId="0" fontId="80" fillId="74" borderId="135" xfId="133" applyFont="1" applyFill="1" applyBorder="1" applyAlignment="1">
      <alignment vertical="center"/>
    </xf>
    <xf numFmtId="0" fontId="80" fillId="74" borderId="133" xfId="133" applyFont="1" applyFill="1" applyBorder="1" applyAlignment="1">
      <alignment vertical="center"/>
    </xf>
    <xf numFmtId="0" fontId="150" fillId="5" borderId="104" xfId="133" applyFont="1" applyFill="1" applyBorder="1" applyAlignment="1">
      <alignment horizontal="center" vertical="center" wrapText="1"/>
    </xf>
    <xf numFmtId="6" fontId="5" fillId="0" borderId="104" xfId="133" applyNumberFormat="1" applyFont="1" applyBorder="1" applyAlignment="1">
      <alignment horizontal="right" vertical="center"/>
    </xf>
    <xf numFmtId="1" fontId="5" fillId="0" borderId="104" xfId="133" applyNumberFormat="1" applyFont="1" applyBorder="1"/>
    <xf numFmtId="168" fontId="151" fillId="0" borderId="105" xfId="132" applyNumberFormat="1" applyFont="1" applyFill="1" applyBorder="1"/>
    <xf numFmtId="168" fontId="151" fillId="0" borderId="104" xfId="132" applyNumberFormat="1" applyFont="1" applyFill="1" applyBorder="1"/>
    <xf numFmtId="0" fontId="80" fillId="3" borderId="104" xfId="133" applyFont="1" applyFill="1" applyBorder="1" applyAlignment="1">
      <alignment vertical="center"/>
    </xf>
    <xf numFmtId="0" fontId="80" fillId="0" borderId="105" xfId="133" applyFont="1" applyBorder="1" applyAlignment="1">
      <alignment vertical="center"/>
    </xf>
    <xf numFmtId="0" fontId="80" fillId="0" borderId="104" xfId="133" applyFont="1" applyBorder="1" applyAlignment="1">
      <alignment vertical="center"/>
    </xf>
    <xf numFmtId="6" fontId="5" fillId="85" borderId="104" xfId="133" applyNumberFormat="1" applyFont="1" applyFill="1" applyBorder="1"/>
    <xf numFmtId="0" fontId="18" fillId="7" borderId="104" xfId="0" applyFont="1" applyFill="1" applyBorder="1" applyAlignment="1">
      <alignment horizontal="center"/>
    </xf>
    <xf numFmtId="0" fontId="18" fillId="7" borderId="106" xfId="0" applyFont="1" applyFill="1" applyBorder="1" applyAlignment="1">
      <alignment horizontal="center"/>
    </xf>
    <xf numFmtId="0" fontId="21" fillId="9" borderId="104" xfId="133" applyFont="1" applyFill="1" applyBorder="1" applyAlignment="1">
      <alignment vertical="center"/>
    </xf>
    <xf numFmtId="9" fontId="17" fillId="5" borderId="104" xfId="4416" applyFont="1" applyFill="1" applyBorder="1" applyAlignment="1">
      <alignment horizontal="center" vertical="center" wrapText="1"/>
    </xf>
    <xf numFmtId="1" fontId="20" fillId="9" borderId="104" xfId="0" applyNumberFormat="1" applyFont="1" applyFill="1" applyBorder="1" applyAlignment="1">
      <alignment horizontal="center" vertical="center" wrapText="1"/>
    </xf>
    <xf numFmtId="44" fontId="13" fillId="0" borderId="104" xfId="4417" applyFont="1" applyBorder="1"/>
    <xf numFmtId="0" fontId="5" fillId="68" borderId="104" xfId="133" applyFont="1" applyFill="1" applyBorder="1" applyAlignment="1">
      <alignment vertical="center"/>
    </xf>
    <xf numFmtId="0" fontId="81" fillId="68" borderId="104" xfId="0" applyFont="1" applyFill="1" applyBorder="1" applyAlignment="1">
      <alignment vertical="top"/>
    </xf>
    <xf numFmtId="0" fontId="5" fillId="68" borderId="104" xfId="133" applyFont="1" applyFill="1" applyBorder="1"/>
    <xf numFmtId="44" fontId="5" fillId="68" borderId="104" xfId="4417" applyFont="1" applyFill="1" applyBorder="1" applyAlignment="1">
      <alignment horizontal="center" vertical="center"/>
    </xf>
    <xf numFmtId="44" fontId="13" fillId="68" borderId="104" xfId="4417" applyFont="1" applyFill="1" applyBorder="1"/>
    <xf numFmtId="0" fontId="5" fillId="68" borderId="104" xfId="133" applyFont="1" applyFill="1" applyBorder="1" applyAlignment="1">
      <alignment horizontal="left" vertical="center"/>
    </xf>
    <xf numFmtId="44" fontId="5" fillId="68" borderId="104" xfId="4417" applyFont="1" applyFill="1" applyBorder="1" applyAlignment="1">
      <alignment horizontal="left" vertical="center"/>
    </xf>
    <xf numFmtId="2" fontId="5" fillId="68" borderId="104" xfId="133" applyNumberFormat="1" applyFont="1" applyFill="1" applyBorder="1" applyAlignment="1">
      <alignment vertical="center"/>
    </xf>
    <xf numFmtId="179" fontId="5" fillId="68" borderId="104" xfId="133" applyNumberFormat="1" applyFont="1" applyFill="1" applyBorder="1" applyAlignment="1">
      <alignment vertical="center"/>
    </xf>
    <xf numFmtId="9" fontId="5" fillId="68" borderId="104" xfId="4416" applyFont="1" applyFill="1" applyBorder="1" applyAlignment="1">
      <alignment horizontal="right" vertical="center"/>
    </xf>
    <xf numFmtId="9" fontId="5" fillId="68" borderId="104" xfId="4416" applyFont="1" applyFill="1" applyBorder="1" applyAlignment="1">
      <alignment horizontal="left" vertical="center"/>
    </xf>
    <xf numFmtId="0" fontId="5" fillId="68" borderId="104" xfId="132" applyNumberFormat="1" applyFont="1" applyFill="1" applyBorder="1" applyAlignment="1">
      <alignment horizontal="left" vertical="center"/>
    </xf>
    <xf numFmtId="168" fontId="5" fillId="68" borderId="104" xfId="132" applyNumberFormat="1" applyFont="1" applyFill="1" applyBorder="1" applyAlignment="1">
      <alignment horizontal="left" vertical="center"/>
    </xf>
    <xf numFmtId="9" fontId="5" fillId="68" borderId="104" xfId="133" applyNumberFormat="1" applyFont="1" applyFill="1" applyBorder="1" applyAlignment="1">
      <alignment horizontal="left" vertical="center"/>
    </xf>
    <xf numFmtId="8" fontId="5" fillId="68" borderId="104" xfId="133" applyNumberFormat="1" applyFont="1" applyFill="1" applyBorder="1" applyAlignment="1">
      <alignment vertical="center"/>
    </xf>
    <xf numFmtId="44" fontId="5" fillId="68" borderId="104" xfId="133" applyNumberFormat="1" applyFont="1" applyFill="1" applyBorder="1" applyAlignment="1">
      <alignment vertical="center"/>
    </xf>
    <xf numFmtId="43" fontId="5" fillId="68" borderId="104" xfId="133" applyNumberFormat="1" applyFont="1" applyFill="1" applyBorder="1"/>
    <xf numFmtId="164" fontId="5" fillId="68" borderId="104" xfId="133" applyNumberFormat="1" applyFont="1" applyFill="1" applyBorder="1"/>
    <xf numFmtId="168" fontId="5" fillId="68" borderId="104" xfId="132" applyNumberFormat="1" applyFont="1" applyFill="1" applyBorder="1"/>
    <xf numFmtId="166" fontId="5" fillId="68" borderId="104" xfId="133" applyNumberFormat="1" applyFont="1" applyFill="1" applyBorder="1"/>
    <xf numFmtId="168" fontId="5" fillId="68" borderId="104" xfId="133" applyNumberFormat="1" applyFont="1" applyFill="1" applyBorder="1"/>
    <xf numFmtId="44" fontId="13" fillId="3" borderId="104" xfId="4417" applyFont="1" applyFill="1" applyBorder="1"/>
    <xf numFmtId="44" fontId="5" fillId="3" borderId="104" xfId="4417" applyFont="1" applyFill="1" applyBorder="1" applyAlignment="1">
      <alignment horizontal="left" vertical="center"/>
    </xf>
    <xf numFmtId="9" fontId="5" fillId="3" borderId="104" xfId="4416" applyFont="1" applyFill="1" applyBorder="1" applyAlignment="1">
      <alignment horizontal="right" vertical="center"/>
    </xf>
    <xf numFmtId="0" fontId="5" fillId="3" borderId="104" xfId="132" applyNumberFormat="1" applyFont="1" applyFill="1" applyBorder="1" applyAlignment="1">
      <alignment horizontal="left" vertical="center"/>
    </xf>
    <xf numFmtId="0" fontId="5" fillId="0" borderId="104" xfId="4417" applyNumberFormat="1" applyFont="1" applyFill="1" applyBorder="1" applyAlignment="1">
      <alignment horizontal="left" vertical="center"/>
    </xf>
    <xf numFmtId="0" fontId="5" fillId="67" borderId="104" xfId="133" applyFont="1" applyFill="1" applyBorder="1" applyAlignment="1">
      <alignment vertical="center"/>
    </xf>
    <xf numFmtId="0" fontId="81" fillId="67" borderId="104" xfId="0" applyFont="1" applyFill="1" applyBorder="1" applyAlignment="1">
      <alignment vertical="top"/>
    </xf>
    <xf numFmtId="0" fontId="5" fillId="67" borderId="104" xfId="133" applyFont="1" applyFill="1" applyBorder="1"/>
    <xf numFmtId="44" fontId="5" fillId="67" borderId="104" xfId="4417" applyFont="1" applyFill="1" applyBorder="1" applyAlignment="1">
      <alignment horizontal="center" vertical="center"/>
    </xf>
    <xf numFmtId="44" fontId="5" fillId="67" borderId="104" xfId="4417" applyFont="1" applyFill="1" applyBorder="1" applyAlignment="1">
      <alignment horizontal="left" vertical="center"/>
    </xf>
    <xf numFmtId="0" fontId="5" fillId="67" borderId="104" xfId="4417" applyNumberFormat="1" applyFont="1" applyFill="1" applyBorder="1" applyAlignment="1">
      <alignment horizontal="left" vertical="center"/>
    </xf>
    <xf numFmtId="2" fontId="5" fillId="67" borderId="104" xfId="133" applyNumberFormat="1" applyFont="1" applyFill="1" applyBorder="1" applyAlignment="1">
      <alignment vertical="center"/>
    </xf>
    <xf numFmtId="179" fontId="5" fillId="67" borderId="104" xfId="133" applyNumberFormat="1" applyFont="1" applyFill="1" applyBorder="1" applyAlignment="1">
      <alignment vertical="center"/>
    </xf>
    <xf numFmtId="0" fontId="5" fillId="67" borderId="104" xfId="133" applyFont="1" applyFill="1" applyBorder="1" applyAlignment="1">
      <alignment horizontal="left" vertical="center"/>
    </xf>
    <xf numFmtId="9" fontId="5" fillId="67" borderId="104" xfId="4416" applyFont="1" applyFill="1" applyBorder="1" applyAlignment="1">
      <alignment horizontal="right" vertical="center"/>
    </xf>
    <xf numFmtId="9" fontId="5" fillId="67" borderId="104" xfId="4416" applyFont="1" applyFill="1" applyBorder="1" applyAlignment="1">
      <alignment horizontal="left" vertical="center"/>
    </xf>
    <xf numFmtId="0" fontId="5" fillId="67" borderId="104" xfId="132" applyNumberFormat="1" applyFont="1" applyFill="1" applyBorder="1" applyAlignment="1">
      <alignment horizontal="left" vertical="center"/>
    </xf>
    <xf numFmtId="168" fontId="5" fillId="67" borderId="104" xfId="132" applyNumberFormat="1" applyFont="1" applyFill="1" applyBorder="1" applyAlignment="1">
      <alignment horizontal="left" vertical="center"/>
    </xf>
    <xf numFmtId="9" fontId="5" fillId="67" borderId="104" xfId="133" applyNumberFormat="1" applyFont="1" applyFill="1" applyBorder="1" applyAlignment="1">
      <alignment horizontal="left" vertical="center"/>
    </xf>
    <xf numFmtId="8" fontId="5" fillId="67" borderId="104" xfId="133" applyNumberFormat="1" applyFont="1" applyFill="1" applyBorder="1" applyAlignment="1">
      <alignment vertical="center"/>
    </xf>
    <xf numFmtId="44" fontId="5" fillId="67" borderId="104" xfId="133" applyNumberFormat="1" applyFont="1" applyFill="1" applyBorder="1" applyAlignment="1">
      <alignment vertical="center"/>
    </xf>
    <xf numFmtId="43" fontId="5" fillId="67" borderId="104" xfId="133" applyNumberFormat="1" applyFont="1" applyFill="1" applyBorder="1"/>
    <xf numFmtId="164" fontId="5" fillId="67" borderId="104" xfId="133" applyNumberFormat="1" applyFont="1" applyFill="1" applyBorder="1"/>
    <xf numFmtId="168" fontId="5" fillId="67" borderId="104" xfId="132" applyNumberFormat="1" applyFont="1" applyFill="1" applyBorder="1"/>
    <xf numFmtId="166" fontId="5" fillId="67" borderId="104" xfId="133" applyNumberFormat="1" applyFont="1" applyFill="1" applyBorder="1"/>
    <xf numFmtId="168" fontId="5" fillId="67" borderId="104" xfId="133" applyNumberFormat="1" applyFont="1" applyFill="1" applyBorder="1"/>
    <xf numFmtId="0" fontId="30" fillId="39" borderId="104" xfId="4425" applyNumberFormat="1" applyBorder="1" applyAlignment="1">
      <alignment horizontal="center" vertical="center" wrapText="1"/>
    </xf>
    <xf numFmtId="43" fontId="77" fillId="72" borderId="104" xfId="1494" applyFont="1" applyFill="1" applyBorder="1" applyAlignment="1">
      <alignment horizontal="center" vertical="center" wrapText="1"/>
    </xf>
    <xf numFmtId="0" fontId="79" fillId="69" borderId="106" xfId="0" applyFont="1" applyFill="1" applyBorder="1" applyAlignment="1">
      <alignment horizontal="right"/>
    </xf>
    <xf numFmtId="3" fontId="110" fillId="69" borderId="104" xfId="1494" applyNumberFormat="1" applyFont="1" applyFill="1" applyBorder="1" applyAlignment="1">
      <alignment horizontal="right" indent="1"/>
    </xf>
    <xf numFmtId="0" fontId="110" fillId="69" borderId="106" xfId="0" applyFont="1" applyFill="1" applyBorder="1" applyAlignment="1">
      <alignment horizontal="right"/>
    </xf>
    <xf numFmtId="0" fontId="0" fillId="0" borderId="104" xfId="0" applyBorder="1" applyAlignment="1">
      <alignment horizontal="right"/>
    </xf>
    <xf numFmtId="0" fontId="138" fillId="0" borderId="104" xfId="0" applyFont="1" applyBorder="1" applyAlignment="1">
      <alignment vertical="center"/>
    </xf>
    <xf numFmtId="0" fontId="139" fillId="0" borderId="104" xfId="0" applyFont="1" applyBorder="1"/>
    <xf numFmtId="0" fontId="28" fillId="0" borderId="104" xfId="0" applyFont="1" applyBorder="1" applyAlignment="1">
      <alignment horizontal="center" vertical="center"/>
    </xf>
    <xf numFmtId="0" fontId="0" fillId="0" borderId="104" xfId="0" applyBorder="1" applyAlignment="1">
      <alignment horizontal="center" vertical="center"/>
    </xf>
    <xf numFmtId="164" fontId="0" fillId="0" borderId="104" xfId="0" applyNumberFormat="1" applyBorder="1" applyAlignment="1">
      <alignment horizontal="center" vertical="center"/>
    </xf>
    <xf numFmtId="0" fontId="180" fillId="0" borderId="0" xfId="133" applyFont="1"/>
    <xf numFmtId="0" fontId="181" fillId="0" borderId="0" xfId="0" quotePrefix="1" applyFont="1" applyAlignment="1">
      <alignment horizontal="center"/>
    </xf>
    <xf numFmtId="0" fontId="181" fillId="0" borderId="0" xfId="0" applyFont="1" applyAlignment="1">
      <alignment horizontal="center"/>
    </xf>
    <xf numFmtId="44" fontId="0" fillId="3" borderId="104" xfId="0" applyNumberFormat="1" applyFill="1" applyBorder="1"/>
    <xf numFmtId="169" fontId="106" fillId="0" borderId="0" xfId="133" applyNumberFormat="1" applyFont="1" applyAlignment="1">
      <alignment horizontal="center" vertical="center"/>
    </xf>
    <xf numFmtId="8" fontId="5" fillId="74" borderId="128" xfId="133" applyNumberFormat="1" applyFont="1" applyFill="1" applyBorder="1" applyAlignment="1">
      <alignment vertical="center"/>
    </xf>
    <xf numFmtId="8" fontId="5" fillId="74" borderId="130" xfId="133" applyNumberFormat="1" applyFont="1" applyFill="1" applyBorder="1" applyAlignment="1">
      <alignment vertical="center"/>
    </xf>
    <xf numFmtId="43" fontId="5" fillId="74" borderId="128" xfId="133" applyNumberFormat="1" applyFont="1" applyFill="1" applyBorder="1"/>
    <xf numFmtId="43" fontId="5" fillId="74" borderId="130" xfId="133" applyNumberFormat="1" applyFont="1" applyFill="1" applyBorder="1"/>
    <xf numFmtId="164" fontId="5" fillId="74" borderId="128" xfId="133" applyNumberFormat="1" applyFont="1" applyFill="1" applyBorder="1"/>
    <xf numFmtId="164" fontId="5" fillId="74" borderId="130" xfId="133" applyNumberFormat="1" applyFont="1" applyFill="1" applyBorder="1"/>
    <xf numFmtId="43" fontId="13" fillId="0" borderId="128" xfId="132" applyFont="1" applyBorder="1"/>
    <xf numFmtId="43" fontId="13" fillId="0" borderId="130" xfId="132" applyFont="1" applyBorder="1"/>
    <xf numFmtId="0" fontId="5" fillId="0" borderId="0" xfId="132" applyNumberFormat="1" applyFont="1" applyFill="1" applyBorder="1" applyAlignment="1">
      <alignment horizontal="left" vertical="center"/>
    </xf>
    <xf numFmtId="176" fontId="13" fillId="0" borderId="0" xfId="133" applyNumberFormat="1"/>
    <xf numFmtId="0" fontId="17" fillId="0" borderId="0" xfId="133" applyFont="1" applyAlignment="1">
      <alignment horizontal="center" vertical="center" wrapText="1"/>
    </xf>
    <xf numFmtId="9" fontId="13" fillId="0" borderId="0" xfId="4416" applyFont="1" applyFill="1" applyBorder="1" applyAlignment="1">
      <alignment horizontal="center" vertical="center"/>
    </xf>
    <xf numFmtId="169" fontId="79" fillId="0" borderId="136" xfId="4417" applyNumberFormat="1" applyFont="1" applyBorder="1"/>
    <xf numFmtId="169" fontId="77" fillId="0" borderId="136" xfId="4417" applyNumberFormat="1" applyFont="1" applyBorder="1"/>
    <xf numFmtId="169" fontId="27" fillId="0" borderId="136" xfId="4417" applyNumberFormat="1" applyFont="1" applyBorder="1"/>
    <xf numFmtId="169" fontId="114" fillId="0" borderId="136" xfId="4417" applyNumberFormat="1" applyFont="1" applyBorder="1"/>
    <xf numFmtId="169" fontId="27" fillId="0" borderId="74" xfId="4417" applyNumberFormat="1" applyFont="1" applyBorder="1"/>
    <xf numFmtId="169" fontId="27" fillId="0" borderId="75" xfId="4417" applyNumberFormat="1" applyFont="1" applyBorder="1"/>
    <xf numFmtId="0" fontId="79" fillId="0" borderId="136" xfId="133" applyFont="1" applyBorder="1" applyAlignment="1">
      <alignment vertical="center"/>
    </xf>
    <xf numFmtId="169" fontId="27" fillId="0" borderId="127" xfId="4417" applyNumberFormat="1" applyFont="1" applyBorder="1"/>
    <xf numFmtId="169" fontId="114" fillId="0" borderId="108" xfId="4417" applyNumberFormat="1" applyFont="1" applyBorder="1"/>
    <xf numFmtId="169" fontId="114" fillId="0" borderId="109" xfId="4417" applyNumberFormat="1" applyFont="1" applyBorder="1"/>
    <xf numFmtId="0" fontId="79" fillId="0" borderId="137" xfId="133" applyFont="1" applyBorder="1" applyAlignment="1">
      <alignment vertical="center"/>
    </xf>
    <xf numFmtId="0" fontId="79" fillId="0" borderId="138" xfId="133" applyFont="1" applyBorder="1" applyAlignment="1">
      <alignment vertical="center"/>
    </xf>
    <xf numFmtId="169" fontId="27" fillId="0" borderId="138" xfId="4417" applyNumberFormat="1" applyFont="1" applyBorder="1"/>
    <xf numFmtId="169" fontId="27" fillId="0" borderId="139" xfId="4417" applyNumberFormat="1" applyFont="1" applyBorder="1"/>
    <xf numFmtId="0" fontId="79" fillId="0" borderId="140" xfId="133" applyFont="1" applyBorder="1" applyAlignment="1">
      <alignment vertical="center"/>
    </xf>
    <xf numFmtId="0" fontId="112" fillId="0" borderId="0" xfId="133" applyFont="1" applyAlignment="1">
      <alignment horizontal="center" vertical="center" wrapText="1"/>
    </xf>
    <xf numFmtId="3" fontId="13" fillId="0" borderId="0" xfId="133" applyNumberFormat="1" applyAlignment="1">
      <alignment horizontal="center" vertical="center"/>
    </xf>
    <xf numFmtId="178" fontId="13" fillId="0" borderId="0" xfId="133" applyNumberFormat="1"/>
    <xf numFmtId="1" fontId="162" fillId="11" borderId="0" xfId="133" applyNumberFormat="1" applyFont="1" applyFill="1" applyAlignment="1">
      <alignment horizontal="left" vertical="center"/>
    </xf>
    <xf numFmtId="182" fontId="5" fillId="0" borderId="126" xfId="133" applyNumberFormat="1" applyFont="1" applyBorder="1"/>
    <xf numFmtId="192" fontId="13" fillId="0" borderId="0" xfId="133" applyNumberFormat="1"/>
    <xf numFmtId="0" fontId="154" fillId="11" borderId="0" xfId="0" applyFont="1" applyFill="1"/>
    <xf numFmtId="43" fontId="0" fillId="0" borderId="0" xfId="0" applyNumberFormat="1"/>
    <xf numFmtId="9" fontId="13" fillId="0" borderId="0" xfId="133" applyNumberFormat="1"/>
    <xf numFmtId="0" fontId="19" fillId="81" borderId="104" xfId="0" applyFont="1" applyFill="1" applyBorder="1" applyAlignment="1">
      <alignment horizontal="center" vertical="center"/>
    </xf>
    <xf numFmtId="0" fontId="19" fillId="81" borderId="106" xfId="0" applyFont="1" applyFill="1" applyBorder="1" applyAlignment="1">
      <alignment horizontal="center" vertical="center"/>
    </xf>
    <xf numFmtId="0" fontId="19" fillId="81" borderId="102" xfId="0" applyFont="1" applyFill="1" applyBorder="1" applyAlignment="1">
      <alignment horizontal="center" vertical="center"/>
    </xf>
    <xf numFmtId="0" fontId="19" fillId="81" borderId="105" xfId="0" applyFont="1" applyFill="1" applyBorder="1" applyAlignment="1">
      <alignment horizontal="center" vertical="center"/>
    </xf>
    <xf numFmtId="0" fontId="19" fillId="86" borderId="104" xfId="0" applyFont="1" applyFill="1" applyBorder="1" applyAlignment="1">
      <alignment horizontal="center" vertical="center" wrapText="1"/>
    </xf>
    <xf numFmtId="0" fontId="19" fillId="86" borderId="104" xfId="0" applyFont="1" applyFill="1" applyBorder="1" applyAlignment="1">
      <alignment horizontal="center" vertical="center"/>
    </xf>
    <xf numFmtId="0" fontId="19" fillId="86" borderId="106" xfId="0" applyFont="1" applyFill="1" applyBorder="1" applyAlignment="1">
      <alignment horizontal="center" vertical="center"/>
    </xf>
    <xf numFmtId="0" fontId="19" fillId="86" borderId="102" xfId="0" applyFont="1" applyFill="1" applyBorder="1" applyAlignment="1">
      <alignment horizontal="center" vertical="center"/>
    </xf>
    <xf numFmtId="0" fontId="19" fillId="86" borderId="105" xfId="0" applyFont="1" applyFill="1" applyBorder="1" applyAlignment="1">
      <alignment horizontal="center" vertical="center"/>
    </xf>
    <xf numFmtId="0" fontId="14" fillId="5" borderId="102" xfId="133" applyFont="1" applyFill="1" applyBorder="1" applyAlignment="1">
      <alignment horizontal="center" vertical="center"/>
    </xf>
    <xf numFmtId="0" fontId="14" fillId="5" borderId="105" xfId="133" applyFont="1" applyFill="1" applyBorder="1" applyAlignment="1">
      <alignment horizontal="center" vertical="center"/>
    </xf>
    <xf numFmtId="1" fontId="18" fillId="6" borderId="102" xfId="0" applyNumberFormat="1" applyFont="1" applyFill="1" applyBorder="1" applyAlignment="1">
      <alignment horizontal="center" vertical="center" wrapText="1"/>
    </xf>
    <xf numFmtId="1" fontId="18" fillId="6" borderId="105" xfId="0" applyNumberFormat="1" applyFont="1" applyFill="1" applyBorder="1" applyAlignment="1">
      <alignment horizontal="center" vertical="center" wrapText="1"/>
    </xf>
    <xf numFmtId="0" fontId="18" fillId="7" borderId="102" xfId="0" applyFont="1" applyFill="1" applyBorder="1" applyAlignment="1">
      <alignment horizontal="center"/>
    </xf>
    <xf numFmtId="0" fontId="18" fillId="7" borderId="105" xfId="0" applyFont="1" applyFill="1" applyBorder="1" applyAlignment="1">
      <alignment horizontal="center"/>
    </xf>
    <xf numFmtId="0" fontId="18" fillId="7" borderId="104" xfId="0" applyFont="1" applyFill="1" applyBorder="1" applyAlignment="1">
      <alignment horizontal="center"/>
    </xf>
    <xf numFmtId="0" fontId="14" fillId="5" borderId="106" xfId="133" applyFont="1" applyFill="1" applyBorder="1" applyAlignment="1">
      <alignment horizontal="center" vertical="center"/>
    </xf>
    <xf numFmtId="0" fontId="112" fillId="81" borderId="106" xfId="133" applyFont="1" applyFill="1" applyBorder="1" applyAlignment="1">
      <alignment horizontal="center" wrapText="1"/>
    </xf>
    <xf numFmtId="0" fontId="112" fillId="81" borderId="102" xfId="133" applyFont="1" applyFill="1" applyBorder="1" applyAlignment="1">
      <alignment horizontal="center" wrapText="1"/>
    </xf>
    <xf numFmtId="0" fontId="112" fillId="81" borderId="105" xfId="133" applyFont="1" applyFill="1" applyBorder="1" applyAlignment="1">
      <alignment horizontal="center" wrapText="1"/>
    </xf>
    <xf numFmtId="0" fontId="112" fillId="82" borderId="106" xfId="133" applyFont="1" applyFill="1" applyBorder="1" applyAlignment="1">
      <alignment horizontal="center" wrapText="1"/>
    </xf>
    <xf numFmtId="0" fontId="112" fillId="82" borderId="102" xfId="133" applyFont="1" applyFill="1" applyBorder="1" applyAlignment="1">
      <alignment horizontal="center" wrapText="1"/>
    </xf>
    <xf numFmtId="0" fontId="112" fillId="82" borderId="105" xfId="133" applyFont="1" applyFill="1" applyBorder="1" applyAlignment="1">
      <alignment horizontal="center" wrapText="1"/>
    </xf>
    <xf numFmtId="0" fontId="112" fillId="86" borderId="106" xfId="133" applyFont="1" applyFill="1" applyBorder="1" applyAlignment="1">
      <alignment horizontal="center" wrapText="1"/>
    </xf>
    <xf numFmtId="0" fontId="112" fillId="86" borderId="102" xfId="133" applyFont="1" applyFill="1" applyBorder="1" applyAlignment="1">
      <alignment horizontal="center" wrapText="1"/>
    </xf>
    <xf numFmtId="0" fontId="112" fillId="86" borderId="105" xfId="133" applyFont="1" applyFill="1" applyBorder="1" applyAlignment="1">
      <alignment horizontal="center" wrapText="1"/>
    </xf>
    <xf numFmtId="0" fontId="112" fillId="86" borderId="89" xfId="133" applyFont="1" applyFill="1" applyBorder="1" applyAlignment="1">
      <alignment horizontal="left" wrapText="1"/>
    </xf>
    <xf numFmtId="0" fontId="112" fillId="86" borderId="104" xfId="133" applyFont="1" applyFill="1" applyBorder="1" applyAlignment="1">
      <alignment horizontal="center" vertical="center" wrapText="1"/>
    </xf>
    <xf numFmtId="0" fontId="13" fillId="0" borderId="104" xfId="133" applyBorder="1" applyAlignment="1">
      <alignment horizontal="center"/>
    </xf>
    <xf numFmtId="0" fontId="13" fillId="0" borderId="106" xfId="133" applyBorder="1" applyAlignment="1">
      <alignment horizontal="center"/>
    </xf>
    <xf numFmtId="0" fontId="18" fillId="7" borderId="88" xfId="0" applyFont="1" applyFill="1" applyBorder="1" applyAlignment="1">
      <alignment horizontal="center"/>
    </xf>
    <xf numFmtId="0" fontId="18" fillId="7" borderId="71" xfId="0" applyFont="1" applyFill="1" applyBorder="1" applyAlignment="1">
      <alignment horizontal="center"/>
    </xf>
    <xf numFmtId="0" fontId="18" fillId="7" borderId="0" xfId="0" applyFont="1" applyFill="1" applyAlignment="1">
      <alignment horizontal="center"/>
    </xf>
    <xf numFmtId="0" fontId="14" fillId="3" borderId="106" xfId="133" applyFont="1" applyFill="1" applyBorder="1" applyAlignment="1">
      <alignment horizontal="center" vertical="center"/>
    </xf>
    <xf numFmtId="0" fontId="14" fillId="3" borderId="102" xfId="133" applyFont="1" applyFill="1" applyBorder="1" applyAlignment="1">
      <alignment horizontal="center" vertical="center"/>
    </xf>
    <xf numFmtId="0" fontId="14" fillId="3" borderId="105" xfId="133" applyFont="1" applyFill="1" applyBorder="1" applyAlignment="1">
      <alignment horizontal="center" vertical="center"/>
    </xf>
    <xf numFmtId="0" fontId="14" fillId="4" borderId="104" xfId="133" applyFont="1" applyFill="1" applyBorder="1" applyAlignment="1">
      <alignment horizontal="center" vertical="center"/>
    </xf>
    <xf numFmtId="0" fontId="14" fillId="5" borderId="106" xfId="133" applyFont="1" applyFill="1" applyBorder="1" applyAlignment="1">
      <alignment horizontal="center" vertical="center" wrapText="1"/>
    </xf>
    <xf numFmtId="0" fontId="14" fillId="5" borderId="102" xfId="133" applyFont="1" applyFill="1" applyBorder="1" applyAlignment="1">
      <alignment horizontal="center" vertical="center" wrapText="1"/>
    </xf>
    <xf numFmtId="1" fontId="15" fillId="8" borderId="106" xfId="133" applyNumberFormat="1" applyFont="1" applyFill="1" applyBorder="1" applyAlignment="1">
      <alignment horizontal="center" vertical="center"/>
    </xf>
    <xf numFmtId="1" fontId="15" fillId="8" borderId="102" xfId="133" applyNumberFormat="1" applyFont="1" applyFill="1" applyBorder="1" applyAlignment="1">
      <alignment horizontal="center" vertical="center"/>
    </xf>
    <xf numFmtId="1" fontId="15" fillId="8" borderId="105" xfId="133" applyNumberFormat="1" applyFont="1" applyFill="1" applyBorder="1" applyAlignment="1">
      <alignment horizontal="center" vertical="center"/>
    </xf>
    <xf numFmtId="1" fontId="18" fillId="6" borderId="89" xfId="0" applyNumberFormat="1" applyFont="1" applyFill="1" applyBorder="1" applyAlignment="1">
      <alignment horizontal="center" vertical="center" wrapText="1"/>
    </xf>
    <xf numFmtId="1" fontId="18" fillId="6" borderId="91" xfId="0" applyNumberFormat="1" applyFont="1" applyFill="1" applyBorder="1" applyAlignment="1">
      <alignment horizontal="center" vertical="center" wrapText="1"/>
    </xf>
    <xf numFmtId="0" fontId="18" fillId="7" borderId="31" xfId="0" applyFont="1" applyFill="1" applyBorder="1" applyAlignment="1">
      <alignment horizontal="center"/>
    </xf>
    <xf numFmtId="0" fontId="18" fillId="7" borderId="32" xfId="0" applyFont="1" applyFill="1" applyBorder="1" applyAlignment="1">
      <alignment horizontal="center"/>
    </xf>
    <xf numFmtId="0" fontId="18" fillId="7" borderId="33" xfId="0" applyFont="1" applyFill="1" applyBorder="1" applyAlignment="1">
      <alignment horizontal="center"/>
    </xf>
    <xf numFmtId="1" fontId="18" fillId="6" borderId="31" xfId="0" applyNumberFormat="1" applyFont="1" applyFill="1" applyBorder="1" applyAlignment="1">
      <alignment horizontal="center" vertical="center" wrapText="1"/>
    </xf>
    <xf numFmtId="1" fontId="18" fillId="6" borderId="32" xfId="0" applyNumberFormat="1" applyFont="1" applyFill="1" applyBorder="1" applyAlignment="1">
      <alignment horizontal="center" vertical="center" wrapText="1"/>
    </xf>
    <xf numFmtId="1" fontId="18" fillId="6" borderId="33" xfId="0" applyNumberFormat="1" applyFont="1" applyFill="1" applyBorder="1" applyAlignment="1">
      <alignment horizontal="center" vertical="center" wrapText="1"/>
    </xf>
    <xf numFmtId="1" fontId="18" fillId="6" borderId="133" xfId="0" applyNumberFormat="1" applyFont="1" applyFill="1" applyBorder="1" applyAlignment="1">
      <alignment horizontal="center" vertical="center" wrapText="1"/>
    </xf>
    <xf numFmtId="1" fontId="18" fillId="6" borderId="134" xfId="0" applyNumberFormat="1" applyFont="1" applyFill="1" applyBorder="1" applyAlignment="1">
      <alignment horizontal="center" vertical="center" wrapText="1"/>
    </xf>
    <xf numFmtId="1" fontId="18" fillId="6" borderId="132" xfId="0" applyNumberFormat="1" applyFont="1" applyFill="1" applyBorder="1" applyAlignment="1">
      <alignment horizontal="center" vertical="center" wrapText="1"/>
    </xf>
    <xf numFmtId="0" fontId="18" fillId="7" borderId="134" xfId="0" applyFont="1" applyFill="1" applyBorder="1" applyAlignment="1">
      <alignment horizontal="center"/>
    </xf>
    <xf numFmtId="0" fontId="13" fillId="0" borderId="73" xfId="133" applyBorder="1" applyAlignment="1">
      <alignment horizontal="center"/>
    </xf>
    <xf numFmtId="0" fontId="13" fillId="0" borderId="74" xfId="133" applyBorder="1" applyAlignment="1">
      <alignment horizontal="center"/>
    </xf>
    <xf numFmtId="0" fontId="13" fillId="0" borderId="75" xfId="133" applyBorder="1" applyAlignment="1">
      <alignment horizontal="center"/>
    </xf>
    <xf numFmtId="0" fontId="18" fillId="7" borderId="28" xfId="0" applyFont="1" applyFill="1" applyBorder="1" applyAlignment="1">
      <alignment horizontal="center"/>
    </xf>
    <xf numFmtId="0" fontId="18" fillId="7" borderId="29" xfId="0" applyFont="1" applyFill="1" applyBorder="1" applyAlignment="1">
      <alignment horizontal="center"/>
    </xf>
    <xf numFmtId="0" fontId="18" fillId="7" borderId="30" xfId="0" applyFont="1" applyFill="1" applyBorder="1" applyAlignment="1">
      <alignment horizontal="center"/>
    </xf>
    <xf numFmtId="1" fontId="18" fillId="6" borderId="135" xfId="0" applyNumberFormat="1" applyFont="1" applyFill="1" applyBorder="1" applyAlignment="1">
      <alignment horizontal="center" vertical="center" wrapText="1"/>
    </xf>
    <xf numFmtId="0" fontId="18" fillId="7" borderId="36" xfId="0" applyFont="1" applyFill="1" applyBorder="1" applyAlignment="1">
      <alignment horizontal="center"/>
    </xf>
    <xf numFmtId="0" fontId="18" fillId="7" borderId="37" xfId="0" applyFont="1" applyFill="1" applyBorder="1" applyAlignment="1">
      <alignment horizontal="center"/>
    </xf>
    <xf numFmtId="0" fontId="18" fillId="7" borderId="38" xfId="0" applyFont="1" applyFill="1" applyBorder="1" applyAlignment="1">
      <alignment horizontal="center"/>
    </xf>
    <xf numFmtId="0" fontId="18" fillId="7" borderId="133" xfId="0" applyFont="1" applyFill="1" applyBorder="1" applyAlignment="1">
      <alignment horizontal="center"/>
    </xf>
    <xf numFmtId="0" fontId="18" fillId="7" borderId="132" xfId="0" applyFont="1" applyFill="1" applyBorder="1" applyAlignment="1">
      <alignment horizontal="center"/>
    </xf>
    <xf numFmtId="0" fontId="18" fillId="7" borderId="135" xfId="0" applyFont="1" applyFill="1" applyBorder="1" applyAlignment="1">
      <alignment horizontal="center"/>
    </xf>
    <xf numFmtId="0" fontId="18" fillId="7" borderId="72" xfId="0" applyFont="1" applyFill="1" applyBorder="1" applyAlignment="1">
      <alignment horizontal="center"/>
    </xf>
    <xf numFmtId="0" fontId="0" fillId="0" borderId="88" xfId="0" applyBorder="1" applyAlignment="1">
      <alignment horizontal="center" vertical="center"/>
    </xf>
    <xf numFmtId="0" fontId="0" fillId="0" borderId="88" xfId="0" applyBorder="1" applyAlignment="1">
      <alignment horizontal="left" vertical="center" wrapText="1"/>
    </xf>
    <xf numFmtId="0" fontId="0" fillId="0" borderId="104" xfId="0" applyBorder="1" applyAlignment="1">
      <alignment horizontal="left" vertical="center" wrapText="1"/>
    </xf>
    <xf numFmtId="0" fontId="18" fillId="7" borderId="89" xfId="0" applyFont="1" applyFill="1" applyBorder="1" applyAlignment="1">
      <alignment horizontal="center"/>
    </xf>
    <xf numFmtId="0" fontId="18" fillId="7" borderId="91" xfId="0" applyFont="1" applyFill="1" applyBorder="1" applyAlignment="1">
      <alignment horizontal="center"/>
    </xf>
    <xf numFmtId="0" fontId="18" fillId="7" borderId="95" xfId="0" applyFont="1" applyFill="1" applyBorder="1" applyAlignment="1">
      <alignment horizontal="center"/>
    </xf>
    <xf numFmtId="1" fontId="18" fillId="6" borderId="31" xfId="0" applyNumberFormat="1" applyFont="1" applyFill="1" applyBorder="1" applyAlignment="1">
      <alignment horizontal="center" wrapText="1"/>
    </xf>
    <xf numFmtId="1" fontId="18" fillId="6" borderId="32" xfId="0" applyNumberFormat="1" applyFont="1" applyFill="1" applyBorder="1" applyAlignment="1">
      <alignment horizontal="center" wrapText="1"/>
    </xf>
    <xf numFmtId="1" fontId="18" fillId="6" borderId="33" xfId="0" applyNumberFormat="1" applyFont="1" applyFill="1" applyBorder="1" applyAlignment="1">
      <alignment horizontal="center" wrapText="1"/>
    </xf>
    <xf numFmtId="0" fontId="14" fillId="3" borderId="106" xfId="133" applyFont="1" applyFill="1" applyBorder="1" applyAlignment="1">
      <alignment horizontal="center"/>
    </xf>
    <xf numFmtId="0" fontId="14" fillId="4" borderId="104" xfId="133" applyFont="1" applyFill="1" applyBorder="1" applyAlignment="1">
      <alignment horizontal="center"/>
    </xf>
    <xf numFmtId="0" fontId="14" fillId="5" borderId="106" xfId="133" applyFont="1" applyFill="1" applyBorder="1" applyAlignment="1">
      <alignment horizontal="center" wrapText="1"/>
    </xf>
    <xf numFmtId="1" fontId="15" fillId="8" borderId="106" xfId="133" applyNumberFormat="1" applyFont="1" applyFill="1" applyBorder="1" applyAlignment="1">
      <alignment horizontal="center"/>
    </xf>
    <xf numFmtId="1" fontId="15" fillId="8" borderId="102" xfId="133" applyNumberFormat="1" applyFont="1" applyFill="1" applyBorder="1" applyAlignment="1">
      <alignment horizontal="center"/>
    </xf>
    <xf numFmtId="1" fontId="15" fillId="8" borderId="105" xfId="133" applyNumberFormat="1" applyFont="1" applyFill="1" applyBorder="1" applyAlignment="1">
      <alignment horizontal="center"/>
    </xf>
    <xf numFmtId="0" fontId="13" fillId="0" borderId="0" xfId="133" applyAlignment="1">
      <alignment horizontal="center" vertical="center" wrapText="1"/>
    </xf>
    <xf numFmtId="0" fontId="42" fillId="88" borderId="24" xfId="0" applyFont="1" applyFill="1" applyBorder="1" applyAlignment="1">
      <alignment horizontal="center" vertical="center" wrapText="1"/>
    </xf>
    <xf numFmtId="0" fontId="42" fillId="88" borderId="22" xfId="0" applyFont="1" applyFill="1" applyBorder="1" applyAlignment="1">
      <alignment horizontal="center" vertical="center" wrapText="1"/>
    </xf>
    <xf numFmtId="1" fontId="18" fillId="6" borderId="100" xfId="0" applyNumberFormat="1" applyFont="1" applyFill="1" applyBorder="1" applyAlignment="1">
      <alignment horizontal="center" vertical="center" wrapText="1"/>
    </xf>
    <xf numFmtId="0" fontId="110" fillId="0" borderId="0" xfId="133" applyFont="1" applyAlignment="1">
      <alignment horizontal="left" wrapText="1"/>
    </xf>
    <xf numFmtId="0" fontId="42" fillId="88" borderId="20" xfId="0" applyFont="1" applyFill="1" applyBorder="1" applyAlignment="1">
      <alignment vertical="center" wrapText="1"/>
    </xf>
    <xf numFmtId="0" fontId="42" fillId="88" borderId="21" xfId="0" applyFont="1" applyFill="1" applyBorder="1" applyAlignment="1">
      <alignment vertical="center" wrapText="1"/>
    </xf>
    <xf numFmtId="3" fontId="5" fillId="0" borderId="20" xfId="0" applyNumberFormat="1" applyFont="1" applyBorder="1" applyAlignment="1">
      <alignment horizontal="right" vertical="center" wrapText="1"/>
    </xf>
    <xf numFmtId="3" fontId="5" fillId="0" borderId="92" xfId="0" applyNumberFormat="1" applyFont="1" applyBorder="1" applyAlignment="1">
      <alignment horizontal="right" vertical="center" wrapText="1"/>
    </xf>
    <xf numFmtId="3" fontId="5" fillId="0" borderId="21" xfId="0" applyNumberFormat="1" applyFont="1" applyBorder="1" applyAlignment="1">
      <alignment horizontal="right" vertical="center" wrapText="1"/>
    </xf>
    <xf numFmtId="0" fontId="42" fillId="88" borderId="20" xfId="0" applyFont="1" applyFill="1" applyBorder="1" applyAlignment="1">
      <alignment horizontal="right" vertical="center" wrapText="1"/>
    </xf>
    <xf numFmtId="0" fontId="42" fillId="88" borderId="21" xfId="0" applyFont="1" applyFill="1" applyBorder="1" applyAlignment="1">
      <alignment horizontal="right" vertical="center" wrapText="1"/>
    </xf>
    <xf numFmtId="1" fontId="18" fillId="6" borderId="95" xfId="0" applyNumberFormat="1" applyFont="1" applyFill="1" applyBorder="1" applyAlignment="1">
      <alignment horizontal="center" vertical="center" wrapText="1"/>
    </xf>
    <xf numFmtId="0" fontId="19" fillId="9" borderId="104" xfId="0" applyFont="1" applyFill="1" applyBorder="1" applyAlignment="1">
      <alignment horizontal="center" vertical="center"/>
    </xf>
    <xf numFmtId="1" fontId="18" fillId="6" borderId="106" xfId="0" applyNumberFormat="1" applyFont="1" applyFill="1" applyBorder="1" applyAlignment="1">
      <alignment horizontal="center" vertical="center" wrapText="1"/>
    </xf>
    <xf numFmtId="0" fontId="94" fillId="80" borderId="62" xfId="0" applyFont="1" applyFill="1" applyBorder="1" applyAlignment="1">
      <alignment horizontal="center" vertical="center" wrapText="1"/>
    </xf>
    <xf numFmtId="0" fontId="94" fillId="80" borderId="65" xfId="0" applyFont="1" applyFill="1" applyBorder="1" applyAlignment="1">
      <alignment horizontal="center" vertical="center" wrapText="1"/>
    </xf>
    <xf numFmtId="0" fontId="95" fillId="71" borderId="62" xfId="0" applyFont="1" applyFill="1" applyBorder="1" applyAlignment="1">
      <alignment vertical="center" wrapText="1"/>
    </xf>
    <xf numFmtId="0" fontId="95" fillId="71" borderId="65" xfId="0" applyFont="1" applyFill="1" applyBorder="1" applyAlignment="1">
      <alignment vertical="center" wrapText="1"/>
    </xf>
    <xf numFmtId="3" fontId="95" fillId="71" borderId="77" xfId="0" applyNumberFormat="1" applyFont="1" applyFill="1" applyBorder="1" applyAlignment="1">
      <alignment horizontal="center" vertical="center" wrapText="1"/>
    </xf>
    <xf numFmtId="3" fontId="95" fillId="71" borderId="78" xfId="0" applyNumberFormat="1" applyFont="1" applyFill="1" applyBorder="1" applyAlignment="1">
      <alignment horizontal="center" vertical="center" wrapText="1"/>
    </xf>
    <xf numFmtId="3" fontId="95" fillId="71" borderId="67" xfId="0" applyNumberFormat="1" applyFont="1" applyFill="1" applyBorder="1" applyAlignment="1">
      <alignment horizontal="center" vertical="center" wrapText="1"/>
    </xf>
    <xf numFmtId="0" fontId="95" fillId="71" borderId="79" xfId="0" applyFont="1" applyFill="1" applyBorder="1" applyAlignment="1">
      <alignment vertical="center" wrapText="1"/>
    </xf>
    <xf numFmtId="3" fontId="95" fillId="71" borderId="80" xfId="0" applyNumberFormat="1" applyFont="1" applyFill="1" applyBorder="1" applyAlignment="1">
      <alignment horizontal="center" vertical="center" wrapText="1"/>
    </xf>
    <xf numFmtId="0" fontId="94" fillId="80" borderId="63" xfId="0" applyFont="1" applyFill="1" applyBorder="1" applyAlignment="1">
      <alignment horizontal="center" vertical="center" wrapText="1"/>
    </xf>
    <xf numFmtId="0" fontId="94" fillId="80" borderId="64" xfId="0" applyFont="1" applyFill="1" applyBorder="1" applyAlignment="1">
      <alignment horizontal="center" vertical="center" wrapText="1"/>
    </xf>
    <xf numFmtId="0" fontId="94" fillId="88" borderId="63" xfId="0" applyFont="1" applyFill="1" applyBorder="1" applyAlignment="1">
      <alignment horizontal="center" vertical="center" wrapText="1"/>
    </xf>
    <xf numFmtId="0" fontId="94" fillId="88" borderId="64" xfId="0" applyFont="1" applyFill="1" applyBorder="1" applyAlignment="1">
      <alignment horizontal="center" vertical="center" wrapText="1"/>
    </xf>
    <xf numFmtId="0" fontId="0" fillId="0" borderId="0" xfId="0" applyAlignment="1">
      <alignment horizontal="left" vertical="center" wrapText="1"/>
    </xf>
    <xf numFmtId="0" fontId="94" fillId="88" borderId="62" xfId="0" applyFont="1" applyFill="1" applyBorder="1" applyAlignment="1">
      <alignment horizontal="center" vertical="center" wrapText="1"/>
    </xf>
    <xf numFmtId="0" fontId="94" fillId="88" borderId="65" xfId="0" applyFont="1" applyFill="1" applyBorder="1" applyAlignment="1">
      <alignment horizontal="center" vertical="center" wrapText="1"/>
    </xf>
    <xf numFmtId="0" fontId="28" fillId="0" borderId="0" xfId="0" applyFont="1" applyAlignment="1">
      <alignment horizontal="center" vertical="center"/>
    </xf>
    <xf numFmtId="0" fontId="28" fillId="0" borderId="2" xfId="0" applyFont="1" applyBorder="1"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wrapText="1"/>
    </xf>
    <xf numFmtId="0" fontId="91" fillId="0" borderId="0" xfId="4431" applyAlignment="1">
      <alignment horizontal="center" vertical="center"/>
    </xf>
    <xf numFmtId="0" fontId="0" fillId="0" borderId="0" xfId="0" applyAlignment="1">
      <alignment horizontal="center" vertical="center"/>
    </xf>
    <xf numFmtId="0" fontId="86" fillId="0" borderId="104" xfId="137" applyFont="1" applyBorder="1" applyAlignment="1">
      <alignment horizontal="center" vertical="center" wrapText="1"/>
    </xf>
    <xf numFmtId="0" fontId="87" fillId="76" borderId="104" xfId="137" applyFont="1" applyFill="1" applyBorder="1" applyAlignment="1">
      <alignment horizontal="center" vertical="center" wrapText="1"/>
    </xf>
    <xf numFmtId="0" fontId="86" fillId="0" borderId="44" xfId="137" applyFont="1" applyBorder="1" applyAlignment="1">
      <alignment vertical="center" wrapText="1"/>
    </xf>
    <xf numFmtId="0" fontId="86" fillId="0" borderId="49" xfId="137" applyFont="1" applyBorder="1" applyAlignment="1">
      <alignment vertical="center" wrapText="1"/>
    </xf>
    <xf numFmtId="0" fontId="86" fillId="0" borderId="45" xfId="137" applyFont="1" applyBorder="1" applyAlignment="1">
      <alignment horizontal="center" vertical="center" wrapText="1"/>
    </xf>
    <xf numFmtId="0" fontId="86" fillId="0" borderId="46" xfId="137" applyFont="1" applyBorder="1" applyAlignment="1">
      <alignment horizontal="center" vertical="center" wrapText="1"/>
    </xf>
    <xf numFmtId="0" fontId="86" fillId="0" borderId="47" xfId="137" applyFont="1" applyBorder="1" applyAlignment="1">
      <alignment horizontal="center" vertical="center" wrapText="1"/>
    </xf>
    <xf numFmtId="0" fontId="87" fillId="76" borderId="48" xfId="137" applyFont="1" applyFill="1" applyBorder="1" applyAlignment="1">
      <alignment horizontal="center" vertical="center" wrapText="1"/>
    </xf>
    <xf numFmtId="0" fontId="87" fillId="76" borderId="53" xfId="137" applyFont="1" applyFill="1" applyBorder="1" applyAlignment="1">
      <alignment horizontal="center" vertical="center" wrapText="1"/>
    </xf>
    <xf numFmtId="0" fontId="29" fillId="0" borderId="43" xfId="137" applyBorder="1" applyAlignment="1">
      <alignment horizontal="center"/>
    </xf>
    <xf numFmtId="0" fontId="90" fillId="77" borderId="58" xfId="0" applyFont="1" applyFill="1" applyBorder="1" applyAlignment="1">
      <alignment horizontal="center" vertical="center" wrapText="1"/>
    </xf>
    <xf numFmtId="0" fontId="90" fillId="77" borderId="60" xfId="0" applyFont="1" applyFill="1" applyBorder="1" applyAlignment="1">
      <alignment horizontal="center" vertical="center" wrapText="1"/>
    </xf>
    <xf numFmtId="0" fontId="0" fillId="0" borderId="0" xfId="0" applyAlignment="1">
      <alignment horizontal="center" wrapText="1"/>
    </xf>
  </cellXfs>
  <cellStyles count="7221">
    <cellStyle name="1_Header" xfId="4424" xr:uid="{00000000-0005-0000-0000-000000000000}"/>
    <cellStyle name="1_Header 2" xfId="4452" xr:uid="{AC6C9B5A-0CB5-4B80-A748-77D44EC5648A}"/>
    <cellStyle name="1_SubHead" xfId="4441" xr:uid="{CD28200B-4209-4C05-ACC9-4B2C6D4854DB}"/>
    <cellStyle name="20% - Accent1 10 2" xfId="146" xr:uid="{00000000-0005-0000-0000-000001000000}"/>
    <cellStyle name="20% - Accent1 10 3" xfId="147" xr:uid="{00000000-0005-0000-0000-000002000000}"/>
    <cellStyle name="20% - Accent1 11 2" xfId="148" xr:uid="{00000000-0005-0000-0000-000003000000}"/>
    <cellStyle name="20% - Accent1 11 3" xfId="149" xr:uid="{00000000-0005-0000-0000-000004000000}"/>
    <cellStyle name="20% - Accent1 12 2" xfId="150" xr:uid="{00000000-0005-0000-0000-000005000000}"/>
    <cellStyle name="20% - Accent1 12 3" xfId="151" xr:uid="{00000000-0005-0000-0000-000006000000}"/>
    <cellStyle name="20% - Accent1 13 2" xfId="152" xr:uid="{00000000-0005-0000-0000-000007000000}"/>
    <cellStyle name="20% - Accent1 13 3" xfId="153" xr:uid="{00000000-0005-0000-0000-000008000000}"/>
    <cellStyle name="20% - Accent1 14 2" xfId="154" xr:uid="{00000000-0005-0000-0000-000009000000}"/>
    <cellStyle name="20% - Accent1 14 3" xfId="155" xr:uid="{00000000-0005-0000-0000-00000A000000}"/>
    <cellStyle name="20% - Accent1 15" xfId="156" xr:uid="{00000000-0005-0000-0000-00000B000000}"/>
    <cellStyle name="20% - Accent1 15 2" xfId="157" xr:uid="{00000000-0005-0000-0000-00000C000000}"/>
    <cellStyle name="20% - Accent1 15 3" xfId="158" xr:uid="{00000000-0005-0000-0000-00000D000000}"/>
    <cellStyle name="20% - Accent1 15 4" xfId="159" xr:uid="{00000000-0005-0000-0000-00000E000000}"/>
    <cellStyle name="20% - Accent1 15 5" xfId="160" xr:uid="{00000000-0005-0000-0000-00000F000000}"/>
    <cellStyle name="20% - Accent1 15 6" xfId="161" xr:uid="{00000000-0005-0000-0000-000010000000}"/>
    <cellStyle name="20% - Accent1 15 7" xfId="162" xr:uid="{00000000-0005-0000-0000-000011000000}"/>
    <cellStyle name="20% - Accent1 16" xfId="163" xr:uid="{00000000-0005-0000-0000-000012000000}"/>
    <cellStyle name="20% - Accent1 17" xfId="164" xr:uid="{00000000-0005-0000-0000-000013000000}"/>
    <cellStyle name="20% - Accent1 18" xfId="165" xr:uid="{00000000-0005-0000-0000-000014000000}"/>
    <cellStyle name="20% - Accent1 19" xfId="166" xr:uid="{00000000-0005-0000-0000-000015000000}"/>
    <cellStyle name="20% - Accent1 2" xfId="167" xr:uid="{00000000-0005-0000-0000-000016000000}"/>
    <cellStyle name="20% - Accent1 2 2" xfId="168" xr:uid="{00000000-0005-0000-0000-000017000000}"/>
    <cellStyle name="20% - Accent1 2 2 2" xfId="169" xr:uid="{00000000-0005-0000-0000-000018000000}"/>
    <cellStyle name="20% - Accent1 2 3" xfId="170" xr:uid="{00000000-0005-0000-0000-000019000000}"/>
    <cellStyle name="20% - Accent1 20" xfId="171" xr:uid="{00000000-0005-0000-0000-00001A000000}"/>
    <cellStyle name="20% - Accent1 21" xfId="172" xr:uid="{00000000-0005-0000-0000-00001B000000}"/>
    <cellStyle name="20% - Accent1 22" xfId="173" xr:uid="{00000000-0005-0000-0000-00001C000000}"/>
    <cellStyle name="20% - Accent1 3" xfId="174" xr:uid="{00000000-0005-0000-0000-00001D000000}"/>
    <cellStyle name="20% - Accent1 3 2" xfId="175" xr:uid="{00000000-0005-0000-0000-00001E000000}"/>
    <cellStyle name="20% - Accent1 3 3" xfId="176" xr:uid="{00000000-0005-0000-0000-00001F000000}"/>
    <cellStyle name="20% - Accent1 3 4" xfId="3757" xr:uid="{00000000-0005-0000-0000-000020000000}"/>
    <cellStyle name="20% - Accent1 4" xfId="177" xr:uid="{00000000-0005-0000-0000-000021000000}"/>
    <cellStyle name="20% - Accent1 4 2" xfId="178" xr:uid="{00000000-0005-0000-0000-000022000000}"/>
    <cellStyle name="20% - Accent1 4 3" xfId="179" xr:uid="{00000000-0005-0000-0000-000023000000}"/>
    <cellStyle name="20% - Accent1 5" xfId="180" xr:uid="{00000000-0005-0000-0000-000024000000}"/>
    <cellStyle name="20% - Accent1 5 2" xfId="181" xr:uid="{00000000-0005-0000-0000-000025000000}"/>
    <cellStyle name="20% - Accent1 5 3" xfId="182" xr:uid="{00000000-0005-0000-0000-000026000000}"/>
    <cellStyle name="20% - Accent1 6" xfId="183" xr:uid="{00000000-0005-0000-0000-000027000000}"/>
    <cellStyle name="20% - Accent1 6 2" xfId="184" xr:uid="{00000000-0005-0000-0000-000028000000}"/>
    <cellStyle name="20% - Accent1 6 3" xfId="185" xr:uid="{00000000-0005-0000-0000-000029000000}"/>
    <cellStyle name="20% - Accent1 7 2" xfId="186" xr:uid="{00000000-0005-0000-0000-00002A000000}"/>
    <cellStyle name="20% - Accent1 7 3" xfId="187" xr:uid="{00000000-0005-0000-0000-00002B000000}"/>
    <cellStyle name="20% - Accent1 8 2" xfId="188" xr:uid="{00000000-0005-0000-0000-00002C000000}"/>
    <cellStyle name="20% - Accent1 8 3" xfId="189" xr:uid="{00000000-0005-0000-0000-00002D000000}"/>
    <cellStyle name="20% - Accent1 9 2" xfId="190" xr:uid="{00000000-0005-0000-0000-00002E000000}"/>
    <cellStyle name="20% - Accent1 9 3" xfId="191" xr:uid="{00000000-0005-0000-0000-00002F000000}"/>
    <cellStyle name="20% - Accent2 10 2" xfId="192" xr:uid="{00000000-0005-0000-0000-000030000000}"/>
    <cellStyle name="20% - Accent2 10 3" xfId="193" xr:uid="{00000000-0005-0000-0000-000031000000}"/>
    <cellStyle name="20% - Accent2 11 2" xfId="194" xr:uid="{00000000-0005-0000-0000-000032000000}"/>
    <cellStyle name="20% - Accent2 11 3" xfId="195" xr:uid="{00000000-0005-0000-0000-000033000000}"/>
    <cellStyle name="20% - Accent2 12 2" xfId="196" xr:uid="{00000000-0005-0000-0000-000034000000}"/>
    <cellStyle name="20% - Accent2 12 3" xfId="197" xr:uid="{00000000-0005-0000-0000-000035000000}"/>
    <cellStyle name="20% - Accent2 13 2" xfId="198" xr:uid="{00000000-0005-0000-0000-000036000000}"/>
    <cellStyle name="20% - Accent2 13 3" xfId="199" xr:uid="{00000000-0005-0000-0000-000037000000}"/>
    <cellStyle name="20% - Accent2 14 2" xfId="200" xr:uid="{00000000-0005-0000-0000-000038000000}"/>
    <cellStyle name="20% - Accent2 14 3" xfId="201" xr:uid="{00000000-0005-0000-0000-000039000000}"/>
    <cellStyle name="20% - Accent2 15" xfId="202" xr:uid="{00000000-0005-0000-0000-00003A000000}"/>
    <cellStyle name="20% - Accent2 15 2" xfId="203" xr:uid="{00000000-0005-0000-0000-00003B000000}"/>
    <cellStyle name="20% - Accent2 15 3" xfId="204" xr:uid="{00000000-0005-0000-0000-00003C000000}"/>
    <cellStyle name="20% - Accent2 15 4" xfId="205" xr:uid="{00000000-0005-0000-0000-00003D000000}"/>
    <cellStyle name="20% - Accent2 15 5" xfId="206" xr:uid="{00000000-0005-0000-0000-00003E000000}"/>
    <cellStyle name="20% - Accent2 15 6" xfId="207" xr:uid="{00000000-0005-0000-0000-00003F000000}"/>
    <cellStyle name="20% - Accent2 15 7" xfId="208" xr:uid="{00000000-0005-0000-0000-000040000000}"/>
    <cellStyle name="20% - Accent2 16" xfId="209" xr:uid="{00000000-0005-0000-0000-000041000000}"/>
    <cellStyle name="20% - Accent2 17" xfId="210" xr:uid="{00000000-0005-0000-0000-000042000000}"/>
    <cellStyle name="20% - Accent2 18" xfId="211" xr:uid="{00000000-0005-0000-0000-000043000000}"/>
    <cellStyle name="20% - Accent2 19" xfId="212" xr:uid="{00000000-0005-0000-0000-000044000000}"/>
    <cellStyle name="20% - Accent2 2" xfId="213" xr:uid="{00000000-0005-0000-0000-000045000000}"/>
    <cellStyle name="20% - Accent2 2 2" xfId="214" xr:uid="{00000000-0005-0000-0000-000046000000}"/>
    <cellStyle name="20% - Accent2 2 2 2" xfId="215" xr:uid="{00000000-0005-0000-0000-000047000000}"/>
    <cellStyle name="20% - Accent2 2 3" xfId="216" xr:uid="{00000000-0005-0000-0000-000048000000}"/>
    <cellStyle name="20% - Accent2 20" xfId="217" xr:uid="{00000000-0005-0000-0000-000049000000}"/>
    <cellStyle name="20% - Accent2 21" xfId="218" xr:uid="{00000000-0005-0000-0000-00004A000000}"/>
    <cellStyle name="20% - Accent2 22" xfId="219" xr:uid="{00000000-0005-0000-0000-00004B000000}"/>
    <cellStyle name="20% - Accent2 3" xfId="220" xr:uid="{00000000-0005-0000-0000-00004C000000}"/>
    <cellStyle name="20% - Accent2 3 2" xfId="221" xr:uid="{00000000-0005-0000-0000-00004D000000}"/>
    <cellStyle name="20% - Accent2 3 3" xfId="222" xr:uid="{00000000-0005-0000-0000-00004E000000}"/>
    <cellStyle name="20% - Accent2 3 4" xfId="3758" xr:uid="{00000000-0005-0000-0000-00004F000000}"/>
    <cellStyle name="20% - Accent2 4" xfId="223" xr:uid="{00000000-0005-0000-0000-000050000000}"/>
    <cellStyle name="20% - Accent2 4 2" xfId="224" xr:uid="{00000000-0005-0000-0000-000051000000}"/>
    <cellStyle name="20% - Accent2 4 3" xfId="225" xr:uid="{00000000-0005-0000-0000-000052000000}"/>
    <cellStyle name="20% - Accent2 5" xfId="226" xr:uid="{00000000-0005-0000-0000-000053000000}"/>
    <cellStyle name="20% - Accent2 5 2" xfId="227" xr:uid="{00000000-0005-0000-0000-000054000000}"/>
    <cellStyle name="20% - Accent2 5 3" xfId="228" xr:uid="{00000000-0005-0000-0000-000055000000}"/>
    <cellStyle name="20% - Accent2 6" xfId="229" xr:uid="{00000000-0005-0000-0000-000056000000}"/>
    <cellStyle name="20% - Accent2 6 2" xfId="230" xr:uid="{00000000-0005-0000-0000-000057000000}"/>
    <cellStyle name="20% - Accent2 6 3" xfId="231" xr:uid="{00000000-0005-0000-0000-000058000000}"/>
    <cellStyle name="20% - Accent2 7 2" xfId="232" xr:uid="{00000000-0005-0000-0000-000059000000}"/>
    <cellStyle name="20% - Accent2 7 3" xfId="233" xr:uid="{00000000-0005-0000-0000-00005A000000}"/>
    <cellStyle name="20% - Accent2 8 2" xfId="234" xr:uid="{00000000-0005-0000-0000-00005B000000}"/>
    <cellStyle name="20% - Accent2 8 3" xfId="235" xr:uid="{00000000-0005-0000-0000-00005C000000}"/>
    <cellStyle name="20% - Accent2 9 2" xfId="236" xr:uid="{00000000-0005-0000-0000-00005D000000}"/>
    <cellStyle name="20% - Accent2 9 3" xfId="237" xr:uid="{00000000-0005-0000-0000-00005E000000}"/>
    <cellStyle name="20% - Accent3 10 2" xfId="238" xr:uid="{00000000-0005-0000-0000-00005F000000}"/>
    <cellStyle name="20% - Accent3 10 3" xfId="239" xr:uid="{00000000-0005-0000-0000-000060000000}"/>
    <cellStyle name="20% - Accent3 11 2" xfId="240" xr:uid="{00000000-0005-0000-0000-000061000000}"/>
    <cellStyle name="20% - Accent3 11 3" xfId="241" xr:uid="{00000000-0005-0000-0000-000062000000}"/>
    <cellStyle name="20% - Accent3 12 2" xfId="242" xr:uid="{00000000-0005-0000-0000-000063000000}"/>
    <cellStyle name="20% - Accent3 12 3" xfId="243" xr:uid="{00000000-0005-0000-0000-000064000000}"/>
    <cellStyle name="20% - Accent3 13 2" xfId="244" xr:uid="{00000000-0005-0000-0000-000065000000}"/>
    <cellStyle name="20% - Accent3 13 3" xfId="245" xr:uid="{00000000-0005-0000-0000-000066000000}"/>
    <cellStyle name="20% - Accent3 14 2" xfId="246" xr:uid="{00000000-0005-0000-0000-000067000000}"/>
    <cellStyle name="20% - Accent3 14 3" xfId="247" xr:uid="{00000000-0005-0000-0000-000068000000}"/>
    <cellStyle name="20% - Accent3 15" xfId="248" xr:uid="{00000000-0005-0000-0000-000069000000}"/>
    <cellStyle name="20% - Accent3 15 2" xfId="249" xr:uid="{00000000-0005-0000-0000-00006A000000}"/>
    <cellStyle name="20% - Accent3 15 3" xfId="250" xr:uid="{00000000-0005-0000-0000-00006B000000}"/>
    <cellStyle name="20% - Accent3 15 4" xfId="251" xr:uid="{00000000-0005-0000-0000-00006C000000}"/>
    <cellStyle name="20% - Accent3 15 5" xfId="252" xr:uid="{00000000-0005-0000-0000-00006D000000}"/>
    <cellStyle name="20% - Accent3 15 6" xfId="253" xr:uid="{00000000-0005-0000-0000-00006E000000}"/>
    <cellStyle name="20% - Accent3 15 7" xfId="254" xr:uid="{00000000-0005-0000-0000-00006F000000}"/>
    <cellStyle name="20% - Accent3 16" xfId="255" xr:uid="{00000000-0005-0000-0000-000070000000}"/>
    <cellStyle name="20% - Accent3 17" xfId="256" xr:uid="{00000000-0005-0000-0000-000071000000}"/>
    <cellStyle name="20% - Accent3 18" xfId="257" xr:uid="{00000000-0005-0000-0000-000072000000}"/>
    <cellStyle name="20% - Accent3 19" xfId="258" xr:uid="{00000000-0005-0000-0000-000073000000}"/>
    <cellStyle name="20% - Accent3 2" xfId="259" xr:uid="{00000000-0005-0000-0000-000074000000}"/>
    <cellStyle name="20% - Accent3 2 2" xfId="260" xr:uid="{00000000-0005-0000-0000-000075000000}"/>
    <cellStyle name="20% - Accent3 2 2 2" xfId="261" xr:uid="{00000000-0005-0000-0000-000076000000}"/>
    <cellStyle name="20% - Accent3 2 3" xfId="262" xr:uid="{00000000-0005-0000-0000-000077000000}"/>
    <cellStyle name="20% - Accent3 20" xfId="263" xr:uid="{00000000-0005-0000-0000-000078000000}"/>
    <cellStyle name="20% - Accent3 21" xfId="264" xr:uid="{00000000-0005-0000-0000-000079000000}"/>
    <cellStyle name="20% - Accent3 22" xfId="265" xr:uid="{00000000-0005-0000-0000-00007A000000}"/>
    <cellStyle name="20% - Accent3 3" xfId="266" xr:uid="{00000000-0005-0000-0000-00007B000000}"/>
    <cellStyle name="20% - Accent3 3 2" xfId="267" xr:uid="{00000000-0005-0000-0000-00007C000000}"/>
    <cellStyle name="20% - Accent3 3 3" xfId="268" xr:uid="{00000000-0005-0000-0000-00007D000000}"/>
    <cellStyle name="20% - Accent3 3 4" xfId="3759" xr:uid="{00000000-0005-0000-0000-00007E000000}"/>
    <cellStyle name="20% - Accent3 4" xfId="269" xr:uid="{00000000-0005-0000-0000-00007F000000}"/>
    <cellStyle name="20% - Accent3 4 2" xfId="270" xr:uid="{00000000-0005-0000-0000-000080000000}"/>
    <cellStyle name="20% - Accent3 4 3" xfId="271" xr:uid="{00000000-0005-0000-0000-000081000000}"/>
    <cellStyle name="20% - Accent3 5" xfId="272" xr:uid="{00000000-0005-0000-0000-000082000000}"/>
    <cellStyle name="20% - Accent3 5 2" xfId="273" xr:uid="{00000000-0005-0000-0000-000083000000}"/>
    <cellStyle name="20% - Accent3 5 3" xfId="274" xr:uid="{00000000-0005-0000-0000-000084000000}"/>
    <cellStyle name="20% - Accent3 6" xfId="275" xr:uid="{00000000-0005-0000-0000-000085000000}"/>
    <cellStyle name="20% - Accent3 6 2" xfId="276" xr:uid="{00000000-0005-0000-0000-000086000000}"/>
    <cellStyle name="20% - Accent3 6 3" xfId="277" xr:uid="{00000000-0005-0000-0000-000087000000}"/>
    <cellStyle name="20% - Accent3 7 2" xfId="278" xr:uid="{00000000-0005-0000-0000-000088000000}"/>
    <cellStyle name="20% - Accent3 7 3" xfId="279" xr:uid="{00000000-0005-0000-0000-000089000000}"/>
    <cellStyle name="20% - Accent3 8 2" xfId="280" xr:uid="{00000000-0005-0000-0000-00008A000000}"/>
    <cellStyle name="20% - Accent3 8 3" xfId="281" xr:uid="{00000000-0005-0000-0000-00008B000000}"/>
    <cellStyle name="20% - Accent3 9 2" xfId="282" xr:uid="{00000000-0005-0000-0000-00008C000000}"/>
    <cellStyle name="20% - Accent3 9 3" xfId="283" xr:uid="{00000000-0005-0000-0000-00008D000000}"/>
    <cellStyle name="20% - Accent4 10 2" xfId="284" xr:uid="{00000000-0005-0000-0000-00008E000000}"/>
    <cellStyle name="20% - Accent4 10 3" xfId="285" xr:uid="{00000000-0005-0000-0000-00008F000000}"/>
    <cellStyle name="20% - Accent4 11 2" xfId="286" xr:uid="{00000000-0005-0000-0000-000090000000}"/>
    <cellStyle name="20% - Accent4 11 3" xfId="287" xr:uid="{00000000-0005-0000-0000-000091000000}"/>
    <cellStyle name="20% - Accent4 12 2" xfId="288" xr:uid="{00000000-0005-0000-0000-000092000000}"/>
    <cellStyle name="20% - Accent4 12 3" xfId="289" xr:uid="{00000000-0005-0000-0000-000093000000}"/>
    <cellStyle name="20% - Accent4 13 2" xfId="290" xr:uid="{00000000-0005-0000-0000-000094000000}"/>
    <cellStyle name="20% - Accent4 13 3" xfId="291" xr:uid="{00000000-0005-0000-0000-000095000000}"/>
    <cellStyle name="20% - Accent4 14 2" xfId="292" xr:uid="{00000000-0005-0000-0000-000096000000}"/>
    <cellStyle name="20% - Accent4 14 3" xfId="293" xr:uid="{00000000-0005-0000-0000-000097000000}"/>
    <cellStyle name="20% - Accent4 15" xfId="294" xr:uid="{00000000-0005-0000-0000-000098000000}"/>
    <cellStyle name="20% - Accent4 15 2" xfId="295" xr:uid="{00000000-0005-0000-0000-000099000000}"/>
    <cellStyle name="20% - Accent4 15 3" xfId="296" xr:uid="{00000000-0005-0000-0000-00009A000000}"/>
    <cellStyle name="20% - Accent4 15 4" xfId="297" xr:uid="{00000000-0005-0000-0000-00009B000000}"/>
    <cellStyle name="20% - Accent4 15 5" xfId="298" xr:uid="{00000000-0005-0000-0000-00009C000000}"/>
    <cellStyle name="20% - Accent4 15 6" xfId="299" xr:uid="{00000000-0005-0000-0000-00009D000000}"/>
    <cellStyle name="20% - Accent4 15 7" xfId="300" xr:uid="{00000000-0005-0000-0000-00009E000000}"/>
    <cellStyle name="20% - Accent4 16" xfId="301" xr:uid="{00000000-0005-0000-0000-00009F000000}"/>
    <cellStyle name="20% - Accent4 17" xfId="302" xr:uid="{00000000-0005-0000-0000-0000A0000000}"/>
    <cellStyle name="20% - Accent4 18" xfId="303" xr:uid="{00000000-0005-0000-0000-0000A1000000}"/>
    <cellStyle name="20% - Accent4 19" xfId="304" xr:uid="{00000000-0005-0000-0000-0000A2000000}"/>
    <cellStyle name="20% - Accent4 2" xfId="305" xr:uid="{00000000-0005-0000-0000-0000A3000000}"/>
    <cellStyle name="20% - Accent4 2 2" xfId="306" xr:uid="{00000000-0005-0000-0000-0000A4000000}"/>
    <cellStyle name="20% - Accent4 2 2 2" xfId="307" xr:uid="{00000000-0005-0000-0000-0000A5000000}"/>
    <cellStyle name="20% - Accent4 2 3" xfId="308" xr:uid="{00000000-0005-0000-0000-0000A6000000}"/>
    <cellStyle name="20% - Accent4 20" xfId="309" xr:uid="{00000000-0005-0000-0000-0000A7000000}"/>
    <cellStyle name="20% - Accent4 21" xfId="310" xr:uid="{00000000-0005-0000-0000-0000A8000000}"/>
    <cellStyle name="20% - Accent4 22" xfId="311" xr:uid="{00000000-0005-0000-0000-0000A9000000}"/>
    <cellStyle name="20% - Accent4 3" xfId="312" xr:uid="{00000000-0005-0000-0000-0000AA000000}"/>
    <cellStyle name="20% - Accent4 3 2" xfId="313" xr:uid="{00000000-0005-0000-0000-0000AB000000}"/>
    <cellStyle name="20% - Accent4 3 3" xfId="314" xr:uid="{00000000-0005-0000-0000-0000AC000000}"/>
    <cellStyle name="20% - Accent4 3 4" xfId="3760" xr:uid="{00000000-0005-0000-0000-0000AD000000}"/>
    <cellStyle name="20% - Accent4 4" xfId="315" xr:uid="{00000000-0005-0000-0000-0000AE000000}"/>
    <cellStyle name="20% - Accent4 4 2" xfId="316" xr:uid="{00000000-0005-0000-0000-0000AF000000}"/>
    <cellStyle name="20% - Accent4 4 3" xfId="317" xr:uid="{00000000-0005-0000-0000-0000B0000000}"/>
    <cellStyle name="20% - Accent4 5" xfId="318" xr:uid="{00000000-0005-0000-0000-0000B1000000}"/>
    <cellStyle name="20% - Accent4 5 2" xfId="319" xr:uid="{00000000-0005-0000-0000-0000B2000000}"/>
    <cellStyle name="20% - Accent4 5 3" xfId="320" xr:uid="{00000000-0005-0000-0000-0000B3000000}"/>
    <cellStyle name="20% - Accent4 6" xfId="321" xr:uid="{00000000-0005-0000-0000-0000B4000000}"/>
    <cellStyle name="20% - Accent4 6 2" xfId="322" xr:uid="{00000000-0005-0000-0000-0000B5000000}"/>
    <cellStyle name="20% - Accent4 6 3" xfId="323" xr:uid="{00000000-0005-0000-0000-0000B6000000}"/>
    <cellStyle name="20% - Accent4 7 2" xfId="324" xr:uid="{00000000-0005-0000-0000-0000B7000000}"/>
    <cellStyle name="20% - Accent4 7 3" xfId="325" xr:uid="{00000000-0005-0000-0000-0000B8000000}"/>
    <cellStyle name="20% - Accent4 8 2" xfId="326" xr:uid="{00000000-0005-0000-0000-0000B9000000}"/>
    <cellStyle name="20% - Accent4 8 3" xfId="327" xr:uid="{00000000-0005-0000-0000-0000BA000000}"/>
    <cellStyle name="20% - Accent4 9 2" xfId="328" xr:uid="{00000000-0005-0000-0000-0000BB000000}"/>
    <cellStyle name="20% - Accent4 9 3" xfId="329" xr:uid="{00000000-0005-0000-0000-0000BC000000}"/>
    <cellStyle name="20% - Accent5 10 2" xfId="330" xr:uid="{00000000-0005-0000-0000-0000BD000000}"/>
    <cellStyle name="20% - Accent5 10 3" xfId="331" xr:uid="{00000000-0005-0000-0000-0000BE000000}"/>
    <cellStyle name="20% - Accent5 11 2" xfId="332" xr:uid="{00000000-0005-0000-0000-0000BF000000}"/>
    <cellStyle name="20% - Accent5 11 3" xfId="333" xr:uid="{00000000-0005-0000-0000-0000C0000000}"/>
    <cellStyle name="20% - Accent5 12 2" xfId="334" xr:uid="{00000000-0005-0000-0000-0000C1000000}"/>
    <cellStyle name="20% - Accent5 12 3" xfId="335" xr:uid="{00000000-0005-0000-0000-0000C2000000}"/>
    <cellStyle name="20% - Accent5 13 2" xfId="336" xr:uid="{00000000-0005-0000-0000-0000C3000000}"/>
    <cellStyle name="20% - Accent5 13 3" xfId="337" xr:uid="{00000000-0005-0000-0000-0000C4000000}"/>
    <cellStyle name="20% - Accent5 14 2" xfId="338" xr:uid="{00000000-0005-0000-0000-0000C5000000}"/>
    <cellStyle name="20% - Accent5 14 3" xfId="339" xr:uid="{00000000-0005-0000-0000-0000C6000000}"/>
    <cellStyle name="20% - Accent5 15" xfId="340" xr:uid="{00000000-0005-0000-0000-0000C7000000}"/>
    <cellStyle name="20% - Accent5 15 2" xfId="341" xr:uid="{00000000-0005-0000-0000-0000C8000000}"/>
    <cellStyle name="20% - Accent5 15 3" xfId="342" xr:uid="{00000000-0005-0000-0000-0000C9000000}"/>
    <cellStyle name="20% - Accent5 15 4" xfId="343" xr:uid="{00000000-0005-0000-0000-0000CA000000}"/>
    <cellStyle name="20% - Accent5 15 5" xfId="344" xr:uid="{00000000-0005-0000-0000-0000CB000000}"/>
    <cellStyle name="20% - Accent5 15 6" xfId="345" xr:uid="{00000000-0005-0000-0000-0000CC000000}"/>
    <cellStyle name="20% - Accent5 15 7" xfId="346" xr:uid="{00000000-0005-0000-0000-0000CD000000}"/>
    <cellStyle name="20% - Accent5 16" xfId="347" xr:uid="{00000000-0005-0000-0000-0000CE000000}"/>
    <cellStyle name="20% - Accent5 17" xfId="348" xr:uid="{00000000-0005-0000-0000-0000CF000000}"/>
    <cellStyle name="20% - Accent5 18" xfId="349" xr:uid="{00000000-0005-0000-0000-0000D0000000}"/>
    <cellStyle name="20% - Accent5 19" xfId="350" xr:uid="{00000000-0005-0000-0000-0000D1000000}"/>
    <cellStyle name="20% - Accent5 2" xfId="351" xr:uid="{00000000-0005-0000-0000-0000D2000000}"/>
    <cellStyle name="20% - Accent5 2 2" xfId="352" xr:uid="{00000000-0005-0000-0000-0000D3000000}"/>
    <cellStyle name="20% - Accent5 2 2 2" xfId="353" xr:uid="{00000000-0005-0000-0000-0000D4000000}"/>
    <cellStyle name="20% - Accent5 2 3" xfId="354" xr:uid="{00000000-0005-0000-0000-0000D5000000}"/>
    <cellStyle name="20% - Accent5 20" xfId="355" xr:uid="{00000000-0005-0000-0000-0000D6000000}"/>
    <cellStyle name="20% - Accent5 21" xfId="356" xr:uid="{00000000-0005-0000-0000-0000D7000000}"/>
    <cellStyle name="20% - Accent5 22" xfId="357" xr:uid="{00000000-0005-0000-0000-0000D8000000}"/>
    <cellStyle name="20% - Accent5 3" xfId="358" xr:uid="{00000000-0005-0000-0000-0000D9000000}"/>
    <cellStyle name="20% - Accent5 3 2" xfId="359" xr:uid="{00000000-0005-0000-0000-0000DA000000}"/>
    <cellStyle name="20% - Accent5 3 3" xfId="360" xr:uid="{00000000-0005-0000-0000-0000DB000000}"/>
    <cellStyle name="20% - Accent5 3 4" xfId="3761" xr:uid="{00000000-0005-0000-0000-0000DC000000}"/>
    <cellStyle name="20% - Accent5 4" xfId="361" xr:uid="{00000000-0005-0000-0000-0000DD000000}"/>
    <cellStyle name="20% - Accent5 4 2" xfId="362" xr:uid="{00000000-0005-0000-0000-0000DE000000}"/>
    <cellStyle name="20% - Accent5 4 3" xfId="363" xr:uid="{00000000-0005-0000-0000-0000DF000000}"/>
    <cellStyle name="20% - Accent5 5" xfId="364" xr:uid="{00000000-0005-0000-0000-0000E0000000}"/>
    <cellStyle name="20% - Accent5 5 2" xfId="365" xr:uid="{00000000-0005-0000-0000-0000E1000000}"/>
    <cellStyle name="20% - Accent5 5 3" xfId="366" xr:uid="{00000000-0005-0000-0000-0000E2000000}"/>
    <cellStyle name="20% - Accent5 6" xfId="367" xr:uid="{00000000-0005-0000-0000-0000E3000000}"/>
    <cellStyle name="20% - Accent5 6 2" xfId="368" xr:uid="{00000000-0005-0000-0000-0000E4000000}"/>
    <cellStyle name="20% - Accent5 6 3" xfId="369" xr:uid="{00000000-0005-0000-0000-0000E5000000}"/>
    <cellStyle name="20% - Accent5 7 2" xfId="370" xr:uid="{00000000-0005-0000-0000-0000E6000000}"/>
    <cellStyle name="20% - Accent5 7 3" xfId="371" xr:uid="{00000000-0005-0000-0000-0000E7000000}"/>
    <cellStyle name="20% - Accent5 8 2" xfId="372" xr:uid="{00000000-0005-0000-0000-0000E8000000}"/>
    <cellStyle name="20% - Accent5 8 3" xfId="373" xr:uid="{00000000-0005-0000-0000-0000E9000000}"/>
    <cellStyle name="20% - Accent5 9 2" xfId="374" xr:uid="{00000000-0005-0000-0000-0000EA000000}"/>
    <cellStyle name="20% - Accent5 9 3" xfId="375" xr:uid="{00000000-0005-0000-0000-0000EB000000}"/>
    <cellStyle name="20% - Accent6 10 2" xfId="376" xr:uid="{00000000-0005-0000-0000-0000EC000000}"/>
    <cellStyle name="20% - Accent6 10 3" xfId="377" xr:uid="{00000000-0005-0000-0000-0000ED000000}"/>
    <cellStyle name="20% - Accent6 11 2" xfId="378" xr:uid="{00000000-0005-0000-0000-0000EE000000}"/>
    <cellStyle name="20% - Accent6 11 3" xfId="379" xr:uid="{00000000-0005-0000-0000-0000EF000000}"/>
    <cellStyle name="20% - Accent6 12 2" xfId="380" xr:uid="{00000000-0005-0000-0000-0000F0000000}"/>
    <cellStyle name="20% - Accent6 12 3" xfId="381" xr:uid="{00000000-0005-0000-0000-0000F1000000}"/>
    <cellStyle name="20% - Accent6 13 2" xfId="382" xr:uid="{00000000-0005-0000-0000-0000F2000000}"/>
    <cellStyle name="20% - Accent6 13 3" xfId="383" xr:uid="{00000000-0005-0000-0000-0000F3000000}"/>
    <cellStyle name="20% - Accent6 14 2" xfId="384" xr:uid="{00000000-0005-0000-0000-0000F4000000}"/>
    <cellStyle name="20% - Accent6 14 3" xfId="385" xr:uid="{00000000-0005-0000-0000-0000F5000000}"/>
    <cellStyle name="20% - Accent6 15" xfId="386" xr:uid="{00000000-0005-0000-0000-0000F6000000}"/>
    <cellStyle name="20% - Accent6 15 2" xfId="387" xr:uid="{00000000-0005-0000-0000-0000F7000000}"/>
    <cellStyle name="20% - Accent6 15 3" xfId="388" xr:uid="{00000000-0005-0000-0000-0000F8000000}"/>
    <cellStyle name="20% - Accent6 15 4" xfId="389" xr:uid="{00000000-0005-0000-0000-0000F9000000}"/>
    <cellStyle name="20% - Accent6 15 5" xfId="390" xr:uid="{00000000-0005-0000-0000-0000FA000000}"/>
    <cellStyle name="20% - Accent6 15 6" xfId="391" xr:uid="{00000000-0005-0000-0000-0000FB000000}"/>
    <cellStyle name="20% - Accent6 15 7" xfId="392" xr:uid="{00000000-0005-0000-0000-0000FC000000}"/>
    <cellStyle name="20% - Accent6 16" xfId="393" xr:uid="{00000000-0005-0000-0000-0000FD000000}"/>
    <cellStyle name="20% - Accent6 17" xfId="394" xr:uid="{00000000-0005-0000-0000-0000FE000000}"/>
    <cellStyle name="20% - Accent6 18" xfId="395" xr:uid="{00000000-0005-0000-0000-0000FF000000}"/>
    <cellStyle name="20% - Accent6 19" xfId="396" xr:uid="{00000000-0005-0000-0000-000000010000}"/>
    <cellStyle name="20% - Accent6 2" xfId="397" xr:uid="{00000000-0005-0000-0000-000001010000}"/>
    <cellStyle name="20% - Accent6 2 2" xfId="398" xr:uid="{00000000-0005-0000-0000-000002010000}"/>
    <cellStyle name="20% - Accent6 2 2 2" xfId="399" xr:uid="{00000000-0005-0000-0000-000003010000}"/>
    <cellStyle name="20% - Accent6 2 3" xfId="400" xr:uid="{00000000-0005-0000-0000-000004010000}"/>
    <cellStyle name="20% - Accent6 20" xfId="401" xr:uid="{00000000-0005-0000-0000-000005010000}"/>
    <cellStyle name="20% - Accent6 21" xfId="402" xr:uid="{00000000-0005-0000-0000-000006010000}"/>
    <cellStyle name="20% - Accent6 22" xfId="403" xr:uid="{00000000-0005-0000-0000-000007010000}"/>
    <cellStyle name="20% - Accent6 3" xfId="404" xr:uid="{00000000-0005-0000-0000-000008010000}"/>
    <cellStyle name="20% - Accent6 3 2" xfId="405" xr:uid="{00000000-0005-0000-0000-000009010000}"/>
    <cellStyle name="20% - Accent6 3 3" xfId="406" xr:uid="{00000000-0005-0000-0000-00000A010000}"/>
    <cellStyle name="20% - Accent6 3 4" xfId="3762" xr:uid="{00000000-0005-0000-0000-00000B010000}"/>
    <cellStyle name="20% - Accent6 4" xfId="407" xr:uid="{00000000-0005-0000-0000-00000C010000}"/>
    <cellStyle name="20% - Accent6 4 2" xfId="408" xr:uid="{00000000-0005-0000-0000-00000D010000}"/>
    <cellStyle name="20% - Accent6 4 3" xfId="409" xr:uid="{00000000-0005-0000-0000-00000E010000}"/>
    <cellStyle name="20% - Accent6 5" xfId="410" xr:uid="{00000000-0005-0000-0000-00000F010000}"/>
    <cellStyle name="20% - Accent6 5 2" xfId="411" xr:uid="{00000000-0005-0000-0000-000010010000}"/>
    <cellStyle name="20% - Accent6 5 3" xfId="412" xr:uid="{00000000-0005-0000-0000-000011010000}"/>
    <cellStyle name="20% - Accent6 6" xfId="413" xr:uid="{00000000-0005-0000-0000-000012010000}"/>
    <cellStyle name="20% - Accent6 6 2" xfId="414" xr:uid="{00000000-0005-0000-0000-000013010000}"/>
    <cellStyle name="20% - Accent6 6 3" xfId="415" xr:uid="{00000000-0005-0000-0000-000014010000}"/>
    <cellStyle name="20% - Accent6 7 2" xfId="416" xr:uid="{00000000-0005-0000-0000-000015010000}"/>
    <cellStyle name="20% - Accent6 7 3" xfId="417" xr:uid="{00000000-0005-0000-0000-000016010000}"/>
    <cellStyle name="20% - Accent6 8 2" xfId="418" xr:uid="{00000000-0005-0000-0000-000017010000}"/>
    <cellStyle name="20% - Accent6 8 3" xfId="419" xr:uid="{00000000-0005-0000-0000-000018010000}"/>
    <cellStyle name="20% - Accent6 9 2" xfId="420" xr:uid="{00000000-0005-0000-0000-000019010000}"/>
    <cellStyle name="20% - Accent6 9 3" xfId="421" xr:uid="{00000000-0005-0000-0000-00001A010000}"/>
    <cellStyle name="3_ColumTitle" xfId="4442" xr:uid="{0517454C-9560-47F5-B063-E197B536BA47}"/>
    <cellStyle name="3_RowTitle" xfId="4443" xr:uid="{5B1B184C-9EFC-45B7-ADB3-C21B548D3DFF}"/>
    <cellStyle name="4_Comma" xfId="4448" xr:uid="{BB2B3523-7739-4D44-8173-3FD095BD9F74}"/>
    <cellStyle name="4_Currency" xfId="4450" xr:uid="{66B4BF5E-402D-49FB-94C5-0C5833144984}"/>
    <cellStyle name="4_Integer Number" xfId="4445" xr:uid="{C8D9FBDA-3269-46EA-9912-F2CD45305F11}"/>
    <cellStyle name="4_Percent" xfId="4449" xr:uid="{203C00BE-F659-4A0B-81A7-17839F06CB25}"/>
    <cellStyle name="40% - Accent1 10 2" xfId="422" xr:uid="{00000000-0005-0000-0000-00001B010000}"/>
    <cellStyle name="40% - Accent1 10 3" xfId="423" xr:uid="{00000000-0005-0000-0000-00001C010000}"/>
    <cellStyle name="40% - Accent1 11 2" xfId="424" xr:uid="{00000000-0005-0000-0000-00001D010000}"/>
    <cellStyle name="40% - Accent1 11 3" xfId="425" xr:uid="{00000000-0005-0000-0000-00001E010000}"/>
    <cellStyle name="40% - Accent1 12 2" xfId="426" xr:uid="{00000000-0005-0000-0000-00001F010000}"/>
    <cellStyle name="40% - Accent1 12 3" xfId="427" xr:uid="{00000000-0005-0000-0000-000020010000}"/>
    <cellStyle name="40% - Accent1 13 2" xfId="428" xr:uid="{00000000-0005-0000-0000-000021010000}"/>
    <cellStyle name="40% - Accent1 13 3" xfId="429" xr:uid="{00000000-0005-0000-0000-000022010000}"/>
    <cellStyle name="40% - Accent1 14 2" xfId="430" xr:uid="{00000000-0005-0000-0000-000023010000}"/>
    <cellStyle name="40% - Accent1 14 3" xfId="431" xr:uid="{00000000-0005-0000-0000-000024010000}"/>
    <cellStyle name="40% - Accent1 15" xfId="432" xr:uid="{00000000-0005-0000-0000-000025010000}"/>
    <cellStyle name="40% - Accent1 15 2" xfId="433" xr:uid="{00000000-0005-0000-0000-000026010000}"/>
    <cellStyle name="40% - Accent1 15 3" xfId="434" xr:uid="{00000000-0005-0000-0000-000027010000}"/>
    <cellStyle name="40% - Accent1 15 4" xfId="435" xr:uid="{00000000-0005-0000-0000-000028010000}"/>
    <cellStyle name="40% - Accent1 15 5" xfId="436" xr:uid="{00000000-0005-0000-0000-000029010000}"/>
    <cellStyle name="40% - Accent1 15 6" xfId="437" xr:uid="{00000000-0005-0000-0000-00002A010000}"/>
    <cellStyle name="40% - Accent1 15 7" xfId="438" xr:uid="{00000000-0005-0000-0000-00002B010000}"/>
    <cellStyle name="40% - Accent1 16" xfId="439" xr:uid="{00000000-0005-0000-0000-00002C010000}"/>
    <cellStyle name="40% - Accent1 17" xfId="440" xr:uid="{00000000-0005-0000-0000-00002D010000}"/>
    <cellStyle name="40% - Accent1 18" xfId="441" xr:uid="{00000000-0005-0000-0000-00002E010000}"/>
    <cellStyle name="40% - Accent1 19" xfId="442" xr:uid="{00000000-0005-0000-0000-00002F010000}"/>
    <cellStyle name="40% - Accent1 2" xfId="443" xr:uid="{00000000-0005-0000-0000-000030010000}"/>
    <cellStyle name="40% - Accent1 2 2" xfId="444" xr:uid="{00000000-0005-0000-0000-000031010000}"/>
    <cellStyle name="40% - Accent1 2 2 2" xfId="445" xr:uid="{00000000-0005-0000-0000-000032010000}"/>
    <cellStyle name="40% - Accent1 2 3" xfId="446" xr:uid="{00000000-0005-0000-0000-000033010000}"/>
    <cellStyle name="40% - Accent1 20" xfId="447" xr:uid="{00000000-0005-0000-0000-000034010000}"/>
    <cellStyle name="40% - Accent1 21" xfId="448" xr:uid="{00000000-0005-0000-0000-000035010000}"/>
    <cellStyle name="40% - Accent1 22" xfId="449" xr:uid="{00000000-0005-0000-0000-000036010000}"/>
    <cellStyle name="40% - Accent1 3" xfId="450" xr:uid="{00000000-0005-0000-0000-000037010000}"/>
    <cellStyle name="40% - Accent1 3 2" xfId="451" xr:uid="{00000000-0005-0000-0000-000038010000}"/>
    <cellStyle name="40% - Accent1 3 3" xfId="452" xr:uid="{00000000-0005-0000-0000-000039010000}"/>
    <cellStyle name="40% - Accent1 3 4" xfId="3763" xr:uid="{00000000-0005-0000-0000-00003A010000}"/>
    <cellStyle name="40% - Accent1 4" xfId="453" xr:uid="{00000000-0005-0000-0000-00003B010000}"/>
    <cellStyle name="40% - Accent1 4 2" xfId="454" xr:uid="{00000000-0005-0000-0000-00003C010000}"/>
    <cellStyle name="40% - Accent1 4 3" xfId="455" xr:uid="{00000000-0005-0000-0000-00003D010000}"/>
    <cellStyle name="40% - Accent1 5" xfId="456" xr:uid="{00000000-0005-0000-0000-00003E010000}"/>
    <cellStyle name="40% - Accent1 5 2" xfId="457" xr:uid="{00000000-0005-0000-0000-00003F010000}"/>
    <cellStyle name="40% - Accent1 5 3" xfId="458" xr:uid="{00000000-0005-0000-0000-000040010000}"/>
    <cellStyle name="40% - Accent1 6" xfId="459" xr:uid="{00000000-0005-0000-0000-000041010000}"/>
    <cellStyle name="40% - Accent1 6 2" xfId="460" xr:uid="{00000000-0005-0000-0000-000042010000}"/>
    <cellStyle name="40% - Accent1 6 3" xfId="461" xr:uid="{00000000-0005-0000-0000-000043010000}"/>
    <cellStyle name="40% - Accent1 7 2" xfId="462" xr:uid="{00000000-0005-0000-0000-000044010000}"/>
    <cellStyle name="40% - Accent1 7 3" xfId="463" xr:uid="{00000000-0005-0000-0000-000045010000}"/>
    <cellStyle name="40% - Accent1 8 2" xfId="464" xr:uid="{00000000-0005-0000-0000-000046010000}"/>
    <cellStyle name="40% - Accent1 8 3" xfId="465" xr:uid="{00000000-0005-0000-0000-000047010000}"/>
    <cellStyle name="40% - Accent1 9 2" xfId="466" xr:uid="{00000000-0005-0000-0000-000048010000}"/>
    <cellStyle name="40% - Accent1 9 3" xfId="467" xr:uid="{00000000-0005-0000-0000-000049010000}"/>
    <cellStyle name="40% - Accent2 10 2" xfId="468" xr:uid="{00000000-0005-0000-0000-00004A010000}"/>
    <cellStyle name="40% - Accent2 10 3" xfId="469" xr:uid="{00000000-0005-0000-0000-00004B010000}"/>
    <cellStyle name="40% - Accent2 11 2" xfId="470" xr:uid="{00000000-0005-0000-0000-00004C010000}"/>
    <cellStyle name="40% - Accent2 11 3" xfId="471" xr:uid="{00000000-0005-0000-0000-00004D010000}"/>
    <cellStyle name="40% - Accent2 12 2" xfId="472" xr:uid="{00000000-0005-0000-0000-00004E010000}"/>
    <cellStyle name="40% - Accent2 12 3" xfId="473" xr:uid="{00000000-0005-0000-0000-00004F010000}"/>
    <cellStyle name="40% - Accent2 13 2" xfId="474" xr:uid="{00000000-0005-0000-0000-000050010000}"/>
    <cellStyle name="40% - Accent2 13 3" xfId="475" xr:uid="{00000000-0005-0000-0000-000051010000}"/>
    <cellStyle name="40% - Accent2 14 2" xfId="476" xr:uid="{00000000-0005-0000-0000-000052010000}"/>
    <cellStyle name="40% - Accent2 14 3" xfId="477" xr:uid="{00000000-0005-0000-0000-000053010000}"/>
    <cellStyle name="40% - Accent2 15" xfId="478" xr:uid="{00000000-0005-0000-0000-000054010000}"/>
    <cellStyle name="40% - Accent2 15 2" xfId="479" xr:uid="{00000000-0005-0000-0000-000055010000}"/>
    <cellStyle name="40% - Accent2 15 3" xfId="480" xr:uid="{00000000-0005-0000-0000-000056010000}"/>
    <cellStyle name="40% - Accent2 15 4" xfId="481" xr:uid="{00000000-0005-0000-0000-000057010000}"/>
    <cellStyle name="40% - Accent2 15 5" xfId="482" xr:uid="{00000000-0005-0000-0000-000058010000}"/>
    <cellStyle name="40% - Accent2 15 6" xfId="483" xr:uid="{00000000-0005-0000-0000-000059010000}"/>
    <cellStyle name="40% - Accent2 15 7" xfId="484" xr:uid="{00000000-0005-0000-0000-00005A010000}"/>
    <cellStyle name="40% - Accent2 16" xfId="485" xr:uid="{00000000-0005-0000-0000-00005B010000}"/>
    <cellStyle name="40% - Accent2 17" xfId="486" xr:uid="{00000000-0005-0000-0000-00005C010000}"/>
    <cellStyle name="40% - Accent2 18" xfId="487" xr:uid="{00000000-0005-0000-0000-00005D010000}"/>
    <cellStyle name="40% - Accent2 19" xfId="488" xr:uid="{00000000-0005-0000-0000-00005E010000}"/>
    <cellStyle name="40% - Accent2 2" xfId="489" xr:uid="{00000000-0005-0000-0000-00005F010000}"/>
    <cellStyle name="40% - Accent2 2 2" xfId="490" xr:uid="{00000000-0005-0000-0000-000060010000}"/>
    <cellStyle name="40% - Accent2 2 2 2" xfId="491" xr:uid="{00000000-0005-0000-0000-000061010000}"/>
    <cellStyle name="40% - Accent2 2 3" xfId="492" xr:uid="{00000000-0005-0000-0000-000062010000}"/>
    <cellStyle name="40% - Accent2 20" xfId="493" xr:uid="{00000000-0005-0000-0000-000063010000}"/>
    <cellStyle name="40% - Accent2 21" xfId="494" xr:uid="{00000000-0005-0000-0000-000064010000}"/>
    <cellStyle name="40% - Accent2 22" xfId="495" xr:uid="{00000000-0005-0000-0000-000065010000}"/>
    <cellStyle name="40% - Accent2 3" xfId="496" xr:uid="{00000000-0005-0000-0000-000066010000}"/>
    <cellStyle name="40% - Accent2 3 2" xfId="497" xr:uid="{00000000-0005-0000-0000-000067010000}"/>
    <cellStyle name="40% - Accent2 3 3" xfId="498" xr:uid="{00000000-0005-0000-0000-000068010000}"/>
    <cellStyle name="40% - Accent2 3 4" xfId="3764" xr:uid="{00000000-0005-0000-0000-000069010000}"/>
    <cellStyle name="40% - Accent2 4" xfId="499" xr:uid="{00000000-0005-0000-0000-00006A010000}"/>
    <cellStyle name="40% - Accent2 4 2" xfId="500" xr:uid="{00000000-0005-0000-0000-00006B010000}"/>
    <cellStyle name="40% - Accent2 4 3" xfId="501" xr:uid="{00000000-0005-0000-0000-00006C010000}"/>
    <cellStyle name="40% - Accent2 5" xfId="502" xr:uid="{00000000-0005-0000-0000-00006D010000}"/>
    <cellStyle name="40% - Accent2 5 2" xfId="503" xr:uid="{00000000-0005-0000-0000-00006E010000}"/>
    <cellStyle name="40% - Accent2 5 3" xfId="504" xr:uid="{00000000-0005-0000-0000-00006F010000}"/>
    <cellStyle name="40% - Accent2 6" xfId="505" xr:uid="{00000000-0005-0000-0000-000070010000}"/>
    <cellStyle name="40% - Accent2 6 2" xfId="506" xr:uid="{00000000-0005-0000-0000-000071010000}"/>
    <cellStyle name="40% - Accent2 6 3" xfId="507" xr:uid="{00000000-0005-0000-0000-000072010000}"/>
    <cellStyle name="40% - Accent2 7 2" xfId="508" xr:uid="{00000000-0005-0000-0000-000073010000}"/>
    <cellStyle name="40% - Accent2 7 3" xfId="509" xr:uid="{00000000-0005-0000-0000-000074010000}"/>
    <cellStyle name="40% - Accent2 8 2" xfId="510" xr:uid="{00000000-0005-0000-0000-000075010000}"/>
    <cellStyle name="40% - Accent2 8 3" xfId="511" xr:uid="{00000000-0005-0000-0000-000076010000}"/>
    <cellStyle name="40% - Accent2 9 2" xfId="512" xr:uid="{00000000-0005-0000-0000-000077010000}"/>
    <cellStyle name="40% - Accent2 9 3" xfId="513" xr:uid="{00000000-0005-0000-0000-000078010000}"/>
    <cellStyle name="40% - Accent3 10 2" xfId="514" xr:uid="{00000000-0005-0000-0000-000079010000}"/>
    <cellStyle name="40% - Accent3 10 3" xfId="515" xr:uid="{00000000-0005-0000-0000-00007A010000}"/>
    <cellStyle name="40% - Accent3 11 2" xfId="516" xr:uid="{00000000-0005-0000-0000-00007B010000}"/>
    <cellStyle name="40% - Accent3 11 3" xfId="517" xr:uid="{00000000-0005-0000-0000-00007C010000}"/>
    <cellStyle name="40% - Accent3 12 2" xfId="518" xr:uid="{00000000-0005-0000-0000-00007D010000}"/>
    <cellStyle name="40% - Accent3 12 3" xfId="519" xr:uid="{00000000-0005-0000-0000-00007E010000}"/>
    <cellStyle name="40% - Accent3 13 2" xfId="520" xr:uid="{00000000-0005-0000-0000-00007F010000}"/>
    <cellStyle name="40% - Accent3 13 3" xfId="521" xr:uid="{00000000-0005-0000-0000-000080010000}"/>
    <cellStyle name="40% - Accent3 14 2" xfId="522" xr:uid="{00000000-0005-0000-0000-000081010000}"/>
    <cellStyle name="40% - Accent3 14 3" xfId="523" xr:uid="{00000000-0005-0000-0000-000082010000}"/>
    <cellStyle name="40% - Accent3 15" xfId="524" xr:uid="{00000000-0005-0000-0000-000083010000}"/>
    <cellStyle name="40% - Accent3 15 2" xfId="525" xr:uid="{00000000-0005-0000-0000-000084010000}"/>
    <cellStyle name="40% - Accent3 15 3" xfId="526" xr:uid="{00000000-0005-0000-0000-000085010000}"/>
    <cellStyle name="40% - Accent3 15 4" xfId="527" xr:uid="{00000000-0005-0000-0000-000086010000}"/>
    <cellStyle name="40% - Accent3 15 5" xfId="528" xr:uid="{00000000-0005-0000-0000-000087010000}"/>
    <cellStyle name="40% - Accent3 15 6" xfId="529" xr:uid="{00000000-0005-0000-0000-000088010000}"/>
    <cellStyle name="40% - Accent3 15 7" xfId="530" xr:uid="{00000000-0005-0000-0000-000089010000}"/>
    <cellStyle name="40% - Accent3 16" xfId="531" xr:uid="{00000000-0005-0000-0000-00008A010000}"/>
    <cellStyle name="40% - Accent3 17" xfId="532" xr:uid="{00000000-0005-0000-0000-00008B010000}"/>
    <cellStyle name="40% - Accent3 18" xfId="533" xr:uid="{00000000-0005-0000-0000-00008C010000}"/>
    <cellStyle name="40% - Accent3 19" xfId="534" xr:uid="{00000000-0005-0000-0000-00008D010000}"/>
    <cellStyle name="40% - Accent3 2" xfId="535" xr:uid="{00000000-0005-0000-0000-00008E010000}"/>
    <cellStyle name="40% - Accent3 2 2" xfId="536" xr:uid="{00000000-0005-0000-0000-00008F010000}"/>
    <cellStyle name="40% - Accent3 2 2 2" xfId="537" xr:uid="{00000000-0005-0000-0000-000090010000}"/>
    <cellStyle name="40% - Accent3 2 3" xfId="538" xr:uid="{00000000-0005-0000-0000-000091010000}"/>
    <cellStyle name="40% - Accent3 20" xfId="539" xr:uid="{00000000-0005-0000-0000-000092010000}"/>
    <cellStyle name="40% - Accent3 21" xfId="540" xr:uid="{00000000-0005-0000-0000-000093010000}"/>
    <cellStyle name="40% - Accent3 22" xfId="541" xr:uid="{00000000-0005-0000-0000-000094010000}"/>
    <cellStyle name="40% - Accent3 3" xfId="542" xr:uid="{00000000-0005-0000-0000-000095010000}"/>
    <cellStyle name="40% - Accent3 3 2" xfId="543" xr:uid="{00000000-0005-0000-0000-000096010000}"/>
    <cellStyle name="40% - Accent3 3 3" xfId="544" xr:uid="{00000000-0005-0000-0000-000097010000}"/>
    <cellStyle name="40% - Accent3 3 4" xfId="3765" xr:uid="{00000000-0005-0000-0000-000098010000}"/>
    <cellStyle name="40% - Accent3 4" xfId="545" xr:uid="{00000000-0005-0000-0000-000099010000}"/>
    <cellStyle name="40% - Accent3 4 2" xfId="546" xr:uid="{00000000-0005-0000-0000-00009A010000}"/>
    <cellStyle name="40% - Accent3 4 3" xfId="547" xr:uid="{00000000-0005-0000-0000-00009B010000}"/>
    <cellStyle name="40% - Accent3 5" xfId="548" xr:uid="{00000000-0005-0000-0000-00009C010000}"/>
    <cellStyle name="40% - Accent3 5 2" xfId="549" xr:uid="{00000000-0005-0000-0000-00009D010000}"/>
    <cellStyle name="40% - Accent3 5 3" xfId="550" xr:uid="{00000000-0005-0000-0000-00009E010000}"/>
    <cellStyle name="40% - Accent3 6" xfId="551" xr:uid="{00000000-0005-0000-0000-00009F010000}"/>
    <cellStyle name="40% - Accent3 6 2" xfId="552" xr:uid="{00000000-0005-0000-0000-0000A0010000}"/>
    <cellStyle name="40% - Accent3 6 3" xfId="553" xr:uid="{00000000-0005-0000-0000-0000A1010000}"/>
    <cellStyle name="40% - Accent3 7 2" xfId="554" xr:uid="{00000000-0005-0000-0000-0000A2010000}"/>
    <cellStyle name="40% - Accent3 7 3" xfId="555" xr:uid="{00000000-0005-0000-0000-0000A3010000}"/>
    <cellStyle name="40% - Accent3 8 2" xfId="556" xr:uid="{00000000-0005-0000-0000-0000A4010000}"/>
    <cellStyle name="40% - Accent3 8 3" xfId="557" xr:uid="{00000000-0005-0000-0000-0000A5010000}"/>
    <cellStyle name="40% - Accent3 9 2" xfId="558" xr:uid="{00000000-0005-0000-0000-0000A6010000}"/>
    <cellStyle name="40% - Accent3 9 3" xfId="559" xr:uid="{00000000-0005-0000-0000-0000A7010000}"/>
    <cellStyle name="40% - Accent4 10 2" xfId="560" xr:uid="{00000000-0005-0000-0000-0000A8010000}"/>
    <cellStyle name="40% - Accent4 10 3" xfId="561" xr:uid="{00000000-0005-0000-0000-0000A9010000}"/>
    <cellStyle name="40% - Accent4 11 2" xfId="562" xr:uid="{00000000-0005-0000-0000-0000AA010000}"/>
    <cellStyle name="40% - Accent4 11 3" xfId="563" xr:uid="{00000000-0005-0000-0000-0000AB010000}"/>
    <cellStyle name="40% - Accent4 12 2" xfId="564" xr:uid="{00000000-0005-0000-0000-0000AC010000}"/>
    <cellStyle name="40% - Accent4 12 3" xfId="565" xr:uid="{00000000-0005-0000-0000-0000AD010000}"/>
    <cellStyle name="40% - Accent4 13 2" xfId="566" xr:uid="{00000000-0005-0000-0000-0000AE010000}"/>
    <cellStyle name="40% - Accent4 13 3" xfId="567" xr:uid="{00000000-0005-0000-0000-0000AF010000}"/>
    <cellStyle name="40% - Accent4 14 2" xfId="568" xr:uid="{00000000-0005-0000-0000-0000B0010000}"/>
    <cellStyle name="40% - Accent4 14 3" xfId="569" xr:uid="{00000000-0005-0000-0000-0000B1010000}"/>
    <cellStyle name="40% - Accent4 15" xfId="570" xr:uid="{00000000-0005-0000-0000-0000B2010000}"/>
    <cellStyle name="40% - Accent4 15 2" xfId="571" xr:uid="{00000000-0005-0000-0000-0000B3010000}"/>
    <cellStyle name="40% - Accent4 15 3" xfId="572" xr:uid="{00000000-0005-0000-0000-0000B4010000}"/>
    <cellStyle name="40% - Accent4 15 4" xfId="573" xr:uid="{00000000-0005-0000-0000-0000B5010000}"/>
    <cellStyle name="40% - Accent4 15 5" xfId="574" xr:uid="{00000000-0005-0000-0000-0000B6010000}"/>
    <cellStyle name="40% - Accent4 15 6" xfId="575" xr:uid="{00000000-0005-0000-0000-0000B7010000}"/>
    <cellStyle name="40% - Accent4 15 7" xfId="576" xr:uid="{00000000-0005-0000-0000-0000B8010000}"/>
    <cellStyle name="40% - Accent4 16" xfId="577" xr:uid="{00000000-0005-0000-0000-0000B9010000}"/>
    <cellStyle name="40% - Accent4 17" xfId="578" xr:uid="{00000000-0005-0000-0000-0000BA010000}"/>
    <cellStyle name="40% - Accent4 18" xfId="579" xr:uid="{00000000-0005-0000-0000-0000BB010000}"/>
    <cellStyle name="40% - Accent4 19" xfId="580" xr:uid="{00000000-0005-0000-0000-0000BC010000}"/>
    <cellStyle name="40% - Accent4 2" xfId="581" xr:uid="{00000000-0005-0000-0000-0000BD010000}"/>
    <cellStyle name="40% - Accent4 2 2" xfId="582" xr:uid="{00000000-0005-0000-0000-0000BE010000}"/>
    <cellStyle name="40% - Accent4 2 2 2" xfId="583" xr:uid="{00000000-0005-0000-0000-0000BF010000}"/>
    <cellStyle name="40% - Accent4 2 3" xfId="584" xr:uid="{00000000-0005-0000-0000-0000C0010000}"/>
    <cellStyle name="40% - Accent4 20" xfId="585" xr:uid="{00000000-0005-0000-0000-0000C1010000}"/>
    <cellStyle name="40% - Accent4 21" xfId="586" xr:uid="{00000000-0005-0000-0000-0000C2010000}"/>
    <cellStyle name="40% - Accent4 22" xfId="587" xr:uid="{00000000-0005-0000-0000-0000C3010000}"/>
    <cellStyle name="40% - Accent4 3" xfId="588" xr:uid="{00000000-0005-0000-0000-0000C4010000}"/>
    <cellStyle name="40% - Accent4 3 2" xfId="589" xr:uid="{00000000-0005-0000-0000-0000C5010000}"/>
    <cellStyle name="40% - Accent4 3 3" xfId="590" xr:uid="{00000000-0005-0000-0000-0000C6010000}"/>
    <cellStyle name="40% - Accent4 3 4" xfId="3766" xr:uid="{00000000-0005-0000-0000-0000C7010000}"/>
    <cellStyle name="40% - Accent4 4" xfId="591" xr:uid="{00000000-0005-0000-0000-0000C8010000}"/>
    <cellStyle name="40% - Accent4 4 2" xfId="592" xr:uid="{00000000-0005-0000-0000-0000C9010000}"/>
    <cellStyle name="40% - Accent4 4 3" xfId="593" xr:uid="{00000000-0005-0000-0000-0000CA010000}"/>
    <cellStyle name="40% - Accent4 5" xfId="594" xr:uid="{00000000-0005-0000-0000-0000CB010000}"/>
    <cellStyle name="40% - Accent4 5 2" xfId="595" xr:uid="{00000000-0005-0000-0000-0000CC010000}"/>
    <cellStyle name="40% - Accent4 5 3" xfId="596" xr:uid="{00000000-0005-0000-0000-0000CD010000}"/>
    <cellStyle name="40% - Accent4 6" xfId="597" xr:uid="{00000000-0005-0000-0000-0000CE010000}"/>
    <cellStyle name="40% - Accent4 6 2" xfId="598" xr:uid="{00000000-0005-0000-0000-0000CF010000}"/>
    <cellStyle name="40% - Accent4 6 3" xfId="599" xr:uid="{00000000-0005-0000-0000-0000D0010000}"/>
    <cellStyle name="40% - Accent4 7 2" xfId="600" xr:uid="{00000000-0005-0000-0000-0000D1010000}"/>
    <cellStyle name="40% - Accent4 7 3" xfId="601" xr:uid="{00000000-0005-0000-0000-0000D2010000}"/>
    <cellStyle name="40% - Accent4 8 2" xfId="602" xr:uid="{00000000-0005-0000-0000-0000D3010000}"/>
    <cellStyle name="40% - Accent4 8 3" xfId="603" xr:uid="{00000000-0005-0000-0000-0000D4010000}"/>
    <cellStyle name="40% - Accent4 9 2" xfId="604" xr:uid="{00000000-0005-0000-0000-0000D5010000}"/>
    <cellStyle name="40% - Accent4 9 3" xfId="605" xr:uid="{00000000-0005-0000-0000-0000D6010000}"/>
    <cellStyle name="40% - Accent5 10 2" xfId="606" xr:uid="{00000000-0005-0000-0000-0000D7010000}"/>
    <cellStyle name="40% - Accent5 10 3" xfId="607" xr:uid="{00000000-0005-0000-0000-0000D8010000}"/>
    <cellStyle name="40% - Accent5 11 2" xfId="608" xr:uid="{00000000-0005-0000-0000-0000D9010000}"/>
    <cellStyle name="40% - Accent5 11 3" xfId="609" xr:uid="{00000000-0005-0000-0000-0000DA010000}"/>
    <cellStyle name="40% - Accent5 12 2" xfId="610" xr:uid="{00000000-0005-0000-0000-0000DB010000}"/>
    <cellStyle name="40% - Accent5 12 3" xfId="611" xr:uid="{00000000-0005-0000-0000-0000DC010000}"/>
    <cellStyle name="40% - Accent5 13 2" xfId="612" xr:uid="{00000000-0005-0000-0000-0000DD010000}"/>
    <cellStyle name="40% - Accent5 13 3" xfId="613" xr:uid="{00000000-0005-0000-0000-0000DE010000}"/>
    <cellStyle name="40% - Accent5 14 2" xfId="614" xr:uid="{00000000-0005-0000-0000-0000DF010000}"/>
    <cellStyle name="40% - Accent5 14 3" xfId="615" xr:uid="{00000000-0005-0000-0000-0000E0010000}"/>
    <cellStyle name="40% - Accent5 15" xfId="616" xr:uid="{00000000-0005-0000-0000-0000E1010000}"/>
    <cellStyle name="40% - Accent5 15 2" xfId="617" xr:uid="{00000000-0005-0000-0000-0000E2010000}"/>
    <cellStyle name="40% - Accent5 15 3" xfId="618" xr:uid="{00000000-0005-0000-0000-0000E3010000}"/>
    <cellStyle name="40% - Accent5 15 4" xfId="619" xr:uid="{00000000-0005-0000-0000-0000E4010000}"/>
    <cellStyle name="40% - Accent5 15 5" xfId="620" xr:uid="{00000000-0005-0000-0000-0000E5010000}"/>
    <cellStyle name="40% - Accent5 15 6" xfId="621" xr:uid="{00000000-0005-0000-0000-0000E6010000}"/>
    <cellStyle name="40% - Accent5 15 7" xfId="622" xr:uid="{00000000-0005-0000-0000-0000E7010000}"/>
    <cellStyle name="40% - Accent5 16" xfId="623" xr:uid="{00000000-0005-0000-0000-0000E8010000}"/>
    <cellStyle name="40% - Accent5 17" xfId="624" xr:uid="{00000000-0005-0000-0000-0000E9010000}"/>
    <cellStyle name="40% - Accent5 18" xfId="625" xr:uid="{00000000-0005-0000-0000-0000EA010000}"/>
    <cellStyle name="40% - Accent5 19" xfId="626" xr:uid="{00000000-0005-0000-0000-0000EB010000}"/>
    <cellStyle name="40% - Accent5 2" xfId="627" xr:uid="{00000000-0005-0000-0000-0000EC010000}"/>
    <cellStyle name="40% - Accent5 2 2" xfId="628" xr:uid="{00000000-0005-0000-0000-0000ED010000}"/>
    <cellStyle name="40% - Accent5 2 2 2" xfId="629" xr:uid="{00000000-0005-0000-0000-0000EE010000}"/>
    <cellStyle name="40% - Accent5 2 3" xfId="630" xr:uid="{00000000-0005-0000-0000-0000EF010000}"/>
    <cellStyle name="40% - Accent5 20" xfId="631" xr:uid="{00000000-0005-0000-0000-0000F0010000}"/>
    <cellStyle name="40% - Accent5 21" xfId="632" xr:uid="{00000000-0005-0000-0000-0000F1010000}"/>
    <cellStyle name="40% - Accent5 22" xfId="633" xr:uid="{00000000-0005-0000-0000-0000F2010000}"/>
    <cellStyle name="40% - Accent5 3" xfId="634" xr:uid="{00000000-0005-0000-0000-0000F3010000}"/>
    <cellStyle name="40% - Accent5 3 2" xfId="635" xr:uid="{00000000-0005-0000-0000-0000F4010000}"/>
    <cellStyle name="40% - Accent5 3 3" xfId="636" xr:uid="{00000000-0005-0000-0000-0000F5010000}"/>
    <cellStyle name="40% - Accent5 3 4" xfId="3767" xr:uid="{00000000-0005-0000-0000-0000F6010000}"/>
    <cellStyle name="40% - Accent5 4" xfId="637" xr:uid="{00000000-0005-0000-0000-0000F7010000}"/>
    <cellStyle name="40% - Accent5 4 2" xfId="638" xr:uid="{00000000-0005-0000-0000-0000F8010000}"/>
    <cellStyle name="40% - Accent5 4 3" xfId="639" xr:uid="{00000000-0005-0000-0000-0000F9010000}"/>
    <cellStyle name="40% - Accent5 5" xfId="640" xr:uid="{00000000-0005-0000-0000-0000FA010000}"/>
    <cellStyle name="40% - Accent5 5 2" xfId="641" xr:uid="{00000000-0005-0000-0000-0000FB010000}"/>
    <cellStyle name="40% - Accent5 5 3" xfId="642" xr:uid="{00000000-0005-0000-0000-0000FC010000}"/>
    <cellStyle name="40% - Accent5 6" xfId="643" xr:uid="{00000000-0005-0000-0000-0000FD010000}"/>
    <cellStyle name="40% - Accent5 6 2" xfId="644" xr:uid="{00000000-0005-0000-0000-0000FE010000}"/>
    <cellStyle name="40% - Accent5 6 3" xfId="645" xr:uid="{00000000-0005-0000-0000-0000FF010000}"/>
    <cellStyle name="40% - Accent5 7 2" xfId="646" xr:uid="{00000000-0005-0000-0000-000000020000}"/>
    <cellStyle name="40% - Accent5 7 3" xfId="647" xr:uid="{00000000-0005-0000-0000-000001020000}"/>
    <cellStyle name="40% - Accent5 8 2" xfId="648" xr:uid="{00000000-0005-0000-0000-000002020000}"/>
    <cellStyle name="40% - Accent5 8 3" xfId="649" xr:uid="{00000000-0005-0000-0000-000003020000}"/>
    <cellStyle name="40% - Accent5 9 2" xfId="650" xr:uid="{00000000-0005-0000-0000-000004020000}"/>
    <cellStyle name="40% - Accent5 9 3" xfId="651" xr:uid="{00000000-0005-0000-0000-000005020000}"/>
    <cellStyle name="40% - Accent6 10 2" xfId="652" xr:uid="{00000000-0005-0000-0000-000006020000}"/>
    <cellStyle name="40% - Accent6 10 3" xfId="653" xr:uid="{00000000-0005-0000-0000-000007020000}"/>
    <cellStyle name="40% - Accent6 11 2" xfId="654" xr:uid="{00000000-0005-0000-0000-000008020000}"/>
    <cellStyle name="40% - Accent6 11 3" xfId="655" xr:uid="{00000000-0005-0000-0000-000009020000}"/>
    <cellStyle name="40% - Accent6 12 2" xfId="656" xr:uid="{00000000-0005-0000-0000-00000A020000}"/>
    <cellStyle name="40% - Accent6 12 3" xfId="657" xr:uid="{00000000-0005-0000-0000-00000B020000}"/>
    <cellStyle name="40% - Accent6 13 2" xfId="658" xr:uid="{00000000-0005-0000-0000-00000C020000}"/>
    <cellStyle name="40% - Accent6 13 3" xfId="659" xr:uid="{00000000-0005-0000-0000-00000D020000}"/>
    <cellStyle name="40% - Accent6 14 2" xfId="660" xr:uid="{00000000-0005-0000-0000-00000E020000}"/>
    <cellStyle name="40% - Accent6 14 3" xfId="661" xr:uid="{00000000-0005-0000-0000-00000F020000}"/>
    <cellStyle name="40% - Accent6 15" xfId="662" xr:uid="{00000000-0005-0000-0000-000010020000}"/>
    <cellStyle name="40% - Accent6 15 2" xfId="663" xr:uid="{00000000-0005-0000-0000-000011020000}"/>
    <cellStyle name="40% - Accent6 15 3" xfId="664" xr:uid="{00000000-0005-0000-0000-000012020000}"/>
    <cellStyle name="40% - Accent6 15 4" xfId="665" xr:uid="{00000000-0005-0000-0000-000013020000}"/>
    <cellStyle name="40% - Accent6 15 5" xfId="666" xr:uid="{00000000-0005-0000-0000-000014020000}"/>
    <cellStyle name="40% - Accent6 15 6" xfId="667" xr:uid="{00000000-0005-0000-0000-000015020000}"/>
    <cellStyle name="40% - Accent6 15 7" xfId="668" xr:uid="{00000000-0005-0000-0000-000016020000}"/>
    <cellStyle name="40% - Accent6 16" xfId="669" xr:uid="{00000000-0005-0000-0000-000017020000}"/>
    <cellStyle name="40% - Accent6 17" xfId="670" xr:uid="{00000000-0005-0000-0000-000018020000}"/>
    <cellStyle name="40% - Accent6 18" xfId="671" xr:uid="{00000000-0005-0000-0000-000019020000}"/>
    <cellStyle name="40% - Accent6 19" xfId="672" xr:uid="{00000000-0005-0000-0000-00001A020000}"/>
    <cellStyle name="40% - Accent6 2" xfId="673" xr:uid="{00000000-0005-0000-0000-00001B020000}"/>
    <cellStyle name="40% - Accent6 2 2" xfId="674" xr:uid="{00000000-0005-0000-0000-00001C020000}"/>
    <cellStyle name="40% - Accent6 2 2 2" xfId="675" xr:uid="{00000000-0005-0000-0000-00001D020000}"/>
    <cellStyle name="40% - Accent6 2 3" xfId="676" xr:uid="{00000000-0005-0000-0000-00001E020000}"/>
    <cellStyle name="40% - Accent6 20" xfId="677" xr:uid="{00000000-0005-0000-0000-00001F020000}"/>
    <cellStyle name="40% - Accent6 21" xfId="678" xr:uid="{00000000-0005-0000-0000-000020020000}"/>
    <cellStyle name="40% - Accent6 22" xfId="679" xr:uid="{00000000-0005-0000-0000-000021020000}"/>
    <cellStyle name="40% - Accent6 3" xfId="680" xr:uid="{00000000-0005-0000-0000-000022020000}"/>
    <cellStyle name="40% - Accent6 3 2" xfId="681" xr:uid="{00000000-0005-0000-0000-000023020000}"/>
    <cellStyle name="40% - Accent6 3 3" xfId="682" xr:uid="{00000000-0005-0000-0000-000024020000}"/>
    <cellStyle name="40% - Accent6 3 4" xfId="3768" xr:uid="{00000000-0005-0000-0000-000025020000}"/>
    <cellStyle name="40% - Accent6 4" xfId="683" xr:uid="{00000000-0005-0000-0000-000026020000}"/>
    <cellStyle name="40% - Accent6 4 2" xfId="684" xr:uid="{00000000-0005-0000-0000-000027020000}"/>
    <cellStyle name="40% - Accent6 4 3" xfId="685" xr:uid="{00000000-0005-0000-0000-000028020000}"/>
    <cellStyle name="40% - Accent6 5" xfId="686" xr:uid="{00000000-0005-0000-0000-000029020000}"/>
    <cellStyle name="40% - Accent6 5 2" xfId="687" xr:uid="{00000000-0005-0000-0000-00002A020000}"/>
    <cellStyle name="40% - Accent6 5 3" xfId="688" xr:uid="{00000000-0005-0000-0000-00002B020000}"/>
    <cellStyle name="40% - Accent6 6" xfId="689" xr:uid="{00000000-0005-0000-0000-00002C020000}"/>
    <cellStyle name="40% - Accent6 6 2" xfId="690" xr:uid="{00000000-0005-0000-0000-00002D020000}"/>
    <cellStyle name="40% - Accent6 6 3" xfId="691" xr:uid="{00000000-0005-0000-0000-00002E020000}"/>
    <cellStyle name="40% - Accent6 7 2" xfId="692" xr:uid="{00000000-0005-0000-0000-00002F020000}"/>
    <cellStyle name="40% - Accent6 7 3" xfId="693" xr:uid="{00000000-0005-0000-0000-000030020000}"/>
    <cellStyle name="40% - Accent6 8 2" xfId="694" xr:uid="{00000000-0005-0000-0000-000031020000}"/>
    <cellStyle name="40% - Accent6 8 3" xfId="695" xr:uid="{00000000-0005-0000-0000-000032020000}"/>
    <cellStyle name="40% - Accent6 9 2" xfId="696" xr:uid="{00000000-0005-0000-0000-000033020000}"/>
    <cellStyle name="40% - Accent6 9 3" xfId="697" xr:uid="{00000000-0005-0000-0000-000034020000}"/>
    <cellStyle name="60% - Accent1 10 2" xfId="698" xr:uid="{00000000-0005-0000-0000-000035020000}"/>
    <cellStyle name="60% - Accent1 10 3" xfId="699" xr:uid="{00000000-0005-0000-0000-000036020000}"/>
    <cellStyle name="60% - Accent1 11 2" xfId="700" xr:uid="{00000000-0005-0000-0000-000037020000}"/>
    <cellStyle name="60% - Accent1 11 3" xfId="701" xr:uid="{00000000-0005-0000-0000-000038020000}"/>
    <cellStyle name="60% - Accent1 12 2" xfId="702" xr:uid="{00000000-0005-0000-0000-000039020000}"/>
    <cellStyle name="60% - Accent1 12 3" xfId="703" xr:uid="{00000000-0005-0000-0000-00003A020000}"/>
    <cellStyle name="60% - Accent1 13 2" xfId="704" xr:uid="{00000000-0005-0000-0000-00003B020000}"/>
    <cellStyle name="60% - Accent1 13 3" xfId="705" xr:uid="{00000000-0005-0000-0000-00003C020000}"/>
    <cellStyle name="60% - Accent1 14 2" xfId="706" xr:uid="{00000000-0005-0000-0000-00003D020000}"/>
    <cellStyle name="60% - Accent1 14 3" xfId="707" xr:uid="{00000000-0005-0000-0000-00003E020000}"/>
    <cellStyle name="60% - Accent1 15" xfId="708" xr:uid="{00000000-0005-0000-0000-00003F020000}"/>
    <cellStyle name="60% - Accent1 15 2" xfId="709" xr:uid="{00000000-0005-0000-0000-000040020000}"/>
    <cellStyle name="60% - Accent1 15 3" xfId="710" xr:uid="{00000000-0005-0000-0000-000041020000}"/>
    <cellStyle name="60% - Accent1 15 4" xfId="711" xr:uid="{00000000-0005-0000-0000-000042020000}"/>
    <cellStyle name="60% - Accent1 15 5" xfId="712" xr:uid="{00000000-0005-0000-0000-000043020000}"/>
    <cellStyle name="60% - Accent1 15 6" xfId="713" xr:uid="{00000000-0005-0000-0000-000044020000}"/>
    <cellStyle name="60% - Accent1 15 7" xfId="714" xr:uid="{00000000-0005-0000-0000-000045020000}"/>
    <cellStyle name="60% - Accent1 16" xfId="715" xr:uid="{00000000-0005-0000-0000-000046020000}"/>
    <cellStyle name="60% - Accent1 17" xfId="716" xr:uid="{00000000-0005-0000-0000-000047020000}"/>
    <cellStyle name="60% - Accent1 18" xfId="717" xr:uid="{00000000-0005-0000-0000-000048020000}"/>
    <cellStyle name="60% - Accent1 19" xfId="718" xr:uid="{00000000-0005-0000-0000-000049020000}"/>
    <cellStyle name="60% - Accent1 2" xfId="719" xr:uid="{00000000-0005-0000-0000-00004A020000}"/>
    <cellStyle name="60% - Accent1 2 2" xfId="720" xr:uid="{00000000-0005-0000-0000-00004B020000}"/>
    <cellStyle name="60% - Accent1 2 3" xfId="721" xr:uid="{00000000-0005-0000-0000-00004C020000}"/>
    <cellStyle name="60% - Accent1 2 4" xfId="3769" xr:uid="{00000000-0005-0000-0000-00004D020000}"/>
    <cellStyle name="60% - Accent1 20" xfId="722" xr:uid="{00000000-0005-0000-0000-00004E020000}"/>
    <cellStyle name="60% - Accent1 21" xfId="723" xr:uid="{00000000-0005-0000-0000-00004F020000}"/>
    <cellStyle name="60% - Accent1 22" xfId="724" xr:uid="{00000000-0005-0000-0000-000050020000}"/>
    <cellStyle name="60% - Accent1 3" xfId="725" xr:uid="{00000000-0005-0000-0000-000051020000}"/>
    <cellStyle name="60% - Accent1 3 2" xfId="726" xr:uid="{00000000-0005-0000-0000-000052020000}"/>
    <cellStyle name="60% - Accent1 3 3" xfId="727" xr:uid="{00000000-0005-0000-0000-000053020000}"/>
    <cellStyle name="60% - Accent1 3 4" xfId="3770" xr:uid="{00000000-0005-0000-0000-000054020000}"/>
    <cellStyle name="60% - Accent1 4" xfId="728" xr:uid="{00000000-0005-0000-0000-000055020000}"/>
    <cellStyle name="60% - Accent1 4 2" xfId="729" xr:uid="{00000000-0005-0000-0000-000056020000}"/>
    <cellStyle name="60% - Accent1 4 3" xfId="730" xr:uid="{00000000-0005-0000-0000-000057020000}"/>
    <cellStyle name="60% - Accent1 5 2" xfId="731" xr:uid="{00000000-0005-0000-0000-000058020000}"/>
    <cellStyle name="60% - Accent1 5 3" xfId="732" xr:uid="{00000000-0005-0000-0000-000059020000}"/>
    <cellStyle name="60% - Accent1 6 2" xfId="733" xr:uid="{00000000-0005-0000-0000-00005A020000}"/>
    <cellStyle name="60% - Accent1 6 3" xfId="734" xr:uid="{00000000-0005-0000-0000-00005B020000}"/>
    <cellStyle name="60% - Accent1 7 2" xfId="735" xr:uid="{00000000-0005-0000-0000-00005C020000}"/>
    <cellStyle name="60% - Accent1 7 3" xfId="736" xr:uid="{00000000-0005-0000-0000-00005D020000}"/>
    <cellStyle name="60% - Accent1 8 2" xfId="737" xr:uid="{00000000-0005-0000-0000-00005E020000}"/>
    <cellStyle name="60% - Accent1 8 3" xfId="738" xr:uid="{00000000-0005-0000-0000-00005F020000}"/>
    <cellStyle name="60% - Accent1 9 2" xfId="739" xr:uid="{00000000-0005-0000-0000-000060020000}"/>
    <cellStyle name="60% - Accent1 9 3" xfId="740" xr:uid="{00000000-0005-0000-0000-000061020000}"/>
    <cellStyle name="60% - Accent2 10 2" xfId="741" xr:uid="{00000000-0005-0000-0000-000062020000}"/>
    <cellStyle name="60% - Accent2 10 3" xfId="742" xr:uid="{00000000-0005-0000-0000-000063020000}"/>
    <cellStyle name="60% - Accent2 11 2" xfId="743" xr:uid="{00000000-0005-0000-0000-000064020000}"/>
    <cellStyle name="60% - Accent2 11 3" xfId="744" xr:uid="{00000000-0005-0000-0000-000065020000}"/>
    <cellStyle name="60% - Accent2 12 2" xfId="745" xr:uid="{00000000-0005-0000-0000-000066020000}"/>
    <cellStyle name="60% - Accent2 12 3" xfId="746" xr:uid="{00000000-0005-0000-0000-000067020000}"/>
    <cellStyle name="60% - Accent2 13 2" xfId="747" xr:uid="{00000000-0005-0000-0000-000068020000}"/>
    <cellStyle name="60% - Accent2 13 3" xfId="748" xr:uid="{00000000-0005-0000-0000-000069020000}"/>
    <cellStyle name="60% - Accent2 14 2" xfId="749" xr:uid="{00000000-0005-0000-0000-00006A020000}"/>
    <cellStyle name="60% - Accent2 14 3" xfId="750" xr:uid="{00000000-0005-0000-0000-00006B020000}"/>
    <cellStyle name="60% - Accent2 15" xfId="751" xr:uid="{00000000-0005-0000-0000-00006C020000}"/>
    <cellStyle name="60% - Accent2 15 2" xfId="752" xr:uid="{00000000-0005-0000-0000-00006D020000}"/>
    <cellStyle name="60% - Accent2 15 3" xfId="753" xr:uid="{00000000-0005-0000-0000-00006E020000}"/>
    <cellStyle name="60% - Accent2 15 4" xfId="754" xr:uid="{00000000-0005-0000-0000-00006F020000}"/>
    <cellStyle name="60% - Accent2 15 5" xfId="755" xr:uid="{00000000-0005-0000-0000-000070020000}"/>
    <cellStyle name="60% - Accent2 15 6" xfId="756" xr:uid="{00000000-0005-0000-0000-000071020000}"/>
    <cellStyle name="60% - Accent2 15 7" xfId="757" xr:uid="{00000000-0005-0000-0000-000072020000}"/>
    <cellStyle name="60% - Accent2 16" xfId="758" xr:uid="{00000000-0005-0000-0000-000073020000}"/>
    <cellStyle name="60% - Accent2 17" xfId="759" xr:uid="{00000000-0005-0000-0000-000074020000}"/>
    <cellStyle name="60% - Accent2 18" xfId="760" xr:uid="{00000000-0005-0000-0000-000075020000}"/>
    <cellStyle name="60% - Accent2 19" xfId="761" xr:uid="{00000000-0005-0000-0000-000076020000}"/>
    <cellStyle name="60% - Accent2 2" xfId="762" xr:uid="{00000000-0005-0000-0000-000077020000}"/>
    <cellStyle name="60% - Accent2 2 2" xfId="763" xr:uid="{00000000-0005-0000-0000-000078020000}"/>
    <cellStyle name="60% - Accent2 2 3" xfId="764" xr:uid="{00000000-0005-0000-0000-000079020000}"/>
    <cellStyle name="60% - Accent2 2 4" xfId="3771" xr:uid="{00000000-0005-0000-0000-00007A020000}"/>
    <cellStyle name="60% - Accent2 20" xfId="765" xr:uid="{00000000-0005-0000-0000-00007B020000}"/>
    <cellStyle name="60% - Accent2 21" xfId="766" xr:uid="{00000000-0005-0000-0000-00007C020000}"/>
    <cellStyle name="60% - Accent2 22" xfId="767" xr:uid="{00000000-0005-0000-0000-00007D020000}"/>
    <cellStyle name="60% - Accent2 3" xfId="768" xr:uid="{00000000-0005-0000-0000-00007E020000}"/>
    <cellStyle name="60% - Accent2 3 2" xfId="769" xr:uid="{00000000-0005-0000-0000-00007F020000}"/>
    <cellStyle name="60% - Accent2 3 3" xfId="770" xr:uid="{00000000-0005-0000-0000-000080020000}"/>
    <cellStyle name="60% - Accent2 3 4" xfId="3772" xr:uid="{00000000-0005-0000-0000-000081020000}"/>
    <cellStyle name="60% - Accent2 4" xfId="771" xr:uid="{00000000-0005-0000-0000-000082020000}"/>
    <cellStyle name="60% - Accent2 4 2" xfId="772" xr:uid="{00000000-0005-0000-0000-000083020000}"/>
    <cellStyle name="60% - Accent2 4 3" xfId="773" xr:uid="{00000000-0005-0000-0000-000084020000}"/>
    <cellStyle name="60% - Accent2 5 2" xfId="774" xr:uid="{00000000-0005-0000-0000-000085020000}"/>
    <cellStyle name="60% - Accent2 5 3" xfId="775" xr:uid="{00000000-0005-0000-0000-000086020000}"/>
    <cellStyle name="60% - Accent2 6 2" xfId="776" xr:uid="{00000000-0005-0000-0000-000087020000}"/>
    <cellStyle name="60% - Accent2 6 3" xfId="777" xr:uid="{00000000-0005-0000-0000-000088020000}"/>
    <cellStyle name="60% - Accent2 7 2" xfId="778" xr:uid="{00000000-0005-0000-0000-000089020000}"/>
    <cellStyle name="60% - Accent2 7 3" xfId="779" xr:uid="{00000000-0005-0000-0000-00008A020000}"/>
    <cellStyle name="60% - Accent2 8 2" xfId="780" xr:uid="{00000000-0005-0000-0000-00008B020000}"/>
    <cellStyle name="60% - Accent2 8 3" xfId="781" xr:uid="{00000000-0005-0000-0000-00008C020000}"/>
    <cellStyle name="60% - Accent2 9 2" xfId="782" xr:uid="{00000000-0005-0000-0000-00008D020000}"/>
    <cellStyle name="60% - Accent2 9 3" xfId="783" xr:uid="{00000000-0005-0000-0000-00008E020000}"/>
    <cellStyle name="60% - Accent3 10 2" xfId="784" xr:uid="{00000000-0005-0000-0000-00008F020000}"/>
    <cellStyle name="60% - Accent3 10 3" xfId="785" xr:uid="{00000000-0005-0000-0000-000090020000}"/>
    <cellStyle name="60% - Accent3 11 2" xfId="786" xr:uid="{00000000-0005-0000-0000-000091020000}"/>
    <cellStyle name="60% - Accent3 11 3" xfId="787" xr:uid="{00000000-0005-0000-0000-000092020000}"/>
    <cellStyle name="60% - Accent3 12 2" xfId="788" xr:uid="{00000000-0005-0000-0000-000093020000}"/>
    <cellStyle name="60% - Accent3 12 3" xfId="789" xr:uid="{00000000-0005-0000-0000-000094020000}"/>
    <cellStyle name="60% - Accent3 13 2" xfId="790" xr:uid="{00000000-0005-0000-0000-000095020000}"/>
    <cellStyle name="60% - Accent3 13 3" xfId="791" xr:uid="{00000000-0005-0000-0000-000096020000}"/>
    <cellStyle name="60% - Accent3 14 2" xfId="792" xr:uid="{00000000-0005-0000-0000-000097020000}"/>
    <cellStyle name="60% - Accent3 14 3" xfId="793" xr:uid="{00000000-0005-0000-0000-000098020000}"/>
    <cellStyle name="60% - Accent3 15" xfId="794" xr:uid="{00000000-0005-0000-0000-000099020000}"/>
    <cellStyle name="60% - Accent3 15 2" xfId="795" xr:uid="{00000000-0005-0000-0000-00009A020000}"/>
    <cellStyle name="60% - Accent3 15 3" xfId="796" xr:uid="{00000000-0005-0000-0000-00009B020000}"/>
    <cellStyle name="60% - Accent3 15 4" xfId="797" xr:uid="{00000000-0005-0000-0000-00009C020000}"/>
    <cellStyle name="60% - Accent3 15 5" xfId="798" xr:uid="{00000000-0005-0000-0000-00009D020000}"/>
    <cellStyle name="60% - Accent3 15 6" xfId="799" xr:uid="{00000000-0005-0000-0000-00009E020000}"/>
    <cellStyle name="60% - Accent3 15 7" xfId="800" xr:uid="{00000000-0005-0000-0000-00009F020000}"/>
    <cellStyle name="60% - Accent3 16" xfId="801" xr:uid="{00000000-0005-0000-0000-0000A0020000}"/>
    <cellStyle name="60% - Accent3 17" xfId="802" xr:uid="{00000000-0005-0000-0000-0000A1020000}"/>
    <cellStyle name="60% - Accent3 18" xfId="803" xr:uid="{00000000-0005-0000-0000-0000A2020000}"/>
    <cellStyle name="60% - Accent3 19" xfId="804" xr:uid="{00000000-0005-0000-0000-0000A3020000}"/>
    <cellStyle name="60% - Accent3 2" xfId="805" xr:uid="{00000000-0005-0000-0000-0000A4020000}"/>
    <cellStyle name="60% - Accent3 2 2" xfId="806" xr:uid="{00000000-0005-0000-0000-0000A5020000}"/>
    <cellStyle name="60% - Accent3 2 3" xfId="807" xr:uid="{00000000-0005-0000-0000-0000A6020000}"/>
    <cellStyle name="60% - Accent3 2 4" xfId="3773" xr:uid="{00000000-0005-0000-0000-0000A7020000}"/>
    <cellStyle name="60% - Accent3 20" xfId="808" xr:uid="{00000000-0005-0000-0000-0000A8020000}"/>
    <cellStyle name="60% - Accent3 21" xfId="809" xr:uid="{00000000-0005-0000-0000-0000A9020000}"/>
    <cellStyle name="60% - Accent3 22" xfId="810" xr:uid="{00000000-0005-0000-0000-0000AA020000}"/>
    <cellStyle name="60% - Accent3 3" xfId="811" xr:uid="{00000000-0005-0000-0000-0000AB020000}"/>
    <cellStyle name="60% - Accent3 3 2" xfId="812" xr:uid="{00000000-0005-0000-0000-0000AC020000}"/>
    <cellStyle name="60% - Accent3 3 3" xfId="813" xr:uid="{00000000-0005-0000-0000-0000AD020000}"/>
    <cellStyle name="60% - Accent3 3 4" xfId="3774" xr:uid="{00000000-0005-0000-0000-0000AE020000}"/>
    <cellStyle name="60% - Accent3 4" xfId="814" xr:uid="{00000000-0005-0000-0000-0000AF020000}"/>
    <cellStyle name="60% - Accent3 4 2" xfId="815" xr:uid="{00000000-0005-0000-0000-0000B0020000}"/>
    <cellStyle name="60% - Accent3 4 3" xfId="816" xr:uid="{00000000-0005-0000-0000-0000B1020000}"/>
    <cellStyle name="60% - Accent3 5 2" xfId="817" xr:uid="{00000000-0005-0000-0000-0000B2020000}"/>
    <cellStyle name="60% - Accent3 5 3" xfId="818" xr:uid="{00000000-0005-0000-0000-0000B3020000}"/>
    <cellStyle name="60% - Accent3 6 2" xfId="819" xr:uid="{00000000-0005-0000-0000-0000B4020000}"/>
    <cellStyle name="60% - Accent3 6 3" xfId="820" xr:uid="{00000000-0005-0000-0000-0000B5020000}"/>
    <cellStyle name="60% - Accent3 7 2" xfId="821" xr:uid="{00000000-0005-0000-0000-0000B6020000}"/>
    <cellStyle name="60% - Accent3 7 3" xfId="822" xr:uid="{00000000-0005-0000-0000-0000B7020000}"/>
    <cellStyle name="60% - Accent3 8 2" xfId="823" xr:uid="{00000000-0005-0000-0000-0000B8020000}"/>
    <cellStyle name="60% - Accent3 8 3" xfId="824" xr:uid="{00000000-0005-0000-0000-0000B9020000}"/>
    <cellStyle name="60% - Accent3 9 2" xfId="825" xr:uid="{00000000-0005-0000-0000-0000BA020000}"/>
    <cellStyle name="60% - Accent3 9 3" xfId="826" xr:uid="{00000000-0005-0000-0000-0000BB020000}"/>
    <cellStyle name="60% - Accent4 10 2" xfId="827" xr:uid="{00000000-0005-0000-0000-0000BC020000}"/>
    <cellStyle name="60% - Accent4 10 3" xfId="828" xr:uid="{00000000-0005-0000-0000-0000BD020000}"/>
    <cellStyle name="60% - Accent4 11 2" xfId="829" xr:uid="{00000000-0005-0000-0000-0000BE020000}"/>
    <cellStyle name="60% - Accent4 11 3" xfId="830" xr:uid="{00000000-0005-0000-0000-0000BF020000}"/>
    <cellStyle name="60% - Accent4 12 2" xfId="831" xr:uid="{00000000-0005-0000-0000-0000C0020000}"/>
    <cellStyle name="60% - Accent4 12 3" xfId="832" xr:uid="{00000000-0005-0000-0000-0000C1020000}"/>
    <cellStyle name="60% - Accent4 13 2" xfId="833" xr:uid="{00000000-0005-0000-0000-0000C2020000}"/>
    <cellStyle name="60% - Accent4 13 3" xfId="834" xr:uid="{00000000-0005-0000-0000-0000C3020000}"/>
    <cellStyle name="60% - Accent4 14 2" xfId="835" xr:uid="{00000000-0005-0000-0000-0000C4020000}"/>
    <cellStyle name="60% - Accent4 14 3" xfId="836" xr:uid="{00000000-0005-0000-0000-0000C5020000}"/>
    <cellStyle name="60% - Accent4 15" xfId="837" xr:uid="{00000000-0005-0000-0000-0000C6020000}"/>
    <cellStyle name="60% - Accent4 15 2" xfId="838" xr:uid="{00000000-0005-0000-0000-0000C7020000}"/>
    <cellStyle name="60% - Accent4 15 3" xfId="839" xr:uid="{00000000-0005-0000-0000-0000C8020000}"/>
    <cellStyle name="60% - Accent4 15 4" xfId="840" xr:uid="{00000000-0005-0000-0000-0000C9020000}"/>
    <cellStyle name="60% - Accent4 15 5" xfId="841" xr:uid="{00000000-0005-0000-0000-0000CA020000}"/>
    <cellStyle name="60% - Accent4 15 6" xfId="842" xr:uid="{00000000-0005-0000-0000-0000CB020000}"/>
    <cellStyle name="60% - Accent4 15 7" xfId="843" xr:uid="{00000000-0005-0000-0000-0000CC020000}"/>
    <cellStyle name="60% - Accent4 16" xfId="844" xr:uid="{00000000-0005-0000-0000-0000CD020000}"/>
    <cellStyle name="60% - Accent4 17" xfId="845" xr:uid="{00000000-0005-0000-0000-0000CE020000}"/>
    <cellStyle name="60% - Accent4 18" xfId="846" xr:uid="{00000000-0005-0000-0000-0000CF020000}"/>
    <cellStyle name="60% - Accent4 19" xfId="847" xr:uid="{00000000-0005-0000-0000-0000D0020000}"/>
    <cellStyle name="60% - Accent4 2" xfId="848" xr:uid="{00000000-0005-0000-0000-0000D1020000}"/>
    <cellStyle name="60% - Accent4 2 2" xfId="849" xr:uid="{00000000-0005-0000-0000-0000D2020000}"/>
    <cellStyle name="60% - Accent4 2 3" xfId="850" xr:uid="{00000000-0005-0000-0000-0000D3020000}"/>
    <cellStyle name="60% - Accent4 2 4" xfId="3775" xr:uid="{00000000-0005-0000-0000-0000D4020000}"/>
    <cellStyle name="60% - Accent4 20" xfId="851" xr:uid="{00000000-0005-0000-0000-0000D5020000}"/>
    <cellStyle name="60% - Accent4 21" xfId="852" xr:uid="{00000000-0005-0000-0000-0000D6020000}"/>
    <cellStyle name="60% - Accent4 22" xfId="853" xr:uid="{00000000-0005-0000-0000-0000D7020000}"/>
    <cellStyle name="60% - Accent4 3" xfId="854" xr:uid="{00000000-0005-0000-0000-0000D8020000}"/>
    <cellStyle name="60% - Accent4 3 2" xfId="855" xr:uid="{00000000-0005-0000-0000-0000D9020000}"/>
    <cellStyle name="60% - Accent4 3 3" xfId="856" xr:uid="{00000000-0005-0000-0000-0000DA020000}"/>
    <cellStyle name="60% - Accent4 3 4" xfId="3776" xr:uid="{00000000-0005-0000-0000-0000DB020000}"/>
    <cellStyle name="60% - Accent4 4" xfId="857" xr:uid="{00000000-0005-0000-0000-0000DC020000}"/>
    <cellStyle name="60% - Accent4 4 2" xfId="858" xr:uid="{00000000-0005-0000-0000-0000DD020000}"/>
    <cellStyle name="60% - Accent4 4 3" xfId="859" xr:uid="{00000000-0005-0000-0000-0000DE020000}"/>
    <cellStyle name="60% - Accent4 5 2" xfId="860" xr:uid="{00000000-0005-0000-0000-0000DF020000}"/>
    <cellStyle name="60% - Accent4 5 3" xfId="861" xr:uid="{00000000-0005-0000-0000-0000E0020000}"/>
    <cellStyle name="60% - Accent4 6 2" xfId="862" xr:uid="{00000000-0005-0000-0000-0000E1020000}"/>
    <cellStyle name="60% - Accent4 6 3" xfId="863" xr:uid="{00000000-0005-0000-0000-0000E2020000}"/>
    <cellStyle name="60% - Accent4 7 2" xfId="864" xr:uid="{00000000-0005-0000-0000-0000E3020000}"/>
    <cellStyle name="60% - Accent4 7 3" xfId="865" xr:uid="{00000000-0005-0000-0000-0000E4020000}"/>
    <cellStyle name="60% - Accent4 8 2" xfId="866" xr:uid="{00000000-0005-0000-0000-0000E5020000}"/>
    <cellStyle name="60% - Accent4 8 3" xfId="867" xr:uid="{00000000-0005-0000-0000-0000E6020000}"/>
    <cellStyle name="60% - Accent4 9 2" xfId="868" xr:uid="{00000000-0005-0000-0000-0000E7020000}"/>
    <cellStyle name="60% - Accent4 9 3" xfId="869" xr:uid="{00000000-0005-0000-0000-0000E8020000}"/>
    <cellStyle name="60% - Accent5 10 2" xfId="870" xr:uid="{00000000-0005-0000-0000-0000E9020000}"/>
    <cellStyle name="60% - Accent5 10 3" xfId="871" xr:uid="{00000000-0005-0000-0000-0000EA020000}"/>
    <cellStyle name="60% - Accent5 11 2" xfId="872" xr:uid="{00000000-0005-0000-0000-0000EB020000}"/>
    <cellStyle name="60% - Accent5 11 3" xfId="873" xr:uid="{00000000-0005-0000-0000-0000EC020000}"/>
    <cellStyle name="60% - Accent5 12 2" xfId="874" xr:uid="{00000000-0005-0000-0000-0000ED020000}"/>
    <cellStyle name="60% - Accent5 12 3" xfId="875" xr:uid="{00000000-0005-0000-0000-0000EE020000}"/>
    <cellStyle name="60% - Accent5 13 2" xfId="876" xr:uid="{00000000-0005-0000-0000-0000EF020000}"/>
    <cellStyle name="60% - Accent5 13 3" xfId="877" xr:uid="{00000000-0005-0000-0000-0000F0020000}"/>
    <cellStyle name="60% - Accent5 14 2" xfId="878" xr:uid="{00000000-0005-0000-0000-0000F1020000}"/>
    <cellStyle name="60% - Accent5 14 3" xfId="879" xr:uid="{00000000-0005-0000-0000-0000F2020000}"/>
    <cellStyle name="60% - Accent5 15" xfId="880" xr:uid="{00000000-0005-0000-0000-0000F3020000}"/>
    <cellStyle name="60% - Accent5 15 2" xfId="881" xr:uid="{00000000-0005-0000-0000-0000F4020000}"/>
    <cellStyle name="60% - Accent5 15 3" xfId="882" xr:uid="{00000000-0005-0000-0000-0000F5020000}"/>
    <cellStyle name="60% - Accent5 15 4" xfId="883" xr:uid="{00000000-0005-0000-0000-0000F6020000}"/>
    <cellStyle name="60% - Accent5 15 5" xfId="884" xr:uid="{00000000-0005-0000-0000-0000F7020000}"/>
    <cellStyle name="60% - Accent5 15 6" xfId="885" xr:uid="{00000000-0005-0000-0000-0000F8020000}"/>
    <cellStyle name="60% - Accent5 15 7" xfId="886" xr:uid="{00000000-0005-0000-0000-0000F9020000}"/>
    <cellStyle name="60% - Accent5 16" xfId="887" xr:uid="{00000000-0005-0000-0000-0000FA020000}"/>
    <cellStyle name="60% - Accent5 17" xfId="888" xr:uid="{00000000-0005-0000-0000-0000FB020000}"/>
    <cellStyle name="60% - Accent5 18" xfId="889" xr:uid="{00000000-0005-0000-0000-0000FC020000}"/>
    <cellStyle name="60% - Accent5 19" xfId="890" xr:uid="{00000000-0005-0000-0000-0000FD020000}"/>
    <cellStyle name="60% - Accent5 2" xfId="891" xr:uid="{00000000-0005-0000-0000-0000FE020000}"/>
    <cellStyle name="60% - Accent5 2 2" xfId="892" xr:uid="{00000000-0005-0000-0000-0000FF020000}"/>
    <cellStyle name="60% - Accent5 2 3" xfId="893" xr:uid="{00000000-0005-0000-0000-000000030000}"/>
    <cellStyle name="60% - Accent5 2 4" xfId="3777" xr:uid="{00000000-0005-0000-0000-000001030000}"/>
    <cellStyle name="60% - Accent5 20" xfId="894" xr:uid="{00000000-0005-0000-0000-000002030000}"/>
    <cellStyle name="60% - Accent5 21" xfId="895" xr:uid="{00000000-0005-0000-0000-000003030000}"/>
    <cellStyle name="60% - Accent5 22" xfId="896" xr:uid="{00000000-0005-0000-0000-000004030000}"/>
    <cellStyle name="60% - Accent5 3" xfId="897" xr:uid="{00000000-0005-0000-0000-000005030000}"/>
    <cellStyle name="60% - Accent5 3 2" xfId="898" xr:uid="{00000000-0005-0000-0000-000006030000}"/>
    <cellStyle name="60% - Accent5 3 3" xfId="899" xr:uid="{00000000-0005-0000-0000-000007030000}"/>
    <cellStyle name="60% - Accent5 3 4" xfId="3778" xr:uid="{00000000-0005-0000-0000-000008030000}"/>
    <cellStyle name="60% - Accent5 4" xfId="900" xr:uid="{00000000-0005-0000-0000-000009030000}"/>
    <cellStyle name="60% - Accent5 4 2" xfId="901" xr:uid="{00000000-0005-0000-0000-00000A030000}"/>
    <cellStyle name="60% - Accent5 4 3" xfId="902" xr:uid="{00000000-0005-0000-0000-00000B030000}"/>
    <cellStyle name="60% - Accent5 5 2" xfId="903" xr:uid="{00000000-0005-0000-0000-00000C030000}"/>
    <cellStyle name="60% - Accent5 5 3" xfId="904" xr:uid="{00000000-0005-0000-0000-00000D030000}"/>
    <cellStyle name="60% - Accent5 6 2" xfId="905" xr:uid="{00000000-0005-0000-0000-00000E030000}"/>
    <cellStyle name="60% - Accent5 6 3" xfId="906" xr:uid="{00000000-0005-0000-0000-00000F030000}"/>
    <cellStyle name="60% - Accent5 7 2" xfId="907" xr:uid="{00000000-0005-0000-0000-000010030000}"/>
    <cellStyle name="60% - Accent5 7 3" xfId="908" xr:uid="{00000000-0005-0000-0000-000011030000}"/>
    <cellStyle name="60% - Accent5 8 2" xfId="909" xr:uid="{00000000-0005-0000-0000-000012030000}"/>
    <cellStyle name="60% - Accent5 8 3" xfId="910" xr:uid="{00000000-0005-0000-0000-000013030000}"/>
    <cellStyle name="60% - Accent5 9 2" xfId="911" xr:uid="{00000000-0005-0000-0000-000014030000}"/>
    <cellStyle name="60% - Accent5 9 3" xfId="912" xr:uid="{00000000-0005-0000-0000-000015030000}"/>
    <cellStyle name="60% - Accent6 10 2" xfId="913" xr:uid="{00000000-0005-0000-0000-000016030000}"/>
    <cellStyle name="60% - Accent6 10 3" xfId="914" xr:uid="{00000000-0005-0000-0000-000017030000}"/>
    <cellStyle name="60% - Accent6 11 2" xfId="915" xr:uid="{00000000-0005-0000-0000-000018030000}"/>
    <cellStyle name="60% - Accent6 11 3" xfId="916" xr:uid="{00000000-0005-0000-0000-000019030000}"/>
    <cellStyle name="60% - Accent6 12 2" xfId="917" xr:uid="{00000000-0005-0000-0000-00001A030000}"/>
    <cellStyle name="60% - Accent6 12 3" xfId="918" xr:uid="{00000000-0005-0000-0000-00001B030000}"/>
    <cellStyle name="60% - Accent6 13 2" xfId="919" xr:uid="{00000000-0005-0000-0000-00001C030000}"/>
    <cellStyle name="60% - Accent6 13 3" xfId="920" xr:uid="{00000000-0005-0000-0000-00001D030000}"/>
    <cellStyle name="60% - Accent6 14 2" xfId="921" xr:uid="{00000000-0005-0000-0000-00001E030000}"/>
    <cellStyle name="60% - Accent6 14 3" xfId="922" xr:uid="{00000000-0005-0000-0000-00001F030000}"/>
    <cellStyle name="60% - Accent6 15" xfId="923" xr:uid="{00000000-0005-0000-0000-000020030000}"/>
    <cellStyle name="60% - Accent6 15 2" xfId="924" xr:uid="{00000000-0005-0000-0000-000021030000}"/>
    <cellStyle name="60% - Accent6 15 3" xfId="925" xr:uid="{00000000-0005-0000-0000-000022030000}"/>
    <cellStyle name="60% - Accent6 15 4" xfId="926" xr:uid="{00000000-0005-0000-0000-000023030000}"/>
    <cellStyle name="60% - Accent6 15 5" xfId="927" xr:uid="{00000000-0005-0000-0000-000024030000}"/>
    <cellStyle name="60% - Accent6 15 6" xfId="928" xr:uid="{00000000-0005-0000-0000-000025030000}"/>
    <cellStyle name="60% - Accent6 15 7" xfId="929" xr:uid="{00000000-0005-0000-0000-000026030000}"/>
    <cellStyle name="60% - Accent6 16" xfId="930" xr:uid="{00000000-0005-0000-0000-000027030000}"/>
    <cellStyle name="60% - Accent6 17" xfId="931" xr:uid="{00000000-0005-0000-0000-000028030000}"/>
    <cellStyle name="60% - Accent6 18" xfId="932" xr:uid="{00000000-0005-0000-0000-000029030000}"/>
    <cellStyle name="60% - Accent6 19" xfId="933" xr:uid="{00000000-0005-0000-0000-00002A030000}"/>
    <cellStyle name="60% - Accent6 2" xfId="934" xr:uid="{00000000-0005-0000-0000-00002B030000}"/>
    <cellStyle name="60% - Accent6 2 2" xfId="935" xr:uid="{00000000-0005-0000-0000-00002C030000}"/>
    <cellStyle name="60% - Accent6 2 3" xfId="936" xr:uid="{00000000-0005-0000-0000-00002D030000}"/>
    <cellStyle name="60% - Accent6 2 4" xfId="3779" xr:uid="{00000000-0005-0000-0000-00002E030000}"/>
    <cellStyle name="60% - Accent6 20" xfId="937" xr:uid="{00000000-0005-0000-0000-00002F030000}"/>
    <cellStyle name="60% - Accent6 21" xfId="938" xr:uid="{00000000-0005-0000-0000-000030030000}"/>
    <cellStyle name="60% - Accent6 22" xfId="939" xr:uid="{00000000-0005-0000-0000-000031030000}"/>
    <cellStyle name="60% - Accent6 3" xfId="940" xr:uid="{00000000-0005-0000-0000-000032030000}"/>
    <cellStyle name="60% - Accent6 3 2" xfId="941" xr:uid="{00000000-0005-0000-0000-000033030000}"/>
    <cellStyle name="60% - Accent6 3 3" xfId="942" xr:uid="{00000000-0005-0000-0000-000034030000}"/>
    <cellStyle name="60% - Accent6 3 4" xfId="3780" xr:uid="{00000000-0005-0000-0000-000035030000}"/>
    <cellStyle name="60% - Accent6 4" xfId="943" xr:uid="{00000000-0005-0000-0000-000036030000}"/>
    <cellStyle name="60% - Accent6 4 2" xfId="944" xr:uid="{00000000-0005-0000-0000-000037030000}"/>
    <cellStyle name="60% - Accent6 4 3" xfId="945" xr:uid="{00000000-0005-0000-0000-000038030000}"/>
    <cellStyle name="60% - Accent6 5 2" xfId="946" xr:uid="{00000000-0005-0000-0000-000039030000}"/>
    <cellStyle name="60% - Accent6 5 3" xfId="947" xr:uid="{00000000-0005-0000-0000-00003A030000}"/>
    <cellStyle name="60% - Accent6 6 2" xfId="948" xr:uid="{00000000-0005-0000-0000-00003B030000}"/>
    <cellStyle name="60% - Accent6 6 3" xfId="949" xr:uid="{00000000-0005-0000-0000-00003C030000}"/>
    <cellStyle name="60% - Accent6 7 2" xfId="950" xr:uid="{00000000-0005-0000-0000-00003D030000}"/>
    <cellStyle name="60% - Accent6 7 3" xfId="951" xr:uid="{00000000-0005-0000-0000-00003E030000}"/>
    <cellStyle name="60% - Accent6 8 2" xfId="952" xr:uid="{00000000-0005-0000-0000-00003F030000}"/>
    <cellStyle name="60% - Accent6 8 3" xfId="953" xr:uid="{00000000-0005-0000-0000-000040030000}"/>
    <cellStyle name="60% - Accent6 9 2" xfId="954" xr:uid="{00000000-0005-0000-0000-000041030000}"/>
    <cellStyle name="60% - Accent6 9 3" xfId="955" xr:uid="{00000000-0005-0000-0000-000042030000}"/>
    <cellStyle name="Accent1 10 2" xfId="956" xr:uid="{00000000-0005-0000-0000-000043030000}"/>
    <cellStyle name="Accent1 10 3" xfId="957" xr:uid="{00000000-0005-0000-0000-000044030000}"/>
    <cellStyle name="Accent1 11 2" xfId="958" xr:uid="{00000000-0005-0000-0000-000045030000}"/>
    <cellStyle name="Accent1 11 3" xfId="959" xr:uid="{00000000-0005-0000-0000-000046030000}"/>
    <cellStyle name="Accent1 12 2" xfId="960" xr:uid="{00000000-0005-0000-0000-000047030000}"/>
    <cellStyle name="Accent1 12 3" xfId="961" xr:uid="{00000000-0005-0000-0000-000048030000}"/>
    <cellStyle name="Accent1 13 2" xfId="962" xr:uid="{00000000-0005-0000-0000-000049030000}"/>
    <cellStyle name="Accent1 13 3" xfId="963" xr:uid="{00000000-0005-0000-0000-00004A030000}"/>
    <cellStyle name="Accent1 14 2" xfId="964" xr:uid="{00000000-0005-0000-0000-00004B030000}"/>
    <cellStyle name="Accent1 14 3" xfId="965" xr:uid="{00000000-0005-0000-0000-00004C030000}"/>
    <cellStyle name="Accent1 15" xfId="966" xr:uid="{00000000-0005-0000-0000-00004D030000}"/>
    <cellStyle name="Accent1 15 2" xfId="967" xr:uid="{00000000-0005-0000-0000-00004E030000}"/>
    <cellStyle name="Accent1 15 3" xfId="968" xr:uid="{00000000-0005-0000-0000-00004F030000}"/>
    <cellStyle name="Accent1 15 4" xfId="969" xr:uid="{00000000-0005-0000-0000-000050030000}"/>
    <cellStyle name="Accent1 15 5" xfId="970" xr:uid="{00000000-0005-0000-0000-000051030000}"/>
    <cellStyle name="Accent1 15 6" xfId="971" xr:uid="{00000000-0005-0000-0000-000052030000}"/>
    <cellStyle name="Accent1 15 7" xfId="972" xr:uid="{00000000-0005-0000-0000-000053030000}"/>
    <cellStyle name="Accent1 16" xfId="973" xr:uid="{00000000-0005-0000-0000-000054030000}"/>
    <cellStyle name="Accent1 17" xfId="974" xr:uid="{00000000-0005-0000-0000-000055030000}"/>
    <cellStyle name="Accent1 18" xfId="975" xr:uid="{00000000-0005-0000-0000-000056030000}"/>
    <cellStyle name="Accent1 19" xfId="976" xr:uid="{00000000-0005-0000-0000-000057030000}"/>
    <cellStyle name="Accent1 2" xfId="977" xr:uid="{00000000-0005-0000-0000-000058030000}"/>
    <cellStyle name="Accent1 2 2" xfId="978" xr:uid="{00000000-0005-0000-0000-000059030000}"/>
    <cellStyle name="Accent1 2 3" xfId="979" xr:uid="{00000000-0005-0000-0000-00005A030000}"/>
    <cellStyle name="Accent1 2 4" xfId="3781" xr:uid="{00000000-0005-0000-0000-00005B030000}"/>
    <cellStyle name="Accent1 20" xfId="980" xr:uid="{00000000-0005-0000-0000-00005C030000}"/>
    <cellStyle name="Accent1 21" xfId="981" xr:uid="{00000000-0005-0000-0000-00005D030000}"/>
    <cellStyle name="Accent1 22" xfId="982" xr:uid="{00000000-0005-0000-0000-00005E030000}"/>
    <cellStyle name="Accent1 3" xfId="983" xr:uid="{00000000-0005-0000-0000-00005F030000}"/>
    <cellStyle name="Accent1 3 2" xfId="984" xr:uid="{00000000-0005-0000-0000-000060030000}"/>
    <cellStyle name="Accent1 3 3" xfId="985" xr:uid="{00000000-0005-0000-0000-000061030000}"/>
    <cellStyle name="Accent1 3 4" xfId="3782" xr:uid="{00000000-0005-0000-0000-000062030000}"/>
    <cellStyle name="Accent1 4" xfId="986" xr:uid="{00000000-0005-0000-0000-000063030000}"/>
    <cellStyle name="Accent1 4 2" xfId="987" xr:uid="{00000000-0005-0000-0000-000064030000}"/>
    <cellStyle name="Accent1 4 3" xfId="988" xr:uid="{00000000-0005-0000-0000-000065030000}"/>
    <cellStyle name="Accent1 5 2" xfId="989" xr:uid="{00000000-0005-0000-0000-000066030000}"/>
    <cellStyle name="Accent1 5 3" xfId="990" xr:uid="{00000000-0005-0000-0000-000067030000}"/>
    <cellStyle name="Accent1 6 2" xfId="991" xr:uid="{00000000-0005-0000-0000-000068030000}"/>
    <cellStyle name="Accent1 6 3" xfId="992" xr:uid="{00000000-0005-0000-0000-000069030000}"/>
    <cellStyle name="Accent1 7 2" xfId="993" xr:uid="{00000000-0005-0000-0000-00006A030000}"/>
    <cellStyle name="Accent1 7 3" xfId="994" xr:uid="{00000000-0005-0000-0000-00006B030000}"/>
    <cellStyle name="Accent1 8 2" xfId="995" xr:uid="{00000000-0005-0000-0000-00006C030000}"/>
    <cellStyle name="Accent1 8 3" xfId="996" xr:uid="{00000000-0005-0000-0000-00006D030000}"/>
    <cellStyle name="Accent1 9 2" xfId="997" xr:uid="{00000000-0005-0000-0000-00006E030000}"/>
    <cellStyle name="Accent1 9 3" xfId="998" xr:uid="{00000000-0005-0000-0000-00006F030000}"/>
    <cellStyle name="Accent2 10 2" xfId="999" xr:uid="{00000000-0005-0000-0000-000070030000}"/>
    <cellStyle name="Accent2 10 3" xfId="1000" xr:uid="{00000000-0005-0000-0000-000071030000}"/>
    <cellStyle name="Accent2 11 2" xfId="1001" xr:uid="{00000000-0005-0000-0000-000072030000}"/>
    <cellStyle name="Accent2 11 3" xfId="1002" xr:uid="{00000000-0005-0000-0000-000073030000}"/>
    <cellStyle name="Accent2 12 2" xfId="1003" xr:uid="{00000000-0005-0000-0000-000074030000}"/>
    <cellStyle name="Accent2 12 3" xfId="1004" xr:uid="{00000000-0005-0000-0000-000075030000}"/>
    <cellStyle name="Accent2 13 2" xfId="1005" xr:uid="{00000000-0005-0000-0000-000076030000}"/>
    <cellStyle name="Accent2 13 3" xfId="1006" xr:uid="{00000000-0005-0000-0000-000077030000}"/>
    <cellStyle name="Accent2 14 2" xfId="1007" xr:uid="{00000000-0005-0000-0000-000078030000}"/>
    <cellStyle name="Accent2 14 3" xfId="1008" xr:uid="{00000000-0005-0000-0000-000079030000}"/>
    <cellStyle name="Accent2 15" xfId="1009" xr:uid="{00000000-0005-0000-0000-00007A030000}"/>
    <cellStyle name="Accent2 15 2" xfId="1010" xr:uid="{00000000-0005-0000-0000-00007B030000}"/>
    <cellStyle name="Accent2 15 3" xfId="1011" xr:uid="{00000000-0005-0000-0000-00007C030000}"/>
    <cellStyle name="Accent2 15 4" xfId="1012" xr:uid="{00000000-0005-0000-0000-00007D030000}"/>
    <cellStyle name="Accent2 15 5" xfId="1013" xr:uid="{00000000-0005-0000-0000-00007E030000}"/>
    <cellStyle name="Accent2 15 6" xfId="1014" xr:uid="{00000000-0005-0000-0000-00007F030000}"/>
    <cellStyle name="Accent2 15 7" xfId="1015" xr:uid="{00000000-0005-0000-0000-000080030000}"/>
    <cellStyle name="Accent2 16" xfId="1016" xr:uid="{00000000-0005-0000-0000-000081030000}"/>
    <cellStyle name="Accent2 17" xfId="1017" xr:uid="{00000000-0005-0000-0000-000082030000}"/>
    <cellStyle name="Accent2 18" xfId="1018" xr:uid="{00000000-0005-0000-0000-000083030000}"/>
    <cellStyle name="Accent2 19" xfId="1019" xr:uid="{00000000-0005-0000-0000-000084030000}"/>
    <cellStyle name="Accent2 2" xfId="1020" xr:uid="{00000000-0005-0000-0000-000085030000}"/>
    <cellStyle name="Accent2 2 2" xfId="1021" xr:uid="{00000000-0005-0000-0000-000086030000}"/>
    <cellStyle name="Accent2 2 3" xfId="1022" xr:uid="{00000000-0005-0000-0000-000087030000}"/>
    <cellStyle name="Accent2 2 4" xfId="3783" xr:uid="{00000000-0005-0000-0000-000088030000}"/>
    <cellStyle name="Accent2 20" xfId="1023" xr:uid="{00000000-0005-0000-0000-000089030000}"/>
    <cellStyle name="Accent2 21" xfId="1024" xr:uid="{00000000-0005-0000-0000-00008A030000}"/>
    <cellStyle name="Accent2 22" xfId="1025" xr:uid="{00000000-0005-0000-0000-00008B030000}"/>
    <cellStyle name="Accent2 3" xfId="1026" xr:uid="{00000000-0005-0000-0000-00008C030000}"/>
    <cellStyle name="Accent2 3 2" xfId="1027" xr:uid="{00000000-0005-0000-0000-00008D030000}"/>
    <cellStyle name="Accent2 3 3" xfId="1028" xr:uid="{00000000-0005-0000-0000-00008E030000}"/>
    <cellStyle name="Accent2 3 4" xfId="3784" xr:uid="{00000000-0005-0000-0000-00008F030000}"/>
    <cellStyle name="Accent2 4" xfId="1029" xr:uid="{00000000-0005-0000-0000-000090030000}"/>
    <cellStyle name="Accent2 4 2" xfId="1030" xr:uid="{00000000-0005-0000-0000-000091030000}"/>
    <cellStyle name="Accent2 4 3" xfId="1031" xr:uid="{00000000-0005-0000-0000-000092030000}"/>
    <cellStyle name="Accent2 5 2" xfId="1032" xr:uid="{00000000-0005-0000-0000-000093030000}"/>
    <cellStyle name="Accent2 5 3" xfId="1033" xr:uid="{00000000-0005-0000-0000-000094030000}"/>
    <cellStyle name="Accent2 6 2" xfId="1034" xr:uid="{00000000-0005-0000-0000-000095030000}"/>
    <cellStyle name="Accent2 6 3" xfId="1035" xr:uid="{00000000-0005-0000-0000-000096030000}"/>
    <cellStyle name="Accent2 7 2" xfId="1036" xr:uid="{00000000-0005-0000-0000-000097030000}"/>
    <cellStyle name="Accent2 7 3" xfId="1037" xr:uid="{00000000-0005-0000-0000-000098030000}"/>
    <cellStyle name="Accent2 8 2" xfId="1038" xr:uid="{00000000-0005-0000-0000-000099030000}"/>
    <cellStyle name="Accent2 8 3" xfId="1039" xr:uid="{00000000-0005-0000-0000-00009A030000}"/>
    <cellStyle name="Accent2 9 2" xfId="1040" xr:uid="{00000000-0005-0000-0000-00009B030000}"/>
    <cellStyle name="Accent2 9 3" xfId="1041" xr:uid="{00000000-0005-0000-0000-00009C030000}"/>
    <cellStyle name="Accent3 10 2" xfId="1042" xr:uid="{00000000-0005-0000-0000-00009D030000}"/>
    <cellStyle name="Accent3 10 3" xfId="1043" xr:uid="{00000000-0005-0000-0000-00009E030000}"/>
    <cellStyle name="Accent3 11 2" xfId="1044" xr:uid="{00000000-0005-0000-0000-00009F030000}"/>
    <cellStyle name="Accent3 11 3" xfId="1045" xr:uid="{00000000-0005-0000-0000-0000A0030000}"/>
    <cellStyle name="Accent3 12 2" xfId="1046" xr:uid="{00000000-0005-0000-0000-0000A1030000}"/>
    <cellStyle name="Accent3 12 3" xfId="1047" xr:uid="{00000000-0005-0000-0000-0000A2030000}"/>
    <cellStyle name="Accent3 13 2" xfId="1048" xr:uid="{00000000-0005-0000-0000-0000A3030000}"/>
    <cellStyle name="Accent3 13 3" xfId="1049" xr:uid="{00000000-0005-0000-0000-0000A4030000}"/>
    <cellStyle name="Accent3 14 2" xfId="1050" xr:uid="{00000000-0005-0000-0000-0000A5030000}"/>
    <cellStyle name="Accent3 14 3" xfId="1051" xr:uid="{00000000-0005-0000-0000-0000A6030000}"/>
    <cellStyle name="Accent3 15" xfId="1052" xr:uid="{00000000-0005-0000-0000-0000A7030000}"/>
    <cellStyle name="Accent3 15 2" xfId="1053" xr:uid="{00000000-0005-0000-0000-0000A8030000}"/>
    <cellStyle name="Accent3 15 3" xfId="1054" xr:uid="{00000000-0005-0000-0000-0000A9030000}"/>
    <cellStyle name="Accent3 15 4" xfId="1055" xr:uid="{00000000-0005-0000-0000-0000AA030000}"/>
    <cellStyle name="Accent3 15 5" xfId="1056" xr:uid="{00000000-0005-0000-0000-0000AB030000}"/>
    <cellStyle name="Accent3 15 6" xfId="1057" xr:uid="{00000000-0005-0000-0000-0000AC030000}"/>
    <cellStyle name="Accent3 15 7" xfId="1058" xr:uid="{00000000-0005-0000-0000-0000AD030000}"/>
    <cellStyle name="Accent3 16" xfId="1059" xr:uid="{00000000-0005-0000-0000-0000AE030000}"/>
    <cellStyle name="Accent3 17" xfId="1060" xr:uid="{00000000-0005-0000-0000-0000AF030000}"/>
    <cellStyle name="Accent3 18" xfId="1061" xr:uid="{00000000-0005-0000-0000-0000B0030000}"/>
    <cellStyle name="Accent3 19" xfId="1062" xr:uid="{00000000-0005-0000-0000-0000B1030000}"/>
    <cellStyle name="Accent3 2" xfId="1063" xr:uid="{00000000-0005-0000-0000-0000B2030000}"/>
    <cellStyle name="Accent3 2 2" xfId="1064" xr:uid="{00000000-0005-0000-0000-0000B3030000}"/>
    <cellStyle name="Accent3 2 3" xfId="1065" xr:uid="{00000000-0005-0000-0000-0000B4030000}"/>
    <cellStyle name="Accent3 2 4" xfId="3785" xr:uid="{00000000-0005-0000-0000-0000B5030000}"/>
    <cellStyle name="Accent3 20" xfId="1066" xr:uid="{00000000-0005-0000-0000-0000B6030000}"/>
    <cellStyle name="Accent3 21" xfId="1067" xr:uid="{00000000-0005-0000-0000-0000B7030000}"/>
    <cellStyle name="Accent3 22" xfId="1068" xr:uid="{00000000-0005-0000-0000-0000B8030000}"/>
    <cellStyle name="Accent3 3" xfId="1069" xr:uid="{00000000-0005-0000-0000-0000B9030000}"/>
    <cellStyle name="Accent3 3 2" xfId="1070" xr:uid="{00000000-0005-0000-0000-0000BA030000}"/>
    <cellStyle name="Accent3 3 3" xfId="1071" xr:uid="{00000000-0005-0000-0000-0000BB030000}"/>
    <cellStyle name="Accent3 3 4" xfId="3786" xr:uid="{00000000-0005-0000-0000-0000BC030000}"/>
    <cellStyle name="Accent3 4" xfId="1072" xr:uid="{00000000-0005-0000-0000-0000BD030000}"/>
    <cellStyle name="Accent3 4 2" xfId="1073" xr:uid="{00000000-0005-0000-0000-0000BE030000}"/>
    <cellStyle name="Accent3 4 3" xfId="1074" xr:uid="{00000000-0005-0000-0000-0000BF030000}"/>
    <cellStyle name="Accent3 5 2" xfId="1075" xr:uid="{00000000-0005-0000-0000-0000C0030000}"/>
    <cellStyle name="Accent3 5 3" xfId="1076" xr:uid="{00000000-0005-0000-0000-0000C1030000}"/>
    <cellStyle name="Accent3 6 2" xfId="1077" xr:uid="{00000000-0005-0000-0000-0000C2030000}"/>
    <cellStyle name="Accent3 6 3" xfId="1078" xr:uid="{00000000-0005-0000-0000-0000C3030000}"/>
    <cellStyle name="Accent3 7 2" xfId="1079" xr:uid="{00000000-0005-0000-0000-0000C4030000}"/>
    <cellStyle name="Accent3 7 3" xfId="1080" xr:uid="{00000000-0005-0000-0000-0000C5030000}"/>
    <cellStyle name="Accent3 8 2" xfId="1081" xr:uid="{00000000-0005-0000-0000-0000C6030000}"/>
    <cellStyle name="Accent3 8 3" xfId="1082" xr:uid="{00000000-0005-0000-0000-0000C7030000}"/>
    <cellStyle name="Accent3 9 2" xfId="1083" xr:uid="{00000000-0005-0000-0000-0000C8030000}"/>
    <cellStyle name="Accent3 9 3" xfId="1084" xr:uid="{00000000-0005-0000-0000-0000C9030000}"/>
    <cellStyle name="Accent4 10 2" xfId="1085" xr:uid="{00000000-0005-0000-0000-0000CA030000}"/>
    <cellStyle name="Accent4 10 3" xfId="1086" xr:uid="{00000000-0005-0000-0000-0000CB030000}"/>
    <cellStyle name="Accent4 11 2" xfId="1087" xr:uid="{00000000-0005-0000-0000-0000CC030000}"/>
    <cellStyle name="Accent4 11 3" xfId="1088" xr:uid="{00000000-0005-0000-0000-0000CD030000}"/>
    <cellStyle name="Accent4 12 2" xfId="1089" xr:uid="{00000000-0005-0000-0000-0000CE030000}"/>
    <cellStyle name="Accent4 12 3" xfId="1090" xr:uid="{00000000-0005-0000-0000-0000CF030000}"/>
    <cellStyle name="Accent4 13 2" xfId="1091" xr:uid="{00000000-0005-0000-0000-0000D0030000}"/>
    <cellStyle name="Accent4 13 3" xfId="1092" xr:uid="{00000000-0005-0000-0000-0000D1030000}"/>
    <cellStyle name="Accent4 14 2" xfId="1093" xr:uid="{00000000-0005-0000-0000-0000D2030000}"/>
    <cellStyle name="Accent4 14 3" xfId="1094" xr:uid="{00000000-0005-0000-0000-0000D3030000}"/>
    <cellStyle name="Accent4 15" xfId="1095" xr:uid="{00000000-0005-0000-0000-0000D4030000}"/>
    <cellStyle name="Accent4 15 2" xfId="1096" xr:uid="{00000000-0005-0000-0000-0000D5030000}"/>
    <cellStyle name="Accent4 15 3" xfId="1097" xr:uid="{00000000-0005-0000-0000-0000D6030000}"/>
    <cellStyle name="Accent4 15 4" xfId="1098" xr:uid="{00000000-0005-0000-0000-0000D7030000}"/>
    <cellStyle name="Accent4 15 5" xfId="1099" xr:uid="{00000000-0005-0000-0000-0000D8030000}"/>
    <cellStyle name="Accent4 15 6" xfId="1100" xr:uid="{00000000-0005-0000-0000-0000D9030000}"/>
    <cellStyle name="Accent4 15 7" xfId="1101" xr:uid="{00000000-0005-0000-0000-0000DA030000}"/>
    <cellStyle name="Accent4 16" xfId="1102" xr:uid="{00000000-0005-0000-0000-0000DB030000}"/>
    <cellStyle name="Accent4 17" xfId="1103" xr:uid="{00000000-0005-0000-0000-0000DC030000}"/>
    <cellStyle name="Accent4 18" xfId="1104" xr:uid="{00000000-0005-0000-0000-0000DD030000}"/>
    <cellStyle name="Accent4 19" xfId="1105" xr:uid="{00000000-0005-0000-0000-0000DE030000}"/>
    <cellStyle name="Accent4 2" xfId="1106" xr:uid="{00000000-0005-0000-0000-0000DF030000}"/>
    <cellStyle name="Accent4 2 2" xfId="1107" xr:uid="{00000000-0005-0000-0000-0000E0030000}"/>
    <cellStyle name="Accent4 2 3" xfId="1108" xr:uid="{00000000-0005-0000-0000-0000E1030000}"/>
    <cellStyle name="Accent4 2 4" xfId="3787" xr:uid="{00000000-0005-0000-0000-0000E2030000}"/>
    <cellStyle name="Accent4 20" xfId="1109" xr:uid="{00000000-0005-0000-0000-0000E3030000}"/>
    <cellStyle name="Accent4 21" xfId="1110" xr:uid="{00000000-0005-0000-0000-0000E4030000}"/>
    <cellStyle name="Accent4 22" xfId="1111" xr:uid="{00000000-0005-0000-0000-0000E5030000}"/>
    <cellStyle name="Accent4 3" xfId="1112" xr:uid="{00000000-0005-0000-0000-0000E6030000}"/>
    <cellStyle name="Accent4 3 2" xfId="1113" xr:uid="{00000000-0005-0000-0000-0000E7030000}"/>
    <cellStyle name="Accent4 3 3" xfId="1114" xr:uid="{00000000-0005-0000-0000-0000E8030000}"/>
    <cellStyle name="Accent4 3 4" xfId="3788" xr:uid="{00000000-0005-0000-0000-0000E9030000}"/>
    <cellStyle name="Accent4 4" xfId="1115" xr:uid="{00000000-0005-0000-0000-0000EA030000}"/>
    <cellStyle name="Accent4 4 2" xfId="1116" xr:uid="{00000000-0005-0000-0000-0000EB030000}"/>
    <cellStyle name="Accent4 4 3" xfId="1117" xr:uid="{00000000-0005-0000-0000-0000EC030000}"/>
    <cellStyle name="Accent4 5 2" xfId="1118" xr:uid="{00000000-0005-0000-0000-0000ED030000}"/>
    <cellStyle name="Accent4 5 3" xfId="1119" xr:uid="{00000000-0005-0000-0000-0000EE030000}"/>
    <cellStyle name="Accent4 6 2" xfId="1120" xr:uid="{00000000-0005-0000-0000-0000EF030000}"/>
    <cellStyle name="Accent4 6 3" xfId="1121" xr:uid="{00000000-0005-0000-0000-0000F0030000}"/>
    <cellStyle name="Accent4 7 2" xfId="1122" xr:uid="{00000000-0005-0000-0000-0000F1030000}"/>
    <cellStyle name="Accent4 7 3" xfId="1123" xr:uid="{00000000-0005-0000-0000-0000F2030000}"/>
    <cellStyle name="Accent4 8 2" xfId="1124" xr:uid="{00000000-0005-0000-0000-0000F3030000}"/>
    <cellStyle name="Accent4 8 3" xfId="1125" xr:uid="{00000000-0005-0000-0000-0000F4030000}"/>
    <cellStyle name="Accent4 9 2" xfId="1126" xr:uid="{00000000-0005-0000-0000-0000F5030000}"/>
    <cellStyle name="Accent4 9 3" xfId="1127" xr:uid="{00000000-0005-0000-0000-0000F6030000}"/>
    <cellStyle name="Accent5 10 2" xfId="1128" xr:uid="{00000000-0005-0000-0000-0000F7030000}"/>
    <cellStyle name="Accent5 10 3" xfId="1129" xr:uid="{00000000-0005-0000-0000-0000F8030000}"/>
    <cellStyle name="Accent5 11 2" xfId="1130" xr:uid="{00000000-0005-0000-0000-0000F9030000}"/>
    <cellStyle name="Accent5 11 3" xfId="1131" xr:uid="{00000000-0005-0000-0000-0000FA030000}"/>
    <cellStyle name="Accent5 12 2" xfId="1132" xr:uid="{00000000-0005-0000-0000-0000FB030000}"/>
    <cellStyle name="Accent5 12 3" xfId="1133" xr:uid="{00000000-0005-0000-0000-0000FC030000}"/>
    <cellStyle name="Accent5 13 2" xfId="1134" xr:uid="{00000000-0005-0000-0000-0000FD030000}"/>
    <cellStyle name="Accent5 13 3" xfId="1135" xr:uid="{00000000-0005-0000-0000-0000FE030000}"/>
    <cellStyle name="Accent5 14 2" xfId="1136" xr:uid="{00000000-0005-0000-0000-0000FF030000}"/>
    <cellStyle name="Accent5 14 3" xfId="1137" xr:uid="{00000000-0005-0000-0000-000000040000}"/>
    <cellStyle name="Accent5 15" xfId="1138" xr:uid="{00000000-0005-0000-0000-000001040000}"/>
    <cellStyle name="Accent5 15 2" xfId="1139" xr:uid="{00000000-0005-0000-0000-000002040000}"/>
    <cellStyle name="Accent5 15 3" xfId="1140" xr:uid="{00000000-0005-0000-0000-000003040000}"/>
    <cellStyle name="Accent5 15 4" xfId="1141" xr:uid="{00000000-0005-0000-0000-000004040000}"/>
    <cellStyle name="Accent5 15 5" xfId="1142" xr:uid="{00000000-0005-0000-0000-000005040000}"/>
    <cellStyle name="Accent5 15 6" xfId="1143" xr:uid="{00000000-0005-0000-0000-000006040000}"/>
    <cellStyle name="Accent5 15 7" xfId="1144" xr:uid="{00000000-0005-0000-0000-000007040000}"/>
    <cellStyle name="Accent5 16" xfId="1145" xr:uid="{00000000-0005-0000-0000-000008040000}"/>
    <cellStyle name="Accent5 17" xfId="1146" xr:uid="{00000000-0005-0000-0000-000009040000}"/>
    <cellStyle name="Accent5 18" xfId="1147" xr:uid="{00000000-0005-0000-0000-00000A040000}"/>
    <cellStyle name="Accent5 19" xfId="1148" xr:uid="{00000000-0005-0000-0000-00000B040000}"/>
    <cellStyle name="Accent5 2" xfId="1149" xr:uid="{00000000-0005-0000-0000-00000C040000}"/>
    <cellStyle name="Accent5 2 2" xfId="1150" xr:uid="{00000000-0005-0000-0000-00000D040000}"/>
    <cellStyle name="Accent5 2 3" xfId="1151" xr:uid="{00000000-0005-0000-0000-00000E040000}"/>
    <cellStyle name="Accent5 2 4" xfId="3789" xr:uid="{00000000-0005-0000-0000-00000F040000}"/>
    <cellStyle name="Accent5 20" xfId="1152" xr:uid="{00000000-0005-0000-0000-000010040000}"/>
    <cellStyle name="Accent5 21" xfId="1153" xr:uid="{00000000-0005-0000-0000-000011040000}"/>
    <cellStyle name="Accent5 22" xfId="1154" xr:uid="{00000000-0005-0000-0000-000012040000}"/>
    <cellStyle name="Accent5 3" xfId="1155" xr:uid="{00000000-0005-0000-0000-000013040000}"/>
    <cellStyle name="Accent5 3 2" xfId="1156" xr:uid="{00000000-0005-0000-0000-000014040000}"/>
    <cellStyle name="Accent5 3 3" xfId="1157" xr:uid="{00000000-0005-0000-0000-000015040000}"/>
    <cellStyle name="Accent5 3 4" xfId="3790" xr:uid="{00000000-0005-0000-0000-000016040000}"/>
    <cellStyle name="Accent5 4" xfId="1158" xr:uid="{00000000-0005-0000-0000-000017040000}"/>
    <cellStyle name="Accent5 4 2" xfId="1159" xr:uid="{00000000-0005-0000-0000-000018040000}"/>
    <cellStyle name="Accent5 4 3" xfId="1160" xr:uid="{00000000-0005-0000-0000-000019040000}"/>
    <cellStyle name="Accent5 5 2" xfId="1161" xr:uid="{00000000-0005-0000-0000-00001A040000}"/>
    <cellStyle name="Accent5 5 3" xfId="1162" xr:uid="{00000000-0005-0000-0000-00001B040000}"/>
    <cellStyle name="Accent5 6 2" xfId="1163" xr:uid="{00000000-0005-0000-0000-00001C040000}"/>
    <cellStyle name="Accent5 6 3" xfId="1164" xr:uid="{00000000-0005-0000-0000-00001D040000}"/>
    <cellStyle name="Accent5 7 2" xfId="1165" xr:uid="{00000000-0005-0000-0000-00001E040000}"/>
    <cellStyle name="Accent5 7 3" xfId="1166" xr:uid="{00000000-0005-0000-0000-00001F040000}"/>
    <cellStyle name="Accent5 8 2" xfId="1167" xr:uid="{00000000-0005-0000-0000-000020040000}"/>
    <cellStyle name="Accent5 8 3" xfId="1168" xr:uid="{00000000-0005-0000-0000-000021040000}"/>
    <cellStyle name="Accent5 9 2" xfId="1169" xr:uid="{00000000-0005-0000-0000-000022040000}"/>
    <cellStyle name="Accent5 9 3" xfId="1170" xr:uid="{00000000-0005-0000-0000-000023040000}"/>
    <cellStyle name="Accent6" xfId="4425" builtinId="49"/>
    <cellStyle name="Accent6 10 2" xfId="1171" xr:uid="{00000000-0005-0000-0000-000025040000}"/>
    <cellStyle name="Accent6 10 3" xfId="1172" xr:uid="{00000000-0005-0000-0000-000026040000}"/>
    <cellStyle name="Accent6 11 2" xfId="1173" xr:uid="{00000000-0005-0000-0000-000027040000}"/>
    <cellStyle name="Accent6 11 3" xfId="1174" xr:uid="{00000000-0005-0000-0000-000028040000}"/>
    <cellStyle name="Accent6 12 2" xfId="1175" xr:uid="{00000000-0005-0000-0000-000029040000}"/>
    <cellStyle name="Accent6 12 3" xfId="1176" xr:uid="{00000000-0005-0000-0000-00002A040000}"/>
    <cellStyle name="Accent6 13 2" xfId="1177" xr:uid="{00000000-0005-0000-0000-00002B040000}"/>
    <cellStyle name="Accent6 13 3" xfId="1178" xr:uid="{00000000-0005-0000-0000-00002C040000}"/>
    <cellStyle name="Accent6 14 2" xfId="1179" xr:uid="{00000000-0005-0000-0000-00002D040000}"/>
    <cellStyle name="Accent6 14 3" xfId="1180" xr:uid="{00000000-0005-0000-0000-00002E040000}"/>
    <cellStyle name="Accent6 15" xfId="1181" xr:uid="{00000000-0005-0000-0000-00002F040000}"/>
    <cellStyle name="Accent6 15 2" xfId="1182" xr:uid="{00000000-0005-0000-0000-000030040000}"/>
    <cellStyle name="Accent6 15 3" xfId="1183" xr:uid="{00000000-0005-0000-0000-000031040000}"/>
    <cellStyle name="Accent6 15 4" xfId="1184" xr:uid="{00000000-0005-0000-0000-000032040000}"/>
    <cellStyle name="Accent6 15 5" xfId="1185" xr:uid="{00000000-0005-0000-0000-000033040000}"/>
    <cellStyle name="Accent6 15 6" xfId="1186" xr:uid="{00000000-0005-0000-0000-000034040000}"/>
    <cellStyle name="Accent6 15 7" xfId="1187" xr:uid="{00000000-0005-0000-0000-000035040000}"/>
    <cellStyle name="Accent6 16" xfId="1188" xr:uid="{00000000-0005-0000-0000-000036040000}"/>
    <cellStyle name="Accent6 17" xfId="1189" xr:uid="{00000000-0005-0000-0000-000037040000}"/>
    <cellStyle name="Accent6 18" xfId="1190" xr:uid="{00000000-0005-0000-0000-000038040000}"/>
    <cellStyle name="Accent6 19" xfId="1191" xr:uid="{00000000-0005-0000-0000-000039040000}"/>
    <cellStyle name="Accent6 2" xfId="1192" xr:uid="{00000000-0005-0000-0000-00003A040000}"/>
    <cellStyle name="Accent6 2 2" xfId="1193" xr:uid="{00000000-0005-0000-0000-00003B040000}"/>
    <cellStyle name="Accent6 2 3" xfId="1194" xr:uid="{00000000-0005-0000-0000-00003C040000}"/>
    <cellStyle name="Accent6 2 4" xfId="3791" xr:uid="{00000000-0005-0000-0000-00003D040000}"/>
    <cellStyle name="Accent6 20" xfId="1195" xr:uid="{00000000-0005-0000-0000-00003E040000}"/>
    <cellStyle name="Accent6 21" xfId="1196" xr:uid="{00000000-0005-0000-0000-00003F040000}"/>
    <cellStyle name="Accent6 22" xfId="1197" xr:uid="{00000000-0005-0000-0000-000040040000}"/>
    <cellStyle name="Accent6 3" xfId="1198" xr:uid="{00000000-0005-0000-0000-000041040000}"/>
    <cellStyle name="Accent6 3 2" xfId="1199" xr:uid="{00000000-0005-0000-0000-000042040000}"/>
    <cellStyle name="Accent6 3 3" xfId="1200" xr:uid="{00000000-0005-0000-0000-000043040000}"/>
    <cellStyle name="Accent6 3 4" xfId="3792" xr:uid="{00000000-0005-0000-0000-000044040000}"/>
    <cellStyle name="Accent6 4" xfId="1201" xr:uid="{00000000-0005-0000-0000-000045040000}"/>
    <cellStyle name="Accent6 4 2" xfId="1202" xr:uid="{00000000-0005-0000-0000-000046040000}"/>
    <cellStyle name="Accent6 4 3" xfId="1203" xr:uid="{00000000-0005-0000-0000-000047040000}"/>
    <cellStyle name="Accent6 5 2" xfId="1204" xr:uid="{00000000-0005-0000-0000-000048040000}"/>
    <cellStyle name="Accent6 5 3" xfId="1205" xr:uid="{00000000-0005-0000-0000-000049040000}"/>
    <cellStyle name="Accent6 6 2" xfId="1206" xr:uid="{00000000-0005-0000-0000-00004A040000}"/>
    <cellStyle name="Accent6 6 3" xfId="1207" xr:uid="{00000000-0005-0000-0000-00004B040000}"/>
    <cellStyle name="Accent6 7 2" xfId="1208" xr:uid="{00000000-0005-0000-0000-00004C040000}"/>
    <cellStyle name="Accent6 7 3" xfId="1209" xr:uid="{00000000-0005-0000-0000-00004D040000}"/>
    <cellStyle name="Accent6 8 2" xfId="1210" xr:uid="{00000000-0005-0000-0000-00004E040000}"/>
    <cellStyle name="Accent6 8 3" xfId="1211" xr:uid="{00000000-0005-0000-0000-00004F040000}"/>
    <cellStyle name="Accent6 9 2" xfId="1212" xr:uid="{00000000-0005-0000-0000-000050040000}"/>
    <cellStyle name="Accent6 9 3" xfId="1213" xr:uid="{00000000-0005-0000-0000-000051040000}"/>
    <cellStyle name="Bad 10 2" xfId="1214" xr:uid="{00000000-0005-0000-0000-000052040000}"/>
    <cellStyle name="Bad 10 3" xfId="1215" xr:uid="{00000000-0005-0000-0000-000053040000}"/>
    <cellStyle name="Bad 11 2" xfId="1216" xr:uid="{00000000-0005-0000-0000-000054040000}"/>
    <cellStyle name="Bad 11 3" xfId="1217" xr:uid="{00000000-0005-0000-0000-000055040000}"/>
    <cellStyle name="Bad 12 2" xfId="1218" xr:uid="{00000000-0005-0000-0000-000056040000}"/>
    <cellStyle name="Bad 12 3" xfId="1219" xr:uid="{00000000-0005-0000-0000-000057040000}"/>
    <cellStyle name="Bad 13 2" xfId="1220" xr:uid="{00000000-0005-0000-0000-000058040000}"/>
    <cellStyle name="Bad 13 3" xfId="1221" xr:uid="{00000000-0005-0000-0000-000059040000}"/>
    <cellStyle name="Bad 14 2" xfId="1222" xr:uid="{00000000-0005-0000-0000-00005A040000}"/>
    <cellStyle name="Bad 14 3" xfId="1223" xr:uid="{00000000-0005-0000-0000-00005B040000}"/>
    <cellStyle name="Bad 15" xfId="1224" xr:uid="{00000000-0005-0000-0000-00005C040000}"/>
    <cellStyle name="Bad 15 2" xfId="1225" xr:uid="{00000000-0005-0000-0000-00005D040000}"/>
    <cellStyle name="Bad 15 3" xfId="1226" xr:uid="{00000000-0005-0000-0000-00005E040000}"/>
    <cellStyle name="Bad 15 4" xfId="1227" xr:uid="{00000000-0005-0000-0000-00005F040000}"/>
    <cellStyle name="Bad 15 5" xfId="1228" xr:uid="{00000000-0005-0000-0000-000060040000}"/>
    <cellStyle name="Bad 15 6" xfId="1229" xr:uid="{00000000-0005-0000-0000-000061040000}"/>
    <cellStyle name="Bad 15 7" xfId="1230" xr:uid="{00000000-0005-0000-0000-000062040000}"/>
    <cellStyle name="Bad 16" xfId="1231" xr:uid="{00000000-0005-0000-0000-000063040000}"/>
    <cellStyle name="Bad 17" xfId="1232" xr:uid="{00000000-0005-0000-0000-000064040000}"/>
    <cellStyle name="Bad 18" xfId="1233" xr:uid="{00000000-0005-0000-0000-000065040000}"/>
    <cellStyle name="Bad 19" xfId="1234" xr:uid="{00000000-0005-0000-0000-000066040000}"/>
    <cellStyle name="Bad 2" xfId="20" xr:uid="{00000000-0005-0000-0000-000067040000}"/>
    <cellStyle name="Bad 2 2" xfId="1236" xr:uid="{00000000-0005-0000-0000-000068040000}"/>
    <cellStyle name="Bad 2 3" xfId="1237" xr:uid="{00000000-0005-0000-0000-000069040000}"/>
    <cellStyle name="Bad 2 4" xfId="3793" xr:uid="{00000000-0005-0000-0000-00006A040000}"/>
    <cellStyle name="Bad 2 5" xfId="1235" xr:uid="{00000000-0005-0000-0000-00006B040000}"/>
    <cellStyle name="Bad 20" xfId="1238" xr:uid="{00000000-0005-0000-0000-00006C040000}"/>
    <cellStyle name="Bad 21" xfId="1239" xr:uid="{00000000-0005-0000-0000-00006D040000}"/>
    <cellStyle name="Bad 22" xfId="1240" xr:uid="{00000000-0005-0000-0000-00006E040000}"/>
    <cellStyle name="Bad 3" xfId="1241" xr:uid="{00000000-0005-0000-0000-00006F040000}"/>
    <cellStyle name="Bad 3 2" xfId="1242" xr:uid="{00000000-0005-0000-0000-000070040000}"/>
    <cellStyle name="Bad 3 3" xfId="1243" xr:uid="{00000000-0005-0000-0000-000071040000}"/>
    <cellStyle name="Bad 3 4" xfId="3794" xr:uid="{00000000-0005-0000-0000-000072040000}"/>
    <cellStyle name="Bad 4" xfId="1244" xr:uid="{00000000-0005-0000-0000-000073040000}"/>
    <cellStyle name="Bad 4 2" xfId="1245" xr:uid="{00000000-0005-0000-0000-000074040000}"/>
    <cellStyle name="Bad 4 3" xfId="1246" xr:uid="{00000000-0005-0000-0000-000075040000}"/>
    <cellStyle name="Bad 5 2" xfId="1247" xr:uid="{00000000-0005-0000-0000-000076040000}"/>
    <cellStyle name="Bad 5 3" xfId="1248" xr:uid="{00000000-0005-0000-0000-000077040000}"/>
    <cellStyle name="Bad 6 2" xfId="1249" xr:uid="{00000000-0005-0000-0000-000078040000}"/>
    <cellStyle name="Bad 6 3" xfId="1250" xr:uid="{00000000-0005-0000-0000-000079040000}"/>
    <cellStyle name="Bad 7 2" xfId="1251" xr:uid="{00000000-0005-0000-0000-00007A040000}"/>
    <cellStyle name="Bad 7 3" xfId="1252" xr:uid="{00000000-0005-0000-0000-00007B040000}"/>
    <cellStyle name="Bad 8 2" xfId="1253" xr:uid="{00000000-0005-0000-0000-00007C040000}"/>
    <cellStyle name="Bad 8 3" xfId="1254" xr:uid="{00000000-0005-0000-0000-00007D040000}"/>
    <cellStyle name="Bad 9 2" xfId="1255" xr:uid="{00000000-0005-0000-0000-00007E040000}"/>
    <cellStyle name="Bad 9 3" xfId="1256" xr:uid="{00000000-0005-0000-0000-00007F040000}"/>
    <cellStyle name="Calculation 10 2" xfId="1257" xr:uid="{00000000-0005-0000-0000-000080040000}"/>
    <cellStyle name="Calculation 10 2 2" xfId="3795" xr:uid="{00000000-0005-0000-0000-000081040000}"/>
    <cellStyle name="Calculation 10 2 2 2" xfId="4757" xr:uid="{3A558682-10D3-4752-877C-C62236281B3A}"/>
    <cellStyle name="Calculation 10 2 2 2 2" xfId="6137" xr:uid="{D8FA5C1A-FFA3-4AB7-B72B-31CEA846AB80}"/>
    <cellStyle name="Calculation 10 2 2 2 3" xfId="6827" xr:uid="{F9BC16A3-D6AC-4C75-B6A0-81E8052A79BC}"/>
    <cellStyle name="Calculation 10 2 2 3" xfId="5530" xr:uid="{3E0A81A8-674E-4F0F-9702-7A74856A3A69}"/>
    <cellStyle name="Calculation 10 2 3" xfId="4461" xr:uid="{A0A55E68-84DB-4921-BD50-04E5442DBE14}"/>
    <cellStyle name="Calculation 10 2 3 2" xfId="5841" xr:uid="{E7915394-51C2-47D3-BE3E-5CD07EC571E3}"/>
    <cellStyle name="Calculation 10 2 3 3" xfId="6531" xr:uid="{C0DA0473-B0DB-464C-9282-EDBC4E7DCA6D}"/>
    <cellStyle name="Calculation 10 2 4" xfId="5776" xr:uid="{8DE0C980-08D1-4C67-A881-0FC7D7003EF5}"/>
    <cellStyle name="Calculation 10 3" xfId="1258" xr:uid="{00000000-0005-0000-0000-000082040000}"/>
    <cellStyle name="Calculation 10 3 2" xfId="3796" xr:uid="{00000000-0005-0000-0000-000083040000}"/>
    <cellStyle name="Calculation 10 3 2 2" xfId="4758" xr:uid="{0602481D-7E04-4F47-8502-079D1A4D771E}"/>
    <cellStyle name="Calculation 10 3 2 2 2" xfId="6138" xr:uid="{F1ED0F35-E663-4094-AE9F-D630403ED1C7}"/>
    <cellStyle name="Calculation 10 3 2 2 3" xfId="6828" xr:uid="{B55DB5EA-6E00-4F7C-9094-206458AF6375}"/>
    <cellStyle name="Calculation 10 3 2 3" xfId="5529" xr:uid="{19786DC9-0334-4364-9451-82CA5B6818D6}"/>
    <cellStyle name="Calculation 10 3 3" xfId="4462" xr:uid="{BB99CB59-3DAA-4262-B876-2948683CB398}"/>
    <cellStyle name="Calculation 10 3 3 2" xfId="5842" xr:uid="{E6CA8D61-F0AD-4D4E-AB68-D4DDC30D436F}"/>
    <cellStyle name="Calculation 10 3 3 3" xfId="6532" xr:uid="{E7E64449-A7C8-4815-BB9F-E4C7E494D591}"/>
    <cellStyle name="Calculation 10 3 4" xfId="5830" xr:uid="{0373C279-68B8-4EAD-9876-9C624E421858}"/>
    <cellStyle name="Calculation 11 2" xfId="1259" xr:uid="{00000000-0005-0000-0000-000084040000}"/>
    <cellStyle name="Calculation 11 2 2" xfId="3797" xr:uid="{00000000-0005-0000-0000-000085040000}"/>
    <cellStyle name="Calculation 11 2 2 2" xfId="4759" xr:uid="{0189EDE9-AABA-48D5-B314-0BFB78162AD9}"/>
    <cellStyle name="Calculation 11 2 2 2 2" xfId="6139" xr:uid="{1DC0DC63-5774-4BAE-8377-D9587CEC5048}"/>
    <cellStyle name="Calculation 11 2 2 2 3" xfId="6829" xr:uid="{8EE2EB7F-C169-471A-B2B3-D31791CF7631}"/>
    <cellStyle name="Calculation 11 2 2 3" xfId="5528" xr:uid="{1FC2F123-CAC7-4865-8E6D-0EA22CF493EC}"/>
    <cellStyle name="Calculation 11 2 3" xfId="4463" xr:uid="{0A9694D5-9A0F-4DE4-90D6-ECAD4C051BCD}"/>
    <cellStyle name="Calculation 11 2 3 2" xfId="5843" xr:uid="{E81ADF80-DDEA-4968-AB1E-9EEEC3D5014D}"/>
    <cellStyle name="Calculation 11 2 3 3" xfId="6533" xr:uid="{AC5F7709-1DE4-4967-AB53-67D0CE67573D}"/>
    <cellStyle name="Calculation 11 2 4" xfId="5775" xr:uid="{0A6C29E2-4525-4F59-90C1-352B4EF63F06}"/>
    <cellStyle name="Calculation 11 3" xfId="1260" xr:uid="{00000000-0005-0000-0000-000086040000}"/>
    <cellStyle name="Calculation 11 3 2" xfId="3798" xr:uid="{00000000-0005-0000-0000-000087040000}"/>
    <cellStyle name="Calculation 11 3 2 2" xfId="4760" xr:uid="{3C0010A6-D9B4-4A88-95E4-31F89089D933}"/>
    <cellStyle name="Calculation 11 3 2 2 2" xfId="6140" xr:uid="{C45B7B40-D04D-41AB-9788-485CF030B8EC}"/>
    <cellStyle name="Calculation 11 3 2 2 3" xfId="6830" xr:uid="{122FE229-E5D1-4E6E-8E07-493F2EF87B77}"/>
    <cellStyle name="Calculation 11 3 2 3" xfId="5527" xr:uid="{525AE305-C5A9-4DCF-B603-D07A47255CCF}"/>
    <cellStyle name="Calculation 11 3 3" xfId="4464" xr:uid="{B8CE894C-A8C8-41F7-9DF8-4B931717BDA8}"/>
    <cellStyle name="Calculation 11 3 3 2" xfId="5844" xr:uid="{63DCA003-ACC5-4C03-848F-B86A60818F1D}"/>
    <cellStyle name="Calculation 11 3 3 3" xfId="6534" xr:uid="{7644124B-8E0C-4F93-9A3C-353C8C91DBCC}"/>
    <cellStyle name="Calculation 11 3 4" xfId="5829" xr:uid="{DD575371-7640-438D-AF66-CC89E1D90317}"/>
    <cellStyle name="Calculation 12 2" xfId="1261" xr:uid="{00000000-0005-0000-0000-000088040000}"/>
    <cellStyle name="Calculation 12 2 2" xfId="3799" xr:uid="{00000000-0005-0000-0000-000089040000}"/>
    <cellStyle name="Calculation 12 2 2 2" xfId="4761" xr:uid="{741FB98F-77CC-4CEE-9EA2-409060F04A48}"/>
    <cellStyle name="Calculation 12 2 2 2 2" xfId="6141" xr:uid="{E88AF1E0-EBCA-4772-9A86-0D1AC9D607EA}"/>
    <cellStyle name="Calculation 12 2 2 2 3" xfId="6831" xr:uid="{F2E7D30F-6035-4FA6-BD2A-65E113CADF97}"/>
    <cellStyle name="Calculation 12 2 2 3" xfId="5526" xr:uid="{6C1B2057-5E35-4650-B649-A4A4DFCB7F7E}"/>
    <cellStyle name="Calculation 12 2 3" xfId="4465" xr:uid="{2394CC09-B75C-4642-9D35-DCC667189338}"/>
    <cellStyle name="Calculation 12 2 3 2" xfId="5845" xr:uid="{5D63C557-7B1E-4D16-9921-D49F9F1015C4}"/>
    <cellStyle name="Calculation 12 2 3 3" xfId="6535" xr:uid="{B45E680B-7CB1-45B7-8B8C-B1CF6011F6E7}"/>
    <cellStyle name="Calculation 12 2 4" xfId="5774" xr:uid="{D00B2868-FDCE-4108-BA8A-C36D440EEB80}"/>
    <cellStyle name="Calculation 12 3" xfId="1262" xr:uid="{00000000-0005-0000-0000-00008A040000}"/>
    <cellStyle name="Calculation 12 3 2" xfId="3800" xr:uid="{00000000-0005-0000-0000-00008B040000}"/>
    <cellStyle name="Calculation 12 3 2 2" xfId="4762" xr:uid="{82487252-63F1-48F4-B9F7-3BFC12D5E819}"/>
    <cellStyle name="Calculation 12 3 2 2 2" xfId="6142" xr:uid="{0F03096A-805D-4884-8D42-EBD024EAA24E}"/>
    <cellStyle name="Calculation 12 3 2 2 3" xfId="6832" xr:uid="{660D4D66-0BDB-42B8-9445-176178A48759}"/>
    <cellStyle name="Calculation 12 3 2 3" xfId="5525" xr:uid="{D49F50B5-4583-499E-8590-AB963ECC8528}"/>
    <cellStyle name="Calculation 12 3 3" xfId="4466" xr:uid="{6643D187-60D6-4EAC-A9A4-3280ACA70A44}"/>
    <cellStyle name="Calculation 12 3 3 2" xfId="5846" xr:uid="{BF5849C0-BA1E-48F1-831E-85553B04A402}"/>
    <cellStyle name="Calculation 12 3 3 3" xfId="6536" xr:uid="{8D726F1E-5854-4816-8521-2F4D2BD30C71}"/>
    <cellStyle name="Calculation 12 3 4" xfId="5828" xr:uid="{8CFB32D4-B940-471B-AA91-5023FCFD8A1E}"/>
    <cellStyle name="Calculation 13 2" xfId="1263" xr:uid="{00000000-0005-0000-0000-00008C040000}"/>
    <cellStyle name="Calculation 13 2 2" xfId="3801" xr:uid="{00000000-0005-0000-0000-00008D040000}"/>
    <cellStyle name="Calculation 13 2 2 2" xfId="4763" xr:uid="{279B37C8-724E-4219-AE06-EDE8702CA3BB}"/>
    <cellStyle name="Calculation 13 2 2 2 2" xfId="6143" xr:uid="{9D9B33D6-7EA5-4AE0-857F-6BB89B9A52DA}"/>
    <cellStyle name="Calculation 13 2 2 2 3" xfId="6833" xr:uid="{E3CE96ED-3922-455C-8DD1-509C5D74D83D}"/>
    <cellStyle name="Calculation 13 2 2 3" xfId="5524" xr:uid="{861D5E29-78E0-43A7-989A-0C7306299695}"/>
    <cellStyle name="Calculation 13 2 3" xfId="4467" xr:uid="{957C03FE-C138-49F2-92DC-605FD2FF952F}"/>
    <cellStyle name="Calculation 13 2 3 2" xfId="5847" xr:uid="{2FF9E18F-80A4-4BDF-958F-C4EF15B8C924}"/>
    <cellStyle name="Calculation 13 2 3 3" xfId="6537" xr:uid="{24BC815F-C870-473D-9A1A-C115D7ED54A5}"/>
    <cellStyle name="Calculation 13 2 4" xfId="5773" xr:uid="{19DFDA0B-3C9E-4695-9136-D79A606E3CB8}"/>
    <cellStyle name="Calculation 13 3" xfId="1264" xr:uid="{00000000-0005-0000-0000-00008E040000}"/>
    <cellStyle name="Calculation 13 3 2" xfId="3802" xr:uid="{00000000-0005-0000-0000-00008F040000}"/>
    <cellStyle name="Calculation 13 3 2 2" xfId="4764" xr:uid="{8901D434-227E-4772-9E0C-8D1A61BCAA4F}"/>
    <cellStyle name="Calculation 13 3 2 2 2" xfId="6144" xr:uid="{604AE9AE-C15A-4BE4-B388-F57FA71B03E1}"/>
    <cellStyle name="Calculation 13 3 2 2 3" xfId="6834" xr:uid="{9A05962E-2F0C-4719-AB50-69AE0ED134B9}"/>
    <cellStyle name="Calculation 13 3 2 3" xfId="5523" xr:uid="{80D458C1-0672-4DD7-9183-5A34480F7C26}"/>
    <cellStyle name="Calculation 13 3 3" xfId="4468" xr:uid="{6E9A9734-4BC5-4B2A-A3AC-DFD4B9B3A64C}"/>
    <cellStyle name="Calculation 13 3 3 2" xfId="5848" xr:uid="{B88A3236-91A9-4F9F-B6A1-6076FA19ACC2}"/>
    <cellStyle name="Calculation 13 3 3 3" xfId="6538" xr:uid="{86E4947D-B60B-40EB-81FA-A9E205E6A178}"/>
    <cellStyle name="Calculation 13 3 4" xfId="5827" xr:uid="{EAF4F0B2-2937-4456-8814-47FDEBBF7ED9}"/>
    <cellStyle name="Calculation 14 2" xfId="1265" xr:uid="{00000000-0005-0000-0000-000090040000}"/>
    <cellStyle name="Calculation 14 2 2" xfId="3803" xr:uid="{00000000-0005-0000-0000-000091040000}"/>
    <cellStyle name="Calculation 14 2 2 2" xfId="4765" xr:uid="{8E8A6D0C-EF55-4795-80E0-74C1040BFF2A}"/>
    <cellStyle name="Calculation 14 2 2 2 2" xfId="6145" xr:uid="{A5B26A20-80BD-4D85-9EB8-834044DC2B49}"/>
    <cellStyle name="Calculation 14 2 2 2 3" xfId="6835" xr:uid="{C56C95B6-85A6-4BBC-8096-C473202DB304}"/>
    <cellStyle name="Calculation 14 2 2 3" xfId="5522" xr:uid="{03FC7257-52ED-4770-80C4-58CA78ECAA66}"/>
    <cellStyle name="Calculation 14 2 3" xfId="4469" xr:uid="{F8217126-2F5D-4C87-817C-5B141FA83FD3}"/>
    <cellStyle name="Calculation 14 2 3 2" xfId="5849" xr:uid="{9C4FD651-ABE2-48FA-96B3-87480D7A9515}"/>
    <cellStyle name="Calculation 14 2 3 3" xfId="6539" xr:uid="{3ACB6925-E578-452B-97EF-4282F308826A}"/>
    <cellStyle name="Calculation 14 2 4" xfId="5772" xr:uid="{625FF4D6-B93D-42C1-9B39-27E8401AFD2B}"/>
    <cellStyle name="Calculation 14 3" xfId="1266" xr:uid="{00000000-0005-0000-0000-000092040000}"/>
    <cellStyle name="Calculation 14 3 2" xfId="3804" xr:uid="{00000000-0005-0000-0000-000093040000}"/>
    <cellStyle name="Calculation 14 3 2 2" xfId="4766" xr:uid="{C6C45004-7628-413F-8A19-86417FB8B05B}"/>
    <cellStyle name="Calculation 14 3 2 2 2" xfId="6146" xr:uid="{C20E482E-CEF4-4C19-ACE4-4C1A1BC9B525}"/>
    <cellStyle name="Calculation 14 3 2 2 3" xfId="6836" xr:uid="{03736839-23F1-4318-A088-4FA1E7937410}"/>
    <cellStyle name="Calculation 14 3 2 3" xfId="5521" xr:uid="{042AED48-33F7-4D1B-9E05-86FF077C6339}"/>
    <cellStyle name="Calculation 14 3 3" xfId="4470" xr:uid="{97C9B7ED-4CC0-41C3-B01B-8A14167C2845}"/>
    <cellStyle name="Calculation 14 3 3 2" xfId="5850" xr:uid="{3133FBA4-670F-4EC7-A065-D2C56E31CC8F}"/>
    <cellStyle name="Calculation 14 3 3 3" xfId="6540" xr:uid="{EF6A14A3-9C99-4894-B6E2-8997E5B7FBFB}"/>
    <cellStyle name="Calculation 14 3 4" xfId="5768" xr:uid="{2E874DEA-FC02-41BC-B95E-B04CC076FC2D}"/>
    <cellStyle name="Calculation 15" xfId="1267" xr:uid="{00000000-0005-0000-0000-000094040000}"/>
    <cellStyle name="Calculation 15 10" xfId="5767" xr:uid="{04360215-D124-45C6-A835-2EAA223B53E7}"/>
    <cellStyle name="Calculation 15 2" xfId="1268" xr:uid="{00000000-0005-0000-0000-000095040000}"/>
    <cellStyle name="Calculation 15 2 2" xfId="3805" xr:uid="{00000000-0005-0000-0000-000096040000}"/>
    <cellStyle name="Calculation 15 2 2 2" xfId="4767" xr:uid="{0D3586CD-2DDF-4CEA-B4AB-6347BABCF6D5}"/>
    <cellStyle name="Calculation 15 2 2 2 2" xfId="6147" xr:uid="{2BDC4FAB-7586-4EFC-88E4-53B8AD0555A1}"/>
    <cellStyle name="Calculation 15 2 2 2 3" xfId="6837" xr:uid="{83369108-4BC9-45B9-AD9C-A26A087703BE}"/>
    <cellStyle name="Calculation 15 2 2 3" xfId="5520" xr:uid="{9AE8D4FD-3F74-49BB-B09C-D10AE7700679}"/>
    <cellStyle name="Calculation 15 2 3" xfId="4472" xr:uid="{C4CD5FCD-B602-460B-815E-462D22333EA0}"/>
    <cellStyle name="Calculation 15 2 3 2" xfId="5852" xr:uid="{99AB3DDE-48B6-4B3D-BA0A-8C2A993F31AF}"/>
    <cellStyle name="Calculation 15 2 3 3" xfId="6542" xr:uid="{56F8F316-F460-4E54-A4CE-5742074FFC9A}"/>
    <cellStyle name="Calculation 15 2 4" xfId="5766" xr:uid="{819E089F-1F5F-4F06-9D62-9A7E4F768BF1}"/>
    <cellStyle name="Calculation 15 3" xfId="1269" xr:uid="{00000000-0005-0000-0000-000097040000}"/>
    <cellStyle name="Calculation 15 3 2" xfId="3806" xr:uid="{00000000-0005-0000-0000-000098040000}"/>
    <cellStyle name="Calculation 15 3 2 2" xfId="4768" xr:uid="{34119635-8DC7-44D4-9C8F-531840118586}"/>
    <cellStyle name="Calculation 15 3 2 2 2" xfId="6148" xr:uid="{9C8155FE-CA01-417E-BE70-E0FA02851256}"/>
    <cellStyle name="Calculation 15 3 2 2 3" xfId="6838" xr:uid="{75FE1356-74F0-4000-895C-C278E3D9952A}"/>
    <cellStyle name="Calculation 15 3 2 3" xfId="5519" xr:uid="{60B695B6-4F2E-47C3-A6E6-88AC11F1C0DF}"/>
    <cellStyle name="Calculation 15 3 3" xfId="4473" xr:uid="{3E9B205D-15C0-4412-8C01-90EDB43F92B2}"/>
    <cellStyle name="Calculation 15 3 3 2" xfId="5853" xr:uid="{DF537D00-6AFF-4CE8-8F9A-CC5D99434255}"/>
    <cellStyle name="Calculation 15 3 3 3" xfId="6543" xr:uid="{A922D359-891C-45AA-AAD2-2A3736F1AD7E}"/>
    <cellStyle name="Calculation 15 3 4" xfId="5765" xr:uid="{AE49994D-6CFC-464F-BE57-D5B65BA907AF}"/>
    <cellStyle name="Calculation 15 4" xfId="1270" xr:uid="{00000000-0005-0000-0000-000099040000}"/>
    <cellStyle name="Calculation 15 4 2" xfId="3807" xr:uid="{00000000-0005-0000-0000-00009A040000}"/>
    <cellStyle name="Calculation 15 4 2 2" xfId="4769" xr:uid="{D6781941-01FA-4501-AE67-7058561E5B59}"/>
    <cellStyle name="Calculation 15 4 2 2 2" xfId="6149" xr:uid="{CC3AD4FF-E873-4176-A964-F8992901EA20}"/>
    <cellStyle name="Calculation 15 4 2 2 3" xfId="6839" xr:uid="{FFC2C8BA-C99D-417F-8921-D6D4A0493701}"/>
    <cellStyle name="Calculation 15 4 2 3" xfId="5518" xr:uid="{1120878A-4F76-4F84-913E-3375420DE6BA}"/>
    <cellStyle name="Calculation 15 4 3" xfId="4474" xr:uid="{77CB3999-52BA-41BC-B55D-DB951ABAEEA1}"/>
    <cellStyle name="Calculation 15 4 3 2" xfId="5854" xr:uid="{052024DD-E404-4C2C-9F79-CDCE7E0E3E8C}"/>
    <cellStyle name="Calculation 15 4 3 3" xfId="6544" xr:uid="{31ABF003-24C3-40FB-BBFE-EF467CAE2153}"/>
    <cellStyle name="Calculation 15 4 4" xfId="5764" xr:uid="{728FDE1C-3912-4F1B-AB4C-1CE7CF36C564}"/>
    <cellStyle name="Calculation 15 5" xfId="1271" xr:uid="{00000000-0005-0000-0000-00009B040000}"/>
    <cellStyle name="Calculation 15 5 2" xfId="3808" xr:uid="{00000000-0005-0000-0000-00009C040000}"/>
    <cellStyle name="Calculation 15 5 2 2" xfId="4770" xr:uid="{E469A31A-0A91-4877-9FC9-C3B780A66B51}"/>
    <cellStyle name="Calculation 15 5 2 2 2" xfId="6150" xr:uid="{72B99804-4D91-4E1A-BF29-E362F476814A}"/>
    <cellStyle name="Calculation 15 5 2 2 3" xfId="6840" xr:uid="{06E2F8D8-F2CE-4DA5-9B0D-B9B843288B8A}"/>
    <cellStyle name="Calculation 15 5 2 3" xfId="5517" xr:uid="{B0FAE03E-DCB1-4242-83DF-3ED99F60B954}"/>
    <cellStyle name="Calculation 15 5 3" xfId="4475" xr:uid="{83700998-0E0B-4D95-8887-2D074ABB97ED}"/>
    <cellStyle name="Calculation 15 5 3 2" xfId="5855" xr:uid="{EE90508D-09D2-4D36-95AD-A19091AEC828}"/>
    <cellStyle name="Calculation 15 5 3 3" xfId="6545" xr:uid="{F61AC6BC-13C6-43F4-8C50-76C0BE3EF6D8}"/>
    <cellStyle name="Calculation 15 5 4" xfId="5763" xr:uid="{A1C05E66-F164-487F-9DDE-8F63EDDCF346}"/>
    <cellStyle name="Calculation 15 6" xfId="1272" xr:uid="{00000000-0005-0000-0000-00009D040000}"/>
    <cellStyle name="Calculation 15 6 2" xfId="3809" xr:uid="{00000000-0005-0000-0000-00009E040000}"/>
    <cellStyle name="Calculation 15 6 2 2" xfId="4771" xr:uid="{8BA0F756-E518-4390-8102-F01F15E64371}"/>
    <cellStyle name="Calculation 15 6 2 2 2" xfId="6151" xr:uid="{BF7B59DB-37EB-4D0E-95C0-81DCB09D7AD9}"/>
    <cellStyle name="Calculation 15 6 2 2 3" xfId="6841" xr:uid="{FC9B719C-83D6-45F4-BE99-F33E1189A22F}"/>
    <cellStyle name="Calculation 15 6 2 3" xfId="5516" xr:uid="{3BA0403D-A892-44F8-AB09-591944A6D309}"/>
    <cellStyle name="Calculation 15 6 3" xfId="4476" xr:uid="{E358F863-8629-48F0-B49C-0470662BE673}"/>
    <cellStyle name="Calculation 15 6 3 2" xfId="5856" xr:uid="{E09826A0-B7C5-42BE-9081-87CF41E325C9}"/>
    <cellStyle name="Calculation 15 6 3 3" xfId="6546" xr:uid="{80EB0AAD-EE10-4878-B2E7-30100A6C581A}"/>
    <cellStyle name="Calculation 15 6 4" xfId="5762" xr:uid="{7E068C3B-9368-4E5E-B661-1BC75F41DC10}"/>
    <cellStyle name="Calculation 15 7" xfId="1273" xr:uid="{00000000-0005-0000-0000-00009F040000}"/>
    <cellStyle name="Calculation 15 7 2" xfId="3810" xr:uid="{00000000-0005-0000-0000-0000A0040000}"/>
    <cellStyle name="Calculation 15 7 2 2" xfId="4772" xr:uid="{D7D58800-11B7-47D4-9873-355059DB08E3}"/>
    <cellStyle name="Calculation 15 7 2 2 2" xfId="6152" xr:uid="{19B7FBA9-EC15-4979-95A6-6443013965AA}"/>
    <cellStyle name="Calculation 15 7 2 2 3" xfId="6842" xr:uid="{48518B8F-6401-4A8E-81EE-23D76D4F69E2}"/>
    <cellStyle name="Calculation 15 7 2 3" xfId="5515" xr:uid="{6D66FF87-85A4-40F2-B859-E453852917D7}"/>
    <cellStyle name="Calculation 15 7 3" xfId="4477" xr:uid="{06618D13-A373-476A-B08E-0222620BE65E}"/>
    <cellStyle name="Calculation 15 7 3 2" xfId="5857" xr:uid="{B5DAF41D-18DC-4D40-BEE3-4FE4E04D35CF}"/>
    <cellStyle name="Calculation 15 7 3 3" xfId="6547" xr:uid="{A461A024-8200-4BDB-85F4-9EC0E253422A}"/>
    <cellStyle name="Calculation 15 7 4" xfId="5761" xr:uid="{F59606CF-DAB1-4D98-93C7-2285CD4E2A8D}"/>
    <cellStyle name="Calculation 15 8" xfId="3811" xr:uid="{00000000-0005-0000-0000-0000A1040000}"/>
    <cellStyle name="Calculation 15 8 2" xfId="4773" xr:uid="{04D1D77C-CC66-4670-982E-37B3BF3D6A65}"/>
    <cellStyle name="Calculation 15 8 2 2" xfId="6153" xr:uid="{56ED7084-1894-4858-B23A-812CDEAF0CB1}"/>
    <cellStyle name="Calculation 15 8 2 3" xfId="6843" xr:uid="{D3A6C8D4-3F9E-4D07-8DBE-92190B08676E}"/>
    <cellStyle name="Calculation 15 8 3" xfId="5514" xr:uid="{CDB14D95-D675-4C7A-A2B0-77BC1ECE3DEB}"/>
    <cellStyle name="Calculation 15 9" xfId="4471" xr:uid="{2482482B-4371-4EEF-BEF7-4E5FDC07D014}"/>
    <cellStyle name="Calculation 15 9 2" xfId="5851" xr:uid="{CF1706AC-E39A-46A9-B218-C4778A389CA5}"/>
    <cellStyle name="Calculation 15 9 3" xfId="6541" xr:uid="{D9DCB42F-0D56-4248-91EF-437A678ACEFC}"/>
    <cellStyle name="Calculation 16" xfId="1274" xr:uid="{00000000-0005-0000-0000-0000A2040000}"/>
    <cellStyle name="Calculation 16 2" xfId="3812" xr:uid="{00000000-0005-0000-0000-0000A3040000}"/>
    <cellStyle name="Calculation 16 2 2" xfId="4774" xr:uid="{69E99070-D5AF-4171-AC12-E018F82C49E5}"/>
    <cellStyle name="Calculation 16 2 2 2" xfId="6154" xr:uid="{48D82B30-24FB-45C0-9C2C-F60277434E31}"/>
    <cellStyle name="Calculation 16 2 2 3" xfId="6844" xr:uid="{F347967A-ABA4-46F0-9FB1-5B76C452C714}"/>
    <cellStyle name="Calculation 16 2 3" xfId="5513" xr:uid="{EB950C21-857C-4B1F-9A31-5532815D3371}"/>
    <cellStyle name="Calculation 16 3" xfId="4478" xr:uid="{CC5FF4E4-AB05-4CF8-99C2-B7DC9F80B072}"/>
    <cellStyle name="Calculation 16 3 2" xfId="5858" xr:uid="{507BA01F-8700-4798-AE5A-DFC1440185B1}"/>
    <cellStyle name="Calculation 16 3 3" xfId="6548" xr:uid="{C1704EF0-BA86-4455-A8FB-E3FD4D2EFF01}"/>
    <cellStyle name="Calculation 16 4" xfId="5760" xr:uid="{5C9EFD3B-71B4-415B-B424-47528B96954F}"/>
    <cellStyle name="Calculation 17" xfId="1275" xr:uid="{00000000-0005-0000-0000-0000A4040000}"/>
    <cellStyle name="Calculation 17 2" xfId="3813" xr:uid="{00000000-0005-0000-0000-0000A5040000}"/>
    <cellStyle name="Calculation 17 2 2" xfId="4775" xr:uid="{4549D255-D6D5-4ED0-BBEB-18F6FC4C3D57}"/>
    <cellStyle name="Calculation 17 2 2 2" xfId="6155" xr:uid="{9B569DFD-5571-47A5-9985-A8D0F2CB3894}"/>
    <cellStyle name="Calculation 17 2 2 3" xfId="6845" xr:uid="{A00DCCC7-7778-4971-A13C-7EDF99883E6E}"/>
    <cellStyle name="Calculation 17 2 3" xfId="5787" xr:uid="{335B83BB-FF0F-4B15-A829-8C2AAE2FD47D}"/>
    <cellStyle name="Calculation 17 3" xfId="4479" xr:uid="{733792D4-456B-45B9-9A7A-393CA9577C07}"/>
    <cellStyle name="Calculation 17 3 2" xfId="5859" xr:uid="{18D497C2-9204-496E-85FC-EFDD0B5E0B95}"/>
    <cellStyle name="Calculation 17 3 3" xfId="6549" xr:uid="{76E774FC-416B-48BD-813F-B9B410287CEC}"/>
    <cellStyle name="Calculation 17 4" xfId="5759" xr:uid="{3D3896E1-24D6-4B8F-A8A1-2C6F05FE2CCC}"/>
    <cellStyle name="Calculation 18" xfId="1276" xr:uid="{00000000-0005-0000-0000-0000A6040000}"/>
    <cellStyle name="Calculation 18 2" xfId="3814" xr:uid="{00000000-0005-0000-0000-0000A7040000}"/>
    <cellStyle name="Calculation 18 2 2" xfId="4776" xr:uid="{7DAC3118-065D-46D6-9438-87FDA12D4660}"/>
    <cellStyle name="Calculation 18 2 2 2" xfId="6156" xr:uid="{6AC10B26-F513-49E2-ADBA-039DA532D427}"/>
    <cellStyle name="Calculation 18 2 2 3" xfId="6846" xr:uid="{2DCF0FE4-CA03-491B-83EA-8F16E1FC3F5F}"/>
    <cellStyle name="Calculation 18 2 3" xfId="5512" xr:uid="{C2199EE9-A3C3-4B56-A273-31D79B671A7E}"/>
    <cellStyle name="Calculation 18 3" xfId="4480" xr:uid="{3224D182-AFB0-42CF-A847-19EE9FF59C54}"/>
    <cellStyle name="Calculation 18 3 2" xfId="5860" xr:uid="{ABFCF154-E548-4C66-8ED1-8E8A813A94D4}"/>
    <cellStyle name="Calculation 18 3 3" xfId="6550" xr:uid="{A319C7F4-D74B-4F0C-9BDD-7BE2EF71D46C}"/>
    <cellStyle name="Calculation 18 4" xfId="5822" xr:uid="{A410CAF1-6302-4F91-8A3A-E2C204D8F480}"/>
    <cellStyle name="Calculation 19" xfId="1277" xr:uid="{00000000-0005-0000-0000-0000A8040000}"/>
    <cellStyle name="Calculation 19 2" xfId="3815" xr:uid="{00000000-0005-0000-0000-0000A9040000}"/>
    <cellStyle name="Calculation 19 2 2" xfId="4777" xr:uid="{8A40187F-BA69-4330-BED9-1F033BCE9798}"/>
    <cellStyle name="Calculation 19 2 2 2" xfId="6157" xr:uid="{010B7D19-56DF-47E6-8AE2-73F561A2FF40}"/>
    <cellStyle name="Calculation 19 2 2 3" xfId="6847" xr:uid="{CFDD6FBA-2687-499F-8886-77D03946B645}"/>
    <cellStyle name="Calculation 19 2 3" xfId="5511" xr:uid="{69394FEF-CEEE-4971-BB0C-85F89A74F869}"/>
    <cellStyle name="Calculation 19 3" xfId="4481" xr:uid="{1E730D60-E059-4351-B8F3-297C6C4F27BA}"/>
    <cellStyle name="Calculation 19 3 2" xfId="5861" xr:uid="{A17548DA-6113-42C6-A0D7-B0867FFB2740}"/>
    <cellStyle name="Calculation 19 3 3" xfId="6551" xr:uid="{17065631-D29F-49B2-9A35-2B0D0581D37D}"/>
    <cellStyle name="Calculation 19 4" xfId="5758" xr:uid="{3AEAC04A-802A-4ABF-BA76-5C0A607E3DBC}"/>
    <cellStyle name="Calculation 2" xfId="1278" xr:uid="{00000000-0005-0000-0000-0000AA040000}"/>
    <cellStyle name="Calculation 2 2" xfId="1279" xr:uid="{00000000-0005-0000-0000-0000AB040000}"/>
    <cellStyle name="Calculation 2 2 2" xfId="3816" xr:uid="{00000000-0005-0000-0000-0000AC040000}"/>
    <cellStyle name="Calculation 2 2 2 2" xfId="4778" xr:uid="{47E43AB4-D945-46C9-8AA6-A2DC9D39544B}"/>
    <cellStyle name="Calculation 2 2 2 2 2" xfId="6158" xr:uid="{A940402A-7240-4B61-A08D-96F14B3A1CEC}"/>
    <cellStyle name="Calculation 2 2 2 2 3" xfId="6848" xr:uid="{ED8B1D1C-E290-4850-B797-83B94B1EE713}"/>
    <cellStyle name="Calculation 2 2 2 3" xfId="5510" xr:uid="{E7336BF3-83A0-48FC-B792-74B99D8488F2}"/>
    <cellStyle name="Calculation 2 2 3" xfId="4482" xr:uid="{CD78765D-EC0E-4757-A837-B80BAAF337EF}"/>
    <cellStyle name="Calculation 2 2 3 2" xfId="5862" xr:uid="{939C3EA8-FBCB-4E37-96A0-5B30F9CC9F1F}"/>
    <cellStyle name="Calculation 2 2 3 3" xfId="6552" xr:uid="{693136A9-BDE3-4289-954C-54744F593606}"/>
    <cellStyle name="Calculation 2 2 4" xfId="5757" xr:uid="{B1402BAC-71AE-4B56-987A-980CF4473D1A}"/>
    <cellStyle name="Calculation 2 3" xfId="1280" xr:uid="{00000000-0005-0000-0000-0000AD040000}"/>
    <cellStyle name="Calculation 2 3 2" xfId="3817" xr:uid="{00000000-0005-0000-0000-0000AE040000}"/>
    <cellStyle name="Calculation 2 3 2 2" xfId="4779" xr:uid="{B2068EAD-842D-4CF3-A6B6-8BA49433854A}"/>
    <cellStyle name="Calculation 2 3 2 2 2" xfId="6159" xr:uid="{29788273-5353-46D9-846C-DD60EBA884A3}"/>
    <cellStyle name="Calculation 2 3 2 2 3" xfId="6849" xr:uid="{916ACF48-48F1-40B4-9998-98617A0591F9}"/>
    <cellStyle name="Calculation 2 3 2 3" xfId="5509" xr:uid="{FA828123-2099-4D22-804D-B7C23A7076BB}"/>
    <cellStyle name="Calculation 2 3 3" xfId="4483" xr:uid="{AF653676-3B07-44AF-8DD2-2A11DB295B8B}"/>
    <cellStyle name="Calculation 2 3 3 2" xfId="5863" xr:uid="{ECC00414-FF21-4C0B-944F-E3947F6E680E}"/>
    <cellStyle name="Calculation 2 3 3 3" xfId="6553" xr:uid="{D225E7D5-6FA0-4124-9E42-8A2123C4BAEB}"/>
    <cellStyle name="Calculation 2 3 4" xfId="5756" xr:uid="{A7771ABB-9409-45D2-AE36-DAA1C87D050D}"/>
    <cellStyle name="Calculation 2 4" xfId="3818" xr:uid="{00000000-0005-0000-0000-0000AF040000}"/>
    <cellStyle name="Calculation 2 4 2" xfId="4780" xr:uid="{67DF7F9F-FCD9-4F8E-A428-9D3BAFC0917E}"/>
    <cellStyle name="Calculation 2 4 2 2" xfId="6160" xr:uid="{DC9B8D5D-D902-43F9-B62D-E2E55C3534C5}"/>
    <cellStyle name="Calculation 2 4 2 3" xfId="6850" xr:uid="{024256EA-EDEF-443F-A4D5-BDB254085710}"/>
    <cellStyle name="Calculation 2 4 3" xfId="5508" xr:uid="{862D06E7-F5F1-488E-844A-15EF43AAFBB1}"/>
    <cellStyle name="Calculation 2 5" xfId="3819" xr:uid="{00000000-0005-0000-0000-0000B0040000}"/>
    <cellStyle name="Calculation 20" xfId="1281" xr:uid="{00000000-0005-0000-0000-0000B1040000}"/>
    <cellStyle name="Calculation 20 2" xfId="3820" xr:uid="{00000000-0005-0000-0000-0000B2040000}"/>
    <cellStyle name="Calculation 20 2 2" xfId="4781" xr:uid="{920F536B-C40F-4ECB-8FE6-A5B9DFF0D1FC}"/>
    <cellStyle name="Calculation 20 2 2 2" xfId="6161" xr:uid="{EFF57EEF-F9EB-46B4-9193-CB64B738DD75}"/>
    <cellStyle name="Calculation 20 2 2 3" xfId="6851" xr:uid="{CDA13A84-6981-46DE-B8F2-0C8FF5E0C389}"/>
    <cellStyle name="Calculation 20 2 3" xfId="5786" xr:uid="{8E5F3BBD-7071-4430-9AA7-5D2D4E521CC1}"/>
    <cellStyle name="Calculation 20 3" xfId="4484" xr:uid="{30B78413-1A2E-4699-801A-FEE126B521C9}"/>
    <cellStyle name="Calculation 20 3 2" xfId="5864" xr:uid="{9F2DE19C-3026-4298-9EC3-772C2DCFF726}"/>
    <cellStyle name="Calculation 20 3 3" xfId="6554" xr:uid="{3F1CA6D6-6B28-4158-950E-82749BAA02CE}"/>
    <cellStyle name="Calculation 20 4" xfId="5755" xr:uid="{A65DC8DD-3C7A-4660-A83B-02975022248E}"/>
    <cellStyle name="Calculation 21" xfId="1282" xr:uid="{00000000-0005-0000-0000-0000B3040000}"/>
    <cellStyle name="Calculation 21 2" xfId="3821" xr:uid="{00000000-0005-0000-0000-0000B4040000}"/>
    <cellStyle name="Calculation 21 2 2" xfId="4782" xr:uid="{9A47A701-B9CE-4486-A389-407EEEE84B21}"/>
    <cellStyle name="Calculation 21 2 2 2" xfId="6162" xr:uid="{CF7C7F61-056F-4452-9EDE-357106014D1E}"/>
    <cellStyle name="Calculation 21 2 2 3" xfId="6852" xr:uid="{3DA52684-52E8-40A8-ADA2-F832A18EE4F9}"/>
    <cellStyle name="Calculation 21 2 3" xfId="5507" xr:uid="{A60EB1DD-DB04-49C2-B408-3C5BB3582A2A}"/>
    <cellStyle name="Calculation 21 3" xfId="4485" xr:uid="{E4EDACDB-629A-488C-A434-5B8CB6854951}"/>
    <cellStyle name="Calculation 21 3 2" xfId="5865" xr:uid="{2D0C4688-BD09-4C38-B669-448E348CB2F3}"/>
    <cellStyle name="Calculation 21 3 3" xfId="6555" xr:uid="{E439BE98-D28F-46A7-A9E2-8CF9A4CC00FD}"/>
    <cellStyle name="Calculation 21 4" xfId="5821" xr:uid="{D264F422-A9F0-438D-AA97-6C10F1602397}"/>
    <cellStyle name="Calculation 22" xfId="1283" xr:uid="{00000000-0005-0000-0000-0000B5040000}"/>
    <cellStyle name="Calculation 22 2" xfId="3822" xr:uid="{00000000-0005-0000-0000-0000B6040000}"/>
    <cellStyle name="Calculation 22 2 2" xfId="4783" xr:uid="{4080128C-198C-4A95-B279-B245C8717F1E}"/>
    <cellStyle name="Calculation 22 2 2 2" xfId="6163" xr:uid="{3E387D30-A5C9-4D58-AD81-9DAF2EC21E06}"/>
    <cellStyle name="Calculation 22 2 2 3" xfId="6853" xr:uid="{F00465AD-F402-4BDE-A179-B081654EF755}"/>
    <cellStyle name="Calculation 22 2 3" xfId="5506" xr:uid="{F0728AF2-DBBC-4F39-A247-831E574DBC67}"/>
    <cellStyle name="Calculation 22 3" xfId="4486" xr:uid="{1812ACBC-5953-44AA-BADA-033DFFE45B38}"/>
    <cellStyle name="Calculation 22 3 2" xfId="5866" xr:uid="{911F95D6-2A8B-4965-965D-3FDBB12D3B8B}"/>
    <cellStyle name="Calculation 22 3 3" xfId="6556" xr:uid="{289ADEDC-86AF-46DA-9818-DF9585C620E7}"/>
    <cellStyle name="Calculation 22 4" xfId="5754" xr:uid="{30A1036C-859C-41D4-9327-15DE94B0E168}"/>
    <cellStyle name="Calculation 3" xfId="1284" xr:uid="{00000000-0005-0000-0000-0000B7040000}"/>
    <cellStyle name="Calculation 3 2" xfId="1285" xr:uid="{00000000-0005-0000-0000-0000B8040000}"/>
    <cellStyle name="Calculation 3 2 2" xfId="3823" xr:uid="{00000000-0005-0000-0000-0000B9040000}"/>
    <cellStyle name="Calculation 3 2 2 2" xfId="4784" xr:uid="{70CD1620-D316-4003-BB25-A713B678E72D}"/>
    <cellStyle name="Calculation 3 2 2 2 2" xfId="6164" xr:uid="{7A2B1311-228F-4F28-B73E-97320EB2B461}"/>
    <cellStyle name="Calculation 3 2 2 2 3" xfId="6854" xr:uid="{C66BFCF2-1899-49EA-8D8B-94CBD7FDA4BE}"/>
    <cellStyle name="Calculation 3 2 2 3" xfId="5505" xr:uid="{5326BABA-9ADC-4322-BE43-674273130129}"/>
    <cellStyle name="Calculation 3 2 3" xfId="4487" xr:uid="{227BDB3D-2840-47AE-AF46-40B775E75EDF}"/>
    <cellStyle name="Calculation 3 2 3 2" xfId="5867" xr:uid="{FE7A575C-32A7-4179-A6B8-DE2FEC51A984}"/>
    <cellStyle name="Calculation 3 2 3 3" xfId="6557" xr:uid="{0ED845D9-9E07-435D-A4AC-767F47FBDFE9}"/>
    <cellStyle name="Calculation 3 2 4" xfId="5753" xr:uid="{FF79FC11-BD1A-4319-B81B-3DBF0476D193}"/>
    <cellStyle name="Calculation 3 3" xfId="1286" xr:uid="{00000000-0005-0000-0000-0000BA040000}"/>
    <cellStyle name="Calculation 3 3 2" xfId="3824" xr:uid="{00000000-0005-0000-0000-0000BB040000}"/>
    <cellStyle name="Calculation 3 3 2 2" xfId="4785" xr:uid="{5E079006-6AC3-47E2-9A57-2FBBB7A58BF6}"/>
    <cellStyle name="Calculation 3 3 2 2 2" xfId="6165" xr:uid="{039AE171-98B2-4692-AEC3-66AC14940530}"/>
    <cellStyle name="Calculation 3 3 2 2 3" xfId="6855" xr:uid="{D6571E5B-F095-4B86-B3AD-5EB7CD1FB8DB}"/>
    <cellStyle name="Calculation 3 3 2 3" xfId="5504" xr:uid="{DF5541CD-1BD9-4422-BB36-322F3ECEE7B9}"/>
    <cellStyle name="Calculation 3 3 3" xfId="4488" xr:uid="{420E2453-ED0A-4CDD-852C-4B913B62D9EF}"/>
    <cellStyle name="Calculation 3 3 3 2" xfId="5868" xr:uid="{C470C19B-2995-47C7-B33E-F864071AFE5A}"/>
    <cellStyle name="Calculation 3 3 3 3" xfId="6558" xr:uid="{4225A946-9C0B-4994-BDAA-025A260F394A}"/>
    <cellStyle name="Calculation 3 3 4" xfId="5752" xr:uid="{A14D7897-B7BF-4F38-A3B8-855C5942D6EB}"/>
    <cellStyle name="Calculation 3 4" xfId="3825" xr:uid="{00000000-0005-0000-0000-0000BC040000}"/>
    <cellStyle name="Calculation 3 4 2" xfId="4786" xr:uid="{462B8A47-0BF3-4175-A183-4E1A663B732B}"/>
    <cellStyle name="Calculation 3 4 2 2" xfId="6166" xr:uid="{131C26FA-DF62-4CDD-ACC1-88F4881042E4}"/>
    <cellStyle name="Calculation 3 4 2 3" xfId="6856" xr:uid="{25AD0D51-3BF1-4D03-B129-3F2C1BC332EA}"/>
    <cellStyle name="Calculation 3 4 3" xfId="5503" xr:uid="{49756555-9F13-4671-888C-C5DE5C661DAD}"/>
    <cellStyle name="Calculation 3 5" xfId="3826" xr:uid="{00000000-0005-0000-0000-0000BD040000}"/>
    <cellStyle name="Calculation 4" xfId="1287" xr:uid="{00000000-0005-0000-0000-0000BE040000}"/>
    <cellStyle name="Calculation 4 2" xfId="1288" xr:uid="{00000000-0005-0000-0000-0000BF040000}"/>
    <cellStyle name="Calculation 4 2 2" xfId="3827" xr:uid="{00000000-0005-0000-0000-0000C0040000}"/>
    <cellStyle name="Calculation 4 2 2 2" xfId="4787" xr:uid="{C60BAE64-E5B0-4D62-ACBE-442A58AE3604}"/>
    <cellStyle name="Calculation 4 2 2 2 2" xfId="6167" xr:uid="{804D340D-0E0F-48B6-AE1D-42E7F7BE805F}"/>
    <cellStyle name="Calculation 4 2 2 2 3" xfId="6857" xr:uid="{4D8F4857-3457-4171-ACA5-3C42025E62F3}"/>
    <cellStyle name="Calculation 4 2 2 3" xfId="5502" xr:uid="{8551F9CF-1E0F-482C-9AC7-43EA3D3D8ED8}"/>
    <cellStyle name="Calculation 4 2 3" xfId="4490" xr:uid="{ED5C3BA2-66B1-448F-915A-3E391B2935B3}"/>
    <cellStyle name="Calculation 4 2 3 2" xfId="5870" xr:uid="{5B23F4AB-A53A-4315-B520-197F04F42C93}"/>
    <cellStyle name="Calculation 4 2 3 3" xfId="6560" xr:uid="{1276B9AE-F8CB-4956-AF1B-CA3B90E254DA}"/>
    <cellStyle name="Calculation 4 2 4" xfId="5750" xr:uid="{EE8C82C4-DA2D-4B23-A7C7-202916925BCE}"/>
    <cellStyle name="Calculation 4 3" xfId="1289" xr:uid="{00000000-0005-0000-0000-0000C1040000}"/>
    <cellStyle name="Calculation 4 3 2" xfId="3828" xr:uid="{00000000-0005-0000-0000-0000C2040000}"/>
    <cellStyle name="Calculation 4 3 2 2" xfId="4788" xr:uid="{129DC85A-D6D5-4773-8F1F-9EDE9DCD3885}"/>
    <cellStyle name="Calculation 4 3 2 2 2" xfId="6168" xr:uid="{36C482DF-1486-4BB6-B36F-C504ABE3022B}"/>
    <cellStyle name="Calculation 4 3 2 2 3" xfId="6858" xr:uid="{D135A530-047B-400A-B1DF-F71F0F5B5242}"/>
    <cellStyle name="Calculation 4 3 2 3" xfId="5501" xr:uid="{04D7E68A-CFBB-4F8C-B443-36C71A07E115}"/>
    <cellStyle name="Calculation 4 3 3" xfId="4491" xr:uid="{E27D29B8-8A67-4A52-B256-07D99911E6B1}"/>
    <cellStyle name="Calculation 4 3 3 2" xfId="5871" xr:uid="{2639B847-5592-418E-90BE-CB634A04C416}"/>
    <cellStyle name="Calculation 4 3 3 3" xfId="6561" xr:uid="{037BB041-6A7C-4F83-990A-70FA3AE98EFB}"/>
    <cellStyle name="Calculation 4 3 4" xfId="5749" xr:uid="{FD3EE975-B73A-443F-842B-AB2FE596C84C}"/>
    <cellStyle name="Calculation 4 4" xfId="3829" xr:uid="{00000000-0005-0000-0000-0000C3040000}"/>
    <cellStyle name="Calculation 4 4 2" xfId="4789" xr:uid="{9950F5DB-0220-43FD-AFEA-1FF1CEB3744C}"/>
    <cellStyle name="Calculation 4 4 2 2" xfId="6169" xr:uid="{C7A53A57-28BA-4ABB-A236-8FDB6CC6AF97}"/>
    <cellStyle name="Calculation 4 4 2 3" xfId="6859" xr:uid="{4C5275F0-5D92-416D-B1A5-5A03D193852C}"/>
    <cellStyle name="Calculation 4 4 3" xfId="5500" xr:uid="{CE9051DF-B772-4778-AE8E-C608D96F723D}"/>
    <cellStyle name="Calculation 4 5" xfId="4489" xr:uid="{47E940EE-F495-4C19-B4D4-3B0EE6BAA430}"/>
    <cellStyle name="Calculation 4 5 2" xfId="5869" xr:uid="{DED644FF-2297-4AD7-942F-4AD73261A645}"/>
    <cellStyle name="Calculation 4 5 3" xfId="6559" xr:uid="{182181A5-B13E-421B-8A85-30236CDE60BE}"/>
    <cellStyle name="Calculation 4 6" xfId="5751" xr:uid="{E80B2C8F-4452-4CBD-B20B-CA99106AB6CC}"/>
    <cellStyle name="Calculation 5 2" xfId="1290" xr:uid="{00000000-0005-0000-0000-0000C4040000}"/>
    <cellStyle name="Calculation 5 2 2" xfId="3830" xr:uid="{00000000-0005-0000-0000-0000C5040000}"/>
    <cellStyle name="Calculation 5 2 2 2" xfId="4790" xr:uid="{AA911E3E-4CBD-4F7E-9411-72233560A4B8}"/>
    <cellStyle name="Calculation 5 2 2 2 2" xfId="6170" xr:uid="{ED509785-AD27-4962-8F48-C2ACEA77260F}"/>
    <cellStyle name="Calculation 5 2 2 2 3" xfId="6860" xr:uid="{45959C6C-D75D-4886-BB93-181FF98BA93A}"/>
    <cellStyle name="Calculation 5 2 2 3" xfId="5499" xr:uid="{2882F527-0172-4639-8305-1D0A6639FE99}"/>
    <cellStyle name="Calculation 5 2 3" xfId="4492" xr:uid="{EDA23837-EDB0-40B6-BA49-818C2DC1DFC9}"/>
    <cellStyle name="Calculation 5 2 3 2" xfId="5872" xr:uid="{89DA05CD-3CB6-4F7E-8023-44A80BE8998B}"/>
    <cellStyle name="Calculation 5 2 3 3" xfId="6562" xr:uid="{72D30CD5-2485-448C-B8D5-82EB2455F51E}"/>
    <cellStyle name="Calculation 5 2 4" xfId="5748" xr:uid="{68A55937-12D3-46C7-AD35-C2855FACC125}"/>
    <cellStyle name="Calculation 5 3" xfId="1291" xr:uid="{00000000-0005-0000-0000-0000C6040000}"/>
    <cellStyle name="Calculation 5 3 2" xfId="3831" xr:uid="{00000000-0005-0000-0000-0000C7040000}"/>
    <cellStyle name="Calculation 5 3 2 2" xfId="4791" xr:uid="{412DE22A-1B25-493D-A268-E65577D8E6D2}"/>
    <cellStyle name="Calculation 5 3 2 2 2" xfId="6171" xr:uid="{13964B29-0692-4230-85ED-5566A1469BC3}"/>
    <cellStyle name="Calculation 5 3 2 2 3" xfId="6861" xr:uid="{9F325F0D-C65B-49CD-8E3F-F746FE964F6E}"/>
    <cellStyle name="Calculation 5 3 2 3" xfId="5498" xr:uid="{4D4D38DC-1E3C-4364-A99B-6DA4C0162016}"/>
    <cellStyle name="Calculation 5 3 3" xfId="4493" xr:uid="{CEF18F8C-C081-46DD-B090-E03B15EA2C2D}"/>
    <cellStyle name="Calculation 5 3 3 2" xfId="5873" xr:uid="{516F200F-D5EF-4D98-84B5-310520930EA9}"/>
    <cellStyle name="Calculation 5 3 3 3" xfId="6563" xr:uid="{15CBFE82-FD4A-454C-82EB-26CC6E6A8E17}"/>
    <cellStyle name="Calculation 5 3 4" xfId="5747" xr:uid="{E9ED6303-B02E-4AB2-85A3-65C5CD093FF5}"/>
    <cellStyle name="Calculation 6 2" xfId="1292" xr:uid="{00000000-0005-0000-0000-0000C8040000}"/>
    <cellStyle name="Calculation 6 2 2" xfId="3832" xr:uid="{00000000-0005-0000-0000-0000C9040000}"/>
    <cellStyle name="Calculation 6 2 2 2" xfId="4792" xr:uid="{D5D35010-4054-4370-ACED-C10FA8A17784}"/>
    <cellStyle name="Calculation 6 2 2 2 2" xfId="6172" xr:uid="{4B6F1E1A-5335-4CC6-BA85-E113D63D4502}"/>
    <cellStyle name="Calculation 6 2 2 2 3" xfId="6862" xr:uid="{5499055A-F3A8-4932-BD26-CF8319050EFA}"/>
    <cellStyle name="Calculation 6 2 2 3" xfId="5497" xr:uid="{00A327DD-CC08-4DE3-8D4C-65C4237B4CF5}"/>
    <cellStyle name="Calculation 6 2 3" xfId="4494" xr:uid="{7B4EFE56-04C3-44F1-A102-6CCAB74CC8B1}"/>
    <cellStyle name="Calculation 6 2 3 2" xfId="5874" xr:uid="{1B663295-2017-4516-9D63-2128A43A0111}"/>
    <cellStyle name="Calculation 6 2 3 3" xfId="6564" xr:uid="{9CACDD8C-4D5B-42F9-A676-9CD2761163A6}"/>
    <cellStyle name="Calculation 6 2 4" xfId="5746" xr:uid="{0A4447C0-3E16-42DD-B576-629923DD4E3B}"/>
    <cellStyle name="Calculation 6 3" xfId="1293" xr:uid="{00000000-0005-0000-0000-0000CA040000}"/>
    <cellStyle name="Calculation 6 3 2" xfId="3833" xr:uid="{00000000-0005-0000-0000-0000CB040000}"/>
    <cellStyle name="Calculation 6 3 2 2" xfId="4793" xr:uid="{7D71251E-2508-4DBA-85A0-FC9509D90017}"/>
    <cellStyle name="Calculation 6 3 2 2 2" xfId="6173" xr:uid="{DF294EB8-A6CD-4094-BF2B-A65FA7A57179}"/>
    <cellStyle name="Calculation 6 3 2 2 3" xfId="6863" xr:uid="{7C1E6130-08D2-4AD4-8DD5-3C4189940D9D}"/>
    <cellStyle name="Calculation 6 3 2 3" xfId="5496" xr:uid="{CC233CD3-185A-41AC-9CA1-1D4646069BBB}"/>
    <cellStyle name="Calculation 6 3 3" xfId="4495" xr:uid="{5C06DC9C-4A60-41CB-8C9C-7AE2BDE3FFD8}"/>
    <cellStyle name="Calculation 6 3 3 2" xfId="5875" xr:uid="{93B920C2-5429-48AF-89CC-A7108FCA63E3}"/>
    <cellStyle name="Calculation 6 3 3 3" xfId="6565" xr:uid="{31AF496C-262F-4F22-8438-0C79337C5DDC}"/>
    <cellStyle name="Calculation 6 3 4" xfId="5826" xr:uid="{9FB66436-25B4-4CF9-9CC0-B1443CF2BC49}"/>
    <cellStyle name="Calculation 7 2" xfId="1294" xr:uid="{00000000-0005-0000-0000-0000CC040000}"/>
    <cellStyle name="Calculation 7 2 2" xfId="3834" xr:uid="{00000000-0005-0000-0000-0000CD040000}"/>
    <cellStyle name="Calculation 7 2 2 2" xfId="4794" xr:uid="{406ED88B-2ABF-48AF-A186-CE35D902035F}"/>
    <cellStyle name="Calculation 7 2 2 2 2" xfId="6174" xr:uid="{6EA63980-6218-4612-9ECE-F68BD9B7CC89}"/>
    <cellStyle name="Calculation 7 2 2 2 3" xfId="6864" xr:uid="{2A6DF00E-8BC3-443B-A881-DFA73E3DF91F}"/>
    <cellStyle name="Calculation 7 2 2 3" xfId="5495" xr:uid="{A913D50C-3138-4A40-AB9E-443261CC7E98}"/>
    <cellStyle name="Calculation 7 2 3" xfId="4496" xr:uid="{B1704D57-4E46-4355-B980-0A83A61F456A}"/>
    <cellStyle name="Calculation 7 2 3 2" xfId="5876" xr:uid="{83EF7976-B14D-4E2C-A379-B7CA5C1226E6}"/>
    <cellStyle name="Calculation 7 2 3 3" xfId="6566" xr:uid="{768762B9-F399-478E-9E4A-61A702D58A86}"/>
    <cellStyle name="Calculation 7 2 4" xfId="5771" xr:uid="{6A6EF10F-B533-4E5E-A089-7AA69A40726D}"/>
    <cellStyle name="Calculation 7 3" xfId="1295" xr:uid="{00000000-0005-0000-0000-0000CE040000}"/>
    <cellStyle name="Calculation 7 3 2" xfId="3835" xr:uid="{00000000-0005-0000-0000-0000CF040000}"/>
    <cellStyle name="Calculation 7 3 2 2" xfId="4795" xr:uid="{F8A64415-CE34-435F-B156-CC49CC2C326F}"/>
    <cellStyle name="Calculation 7 3 2 2 2" xfId="6175" xr:uid="{EAB76F3C-4012-4B15-AA15-3269FBFC4391}"/>
    <cellStyle name="Calculation 7 3 2 2 3" xfId="6865" xr:uid="{8289E2DF-0363-4C95-8E99-0901554B5803}"/>
    <cellStyle name="Calculation 7 3 2 3" xfId="5494" xr:uid="{C7AC8FD6-10DE-4488-9282-7A27ABC40C8A}"/>
    <cellStyle name="Calculation 7 3 3" xfId="4497" xr:uid="{6ECFA9A5-71BA-4692-B68E-EC5B994604C8}"/>
    <cellStyle name="Calculation 7 3 3 2" xfId="5877" xr:uid="{9D71993A-0FFF-45ED-A303-4D0F2A9113DD}"/>
    <cellStyle name="Calculation 7 3 3 3" xfId="6567" xr:uid="{A6689973-313A-4B91-B21C-88EC117A7D6C}"/>
    <cellStyle name="Calculation 7 3 4" xfId="5825" xr:uid="{F08213FD-0294-4DD7-9DF8-06541F987E2E}"/>
    <cellStyle name="Calculation 8 2" xfId="1296" xr:uid="{00000000-0005-0000-0000-0000D0040000}"/>
    <cellStyle name="Calculation 8 2 2" xfId="3836" xr:uid="{00000000-0005-0000-0000-0000D1040000}"/>
    <cellStyle name="Calculation 8 2 2 2" xfId="4796" xr:uid="{54F72DBC-2E86-41C4-96AD-294FE857370B}"/>
    <cellStyle name="Calculation 8 2 2 2 2" xfId="6176" xr:uid="{E3385003-E0EF-44FD-9616-EB2C82824B47}"/>
    <cellStyle name="Calculation 8 2 2 2 3" xfId="6866" xr:uid="{B9997024-6F5C-4A54-9D86-BA61368573DE}"/>
    <cellStyle name="Calculation 8 2 2 3" xfId="5493" xr:uid="{86913BFC-A301-4799-A80A-03648118004B}"/>
    <cellStyle name="Calculation 8 2 3" xfId="4498" xr:uid="{C1A17C61-55C7-4F44-B18F-E2E0429765A2}"/>
    <cellStyle name="Calculation 8 2 3 2" xfId="5878" xr:uid="{7C194378-ED48-4A2A-BB0A-1C287829F8C6}"/>
    <cellStyle name="Calculation 8 2 3 3" xfId="6568" xr:uid="{C33C6C14-0386-4FC6-A9B9-239F51BBBD1F}"/>
    <cellStyle name="Calculation 8 2 4" xfId="5770" xr:uid="{CC5DE9CC-BC2F-42F1-BFA6-1C95EF914EE4}"/>
    <cellStyle name="Calculation 8 3" xfId="1297" xr:uid="{00000000-0005-0000-0000-0000D2040000}"/>
    <cellStyle name="Calculation 8 3 2" xfId="3837" xr:uid="{00000000-0005-0000-0000-0000D3040000}"/>
    <cellStyle name="Calculation 8 3 2 2" xfId="4797" xr:uid="{9B050B27-D16F-4D5B-A59E-8E74799E4947}"/>
    <cellStyle name="Calculation 8 3 2 2 2" xfId="6177" xr:uid="{16467504-4371-4165-A406-FB7DC5DE1353}"/>
    <cellStyle name="Calculation 8 3 2 2 3" xfId="6867" xr:uid="{E960267F-1417-4106-A387-3D5B718FF95B}"/>
    <cellStyle name="Calculation 8 3 2 3" xfId="5492" xr:uid="{D6426B3E-4886-4998-902B-25D5C4FFAB4F}"/>
    <cellStyle name="Calculation 8 3 3" xfId="4499" xr:uid="{2D4F0027-5FC8-4D70-8360-1515C2EDCB36}"/>
    <cellStyle name="Calculation 8 3 3 2" xfId="5879" xr:uid="{3CE483A2-98C9-45AE-97E6-F83C8B6A2126}"/>
    <cellStyle name="Calculation 8 3 3 3" xfId="6569" xr:uid="{ECBC9B88-EFD7-4CB6-955A-C503BEB83D0C}"/>
    <cellStyle name="Calculation 8 3 4" xfId="5824" xr:uid="{99496D50-A609-4CD2-B96E-EE26F44201EC}"/>
    <cellStyle name="Calculation 9 2" xfId="1298" xr:uid="{00000000-0005-0000-0000-0000D4040000}"/>
    <cellStyle name="Calculation 9 2 2" xfId="3838" xr:uid="{00000000-0005-0000-0000-0000D5040000}"/>
    <cellStyle name="Calculation 9 2 2 2" xfId="4798" xr:uid="{9DCCCE40-60B2-416F-9689-AFCFAFAD8883}"/>
    <cellStyle name="Calculation 9 2 2 2 2" xfId="6178" xr:uid="{8F04F931-0656-49A3-BAE5-1B0E7094382C}"/>
    <cellStyle name="Calculation 9 2 2 2 3" xfId="6868" xr:uid="{BAACF642-4ABD-4B5A-BB58-F681066A8916}"/>
    <cellStyle name="Calculation 9 2 2 3" xfId="5491" xr:uid="{81A5EBDA-D805-49FB-937D-F98A62DEF775}"/>
    <cellStyle name="Calculation 9 2 3" xfId="4500" xr:uid="{D088D385-6B81-4FA8-A790-2A942FFC4DAA}"/>
    <cellStyle name="Calculation 9 2 3 2" xfId="5880" xr:uid="{9BDF0654-F288-452A-A3D6-05E4CBAFA715}"/>
    <cellStyle name="Calculation 9 2 3 3" xfId="6570" xr:uid="{8D2F74E2-5CEC-45D5-A61B-AE86FBD3C675}"/>
    <cellStyle name="Calculation 9 2 4" xfId="5769" xr:uid="{B8676891-B389-4064-BB0A-1B62D803B95C}"/>
    <cellStyle name="Calculation 9 3" xfId="1299" xr:uid="{00000000-0005-0000-0000-0000D6040000}"/>
    <cellStyle name="Calculation 9 3 2" xfId="3839" xr:uid="{00000000-0005-0000-0000-0000D7040000}"/>
    <cellStyle name="Calculation 9 3 2 2" xfId="4799" xr:uid="{B9D9720E-9E4F-48CC-8DFB-00E5EA43C908}"/>
    <cellStyle name="Calculation 9 3 2 2 2" xfId="6179" xr:uid="{EE2F835B-6EFB-4FDF-A1C7-8EE6828C3762}"/>
    <cellStyle name="Calculation 9 3 2 2 3" xfId="6869" xr:uid="{92C0C6AF-6B80-4EB8-9467-E36981BBDC74}"/>
    <cellStyle name="Calculation 9 3 2 3" xfId="5490" xr:uid="{840CA16C-548E-419D-8F0B-9E9B5AD3C7CF}"/>
    <cellStyle name="Calculation 9 3 3" xfId="4501" xr:uid="{DFA65211-60A3-417C-91EF-7FCAAD5FD7A2}"/>
    <cellStyle name="Calculation 9 3 3 2" xfId="5881" xr:uid="{FDDE2D66-41A5-4799-BA98-9CDBA08377A5}"/>
    <cellStyle name="Calculation 9 3 3 3" xfId="6571" xr:uid="{10617416-0429-4715-B3A3-F75F98B5B01F}"/>
    <cellStyle name="Calculation 9 3 4" xfId="5823" xr:uid="{0501BD04-8EE0-49DE-B6B9-EE9A9003DC0D}"/>
    <cellStyle name="Check Cell 10 2" xfId="1300" xr:uid="{00000000-0005-0000-0000-0000D8040000}"/>
    <cellStyle name="Check Cell 10 3" xfId="1301" xr:uid="{00000000-0005-0000-0000-0000D9040000}"/>
    <cellStyle name="Check Cell 11 2" xfId="1302" xr:uid="{00000000-0005-0000-0000-0000DA040000}"/>
    <cellStyle name="Check Cell 11 3" xfId="1303" xr:uid="{00000000-0005-0000-0000-0000DB040000}"/>
    <cellStyle name="Check Cell 12 2" xfId="1304" xr:uid="{00000000-0005-0000-0000-0000DC040000}"/>
    <cellStyle name="Check Cell 12 3" xfId="1305" xr:uid="{00000000-0005-0000-0000-0000DD040000}"/>
    <cellStyle name="Check Cell 13 2" xfId="1306" xr:uid="{00000000-0005-0000-0000-0000DE040000}"/>
    <cellStyle name="Check Cell 13 3" xfId="1307" xr:uid="{00000000-0005-0000-0000-0000DF040000}"/>
    <cellStyle name="Check Cell 14 2" xfId="1308" xr:uid="{00000000-0005-0000-0000-0000E0040000}"/>
    <cellStyle name="Check Cell 14 3" xfId="1309" xr:uid="{00000000-0005-0000-0000-0000E1040000}"/>
    <cellStyle name="Check Cell 15" xfId="1310" xr:uid="{00000000-0005-0000-0000-0000E2040000}"/>
    <cellStyle name="Check Cell 15 2" xfId="1311" xr:uid="{00000000-0005-0000-0000-0000E3040000}"/>
    <cellStyle name="Check Cell 15 3" xfId="1312" xr:uid="{00000000-0005-0000-0000-0000E4040000}"/>
    <cellStyle name="Check Cell 15 4" xfId="1313" xr:uid="{00000000-0005-0000-0000-0000E5040000}"/>
    <cellStyle name="Check Cell 15 5" xfId="1314" xr:uid="{00000000-0005-0000-0000-0000E6040000}"/>
    <cellStyle name="Check Cell 15 6" xfId="1315" xr:uid="{00000000-0005-0000-0000-0000E7040000}"/>
    <cellStyle name="Check Cell 15 7" xfId="1316" xr:uid="{00000000-0005-0000-0000-0000E8040000}"/>
    <cellStyle name="Check Cell 16" xfId="1317" xr:uid="{00000000-0005-0000-0000-0000E9040000}"/>
    <cellStyle name="Check Cell 17" xfId="1318" xr:uid="{00000000-0005-0000-0000-0000EA040000}"/>
    <cellStyle name="Check Cell 18" xfId="1319" xr:uid="{00000000-0005-0000-0000-0000EB040000}"/>
    <cellStyle name="Check Cell 19" xfId="1320" xr:uid="{00000000-0005-0000-0000-0000EC040000}"/>
    <cellStyle name="Check Cell 2" xfId="1321" xr:uid="{00000000-0005-0000-0000-0000ED040000}"/>
    <cellStyle name="Check Cell 2 2" xfId="1322" xr:uid="{00000000-0005-0000-0000-0000EE040000}"/>
    <cellStyle name="Check Cell 2 3" xfId="1323" xr:uid="{00000000-0005-0000-0000-0000EF040000}"/>
    <cellStyle name="Check Cell 2 4" xfId="3840" xr:uid="{00000000-0005-0000-0000-0000F0040000}"/>
    <cellStyle name="Check Cell 20" xfId="1324" xr:uid="{00000000-0005-0000-0000-0000F1040000}"/>
    <cellStyle name="Check Cell 21" xfId="1325" xr:uid="{00000000-0005-0000-0000-0000F2040000}"/>
    <cellStyle name="Check Cell 22" xfId="1326" xr:uid="{00000000-0005-0000-0000-0000F3040000}"/>
    <cellStyle name="Check Cell 3" xfId="1327" xr:uid="{00000000-0005-0000-0000-0000F4040000}"/>
    <cellStyle name="Check Cell 3 2" xfId="1328" xr:uid="{00000000-0005-0000-0000-0000F5040000}"/>
    <cellStyle name="Check Cell 3 3" xfId="1329" xr:uid="{00000000-0005-0000-0000-0000F6040000}"/>
    <cellStyle name="Check Cell 3 4" xfId="3841" xr:uid="{00000000-0005-0000-0000-0000F7040000}"/>
    <cellStyle name="Check Cell 4" xfId="1330" xr:uid="{00000000-0005-0000-0000-0000F8040000}"/>
    <cellStyle name="Check Cell 4 2" xfId="1331" xr:uid="{00000000-0005-0000-0000-0000F9040000}"/>
    <cellStyle name="Check Cell 4 3" xfId="1332" xr:uid="{00000000-0005-0000-0000-0000FA040000}"/>
    <cellStyle name="Check Cell 5 2" xfId="1333" xr:uid="{00000000-0005-0000-0000-0000FB040000}"/>
    <cellStyle name="Check Cell 5 3" xfId="1334" xr:uid="{00000000-0005-0000-0000-0000FC040000}"/>
    <cellStyle name="Check Cell 6 2" xfId="1335" xr:uid="{00000000-0005-0000-0000-0000FD040000}"/>
    <cellStyle name="Check Cell 6 3" xfId="1336" xr:uid="{00000000-0005-0000-0000-0000FE040000}"/>
    <cellStyle name="Check Cell 7 2" xfId="1337" xr:uid="{00000000-0005-0000-0000-0000FF040000}"/>
    <cellStyle name="Check Cell 7 3" xfId="1338" xr:uid="{00000000-0005-0000-0000-000000050000}"/>
    <cellStyle name="Check Cell 8 2" xfId="1339" xr:uid="{00000000-0005-0000-0000-000001050000}"/>
    <cellStyle name="Check Cell 8 3" xfId="1340" xr:uid="{00000000-0005-0000-0000-000002050000}"/>
    <cellStyle name="Check Cell 9 2" xfId="1341" xr:uid="{00000000-0005-0000-0000-000003050000}"/>
    <cellStyle name="Check Cell 9 3" xfId="1342" xr:uid="{00000000-0005-0000-0000-000004050000}"/>
    <cellStyle name="Comma" xfId="132" builtinId="3"/>
    <cellStyle name="Comma - #,##0" xfId="3842" xr:uid="{00000000-0005-0000-0000-000006050000}"/>
    <cellStyle name="Comma - #,##0.0" xfId="3843" xr:uid="{00000000-0005-0000-0000-000007050000}"/>
    <cellStyle name="Comma 10" xfId="1343" xr:uid="{00000000-0005-0000-0000-000008050000}"/>
    <cellStyle name="Comma 10 10" xfId="1344" xr:uid="{00000000-0005-0000-0000-000009050000}"/>
    <cellStyle name="Comma 10 11" xfId="1345" xr:uid="{00000000-0005-0000-0000-00000A050000}"/>
    <cellStyle name="Comma 10 12" xfId="1346" xr:uid="{00000000-0005-0000-0000-00000B050000}"/>
    <cellStyle name="Comma 10 13" xfId="1347" xr:uid="{00000000-0005-0000-0000-00000C050000}"/>
    <cellStyle name="Comma 10 14" xfId="1348" xr:uid="{00000000-0005-0000-0000-00000D050000}"/>
    <cellStyle name="Comma 10 15" xfId="1349" xr:uid="{00000000-0005-0000-0000-00000E050000}"/>
    <cellStyle name="Comma 10 16" xfId="1350" xr:uid="{00000000-0005-0000-0000-00000F050000}"/>
    <cellStyle name="Comma 10 17" xfId="1351" xr:uid="{00000000-0005-0000-0000-000010050000}"/>
    <cellStyle name="Comma 10 2" xfId="1352" xr:uid="{00000000-0005-0000-0000-000011050000}"/>
    <cellStyle name="Comma 10 2 2" xfId="1353" xr:uid="{00000000-0005-0000-0000-000012050000}"/>
    <cellStyle name="Comma 10 3" xfId="1354" xr:uid="{00000000-0005-0000-0000-000013050000}"/>
    <cellStyle name="Comma 10 3 2" xfId="1355" xr:uid="{00000000-0005-0000-0000-000014050000}"/>
    <cellStyle name="Comma 10 4" xfId="1356" xr:uid="{00000000-0005-0000-0000-000015050000}"/>
    <cellStyle name="Comma 10 4 2" xfId="1357" xr:uid="{00000000-0005-0000-0000-000016050000}"/>
    <cellStyle name="Comma 10 5" xfId="1358" xr:uid="{00000000-0005-0000-0000-000017050000}"/>
    <cellStyle name="Comma 10 5 2" xfId="1359" xr:uid="{00000000-0005-0000-0000-000018050000}"/>
    <cellStyle name="Comma 10 6" xfId="1360" xr:uid="{00000000-0005-0000-0000-000019050000}"/>
    <cellStyle name="Comma 10 7" xfId="1361" xr:uid="{00000000-0005-0000-0000-00001A050000}"/>
    <cellStyle name="Comma 10 8" xfId="1362" xr:uid="{00000000-0005-0000-0000-00001B050000}"/>
    <cellStyle name="Comma 10 9" xfId="1363" xr:uid="{00000000-0005-0000-0000-00001C050000}"/>
    <cellStyle name="Comma 11" xfId="1364" xr:uid="{00000000-0005-0000-0000-00001D050000}"/>
    <cellStyle name="Comma 11 2" xfId="1365" xr:uid="{00000000-0005-0000-0000-00001E050000}"/>
    <cellStyle name="Comma 11 2 10" xfId="1366" xr:uid="{00000000-0005-0000-0000-00001F050000}"/>
    <cellStyle name="Comma 11 2 2" xfId="1367" xr:uid="{00000000-0005-0000-0000-000020050000}"/>
    <cellStyle name="Comma 11 2 3" xfId="1368" xr:uid="{00000000-0005-0000-0000-000021050000}"/>
    <cellStyle name="Comma 11 2 4" xfId="1369" xr:uid="{00000000-0005-0000-0000-000022050000}"/>
    <cellStyle name="Comma 11 2 5" xfId="1370" xr:uid="{00000000-0005-0000-0000-000023050000}"/>
    <cellStyle name="Comma 11 2 6" xfId="1371" xr:uid="{00000000-0005-0000-0000-000024050000}"/>
    <cellStyle name="Comma 11 2 7" xfId="1372" xr:uid="{00000000-0005-0000-0000-000025050000}"/>
    <cellStyle name="Comma 11 2 8" xfId="1373" xr:uid="{00000000-0005-0000-0000-000026050000}"/>
    <cellStyle name="Comma 11 2 9" xfId="1374" xr:uid="{00000000-0005-0000-0000-000027050000}"/>
    <cellStyle name="Comma 11 3" xfId="1375" xr:uid="{00000000-0005-0000-0000-000028050000}"/>
    <cellStyle name="Comma 11 3 10" xfId="1376" xr:uid="{00000000-0005-0000-0000-000029050000}"/>
    <cellStyle name="Comma 11 3 2" xfId="1377" xr:uid="{00000000-0005-0000-0000-00002A050000}"/>
    <cellStyle name="Comma 11 3 3" xfId="1378" xr:uid="{00000000-0005-0000-0000-00002B050000}"/>
    <cellStyle name="Comma 11 3 4" xfId="1379" xr:uid="{00000000-0005-0000-0000-00002C050000}"/>
    <cellStyle name="Comma 11 3 5" xfId="1380" xr:uid="{00000000-0005-0000-0000-00002D050000}"/>
    <cellStyle name="Comma 11 3 6" xfId="1381" xr:uid="{00000000-0005-0000-0000-00002E050000}"/>
    <cellStyle name="Comma 11 3 7" xfId="1382" xr:uid="{00000000-0005-0000-0000-00002F050000}"/>
    <cellStyle name="Comma 11 3 8" xfId="1383" xr:uid="{00000000-0005-0000-0000-000030050000}"/>
    <cellStyle name="Comma 11 3 9" xfId="1384" xr:uid="{00000000-0005-0000-0000-000031050000}"/>
    <cellStyle name="Comma 11 4" xfId="1385" xr:uid="{00000000-0005-0000-0000-000032050000}"/>
    <cellStyle name="Comma 11 4 10" xfId="1386" xr:uid="{00000000-0005-0000-0000-000033050000}"/>
    <cellStyle name="Comma 11 4 2" xfId="1387" xr:uid="{00000000-0005-0000-0000-000034050000}"/>
    <cellStyle name="Comma 11 4 3" xfId="1388" xr:uid="{00000000-0005-0000-0000-000035050000}"/>
    <cellStyle name="Comma 11 4 4" xfId="1389" xr:uid="{00000000-0005-0000-0000-000036050000}"/>
    <cellStyle name="Comma 11 4 5" xfId="1390" xr:uid="{00000000-0005-0000-0000-000037050000}"/>
    <cellStyle name="Comma 11 4 6" xfId="1391" xr:uid="{00000000-0005-0000-0000-000038050000}"/>
    <cellStyle name="Comma 11 4 7" xfId="1392" xr:uid="{00000000-0005-0000-0000-000039050000}"/>
    <cellStyle name="Comma 11 4 8" xfId="1393" xr:uid="{00000000-0005-0000-0000-00003A050000}"/>
    <cellStyle name="Comma 11 4 9" xfId="1394" xr:uid="{00000000-0005-0000-0000-00003B050000}"/>
    <cellStyle name="Comma 11 5" xfId="1395" xr:uid="{00000000-0005-0000-0000-00003C050000}"/>
    <cellStyle name="Comma 11 5 10" xfId="1396" xr:uid="{00000000-0005-0000-0000-00003D050000}"/>
    <cellStyle name="Comma 11 5 2" xfId="1397" xr:uid="{00000000-0005-0000-0000-00003E050000}"/>
    <cellStyle name="Comma 11 5 3" xfId="1398" xr:uid="{00000000-0005-0000-0000-00003F050000}"/>
    <cellStyle name="Comma 11 5 4" xfId="1399" xr:uid="{00000000-0005-0000-0000-000040050000}"/>
    <cellStyle name="Comma 11 5 5" xfId="1400" xr:uid="{00000000-0005-0000-0000-000041050000}"/>
    <cellStyle name="Comma 11 5 6" xfId="1401" xr:uid="{00000000-0005-0000-0000-000042050000}"/>
    <cellStyle name="Comma 11 5 7" xfId="1402" xr:uid="{00000000-0005-0000-0000-000043050000}"/>
    <cellStyle name="Comma 11 5 8" xfId="1403" xr:uid="{00000000-0005-0000-0000-000044050000}"/>
    <cellStyle name="Comma 11 5 9" xfId="1404" xr:uid="{00000000-0005-0000-0000-000045050000}"/>
    <cellStyle name="Comma 11 6" xfId="1405" xr:uid="{00000000-0005-0000-0000-000046050000}"/>
    <cellStyle name="Comma 11 6 10" xfId="1406" xr:uid="{00000000-0005-0000-0000-000047050000}"/>
    <cellStyle name="Comma 11 6 2" xfId="1407" xr:uid="{00000000-0005-0000-0000-000048050000}"/>
    <cellStyle name="Comma 11 6 3" xfId="1408" xr:uid="{00000000-0005-0000-0000-000049050000}"/>
    <cellStyle name="Comma 11 6 4" xfId="1409" xr:uid="{00000000-0005-0000-0000-00004A050000}"/>
    <cellStyle name="Comma 11 6 5" xfId="1410" xr:uid="{00000000-0005-0000-0000-00004B050000}"/>
    <cellStyle name="Comma 11 6 6" xfId="1411" xr:uid="{00000000-0005-0000-0000-00004C050000}"/>
    <cellStyle name="Comma 11 6 7" xfId="1412" xr:uid="{00000000-0005-0000-0000-00004D050000}"/>
    <cellStyle name="Comma 11 6 8" xfId="1413" xr:uid="{00000000-0005-0000-0000-00004E050000}"/>
    <cellStyle name="Comma 11 6 9" xfId="1414" xr:uid="{00000000-0005-0000-0000-00004F050000}"/>
    <cellStyle name="Comma 11 7" xfId="1415" xr:uid="{00000000-0005-0000-0000-000050050000}"/>
    <cellStyle name="Comma 11 7 10" xfId="1416" xr:uid="{00000000-0005-0000-0000-000051050000}"/>
    <cellStyle name="Comma 11 7 2" xfId="1417" xr:uid="{00000000-0005-0000-0000-000052050000}"/>
    <cellStyle name="Comma 11 7 3" xfId="1418" xr:uid="{00000000-0005-0000-0000-000053050000}"/>
    <cellStyle name="Comma 11 7 4" xfId="1419" xr:uid="{00000000-0005-0000-0000-000054050000}"/>
    <cellStyle name="Comma 11 7 5" xfId="1420" xr:uid="{00000000-0005-0000-0000-000055050000}"/>
    <cellStyle name="Comma 11 7 6" xfId="1421" xr:uid="{00000000-0005-0000-0000-000056050000}"/>
    <cellStyle name="Comma 11 7 7" xfId="1422" xr:uid="{00000000-0005-0000-0000-000057050000}"/>
    <cellStyle name="Comma 11 7 8" xfId="1423" xr:uid="{00000000-0005-0000-0000-000058050000}"/>
    <cellStyle name="Comma 11 7 9" xfId="1424" xr:uid="{00000000-0005-0000-0000-000059050000}"/>
    <cellStyle name="Comma 11 8" xfId="1425" xr:uid="{00000000-0005-0000-0000-00005A050000}"/>
    <cellStyle name="Comma 12" xfId="1426" xr:uid="{00000000-0005-0000-0000-00005B050000}"/>
    <cellStyle name="Comma 12 2" xfId="1427" xr:uid="{00000000-0005-0000-0000-00005C050000}"/>
    <cellStyle name="Comma 12 2 2" xfId="3844" xr:uid="{00000000-0005-0000-0000-00005D050000}"/>
    <cellStyle name="Comma 12 3" xfId="3845" xr:uid="{00000000-0005-0000-0000-00005E050000}"/>
    <cellStyle name="Comma 13" xfId="1428" xr:uid="{00000000-0005-0000-0000-00005F050000}"/>
    <cellStyle name="Comma 13 2" xfId="1429" xr:uid="{00000000-0005-0000-0000-000060050000}"/>
    <cellStyle name="Comma 13 2 2" xfId="3846" xr:uid="{00000000-0005-0000-0000-000061050000}"/>
    <cellStyle name="Comma 13 3" xfId="3847" xr:uid="{00000000-0005-0000-0000-000062050000}"/>
    <cellStyle name="Comma 14" xfId="1430" xr:uid="{00000000-0005-0000-0000-000063050000}"/>
    <cellStyle name="Comma 14 2" xfId="1431" xr:uid="{00000000-0005-0000-0000-000064050000}"/>
    <cellStyle name="Comma 14 2 2" xfId="3848" xr:uid="{00000000-0005-0000-0000-000065050000}"/>
    <cellStyle name="Comma 14 3" xfId="3849" xr:uid="{00000000-0005-0000-0000-000066050000}"/>
    <cellStyle name="Comma 15" xfId="1432" xr:uid="{00000000-0005-0000-0000-000067050000}"/>
    <cellStyle name="Comma 15 2" xfId="1433" xr:uid="{00000000-0005-0000-0000-000068050000}"/>
    <cellStyle name="Comma 15 2 2" xfId="3850" xr:uid="{00000000-0005-0000-0000-000069050000}"/>
    <cellStyle name="Comma 15 3" xfId="3851" xr:uid="{00000000-0005-0000-0000-00006A050000}"/>
    <cellStyle name="Comma 16" xfId="1434" xr:uid="{00000000-0005-0000-0000-00006B050000}"/>
    <cellStyle name="Comma 16 2" xfId="1435" xr:uid="{00000000-0005-0000-0000-00006C050000}"/>
    <cellStyle name="Comma 17" xfId="1436" xr:uid="{00000000-0005-0000-0000-00006D050000}"/>
    <cellStyle name="Comma 17 2" xfId="1437" xr:uid="{00000000-0005-0000-0000-00006E050000}"/>
    <cellStyle name="Comma 17 2 2" xfId="3852" xr:uid="{00000000-0005-0000-0000-00006F050000}"/>
    <cellStyle name="Comma 17 3" xfId="3853" xr:uid="{00000000-0005-0000-0000-000070050000}"/>
    <cellStyle name="Comma 18" xfId="1438" xr:uid="{00000000-0005-0000-0000-000071050000}"/>
    <cellStyle name="Comma 18 2" xfId="1439" xr:uid="{00000000-0005-0000-0000-000072050000}"/>
    <cellStyle name="Comma 18 2 2" xfId="3854" xr:uid="{00000000-0005-0000-0000-000073050000}"/>
    <cellStyle name="Comma 18 3" xfId="3855" xr:uid="{00000000-0005-0000-0000-000074050000}"/>
    <cellStyle name="Comma 19" xfId="1440" xr:uid="{00000000-0005-0000-0000-000075050000}"/>
    <cellStyle name="Comma 19 2" xfId="1441" xr:uid="{00000000-0005-0000-0000-000076050000}"/>
    <cellStyle name="Comma 19 2 2" xfId="3856" xr:uid="{00000000-0005-0000-0000-000077050000}"/>
    <cellStyle name="Comma 19 3" xfId="3857" xr:uid="{00000000-0005-0000-0000-000078050000}"/>
    <cellStyle name="Comma 2" xfId="134" xr:uid="{00000000-0005-0000-0000-000079050000}"/>
    <cellStyle name="Comma 2 10" xfId="1442" xr:uid="{00000000-0005-0000-0000-00007A050000}"/>
    <cellStyle name="Comma 2 11" xfId="1443" xr:uid="{00000000-0005-0000-0000-00007B050000}"/>
    <cellStyle name="Comma 2 12" xfId="1444" xr:uid="{00000000-0005-0000-0000-00007C050000}"/>
    <cellStyle name="Comma 2 13" xfId="1445" xr:uid="{00000000-0005-0000-0000-00007D050000}"/>
    <cellStyle name="Comma 2 14" xfId="1446" xr:uid="{00000000-0005-0000-0000-00007E050000}"/>
    <cellStyle name="Comma 2 15" xfId="1447" xr:uid="{00000000-0005-0000-0000-00007F050000}"/>
    <cellStyle name="Comma 2 16" xfId="1448" xr:uid="{00000000-0005-0000-0000-000080050000}"/>
    <cellStyle name="Comma 2 17" xfId="1449" xr:uid="{00000000-0005-0000-0000-000081050000}"/>
    <cellStyle name="Comma 2 18" xfId="1450" xr:uid="{00000000-0005-0000-0000-000082050000}"/>
    <cellStyle name="Comma 2 19" xfId="1451" xr:uid="{00000000-0005-0000-0000-000083050000}"/>
    <cellStyle name="Comma 2 2" xfId="1452" xr:uid="{00000000-0005-0000-0000-000084050000}"/>
    <cellStyle name="Comma 2 2 2" xfId="1453" xr:uid="{00000000-0005-0000-0000-000085050000}"/>
    <cellStyle name="Comma 2 2 2 2" xfId="3858" xr:uid="{00000000-0005-0000-0000-000086050000}"/>
    <cellStyle name="Comma 2 2 3" xfId="3756" xr:uid="{00000000-0005-0000-0000-000087050000}"/>
    <cellStyle name="Comma 2 2 3 2" xfId="4407" xr:uid="{00000000-0005-0000-0000-000088050000}"/>
    <cellStyle name="Comma 2 2 3 3" xfId="4408" xr:uid="{00000000-0005-0000-0000-000089050000}"/>
    <cellStyle name="Comma 2 2 4" xfId="3859" xr:uid="{00000000-0005-0000-0000-00008A050000}"/>
    <cellStyle name="Comma 2 2 9" xfId="4410" xr:uid="{00000000-0005-0000-0000-00008B050000}"/>
    <cellStyle name="Comma 2 20" xfId="1454" xr:uid="{00000000-0005-0000-0000-00008C050000}"/>
    <cellStyle name="Comma 2 21" xfId="1455" xr:uid="{00000000-0005-0000-0000-00008D050000}"/>
    <cellStyle name="Comma 2 22" xfId="1456" xr:uid="{00000000-0005-0000-0000-00008E050000}"/>
    <cellStyle name="Comma 2 23" xfId="1457" xr:uid="{00000000-0005-0000-0000-00008F050000}"/>
    <cellStyle name="Comma 2 24" xfId="1458" xr:uid="{00000000-0005-0000-0000-000090050000}"/>
    <cellStyle name="Comma 2 25" xfId="1459" xr:uid="{00000000-0005-0000-0000-000091050000}"/>
    <cellStyle name="Comma 2 25 2" xfId="1460" xr:uid="{00000000-0005-0000-0000-000092050000}"/>
    <cellStyle name="Comma 2 26" xfId="1461" xr:uid="{00000000-0005-0000-0000-000093050000}"/>
    <cellStyle name="Comma 2 27" xfId="138" xr:uid="{00000000-0005-0000-0000-000094050000}"/>
    <cellStyle name="Comma 2 28" xfId="4434" xr:uid="{00000000-0005-0000-0000-000095050000}"/>
    <cellStyle name="Comma 2 3" xfId="1462" xr:uid="{00000000-0005-0000-0000-000096050000}"/>
    <cellStyle name="Comma 2 3 2" xfId="3860" xr:uid="{00000000-0005-0000-0000-000097050000}"/>
    <cellStyle name="Comma 2 4" xfId="1463" xr:uid="{00000000-0005-0000-0000-000098050000}"/>
    <cellStyle name="Comma 2 5" xfId="1464" xr:uid="{00000000-0005-0000-0000-000099050000}"/>
    <cellStyle name="Comma 2 6" xfId="1465" xr:uid="{00000000-0005-0000-0000-00009A050000}"/>
    <cellStyle name="Comma 2 7" xfId="1466" xr:uid="{00000000-0005-0000-0000-00009B050000}"/>
    <cellStyle name="Comma 2 8" xfId="1467" xr:uid="{00000000-0005-0000-0000-00009C050000}"/>
    <cellStyle name="Comma 2 9" xfId="1468" xr:uid="{00000000-0005-0000-0000-00009D050000}"/>
    <cellStyle name="Comma 20" xfId="1469" xr:uid="{00000000-0005-0000-0000-00009E050000}"/>
    <cellStyle name="Comma 20 2" xfId="1470" xr:uid="{00000000-0005-0000-0000-00009F050000}"/>
    <cellStyle name="Comma 20 2 2" xfId="3861" xr:uid="{00000000-0005-0000-0000-0000A0050000}"/>
    <cellStyle name="Comma 20 3" xfId="3862" xr:uid="{00000000-0005-0000-0000-0000A1050000}"/>
    <cellStyle name="Comma 21" xfId="1471" xr:uid="{00000000-0005-0000-0000-0000A2050000}"/>
    <cellStyle name="Comma 21 2" xfId="1472" xr:uid="{00000000-0005-0000-0000-0000A3050000}"/>
    <cellStyle name="Comma 21 2 2" xfId="3863" xr:uid="{00000000-0005-0000-0000-0000A4050000}"/>
    <cellStyle name="Comma 21 3" xfId="3864" xr:uid="{00000000-0005-0000-0000-0000A5050000}"/>
    <cellStyle name="Comma 22" xfId="1473" xr:uid="{00000000-0005-0000-0000-0000A6050000}"/>
    <cellStyle name="Comma 22 2" xfId="1474" xr:uid="{00000000-0005-0000-0000-0000A7050000}"/>
    <cellStyle name="Comma 22 2 2" xfId="3865" xr:uid="{00000000-0005-0000-0000-0000A8050000}"/>
    <cellStyle name="Comma 22 3" xfId="3866" xr:uid="{00000000-0005-0000-0000-0000A9050000}"/>
    <cellStyle name="Comma 23" xfId="1475" xr:uid="{00000000-0005-0000-0000-0000AA050000}"/>
    <cellStyle name="Comma 23 2" xfId="1476" xr:uid="{00000000-0005-0000-0000-0000AB050000}"/>
    <cellStyle name="Comma 23 3" xfId="3867" xr:uid="{00000000-0005-0000-0000-0000AC050000}"/>
    <cellStyle name="Comma 24" xfId="1477" xr:uid="{00000000-0005-0000-0000-0000AD050000}"/>
    <cellStyle name="Comma 24 2" xfId="1478" xr:uid="{00000000-0005-0000-0000-0000AE050000}"/>
    <cellStyle name="Comma 24 3" xfId="3868" xr:uid="{00000000-0005-0000-0000-0000AF050000}"/>
    <cellStyle name="Comma 25" xfId="1479" xr:uid="{00000000-0005-0000-0000-0000B0050000}"/>
    <cellStyle name="Comma 25 2" xfId="1480" xr:uid="{00000000-0005-0000-0000-0000B1050000}"/>
    <cellStyle name="Comma 25 3" xfId="3869" xr:uid="{00000000-0005-0000-0000-0000B2050000}"/>
    <cellStyle name="Comma 26" xfId="1481" xr:uid="{00000000-0005-0000-0000-0000B3050000}"/>
    <cellStyle name="Comma 26 2" xfId="1482" xr:uid="{00000000-0005-0000-0000-0000B4050000}"/>
    <cellStyle name="Comma 26 3" xfId="3870" xr:uid="{00000000-0005-0000-0000-0000B5050000}"/>
    <cellStyle name="Comma 27" xfId="1483" xr:uid="{00000000-0005-0000-0000-0000B6050000}"/>
    <cellStyle name="Comma 27 2" xfId="1484" xr:uid="{00000000-0005-0000-0000-0000B7050000}"/>
    <cellStyle name="Comma 27 3" xfId="3871" xr:uid="{00000000-0005-0000-0000-0000B8050000}"/>
    <cellStyle name="Comma 28" xfId="1485" xr:uid="{00000000-0005-0000-0000-0000B9050000}"/>
    <cellStyle name="Comma 28 2" xfId="3872" xr:uid="{00000000-0005-0000-0000-0000BA050000}"/>
    <cellStyle name="Comma 29" xfId="1486" xr:uid="{00000000-0005-0000-0000-0000BB050000}"/>
    <cellStyle name="Comma 3" xfId="1487" xr:uid="{00000000-0005-0000-0000-0000BC050000}"/>
    <cellStyle name="Comma 3 2" xfId="1488" xr:uid="{00000000-0005-0000-0000-0000BD050000}"/>
    <cellStyle name="Comma 3 2 2" xfId="3873" xr:uid="{00000000-0005-0000-0000-0000BE050000}"/>
    <cellStyle name="Comma 3 2 3" xfId="3874" xr:uid="{00000000-0005-0000-0000-0000BF050000}"/>
    <cellStyle name="Comma 3 2 4" xfId="3875" xr:uid="{00000000-0005-0000-0000-0000C0050000}"/>
    <cellStyle name="Comma 3 3" xfId="1489" xr:uid="{00000000-0005-0000-0000-0000C1050000}"/>
    <cellStyle name="Comma 3 4" xfId="1490" xr:uid="{00000000-0005-0000-0000-0000C2050000}"/>
    <cellStyle name="Comma 3 5" xfId="1491" xr:uid="{00000000-0005-0000-0000-0000C3050000}"/>
    <cellStyle name="Comma 3 6" xfId="1492" xr:uid="{00000000-0005-0000-0000-0000C4050000}"/>
    <cellStyle name="Comma 3 6 2" xfId="1493" xr:uid="{00000000-0005-0000-0000-0000C5050000}"/>
    <cellStyle name="Comma 3 7" xfId="1494" xr:uid="{00000000-0005-0000-0000-0000C6050000}"/>
    <cellStyle name="Comma 3 8" xfId="1495" xr:uid="{00000000-0005-0000-0000-0000C7050000}"/>
    <cellStyle name="Comma 30" xfId="1496" xr:uid="{00000000-0005-0000-0000-0000C8050000}"/>
    <cellStyle name="Comma 31" xfId="1497" xr:uid="{00000000-0005-0000-0000-0000C9050000}"/>
    <cellStyle name="Comma 31 2" xfId="1498" xr:uid="{00000000-0005-0000-0000-0000CA050000}"/>
    <cellStyle name="Comma 31 3" xfId="1499" xr:uid="{00000000-0005-0000-0000-0000CB050000}"/>
    <cellStyle name="Comma 31 4" xfId="1500" xr:uid="{00000000-0005-0000-0000-0000CC050000}"/>
    <cellStyle name="Comma 31 5" xfId="1501" xr:uid="{00000000-0005-0000-0000-0000CD050000}"/>
    <cellStyle name="Comma 31 6" xfId="1502" xr:uid="{00000000-0005-0000-0000-0000CE050000}"/>
    <cellStyle name="Comma 31 7" xfId="1503" xr:uid="{00000000-0005-0000-0000-0000CF050000}"/>
    <cellStyle name="Comma 32" xfId="1504" xr:uid="{00000000-0005-0000-0000-0000D0050000}"/>
    <cellStyle name="Comma 33" xfId="1505" xr:uid="{00000000-0005-0000-0000-0000D1050000}"/>
    <cellStyle name="Comma 34" xfId="1506" xr:uid="{00000000-0005-0000-0000-0000D2050000}"/>
    <cellStyle name="Comma 35" xfId="1507" xr:uid="{00000000-0005-0000-0000-0000D3050000}"/>
    <cellStyle name="Comma 36" xfId="1508" xr:uid="{00000000-0005-0000-0000-0000D4050000}"/>
    <cellStyle name="Comma 37" xfId="1509" xr:uid="{00000000-0005-0000-0000-0000D5050000}"/>
    <cellStyle name="Comma 38" xfId="1510" xr:uid="{00000000-0005-0000-0000-0000D6050000}"/>
    <cellStyle name="Comma 39" xfId="1511" xr:uid="{00000000-0005-0000-0000-0000D7050000}"/>
    <cellStyle name="Comma 39 2" xfId="1512" xr:uid="{00000000-0005-0000-0000-0000D8050000}"/>
    <cellStyle name="Comma 4" xfId="1513" xr:uid="{00000000-0005-0000-0000-0000D9050000}"/>
    <cellStyle name="Comma 4 2" xfId="1514" xr:uid="{00000000-0005-0000-0000-0000DA050000}"/>
    <cellStyle name="Comma 4 2 2" xfId="3876" xr:uid="{00000000-0005-0000-0000-0000DB050000}"/>
    <cellStyle name="Comma 4 2 3" xfId="3877" xr:uid="{00000000-0005-0000-0000-0000DC050000}"/>
    <cellStyle name="Comma 4 3" xfId="1515" xr:uid="{00000000-0005-0000-0000-0000DD050000}"/>
    <cellStyle name="Comma 4 4" xfId="1516" xr:uid="{00000000-0005-0000-0000-0000DE050000}"/>
    <cellStyle name="Comma 4 5" xfId="1517" xr:uid="{00000000-0005-0000-0000-0000DF050000}"/>
    <cellStyle name="Comma 4 6" xfId="1518" xr:uid="{00000000-0005-0000-0000-0000E0050000}"/>
    <cellStyle name="Comma 40" xfId="1519" xr:uid="{00000000-0005-0000-0000-0000E1050000}"/>
    <cellStyle name="Comma 40 2" xfId="1520" xr:uid="{00000000-0005-0000-0000-0000E2050000}"/>
    <cellStyle name="Comma 41" xfId="1521" xr:uid="{00000000-0005-0000-0000-0000E3050000}"/>
    <cellStyle name="Comma 41 2" xfId="1522" xr:uid="{00000000-0005-0000-0000-0000E4050000}"/>
    <cellStyle name="Comma 42" xfId="1523" xr:uid="{00000000-0005-0000-0000-0000E5050000}"/>
    <cellStyle name="Comma 42 2" xfId="1524" xr:uid="{00000000-0005-0000-0000-0000E6050000}"/>
    <cellStyle name="Comma 43" xfId="1525" xr:uid="{00000000-0005-0000-0000-0000E7050000}"/>
    <cellStyle name="Comma 43 10" xfId="1526" xr:uid="{00000000-0005-0000-0000-0000E8050000}"/>
    <cellStyle name="Comma 43 2" xfId="1527" xr:uid="{00000000-0005-0000-0000-0000E9050000}"/>
    <cellStyle name="Comma 43 3" xfId="1528" xr:uid="{00000000-0005-0000-0000-0000EA050000}"/>
    <cellStyle name="Comma 43 4" xfId="1529" xr:uid="{00000000-0005-0000-0000-0000EB050000}"/>
    <cellStyle name="Comma 43 5" xfId="1530" xr:uid="{00000000-0005-0000-0000-0000EC050000}"/>
    <cellStyle name="Comma 43 6" xfId="1531" xr:uid="{00000000-0005-0000-0000-0000ED050000}"/>
    <cellStyle name="Comma 43 7" xfId="1532" xr:uid="{00000000-0005-0000-0000-0000EE050000}"/>
    <cellStyle name="Comma 43 8" xfId="1533" xr:uid="{00000000-0005-0000-0000-0000EF050000}"/>
    <cellStyle name="Comma 43 9" xfId="1534" xr:uid="{00000000-0005-0000-0000-0000F0050000}"/>
    <cellStyle name="Comma 44" xfId="1535" xr:uid="{00000000-0005-0000-0000-0000F1050000}"/>
    <cellStyle name="Comma 44 10" xfId="1536" xr:uid="{00000000-0005-0000-0000-0000F2050000}"/>
    <cellStyle name="Comma 44 2" xfId="1537" xr:uid="{00000000-0005-0000-0000-0000F3050000}"/>
    <cellStyle name="Comma 44 3" xfId="1538" xr:uid="{00000000-0005-0000-0000-0000F4050000}"/>
    <cellStyle name="Comma 44 4" xfId="1539" xr:uid="{00000000-0005-0000-0000-0000F5050000}"/>
    <cellStyle name="Comma 44 5" xfId="1540" xr:uid="{00000000-0005-0000-0000-0000F6050000}"/>
    <cellStyle name="Comma 44 6" xfId="1541" xr:uid="{00000000-0005-0000-0000-0000F7050000}"/>
    <cellStyle name="Comma 44 7" xfId="1542" xr:uid="{00000000-0005-0000-0000-0000F8050000}"/>
    <cellStyle name="Comma 44 8" xfId="1543" xr:uid="{00000000-0005-0000-0000-0000F9050000}"/>
    <cellStyle name="Comma 44 9" xfId="1544" xr:uid="{00000000-0005-0000-0000-0000FA050000}"/>
    <cellStyle name="Comma 45" xfId="1545" xr:uid="{00000000-0005-0000-0000-0000FB050000}"/>
    <cellStyle name="Comma 45 10" xfId="1546" xr:uid="{00000000-0005-0000-0000-0000FC050000}"/>
    <cellStyle name="Comma 45 2" xfId="1547" xr:uid="{00000000-0005-0000-0000-0000FD050000}"/>
    <cellStyle name="Comma 45 3" xfId="1548" xr:uid="{00000000-0005-0000-0000-0000FE050000}"/>
    <cellStyle name="Comma 45 4" xfId="1549" xr:uid="{00000000-0005-0000-0000-0000FF050000}"/>
    <cellStyle name="Comma 45 5" xfId="1550" xr:uid="{00000000-0005-0000-0000-000000060000}"/>
    <cellStyle name="Comma 45 6" xfId="1551" xr:uid="{00000000-0005-0000-0000-000001060000}"/>
    <cellStyle name="Comma 45 7" xfId="1552" xr:uid="{00000000-0005-0000-0000-000002060000}"/>
    <cellStyle name="Comma 45 8" xfId="1553" xr:uid="{00000000-0005-0000-0000-000003060000}"/>
    <cellStyle name="Comma 45 9" xfId="1554" xr:uid="{00000000-0005-0000-0000-000004060000}"/>
    <cellStyle name="Comma 46" xfId="1555" xr:uid="{00000000-0005-0000-0000-000005060000}"/>
    <cellStyle name="Comma 46 10" xfId="1556" xr:uid="{00000000-0005-0000-0000-000006060000}"/>
    <cellStyle name="Comma 46 2" xfId="1557" xr:uid="{00000000-0005-0000-0000-000007060000}"/>
    <cellStyle name="Comma 46 3" xfId="1558" xr:uid="{00000000-0005-0000-0000-000008060000}"/>
    <cellStyle name="Comma 46 4" xfId="1559" xr:uid="{00000000-0005-0000-0000-000009060000}"/>
    <cellStyle name="Comma 46 5" xfId="1560" xr:uid="{00000000-0005-0000-0000-00000A060000}"/>
    <cellStyle name="Comma 46 6" xfId="1561" xr:uid="{00000000-0005-0000-0000-00000B060000}"/>
    <cellStyle name="Comma 46 7" xfId="1562" xr:uid="{00000000-0005-0000-0000-00000C060000}"/>
    <cellStyle name="Comma 46 8" xfId="1563" xr:uid="{00000000-0005-0000-0000-00000D060000}"/>
    <cellStyle name="Comma 46 9" xfId="1564" xr:uid="{00000000-0005-0000-0000-00000E060000}"/>
    <cellStyle name="Comma 47" xfId="1565" xr:uid="{00000000-0005-0000-0000-00000F060000}"/>
    <cellStyle name="Comma 47 10" xfId="1566" xr:uid="{00000000-0005-0000-0000-000010060000}"/>
    <cellStyle name="Comma 47 2" xfId="1567" xr:uid="{00000000-0005-0000-0000-000011060000}"/>
    <cellStyle name="Comma 47 3" xfId="1568" xr:uid="{00000000-0005-0000-0000-000012060000}"/>
    <cellStyle name="Comma 47 4" xfId="1569" xr:uid="{00000000-0005-0000-0000-000013060000}"/>
    <cellStyle name="Comma 47 5" xfId="1570" xr:uid="{00000000-0005-0000-0000-000014060000}"/>
    <cellStyle name="Comma 47 6" xfId="1571" xr:uid="{00000000-0005-0000-0000-000015060000}"/>
    <cellStyle name="Comma 47 7" xfId="1572" xr:uid="{00000000-0005-0000-0000-000016060000}"/>
    <cellStyle name="Comma 47 8" xfId="1573" xr:uid="{00000000-0005-0000-0000-000017060000}"/>
    <cellStyle name="Comma 47 9" xfId="1574" xr:uid="{00000000-0005-0000-0000-000018060000}"/>
    <cellStyle name="Comma 48" xfId="1575" xr:uid="{00000000-0005-0000-0000-000019060000}"/>
    <cellStyle name="Comma 48 10" xfId="1576" xr:uid="{00000000-0005-0000-0000-00001A060000}"/>
    <cellStyle name="Comma 48 2" xfId="1577" xr:uid="{00000000-0005-0000-0000-00001B060000}"/>
    <cellStyle name="Comma 48 3" xfId="1578" xr:uid="{00000000-0005-0000-0000-00001C060000}"/>
    <cellStyle name="Comma 48 4" xfId="1579" xr:uid="{00000000-0005-0000-0000-00001D060000}"/>
    <cellStyle name="Comma 48 5" xfId="1580" xr:uid="{00000000-0005-0000-0000-00001E060000}"/>
    <cellStyle name="Comma 48 6" xfId="1581" xr:uid="{00000000-0005-0000-0000-00001F060000}"/>
    <cellStyle name="Comma 48 7" xfId="1582" xr:uid="{00000000-0005-0000-0000-000020060000}"/>
    <cellStyle name="Comma 48 8" xfId="1583" xr:uid="{00000000-0005-0000-0000-000021060000}"/>
    <cellStyle name="Comma 48 9" xfId="1584" xr:uid="{00000000-0005-0000-0000-000022060000}"/>
    <cellStyle name="Comma 49" xfId="3878" xr:uid="{00000000-0005-0000-0000-000023060000}"/>
    <cellStyle name="Comma 49 2" xfId="1585" xr:uid="{00000000-0005-0000-0000-000024060000}"/>
    <cellStyle name="Comma 5" xfId="1586" xr:uid="{00000000-0005-0000-0000-000025060000}"/>
    <cellStyle name="Comma 5 10" xfId="1587" xr:uid="{00000000-0005-0000-0000-000026060000}"/>
    <cellStyle name="Comma 5 10 2" xfId="1588" xr:uid="{00000000-0005-0000-0000-000027060000}"/>
    <cellStyle name="Comma 5 11" xfId="1589" xr:uid="{00000000-0005-0000-0000-000028060000}"/>
    <cellStyle name="Comma 5 11 2" xfId="1590" xr:uid="{00000000-0005-0000-0000-000029060000}"/>
    <cellStyle name="Comma 5 12" xfId="1591" xr:uid="{00000000-0005-0000-0000-00002A060000}"/>
    <cellStyle name="Comma 5 12 2" xfId="1592" xr:uid="{00000000-0005-0000-0000-00002B060000}"/>
    <cellStyle name="Comma 5 13" xfId="1593" xr:uid="{00000000-0005-0000-0000-00002C060000}"/>
    <cellStyle name="Comma 5 13 2" xfId="1594" xr:uid="{00000000-0005-0000-0000-00002D060000}"/>
    <cellStyle name="Comma 5 14" xfId="1595" xr:uid="{00000000-0005-0000-0000-00002E060000}"/>
    <cellStyle name="Comma 5 14 2" xfId="1596" xr:uid="{00000000-0005-0000-0000-00002F060000}"/>
    <cellStyle name="Comma 5 15" xfId="1597" xr:uid="{00000000-0005-0000-0000-000030060000}"/>
    <cellStyle name="Comma 5 15 2" xfId="1598" xr:uid="{00000000-0005-0000-0000-000031060000}"/>
    <cellStyle name="Comma 5 16" xfId="1599" xr:uid="{00000000-0005-0000-0000-000032060000}"/>
    <cellStyle name="Comma 5 16 2" xfId="1600" xr:uid="{00000000-0005-0000-0000-000033060000}"/>
    <cellStyle name="Comma 5 17" xfId="1601" xr:uid="{00000000-0005-0000-0000-000034060000}"/>
    <cellStyle name="Comma 5 17 2" xfId="1602" xr:uid="{00000000-0005-0000-0000-000035060000}"/>
    <cellStyle name="Comma 5 18" xfId="1603" xr:uid="{00000000-0005-0000-0000-000036060000}"/>
    <cellStyle name="Comma 5 19" xfId="1604" xr:uid="{00000000-0005-0000-0000-000037060000}"/>
    <cellStyle name="Comma 5 2" xfId="1605" xr:uid="{00000000-0005-0000-0000-000038060000}"/>
    <cellStyle name="Comma 5 2 2" xfId="1606" xr:uid="{00000000-0005-0000-0000-000039060000}"/>
    <cellStyle name="Comma 5 2 3" xfId="3879" xr:uid="{00000000-0005-0000-0000-00003A060000}"/>
    <cellStyle name="Comma 5 20" xfId="1607" xr:uid="{00000000-0005-0000-0000-00003B060000}"/>
    <cellStyle name="Comma 5 21" xfId="1608" xr:uid="{00000000-0005-0000-0000-00003C060000}"/>
    <cellStyle name="Comma 5 22" xfId="1609" xr:uid="{00000000-0005-0000-0000-00003D060000}"/>
    <cellStyle name="Comma 5 23" xfId="1610" xr:uid="{00000000-0005-0000-0000-00003E060000}"/>
    <cellStyle name="Comma 5 3" xfId="1611" xr:uid="{00000000-0005-0000-0000-00003F060000}"/>
    <cellStyle name="Comma 5 3 2" xfId="1612" xr:uid="{00000000-0005-0000-0000-000040060000}"/>
    <cellStyle name="Comma 5 4" xfId="1613" xr:uid="{00000000-0005-0000-0000-000041060000}"/>
    <cellStyle name="Comma 5 4 2" xfId="1614" xr:uid="{00000000-0005-0000-0000-000042060000}"/>
    <cellStyle name="Comma 5 5" xfId="1615" xr:uid="{00000000-0005-0000-0000-000043060000}"/>
    <cellStyle name="Comma 5 5 2" xfId="1616" xr:uid="{00000000-0005-0000-0000-000044060000}"/>
    <cellStyle name="Comma 5 6" xfId="1617" xr:uid="{00000000-0005-0000-0000-000045060000}"/>
    <cellStyle name="Comma 5 6 2" xfId="1618" xr:uid="{00000000-0005-0000-0000-000046060000}"/>
    <cellStyle name="Comma 5 7" xfId="1619" xr:uid="{00000000-0005-0000-0000-000047060000}"/>
    <cellStyle name="Comma 5 7 2" xfId="1620" xr:uid="{00000000-0005-0000-0000-000048060000}"/>
    <cellStyle name="Comma 5 8" xfId="1621" xr:uid="{00000000-0005-0000-0000-000049060000}"/>
    <cellStyle name="Comma 5 8 2" xfId="1622" xr:uid="{00000000-0005-0000-0000-00004A060000}"/>
    <cellStyle name="Comma 5 9" xfId="1623" xr:uid="{00000000-0005-0000-0000-00004B060000}"/>
    <cellStyle name="Comma 5 9 2" xfId="1624" xr:uid="{00000000-0005-0000-0000-00004C060000}"/>
    <cellStyle name="Comma 50" xfId="4413" xr:uid="{00000000-0005-0000-0000-00004D060000}"/>
    <cellStyle name="Comma 50 2" xfId="1625" xr:uid="{00000000-0005-0000-0000-00004E060000}"/>
    <cellStyle name="Comma 51" xfId="4419" xr:uid="{00000000-0005-0000-0000-00004F060000}"/>
    <cellStyle name="Comma 52" xfId="1626" xr:uid="{00000000-0005-0000-0000-000050060000}"/>
    <cellStyle name="Comma 52 2" xfId="1627" xr:uid="{00000000-0005-0000-0000-000051060000}"/>
    <cellStyle name="Comma 53" xfId="1628" xr:uid="{00000000-0005-0000-0000-000052060000}"/>
    <cellStyle name="Comma 54" xfId="4427" xr:uid="{00000000-0005-0000-0000-000053060000}"/>
    <cellStyle name="Comma 55" xfId="4447" xr:uid="{DEDE58D4-F85D-449E-9BB2-A82085D28632}"/>
    <cellStyle name="Comma 59 2" xfId="1629" xr:uid="{00000000-0005-0000-0000-000054060000}"/>
    <cellStyle name="Comma 59 3" xfId="1630" xr:uid="{00000000-0005-0000-0000-000055060000}"/>
    <cellStyle name="Comma 6" xfId="1631" xr:uid="{00000000-0005-0000-0000-000056060000}"/>
    <cellStyle name="Comma 6 10" xfId="1632" xr:uid="{00000000-0005-0000-0000-000057060000}"/>
    <cellStyle name="Comma 6 11" xfId="1633" xr:uid="{00000000-0005-0000-0000-000058060000}"/>
    <cellStyle name="Comma 6 2" xfId="1634" xr:uid="{00000000-0005-0000-0000-000059060000}"/>
    <cellStyle name="Comma 6 2 2" xfId="1635" xr:uid="{00000000-0005-0000-0000-00005A060000}"/>
    <cellStyle name="Comma 6 3" xfId="1636" xr:uid="{00000000-0005-0000-0000-00005B060000}"/>
    <cellStyle name="Comma 6 3 2" xfId="1637" xr:uid="{00000000-0005-0000-0000-00005C060000}"/>
    <cellStyle name="Comma 6 4" xfId="1638" xr:uid="{00000000-0005-0000-0000-00005D060000}"/>
    <cellStyle name="Comma 6 4 2" xfId="1639" xr:uid="{00000000-0005-0000-0000-00005E060000}"/>
    <cellStyle name="Comma 6 5" xfId="1640" xr:uid="{00000000-0005-0000-0000-00005F060000}"/>
    <cellStyle name="Comma 6 5 2" xfId="1641" xr:uid="{00000000-0005-0000-0000-000060060000}"/>
    <cellStyle name="Comma 6 6" xfId="1642" xr:uid="{00000000-0005-0000-0000-000061060000}"/>
    <cellStyle name="Comma 6 7" xfId="1643" xr:uid="{00000000-0005-0000-0000-000062060000}"/>
    <cellStyle name="Comma 6 8" xfId="1644" xr:uid="{00000000-0005-0000-0000-000063060000}"/>
    <cellStyle name="Comma 6 9" xfId="1645" xr:uid="{00000000-0005-0000-0000-000064060000}"/>
    <cellStyle name="Comma 60 2" xfId="1646" xr:uid="{00000000-0005-0000-0000-000065060000}"/>
    <cellStyle name="Comma 60 3" xfId="1647" xr:uid="{00000000-0005-0000-0000-000066060000}"/>
    <cellStyle name="Comma 7" xfId="1648" xr:uid="{00000000-0005-0000-0000-000067060000}"/>
    <cellStyle name="Comma 7 10" xfId="1649" xr:uid="{00000000-0005-0000-0000-000068060000}"/>
    <cellStyle name="Comma 7 11" xfId="1650" xr:uid="{00000000-0005-0000-0000-000069060000}"/>
    <cellStyle name="Comma 7 2" xfId="1651" xr:uid="{00000000-0005-0000-0000-00006A060000}"/>
    <cellStyle name="Comma 7 2 2" xfId="1652" xr:uid="{00000000-0005-0000-0000-00006B060000}"/>
    <cellStyle name="Comma 7 3" xfId="1653" xr:uid="{00000000-0005-0000-0000-00006C060000}"/>
    <cellStyle name="Comma 7 3 2" xfId="1654" xr:uid="{00000000-0005-0000-0000-00006D060000}"/>
    <cellStyle name="Comma 7 4" xfId="1655" xr:uid="{00000000-0005-0000-0000-00006E060000}"/>
    <cellStyle name="Comma 7 4 2" xfId="1656" xr:uid="{00000000-0005-0000-0000-00006F060000}"/>
    <cellStyle name="Comma 7 5" xfId="1657" xr:uid="{00000000-0005-0000-0000-000070060000}"/>
    <cellStyle name="Comma 7 5 2" xfId="1658" xr:uid="{00000000-0005-0000-0000-000071060000}"/>
    <cellStyle name="Comma 7 6" xfId="1659" xr:uid="{00000000-0005-0000-0000-000072060000}"/>
    <cellStyle name="Comma 7 7" xfId="1660" xr:uid="{00000000-0005-0000-0000-000073060000}"/>
    <cellStyle name="Comma 7 8" xfId="1661" xr:uid="{00000000-0005-0000-0000-000074060000}"/>
    <cellStyle name="Comma 7 9" xfId="1662" xr:uid="{00000000-0005-0000-0000-000075060000}"/>
    <cellStyle name="Comma 8" xfId="1663" xr:uid="{00000000-0005-0000-0000-000076060000}"/>
    <cellStyle name="Comma 8 10" xfId="1664" xr:uid="{00000000-0005-0000-0000-000077060000}"/>
    <cellStyle name="Comma 8 11" xfId="1665" xr:uid="{00000000-0005-0000-0000-000078060000}"/>
    <cellStyle name="Comma 8 2" xfId="1666" xr:uid="{00000000-0005-0000-0000-000079060000}"/>
    <cellStyle name="Comma 8 2 2" xfId="1667" xr:uid="{00000000-0005-0000-0000-00007A060000}"/>
    <cellStyle name="Comma 8 3" xfId="1668" xr:uid="{00000000-0005-0000-0000-00007B060000}"/>
    <cellStyle name="Comma 8 3 2" xfId="1669" xr:uid="{00000000-0005-0000-0000-00007C060000}"/>
    <cellStyle name="Comma 8 4" xfId="1670" xr:uid="{00000000-0005-0000-0000-00007D060000}"/>
    <cellStyle name="Comma 8 4 2" xfId="1671" xr:uid="{00000000-0005-0000-0000-00007E060000}"/>
    <cellStyle name="Comma 8 5" xfId="1672" xr:uid="{00000000-0005-0000-0000-00007F060000}"/>
    <cellStyle name="Comma 8 5 2" xfId="1673" xr:uid="{00000000-0005-0000-0000-000080060000}"/>
    <cellStyle name="Comma 8 6" xfId="1674" xr:uid="{00000000-0005-0000-0000-000081060000}"/>
    <cellStyle name="Comma 8 7" xfId="1675" xr:uid="{00000000-0005-0000-0000-000082060000}"/>
    <cellStyle name="Comma 8 8" xfId="1676" xr:uid="{00000000-0005-0000-0000-000083060000}"/>
    <cellStyle name="Comma 8 9" xfId="1677" xr:uid="{00000000-0005-0000-0000-000084060000}"/>
    <cellStyle name="Comma 9" xfId="1678" xr:uid="{00000000-0005-0000-0000-000085060000}"/>
    <cellStyle name="Comma 9 2" xfId="1679" xr:uid="{00000000-0005-0000-0000-000086060000}"/>
    <cellStyle name="Comma 9 2 2" xfId="3880" xr:uid="{00000000-0005-0000-0000-000087060000}"/>
    <cellStyle name="Comma 9 3" xfId="1680" xr:uid="{00000000-0005-0000-0000-000088060000}"/>
    <cellStyle name="Comma 9 4" xfId="1681" xr:uid="{00000000-0005-0000-0000-000089060000}"/>
    <cellStyle name="Comma 9 5" xfId="1682" xr:uid="{00000000-0005-0000-0000-00008A060000}"/>
    <cellStyle name="Comma0" xfId="1683" xr:uid="{00000000-0005-0000-0000-00008B060000}"/>
    <cellStyle name="Currency" xfId="4417" builtinId="4"/>
    <cellStyle name="Currency - $#,##0" xfId="3881" xr:uid="{00000000-0005-0000-0000-00008D060000}"/>
    <cellStyle name="Currency 10" xfId="4433" xr:uid="{00000000-0005-0000-0000-00008E060000}"/>
    <cellStyle name="Currency 11" xfId="4439" xr:uid="{5CE88497-6EFE-455B-88EF-B3EA7108B6ED}"/>
    <cellStyle name="Currency 2" xfId="139" xr:uid="{00000000-0005-0000-0000-00008F060000}"/>
    <cellStyle name="Currency 2 2" xfId="1684" xr:uid="{00000000-0005-0000-0000-000090060000}"/>
    <cellStyle name="Currency 2 2 2" xfId="3882" xr:uid="{00000000-0005-0000-0000-000091060000}"/>
    <cellStyle name="Currency 2 2 2 2" xfId="3883" xr:uid="{00000000-0005-0000-0000-000092060000}"/>
    <cellStyle name="Currency 2 2 3" xfId="3884" xr:uid="{00000000-0005-0000-0000-000093060000}"/>
    <cellStyle name="Currency 2 3" xfId="1685" xr:uid="{00000000-0005-0000-0000-000094060000}"/>
    <cellStyle name="Currency 2 3 2" xfId="3885" xr:uid="{00000000-0005-0000-0000-000095060000}"/>
    <cellStyle name="Currency 2 4" xfId="3886" xr:uid="{00000000-0005-0000-0000-000096060000}"/>
    <cellStyle name="Currency 2 5" xfId="3887" xr:uid="{00000000-0005-0000-0000-000097060000}"/>
    <cellStyle name="Currency 2 6" xfId="4414" xr:uid="{00000000-0005-0000-0000-000098060000}"/>
    <cellStyle name="Currency 3" xfId="1686" xr:uid="{00000000-0005-0000-0000-000099060000}"/>
    <cellStyle name="Currency 3 2" xfId="3888" xr:uid="{00000000-0005-0000-0000-00009A060000}"/>
    <cellStyle name="Currency 3 2 2" xfId="3889" xr:uid="{00000000-0005-0000-0000-00009B060000}"/>
    <cellStyle name="Currency 3 2 3" xfId="3890" xr:uid="{00000000-0005-0000-0000-00009C060000}"/>
    <cellStyle name="Currency 3 3" xfId="3891" xr:uid="{00000000-0005-0000-0000-00009D060000}"/>
    <cellStyle name="Currency 3 4" xfId="3892" xr:uid="{00000000-0005-0000-0000-00009E060000}"/>
    <cellStyle name="Currency 3 5" xfId="3893" xr:uid="{00000000-0005-0000-0000-00009F060000}"/>
    <cellStyle name="Currency 4" xfId="1687" xr:uid="{00000000-0005-0000-0000-0000A0060000}"/>
    <cellStyle name="Currency 4 2" xfId="3894" xr:uid="{00000000-0005-0000-0000-0000A1060000}"/>
    <cellStyle name="Currency 4 2 2" xfId="3895" xr:uid="{00000000-0005-0000-0000-0000A2060000}"/>
    <cellStyle name="Currency 4 3" xfId="3896" xr:uid="{00000000-0005-0000-0000-0000A3060000}"/>
    <cellStyle name="Currency 4 4" xfId="3897" xr:uid="{00000000-0005-0000-0000-0000A4060000}"/>
    <cellStyle name="Currency 5" xfId="1688" xr:uid="{00000000-0005-0000-0000-0000A5060000}"/>
    <cellStyle name="Currency 5 2" xfId="1689" xr:uid="{00000000-0005-0000-0000-0000A6060000}"/>
    <cellStyle name="Currency 5 3" xfId="3898" xr:uid="{00000000-0005-0000-0000-0000A7060000}"/>
    <cellStyle name="Currency 6" xfId="1690" xr:uid="{00000000-0005-0000-0000-0000A8060000}"/>
    <cellStyle name="Currency 6 2" xfId="1691" xr:uid="{00000000-0005-0000-0000-0000A9060000}"/>
    <cellStyle name="Currency 7" xfId="1692" xr:uid="{00000000-0005-0000-0000-0000AA060000}"/>
    <cellStyle name="Currency 8" xfId="4415" xr:uid="{00000000-0005-0000-0000-0000AB060000}"/>
    <cellStyle name="Currency 9" xfId="4421" xr:uid="{00000000-0005-0000-0000-0000AC060000}"/>
    <cellStyle name="Currency0" xfId="1693" xr:uid="{00000000-0005-0000-0000-0000AD060000}"/>
    <cellStyle name="Data Field" xfId="1694" xr:uid="{00000000-0005-0000-0000-0000AE060000}"/>
    <cellStyle name="Data Name" xfId="1695" xr:uid="{00000000-0005-0000-0000-0000AF060000}"/>
    <cellStyle name="Date" xfId="1696" xr:uid="{00000000-0005-0000-0000-0000B0060000}"/>
    <cellStyle name="Date/Time" xfId="1697" xr:uid="{00000000-0005-0000-0000-0000B1060000}"/>
    <cellStyle name="Decimal 1" xfId="3899" xr:uid="{00000000-0005-0000-0000-0000B2060000}"/>
    <cellStyle name="Decimal 2" xfId="3900" xr:uid="{00000000-0005-0000-0000-0000B3060000}"/>
    <cellStyle name="Decimal 3" xfId="3901" xr:uid="{00000000-0005-0000-0000-0000B4060000}"/>
    <cellStyle name="Excel Built-in Currency" xfId="125" xr:uid="{00000000-0005-0000-0000-0000B5060000}"/>
    <cellStyle name="Explanatory Text 10 2" xfId="1698" xr:uid="{00000000-0005-0000-0000-0000B6060000}"/>
    <cellStyle name="Explanatory Text 10 3" xfId="1699" xr:uid="{00000000-0005-0000-0000-0000B7060000}"/>
    <cellStyle name="Explanatory Text 11 2" xfId="1700" xr:uid="{00000000-0005-0000-0000-0000B8060000}"/>
    <cellStyle name="Explanatory Text 11 3" xfId="1701" xr:uid="{00000000-0005-0000-0000-0000B9060000}"/>
    <cellStyle name="Explanatory Text 12 2" xfId="1702" xr:uid="{00000000-0005-0000-0000-0000BA060000}"/>
    <cellStyle name="Explanatory Text 12 3" xfId="1703" xr:uid="{00000000-0005-0000-0000-0000BB060000}"/>
    <cellStyle name="Explanatory Text 13 2" xfId="1704" xr:uid="{00000000-0005-0000-0000-0000BC060000}"/>
    <cellStyle name="Explanatory Text 13 3" xfId="1705" xr:uid="{00000000-0005-0000-0000-0000BD060000}"/>
    <cellStyle name="Explanatory Text 14 2" xfId="1706" xr:uid="{00000000-0005-0000-0000-0000BE060000}"/>
    <cellStyle name="Explanatory Text 14 3" xfId="1707" xr:uid="{00000000-0005-0000-0000-0000BF060000}"/>
    <cellStyle name="Explanatory Text 15" xfId="1708" xr:uid="{00000000-0005-0000-0000-0000C0060000}"/>
    <cellStyle name="Explanatory Text 15 2" xfId="1709" xr:uid="{00000000-0005-0000-0000-0000C1060000}"/>
    <cellStyle name="Explanatory Text 15 3" xfId="1710" xr:uid="{00000000-0005-0000-0000-0000C2060000}"/>
    <cellStyle name="Explanatory Text 15 4" xfId="1711" xr:uid="{00000000-0005-0000-0000-0000C3060000}"/>
    <cellStyle name="Explanatory Text 15 5" xfId="1712" xr:uid="{00000000-0005-0000-0000-0000C4060000}"/>
    <cellStyle name="Explanatory Text 15 6" xfId="1713" xr:uid="{00000000-0005-0000-0000-0000C5060000}"/>
    <cellStyle name="Explanatory Text 15 7" xfId="1714" xr:uid="{00000000-0005-0000-0000-0000C6060000}"/>
    <cellStyle name="Explanatory Text 16" xfId="1715" xr:uid="{00000000-0005-0000-0000-0000C7060000}"/>
    <cellStyle name="Explanatory Text 17" xfId="1716" xr:uid="{00000000-0005-0000-0000-0000C8060000}"/>
    <cellStyle name="Explanatory Text 18" xfId="1717" xr:uid="{00000000-0005-0000-0000-0000C9060000}"/>
    <cellStyle name="Explanatory Text 19" xfId="1718" xr:uid="{00000000-0005-0000-0000-0000CA060000}"/>
    <cellStyle name="Explanatory Text 2" xfId="1719" xr:uid="{00000000-0005-0000-0000-0000CB060000}"/>
    <cellStyle name="Explanatory Text 2 2" xfId="1720" xr:uid="{00000000-0005-0000-0000-0000CC060000}"/>
    <cellStyle name="Explanatory Text 2 3" xfId="1721" xr:uid="{00000000-0005-0000-0000-0000CD060000}"/>
    <cellStyle name="Explanatory Text 2 4" xfId="3902" xr:uid="{00000000-0005-0000-0000-0000CE060000}"/>
    <cellStyle name="Explanatory Text 20" xfId="1722" xr:uid="{00000000-0005-0000-0000-0000CF060000}"/>
    <cellStyle name="Explanatory Text 21" xfId="1723" xr:uid="{00000000-0005-0000-0000-0000D0060000}"/>
    <cellStyle name="Explanatory Text 22" xfId="1724" xr:uid="{00000000-0005-0000-0000-0000D1060000}"/>
    <cellStyle name="Explanatory Text 3" xfId="1725" xr:uid="{00000000-0005-0000-0000-0000D2060000}"/>
    <cellStyle name="Explanatory Text 3 2" xfId="1726" xr:uid="{00000000-0005-0000-0000-0000D3060000}"/>
    <cellStyle name="Explanatory Text 3 3" xfId="1727" xr:uid="{00000000-0005-0000-0000-0000D4060000}"/>
    <cellStyle name="Explanatory Text 3 4" xfId="3903" xr:uid="{00000000-0005-0000-0000-0000D5060000}"/>
    <cellStyle name="Explanatory Text 4" xfId="1728" xr:uid="{00000000-0005-0000-0000-0000D6060000}"/>
    <cellStyle name="Explanatory Text 4 2" xfId="1729" xr:uid="{00000000-0005-0000-0000-0000D7060000}"/>
    <cellStyle name="Explanatory Text 4 3" xfId="1730" xr:uid="{00000000-0005-0000-0000-0000D8060000}"/>
    <cellStyle name="Explanatory Text 5 2" xfId="1731" xr:uid="{00000000-0005-0000-0000-0000D9060000}"/>
    <cellStyle name="Explanatory Text 5 3" xfId="1732" xr:uid="{00000000-0005-0000-0000-0000DA060000}"/>
    <cellStyle name="Explanatory Text 6 2" xfId="1733" xr:uid="{00000000-0005-0000-0000-0000DB060000}"/>
    <cellStyle name="Explanatory Text 6 3" xfId="1734" xr:uid="{00000000-0005-0000-0000-0000DC060000}"/>
    <cellStyle name="Explanatory Text 7 2" xfId="1735" xr:uid="{00000000-0005-0000-0000-0000DD060000}"/>
    <cellStyle name="Explanatory Text 7 3" xfId="1736" xr:uid="{00000000-0005-0000-0000-0000DE060000}"/>
    <cellStyle name="Explanatory Text 8 2" xfId="1737" xr:uid="{00000000-0005-0000-0000-0000DF060000}"/>
    <cellStyle name="Explanatory Text 8 3" xfId="1738" xr:uid="{00000000-0005-0000-0000-0000E0060000}"/>
    <cellStyle name="Explanatory Text 9 2" xfId="1739" xr:uid="{00000000-0005-0000-0000-0000E1060000}"/>
    <cellStyle name="Explanatory Text 9 3" xfId="1740" xr:uid="{00000000-0005-0000-0000-0000E2060000}"/>
    <cellStyle name="Fixed" xfId="1741" xr:uid="{00000000-0005-0000-0000-0000E3060000}"/>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81" builtinId="9" hidden="1"/>
    <cellStyle name="Followed Hyperlink" xfId="82" builtinId="9" hidden="1"/>
    <cellStyle name="Followed Hyperlink" xfId="83" builtinId="9" hidden="1"/>
    <cellStyle name="Followed Hyperlink" xfId="62" builtinId="9" hidden="1"/>
    <cellStyle name="Followed Hyperlink" xfId="129" builtinId="9" hidden="1"/>
    <cellStyle name="Followed Hyperlink" xfId="60" builtinId="9" hidden="1"/>
    <cellStyle name="Followed Hyperlink" xfId="80" builtinId="9" hidden="1"/>
    <cellStyle name="Followed Hyperlink" xfId="79" builtinId="9" hidden="1"/>
    <cellStyle name="Followed Hyperlink" xfId="78"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3" builtinId="9" hidden="1"/>
    <cellStyle name="Followed Hyperlink" xfId="94" builtinId="9" hidden="1"/>
    <cellStyle name="Followed Hyperlink" xfId="95" builtinId="9" hidden="1"/>
    <cellStyle name="Followed Hyperlink" xfId="11" builtinId="9" hidden="1"/>
    <cellStyle name="Followed Hyperlink" xfId="128" builtinId="9" hidden="1"/>
    <cellStyle name="Followed Hyperlink" xfId="10" builtinId="9" hidden="1"/>
    <cellStyle name="Followed Hyperlink" xfId="92" builtinId="9" hidden="1"/>
    <cellStyle name="Followed Hyperlink" xfId="91" builtinId="9" hidden="1"/>
    <cellStyle name="Followed Hyperlink" xfId="9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8" builtinId="9" hidden="1"/>
    <cellStyle name="Followed Hyperlink" xfId="127" builtinId="9" hidden="1"/>
    <cellStyle name="Followed Hyperlink" xfId="116" builtinId="9" hidden="1"/>
    <cellStyle name="Followed Hyperlink" xfId="63" builtinId="9" hidden="1"/>
    <cellStyle name="Followed Hyperlink" xfId="117" builtinId="9" hidden="1"/>
    <cellStyle name="Followed Hyperlink" xfId="121" builtinId="9" hidden="1"/>
    <cellStyle name="Followed Hyperlink" xfId="67" builtinId="9" hidden="1"/>
    <cellStyle name="Followed Hyperlink" xfId="68" builtinId="9" hidden="1"/>
    <cellStyle name="Followed Hyperlink" xfId="58" builtinId="9" hidden="1"/>
    <cellStyle name="Followed Hyperlink" xfId="16" builtinId="9" hidden="1"/>
    <cellStyle name="Followed Hyperlink" xfId="130" builtinId="9" hidden="1"/>
    <cellStyle name="Followed Hyperlink" xfId="131" builtinId="9" hidden="1"/>
    <cellStyle name="Followed Hyperlink" xfId="59" builtinId="9" hidden="1"/>
    <cellStyle name="Followed Hyperlink" xfId="44" builtinId="9" hidden="1"/>
    <cellStyle name="Followed Hyperlink" xfId="65" builtinId="9" hidden="1"/>
    <cellStyle name="Followed Hyperlink" xfId="122" builtinId="9" hidden="1"/>
    <cellStyle name="Followed Hyperlink" xfId="100" builtinId="9" hidden="1"/>
    <cellStyle name="Followed Hyperlink" xfId="34" builtinId="9" hidden="1"/>
    <cellStyle name="Followed Hyperlink" xfId="35" builtinId="9" hidden="1"/>
    <cellStyle name="Followed Hyperlink" xfId="40" builtinId="9" hidden="1"/>
    <cellStyle name="Followed Hyperlink" xfId="41" builtinId="9" hidden="1"/>
    <cellStyle name="Followed Hyperlink" xfId="42" builtinId="9" hidden="1"/>
    <cellStyle name="Followed Hyperlink" xfId="114" builtinId="9" hidden="1"/>
    <cellStyle name="Followed Hyperlink" xfId="3" builtinId="9" hidden="1"/>
    <cellStyle name="Followed Hyperlink" xfId="113" builtinId="9" hidden="1"/>
    <cellStyle name="Followed Hyperlink" xfId="39" builtinId="9" hidden="1"/>
    <cellStyle name="Followed Hyperlink" xfId="38" builtinId="9" hidden="1"/>
    <cellStyle name="Followed Hyperlink" xfId="37"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3" builtinId="9" hidden="1"/>
    <cellStyle name="Followed Hyperlink" xfId="54" builtinId="9" hidden="1"/>
    <cellStyle name="Followed Hyperlink" xfId="55" builtinId="9" hidden="1"/>
    <cellStyle name="Followed Hyperlink" xfId="57" builtinId="9" hidden="1"/>
    <cellStyle name="Followed Hyperlink" xfId="66" builtinId="9" hidden="1"/>
    <cellStyle name="Followed Hyperlink" xfId="8" builtinId="9" hidden="1"/>
    <cellStyle name="Followed Hyperlink" xfId="64" builtinId="9" hidden="1"/>
    <cellStyle name="Followed Hyperlink" xfId="9" builtinId="9" hidden="1"/>
    <cellStyle name="Followed Hyperlink" xfId="96" builtinId="9" hidden="1"/>
    <cellStyle name="Followed Hyperlink" xfId="69" builtinId="9" hidden="1"/>
    <cellStyle name="Followed Hyperlink" xfId="12" builtinId="9" hidden="1"/>
    <cellStyle name="Followed Hyperlink" xfId="97" builtinId="9" hidden="1"/>
    <cellStyle name="Followed Hyperlink" xfId="99" builtinId="9" hidden="1"/>
    <cellStyle name="Followed Hyperlink" xfId="15" builtinId="9" hidden="1"/>
    <cellStyle name="Followed Hyperlink" xfId="5" builtinId="9" hidden="1"/>
    <cellStyle name="Followed Hyperlink" xfId="24" builtinId="9" hidden="1"/>
    <cellStyle name="Followed Hyperlink" xfId="107" builtinId="9" hidden="1"/>
    <cellStyle name="Followed Hyperlink" xfId="106" builtinId="9" hidden="1"/>
    <cellStyle name="Followed Hyperlink" xfId="36" builtinId="9" hidden="1"/>
    <cellStyle name="Followed Hyperlink" xfId="17" builtinId="9" hidden="1"/>
    <cellStyle name="Followed Hyperlink" xfId="18" builtinId="9" hidden="1"/>
    <cellStyle name="Followed Hyperlink" xfId="19" builtinId="9" hidden="1"/>
    <cellStyle name="Followed Hyperlink" xfId="21" builtinId="9" hidden="1"/>
    <cellStyle name="Followed Hyperlink" xfId="22" builtinId="9" hidden="1"/>
    <cellStyle name="Followed Hyperlink" xfId="23"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14" builtinId="9" hidden="1"/>
    <cellStyle name="Followed Hyperlink" xfId="7" builtinId="9" hidden="1"/>
    <cellStyle name="Followed Hyperlink" xfId="26" builtinId="9" hidden="1"/>
    <cellStyle name="Followed Hyperlink" xfId="25" builtinId="9" hidden="1"/>
    <cellStyle name="Followed Hyperlink" xfId="31" builtinId="9" hidden="1"/>
    <cellStyle name="Followed Hyperlink" xfId="32" builtinId="9" hidden="1"/>
    <cellStyle name="Followed Hyperlink" xfId="33" builtinId="9" hidden="1"/>
    <cellStyle name="Followed Hyperlink" xfId="115" builtinId="9" hidden="1"/>
    <cellStyle name="Followed Hyperlink" xfId="43" builtinId="9" hidden="1"/>
    <cellStyle name="Followed Hyperlink" xfId="56" builtinId="9" hidden="1"/>
    <cellStyle name="Followed Hyperlink" xfId="119" builtinId="9" hidden="1"/>
    <cellStyle name="Followed Hyperlink" xfId="120" builtinId="9" hidden="1"/>
    <cellStyle name="Followed Hyperlink" xfId="112" builtinId="9" hidden="1"/>
    <cellStyle name="Followed Hyperlink" xfId="52" builtinId="9" hidden="1"/>
    <cellStyle name="Followed Hyperlink" xfId="51" builtinId="9" hidden="1"/>
    <cellStyle name="Followed Hyperlink" xfId="4" builtinId="9" hidden="1"/>
    <cellStyle name="Followed Hyperlink" xfId="2" builtinId="9" hidden="1"/>
    <cellStyle name="Followed Hyperlink" xfId="70" builtinId="9" hidden="1"/>
    <cellStyle name="Followed Hyperlink" xfId="13" builtinId="9" hidden="1"/>
    <cellStyle name="Followed Hyperlink" xfId="61" builtinId="9" hidden="1"/>
    <cellStyle name="Followed Hyperlink" xfId="71" builtinId="9" hidden="1"/>
    <cellStyle name="Followed Hyperlink" xfId="98" builtinId="9" hidden="1"/>
    <cellStyle name="Followed Hyperlink" xfId="6" builtinId="9" hidden="1"/>
    <cellStyle name="General" xfId="1742" xr:uid="{00000000-0005-0000-0000-000061070000}"/>
    <cellStyle name="General 2" xfId="4444" xr:uid="{40797780-8A48-4354-9496-198BB49DCEE6}"/>
    <cellStyle name="Good 10 2" xfId="1743" xr:uid="{00000000-0005-0000-0000-000062070000}"/>
    <cellStyle name="Good 10 3" xfId="1744" xr:uid="{00000000-0005-0000-0000-000063070000}"/>
    <cellStyle name="Good 11 2" xfId="1745" xr:uid="{00000000-0005-0000-0000-000064070000}"/>
    <cellStyle name="Good 11 3" xfId="1746" xr:uid="{00000000-0005-0000-0000-000065070000}"/>
    <cellStyle name="Good 12 2" xfId="1747" xr:uid="{00000000-0005-0000-0000-000066070000}"/>
    <cellStyle name="Good 12 3" xfId="1748" xr:uid="{00000000-0005-0000-0000-000067070000}"/>
    <cellStyle name="Good 13 2" xfId="1749" xr:uid="{00000000-0005-0000-0000-000068070000}"/>
    <cellStyle name="Good 13 3" xfId="1750" xr:uid="{00000000-0005-0000-0000-000069070000}"/>
    <cellStyle name="Good 14 2" xfId="1751" xr:uid="{00000000-0005-0000-0000-00006A070000}"/>
    <cellStyle name="Good 14 3" xfId="1752" xr:uid="{00000000-0005-0000-0000-00006B070000}"/>
    <cellStyle name="Good 15" xfId="1753" xr:uid="{00000000-0005-0000-0000-00006C070000}"/>
    <cellStyle name="Good 15 2" xfId="1754" xr:uid="{00000000-0005-0000-0000-00006D070000}"/>
    <cellStyle name="Good 15 3" xfId="1755" xr:uid="{00000000-0005-0000-0000-00006E070000}"/>
    <cellStyle name="Good 15 4" xfId="1756" xr:uid="{00000000-0005-0000-0000-00006F070000}"/>
    <cellStyle name="Good 15 5" xfId="1757" xr:uid="{00000000-0005-0000-0000-000070070000}"/>
    <cellStyle name="Good 15 6" xfId="1758" xr:uid="{00000000-0005-0000-0000-000071070000}"/>
    <cellStyle name="Good 15 7" xfId="1759" xr:uid="{00000000-0005-0000-0000-000072070000}"/>
    <cellStyle name="Good 16" xfId="1760" xr:uid="{00000000-0005-0000-0000-000073070000}"/>
    <cellStyle name="Good 17" xfId="1761" xr:uid="{00000000-0005-0000-0000-000074070000}"/>
    <cellStyle name="Good 18" xfId="1762" xr:uid="{00000000-0005-0000-0000-000075070000}"/>
    <cellStyle name="Good 19" xfId="1763" xr:uid="{00000000-0005-0000-0000-000076070000}"/>
    <cellStyle name="Good 2" xfId="1764" xr:uid="{00000000-0005-0000-0000-000077070000}"/>
    <cellStyle name="Good 2 2" xfId="1765" xr:uid="{00000000-0005-0000-0000-000078070000}"/>
    <cellStyle name="Good 2 3" xfId="1766" xr:uid="{00000000-0005-0000-0000-000079070000}"/>
    <cellStyle name="Good 2 4" xfId="3904" xr:uid="{00000000-0005-0000-0000-00007A070000}"/>
    <cellStyle name="Good 20" xfId="1767" xr:uid="{00000000-0005-0000-0000-00007B070000}"/>
    <cellStyle name="Good 21" xfId="1768" xr:uid="{00000000-0005-0000-0000-00007C070000}"/>
    <cellStyle name="Good 22" xfId="1769" xr:uid="{00000000-0005-0000-0000-00007D070000}"/>
    <cellStyle name="Good 3" xfId="1770" xr:uid="{00000000-0005-0000-0000-00007E070000}"/>
    <cellStyle name="Good 3 2" xfId="1771" xr:uid="{00000000-0005-0000-0000-00007F070000}"/>
    <cellStyle name="Good 3 3" xfId="1772" xr:uid="{00000000-0005-0000-0000-000080070000}"/>
    <cellStyle name="Good 3 4" xfId="3905" xr:uid="{00000000-0005-0000-0000-000081070000}"/>
    <cellStyle name="Good 4" xfId="1773" xr:uid="{00000000-0005-0000-0000-000082070000}"/>
    <cellStyle name="Good 4 2" xfId="1774" xr:uid="{00000000-0005-0000-0000-000083070000}"/>
    <cellStyle name="Good 4 3" xfId="1775" xr:uid="{00000000-0005-0000-0000-000084070000}"/>
    <cellStyle name="Good 5 2" xfId="1776" xr:uid="{00000000-0005-0000-0000-000085070000}"/>
    <cellStyle name="Good 5 3" xfId="1777" xr:uid="{00000000-0005-0000-0000-000086070000}"/>
    <cellStyle name="Good 6 2" xfId="1778" xr:uid="{00000000-0005-0000-0000-000087070000}"/>
    <cellStyle name="Good 6 3" xfId="1779" xr:uid="{00000000-0005-0000-0000-000088070000}"/>
    <cellStyle name="Good 7 2" xfId="1780" xr:uid="{00000000-0005-0000-0000-000089070000}"/>
    <cellStyle name="Good 7 3" xfId="1781" xr:uid="{00000000-0005-0000-0000-00008A070000}"/>
    <cellStyle name="Good 8 2" xfId="1782" xr:uid="{00000000-0005-0000-0000-00008B070000}"/>
    <cellStyle name="Good 8 3" xfId="1783" xr:uid="{00000000-0005-0000-0000-00008C070000}"/>
    <cellStyle name="Good 9 2" xfId="1784" xr:uid="{00000000-0005-0000-0000-00008D070000}"/>
    <cellStyle name="Good 9 3" xfId="1785" xr:uid="{00000000-0005-0000-0000-00008E070000}"/>
    <cellStyle name="Heading" xfId="1786" xr:uid="{00000000-0005-0000-0000-00008F070000}"/>
    <cellStyle name="Heading 1 10 2" xfId="1787" xr:uid="{00000000-0005-0000-0000-000090070000}"/>
    <cellStyle name="Heading 1 10 3" xfId="1788" xr:uid="{00000000-0005-0000-0000-000091070000}"/>
    <cellStyle name="Heading 1 11 2" xfId="1789" xr:uid="{00000000-0005-0000-0000-000092070000}"/>
    <cellStyle name="Heading 1 11 3" xfId="1790" xr:uid="{00000000-0005-0000-0000-000093070000}"/>
    <cellStyle name="Heading 1 12 2" xfId="1791" xr:uid="{00000000-0005-0000-0000-000094070000}"/>
    <cellStyle name="Heading 1 12 3" xfId="1792" xr:uid="{00000000-0005-0000-0000-000095070000}"/>
    <cellStyle name="Heading 1 13 2" xfId="1793" xr:uid="{00000000-0005-0000-0000-000096070000}"/>
    <cellStyle name="Heading 1 13 3" xfId="1794" xr:uid="{00000000-0005-0000-0000-000097070000}"/>
    <cellStyle name="Heading 1 14 2" xfId="1795" xr:uid="{00000000-0005-0000-0000-000098070000}"/>
    <cellStyle name="Heading 1 14 3" xfId="1796" xr:uid="{00000000-0005-0000-0000-000099070000}"/>
    <cellStyle name="Heading 1 15" xfId="1797" xr:uid="{00000000-0005-0000-0000-00009A070000}"/>
    <cellStyle name="Heading 1 15 2" xfId="1798" xr:uid="{00000000-0005-0000-0000-00009B070000}"/>
    <cellStyle name="Heading 1 15 3" xfId="1799" xr:uid="{00000000-0005-0000-0000-00009C070000}"/>
    <cellStyle name="Heading 1 15 4" xfId="1800" xr:uid="{00000000-0005-0000-0000-00009D070000}"/>
    <cellStyle name="Heading 1 15 5" xfId="1801" xr:uid="{00000000-0005-0000-0000-00009E070000}"/>
    <cellStyle name="Heading 1 15 6" xfId="1802" xr:uid="{00000000-0005-0000-0000-00009F070000}"/>
    <cellStyle name="Heading 1 15 7" xfId="1803" xr:uid="{00000000-0005-0000-0000-0000A0070000}"/>
    <cellStyle name="Heading 1 16" xfId="1804" xr:uid="{00000000-0005-0000-0000-0000A1070000}"/>
    <cellStyle name="Heading 1 17" xfId="1805" xr:uid="{00000000-0005-0000-0000-0000A2070000}"/>
    <cellStyle name="Heading 1 18" xfId="1806" xr:uid="{00000000-0005-0000-0000-0000A3070000}"/>
    <cellStyle name="Heading 1 19" xfId="1807" xr:uid="{00000000-0005-0000-0000-0000A4070000}"/>
    <cellStyle name="Heading 1 2" xfId="1808" xr:uid="{00000000-0005-0000-0000-0000A5070000}"/>
    <cellStyle name="Heading 1 2 2" xfId="1809" xr:uid="{00000000-0005-0000-0000-0000A6070000}"/>
    <cellStyle name="Heading 1 2 3" xfId="1810" xr:uid="{00000000-0005-0000-0000-0000A7070000}"/>
    <cellStyle name="Heading 1 2 4" xfId="3906" xr:uid="{00000000-0005-0000-0000-0000A8070000}"/>
    <cellStyle name="Heading 1 20" xfId="1811" xr:uid="{00000000-0005-0000-0000-0000A9070000}"/>
    <cellStyle name="Heading 1 21" xfId="1812" xr:uid="{00000000-0005-0000-0000-0000AA070000}"/>
    <cellStyle name="Heading 1 22" xfId="1813" xr:uid="{00000000-0005-0000-0000-0000AB070000}"/>
    <cellStyle name="Heading 1 3" xfId="1814" xr:uid="{00000000-0005-0000-0000-0000AC070000}"/>
    <cellStyle name="Heading 1 3 2" xfId="1815" xr:uid="{00000000-0005-0000-0000-0000AD070000}"/>
    <cellStyle name="Heading 1 3 3" xfId="1816" xr:uid="{00000000-0005-0000-0000-0000AE070000}"/>
    <cellStyle name="Heading 1 3 4" xfId="3907" xr:uid="{00000000-0005-0000-0000-0000AF070000}"/>
    <cellStyle name="Heading 1 4" xfId="1817" xr:uid="{00000000-0005-0000-0000-0000B0070000}"/>
    <cellStyle name="Heading 1 4 2" xfId="1818" xr:uid="{00000000-0005-0000-0000-0000B1070000}"/>
    <cellStyle name="Heading 1 4 3" xfId="1819" xr:uid="{00000000-0005-0000-0000-0000B2070000}"/>
    <cellStyle name="Heading 1 5 2" xfId="1820" xr:uid="{00000000-0005-0000-0000-0000B3070000}"/>
    <cellStyle name="Heading 1 5 3" xfId="1821" xr:uid="{00000000-0005-0000-0000-0000B4070000}"/>
    <cellStyle name="Heading 1 6 2" xfId="1822" xr:uid="{00000000-0005-0000-0000-0000B5070000}"/>
    <cellStyle name="Heading 1 6 3" xfId="1823" xr:uid="{00000000-0005-0000-0000-0000B6070000}"/>
    <cellStyle name="Heading 1 7 2" xfId="1824" xr:uid="{00000000-0005-0000-0000-0000B7070000}"/>
    <cellStyle name="Heading 1 7 3" xfId="1825" xr:uid="{00000000-0005-0000-0000-0000B8070000}"/>
    <cellStyle name="Heading 1 8 2" xfId="1826" xr:uid="{00000000-0005-0000-0000-0000B9070000}"/>
    <cellStyle name="Heading 1 8 3" xfId="1827" xr:uid="{00000000-0005-0000-0000-0000BA070000}"/>
    <cellStyle name="Heading 1 9 2" xfId="1828" xr:uid="{00000000-0005-0000-0000-0000BB070000}"/>
    <cellStyle name="Heading 1 9 3" xfId="1829" xr:uid="{00000000-0005-0000-0000-0000BC070000}"/>
    <cellStyle name="Heading 2 10 2" xfId="1830" xr:uid="{00000000-0005-0000-0000-0000BD070000}"/>
    <cellStyle name="Heading 2 10 3" xfId="1831" xr:uid="{00000000-0005-0000-0000-0000BE070000}"/>
    <cellStyle name="Heading 2 11 2" xfId="1832" xr:uid="{00000000-0005-0000-0000-0000BF070000}"/>
    <cellStyle name="Heading 2 11 3" xfId="1833" xr:uid="{00000000-0005-0000-0000-0000C0070000}"/>
    <cellStyle name="Heading 2 12 2" xfId="1834" xr:uid="{00000000-0005-0000-0000-0000C1070000}"/>
    <cellStyle name="Heading 2 12 3" xfId="1835" xr:uid="{00000000-0005-0000-0000-0000C2070000}"/>
    <cellStyle name="Heading 2 13 2" xfId="1836" xr:uid="{00000000-0005-0000-0000-0000C3070000}"/>
    <cellStyle name="Heading 2 13 3" xfId="1837" xr:uid="{00000000-0005-0000-0000-0000C4070000}"/>
    <cellStyle name="Heading 2 14 2" xfId="1838" xr:uid="{00000000-0005-0000-0000-0000C5070000}"/>
    <cellStyle name="Heading 2 14 3" xfId="1839" xr:uid="{00000000-0005-0000-0000-0000C6070000}"/>
    <cellStyle name="Heading 2 15" xfId="1840" xr:uid="{00000000-0005-0000-0000-0000C7070000}"/>
    <cellStyle name="Heading 2 15 2" xfId="1841" xr:uid="{00000000-0005-0000-0000-0000C8070000}"/>
    <cellStyle name="Heading 2 15 3" xfId="1842" xr:uid="{00000000-0005-0000-0000-0000C9070000}"/>
    <cellStyle name="Heading 2 15 4" xfId="1843" xr:uid="{00000000-0005-0000-0000-0000CA070000}"/>
    <cellStyle name="Heading 2 15 5" xfId="1844" xr:uid="{00000000-0005-0000-0000-0000CB070000}"/>
    <cellStyle name="Heading 2 15 6" xfId="1845" xr:uid="{00000000-0005-0000-0000-0000CC070000}"/>
    <cellStyle name="Heading 2 15 7" xfId="1846" xr:uid="{00000000-0005-0000-0000-0000CD070000}"/>
    <cellStyle name="Heading 2 16" xfId="1847" xr:uid="{00000000-0005-0000-0000-0000CE070000}"/>
    <cellStyle name="Heading 2 17" xfId="1848" xr:uid="{00000000-0005-0000-0000-0000CF070000}"/>
    <cellStyle name="Heading 2 18" xfId="1849" xr:uid="{00000000-0005-0000-0000-0000D0070000}"/>
    <cellStyle name="Heading 2 19" xfId="1850" xr:uid="{00000000-0005-0000-0000-0000D1070000}"/>
    <cellStyle name="Heading 2 2" xfId="1851" xr:uid="{00000000-0005-0000-0000-0000D2070000}"/>
    <cellStyle name="Heading 2 2 10" xfId="1852" xr:uid="{00000000-0005-0000-0000-0000D3070000}"/>
    <cellStyle name="Heading 2 2 11" xfId="3908" xr:uid="{00000000-0005-0000-0000-0000D4070000}"/>
    <cellStyle name="Heading 2 2 12" xfId="4451" xr:uid="{41182F1A-F941-4533-908A-1714B6BBD07B}"/>
    <cellStyle name="Heading 2 2 2" xfId="1853" xr:uid="{00000000-0005-0000-0000-0000D5070000}"/>
    <cellStyle name="Heading 2 2 3" xfId="1854" xr:uid="{00000000-0005-0000-0000-0000D6070000}"/>
    <cellStyle name="Heading 2 2 4" xfId="1855" xr:uid="{00000000-0005-0000-0000-0000D7070000}"/>
    <cellStyle name="Heading 2 2 5" xfId="1856" xr:uid="{00000000-0005-0000-0000-0000D8070000}"/>
    <cellStyle name="Heading 2 2 6" xfId="1857" xr:uid="{00000000-0005-0000-0000-0000D9070000}"/>
    <cellStyle name="Heading 2 2 7" xfId="1858" xr:uid="{00000000-0005-0000-0000-0000DA070000}"/>
    <cellStyle name="Heading 2 2 8" xfId="1859" xr:uid="{00000000-0005-0000-0000-0000DB070000}"/>
    <cellStyle name="Heading 2 2 9" xfId="1860" xr:uid="{00000000-0005-0000-0000-0000DC070000}"/>
    <cellStyle name="Heading 2 20" xfId="1861" xr:uid="{00000000-0005-0000-0000-0000DD070000}"/>
    <cellStyle name="Heading 2 21" xfId="1862" xr:uid="{00000000-0005-0000-0000-0000DE070000}"/>
    <cellStyle name="Heading 2 22" xfId="1863" xr:uid="{00000000-0005-0000-0000-0000DF070000}"/>
    <cellStyle name="Heading 2 3" xfId="1864" xr:uid="{00000000-0005-0000-0000-0000E0070000}"/>
    <cellStyle name="Heading 2 3 2" xfId="1865" xr:uid="{00000000-0005-0000-0000-0000E1070000}"/>
    <cellStyle name="Heading 2 3 3" xfId="1866" xr:uid="{00000000-0005-0000-0000-0000E2070000}"/>
    <cellStyle name="Heading 2 3 4" xfId="3909" xr:uid="{00000000-0005-0000-0000-0000E3070000}"/>
    <cellStyle name="Heading 2 4" xfId="1867" xr:uid="{00000000-0005-0000-0000-0000E4070000}"/>
    <cellStyle name="Heading 2 4 2" xfId="1868" xr:uid="{00000000-0005-0000-0000-0000E5070000}"/>
    <cellStyle name="Heading 2 4 3" xfId="1869" xr:uid="{00000000-0005-0000-0000-0000E6070000}"/>
    <cellStyle name="Heading 2 5 2" xfId="1870" xr:uid="{00000000-0005-0000-0000-0000E7070000}"/>
    <cellStyle name="Heading 2 5 3" xfId="1871" xr:uid="{00000000-0005-0000-0000-0000E8070000}"/>
    <cellStyle name="Heading 2 6 2" xfId="1872" xr:uid="{00000000-0005-0000-0000-0000E9070000}"/>
    <cellStyle name="Heading 2 6 3" xfId="1873" xr:uid="{00000000-0005-0000-0000-0000EA070000}"/>
    <cellStyle name="Heading 2 7 2" xfId="1874" xr:uid="{00000000-0005-0000-0000-0000EB070000}"/>
    <cellStyle name="Heading 2 7 3" xfId="1875" xr:uid="{00000000-0005-0000-0000-0000EC070000}"/>
    <cellStyle name="Heading 2 8 2" xfId="1876" xr:uid="{00000000-0005-0000-0000-0000ED070000}"/>
    <cellStyle name="Heading 2 8 3" xfId="1877" xr:uid="{00000000-0005-0000-0000-0000EE070000}"/>
    <cellStyle name="Heading 2 9 2" xfId="1878" xr:uid="{00000000-0005-0000-0000-0000EF070000}"/>
    <cellStyle name="Heading 2 9 3" xfId="1879" xr:uid="{00000000-0005-0000-0000-0000F0070000}"/>
    <cellStyle name="Heading 3 10 2" xfId="1880" xr:uid="{00000000-0005-0000-0000-0000F1070000}"/>
    <cellStyle name="Heading 3 10 3" xfId="1881" xr:uid="{00000000-0005-0000-0000-0000F2070000}"/>
    <cellStyle name="Heading 3 11 2" xfId="1882" xr:uid="{00000000-0005-0000-0000-0000F3070000}"/>
    <cellStyle name="Heading 3 11 3" xfId="1883" xr:uid="{00000000-0005-0000-0000-0000F4070000}"/>
    <cellStyle name="Heading 3 12 2" xfId="1884" xr:uid="{00000000-0005-0000-0000-0000F5070000}"/>
    <cellStyle name="Heading 3 12 3" xfId="1885" xr:uid="{00000000-0005-0000-0000-0000F6070000}"/>
    <cellStyle name="Heading 3 13 2" xfId="1886" xr:uid="{00000000-0005-0000-0000-0000F7070000}"/>
    <cellStyle name="Heading 3 13 3" xfId="1887" xr:uid="{00000000-0005-0000-0000-0000F8070000}"/>
    <cellStyle name="Heading 3 14 2" xfId="1888" xr:uid="{00000000-0005-0000-0000-0000F9070000}"/>
    <cellStyle name="Heading 3 14 3" xfId="1889" xr:uid="{00000000-0005-0000-0000-0000FA070000}"/>
    <cellStyle name="Heading 3 15" xfId="1890" xr:uid="{00000000-0005-0000-0000-0000FB070000}"/>
    <cellStyle name="Heading 3 15 2" xfId="1891" xr:uid="{00000000-0005-0000-0000-0000FC070000}"/>
    <cellStyle name="Heading 3 15 3" xfId="1892" xr:uid="{00000000-0005-0000-0000-0000FD070000}"/>
    <cellStyle name="Heading 3 15 4" xfId="1893" xr:uid="{00000000-0005-0000-0000-0000FE070000}"/>
    <cellStyle name="Heading 3 15 5" xfId="1894" xr:uid="{00000000-0005-0000-0000-0000FF070000}"/>
    <cellStyle name="Heading 3 15 6" xfId="1895" xr:uid="{00000000-0005-0000-0000-000000080000}"/>
    <cellStyle name="Heading 3 15 7" xfId="1896" xr:uid="{00000000-0005-0000-0000-000001080000}"/>
    <cellStyle name="Heading 3 16" xfId="1897" xr:uid="{00000000-0005-0000-0000-000002080000}"/>
    <cellStyle name="Heading 3 17" xfId="1898" xr:uid="{00000000-0005-0000-0000-000003080000}"/>
    <cellStyle name="Heading 3 18" xfId="1899" xr:uid="{00000000-0005-0000-0000-000004080000}"/>
    <cellStyle name="Heading 3 19" xfId="1900" xr:uid="{00000000-0005-0000-0000-000005080000}"/>
    <cellStyle name="Heading 3 2" xfId="1901" xr:uid="{00000000-0005-0000-0000-000006080000}"/>
    <cellStyle name="Heading 3 2 2" xfId="1902" xr:uid="{00000000-0005-0000-0000-000007080000}"/>
    <cellStyle name="Heading 3 2 3" xfId="1903" xr:uid="{00000000-0005-0000-0000-000008080000}"/>
    <cellStyle name="Heading 3 2 4" xfId="3910" xr:uid="{00000000-0005-0000-0000-000009080000}"/>
    <cellStyle name="Heading 3 20" xfId="1904" xr:uid="{00000000-0005-0000-0000-00000A080000}"/>
    <cellStyle name="Heading 3 21" xfId="1905" xr:uid="{00000000-0005-0000-0000-00000B080000}"/>
    <cellStyle name="Heading 3 22" xfId="1906" xr:uid="{00000000-0005-0000-0000-00000C080000}"/>
    <cellStyle name="Heading 3 3" xfId="1907" xr:uid="{00000000-0005-0000-0000-00000D080000}"/>
    <cellStyle name="Heading 3 3 2" xfId="1908" xr:uid="{00000000-0005-0000-0000-00000E080000}"/>
    <cellStyle name="Heading 3 3 3" xfId="1909" xr:uid="{00000000-0005-0000-0000-00000F080000}"/>
    <cellStyle name="Heading 3 3 4" xfId="3911" xr:uid="{00000000-0005-0000-0000-000010080000}"/>
    <cellStyle name="Heading 3 4" xfId="1910" xr:uid="{00000000-0005-0000-0000-000011080000}"/>
    <cellStyle name="Heading 3 4 2" xfId="1911" xr:uid="{00000000-0005-0000-0000-000012080000}"/>
    <cellStyle name="Heading 3 4 3" xfId="1912" xr:uid="{00000000-0005-0000-0000-000013080000}"/>
    <cellStyle name="Heading 3 5 2" xfId="1913" xr:uid="{00000000-0005-0000-0000-000014080000}"/>
    <cellStyle name="Heading 3 5 3" xfId="1914" xr:uid="{00000000-0005-0000-0000-000015080000}"/>
    <cellStyle name="Heading 3 6 2" xfId="1915" xr:uid="{00000000-0005-0000-0000-000016080000}"/>
    <cellStyle name="Heading 3 6 3" xfId="1916" xr:uid="{00000000-0005-0000-0000-000017080000}"/>
    <cellStyle name="Heading 3 7 2" xfId="1917" xr:uid="{00000000-0005-0000-0000-000018080000}"/>
    <cellStyle name="Heading 3 7 3" xfId="1918" xr:uid="{00000000-0005-0000-0000-000019080000}"/>
    <cellStyle name="Heading 3 8 2" xfId="1919" xr:uid="{00000000-0005-0000-0000-00001A080000}"/>
    <cellStyle name="Heading 3 8 3" xfId="1920" xr:uid="{00000000-0005-0000-0000-00001B080000}"/>
    <cellStyle name="Heading 3 9 2" xfId="1921" xr:uid="{00000000-0005-0000-0000-00001C080000}"/>
    <cellStyle name="Heading 3 9 3" xfId="1922" xr:uid="{00000000-0005-0000-0000-00001D080000}"/>
    <cellStyle name="Heading 4 10 2" xfId="1923" xr:uid="{00000000-0005-0000-0000-00001E080000}"/>
    <cellStyle name="Heading 4 10 3" xfId="1924" xr:uid="{00000000-0005-0000-0000-00001F080000}"/>
    <cellStyle name="Heading 4 11 2" xfId="1925" xr:uid="{00000000-0005-0000-0000-000020080000}"/>
    <cellStyle name="Heading 4 11 3" xfId="1926" xr:uid="{00000000-0005-0000-0000-000021080000}"/>
    <cellStyle name="Heading 4 12 2" xfId="1927" xr:uid="{00000000-0005-0000-0000-000022080000}"/>
    <cellStyle name="Heading 4 12 3" xfId="1928" xr:uid="{00000000-0005-0000-0000-000023080000}"/>
    <cellStyle name="Heading 4 13 2" xfId="1929" xr:uid="{00000000-0005-0000-0000-000024080000}"/>
    <cellStyle name="Heading 4 13 3" xfId="1930" xr:uid="{00000000-0005-0000-0000-000025080000}"/>
    <cellStyle name="Heading 4 14 2" xfId="1931" xr:uid="{00000000-0005-0000-0000-000026080000}"/>
    <cellStyle name="Heading 4 14 3" xfId="1932" xr:uid="{00000000-0005-0000-0000-000027080000}"/>
    <cellStyle name="Heading 4 15" xfId="1933" xr:uid="{00000000-0005-0000-0000-000028080000}"/>
    <cellStyle name="Heading 4 15 2" xfId="1934" xr:uid="{00000000-0005-0000-0000-000029080000}"/>
    <cellStyle name="Heading 4 15 3" xfId="1935" xr:uid="{00000000-0005-0000-0000-00002A080000}"/>
    <cellStyle name="Heading 4 15 4" xfId="1936" xr:uid="{00000000-0005-0000-0000-00002B080000}"/>
    <cellStyle name="Heading 4 15 5" xfId="1937" xr:uid="{00000000-0005-0000-0000-00002C080000}"/>
    <cellStyle name="Heading 4 15 6" xfId="1938" xr:uid="{00000000-0005-0000-0000-00002D080000}"/>
    <cellStyle name="Heading 4 15 7" xfId="1939" xr:uid="{00000000-0005-0000-0000-00002E080000}"/>
    <cellStyle name="Heading 4 16" xfId="1940" xr:uid="{00000000-0005-0000-0000-00002F080000}"/>
    <cellStyle name="Heading 4 17" xfId="1941" xr:uid="{00000000-0005-0000-0000-000030080000}"/>
    <cellStyle name="Heading 4 18" xfId="1942" xr:uid="{00000000-0005-0000-0000-000031080000}"/>
    <cellStyle name="Heading 4 19" xfId="1943" xr:uid="{00000000-0005-0000-0000-000032080000}"/>
    <cellStyle name="Heading 4 2" xfId="1944" xr:uid="{00000000-0005-0000-0000-000033080000}"/>
    <cellStyle name="Heading 4 2 2" xfId="1945" xr:uid="{00000000-0005-0000-0000-000034080000}"/>
    <cellStyle name="Heading 4 2 3" xfId="1946" xr:uid="{00000000-0005-0000-0000-000035080000}"/>
    <cellStyle name="Heading 4 2 4" xfId="3912" xr:uid="{00000000-0005-0000-0000-000036080000}"/>
    <cellStyle name="Heading 4 20" xfId="1947" xr:uid="{00000000-0005-0000-0000-000037080000}"/>
    <cellStyle name="Heading 4 21" xfId="1948" xr:uid="{00000000-0005-0000-0000-000038080000}"/>
    <cellStyle name="Heading 4 22" xfId="1949" xr:uid="{00000000-0005-0000-0000-000039080000}"/>
    <cellStyle name="Heading 4 3" xfId="1950" xr:uid="{00000000-0005-0000-0000-00003A080000}"/>
    <cellStyle name="Heading 4 3 2" xfId="1951" xr:uid="{00000000-0005-0000-0000-00003B080000}"/>
    <cellStyle name="Heading 4 3 3" xfId="1952" xr:uid="{00000000-0005-0000-0000-00003C080000}"/>
    <cellStyle name="Heading 4 3 4" xfId="3913" xr:uid="{00000000-0005-0000-0000-00003D080000}"/>
    <cellStyle name="Heading 4 4" xfId="1953" xr:uid="{00000000-0005-0000-0000-00003E080000}"/>
    <cellStyle name="Heading 4 4 2" xfId="1954" xr:uid="{00000000-0005-0000-0000-00003F080000}"/>
    <cellStyle name="Heading 4 4 3" xfId="1955" xr:uid="{00000000-0005-0000-0000-000040080000}"/>
    <cellStyle name="Heading 4 5 2" xfId="1956" xr:uid="{00000000-0005-0000-0000-000041080000}"/>
    <cellStyle name="Heading 4 5 3" xfId="1957" xr:uid="{00000000-0005-0000-0000-000042080000}"/>
    <cellStyle name="Heading 4 6 2" xfId="1958" xr:uid="{00000000-0005-0000-0000-000043080000}"/>
    <cellStyle name="Heading 4 6 3" xfId="1959" xr:uid="{00000000-0005-0000-0000-000044080000}"/>
    <cellStyle name="Heading 4 7 2" xfId="1960" xr:uid="{00000000-0005-0000-0000-000045080000}"/>
    <cellStyle name="Heading 4 7 3" xfId="1961" xr:uid="{00000000-0005-0000-0000-000046080000}"/>
    <cellStyle name="Heading 4 8 2" xfId="1962" xr:uid="{00000000-0005-0000-0000-000047080000}"/>
    <cellStyle name="Heading 4 8 3" xfId="1963" xr:uid="{00000000-0005-0000-0000-000048080000}"/>
    <cellStyle name="Heading 4 9 2" xfId="1964" xr:uid="{00000000-0005-0000-0000-000049080000}"/>
    <cellStyle name="Heading 4 9 3" xfId="1965" xr:uid="{00000000-0005-0000-0000-00004A080000}"/>
    <cellStyle name="Heading10" xfId="3914" xr:uid="{00000000-0005-0000-0000-00004B080000}"/>
    <cellStyle name="Heading12" xfId="3915" xr:uid="{00000000-0005-0000-0000-00004C080000}"/>
    <cellStyle name="Heading14" xfId="3916" xr:uid="{00000000-0005-0000-0000-00004D080000}"/>
    <cellStyle name="Heading8" xfId="3917" xr:uid="{00000000-0005-0000-0000-00004E080000}"/>
    <cellStyle name="Hyperlink" xfId="4431" builtinId="8"/>
    <cellStyle name="Hyperlink 2" xfId="1" xr:uid="{00000000-0005-0000-0000-000050080000}"/>
    <cellStyle name="Hyperlink 2 2" xfId="1966" xr:uid="{00000000-0005-0000-0000-000051080000}"/>
    <cellStyle name="Hyperlink 2 3" xfId="4453" xr:uid="{6C1A1409-D468-4FFE-9371-5C3BC5C71BA8}"/>
    <cellStyle name="Hyperlink 2 4" xfId="4457" xr:uid="{4376F930-9A0E-4590-AB82-A0FDBBCC2CBD}"/>
    <cellStyle name="Hyperlink 3" xfId="3918" xr:uid="{00000000-0005-0000-0000-000052080000}"/>
    <cellStyle name="Hyperlink 3 2" xfId="4456" xr:uid="{E8431EAB-9635-4681-8851-C7C76E40B5F4}"/>
    <cellStyle name="Hyperlink 4" xfId="4437" xr:uid="{00000000-0005-0000-0000-000053080000}"/>
    <cellStyle name="Hyperlink 5" xfId="4454" xr:uid="{28A0E6A6-F088-4144-A4CD-8BA61B3059CD}"/>
    <cellStyle name="Input 10 2" xfId="1967" xr:uid="{00000000-0005-0000-0000-000054080000}"/>
    <cellStyle name="Input 10 2 2" xfId="3919" xr:uid="{00000000-0005-0000-0000-000055080000}"/>
    <cellStyle name="Input 10 2 2 2" xfId="4800" xr:uid="{5BA5767D-EE1B-47B8-8BC9-D2046330FAB8}"/>
    <cellStyle name="Input 10 2 2 2 2" xfId="6180" xr:uid="{46108B0C-B9FB-4E62-9250-FB97935ED87C}"/>
    <cellStyle name="Input 10 2 2 2 3" xfId="6870" xr:uid="{2B1B6F21-1AFE-42F6-A969-381942CDA0B0}"/>
    <cellStyle name="Input 10 2 2 3" xfId="5489" xr:uid="{C4431D5C-D034-49E0-AD4C-BB7AB1BE5790}"/>
    <cellStyle name="Input 10 2 3" xfId="4502" xr:uid="{143ECD5E-3904-4D81-8D7A-AAAE7BFE1C2B}"/>
    <cellStyle name="Input 10 2 3 2" xfId="5882" xr:uid="{8210DE4E-8818-46F6-9691-2D5B89229219}"/>
    <cellStyle name="Input 10 2 3 3" xfId="6572" xr:uid="{B6CF2F67-0BA4-4537-B8EA-6B4C0E5D0EC4}"/>
    <cellStyle name="Input 10 2 4" xfId="5745" xr:uid="{19807B16-6939-409D-BFD5-92992F67956C}"/>
    <cellStyle name="Input 10 3" xfId="1968" xr:uid="{00000000-0005-0000-0000-000056080000}"/>
    <cellStyle name="Input 10 3 2" xfId="3920" xr:uid="{00000000-0005-0000-0000-000057080000}"/>
    <cellStyle name="Input 10 3 2 2" xfId="4801" xr:uid="{D252BEB5-3BA3-4FF7-B35F-B4A833AC54FE}"/>
    <cellStyle name="Input 10 3 2 2 2" xfId="6181" xr:uid="{A6873DF0-80D3-41FF-AD82-62EBFAAB059F}"/>
    <cellStyle name="Input 10 3 2 2 3" xfId="6871" xr:uid="{BA266DBC-D2FE-4C1D-848C-7C1BACE5EA25}"/>
    <cellStyle name="Input 10 3 2 3" xfId="5488" xr:uid="{15E9BEC4-9981-4C33-AF21-B4EE13C6098C}"/>
    <cellStyle name="Input 10 3 3" xfId="4503" xr:uid="{C219CD18-6E68-4B74-94F4-EFE7E75F0283}"/>
    <cellStyle name="Input 10 3 3 2" xfId="5883" xr:uid="{6EBC800E-85A2-4D95-BC45-3099CFC9C9E5}"/>
    <cellStyle name="Input 10 3 3 3" xfId="6573" xr:uid="{66D07CE7-F851-4959-877F-2E0A92D8A5DD}"/>
    <cellStyle name="Input 10 3 4" xfId="5744" xr:uid="{B12E7D7A-7229-4E85-9A60-276C178D6B5C}"/>
    <cellStyle name="Input 11 2" xfId="1969" xr:uid="{00000000-0005-0000-0000-000058080000}"/>
    <cellStyle name="Input 11 2 2" xfId="3921" xr:uid="{00000000-0005-0000-0000-000059080000}"/>
    <cellStyle name="Input 11 2 2 2" xfId="4802" xr:uid="{8C11E4A6-478F-46C8-843F-9131EFB14800}"/>
    <cellStyle name="Input 11 2 2 2 2" xfId="6182" xr:uid="{578A8C0C-26A0-496A-AFE3-D4D39B3CE6E3}"/>
    <cellStyle name="Input 11 2 2 2 3" xfId="6872" xr:uid="{FCAAE94F-E387-41A2-ADBE-8A937CA98463}"/>
    <cellStyle name="Input 11 2 2 3" xfId="5487" xr:uid="{032D9C4E-CB14-4AB2-A9AE-43296B6714E4}"/>
    <cellStyle name="Input 11 2 3" xfId="4504" xr:uid="{A5F3D51A-7EE7-4D45-94D4-CECD1F5AAE54}"/>
    <cellStyle name="Input 11 2 3 2" xfId="5884" xr:uid="{A5B23943-A163-41FC-BB11-00956A96F3E6}"/>
    <cellStyle name="Input 11 2 3 3" xfId="6574" xr:uid="{DDF22C9C-0B68-4777-88DB-CFD517179A93}"/>
    <cellStyle name="Input 11 2 4" xfId="5743" xr:uid="{CB195FCC-2531-425F-AB45-A3E55954E69D}"/>
    <cellStyle name="Input 11 3" xfId="1970" xr:uid="{00000000-0005-0000-0000-00005A080000}"/>
    <cellStyle name="Input 11 3 2" xfId="3922" xr:uid="{00000000-0005-0000-0000-00005B080000}"/>
    <cellStyle name="Input 11 3 2 2" xfId="4803" xr:uid="{432AE0CA-7824-4409-BAFA-4907138D1D35}"/>
    <cellStyle name="Input 11 3 2 2 2" xfId="6183" xr:uid="{994933ED-8CB3-42AE-A568-0BDA2EAB727A}"/>
    <cellStyle name="Input 11 3 2 2 3" xfId="6873" xr:uid="{D065BC9D-4ED6-444F-8623-D06D4CDFC934}"/>
    <cellStyle name="Input 11 3 2 3" xfId="5486" xr:uid="{5962479A-3C24-409A-BB14-458804CBC394}"/>
    <cellStyle name="Input 11 3 3" xfId="4505" xr:uid="{984F4B53-C887-4E66-AF3E-7B288DABE44B}"/>
    <cellStyle name="Input 11 3 3 2" xfId="5885" xr:uid="{D8AF3513-6429-4A47-8FA0-98F26B224334}"/>
    <cellStyle name="Input 11 3 3 3" xfId="6575" xr:uid="{F58500DD-391C-42DA-B834-CD6FD3BD2572}"/>
    <cellStyle name="Input 11 3 4" xfId="5742" xr:uid="{471B1341-6147-4147-9533-2EB686099ACD}"/>
    <cellStyle name="Input 12 2" xfId="1971" xr:uid="{00000000-0005-0000-0000-00005C080000}"/>
    <cellStyle name="Input 12 2 2" xfId="3923" xr:uid="{00000000-0005-0000-0000-00005D080000}"/>
    <cellStyle name="Input 12 2 2 2" xfId="4804" xr:uid="{1E5260CE-2CD1-434B-9A3E-045756BA32E8}"/>
    <cellStyle name="Input 12 2 2 2 2" xfId="6184" xr:uid="{43FD2BFC-F38F-4303-A828-584A45FCFDC6}"/>
    <cellStyle name="Input 12 2 2 2 3" xfId="6874" xr:uid="{FD6FBF32-0F0F-409A-B287-FDA2531221A0}"/>
    <cellStyle name="Input 12 2 2 3" xfId="5485" xr:uid="{AAF84397-B39C-4DC1-A446-51D06751F0C3}"/>
    <cellStyle name="Input 12 2 3" xfId="4506" xr:uid="{7FFB8B44-02E6-405D-8464-715CA8737D98}"/>
    <cellStyle name="Input 12 2 3 2" xfId="5886" xr:uid="{234BA54A-2E14-441A-B5C6-6D8E5DF0CB08}"/>
    <cellStyle name="Input 12 2 3 3" xfId="6576" xr:uid="{7CBC3648-0C54-41D7-85E0-B26ED91F1EE3}"/>
    <cellStyle name="Input 12 2 4" xfId="5741" xr:uid="{E0307A06-3892-4592-81F2-C8DF6AE154A2}"/>
    <cellStyle name="Input 12 3" xfId="1972" xr:uid="{00000000-0005-0000-0000-00005E080000}"/>
    <cellStyle name="Input 12 3 2" xfId="3924" xr:uid="{00000000-0005-0000-0000-00005F080000}"/>
    <cellStyle name="Input 12 3 2 2" xfId="4805" xr:uid="{2D16F6CD-9B43-4F53-9A38-396797193AF8}"/>
    <cellStyle name="Input 12 3 2 2 2" xfId="6185" xr:uid="{27B1C832-DCF1-415E-9A04-E4E1C59A4494}"/>
    <cellStyle name="Input 12 3 2 2 3" xfId="6875" xr:uid="{778511DC-7DB2-41B1-99AC-11D30477A9E7}"/>
    <cellStyle name="Input 12 3 2 3" xfId="5484" xr:uid="{9D46CFF9-A4CA-48FC-A149-28CFAF092CB4}"/>
    <cellStyle name="Input 12 3 3" xfId="4507" xr:uid="{5CE5AC4F-15F9-4097-9803-22146190E166}"/>
    <cellStyle name="Input 12 3 3 2" xfId="5887" xr:uid="{1F59240D-374C-408C-BA32-9CE2D67E6EB4}"/>
    <cellStyle name="Input 12 3 3 3" xfId="6577" xr:uid="{4C336047-6C98-490C-B389-8F2EE88DDE1A}"/>
    <cellStyle name="Input 12 3 4" xfId="5740" xr:uid="{6BECE063-412D-4389-A144-F77C0F4C9665}"/>
    <cellStyle name="Input 13 2" xfId="1973" xr:uid="{00000000-0005-0000-0000-000060080000}"/>
    <cellStyle name="Input 13 2 2" xfId="3925" xr:uid="{00000000-0005-0000-0000-000061080000}"/>
    <cellStyle name="Input 13 2 2 2" xfId="4806" xr:uid="{D7817FFA-547E-41A6-A3EA-2B55866FD59A}"/>
    <cellStyle name="Input 13 2 2 2 2" xfId="6186" xr:uid="{C875316D-BE92-4790-B23D-DAA7E4331BFE}"/>
    <cellStyle name="Input 13 2 2 2 3" xfId="6876" xr:uid="{BD19B091-0F27-47B6-A790-1EDFDBB0F1E8}"/>
    <cellStyle name="Input 13 2 2 3" xfId="5483" xr:uid="{19036720-12FC-4660-8147-F1BEF191F625}"/>
    <cellStyle name="Input 13 2 3" xfId="4508" xr:uid="{56600AC6-D6C9-461C-BE37-B3D6093D74BA}"/>
    <cellStyle name="Input 13 2 3 2" xfId="5888" xr:uid="{550D1345-A8AE-4FC1-AF63-D7916F99213B}"/>
    <cellStyle name="Input 13 2 3 3" xfId="6578" xr:uid="{BC504ED7-B301-45FE-853B-2997FA6A11A6}"/>
    <cellStyle name="Input 13 2 4" xfId="5739" xr:uid="{44334106-5E9E-4466-A99C-E7A73F216426}"/>
    <cellStyle name="Input 13 3" xfId="1974" xr:uid="{00000000-0005-0000-0000-000062080000}"/>
    <cellStyle name="Input 13 3 2" xfId="3926" xr:uid="{00000000-0005-0000-0000-000063080000}"/>
    <cellStyle name="Input 13 3 2 2" xfId="4807" xr:uid="{BB0CCCD7-98F8-4041-BB5E-3AE0A9B304D1}"/>
    <cellStyle name="Input 13 3 2 2 2" xfId="6187" xr:uid="{BA1E6E8E-0F5D-4F87-82ED-DBC69F997AE1}"/>
    <cellStyle name="Input 13 3 2 2 3" xfId="6877" xr:uid="{341D972E-31AA-4072-BA12-E70A15367AEE}"/>
    <cellStyle name="Input 13 3 2 3" xfId="5482" xr:uid="{54332348-8D95-4172-86C7-C0A8C6B225BA}"/>
    <cellStyle name="Input 13 3 3" xfId="4509" xr:uid="{3E5A3DE8-D5D9-434E-A38D-1FB744AACB7D}"/>
    <cellStyle name="Input 13 3 3 2" xfId="5889" xr:uid="{5E5CD27A-49D8-46D3-B428-D53503A72D38}"/>
    <cellStyle name="Input 13 3 3 3" xfId="6579" xr:uid="{DFFBD2D8-E5E3-4339-8613-3DA71E8B9851}"/>
    <cellStyle name="Input 13 3 4" xfId="5738" xr:uid="{62D208BB-C192-484D-90E2-5E639A565FED}"/>
    <cellStyle name="Input 14 2" xfId="1975" xr:uid="{00000000-0005-0000-0000-000064080000}"/>
    <cellStyle name="Input 14 2 2" xfId="3927" xr:uid="{00000000-0005-0000-0000-000065080000}"/>
    <cellStyle name="Input 14 2 2 2" xfId="4808" xr:uid="{996FDCF1-663A-446D-A84E-8968E289AD07}"/>
    <cellStyle name="Input 14 2 2 2 2" xfId="6188" xr:uid="{CB4DCF6C-4F38-422E-8EBA-44EF1EF670CF}"/>
    <cellStyle name="Input 14 2 2 2 3" xfId="6878" xr:uid="{2E1690B7-F1B6-40E7-A05A-3014BE3B0BE9}"/>
    <cellStyle name="Input 14 2 2 3" xfId="5481" xr:uid="{9AF15756-9FF3-4285-A2F7-FA40B6007548}"/>
    <cellStyle name="Input 14 2 3" xfId="4510" xr:uid="{E716928E-E0A9-48E9-A39E-F303D2BF41C0}"/>
    <cellStyle name="Input 14 2 3 2" xfId="5890" xr:uid="{E5566152-0D5C-45F4-9A53-1AA55B50845C}"/>
    <cellStyle name="Input 14 2 3 3" xfId="6580" xr:uid="{327C6903-A3C8-4333-9D92-AF2EB1F47104}"/>
    <cellStyle name="Input 14 2 4" xfId="5737" xr:uid="{9819FE48-3D2C-4D8A-A668-3DD3EA754885}"/>
    <cellStyle name="Input 14 3" xfId="1976" xr:uid="{00000000-0005-0000-0000-000066080000}"/>
    <cellStyle name="Input 14 3 2" xfId="3928" xr:uid="{00000000-0005-0000-0000-000067080000}"/>
    <cellStyle name="Input 14 3 2 2" xfId="4809" xr:uid="{913495AA-DD2A-4358-BFA0-ADA5438F8DA2}"/>
    <cellStyle name="Input 14 3 2 2 2" xfId="6189" xr:uid="{354CE038-DAAB-4B79-91FF-2463A4BEA4CD}"/>
    <cellStyle name="Input 14 3 2 2 3" xfId="6879" xr:uid="{4FF63FC9-8B6A-4CA0-A3F1-6E8222145253}"/>
    <cellStyle name="Input 14 3 2 3" xfId="5480" xr:uid="{1075ED45-D63E-4191-BFDA-E5A15F66C992}"/>
    <cellStyle name="Input 14 3 3" xfId="4511" xr:uid="{F7E3A37B-FD5E-4B0B-9CE6-356623DF24BB}"/>
    <cellStyle name="Input 14 3 3 2" xfId="5891" xr:uid="{7FB01614-C931-4F9D-8347-A2D1A5DCD8B6}"/>
    <cellStyle name="Input 14 3 3 3" xfId="6581" xr:uid="{58D05C47-E01D-4B53-BBE1-E705F0B1A9AD}"/>
    <cellStyle name="Input 14 3 4" xfId="5736" xr:uid="{74727936-8FE2-4383-A56B-B36F536F1186}"/>
    <cellStyle name="Input 15" xfId="1977" xr:uid="{00000000-0005-0000-0000-000068080000}"/>
    <cellStyle name="Input 15 10" xfId="5735" xr:uid="{BD11134A-3D94-49D3-B22E-8DFB4D02F277}"/>
    <cellStyle name="Input 15 2" xfId="1978" xr:uid="{00000000-0005-0000-0000-000069080000}"/>
    <cellStyle name="Input 15 2 2" xfId="3929" xr:uid="{00000000-0005-0000-0000-00006A080000}"/>
    <cellStyle name="Input 15 2 2 2" xfId="4810" xr:uid="{EBDCF7A8-E491-4EDB-B59F-04F7E2638B1C}"/>
    <cellStyle name="Input 15 2 2 2 2" xfId="6190" xr:uid="{981EC0AC-95F1-4893-B0CB-8588A537852A}"/>
    <cellStyle name="Input 15 2 2 2 3" xfId="6880" xr:uid="{2F0ED181-F69F-4FF1-85B7-FCC8FEFDBB3C}"/>
    <cellStyle name="Input 15 2 2 3" xfId="5479" xr:uid="{939027F8-9119-4FF2-B556-FA6A4C80A862}"/>
    <cellStyle name="Input 15 2 3" xfId="4513" xr:uid="{A7E0A3F2-EF4D-45E7-BC07-A1C9804F058B}"/>
    <cellStyle name="Input 15 2 3 2" xfId="5893" xr:uid="{FE10190A-43D2-4DDA-943A-EF0CD9BBCC4E}"/>
    <cellStyle name="Input 15 2 3 3" xfId="6583" xr:uid="{75392769-ED2F-4166-86F4-25D28B708298}"/>
    <cellStyle name="Input 15 2 4" xfId="5734" xr:uid="{591A6E53-376C-46F6-AAC8-28C327C04775}"/>
    <cellStyle name="Input 15 3" xfId="1979" xr:uid="{00000000-0005-0000-0000-00006B080000}"/>
    <cellStyle name="Input 15 3 2" xfId="3930" xr:uid="{00000000-0005-0000-0000-00006C080000}"/>
    <cellStyle name="Input 15 3 2 2" xfId="4811" xr:uid="{B130D9E2-17A7-454D-B2D5-1CA16CA155CC}"/>
    <cellStyle name="Input 15 3 2 2 2" xfId="6191" xr:uid="{B743ABD7-82D3-4A04-B993-7FC116DE99E8}"/>
    <cellStyle name="Input 15 3 2 2 3" xfId="6881" xr:uid="{61DD2EFC-1628-4E7D-979A-A7614A617FCB}"/>
    <cellStyle name="Input 15 3 2 3" xfId="5478" xr:uid="{DFA7ED95-B6B4-4959-B172-02A89E727690}"/>
    <cellStyle name="Input 15 3 3" xfId="4514" xr:uid="{9221DE37-E34F-4A3D-9D47-308B35900AA0}"/>
    <cellStyle name="Input 15 3 3 2" xfId="5894" xr:uid="{4BA130A0-0D9C-490C-ABB9-9FA881A5336C}"/>
    <cellStyle name="Input 15 3 3 3" xfId="6584" xr:uid="{2F229B32-38D5-4D14-A3F4-9DFF53357CC8}"/>
    <cellStyle name="Input 15 3 4" xfId="5733" xr:uid="{D53CBEEA-4E92-4509-8E55-6EAB8F376E25}"/>
    <cellStyle name="Input 15 4" xfId="1980" xr:uid="{00000000-0005-0000-0000-00006D080000}"/>
    <cellStyle name="Input 15 4 2" xfId="3931" xr:uid="{00000000-0005-0000-0000-00006E080000}"/>
    <cellStyle name="Input 15 4 2 2" xfId="4812" xr:uid="{56CB9CB6-A647-4658-B219-FB27DA59410A}"/>
    <cellStyle name="Input 15 4 2 2 2" xfId="6192" xr:uid="{CF48682A-E49D-4F80-B401-9715B5FE120E}"/>
    <cellStyle name="Input 15 4 2 2 3" xfId="6882" xr:uid="{7C156085-FF08-47D5-B9C5-12B7A8CE4C3E}"/>
    <cellStyle name="Input 15 4 2 3" xfId="5477" xr:uid="{13BDE67F-E96B-4FC4-8FF8-8FCE7D33A30D}"/>
    <cellStyle name="Input 15 4 3" xfId="4515" xr:uid="{8A3FD2BD-2E3C-45E1-95F1-0A154A83686F}"/>
    <cellStyle name="Input 15 4 3 2" xfId="5895" xr:uid="{2F4E5548-D148-4CAB-A8AE-7705B874567C}"/>
    <cellStyle name="Input 15 4 3 3" xfId="6585" xr:uid="{7F6FEBE7-AC09-4DDF-B7B2-E95224B77866}"/>
    <cellStyle name="Input 15 4 4" xfId="5732" xr:uid="{AE255207-3D03-4205-8C5A-307124D4F14C}"/>
    <cellStyle name="Input 15 5" xfId="1981" xr:uid="{00000000-0005-0000-0000-00006F080000}"/>
    <cellStyle name="Input 15 5 2" xfId="3932" xr:uid="{00000000-0005-0000-0000-000070080000}"/>
    <cellStyle name="Input 15 5 2 2" xfId="4813" xr:uid="{6E943CB9-73DD-435C-A911-38A7AC60F061}"/>
    <cellStyle name="Input 15 5 2 2 2" xfId="6193" xr:uid="{36D8D012-5CBA-4F6C-B900-4461AEF5EAF5}"/>
    <cellStyle name="Input 15 5 2 2 3" xfId="6883" xr:uid="{72E5BFC4-361F-474E-8F30-FC79A16110E0}"/>
    <cellStyle name="Input 15 5 2 3" xfId="5476" xr:uid="{B3FCBAC0-FA62-4121-9838-DA7C8F994153}"/>
    <cellStyle name="Input 15 5 3" xfId="4516" xr:uid="{B9EB796E-91ED-4796-9D9D-4E7BF6AA44E2}"/>
    <cellStyle name="Input 15 5 3 2" xfId="5896" xr:uid="{39B7FE60-2DAA-4B7D-ACD7-3188BC9C9FAB}"/>
    <cellStyle name="Input 15 5 3 3" xfId="6586" xr:uid="{E517802D-BAEB-404E-9A22-E7C6FB8CEBEB}"/>
    <cellStyle name="Input 15 5 4" xfId="5731" xr:uid="{152C82D3-07CF-4D26-812D-863335AC5741}"/>
    <cellStyle name="Input 15 6" xfId="1982" xr:uid="{00000000-0005-0000-0000-000071080000}"/>
    <cellStyle name="Input 15 6 2" xfId="3933" xr:uid="{00000000-0005-0000-0000-000072080000}"/>
    <cellStyle name="Input 15 6 2 2" xfId="4814" xr:uid="{52E7512D-7D08-4065-9AE4-81FE1F0BF8C7}"/>
    <cellStyle name="Input 15 6 2 2 2" xfId="6194" xr:uid="{2DA33C39-3536-45C8-9CF3-1F723F2C85D1}"/>
    <cellStyle name="Input 15 6 2 2 3" xfId="6884" xr:uid="{8E45C487-7CF4-4C9B-AAA2-5A5853D8AB48}"/>
    <cellStyle name="Input 15 6 2 3" xfId="5475" xr:uid="{D4AA6D39-E88F-4081-B0EA-93570ECB0366}"/>
    <cellStyle name="Input 15 6 3" xfId="4517" xr:uid="{76F630D2-AA82-41B9-9EB7-572443D4FE8D}"/>
    <cellStyle name="Input 15 6 3 2" xfId="5897" xr:uid="{0D9C40F4-1F52-4103-A19E-890B192D76AC}"/>
    <cellStyle name="Input 15 6 3 3" xfId="6587" xr:uid="{9CA0B23C-B44A-4C49-929F-C9E2C30BE20C}"/>
    <cellStyle name="Input 15 6 4" xfId="5730" xr:uid="{4D410A90-3924-4C22-BC02-3116FAEC22FF}"/>
    <cellStyle name="Input 15 7" xfId="1983" xr:uid="{00000000-0005-0000-0000-000073080000}"/>
    <cellStyle name="Input 15 7 2" xfId="3934" xr:uid="{00000000-0005-0000-0000-000074080000}"/>
    <cellStyle name="Input 15 7 2 2" xfId="4815" xr:uid="{3B4B3E98-F9CC-43C6-B2D7-F6959E9431AE}"/>
    <cellStyle name="Input 15 7 2 2 2" xfId="6195" xr:uid="{0A1D264D-774E-4C11-9722-36392C8CF69C}"/>
    <cellStyle name="Input 15 7 2 2 3" xfId="6885" xr:uid="{9ABF7586-19BD-4B19-97B0-1F22D52ADB67}"/>
    <cellStyle name="Input 15 7 2 3" xfId="5474" xr:uid="{A808408A-4DB5-4CEE-A17C-A0BB35541A9C}"/>
    <cellStyle name="Input 15 7 3" xfId="4518" xr:uid="{E4A76277-7155-46CD-98AC-37305EE656FA}"/>
    <cellStyle name="Input 15 7 3 2" xfId="5898" xr:uid="{EAEF3F36-EBF7-45E2-94A0-919E53CF1FC0}"/>
    <cellStyle name="Input 15 7 3 3" xfId="6588" xr:uid="{A0FE3D76-EDC3-4D4F-AA63-8107D29EBA62}"/>
    <cellStyle name="Input 15 7 4" xfId="5729" xr:uid="{1DD5DF02-9652-4199-B165-469EA3123AB0}"/>
    <cellStyle name="Input 15 8" xfId="3935" xr:uid="{00000000-0005-0000-0000-000075080000}"/>
    <cellStyle name="Input 15 8 2" xfId="4816" xr:uid="{2EF1748B-FBD0-4764-9903-6B69A4FF821D}"/>
    <cellStyle name="Input 15 8 2 2" xfId="6196" xr:uid="{6BDCFAF8-30E1-48F0-B93A-BB1190F7AEDA}"/>
    <cellStyle name="Input 15 8 2 3" xfId="6886" xr:uid="{13160BF6-8ECA-4DFC-87EB-71DD04BC7BFA}"/>
    <cellStyle name="Input 15 8 3" xfId="5473" xr:uid="{942578E0-ECDC-4108-A661-1420ABD53973}"/>
    <cellStyle name="Input 15 9" xfId="4512" xr:uid="{34C87F2B-5E9C-417C-8131-54638DECE5C0}"/>
    <cellStyle name="Input 15 9 2" xfId="5892" xr:uid="{A977D956-CE9F-4FF4-B9DA-C63082C2E50C}"/>
    <cellStyle name="Input 15 9 3" xfId="6582" xr:uid="{E1FD28C3-AC94-4D86-B15D-FCBB1318325D}"/>
    <cellStyle name="Input 16" xfId="1984" xr:uid="{00000000-0005-0000-0000-000076080000}"/>
    <cellStyle name="Input 16 2" xfId="3936" xr:uid="{00000000-0005-0000-0000-000077080000}"/>
    <cellStyle name="Input 16 2 2" xfId="4817" xr:uid="{EF2EF1D0-7DD7-4949-A38E-5986D7F22597}"/>
    <cellStyle name="Input 16 2 2 2" xfId="6197" xr:uid="{C9B7FFC4-2B55-4E44-9C81-2FBAA7C08891}"/>
    <cellStyle name="Input 16 2 2 3" xfId="6887" xr:uid="{332AF389-F7ED-4869-B852-B56DDAB0CF0C}"/>
    <cellStyle name="Input 16 2 3" xfId="5472" xr:uid="{73C7D9B2-29B5-4442-A02C-45D52B344E6F}"/>
    <cellStyle name="Input 16 3" xfId="4519" xr:uid="{E6D2C113-9983-4805-B350-F9CCA2C255C5}"/>
    <cellStyle name="Input 16 3 2" xfId="5899" xr:uid="{A628E701-4A5E-4970-AFE7-1995AA4BB215}"/>
    <cellStyle name="Input 16 3 3" xfId="6589" xr:uid="{8C5F4B2B-0CED-471F-8419-FFA3EBB487EB}"/>
    <cellStyle name="Input 16 4" xfId="5728" xr:uid="{1003958D-2D92-4474-81D7-81EBDE05E1B1}"/>
    <cellStyle name="Input 17" xfId="1985" xr:uid="{00000000-0005-0000-0000-000078080000}"/>
    <cellStyle name="Input 17 2" xfId="3937" xr:uid="{00000000-0005-0000-0000-000079080000}"/>
    <cellStyle name="Input 17 2 2" xfId="4818" xr:uid="{FAE44A56-E18E-4A2A-AAC7-A80FD8277083}"/>
    <cellStyle name="Input 17 2 2 2" xfId="6198" xr:uid="{756F4642-BC4E-4D29-93E7-92CD6C3A1576}"/>
    <cellStyle name="Input 17 2 2 3" xfId="6888" xr:uid="{73542CD9-05E7-4030-9714-BCAFEA17BDF2}"/>
    <cellStyle name="Input 17 2 3" xfId="5471" xr:uid="{C07A2861-D5A9-45DD-BE47-3863F201C94C}"/>
    <cellStyle name="Input 17 3" xfId="4520" xr:uid="{1B5C71DD-C941-4EDE-9170-628735919A6C}"/>
    <cellStyle name="Input 17 3 2" xfId="5900" xr:uid="{39F391D5-222D-4D10-B8F3-D5F6839452CD}"/>
    <cellStyle name="Input 17 3 3" xfId="6590" xr:uid="{D1DB9C0B-0E25-4FD9-8319-824E1D0FE265}"/>
    <cellStyle name="Input 17 4" xfId="5727" xr:uid="{94CF38BE-7289-4F89-8A09-5685D18AD3FC}"/>
    <cellStyle name="Input 18" xfId="1986" xr:uid="{00000000-0005-0000-0000-00007A080000}"/>
    <cellStyle name="Input 18 2" xfId="3938" xr:uid="{00000000-0005-0000-0000-00007B080000}"/>
    <cellStyle name="Input 18 2 2" xfId="4819" xr:uid="{1073F2EA-CD28-49FE-9B20-5211C0951210}"/>
    <cellStyle name="Input 18 2 2 2" xfId="6199" xr:uid="{8BE2D06A-E4D1-4FAD-8E02-E9CA5D77F8F0}"/>
    <cellStyle name="Input 18 2 2 3" xfId="6889" xr:uid="{6370517E-FAB7-4ADB-8D02-101561BEB4C8}"/>
    <cellStyle name="Input 18 2 3" xfId="5470" xr:uid="{4F7A32DE-32E9-4FDC-A4B9-B64EF8150A73}"/>
    <cellStyle name="Input 18 3" xfId="4521" xr:uid="{B562D6EC-40EA-4C7E-A1A2-E6984006A7B5}"/>
    <cellStyle name="Input 18 3 2" xfId="5901" xr:uid="{2AB1BF40-0BC2-4D40-8766-9BDFED64ED0F}"/>
    <cellStyle name="Input 18 3 3" xfId="6591" xr:uid="{744A4C4D-B409-49B9-BC51-0BC2FEC3F198}"/>
    <cellStyle name="Input 18 4" xfId="5820" xr:uid="{B01CD0F0-A20F-4BCA-92DD-62AF6351393D}"/>
    <cellStyle name="Input 19" xfId="1987" xr:uid="{00000000-0005-0000-0000-00007C080000}"/>
    <cellStyle name="Input 19 2" xfId="3939" xr:uid="{00000000-0005-0000-0000-00007D080000}"/>
    <cellStyle name="Input 19 2 2" xfId="4820" xr:uid="{7A987D7F-FBDF-4B4C-8D64-E1B944B62DDB}"/>
    <cellStyle name="Input 19 2 2 2" xfId="6200" xr:uid="{E1B70421-9D12-48F3-95FF-858C4DA90A75}"/>
    <cellStyle name="Input 19 2 2 3" xfId="6890" xr:uid="{0D59BC8B-0F4C-42A0-BE97-7A7C49AA30DE}"/>
    <cellStyle name="Input 19 2 3" xfId="5469" xr:uid="{97966978-DCE7-479B-800A-BB5B9F404CC4}"/>
    <cellStyle name="Input 19 3" xfId="4522" xr:uid="{D3031A83-3835-4CAC-8485-FBE6164C7077}"/>
    <cellStyle name="Input 19 3 2" xfId="5902" xr:uid="{7DD5EB74-8EE2-4C33-9D4A-53D00029655A}"/>
    <cellStyle name="Input 19 3 3" xfId="6592" xr:uid="{021C0921-02F0-4676-8DEA-4385E289D793}"/>
    <cellStyle name="Input 19 4" xfId="5726" xr:uid="{0ABF2620-5B52-4C1A-9BE3-8C5539DFE7EE}"/>
    <cellStyle name="Input 2" xfId="1988" xr:uid="{00000000-0005-0000-0000-00007E080000}"/>
    <cellStyle name="Input 2 2" xfId="1989" xr:uid="{00000000-0005-0000-0000-00007F080000}"/>
    <cellStyle name="Input 2 2 2" xfId="3940" xr:uid="{00000000-0005-0000-0000-000080080000}"/>
    <cellStyle name="Input 2 2 2 2" xfId="4821" xr:uid="{60A49BBD-0F33-41CF-B21D-785425F8BF48}"/>
    <cellStyle name="Input 2 2 2 2 2" xfId="6201" xr:uid="{B534C0DC-ACD2-4E9C-AADB-E09376C1FE2F}"/>
    <cellStyle name="Input 2 2 2 2 3" xfId="6891" xr:uid="{54FB48D6-F0EF-4B9E-97AE-50731F812B95}"/>
    <cellStyle name="Input 2 2 2 3" xfId="5468" xr:uid="{85D1AD6A-DC69-4A41-9300-EBD66D0B0A89}"/>
    <cellStyle name="Input 2 2 3" xfId="4523" xr:uid="{A7900BB8-72C9-4811-8D42-DE88A233EC66}"/>
    <cellStyle name="Input 2 2 3 2" xfId="5903" xr:uid="{3F021885-ED55-499A-89C7-23AECD852E98}"/>
    <cellStyle name="Input 2 2 3 3" xfId="6593" xr:uid="{8AFB01F0-2B28-4CD0-96AA-2972E93CDB52}"/>
    <cellStyle name="Input 2 2 4" xfId="5725" xr:uid="{38FC416D-7590-4361-BFE7-FEB86A860A67}"/>
    <cellStyle name="Input 2 3" xfId="1990" xr:uid="{00000000-0005-0000-0000-000081080000}"/>
    <cellStyle name="Input 2 3 2" xfId="3941" xr:uid="{00000000-0005-0000-0000-000082080000}"/>
    <cellStyle name="Input 2 3 2 2" xfId="4822" xr:uid="{03D23365-B277-49A4-B20C-4E77821CEC32}"/>
    <cellStyle name="Input 2 3 2 2 2" xfId="6202" xr:uid="{7DA9479B-3A8D-4535-9AE9-7C51E3A3099D}"/>
    <cellStyle name="Input 2 3 2 2 3" xfId="6892" xr:uid="{147964EB-99EB-4C87-85F3-6582CB1E7C4D}"/>
    <cellStyle name="Input 2 3 2 3" xfId="5467" xr:uid="{6FA4F1DC-E432-4C8B-97CE-893954C60C47}"/>
    <cellStyle name="Input 2 3 3" xfId="4524" xr:uid="{5B04C739-2132-4DFB-A72A-3C302A3A5BA4}"/>
    <cellStyle name="Input 2 3 3 2" xfId="5904" xr:uid="{B0EA5940-E70E-4443-A8F9-BD758357985B}"/>
    <cellStyle name="Input 2 3 3 3" xfId="6594" xr:uid="{FE761D26-C073-4E61-B7DA-658C514B1E7B}"/>
    <cellStyle name="Input 2 3 4" xfId="5724" xr:uid="{A3EC8972-BA51-4BA9-8AC8-CEEF3871712E}"/>
    <cellStyle name="Input 2 4" xfId="3942" xr:uid="{00000000-0005-0000-0000-000083080000}"/>
    <cellStyle name="Input 2 4 2" xfId="4823" xr:uid="{92D447F9-DE38-4113-A9F9-482AB03FA531}"/>
    <cellStyle name="Input 2 4 2 2" xfId="6203" xr:uid="{63D6BC4A-2B63-4590-8707-4C9E4E4F2966}"/>
    <cellStyle name="Input 2 4 2 3" xfId="6893" xr:uid="{3FD66F14-52ED-4AF8-B040-FBF7B429A1B7}"/>
    <cellStyle name="Input 2 4 3" xfId="5466" xr:uid="{45C7675F-60D2-4CE1-A892-7D69A2C1C5A8}"/>
    <cellStyle name="Input 2 5" xfId="3943" xr:uid="{00000000-0005-0000-0000-000084080000}"/>
    <cellStyle name="Input 20" xfId="1991" xr:uid="{00000000-0005-0000-0000-000085080000}"/>
    <cellStyle name="Input 20 2" xfId="3944" xr:uid="{00000000-0005-0000-0000-000086080000}"/>
    <cellStyle name="Input 20 2 2" xfId="4824" xr:uid="{CA0D3A12-3D9E-4EEF-97E8-6E9FC816553F}"/>
    <cellStyle name="Input 20 2 2 2" xfId="6204" xr:uid="{9B49CE59-4CC8-4B46-86B1-783682E33C2D}"/>
    <cellStyle name="Input 20 2 2 3" xfId="6894" xr:uid="{32029CA6-DC35-422D-95B3-98C1E8028D8C}"/>
    <cellStyle name="Input 20 2 3" xfId="5465" xr:uid="{FF22A6A2-E31C-47AE-9277-2A24423157C8}"/>
    <cellStyle name="Input 20 3" xfId="4525" xr:uid="{0CBA9D1F-C5D0-4794-87BE-867C51E9C5F4}"/>
    <cellStyle name="Input 20 3 2" xfId="5905" xr:uid="{293BDE59-C4D0-4C5E-B56C-FFD0AD0F52CE}"/>
    <cellStyle name="Input 20 3 3" xfId="6595" xr:uid="{93A28468-D3EA-453E-9901-AD81A847BBB4}"/>
    <cellStyle name="Input 20 4" xfId="5723" xr:uid="{31198282-D07A-4FAC-B0EF-2CB0B4700935}"/>
    <cellStyle name="Input 21" xfId="1992" xr:uid="{00000000-0005-0000-0000-000087080000}"/>
    <cellStyle name="Input 21 2" xfId="3945" xr:uid="{00000000-0005-0000-0000-000088080000}"/>
    <cellStyle name="Input 21 2 2" xfId="4825" xr:uid="{A6E17494-312A-426F-B219-A446DE32BB6B}"/>
    <cellStyle name="Input 21 2 2 2" xfId="6205" xr:uid="{D0B48CD1-8B3D-44DB-BF08-4DEB405701EA}"/>
    <cellStyle name="Input 21 2 2 3" xfId="6895" xr:uid="{E820139E-6947-44EE-B3C8-746AB36CC5FC}"/>
    <cellStyle name="Input 21 2 3" xfId="5464" xr:uid="{699C2C96-AB02-43AA-A229-770D2F22D931}"/>
    <cellStyle name="Input 21 3" xfId="4526" xr:uid="{2CD03086-F888-4228-8DB3-352ACB526D62}"/>
    <cellStyle name="Input 21 3 2" xfId="5906" xr:uid="{9F4E8A40-B619-4886-ABAB-8A591D2597B6}"/>
    <cellStyle name="Input 21 3 3" xfId="6596" xr:uid="{95D4E65A-C545-4289-B6E3-5E1A75469251}"/>
    <cellStyle name="Input 21 4" xfId="5722" xr:uid="{01557DDA-1C30-4274-B09D-826E626B1ABA}"/>
    <cellStyle name="Input 22" xfId="1993" xr:uid="{00000000-0005-0000-0000-000089080000}"/>
    <cellStyle name="Input 22 2" xfId="3946" xr:uid="{00000000-0005-0000-0000-00008A080000}"/>
    <cellStyle name="Input 22 2 2" xfId="4826" xr:uid="{4E1E1DFC-2DF2-4C56-AD3E-F8B74CFCE959}"/>
    <cellStyle name="Input 22 2 2 2" xfId="6206" xr:uid="{CE6EA981-324C-48CE-ABD7-9915207ED810}"/>
    <cellStyle name="Input 22 2 2 3" xfId="6896" xr:uid="{001F5A3D-C71A-453D-8D59-17F39DEA79E9}"/>
    <cellStyle name="Input 22 2 3" xfId="5463" xr:uid="{F8671FF0-495A-49CE-B7CF-9B068DF3158B}"/>
    <cellStyle name="Input 22 3" xfId="4527" xr:uid="{315FCF81-87E1-4D43-ABAC-89212089768E}"/>
    <cellStyle name="Input 22 3 2" xfId="5907" xr:uid="{BFC5D6C0-D63A-4D72-8EF3-9F67CAF277F9}"/>
    <cellStyle name="Input 22 3 3" xfId="6597" xr:uid="{532D8E44-9AA4-455F-A82D-20EEE12D9F73}"/>
    <cellStyle name="Input 22 4" xfId="5721" xr:uid="{09099515-531A-440D-88C3-7F780947E2B7}"/>
    <cellStyle name="Input 3" xfId="1994" xr:uid="{00000000-0005-0000-0000-00008B080000}"/>
    <cellStyle name="Input 3 2" xfId="1995" xr:uid="{00000000-0005-0000-0000-00008C080000}"/>
    <cellStyle name="Input 3 2 2" xfId="3947" xr:uid="{00000000-0005-0000-0000-00008D080000}"/>
    <cellStyle name="Input 3 2 2 2" xfId="4827" xr:uid="{CCAF3EFF-86E4-49CD-A072-71636800C2A6}"/>
    <cellStyle name="Input 3 2 2 2 2" xfId="6207" xr:uid="{36E115D2-5032-4653-B2F2-638549AB47A9}"/>
    <cellStyle name="Input 3 2 2 2 3" xfId="6897" xr:uid="{3CAE9AAE-DBCD-44DF-A1CD-F7A4FDF3B6CF}"/>
    <cellStyle name="Input 3 2 2 3" xfId="5462" xr:uid="{D3769312-F703-484B-BB54-4B43764A2DB4}"/>
    <cellStyle name="Input 3 2 3" xfId="4528" xr:uid="{DE833B38-2A93-456F-BD3A-BC89654AE2B2}"/>
    <cellStyle name="Input 3 2 3 2" xfId="5908" xr:uid="{D2FF8822-A2D5-4BF1-8CBF-FBDCE15C7B41}"/>
    <cellStyle name="Input 3 2 3 3" xfId="6598" xr:uid="{9BFDCF10-1F36-40A2-BA3A-79B16D762ECE}"/>
    <cellStyle name="Input 3 2 4" xfId="5720" xr:uid="{F279CC2F-1F20-4D18-B9F3-791918A21E77}"/>
    <cellStyle name="Input 3 3" xfId="1996" xr:uid="{00000000-0005-0000-0000-00008E080000}"/>
    <cellStyle name="Input 3 3 2" xfId="3948" xr:uid="{00000000-0005-0000-0000-00008F080000}"/>
    <cellStyle name="Input 3 3 2 2" xfId="4828" xr:uid="{5021489E-B5BC-499D-96F4-A2FFDF092DB1}"/>
    <cellStyle name="Input 3 3 2 2 2" xfId="6208" xr:uid="{3609EF43-11EC-4B69-865B-DF1F0DEB5793}"/>
    <cellStyle name="Input 3 3 2 2 3" xfId="6898" xr:uid="{4DEA2A9B-BE5F-4EA3-806D-8930E71DC76C}"/>
    <cellStyle name="Input 3 3 2 3" xfId="5461" xr:uid="{8DC07E5E-D75B-47C2-AC6D-92CFA92063D9}"/>
    <cellStyle name="Input 3 3 3" xfId="4529" xr:uid="{69B5C37D-91CE-47AB-BC02-13D1DB6EAC74}"/>
    <cellStyle name="Input 3 3 3 2" xfId="5909" xr:uid="{AEB9D807-8762-477A-8221-F3291E55C7BF}"/>
    <cellStyle name="Input 3 3 3 3" xfId="6599" xr:uid="{51789F28-690B-4896-B9F5-BB96009A93CD}"/>
    <cellStyle name="Input 3 3 4" xfId="5719" xr:uid="{1CD1C893-9B62-4BC5-B6A9-27D7BB081CF5}"/>
    <cellStyle name="Input 3 4" xfId="3949" xr:uid="{00000000-0005-0000-0000-000090080000}"/>
    <cellStyle name="Input 3 4 2" xfId="4829" xr:uid="{ECB68547-87A9-43E3-A13B-DF573C8FCE09}"/>
    <cellStyle name="Input 3 4 2 2" xfId="6209" xr:uid="{B364BB2D-4516-4D92-864C-6C0303CD75C4}"/>
    <cellStyle name="Input 3 4 2 3" xfId="6899" xr:uid="{3F5BD21C-DDFE-4B2D-BA06-611200FA34ED}"/>
    <cellStyle name="Input 3 4 3" xfId="5460" xr:uid="{843E774B-9679-41F6-A9E9-42C4559FCB6D}"/>
    <cellStyle name="Input 3 5" xfId="3950" xr:uid="{00000000-0005-0000-0000-000091080000}"/>
    <cellStyle name="Input 4" xfId="1997" xr:uid="{00000000-0005-0000-0000-000092080000}"/>
    <cellStyle name="Input 4 2" xfId="1998" xr:uid="{00000000-0005-0000-0000-000093080000}"/>
    <cellStyle name="Input 4 2 2" xfId="3951" xr:uid="{00000000-0005-0000-0000-000094080000}"/>
    <cellStyle name="Input 4 2 2 2" xfId="4830" xr:uid="{40D39028-9EE3-4814-A1A1-F7A9C293A5A8}"/>
    <cellStyle name="Input 4 2 2 2 2" xfId="6210" xr:uid="{1A9C0A15-3C08-4381-9166-77D4F0C1B6B5}"/>
    <cellStyle name="Input 4 2 2 2 3" xfId="6900" xr:uid="{329D24F6-1A30-418E-8B65-C428F6CD3AF2}"/>
    <cellStyle name="Input 4 2 2 3" xfId="5459" xr:uid="{41CFA021-9873-47D7-B39E-FD44E4840088}"/>
    <cellStyle name="Input 4 2 3" xfId="4531" xr:uid="{88B4C32A-59D6-4254-BBE1-256208D61CDF}"/>
    <cellStyle name="Input 4 2 3 2" xfId="5911" xr:uid="{C04FBFDD-A2A8-4475-AD3F-89E9BFA8595E}"/>
    <cellStyle name="Input 4 2 3 3" xfId="6601" xr:uid="{CCC9B3E6-52ED-4341-B2A7-1C02BF7E15DF}"/>
    <cellStyle name="Input 4 2 4" xfId="5717" xr:uid="{0AADF186-C912-4126-8FA4-671C6487A28C}"/>
    <cellStyle name="Input 4 3" xfId="1999" xr:uid="{00000000-0005-0000-0000-000095080000}"/>
    <cellStyle name="Input 4 3 2" xfId="3952" xr:uid="{00000000-0005-0000-0000-000096080000}"/>
    <cellStyle name="Input 4 3 2 2" xfId="4831" xr:uid="{34D9FDB1-BBDA-4A19-A534-E2C0BD219305}"/>
    <cellStyle name="Input 4 3 2 2 2" xfId="6211" xr:uid="{FF9630CD-5AA0-4F61-9262-06AEC80FD724}"/>
    <cellStyle name="Input 4 3 2 2 3" xfId="6901" xr:uid="{C9372DF4-AF36-48AA-83E3-B623350D1E8B}"/>
    <cellStyle name="Input 4 3 2 3" xfId="5785" xr:uid="{D0282673-B6A7-44DF-B4E8-008FECB5ABFB}"/>
    <cellStyle name="Input 4 3 3" xfId="4532" xr:uid="{239B7D05-701C-44A6-8E84-AB76EC193BB1}"/>
    <cellStyle name="Input 4 3 3 2" xfId="5912" xr:uid="{61DF91AD-381C-47D0-80B6-B81EB5DF24F7}"/>
    <cellStyle name="Input 4 3 3 3" xfId="6602" xr:uid="{341853B5-5F1F-478D-B3A0-13D91A79C771}"/>
    <cellStyle name="Input 4 3 4" xfId="5716" xr:uid="{1FC28161-813D-4C9E-B619-F16D5E5A0B28}"/>
    <cellStyle name="Input 4 4" xfId="3953" xr:uid="{00000000-0005-0000-0000-000097080000}"/>
    <cellStyle name="Input 4 4 2" xfId="4832" xr:uid="{A7984A01-58B3-4449-B777-3501A6A5060B}"/>
    <cellStyle name="Input 4 4 2 2" xfId="6212" xr:uid="{08154929-B18D-4A14-B626-F858D1FE77B4}"/>
    <cellStyle name="Input 4 4 2 3" xfId="6902" xr:uid="{DD18F0C4-4461-4191-B714-83D1A2BFD73F}"/>
    <cellStyle name="Input 4 4 3" xfId="5458" xr:uid="{17B64828-E2D4-479E-AAA2-E65F969B9713}"/>
    <cellStyle name="Input 4 5" xfId="4530" xr:uid="{7388678B-0310-4A8C-B7FD-798585E643EB}"/>
    <cellStyle name="Input 4 5 2" xfId="5910" xr:uid="{EC2C4945-917E-4759-BBFC-44AE813D07E6}"/>
    <cellStyle name="Input 4 5 3" xfId="6600" xr:uid="{2A58F535-51FB-4793-A4CA-09613DCCDCC2}"/>
    <cellStyle name="Input 4 6" xfId="5718" xr:uid="{D45B60EF-0D7A-4023-9D0E-8C1AF5112433}"/>
    <cellStyle name="Input 5 2" xfId="2000" xr:uid="{00000000-0005-0000-0000-000098080000}"/>
    <cellStyle name="Input 5 2 2" xfId="3954" xr:uid="{00000000-0005-0000-0000-000099080000}"/>
    <cellStyle name="Input 5 2 2 2" xfId="4833" xr:uid="{4893A03C-5B30-41F8-BEEF-618656641F70}"/>
    <cellStyle name="Input 5 2 2 2 2" xfId="6213" xr:uid="{33B2710B-E1E8-4FFF-98EF-86CD20964240}"/>
    <cellStyle name="Input 5 2 2 2 3" xfId="6903" xr:uid="{2BD89F64-654D-4190-8C09-3C0C239AA0ED}"/>
    <cellStyle name="Input 5 2 2 3" xfId="5457" xr:uid="{97E08237-B6D0-4B9A-BCCF-2E97C857CA82}"/>
    <cellStyle name="Input 5 2 3" xfId="4533" xr:uid="{049A56F9-A602-4CB6-8C3F-97A462AACF44}"/>
    <cellStyle name="Input 5 2 3 2" xfId="5913" xr:uid="{459D2117-5434-474D-86AF-B6883F14F342}"/>
    <cellStyle name="Input 5 2 3 3" xfId="6603" xr:uid="{39A8D821-EE1A-4553-A783-A15D940D1578}"/>
    <cellStyle name="Input 5 2 4" xfId="5715" xr:uid="{7A9C80FE-8D6B-4C86-A545-7912026D53F5}"/>
    <cellStyle name="Input 5 3" xfId="2001" xr:uid="{00000000-0005-0000-0000-00009A080000}"/>
    <cellStyle name="Input 5 3 2" xfId="3955" xr:uid="{00000000-0005-0000-0000-00009B080000}"/>
    <cellStyle name="Input 5 3 2 2" xfId="4834" xr:uid="{84440589-6DC9-4B39-92E6-5A66702DD322}"/>
    <cellStyle name="Input 5 3 2 2 2" xfId="6214" xr:uid="{9081AEAD-7E25-4FC3-ACE6-44D757CAA20C}"/>
    <cellStyle name="Input 5 3 2 2 3" xfId="6904" xr:uid="{446C5202-6056-4F5F-B73F-FC22F68E864B}"/>
    <cellStyle name="Input 5 3 2 3" xfId="5456" xr:uid="{45E7C313-76EB-44F9-869A-98BB2357637C}"/>
    <cellStyle name="Input 5 3 3" xfId="4534" xr:uid="{3055EDF8-354F-47FC-8F65-0F3985329403}"/>
    <cellStyle name="Input 5 3 3 2" xfId="5914" xr:uid="{C10974E9-A892-460E-AEA2-6B1A3646F8D1}"/>
    <cellStyle name="Input 5 3 3 3" xfId="6604" xr:uid="{A95DB95F-5A47-4299-8113-376235C61E62}"/>
    <cellStyle name="Input 5 3 4" xfId="5714" xr:uid="{2761EAF6-C130-49CA-AFF9-70DCB294CA98}"/>
    <cellStyle name="Input 6 2" xfId="2002" xr:uid="{00000000-0005-0000-0000-00009C080000}"/>
    <cellStyle name="Input 6 2 2" xfId="3956" xr:uid="{00000000-0005-0000-0000-00009D080000}"/>
    <cellStyle name="Input 6 2 2 2" xfId="4835" xr:uid="{C8BEC65E-ACE6-4B54-A847-FDBA75E94C8E}"/>
    <cellStyle name="Input 6 2 2 2 2" xfId="6215" xr:uid="{D7B8CBC5-5E7E-4BCF-93DF-94A701D19AC4}"/>
    <cellStyle name="Input 6 2 2 2 3" xfId="6905" xr:uid="{9A4D6A32-1269-48A5-8023-BFC1FC3EDF52}"/>
    <cellStyle name="Input 6 2 2 3" xfId="5455" xr:uid="{C75A7B46-EF5E-4526-A1F5-844166EE3AEB}"/>
    <cellStyle name="Input 6 2 3" xfId="4535" xr:uid="{0F1C0326-E4A9-45A4-84C5-9D52B147BC4C}"/>
    <cellStyle name="Input 6 2 3 2" xfId="5915" xr:uid="{457984C7-B57E-48E3-B830-B70E02DD8FF1}"/>
    <cellStyle name="Input 6 2 3 3" xfId="6605" xr:uid="{EEC9ADE7-C3F0-46C1-ADFA-1CF3F6C7FBB5}"/>
    <cellStyle name="Input 6 2 4" xfId="5713" xr:uid="{9B3553CA-74F4-4BCB-B722-79409953124A}"/>
    <cellStyle name="Input 6 3" xfId="2003" xr:uid="{00000000-0005-0000-0000-00009E080000}"/>
    <cellStyle name="Input 6 3 2" xfId="3957" xr:uid="{00000000-0005-0000-0000-00009F080000}"/>
    <cellStyle name="Input 6 3 2 2" xfId="4836" xr:uid="{8BAB0808-8550-4ACD-8320-7F8F9865131D}"/>
    <cellStyle name="Input 6 3 2 2 2" xfId="6216" xr:uid="{2B5EAFE9-E2BE-4DD4-AA46-7BB466D6F4D5}"/>
    <cellStyle name="Input 6 3 2 2 3" xfId="6906" xr:uid="{14114AB0-844C-4A62-94DE-A661B11191CC}"/>
    <cellStyle name="Input 6 3 2 3" xfId="5454" xr:uid="{4FF25CC5-6591-4088-B6AE-63CEEDCCB0F8}"/>
    <cellStyle name="Input 6 3 3" xfId="4536" xr:uid="{0C2E9D13-0F4C-44DB-95D8-990204B46786}"/>
    <cellStyle name="Input 6 3 3 2" xfId="5916" xr:uid="{25633296-9478-4FC4-878E-71C25F0CEABB}"/>
    <cellStyle name="Input 6 3 3 3" xfId="6606" xr:uid="{9362881E-58BD-476A-BE65-9A82044DBFE3}"/>
    <cellStyle name="Input 6 3 4" xfId="5712" xr:uid="{0DCCDD7E-D018-4F63-B4CA-F24805503A1A}"/>
    <cellStyle name="Input 7 2" xfId="2004" xr:uid="{00000000-0005-0000-0000-0000A0080000}"/>
    <cellStyle name="Input 7 2 2" xfId="3958" xr:uid="{00000000-0005-0000-0000-0000A1080000}"/>
    <cellStyle name="Input 7 2 2 2" xfId="4837" xr:uid="{91AA394A-FE91-4DBE-8BA4-CC1364DB1B0D}"/>
    <cellStyle name="Input 7 2 2 2 2" xfId="6217" xr:uid="{84A37DA5-2A1B-400D-9CBD-ED56BF044336}"/>
    <cellStyle name="Input 7 2 2 2 3" xfId="6907" xr:uid="{4C6FA554-3BBF-457F-84CF-502FD639FA02}"/>
    <cellStyle name="Input 7 2 2 3" xfId="5453" xr:uid="{9F5771B2-6850-4DB7-95DF-A59F1E3246F1}"/>
    <cellStyle name="Input 7 2 3" xfId="4537" xr:uid="{FF17FE58-4284-454A-819D-BE74B8F56100}"/>
    <cellStyle name="Input 7 2 3 2" xfId="5917" xr:uid="{8E885875-AD34-4BC4-B8B7-0DC9F351322D}"/>
    <cellStyle name="Input 7 2 3 3" xfId="6607" xr:uid="{38E85A16-B9E4-4BDE-8F97-6948FD0FBB08}"/>
    <cellStyle name="Input 7 2 4" xfId="5711" xr:uid="{E185FFEB-5996-4646-9746-D25B6010B1C6}"/>
    <cellStyle name="Input 7 3" xfId="2005" xr:uid="{00000000-0005-0000-0000-0000A2080000}"/>
    <cellStyle name="Input 7 3 2" xfId="3959" xr:uid="{00000000-0005-0000-0000-0000A3080000}"/>
    <cellStyle name="Input 7 3 2 2" xfId="4838" xr:uid="{20A133EF-D3F3-4726-86B9-928ACDBF99C5}"/>
    <cellStyle name="Input 7 3 2 2 2" xfId="6218" xr:uid="{FB701A21-FD61-45B3-9159-F3869232449A}"/>
    <cellStyle name="Input 7 3 2 2 3" xfId="6908" xr:uid="{426C28BC-1684-4D0B-9F67-4ED6ED9DB07E}"/>
    <cellStyle name="Input 7 3 2 3" xfId="5452" xr:uid="{9881C394-0454-4706-AD9B-C52E4DA3BE86}"/>
    <cellStyle name="Input 7 3 3" xfId="4538" xr:uid="{8B99702C-DE3E-4E83-AA7F-44019538D1FE}"/>
    <cellStyle name="Input 7 3 3 2" xfId="5918" xr:uid="{7D314096-34E1-455E-BA3F-BCE619771DF0}"/>
    <cellStyle name="Input 7 3 3 3" xfId="6608" xr:uid="{F6A3C39E-8FF2-4403-A08B-18B5D500FF6F}"/>
    <cellStyle name="Input 7 3 4" xfId="5710" xr:uid="{5DDC8950-F1FB-458F-AA4C-505F9502921D}"/>
    <cellStyle name="Input 8 2" xfId="2006" xr:uid="{00000000-0005-0000-0000-0000A4080000}"/>
    <cellStyle name="Input 8 2 2" xfId="3960" xr:uid="{00000000-0005-0000-0000-0000A5080000}"/>
    <cellStyle name="Input 8 2 2 2" xfId="4839" xr:uid="{2D01E370-3087-4018-BF63-B7822FB1AF95}"/>
    <cellStyle name="Input 8 2 2 2 2" xfId="6219" xr:uid="{31B2F178-AF75-4C47-9238-610CBF0CBEDF}"/>
    <cellStyle name="Input 8 2 2 2 3" xfId="6909" xr:uid="{47B04CF9-46BB-4279-B820-3F0B7F49BA00}"/>
    <cellStyle name="Input 8 2 2 3" xfId="5451" xr:uid="{65839A6F-B8A8-4705-8A5B-537FF50D49AF}"/>
    <cellStyle name="Input 8 2 3" xfId="4539" xr:uid="{F00B2292-594B-4BE0-9E20-77B323A1CB62}"/>
    <cellStyle name="Input 8 2 3 2" xfId="5919" xr:uid="{70ABCD7C-DF75-4919-B0C5-8AA7C3132C2F}"/>
    <cellStyle name="Input 8 2 3 3" xfId="6609" xr:uid="{69093198-CD9B-4631-9027-B597B8964A67}"/>
    <cellStyle name="Input 8 2 4" xfId="5709" xr:uid="{E9CE1F45-F45C-419C-B5D3-8C032FECF310}"/>
    <cellStyle name="Input 8 3" xfId="2007" xr:uid="{00000000-0005-0000-0000-0000A6080000}"/>
    <cellStyle name="Input 8 3 2" xfId="3961" xr:uid="{00000000-0005-0000-0000-0000A7080000}"/>
    <cellStyle name="Input 8 3 2 2" xfId="4840" xr:uid="{824C5C4D-5110-4E15-8B1D-959A97271CCB}"/>
    <cellStyle name="Input 8 3 2 2 2" xfId="6220" xr:uid="{0FE1EA1E-49E2-4C7D-BB75-495E8E4F102D}"/>
    <cellStyle name="Input 8 3 2 2 3" xfId="6910" xr:uid="{21BE1BEB-9B30-4493-9A12-67ADB19E84F7}"/>
    <cellStyle name="Input 8 3 2 3" xfId="5450" xr:uid="{D7229482-AC1C-4890-B59F-CB3C88A82146}"/>
    <cellStyle name="Input 8 3 3" xfId="4540" xr:uid="{8CDC6000-02FF-4A5C-A1CF-2DF5D1421E3B}"/>
    <cellStyle name="Input 8 3 3 2" xfId="5920" xr:uid="{91ED0023-8426-4818-964C-CAB6E584D3C7}"/>
    <cellStyle name="Input 8 3 3 3" xfId="6610" xr:uid="{7CE7CA3C-1DD8-48F0-855C-3E856C1F9F50}"/>
    <cellStyle name="Input 8 3 4" xfId="5708" xr:uid="{30E52D19-6EDF-4D4A-80A8-AF5172749A3B}"/>
    <cellStyle name="Input 9 2" xfId="2008" xr:uid="{00000000-0005-0000-0000-0000A8080000}"/>
    <cellStyle name="Input 9 2 2" xfId="3962" xr:uid="{00000000-0005-0000-0000-0000A9080000}"/>
    <cellStyle name="Input 9 2 2 2" xfId="4841" xr:uid="{D2248936-822F-4BBD-90BC-AADC454A3E06}"/>
    <cellStyle name="Input 9 2 2 2 2" xfId="6221" xr:uid="{CD490309-A678-45A6-8B6B-BF443BFB8C2E}"/>
    <cellStyle name="Input 9 2 2 2 3" xfId="6911" xr:uid="{13D7E1DD-CB71-4184-9C1A-5CC48B24E601}"/>
    <cellStyle name="Input 9 2 2 3" xfId="5449" xr:uid="{A0D7328D-C026-4D79-BB0E-75400384CB58}"/>
    <cellStyle name="Input 9 2 3" xfId="4541" xr:uid="{E03138E2-563D-4C8B-9F88-74B505FAC48B}"/>
    <cellStyle name="Input 9 2 3 2" xfId="5921" xr:uid="{BCF79670-90BB-415A-9649-654643BF31DE}"/>
    <cellStyle name="Input 9 2 3 3" xfId="6611" xr:uid="{21621A3D-E98E-4A77-B64B-CBE439DB73A9}"/>
    <cellStyle name="Input 9 2 4" xfId="5707" xr:uid="{72C630CB-7EDD-434A-A8F6-243F4F151031}"/>
    <cellStyle name="Input 9 3" xfId="2009" xr:uid="{00000000-0005-0000-0000-0000AA080000}"/>
    <cellStyle name="Input 9 3 2" xfId="3963" xr:uid="{00000000-0005-0000-0000-0000AB080000}"/>
    <cellStyle name="Input 9 3 2 2" xfId="4842" xr:uid="{A5452C46-775C-471C-A63E-D9E956978F28}"/>
    <cellStyle name="Input 9 3 2 2 2" xfId="6222" xr:uid="{E693F735-2618-4D10-83AC-DC90DA0872BD}"/>
    <cellStyle name="Input 9 3 2 2 3" xfId="6912" xr:uid="{6CF15ECA-AB54-4E7A-9B80-7075F10D84F7}"/>
    <cellStyle name="Input 9 3 2 3" xfId="5448" xr:uid="{AA4B5143-7FE2-4AC0-90C2-D96615C1F656}"/>
    <cellStyle name="Input 9 3 3" xfId="4542" xr:uid="{A991870C-BE08-4BB6-B2E2-540DFA389EDD}"/>
    <cellStyle name="Input 9 3 3 2" xfId="5922" xr:uid="{EDDEC2F8-E979-46BD-89B7-CCB65CA19D90}"/>
    <cellStyle name="Input 9 3 3 3" xfId="6612" xr:uid="{AB7614C3-7DEB-483A-AAA8-04F8D2BAC263}"/>
    <cellStyle name="Input 9 3 4" xfId="5706" xr:uid="{000E0CB5-AB04-412B-B8F5-DC5605AC0914}"/>
    <cellStyle name="Linked Cell 10 2" xfId="2010" xr:uid="{00000000-0005-0000-0000-0000AC080000}"/>
    <cellStyle name="Linked Cell 10 3" xfId="2011" xr:uid="{00000000-0005-0000-0000-0000AD080000}"/>
    <cellStyle name="Linked Cell 11 2" xfId="2012" xr:uid="{00000000-0005-0000-0000-0000AE080000}"/>
    <cellStyle name="Linked Cell 11 3" xfId="2013" xr:uid="{00000000-0005-0000-0000-0000AF080000}"/>
    <cellStyle name="Linked Cell 12 2" xfId="2014" xr:uid="{00000000-0005-0000-0000-0000B0080000}"/>
    <cellStyle name="Linked Cell 12 3" xfId="2015" xr:uid="{00000000-0005-0000-0000-0000B1080000}"/>
    <cellStyle name="Linked Cell 13 2" xfId="2016" xr:uid="{00000000-0005-0000-0000-0000B2080000}"/>
    <cellStyle name="Linked Cell 13 3" xfId="2017" xr:uid="{00000000-0005-0000-0000-0000B3080000}"/>
    <cellStyle name="Linked Cell 14 2" xfId="2018" xr:uid="{00000000-0005-0000-0000-0000B4080000}"/>
    <cellStyle name="Linked Cell 14 3" xfId="2019" xr:uid="{00000000-0005-0000-0000-0000B5080000}"/>
    <cellStyle name="Linked Cell 15" xfId="2020" xr:uid="{00000000-0005-0000-0000-0000B6080000}"/>
    <cellStyle name="Linked Cell 15 2" xfId="2021" xr:uid="{00000000-0005-0000-0000-0000B7080000}"/>
    <cellStyle name="Linked Cell 15 3" xfId="2022" xr:uid="{00000000-0005-0000-0000-0000B8080000}"/>
    <cellStyle name="Linked Cell 15 4" xfId="2023" xr:uid="{00000000-0005-0000-0000-0000B9080000}"/>
    <cellStyle name="Linked Cell 15 5" xfId="2024" xr:uid="{00000000-0005-0000-0000-0000BA080000}"/>
    <cellStyle name="Linked Cell 15 6" xfId="2025" xr:uid="{00000000-0005-0000-0000-0000BB080000}"/>
    <cellStyle name="Linked Cell 15 7" xfId="2026" xr:uid="{00000000-0005-0000-0000-0000BC080000}"/>
    <cellStyle name="Linked Cell 16" xfId="2027" xr:uid="{00000000-0005-0000-0000-0000BD080000}"/>
    <cellStyle name="Linked Cell 17" xfId="2028" xr:uid="{00000000-0005-0000-0000-0000BE080000}"/>
    <cellStyle name="Linked Cell 18" xfId="2029" xr:uid="{00000000-0005-0000-0000-0000BF080000}"/>
    <cellStyle name="Linked Cell 19" xfId="2030" xr:uid="{00000000-0005-0000-0000-0000C0080000}"/>
    <cellStyle name="Linked Cell 2" xfId="2031" xr:uid="{00000000-0005-0000-0000-0000C1080000}"/>
    <cellStyle name="Linked Cell 2 2" xfId="2032" xr:uid="{00000000-0005-0000-0000-0000C2080000}"/>
    <cellStyle name="Linked Cell 2 3" xfId="2033" xr:uid="{00000000-0005-0000-0000-0000C3080000}"/>
    <cellStyle name="Linked Cell 2 4" xfId="3964" xr:uid="{00000000-0005-0000-0000-0000C4080000}"/>
    <cellStyle name="Linked Cell 20" xfId="2034" xr:uid="{00000000-0005-0000-0000-0000C5080000}"/>
    <cellStyle name="Linked Cell 21" xfId="2035" xr:uid="{00000000-0005-0000-0000-0000C6080000}"/>
    <cellStyle name="Linked Cell 22" xfId="2036" xr:uid="{00000000-0005-0000-0000-0000C7080000}"/>
    <cellStyle name="Linked Cell 3" xfId="2037" xr:uid="{00000000-0005-0000-0000-0000C8080000}"/>
    <cellStyle name="Linked Cell 3 2" xfId="2038" xr:uid="{00000000-0005-0000-0000-0000C9080000}"/>
    <cellStyle name="Linked Cell 3 3" xfId="2039" xr:uid="{00000000-0005-0000-0000-0000CA080000}"/>
    <cellStyle name="Linked Cell 3 4" xfId="3965" xr:uid="{00000000-0005-0000-0000-0000CB080000}"/>
    <cellStyle name="Linked Cell 4" xfId="2040" xr:uid="{00000000-0005-0000-0000-0000CC080000}"/>
    <cellStyle name="Linked Cell 4 2" xfId="2041" xr:uid="{00000000-0005-0000-0000-0000CD080000}"/>
    <cellStyle name="Linked Cell 4 3" xfId="2042" xr:uid="{00000000-0005-0000-0000-0000CE080000}"/>
    <cellStyle name="Linked Cell 5 2" xfId="2043" xr:uid="{00000000-0005-0000-0000-0000CF080000}"/>
    <cellStyle name="Linked Cell 5 3" xfId="2044" xr:uid="{00000000-0005-0000-0000-0000D0080000}"/>
    <cellStyle name="Linked Cell 6 2" xfId="2045" xr:uid="{00000000-0005-0000-0000-0000D1080000}"/>
    <cellStyle name="Linked Cell 6 3" xfId="2046" xr:uid="{00000000-0005-0000-0000-0000D2080000}"/>
    <cellStyle name="Linked Cell 7 2" xfId="2047" xr:uid="{00000000-0005-0000-0000-0000D3080000}"/>
    <cellStyle name="Linked Cell 7 3" xfId="2048" xr:uid="{00000000-0005-0000-0000-0000D4080000}"/>
    <cellStyle name="Linked Cell 8 2" xfId="2049" xr:uid="{00000000-0005-0000-0000-0000D5080000}"/>
    <cellStyle name="Linked Cell 8 3" xfId="2050" xr:uid="{00000000-0005-0000-0000-0000D6080000}"/>
    <cellStyle name="Linked Cell 9 2" xfId="2051" xr:uid="{00000000-0005-0000-0000-0000D7080000}"/>
    <cellStyle name="Linked Cell 9 3" xfId="2052" xr:uid="{00000000-0005-0000-0000-0000D8080000}"/>
    <cellStyle name="Marathon" xfId="2053" xr:uid="{00000000-0005-0000-0000-0000D9080000}"/>
    <cellStyle name="Marathon 2" xfId="2054" xr:uid="{00000000-0005-0000-0000-0000DA080000}"/>
    <cellStyle name="Neutral 10 2" xfId="2055" xr:uid="{00000000-0005-0000-0000-0000DB080000}"/>
    <cellStyle name="Neutral 10 3" xfId="2056" xr:uid="{00000000-0005-0000-0000-0000DC080000}"/>
    <cellStyle name="Neutral 11 2" xfId="2057" xr:uid="{00000000-0005-0000-0000-0000DD080000}"/>
    <cellStyle name="Neutral 11 3" xfId="2058" xr:uid="{00000000-0005-0000-0000-0000DE080000}"/>
    <cellStyle name="Neutral 12 2" xfId="2059" xr:uid="{00000000-0005-0000-0000-0000DF080000}"/>
    <cellStyle name="Neutral 12 3" xfId="2060" xr:uid="{00000000-0005-0000-0000-0000E0080000}"/>
    <cellStyle name="Neutral 13 2" xfId="2061" xr:uid="{00000000-0005-0000-0000-0000E1080000}"/>
    <cellStyle name="Neutral 13 3" xfId="2062" xr:uid="{00000000-0005-0000-0000-0000E2080000}"/>
    <cellStyle name="Neutral 14 2" xfId="2063" xr:uid="{00000000-0005-0000-0000-0000E3080000}"/>
    <cellStyle name="Neutral 14 3" xfId="2064" xr:uid="{00000000-0005-0000-0000-0000E4080000}"/>
    <cellStyle name="Neutral 15" xfId="2065" xr:uid="{00000000-0005-0000-0000-0000E5080000}"/>
    <cellStyle name="Neutral 15 2" xfId="2066" xr:uid="{00000000-0005-0000-0000-0000E6080000}"/>
    <cellStyle name="Neutral 15 3" xfId="2067" xr:uid="{00000000-0005-0000-0000-0000E7080000}"/>
    <cellStyle name="Neutral 15 4" xfId="2068" xr:uid="{00000000-0005-0000-0000-0000E8080000}"/>
    <cellStyle name="Neutral 15 5" xfId="2069" xr:uid="{00000000-0005-0000-0000-0000E9080000}"/>
    <cellStyle name="Neutral 15 6" xfId="2070" xr:uid="{00000000-0005-0000-0000-0000EA080000}"/>
    <cellStyle name="Neutral 15 7" xfId="2071" xr:uid="{00000000-0005-0000-0000-0000EB080000}"/>
    <cellStyle name="Neutral 16" xfId="2072" xr:uid="{00000000-0005-0000-0000-0000EC080000}"/>
    <cellStyle name="Neutral 17" xfId="2073" xr:uid="{00000000-0005-0000-0000-0000ED080000}"/>
    <cellStyle name="Neutral 18" xfId="2074" xr:uid="{00000000-0005-0000-0000-0000EE080000}"/>
    <cellStyle name="Neutral 19" xfId="2075" xr:uid="{00000000-0005-0000-0000-0000EF080000}"/>
    <cellStyle name="Neutral 2" xfId="2076" xr:uid="{00000000-0005-0000-0000-0000F0080000}"/>
    <cellStyle name="Neutral 2 2" xfId="2077" xr:uid="{00000000-0005-0000-0000-0000F1080000}"/>
    <cellStyle name="Neutral 2 3" xfId="2078" xr:uid="{00000000-0005-0000-0000-0000F2080000}"/>
    <cellStyle name="Neutral 2 4" xfId="3966" xr:uid="{00000000-0005-0000-0000-0000F3080000}"/>
    <cellStyle name="Neutral 20" xfId="2079" xr:uid="{00000000-0005-0000-0000-0000F4080000}"/>
    <cellStyle name="Neutral 21" xfId="2080" xr:uid="{00000000-0005-0000-0000-0000F5080000}"/>
    <cellStyle name="Neutral 22" xfId="2081" xr:uid="{00000000-0005-0000-0000-0000F6080000}"/>
    <cellStyle name="Neutral 3" xfId="2082" xr:uid="{00000000-0005-0000-0000-0000F7080000}"/>
    <cellStyle name="Neutral 3 2" xfId="2083" xr:uid="{00000000-0005-0000-0000-0000F8080000}"/>
    <cellStyle name="Neutral 3 3" xfId="2084" xr:uid="{00000000-0005-0000-0000-0000F9080000}"/>
    <cellStyle name="Neutral 3 4" xfId="3967" xr:uid="{00000000-0005-0000-0000-0000FA080000}"/>
    <cellStyle name="Neutral 4" xfId="2085" xr:uid="{00000000-0005-0000-0000-0000FB080000}"/>
    <cellStyle name="Neutral 4 2" xfId="2086" xr:uid="{00000000-0005-0000-0000-0000FC080000}"/>
    <cellStyle name="Neutral 4 3" xfId="2087" xr:uid="{00000000-0005-0000-0000-0000FD080000}"/>
    <cellStyle name="Neutral 5 2" xfId="2088" xr:uid="{00000000-0005-0000-0000-0000FE080000}"/>
    <cellStyle name="Neutral 5 3" xfId="2089" xr:uid="{00000000-0005-0000-0000-0000FF080000}"/>
    <cellStyle name="Neutral 6 2" xfId="2090" xr:uid="{00000000-0005-0000-0000-000000090000}"/>
    <cellStyle name="Neutral 6 3" xfId="2091" xr:uid="{00000000-0005-0000-0000-000001090000}"/>
    <cellStyle name="Neutral 7 2" xfId="2092" xr:uid="{00000000-0005-0000-0000-000002090000}"/>
    <cellStyle name="Neutral 7 3" xfId="2093" xr:uid="{00000000-0005-0000-0000-000003090000}"/>
    <cellStyle name="Neutral 8 2" xfId="2094" xr:uid="{00000000-0005-0000-0000-000004090000}"/>
    <cellStyle name="Neutral 8 3" xfId="2095" xr:uid="{00000000-0005-0000-0000-000005090000}"/>
    <cellStyle name="Neutral 9 2" xfId="2096" xr:uid="{00000000-0005-0000-0000-000006090000}"/>
    <cellStyle name="Neutral 9 3" xfId="2097" xr:uid="{00000000-0005-0000-0000-000007090000}"/>
    <cellStyle name="nONE" xfId="2098" xr:uid="{00000000-0005-0000-0000-000008090000}"/>
    <cellStyle name="nONE 2" xfId="2099" xr:uid="{00000000-0005-0000-0000-000009090000}"/>
    <cellStyle name="nONE 3" xfId="2100" xr:uid="{00000000-0005-0000-0000-00000A090000}"/>
    <cellStyle name="nONE 4" xfId="2101" xr:uid="{00000000-0005-0000-0000-00000B090000}"/>
    <cellStyle name="nONE 5" xfId="2102" xr:uid="{00000000-0005-0000-0000-00000C090000}"/>
    <cellStyle name="nONE 6" xfId="2103" xr:uid="{00000000-0005-0000-0000-00000D090000}"/>
    <cellStyle name="nONE 7" xfId="2104" xr:uid="{00000000-0005-0000-0000-00000E090000}"/>
    <cellStyle name="nONE 8" xfId="2105" xr:uid="{00000000-0005-0000-0000-00000F090000}"/>
    <cellStyle name="Normal" xfId="0" builtinId="0"/>
    <cellStyle name="Normal 10" xfId="2106" xr:uid="{00000000-0005-0000-0000-000011090000}"/>
    <cellStyle name="Normal 10 10" xfId="2107" xr:uid="{00000000-0005-0000-0000-000012090000}"/>
    <cellStyle name="Normal 10 11" xfId="2108" xr:uid="{00000000-0005-0000-0000-000013090000}"/>
    <cellStyle name="Normal 10 12" xfId="2109" xr:uid="{00000000-0005-0000-0000-000014090000}"/>
    <cellStyle name="Normal 10 13" xfId="3968" xr:uid="{00000000-0005-0000-0000-000015090000}"/>
    <cellStyle name="Normal 10 2" xfId="2110" xr:uid="{00000000-0005-0000-0000-000016090000}"/>
    <cellStyle name="Normal 10 2 2" xfId="3969" xr:uid="{00000000-0005-0000-0000-000017090000}"/>
    <cellStyle name="Normal 10 3" xfId="2111" xr:uid="{00000000-0005-0000-0000-000018090000}"/>
    <cellStyle name="Normal 10 4" xfId="2112" xr:uid="{00000000-0005-0000-0000-000019090000}"/>
    <cellStyle name="Normal 10 5" xfId="2113" xr:uid="{00000000-0005-0000-0000-00001A090000}"/>
    <cellStyle name="Normal 10 6" xfId="2114" xr:uid="{00000000-0005-0000-0000-00001B090000}"/>
    <cellStyle name="Normal 10 7" xfId="2115" xr:uid="{00000000-0005-0000-0000-00001C090000}"/>
    <cellStyle name="Normal 10 8" xfId="143" xr:uid="{00000000-0005-0000-0000-00001D090000}"/>
    <cellStyle name="Normal 10 9" xfId="2116" xr:uid="{00000000-0005-0000-0000-00001E090000}"/>
    <cellStyle name="Normal 100" xfId="3970" xr:uid="{00000000-0005-0000-0000-00001F090000}"/>
    <cellStyle name="Normal 101" xfId="4412" xr:uid="{00000000-0005-0000-0000-000020090000}"/>
    <cellStyle name="Normal 102" xfId="4418" xr:uid="{00000000-0005-0000-0000-000021090000}"/>
    <cellStyle name="Normal 103" xfId="4422" xr:uid="{00000000-0005-0000-0000-000022090000}"/>
    <cellStyle name="Normal 104" xfId="4426" xr:uid="{00000000-0005-0000-0000-000023090000}"/>
    <cellStyle name="Normal 105" xfId="4436" xr:uid="{00000000-0005-0000-0000-000024090000}"/>
    <cellStyle name="Normal 11" xfId="2117" xr:uid="{00000000-0005-0000-0000-000025090000}"/>
    <cellStyle name="Normal 11 2" xfId="2118" xr:uid="{00000000-0005-0000-0000-000026090000}"/>
    <cellStyle name="Normal 11 2 2" xfId="3971" xr:uid="{00000000-0005-0000-0000-000027090000}"/>
    <cellStyle name="Normal 11 3" xfId="2119" xr:uid="{00000000-0005-0000-0000-000028090000}"/>
    <cellStyle name="Normal 11 4" xfId="2120" xr:uid="{00000000-0005-0000-0000-000029090000}"/>
    <cellStyle name="Normal 11 5" xfId="2121" xr:uid="{00000000-0005-0000-0000-00002A090000}"/>
    <cellStyle name="Normal 11 6" xfId="2122" xr:uid="{00000000-0005-0000-0000-00002B090000}"/>
    <cellStyle name="Normal 11 7" xfId="2123" xr:uid="{00000000-0005-0000-0000-00002C090000}"/>
    <cellStyle name="Normal 11 8" xfId="2124" xr:uid="{00000000-0005-0000-0000-00002D090000}"/>
    <cellStyle name="Normal 11 9" xfId="2125" xr:uid="{00000000-0005-0000-0000-00002E090000}"/>
    <cellStyle name="Normal 12" xfId="145" xr:uid="{00000000-0005-0000-0000-00002F090000}"/>
    <cellStyle name="Normal 12 2" xfId="2126" xr:uid="{00000000-0005-0000-0000-000030090000}"/>
    <cellStyle name="Normal 12 2 2" xfId="3972" xr:uid="{00000000-0005-0000-0000-000031090000}"/>
    <cellStyle name="Normal 12 2 2 5" xfId="3973" xr:uid="{00000000-0005-0000-0000-000032090000}"/>
    <cellStyle name="Normal 12 3" xfId="2127" xr:uid="{00000000-0005-0000-0000-000033090000}"/>
    <cellStyle name="Normal 12 4" xfId="2128" xr:uid="{00000000-0005-0000-0000-000034090000}"/>
    <cellStyle name="Normal 12 5" xfId="2129" xr:uid="{00000000-0005-0000-0000-000035090000}"/>
    <cellStyle name="Normal 12 6" xfId="2130" xr:uid="{00000000-0005-0000-0000-000036090000}"/>
    <cellStyle name="Normal 12 7" xfId="2131" xr:uid="{00000000-0005-0000-0000-000037090000}"/>
    <cellStyle name="Normal 13" xfId="2132" xr:uid="{00000000-0005-0000-0000-000038090000}"/>
    <cellStyle name="Normal 13 2" xfId="2133" xr:uid="{00000000-0005-0000-0000-000039090000}"/>
    <cellStyle name="Normal 13 2 2" xfId="3974" xr:uid="{00000000-0005-0000-0000-00003A090000}"/>
    <cellStyle name="Normal 13 3" xfId="2134" xr:uid="{00000000-0005-0000-0000-00003B090000}"/>
    <cellStyle name="Normal 13 4" xfId="2135" xr:uid="{00000000-0005-0000-0000-00003C090000}"/>
    <cellStyle name="Normal 13 5" xfId="2136" xr:uid="{00000000-0005-0000-0000-00003D090000}"/>
    <cellStyle name="Normal 13 6" xfId="2137" xr:uid="{00000000-0005-0000-0000-00003E090000}"/>
    <cellStyle name="Normal 13 7" xfId="2138" xr:uid="{00000000-0005-0000-0000-00003F090000}"/>
    <cellStyle name="Normal 13 8" xfId="2139" xr:uid="{00000000-0005-0000-0000-000040090000}"/>
    <cellStyle name="Normal 13 9" xfId="2140" xr:uid="{00000000-0005-0000-0000-000041090000}"/>
    <cellStyle name="Normal 14" xfId="2141" xr:uid="{00000000-0005-0000-0000-000042090000}"/>
    <cellStyle name="Normal 14 2" xfId="2142" xr:uid="{00000000-0005-0000-0000-000043090000}"/>
    <cellStyle name="Normal 14 2 2" xfId="3975" xr:uid="{00000000-0005-0000-0000-000044090000}"/>
    <cellStyle name="Normal 14 3" xfId="2143" xr:uid="{00000000-0005-0000-0000-000045090000}"/>
    <cellStyle name="Normal 14 4" xfId="2144" xr:uid="{00000000-0005-0000-0000-000046090000}"/>
    <cellStyle name="Normal 14 5" xfId="2145" xr:uid="{00000000-0005-0000-0000-000047090000}"/>
    <cellStyle name="Normal 14 6" xfId="2146" xr:uid="{00000000-0005-0000-0000-000048090000}"/>
    <cellStyle name="Normal 14 7" xfId="2147" xr:uid="{00000000-0005-0000-0000-000049090000}"/>
    <cellStyle name="Normal 14 8" xfId="2148" xr:uid="{00000000-0005-0000-0000-00004A090000}"/>
    <cellStyle name="Normal 14 9" xfId="2149" xr:uid="{00000000-0005-0000-0000-00004B090000}"/>
    <cellStyle name="Normal 15" xfId="2150" xr:uid="{00000000-0005-0000-0000-00004C090000}"/>
    <cellStyle name="Normal 15 2" xfId="2151" xr:uid="{00000000-0005-0000-0000-00004D090000}"/>
    <cellStyle name="Normal 15 2 2" xfId="3976" xr:uid="{00000000-0005-0000-0000-00004E090000}"/>
    <cellStyle name="Normal 15 3" xfId="2152" xr:uid="{00000000-0005-0000-0000-00004F090000}"/>
    <cellStyle name="Normal 15 4" xfId="2153" xr:uid="{00000000-0005-0000-0000-000050090000}"/>
    <cellStyle name="Normal 15 5" xfId="2154" xr:uid="{00000000-0005-0000-0000-000051090000}"/>
    <cellStyle name="Normal 15 6" xfId="2155" xr:uid="{00000000-0005-0000-0000-000052090000}"/>
    <cellStyle name="Normal 15 7" xfId="2156" xr:uid="{00000000-0005-0000-0000-000053090000}"/>
    <cellStyle name="Normal 16" xfId="2157" xr:uid="{00000000-0005-0000-0000-000054090000}"/>
    <cellStyle name="Normal 16 2" xfId="2158" xr:uid="{00000000-0005-0000-0000-000055090000}"/>
    <cellStyle name="Normal 16 2 2" xfId="3977" xr:uid="{00000000-0005-0000-0000-000056090000}"/>
    <cellStyle name="Normal 16 3" xfId="2159" xr:uid="{00000000-0005-0000-0000-000057090000}"/>
    <cellStyle name="Normal 16 4" xfId="3978" xr:uid="{00000000-0005-0000-0000-000058090000}"/>
    <cellStyle name="Normal 17" xfId="2160" xr:uid="{00000000-0005-0000-0000-000059090000}"/>
    <cellStyle name="Normal 17 2" xfId="2161" xr:uid="{00000000-0005-0000-0000-00005A090000}"/>
    <cellStyle name="Normal 17 2 2" xfId="3979" xr:uid="{00000000-0005-0000-0000-00005B090000}"/>
    <cellStyle name="Normal 17 3" xfId="2162" xr:uid="{00000000-0005-0000-0000-00005C090000}"/>
    <cellStyle name="Normal 17 4" xfId="3980" xr:uid="{00000000-0005-0000-0000-00005D090000}"/>
    <cellStyle name="Normal 18" xfId="2163" xr:uid="{00000000-0005-0000-0000-00005E090000}"/>
    <cellStyle name="Normal 18 2" xfId="2164" xr:uid="{00000000-0005-0000-0000-00005F090000}"/>
    <cellStyle name="Normal 18 2 2" xfId="3981" xr:uid="{00000000-0005-0000-0000-000060090000}"/>
    <cellStyle name="Normal 18 3" xfId="2165" xr:uid="{00000000-0005-0000-0000-000061090000}"/>
    <cellStyle name="Normal 18 4" xfId="2166" xr:uid="{00000000-0005-0000-0000-000062090000}"/>
    <cellStyle name="Normal 18 5" xfId="2167" xr:uid="{00000000-0005-0000-0000-000063090000}"/>
    <cellStyle name="Normal 18 6" xfId="2168" xr:uid="{00000000-0005-0000-0000-000064090000}"/>
    <cellStyle name="Normal 18 7" xfId="2169" xr:uid="{00000000-0005-0000-0000-000065090000}"/>
    <cellStyle name="Normal 18 8" xfId="2170" xr:uid="{00000000-0005-0000-0000-000066090000}"/>
    <cellStyle name="Normal 18 9" xfId="2171" xr:uid="{00000000-0005-0000-0000-000067090000}"/>
    <cellStyle name="Normal 19" xfId="2172" xr:uid="{00000000-0005-0000-0000-000068090000}"/>
    <cellStyle name="Normal 19 2" xfId="2173" xr:uid="{00000000-0005-0000-0000-000069090000}"/>
    <cellStyle name="Normal 19 3" xfId="2174" xr:uid="{00000000-0005-0000-0000-00006A090000}"/>
    <cellStyle name="Normal 19 4" xfId="3982" xr:uid="{00000000-0005-0000-0000-00006B090000}"/>
    <cellStyle name="Normal 2" xfId="123" xr:uid="{00000000-0005-0000-0000-00006C090000}"/>
    <cellStyle name="Normal 2 10" xfId="144" xr:uid="{00000000-0005-0000-0000-00006D090000}"/>
    <cellStyle name="Normal 2 10 2" xfId="2175" xr:uid="{00000000-0005-0000-0000-00006E090000}"/>
    <cellStyle name="Normal 2 10 2 2" xfId="2176" xr:uid="{00000000-0005-0000-0000-00006F090000}"/>
    <cellStyle name="Normal 2 10 3" xfId="2177" xr:uid="{00000000-0005-0000-0000-000070090000}"/>
    <cellStyle name="Normal 2 10 3 2" xfId="2178" xr:uid="{00000000-0005-0000-0000-000071090000}"/>
    <cellStyle name="Normal 2 10 4" xfId="2179" xr:uid="{00000000-0005-0000-0000-000072090000}"/>
    <cellStyle name="Normal 2 10 4 2" xfId="2180" xr:uid="{00000000-0005-0000-0000-000073090000}"/>
    <cellStyle name="Normal 2 10 5" xfId="2181" xr:uid="{00000000-0005-0000-0000-000074090000}"/>
    <cellStyle name="Normal 2 10 5 2" xfId="2182" xr:uid="{00000000-0005-0000-0000-000075090000}"/>
    <cellStyle name="Normal 2 10 6" xfId="2183" xr:uid="{00000000-0005-0000-0000-000076090000}"/>
    <cellStyle name="Normal 2 10 6 2" xfId="2184" xr:uid="{00000000-0005-0000-0000-000077090000}"/>
    <cellStyle name="Normal 2 10 7" xfId="2185" xr:uid="{00000000-0005-0000-0000-000078090000}"/>
    <cellStyle name="Normal 2 10 7 2" xfId="2186" xr:uid="{00000000-0005-0000-0000-000079090000}"/>
    <cellStyle name="Normal 2 10 8" xfId="2187" xr:uid="{00000000-0005-0000-0000-00007A090000}"/>
    <cellStyle name="Normal 2 11" xfId="2188" xr:uid="{00000000-0005-0000-0000-00007B090000}"/>
    <cellStyle name="Normal 2 11 2" xfId="2189" xr:uid="{00000000-0005-0000-0000-00007C090000}"/>
    <cellStyle name="Normal 2 11 2 2" xfId="2190" xr:uid="{00000000-0005-0000-0000-00007D090000}"/>
    <cellStyle name="Normal 2 11 3" xfId="2191" xr:uid="{00000000-0005-0000-0000-00007E090000}"/>
    <cellStyle name="Normal 2 11 3 2" xfId="2192" xr:uid="{00000000-0005-0000-0000-00007F090000}"/>
    <cellStyle name="Normal 2 11 4" xfId="2193" xr:uid="{00000000-0005-0000-0000-000080090000}"/>
    <cellStyle name="Normal 2 11 4 2" xfId="2194" xr:uid="{00000000-0005-0000-0000-000081090000}"/>
    <cellStyle name="Normal 2 11 5" xfId="2195" xr:uid="{00000000-0005-0000-0000-000082090000}"/>
    <cellStyle name="Normal 2 11 5 2" xfId="2196" xr:uid="{00000000-0005-0000-0000-000083090000}"/>
    <cellStyle name="Normal 2 11 6" xfId="2197" xr:uid="{00000000-0005-0000-0000-000084090000}"/>
    <cellStyle name="Normal 2 11 6 2" xfId="2198" xr:uid="{00000000-0005-0000-0000-000085090000}"/>
    <cellStyle name="Normal 2 11 7" xfId="2199" xr:uid="{00000000-0005-0000-0000-000086090000}"/>
    <cellStyle name="Normal 2 11 7 2" xfId="2200" xr:uid="{00000000-0005-0000-0000-000087090000}"/>
    <cellStyle name="Normal 2 11 8" xfId="2201" xr:uid="{00000000-0005-0000-0000-000088090000}"/>
    <cellStyle name="Normal 2 12" xfId="2202" xr:uid="{00000000-0005-0000-0000-000089090000}"/>
    <cellStyle name="Normal 2 12 2" xfId="2203" xr:uid="{00000000-0005-0000-0000-00008A090000}"/>
    <cellStyle name="Normal 2 12 2 2" xfId="2204" xr:uid="{00000000-0005-0000-0000-00008B090000}"/>
    <cellStyle name="Normal 2 12 3" xfId="2205" xr:uid="{00000000-0005-0000-0000-00008C090000}"/>
    <cellStyle name="Normal 2 12 3 2" xfId="2206" xr:uid="{00000000-0005-0000-0000-00008D090000}"/>
    <cellStyle name="Normal 2 12 4" xfId="2207" xr:uid="{00000000-0005-0000-0000-00008E090000}"/>
    <cellStyle name="Normal 2 12 4 2" xfId="2208" xr:uid="{00000000-0005-0000-0000-00008F090000}"/>
    <cellStyle name="Normal 2 12 5" xfId="2209" xr:uid="{00000000-0005-0000-0000-000090090000}"/>
    <cellStyle name="Normal 2 12 5 2" xfId="2210" xr:uid="{00000000-0005-0000-0000-000091090000}"/>
    <cellStyle name="Normal 2 12 6" xfId="2211" xr:uid="{00000000-0005-0000-0000-000092090000}"/>
    <cellStyle name="Normal 2 12 6 2" xfId="2212" xr:uid="{00000000-0005-0000-0000-000093090000}"/>
    <cellStyle name="Normal 2 12 7" xfId="2213" xr:uid="{00000000-0005-0000-0000-000094090000}"/>
    <cellStyle name="Normal 2 12 7 2" xfId="2214" xr:uid="{00000000-0005-0000-0000-000095090000}"/>
    <cellStyle name="Normal 2 12 8" xfId="2215" xr:uid="{00000000-0005-0000-0000-000096090000}"/>
    <cellStyle name="Normal 2 13" xfId="2216" xr:uid="{00000000-0005-0000-0000-000097090000}"/>
    <cellStyle name="Normal 2 13 2" xfId="2217" xr:uid="{00000000-0005-0000-0000-000098090000}"/>
    <cellStyle name="Normal 2 13 2 2" xfId="2218" xr:uid="{00000000-0005-0000-0000-000099090000}"/>
    <cellStyle name="Normal 2 13 3" xfId="2219" xr:uid="{00000000-0005-0000-0000-00009A090000}"/>
    <cellStyle name="Normal 2 13 3 2" xfId="2220" xr:uid="{00000000-0005-0000-0000-00009B090000}"/>
    <cellStyle name="Normal 2 13 4" xfId="2221" xr:uid="{00000000-0005-0000-0000-00009C090000}"/>
    <cellStyle name="Normal 2 13 4 2" xfId="2222" xr:uid="{00000000-0005-0000-0000-00009D090000}"/>
    <cellStyle name="Normal 2 13 5" xfId="2223" xr:uid="{00000000-0005-0000-0000-00009E090000}"/>
    <cellStyle name="Normal 2 13 5 2" xfId="2224" xr:uid="{00000000-0005-0000-0000-00009F090000}"/>
    <cellStyle name="Normal 2 13 6" xfId="2225" xr:uid="{00000000-0005-0000-0000-0000A0090000}"/>
    <cellStyle name="Normal 2 13 6 2" xfId="2226" xr:uid="{00000000-0005-0000-0000-0000A1090000}"/>
    <cellStyle name="Normal 2 13 7" xfId="2227" xr:uid="{00000000-0005-0000-0000-0000A2090000}"/>
    <cellStyle name="Normal 2 13 7 2" xfId="2228" xr:uid="{00000000-0005-0000-0000-0000A3090000}"/>
    <cellStyle name="Normal 2 13 8" xfId="2229" xr:uid="{00000000-0005-0000-0000-0000A4090000}"/>
    <cellStyle name="Normal 2 14" xfId="2230" xr:uid="{00000000-0005-0000-0000-0000A5090000}"/>
    <cellStyle name="Normal 2 14 2" xfId="2231" xr:uid="{00000000-0005-0000-0000-0000A6090000}"/>
    <cellStyle name="Normal 2 15" xfId="2232" xr:uid="{00000000-0005-0000-0000-0000A7090000}"/>
    <cellStyle name="Normal 2 15 2" xfId="2233" xr:uid="{00000000-0005-0000-0000-0000A8090000}"/>
    <cellStyle name="Normal 2 16" xfId="2234" xr:uid="{00000000-0005-0000-0000-0000A9090000}"/>
    <cellStyle name="Normal 2 16 2" xfId="2235" xr:uid="{00000000-0005-0000-0000-0000AA090000}"/>
    <cellStyle name="Normal 2 17" xfId="2236" xr:uid="{00000000-0005-0000-0000-0000AB090000}"/>
    <cellStyle name="Normal 2 17 2" xfId="2237" xr:uid="{00000000-0005-0000-0000-0000AC090000}"/>
    <cellStyle name="Normal 2 18" xfId="2238" xr:uid="{00000000-0005-0000-0000-0000AD090000}"/>
    <cellStyle name="Normal 2 19" xfId="2239" xr:uid="{00000000-0005-0000-0000-0000AE090000}"/>
    <cellStyle name="Normal 2 2" xfId="2240" xr:uid="{00000000-0005-0000-0000-0000AF090000}"/>
    <cellStyle name="Normal 2 2 10" xfId="2241" xr:uid="{00000000-0005-0000-0000-0000B0090000}"/>
    <cellStyle name="Normal 2 2 11" xfId="2242" xr:uid="{00000000-0005-0000-0000-0000B1090000}"/>
    <cellStyle name="Normal 2 2 12" xfId="2243" xr:uid="{00000000-0005-0000-0000-0000B2090000}"/>
    <cellStyle name="Normal 2 2 13" xfId="2244" xr:uid="{00000000-0005-0000-0000-0000B3090000}"/>
    <cellStyle name="Normal 2 2 14" xfId="2245" xr:uid="{00000000-0005-0000-0000-0000B4090000}"/>
    <cellStyle name="Normal 2 2 15" xfId="2246" xr:uid="{00000000-0005-0000-0000-0000B5090000}"/>
    <cellStyle name="Normal 2 2 16" xfId="2247" xr:uid="{00000000-0005-0000-0000-0000B6090000}"/>
    <cellStyle name="Normal 2 2 17" xfId="2248" xr:uid="{00000000-0005-0000-0000-0000B7090000}"/>
    <cellStyle name="Normal 2 2 18" xfId="2249" xr:uid="{00000000-0005-0000-0000-0000B8090000}"/>
    <cellStyle name="Normal 2 2 19" xfId="2250" xr:uid="{00000000-0005-0000-0000-0000B9090000}"/>
    <cellStyle name="Normal 2 2 2" xfId="2251" xr:uid="{00000000-0005-0000-0000-0000BA090000}"/>
    <cellStyle name="Normal 2 2 2 10" xfId="2252" xr:uid="{00000000-0005-0000-0000-0000BB090000}"/>
    <cellStyle name="Normal 2 2 2 11" xfId="2253" xr:uid="{00000000-0005-0000-0000-0000BC090000}"/>
    <cellStyle name="Normal 2 2 2 12" xfId="2254" xr:uid="{00000000-0005-0000-0000-0000BD090000}"/>
    <cellStyle name="Normal 2 2 2 13" xfId="2255" xr:uid="{00000000-0005-0000-0000-0000BE090000}"/>
    <cellStyle name="Normal 2 2 2 14" xfId="2256" xr:uid="{00000000-0005-0000-0000-0000BF090000}"/>
    <cellStyle name="Normal 2 2 2 15" xfId="2257" xr:uid="{00000000-0005-0000-0000-0000C0090000}"/>
    <cellStyle name="Normal 2 2 2 16" xfId="2258" xr:uid="{00000000-0005-0000-0000-0000C1090000}"/>
    <cellStyle name="Normal 2 2 2 17" xfId="2259" xr:uid="{00000000-0005-0000-0000-0000C2090000}"/>
    <cellStyle name="Normal 2 2 2 18" xfId="2260" xr:uid="{00000000-0005-0000-0000-0000C3090000}"/>
    <cellStyle name="Normal 2 2 2 19" xfId="2261" xr:uid="{00000000-0005-0000-0000-0000C4090000}"/>
    <cellStyle name="Normal 2 2 2 2" xfId="2262" xr:uid="{00000000-0005-0000-0000-0000C5090000}"/>
    <cellStyle name="Normal 2 2 2 2 10" xfId="2263" xr:uid="{00000000-0005-0000-0000-0000C6090000}"/>
    <cellStyle name="Normal 2 2 2 2 11" xfId="2264" xr:uid="{00000000-0005-0000-0000-0000C7090000}"/>
    <cellStyle name="Normal 2 2 2 2 12" xfId="2265" xr:uid="{00000000-0005-0000-0000-0000C8090000}"/>
    <cellStyle name="Normal 2 2 2 2 13" xfId="2266" xr:uid="{00000000-0005-0000-0000-0000C9090000}"/>
    <cellStyle name="Normal 2 2 2 2 14" xfId="2267" xr:uid="{00000000-0005-0000-0000-0000CA090000}"/>
    <cellStyle name="Normal 2 2 2 2 15" xfId="2268" xr:uid="{00000000-0005-0000-0000-0000CB090000}"/>
    <cellStyle name="Normal 2 2 2 2 15 2" xfId="2269" xr:uid="{00000000-0005-0000-0000-0000CC090000}"/>
    <cellStyle name="Normal 2 2 2 2 15 3" xfId="2270" xr:uid="{00000000-0005-0000-0000-0000CD090000}"/>
    <cellStyle name="Normal 2 2 2 2 16" xfId="2271" xr:uid="{00000000-0005-0000-0000-0000CE090000}"/>
    <cellStyle name="Normal 2 2 2 2 17" xfId="2272" xr:uid="{00000000-0005-0000-0000-0000CF090000}"/>
    <cellStyle name="Normal 2 2 2 2 18" xfId="2273" xr:uid="{00000000-0005-0000-0000-0000D0090000}"/>
    <cellStyle name="Normal 2 2 2 2 18 2" xfId="2274" xr:uid="{00000000-0005-0000-0000-0000D1090000}"/>
    <cellStyle name="Normal 2 2 2 2 18 3" xfId="2275" xr:uid="{00000000-0005-0000-0000-0000D2090000}"/>
    <cellStyle name="Normal 2 2 2 2 19" xfId="2276" xr:uid="{00000000-0005-0000-0000-0000D3090000}"/>
    <cellStyle name="Normal 2 2 2 2 19 2" xfId="2277" xr:uid="{00000000-0005-0000-0000-0000D4090000}"/>
    <cellStyle name="Normal 2 2 2 2 19 3" xfId="2278" xr:uid="{00000000-0005-0000-0000-0000D5090000}"/>
    <cellStyle name="Normal 2 2 2 2 2" xfId="2279" xr:uid="{00000000-0005-0000-0000-0000D6090000}"/>
    <cellStyle name="Normal 2 2 2 2 2 10" xfId="2280" xr:uid="{00000000-0005-0000-0000-0000D7090000}"/>
    <cellStyle name="Normal 2 2 2 2 2 11" xfId="2281" xr:uid="{00000000-0005-0000-0000-0000D8090000}"/>
    <cellStyle name="Normal 2 2 2 2 2 2" xfId="2282" xr:uid="{00000000-0005-0000-0000-0000D9090000}"/>
    <cellStyle name="Normal 2 2 2 2 2 2 2" xfId="2283" xr:uid="{00000000-0005-0000-0000-0000DA090000}"/>
    <cellStyle name="Normal 2 2 2 2 2 2 3" xfId="2284" xr:uid="{00000000-0005-0000-0000-0000DB090000}"/>
    <cellStyle name="Normal 2 2 2 2 2 2 4" xfId="2285" xr:uid="{00000000-0005-0000-0000-0000DC090000}"/>
    <cellStyle name="Normal 2 2 2 2 2 2 5" xfId="2286" xr:uid="{00000000-0005-0000-0000-0000DD090000}"/>
    <cellStyle name="Normal 2 2 2 2 2 2 6" xfId="2287" xr:uid="{00000000-0005-0000-0000-0000DE090000}"/>
    <cellStyle name="Normal 2 2 2 2 2 2 7" xfId="2288" xr:uid="{00000000-0005-0000-0000-0000DF090000}"/>
    <cellStyle name="Normal 2 2 2 2 2 2 8" xfId="2289" xr:uid="{00000000-0005-0000-0000-0000E0090000}"/>
    <cellStyle name="Normal 2 2 2 2 2 2 9" xfId="2290" xr:uid="{00000000-0005-0000-0000-0000E1090000}"/>
    <cellStyle name="Normal 2 2 2 2 2 3" xfId="2291" xr:uid="{00000000-0005-0000-0000-0000E2090000}"/>
    <cellStyle name="Normal 2 2 2 2 2 4" xfId="2292" xr:uid="{00000000-0005-0000-0000-0000E3090000}"/>
    <cellStyle name="Normal 2 2 2 2 2 5" xfId="2293" xr:uid="{00000000-0005-0000-0000-0000E4090000}"/>
    <cellStyle name="Normal 2 2 2 2 2 5 2" xfId="2294" xr:uid="{00000000-0005-0000-0000-0000E5090000}"/>
    <cellStyle name="Normal 2 2 2 2 2 5 3" xfId="2295" xr:uid="{00000000-0005-0000-0000-0000E6090000}"/>
    <cellStyle name="Normal 2 2 2 2 2 6" xfId="2296" xr:uid="{00000000-0005-0000-0000-0000E7090000}"/>
    <cellStyle name="Normal 2 2 2 2 2 6 2" xfId="2297" xr:uid="{00000000-0005-0000-0000-0000E8090000}"/>
    <cellStyle name="Normal 2 2 2 2 2 6 3" xfId="2298" xr:uid="{00000000-0005-0000-0000-0000E9090000}"/>
    <cellStyle name="Normal 2 2 2 2 2 7" xfId="2299" xr:uid="{00000000-0005-0000-0000-0000EA090000}"/>
    <cellStyle name="Normal 2 2 2 2 2 7 2" xfId="2300" xr:uid="{00000000-0005-0000-0000-0000EB090000}"/>
    <cellStyle name="Normal 2 2 2 2 2 7 3" xfId="2301" xr:uid="{00000000-0005-0000-0000-0000EC090000}"/>
    <cellStyle name="Normal 2 2 2 2 2 8" xfId="2302" xr:uid="{00000000-0005-0000-0000-0000ED090000}"/>
    <cellStyle name="Normal 2 2 2 2 2 8 2" xfId="2303" xr:uid="{00000000-0005-0000-0000-0000EE090000}"/>
    <cellStyle name="Normal 2 2 2 2 2 8 3" xfId="2304" xr:uid="{00000000-0005-0000-0000-0000EF090000}"/>
    <cellStyle name="Normal 2 2 2 2 2 9" xfId="2305" xr:uid="{00000000-0005-0000-0000-0000F0090000}"/>
    <cellStyle name="Normal 2 2 2 2 2 9 2" xfId="2306" xr:uid="{00000000-0005-0000-0000-0000F1090000}"/>
    <cellStyle name="Normal 2 2 2 2 2 9 3" xfId="2307" xr:uid="{00000000-0005-0000-0000-0000F2090000}"/>
    <cellStyle name="Normal 2 2 2 2 20" xfId="2308" xr:uid="{00000000-0005-0000-0000-0000F3090000}"/>
    <cellStyle name="Normal 2 2 2 2 20 2" xfId="2309" xr:uid="{00000000-0005-0000-0000-0000F4090000}"/>
    <cellStyle name="Normal 2 2 2 2 20 3" xfId="2310" xr:uid="{00000000-0005-0000-0000-0000F5090000}"/>
    <cellStyle name="Normal 2 2 2 2 21" xfId="2311" xr:uid="{00000000-0005-0000-0000-0000F6090000}"/>
    <cellStyle name="Normal 2 2 2 2 21 2" xfId="2312" xr:uid="{00000000-0005-0000-0000-0000F7090000}"/>
    <cellStyle name="Normal 2 2 2 2 21 3" xfId="2313" xr:uid="{00000000-0005-0000-0000-0000F8090000}"/>
    <cellStyle name="Normal 2 2 2 2 22" xfId="2314" xr:uid="{00000000-0005-0000-0000-0000F9090000}"/>
    <cellStyle name="Normal 2 2 2 2 23" xfId="2315" xr:uid="{00000000-0005-0000-0000-0000FA090000}"/>
    <cellStyle name="Normal 2 2 2 2 24" xfId="2316" xr:uid="{00000000-0005-0000-0000-0000FB090000}"/>
    <cellStyle name="Normal 2 2 2 2 3" xfId="2317" xr:uid="{00000000-0005-0000-0000-0000FC090000}"/>
    <cellStyle name="Normal 2 2 2 2 4" xfId="2318" xr:uid="{00000000-0005-0000-0000-0000FD090000}"/>
    <cellStyle name="Normal 2 2 2 2 5" xfId="2319" xr:uid="{00000000-0005-0000-0000-0000FE090000}"/>
    <cellStyle name="Normal 2 2 2 2 6" xfId="2320" xr:uid="{00000000-0005-0000-0000-0000FF090000}"/>
    <cellStyle name="Normal 2 2 2 2 7" xfId="2321" xr:uid="{00000000-0005-0000-0000-0000000A0000}"/>
    <cellStyle name="Normal 2 2 2 2 8" xfId="2322" xr:uid="{00000000-0005-0000-0000-0000010A0000}"/>
    <cellStyle name="Normal 2 2 2 2 9" xfId="2323" xr:uid="{00000000-0005-0000-0000-0000020A0000}"/>
    <cellStyle name="Normal 2 2 2 20" xfId="2324" xr:uid="{00000000-0005-0000-0000-0000030A0000}"/>
    <cellStyle name="Normal 2 2 2 20 2" xfId="2325" xr:uid="{00000000-0005-0000-0000-0000040A0000}"/>
    <cellStyle name="Normal 2 2 2 20 3" xfId="2326" xr:uid="{00000000-0005-0000-0000-0000050A0000}"/>
    <cellStyle name="Normal 2 2 2 21" xfId="2327" xr:uid="{00000000-0005-0000-0000-0000060A0000}"/>
    <cellStyle name="Normal 2 2 2 22" xfId="2328" xr:uid="{00000000-0005-0000-0000-0000070A0000}"/>
    <cellStyle name="Normal 2 2 2 23" xfId="2329" xr:uid="{00000000-0005-0000-0000-0000080A0000}"/>
    <cellStyle name="Normal 2 2 2 23 2" xfId="2330" xr:uid="{00000000-0005-0000-0000-0000090A0000}"/>
    <cellStyle name="Normal 2 2 2 23 3" xfId="2331" xr:uid="{00000000-0005-0000-0000-00000A0A0000}"/>
    <cellStyle name="Normal 2 2 2 24" xfId="2332" xr:uid="{00000000-0005-0000-0000-00000B0A0000}"/>
    <cellStyle name="Normal 2 2 2 24 2" xfId="2333" xr:uid="{00000000-0005-0000-0000-00000C0A0000}"/>
    <cellStyle name="Normal 2 2 2 24 3" xfId="2334" xr:uid="{00000000-0005-0000-0000-00000D0A0000}"/>
    <cellStyle name="Normal 2 2 2 25" xfId="2335" xr:uid="{00000000-0005-0000-0000-00000E0A0000}"/>
    <cellStyle name="Normal 2 2 2 25 2" xfId="2336" xr:uid="{00000000-0005-0000-0000-00000F0A0000}"/>
    <cellStyle name="Normal 2 2 2 25 3" xfId="2337" xr:uid="{00000000-0005-0000-0000-0000100A0000}"/>
    <cellStyle name="Normal 2 2 2 26" xfId="2338" xr:uid="{00000000-0005-0000-0000-0000110A0000}"/>
    <cellStyle name="Normal 2 2 2 26 2" xfId="2339" xr:uid="{00000000-0005-0000-0000-0000120A0000}"/>
    <cellStyle name="Normal 2 2 2 26 3" xfId="2340" xr:uid="{00000000-0005-0000-0000-0000130A0000}"/>
    <cellStyle name="Normal 2 2 2 27" xfId="2341" xr:uid="{00000000-0005-0000-0000-0000140A0000}"/>
    <cellStyle name="Normal 2 2 2 28" xfId="2342" xr:uid="{00000000-0005-0000-0000-0000150A0000}"/>
    <cellStyle name="Normal 2 2 2 29" xfId="2343" xr:uid="{00000000-0005-0000-0000-0000160A0000}"/>
    <cellStyle name="Normal 2 2 2 3" xfId="2344" xr:uid="{00000000-0005-0000-0000-0000170A0000}"/>
    <cellStyle name="Normal 2 2 2 3 2" xfId="2345" xr:uid="{00000000-0005-0000-0000-0000180A0000}"/>
    <cellStyle name="Normal 2 2 2 3 3" xfId="3983" xr:uid="{00000000-0005-0000-0000-0000190A0000}"/>
    <cellStyle name="Normal 2 2 2 30" xfId="2346" xr:uid="{00000000-0005-0000-0000-00001A0A0000}"/>
    <cellStyle name="Normal 2 2 2 31" xfId="2347" xr:uid="{00000000-0005-0000-0000-00001B0A0000}"/>
    <cellStyle name="Normal 2 2 2 4" xfId="2348" xr:uid="{00000000-0005-0000-0000-00001C0A0000}"/>
    <cellStyle name="Normal 2 2 2 4 2" xfId="2349" xr:uid="{00000000-0005-0000-0000-00001D0A0000}"/>
    <cellStyle name="Normal 2 2 2 5" xfId="2350" xr:uid="{00000000-0005-0000-0000-00001E0A0000}"/>
    <cellStyle name="Normal 2 2 2 5 2" xfId="2351" xr:uid="{00000000-0005-0000-0000-00001F0A0000}"/>
    <cellStyle name="Normal 2 2 2 6" xfId="2352" xr:uid="{00000000-0005-0000-0000-0000200A0000}"/>
    <cellStyle name="Normal 2 2 2 6 2" xfId="2353" xr:uid="{00000000-0005-0000-0000-0000210A0000}"/>
    <cellStyle name="Normal 2 2 2 7" xfId="2354" xr:uid="{00000000-0005-0000-0000-0000220A0000}"/>
    <cellStyle name="Normal 2 2 2 7 2" xfId="2355" xr:uid="{00000000-0005-0000-0000-0000230A0000}"/>
    <cellStyle name="Normal 2 2 2 8" xfId="2356" xr:uid="{00000000-0005-0000-0000-0000240A0000}"/>
    <cellStyle name="Normal 2 2 2 8 10" xfId="2357" xr:uid="{00000000-0005-0000-0000-0000250A0000}"/>
    <cellStyle name="Normal 2 2 2 8 11" xfId="2358" xr:uid="{00000000-0005-0000-0000-0000260A0000}"/>
    <cellStyle name="Normal 2 2 2 8 2" xfId="2359" xr:uid="{00000000-0005-0000-0000-0000270A0000}"/>
    <cellStyle name="Normal 2 2 2 8 2 2" xfId="2360" xr:uid="{00000000-0005-0000-0000-0000280A0000}"/>
    <cellStyle name="Normal 2 2 2 8 2 3" xfId="2361" xr:uid="{00000000-0005-0000-0000-0000290A0000}"/>
    <cellStyle name="Normal 2 2 2 8 2 4" xfId="2362" xr:uid="{00000000-0005-0000-0000-00002A0A0000}"/>
    <cellStyle name="Normal 2 2 2 8 2 5" xfId="2363" xr:uid="{00000000-0005-0000-0000-00002B0A0000}"/>
    <cellStyle name="Normal 2 2 2 8 2 6" xfId="2364" xr:uid="{00000000-0005-0000-0000-00002C0A0000}"/>
    <cellStyle name="Normal 2 2 2 8 2 7" xfId="2365" xr:uid="{00000000-0005-0000-0000-00002D0A0000}"/>
    <cellStyle name="Normal 2 2 2 8 2 8" xfId="2366" xr:uid="{00000000-0005-0000-0000-00002E0A0000}"/>
    <cellStyle name="Normal 2 2 2 8 2 9" xfId="2367" xr:uid="{00000000-0005-0000-0000-00002F0A0000}"/>
    <cellStyle name="Normal 2 2 2 8 3" xfId="2368" xr:uid="{00000000-0005-0000-0000-0000300A0000}"/>
    <cellStyle name="Normal 2 2 2 8 4" xfId="2369" xr:uid="{00000000-0005-0000-0000-0000310A0000}"/>
    <cellStyle name="Normal 2 2 2 8 5" xfId="2370" xr:uid="{00000000-0005-0000-0000-0000320A0000}"/>
    <cellStyle name="Normal 2 2 2 8 5 2" xfId="2371" xr:uid="{00000000-0005-0000-0000-0000330A0000}"/>
    <cellStyle name="Normal 2 2 2 8 5 3" xfId="2372" xr:uid="{00000000-0005-0000-0000-0000340A0000}"/>
    <cellStyle name="Normal 2 2 2 8 6" xfId="2373" xr:uid="{00000000-0005-0000-0000-0000350A0000}"/>
    <cellStyle name="Normal 2 2 2 8 6 2" xfId="2374" xr:uid="{00000000-0005-0000-0000-0000360A0000}"/>
    <cellStyle name="Normal 2 2 2 8 6 3" xfId="2375" xr:uid="{00000000-0005-0000-0000-0000370A0000}"/>
    <cellStyle name="Normal 2 2 2 8 7" xfId="2376" xr:uid="{00000000-0005-0000-0000-0000380A0000}"/>
    <cellStyle name="Normal 2 2 2 8 7 2" xfId="2377" xr:uid="{00000000-0005-0000-0000-0000390A0000}"/>
    <cellStyle name="Normal 2 2 2 8 7 3" xfId="2378" xr:uid="{00000000-0005-0000-0000-00003A0A0000}"/>
    <cellStyle name="Normal 2 2 2 8 8" xfId="2379" xr:uid="{00000000-0005-0000-0000-00003B0A0000}"/>
    <cellStyle name="Normal 2 2 2 8 8 2" xfId="2380" xr:uid="{00000000-0005-0000-0000-00003C0A0000}"/>
    <cellStyle name="Normal 2 2 2 8 8 3" xfId="2381" xr:uid="{00000000-0005-0000-0000-00003D0A0000}"/>
    <cellStyle name="Normal 2 2 2 8 9" xfId="2382" xr:uid="{00000000-0005-0000-0000-00003E0A0000}"/>
    <cellStyle name="Normal 2 2 2 8 9 2" xfId="2383" xr:uid="{00000000-0005-0000-0000-00003F0A0000}"/>
    <cellStyle name="Normal 2 2 2 8 9 3" xfId="2384" xr:uid="{00000000-0005-0000-0000-0000400A0000}"/>
    <cellStyle name="Normal 2 2 2 9" xfId="2385" xr:uid="{00000000-0005-0000-0000-0000410A0000}"/>
    <cellStyle name="Normal 2 2 20" xfId="2386" xr:uid="{00000000-0005-0000-0000-0000420A0000}"/>
    <cellStyle name="Normal 2 2 20 2" xfId="2387" xr:uid="{00000000-0005-0000-0000-0000430A0000}"/>
    <cellStyle name="Normal 2 2 20 3" xfId="2388" xr:uid="{00000000-0005-0000-0000-0000440A0000}"/>
    <cellStyle name="Normal 2 2 21" xfId="2389" xr:uid="{00000000-0005-0000-0000-0000450A0000}"/>
    <cellStyle name="Normal 2 2 22" xfId="2390" xr:uid="{00000000-0005-0000-0000-0000460A0000}"/>
    <cellStyle name="Normal 2 2 23" xfId="2391" xr:uid="{00000000-0005-0000-0000-0000470A0000}"/>
    <cellStyle name="Normal 2 2 23 2" xfId="2392" xr:uid="{00000000-0005-0000-0000-0000480A0000}"/>
    <cellStyle name="Normal 2 2 23 3" xfId="2393" xr:uid="{00000000-0005-0000-0000-0000490A0000}"/>
    <cellStyle name="Normal 2 2 24" xfId="2394" xr:uid="{00000000-0005-0000-0000-00004A0A0000}"/>
    <cellStyle name="Normal 2 2 24 2" xfId="2395" xr:uid="{00000000-0005-0000-0000-00004B0A0000}"/>
    <cellStyle name="Normal 2 2 24 3" xfId="2396" xr:uid="{00000000-0005-0000-0000-00004C0A0000}"/>
    <cellStyle name="Normal 2 2 25" xfId="2397" xr:uid="{00000000-0005-0000-0000-00004D0A0000}"/>
    <cellStyle name="Normal 2 2 25 2" xfId="2398" xr:uid="{00000000-0005-0000-0000-00004E0A0000}"/>
    <cellStyle name="Normal 2 2 25 3" xfId="2399" xr:uid="{00000000-0005-0000-0000-00004F0A0000}"/>
    <cellStyle name="Normal 2 2 26" xfId="2400" xr:uid="{00000000-0005-0000-0000-0000500A0000}"/>
    <cellStyle name="Normal 2 2 26 2" xfId="2401" xr:uid="{00000000-0005-0000-0000-0000510A0000}"/>
    <cellStyle name="Normal 2 2 26 3" xfId="2402" xr:uid="{00000000-0005-0000-0000-0000520A0000}"/>
    <cellStyle name="Normal 2 2 27" xfId="2403" xr:uid="{00000000-0005-0000-0000-0000530A0000}"/>
    <cellStyle name="Normal 2 2 28" xfId="2404" xr:uid="{00000000-0005-0000-0000-0000540A0000}"/>
    <cellStyle name="Normal 2 2 29" xfId="2405" xr:uid="{00000000-0005-0000-0000-0000550A0000}"/>
    <cellStyle name="Normal 2 2 3" xfId="2406" xr:uid="{00000000-0005-0000-0000-0000560A0000}"/>
    <cellStyle name="Normal 2 2 3 2" xfId="2407" xr:uid="{00000000-0005-0000-0000-0000570A0000}"/>
    <cellStyle name="Normal 2 2 3 2 2" xfId="3984" xr:uid="{00000000-0005-0000-0000-0000580A0000}"/>
    <cellStyle name="Normal 2 2 3 2 3" xfId="3985" xr:uid="{00000000-0005-0000-0000-0000590A0000}"/>
    <cellStyle name="Normal 2 2 3 3" xfId="3986" xr:uid="{00000000-0005-0000-0000-00005A0A0000}"/>
    <cellStyle name="Normal 2 2 3 4" xfId="3987" xr:uid="{00000000-0005-0000-0000-00005B0A0000}"/>
    <cellStyle name="Normal 2 2 3 5" xfId="3988" xr:uid="{00000000-0005-0000-0000-00005C0A0000}"/>
    <cellStyle name="Normal 2 2 30" xfId="2408" xr:uid="{00000000-0005-0000-0000-00005D0A0000}"/>
    <cellStyle name="Normal 2 2 30 2" xfId="2409" xr:uid="{00000000-0005-0000-0000-00005E0A0000}"/>
    <cellStyle name="Normal 2 2 31" xfId="2410" xr:uid="{00000000-0005-0000-0000-00005F0A0000}"/>
    <cellStyle name="Normal 2 2 32" xfId="4455" xr:uid="{B0139DE3-9187-4C25-9482-F3A86A96C1DB}"/>
    <cellStyle name="Normal 2 2 4" xfId="2411" xr:uid="{00000000-0005-0000-0000-0000600A0000}"/>
    <cellStyle name="Normal 2 2 4 2" xfId="3989" xr:uid="{00000000-0005-0000-0000-0000610A0000}"/>
    <cellStyle name="Normal 2 2 4 3" xfId="3990" xr:uid="{00000000-0005-0000-0000-0000620A0000}"/>
    <cellStyle name="Normal 2 2 4 4" xfId="3991" xr:uid="{00000000-0005-0000-0000-0000630A0000}"/>
    <cellStyle name="Normal 2 2 5" xfId="2412" xr:uid="{00000000-0005-0000-0000-0000640A0000}"/>
    <cellStyle name="Normal 2 2 6" xfId="2413" xr:uid="{00000000-0005-0000-0000-0000650A0000}"/>
    <cellStyle name="Normal 2 2 7" xfId="2414" xr:uid="{00000000-0005-0000-0000-0000660A0000}"/>
    <cellStyle name="Normal 2 2 8" xfId="2415" xr:uid="{00000000-0005-0000-0000-0000670A0000}"/>
    <cellStyle name="Normal 2 2 8 10" xfId="2416" xr:uid="{00000000-0005-0000-0000-0000680A0000}"/>
    <cellStyle name="Normal 2 2 8 11" xfId="2417" xr:uid="{00000000-0005-0000-0000-0000690A0000}"/>
    <cellStyle name="Normal 2 2 8 2" xfId="2418" xr:uid="{00000000-0005-0000-0000-00006A0A0000}"/>
    <cellStyle name="Normal 2 2 8 2 2" xfId="2419" xr:uid="{00000000-0005-0000-0000-00006B0A0000}"/>
    <cellStyle name="Normal 2 2 8 2 3" xfId="2420" xr:uid="{00000000-0005-0000-0000-00006C0A0000}"/>
    <cellStyle name="Normal 2 2 8 2 4" xfId="2421" xr:uid="{00000000-0005-0000-0000-00006D0A0000}"/>
    <cellStyle name="Normal 2 2 8 2 5" xfId="2422" xr:uid="{00000000-0005-0000-0000-00006E0A0000}"/>
    <cellStyle name="Normal 2 2 8 2 6" xfId="2423" xr:uid="{00000000-0005-0000-0000-00006F0A0000}"/>
    <cellStyle name="Normal 2 2 8 2 7" xfId="2424" xr:uid="{00000000-0005-0000-0000-0000700A0000}"/>
    <cellStyle name="Normal 2 2 8 2 8" xfId="2425" xr:uid="{00000000-0005-0000-0000-0000710A0000}"/>
    <cellStyle name="Normal 2 2 8 2 9" xfId="2426" xr:uid="{00000000-0005-0000-0000-0000720A0000}"/>
    <cellStyle name="Normal 2 2 8 3" xfId="2427" xr:uid="{00000000-0005-0000-0000-0000730A0000}"/>
    <cellStyle name="Normal 2 2 8 4" xfId="2428" xr:uid="{00000000-0005-0000-0000-0000740A0000}"/>
    <cellStyle name="Normal 2 2 8 5" xfId="2429" xr:uid="{00000000-0005-0000-0000-0000750A0000}"/>
    <cellStyle name="Normal 2 2 8 5 2" xfId="2430" xr:uid="{00000000-0005-0000-0000-0000760A0000}"/>
    <cellStyle name="Normal 2 2 8 5 3" xfId="2431" xr:uid="{00000000-0005-0000-0000-0000770A0000}"/>
    <cellStyle name="Normal 2 2 8 6" xfId="2432" xr:uid="{00000000-0005-0000-0000-0000780A0000}"/>
    <cellStyle name="Normal 2 2 8 6 2" xfId="2433" xr:uid="{00000000-0005-0000-0000-0000790A0000}"/>
    <cellStyle name="Normal 2 2 8 6 3" xfId="2434" xr:uid="{00000000-0005-0000-0000-00007A0A0000}"/>
    <cellStyle name="Normal 2 2 8 7" xfId="2435" xr:uid="{00000000-0005-0000-0000-00007B0A0000}"/>
    <cellStyle name="Normal 2 2 8 7 2" xfId="2436" xr:uid="{00000000-0005-0000-0000-00007C0A0000}"/>
    <cellStyle name="Normal 2 2 8 7 3" xfId="2437" xr:uid="{00000000-0005-0000-0000-00007D0A0000}"/>
    <cellStyle name="Normal 2 2 8 8" xfId="2438" xr:uid="{00000000-0005-0000-0000-00007E0A0000}"/>
    <cellStyle name="Normal 2 2 8 8 2" xfId="2439" xr:uid="{00000000-0005-0000-0000-00007F0A0000}"/>
    <cellStyle name="Normal 2 2 8 8 3" xfId="2440" xr:uid="{00000000-0005-0000-0000-0000800A0000}"/>
    <cellStyle name="Normal 2 2 8 9" xfId="2441" xr:uid="{00000000-0005-0000-0000-0000810A0000}"/>
    <cellStyle name="Normal 2 2 8 9 2" xfId="2442" xr:uid="{00000000-0005-0000-0000-0000820A0000}"/>
    <cellStyle name="Normal 2 2 8 9 3" xfId="2443" xr:uid="{00000000-0005-0000-0000-0000830A0000}"/>
    <cellStyle name="Normal 2 2 9" xfId="2444" xr:uid="{00000000-0005-0000-0000-0000840A0000}"/>
    <cellStyle name="Normal 2 2_Residential Inputs Inland" xfId="2445" xr:uid="{00000000-0005-0000-0000-0000850A0000}"/>
    <cellStyle name="Normal 2 20" xfId="2446" xr:uid="{00000000-0005-0000-0000-0000860A0000}"/>
    <cellStyle name="Normal 2 21" xfId="2447" xr:uid="{00000000-0005-0000-0000-0000870A0000}"/>
    <cellStyle name="Normal 2 22" xfId="2448" xr:uid="{00000000-0005-0000-0000-0000880A0000}"/>
    <cellStyle name="Normal 2 23" xfId="2449" xr:uid="{00000000-0005-0000-0000-0000890A0000}"/>
    <cellStyle name="Normal 2 24" xfId="2450" xr:uid="{00000000-0005-0000-0000-00008A0A0000}"/>
    <cellStyle name="Normal 2 25" xfId="2451" xr:uid="{00000000-0005-0000-0000-00008B0A0000}"/>
    <cellStyle name="Normal 2 26" xfId="2452" xr:uid="{00000000-0005-0000-0000-00008C0A0000}"/>
    <cellStyle name="Normal 2 27" xfId="2453" xr:uid="{00000000-0005-0000-0000-00008D0A0000}"/>
    <cellStyle name="Normal 2 28" xfId="2454" xr:uid="{00000000-0005-0000-0000-00008E0A0000}"/>
    <cellStyle name="Normal 2 29" xfId="2455" xr:uid="{00000000-0005-0000-0000-00008F0A0000}"/>
    <cellStyle name="Normal 2 3" xfId="2456" xr:uid="{00000000-0005-0000-0000-0000900A0000}"/>
    <cellStyle name="Normal 2 3 2" xfId="2457" xr:uid="{00000000-0005-0000-0000-0000910A0000}"/>
    <cellStyle name="Normal 2 3 2 2" xfId="2458" xr:uid="{00000000-0005-0000-0000-0000920A0000}"/>
    <cellStyle name="Normal 2 3 2 2 2" xfId="2459" xr:uid="{00000000-0005-0000-0000-0000930A0000}"/>
    <cellStyle name="Normal 2 3 2 2 3" xfId="3992" xr:uid="{00000000-0005-0000-0000-0000940A0000}"/>
    <cellStyle name="Normal 2 3 2 3" xfId="2460" xr:uid="{00000000-0005-0000-0000-0000950A0000}"/>
    <cellStyle name="Normal 2 3 2 3 2" xfId="2461" xr:uid="{00000000-0005-0000-0000-0000960A0000}"/>
    <cellStyle name="Normal 2 3 2 4" xfId="2462" xr:uid="{00000000-0005-0000-0000-0000970A0000}"/>
    <cellStyle name="Normal 2 3 2 4 2" xfId="2463" xr:uid="{00000000-0005-0000-0000-0000980A0000}"/>
    <cellStyle name="Normal 2 3 2 5" xfId="2464" xr:uid="{00000000-0005-0000-0000-0000990A0000}"/>
    <cellStyle name="Normal 2 3 2 5 2" xfId="2465" xr:uid="{00000000-0005-0000-0000-00009A0A0000}"/>
    <cellStyle name="Normal 2 3 2 6" xfId="2466" xr:uid="{00000000-0005-0000-0000-00009B0A0000}"/>
    <cellStyle name="Normal 2 3 2 6 2" xfId="2467" xr:uid="{00000000-0005-0000-0000-00009C0A0000}"/>
    <cellStyle name="Normal 2 3 2 7" xfId="2468" xr:uid="{00000000-0005-0000-0000-00009D0A0000}"/>
    <cellStyle name="Normal 2 3 2 7 2" xfId="2469" xr:uid="{00000000-0005-0000-0000-00009E0A0000}"/>
    <cellStyle name="Normal 2 3 2 8" xfId="3993" xr:uid="{00000000-0005-0000-0000-00009F0A0000}"/>
    <cellStyle name="Normal 2 3 3" xfId="2470" xr:uid="{00000000-0005-0000-0000-0000A00A0000}"/>
    <cellStyle name="Normal 2 3 3 2" xfId="3994" xr:uid="{00000000-0005-0000-0000-0000A10A0000}"/>
    <cellStyle name="Normal 2 3 3 3" xfId="3995" xr:uid="{00000000-0005-0000-0000-0000A20A0000}"/>
    <cellStyle name="Normal 2 3 3 4" xfId="3996" xr:uid="{00000000-0005-0000-0000-0000A30A0000}"/>
    <cellStyle name="Normal 2 3 4" xfId="2471" xr:uid="{00000000-0005-0000-0000-0000A40A0000}"/>
    <cellStyle name="Normal 2 3 5" xfId="2472" xr:uid="{00000000-0005-0000-0000-0000A50A0000}"/>
    <cellStyle name="Normal 2 3 6" xfId="2473" xr:uid="{00000000-0005-0000-0000-0000A60A0000}"/>
    <cellStyle name="Normal 2 3 7" xfId="2474" xr:uid="{00000000-0005-0000-0000-0000A70A0000}"/>
    <cellStyle name="Normal 2 3 8" xfId="2475" xr:uid="{00000000-0005-0000-0000-0000A80A0000}"/>
    <cellStyle name="Normal 2 3 9" xfId="4411" xr:uid="{00000000-0005-0000-0000-0000A90A0000}"/>
    <cellStyle name="Normal 2 30" xfId="2476" xr:uid="{00000000-0005-0000-0000-0000AA0A0000}"/>
    <cellStyle name="Normal 2 30 2" xfId="2477" xr:uid="{00000000-0005-0000-0000-0000AB0A0000}"/>
    <cellStyle name="Normal 2 30 3" xfId="2478" xr:uid="{00000000-0005-0000-0000-0000AC0A0000}"/>
    <cellStyle name="Normal 2 31" xfId="2479" xr:uid="{00000000-0005-0000-0000-0000AD0A0000}"/>
    <cellStyle name="Normal 2 32" xfId="2480" xr:uid="{00000000-0005-0000-0000-0000AE0A0000}"/>
    <cellStyle name="Normal 2 33" xfId="2481" xr:uid="{00000000-0005-0000-0000-0000AF0A0000}"/>
    <cellStyle name="Normal 2 34" xfId="2482" xr:uid="{00000000-0005-0000-0000-0000B00A0000}"/>
    <cellStyle name="Normal 2 35" xfId="2483" xr:uid="{00000000-0005-0000-0000-0000B10A0000}"/>
    <cellStyle name="Normal 2 36" xfId="2484" xr:uid="{00000000-0005-0000-0000-0000B20A0000}"/>
    <cellStyle name="Normal 2 37" xfId="2485" xr:uid="{00000000-0005-0000-0000-0000B30A0000}"/>
    <cellStyle name="Normal 2 38" xfId="2486" xr:uid="{00000000-0005-0000-0000-0000B40A0000}"/>
    <cellStyle name="Normal 2 39" xfId="2487" xr:uid="{00000000-0005-0000-0000-0000B50A0000}"/>
    <cellStyle name="Normal 2 4" xfId="2488" xr:uid="{00000000-0005-0000-0000-0000B60A0000}"/>
    <cellStyle name="Normal 2 4 2" xfId="2489" xr:uid="{00000000-0005-0000-0000-0000B70A0000}"/>
    <cellStyle name="Normal 2 4 2 2" xfId="2490" xr:uid="{00000000-0005-0000-0000-0000B80A0000}"/>
    <cellStyle name="Normal 2 4 2 2 2" xfId="2491" xr:uid="{00000000-0005-0000-0000-0000B90A0000}"/>
    <cellStyle name="Normal 2 4 2 3" xfId="2492" xr:uid="{00000000-0005-0000-0000-0000BA0A0000}"/>
    <cellStyle name="Normal 2 4 2 3 2" xfId="2493" xr:uid="{00000000-0005-0000-0000-0000BB0A0000}"/>
    <cellStyle name="Normal 2 4 2 4" xfId="2494" xr:uid="{00000000-0005-0000-0000-0000BC0A0000}"/>
    <cellStyle name="Normal 2 4 2 4 2" xfId="2495" xr:uid="{00000000-0005-0000-0000-0000BD0A0000}"/>
    <cellStyle name="Normal 2 4 2 5" xfId="2496" xr:uid="{00000000-0005-0000-0000-0000BE0A0000}"/>
    <cellStyle name="Normal 2 4 2 5 2" xfId="2497" xr:uid="{00000000-0005-0000-0000-0000BF0A0000}"/>
    <cellStyle name="Normal 2 4 2 6" xfId="2498" xr:uid="{00000000-0005-0000-0000-0000C00A0000}"/>
    <cellStyle name="Normal 2 4 2 6 2" xfId="2499" xr:uid="{00000000-0005-0000-0000-0000C10A0000}"/>
    <cellStyle name="Normal 2 4 2 7" xfId="2500" xr:uid="{00000000-0005-0000-0000-0000C20A0000}"/>
    <cellStyle name="Normal 2 4 2 7 2" xfId="2501" xr:uid="{00000000-0005-0000-0000-0000C30A0000}"/>
    <cellStyle name="Normal 2 4 2 8" xfId="3997" xr:uid="{00000000-0005-0000-0000-0000C40A0000}"/>
    <cellStyle name="Normal 2 4 3" xfId="2502" xr:uid="{00000000-0005-0000-0000-0000C50A0000}"/>
    <cellStyle name="Normal 2 4 4" xfId="2503" xr:uid="{00000000-0005-0000-0000-0000C60A0000}"/>
    <cellStyle name="Normal 2 4 5" xfId="2504" xr:uid="{00000000-0005-0000-0000-0000C70A0000}"/>
    <cellStyle name="Normal 2 4 6" xfId="2505" xr:uid="{00000000-0005-0000-0000-0000C80A0000}"/>
    <cellStyle name="Normal 2 4 7" xfId="2506" xr:uid="{00000000-0005-0000-0000-0000C90A0000}"/>
    <cellStyle name="Normal 2 4 8" xfId="2507" xr:uid="{00000000-0005-0000-0000-0000CA0A0000}"/>
    <cellStyle name="Normal 2 40" xfId="2508" xr:uid="{00000000-0005-0000-0000-0000CB0A0000}"/>
    <cellStyle name="Normal 2 41" xfId="2509" xr:uid="{00000000-0005-0000-0000-0000CC0A0000}"/>
    <cellStyle name="Normal 2 41 2" xfId="2510" xr:uid="{00000000-0005-0000-0000-0000CD0A0000}"/>
    <cellStyle name="Normal 2 42" xfId="2511" xr:uid="{00000000-0005-0000-0000-0000CE0A0000}"/>
    <cellStyle name="Normal 2 43" xfId="2512" xr:uid="{00000000-0005-0000-0000-0000CF0A0000}"/>
    <cellStyle name="Normal 2 44" xfId="140" xr:uid="{00000000-0005-0000-0000-0000D00A0000}"/>
    <cellStyle name="Normal 2 45" xfId="4458" xr:uid="{72CE542C-A81A-450F-8CC1-AB447B24532B}"/>
    <cellStyle name="Normal 2 5" xfId="2513" xr:uid="{00000000-0005-0000-0000-0000D10A0000}"/>
    <cellStyle name="Normal 2 5 2" xfId="2514" xr:uid="{00000000-0005-0000-0000-0000D20A0000}"/>
    <cellStyle name="Normal 2 5 2 2" xfId="2515" xr:uid="{00000000-0005-0000-0000-0000D30A0000}"/>
    <cellStyle name="Normal 2 5 2 2 2" xfId="2516" xr:uid="{00000000-0005-0000-0000-0000D40A0000}"/>
    <cellStyle name="Normal 2 5 2 3" xfId="2517" xr:uid="{00000000-0005-0000-0000-0000D50A0000}"/>
    <cellStyle name="Normal 2 5 2 3 2" xfId="2518" xr:uid="{00000000-0005-0000-0000-0000D60A0000}"/>
    <cellStyle name="Normal 2 5 2 4" xfId="2519" xr:uid="{00000000-0005-0000-0000-0000D70A0000}"/>
    <cellStyle name="Normal 2 5 2 4 2" xfId="2520" xr:uid="{00000000-0005-0000-0000-0000D80A0000}"/>
    <cellStyle name="Normal 2 5 2 5" xfId="2521" xr:uid="{00000000-0005-0000-0000-0000D90A0000}"/>
    <cellStyle name="Normal 2 5 2 5 2" xfId="2522" xr:uid="{00000000-0005-0000-0000-0000DA0A0000}"/>
    <cellStyle name="Normal 2 5 2 6" xfId="2523" xr:uid="{00000000-0005-0000-0000-0000DB0A0000}"/>
    <cellStyle name="Normal 2 5 2 6 2" xfId="2524" xr:uid="{00000000-0005-0000-0000-0000DC0A0000}"/>
    <cellStyle name="Normal 2 5 2 7" xfId="2525" xr:uid="{00000000-0005-0000-0000-0000DD0A0000}"/>
    <cellStyle name="Normal 2 5 2 7 2" xfId="2526" xr:uid="{00000000-0005-0000-0000-0000DE0A0000}"/>
    <cellStyle name="Normal 2 5 3" xfId="2527" xr:uid="{00000000-0005-0000-0000-0000DF0A0000}"/>
    <cellStyle name="Normal 2 5 4" xfId="2528" xr:uid="{00000000-0005-0000-0000-0000E00A0000}"/>
    <cellStyle name="Normal 2 5 5" xfId="2529" xr:uid="{00000000-0005-0000-0000-0000E10A0000}"/>
    <cellStyle name="Normal 2 5 6" xfId="2530" xr:uid="{00000000-0005-0000-0000-0000E20A0000}"/>
    <cellStyle name="Normal 2 5 7" xfId="2531" xr:uid="{00000000-0005-0000-0000-0000E30A0000}"/>
    <cellStyle name="Normal 2 5 8" xfId="2532" xr:uid="{00000000-0005-0000-0000-0000E40A0000}"/>
    <cellStyle name="Normal 2 6" xfId="2533" xr:uid="{00000000-0005-0000-0000-0000E50A0000}"/>
    <cellStyle name="Normal 2 6 2" xfId="2534" xr:uid="{00000000-0005-0000-0000-0000E60A0000}"/>
    <cellStyle name="Normal 2 6 2 2" xfId="2535" xr:uid="{00000000-0005-0000-0000-0000E70A0000}"/>
    <cellStyle name="Normal 2 6 2 2 2" xfId="2536" xr:uid="{00000000-0005-0000-0000-0000E80A0000}"/>
    <cellStyle name="Normal 2 6 2 3" xfId="2537" xr:uid="{00000000-0005-0000-0000-0000E90A0000}"/>
    <cellStyle name="Normal 2 6 2 3 2" xfId="2538" xr:uid="{00000000-0005-0000-0000-0000EA0A0000}"/>
    <cellStyle name="Normal 2 6 2 4" xfId="2539" xr:uid="{00000000-0005-0000-0000-0000EB0A0000}"/>
    <cellStyle name="Normal 2 6 2 4 2" xfId="2540" xr:uid="{00000000-0005-0000-0000-0000EC0A0000}"/>
    <cellStyle name="Normal 2 6 2 5" xfId="2541" xr:uid="{00000000-0005-0000-0000-0000ED0A0000}"/>
    <cellStyle name="Normal 2 6 2 5 2" xfId="2542" xr:uid="{00000000-0005-0000-0000-0000EE0A0000}"/>
    <cellStyle name="Normal 2 6 2 6" xfId="2543" xr:uid="{00000000-0005-0000-0000-0000EF0A0000}"/>
    <cellStyle name="Normal 2 6 2 6 2" xfId="2544" xr:uid="{00000000-0005-0000-0000-0000F00A0000}"/>
    <cellStyle name="Normal 2 6 2 7" xfId="2545" xr:uid="{00000000-0005-0000-0000-0000F10A0000}"/>
    <cellStyle name="Normal 2 6 2 7 2" xfId="2546" xr:uid="{00000000-0005-0000-0000-0000F20A0000}"/>
    <cellStyle name="Normal 2 6 3" xfId="2547" xr:uid="{00000000-0005-0000-0000-0000F30A0000}"/>
    <cellStyle name="Normal 2 6 4" xfId="2548" xr:uid="{00000000-0005-0000-0000-0000F40A0000}"/>
    <cellStyle name="Normal 2 6 5" xfId="2549" xr:uid="{00000000-0005-0000-0000-0000F50A0000}"/>
    <cellStyle name="Normal 2 6 6" xfId="2550" xr:uid="{00000000-0005-0000-0000-0000F60A0000}"/>
    <cellStyle name="Normal 2 6 7" xfId="2551" xr:uid="{00000000-0005-0000-0000-0000F70A0000}"/>
    <cellStyle name="Normal 2 6 8" xfId="2552" xr:uid="{00000000-0005-0000-0000-0000F80A0000}"/>
    <cellStyle name="Normal 2 65" xfId="4429" xr:uid="{00000000-0005-0000-0000-0000F90A0000}"/>
    <cellStyle name="Normal 2 7" xfId="2553" xr:uid="{00000000-0005-0000-0000-0000FA0A0000}"/>
    <cellStyle name="Normal 2 7 2" xfId="2554" xr:uid="{00000000-0005-0000-0000-0000FB0A0000}"/>
    <cellStyle name="Normal 2 7 2 2" xfId="2555" xr:uid="{00000000-0005-0000-0000-0000FC0A0000}"/>
    <cellStyle name="Normal 2 7 2 2 2" xfId="2556" xr:uid="{00000000-0005-0000-0000-0000FD0A0000}"/>
    <cellStyle name="Normal 2 7 2 3" xfId="2557" xr:uid="{00000000-0005-0000-0000-0000FE0A0000}"/>
    <cellStyle name="Normal 2 7 2 3 2" xfId="2558" xr:uid="{00000000-0005-0000-0000-0000FF0A0000}"/>
    <cellStyle name="Normal 2 7 2 4" xfId="2559" xr:uid="{00000000-0005-0000-0000-0000000B0000}"/>
    <cellStyle name="Normal 2 7 2 4 2" xfId="2560" xr:uid="{00000000-0005-0000-0000-0000010B0000}"/>
    <cellStyle name="Normal 2 7 2 5" xfId="2561" xr:uid="{00000000-0005-0000-0000-0000020B0000}"/>
    <cellStyle name="Normal 2 7 2 5 2" xfId="2562" xr:uid="{00000000-0005-0000-0000-0000030B0000}"/>
    <cellStyle name="Normal 2 7 2 6" xfId="2563" xr:uid="{00000000-0005-0000-0000-0000040B0000}"/>
    <cellStyle name="Normal 2 7 2 6 2" xfId="2564" xr:uid="{00000000-0005-0000-0000-0000050B0000}"/>
    <cellStyle name="Normal 2 7 2 7" xfId="2565" xr:uid="{00000000-0005-0000-0000-0000060B0000}"/>
    <cellStyle name="Normal 2 7 2 7 2" xfId="2566" xr:uid="{00000000-0005-0000-0000-0000070B0000}"/>
    <cellStyle name="Normal 2 7 3" xfId="2567" xr:uid="{00000000-0005-0000-0000-0000080B0000}"/>
    <cellStyle name="Normal 2 7 4" xfId="2568" xr:uid="{00000000-0005-0000-0000-0000090B0000}"/>
    <cellStyle name="Normal 2 7 5" xfId="2569" xr:uid="{00000000-0005-0000-0000-00000A0B0000}"/>
    <cellStyle name="Normal 2 7 6" xfId="2570" xr:uid="{00000000-0005-0000-0000-00000B0B0000}"/>
    <cellStyle name="Normal 2 7 7" xfId="2571" xr:uid="{00000000-0005-0000-0000-00000C0B0000}"/>
    <cellStyle name="Normal 2 7 8" xfId="2572" xr:uid="{00000000-0005-0000-0000-00000D0B0000}"/>
    <cellStyle name="Normal 2 8" xfId="2573" xr:uid="{00000000-0005-0000-0000-00000E0B0000}"/>
    <cellStyle name="Normal 2 8 2" xfId="2574" xr:uid="{00000000-0005-0000-0000-00000F0B0000}"/>
    <cellStyle name="Normal 2 8 2 2" xfId="2575" xr:uid="{00000000-0005-0000-0000-0000100B0000}"/>
    <cellStyle name="Normal 2 8 3" xfId="2576" xr:uid="{00000000-0005-0000-0000-0000110B0000}"/>
    <cellStyle name="Normal 2 8 3 2" xfId="2577" xr:uid="{00000000-0005-0000-0000-0000120B0000}"/>
    <cellStyle name="Normal 2 8 4" xfId="2578" xr:uid="{00000000-0005-0000-0000-0000130B0000}"/>
    <cellStyle name="Normal 2 8 4 2" xfId="2579" xr:uid="{00000000-0005-0000-0000-0000140B0000}"/>
    <cellStyle name="Normal 2 8 5" xfId="2580" xr:uid="{00000000-0005-0000-0000-0000150B0000}"/>
    <cellStyle name="Normal 2 8 5 2" xfId="2581" xr:uid="{00000000-0005-0000-0000-0000160B0000}"/>
    <cellStyle name="Normal 2 8 6" xfId="2582" xr:uid="{00000000-0005-0000-0000-0000170B0000}"/>
    <cellStyle name="Normal 2 8 6 2" xfId="2583" xr:uid="{00000000-0005-0000-0000-0000180B0000}"/>
    <cellStyle name="Normal 2 8 7" xfId="2584" xr:uid="{00000000-0005-0000-0000-0000190B0000}"/>
    <cellStyle name="Normal 2 8 7 2" xfId="2585" xr:uid="{00000000-0005-0000-0000-00001A0B0000}"/>
    <cellStyle name="Normal 2 8 8" xfId="2586" xr:uid="{00000000-0005-0000-0000-00001B0B0000}"/>
    <cellStyle name="Normal 2 9" xfId="2587" xr:uid="{00000000-0005-0000-0000-00001C0B0000}"/>
    <cellStyle name="Normal 2 9 2" xfId="2588" xr:uid="{00000000-0005-0000-0000-00001D0B0000}"/>
    <cellStyle name="Normal 2 9 2 2" xfId="2589" xr:uid="{00000000-0005-0000-0000-00001E0B0000}"/>
    <cellStyle name="Normal 2 9 3" xfId="2590" xr:uid="{00000000-0005-0000-0000-00001F0B0000}"/>
    <cellStyle name="Normal 2 9 3 2" xfId="2591" xr:uid="{00000000-0005-0000-0000-0000200B0000}"/>
    <cellStyle name="Normal 2 9 4" xfId="2592" xr:uid="{00000000-0005-0000-0000-0000210B0000}"/>
    <cellStyle name="Normal 2 9 4 2" xfId="2593" xr:uid="{00000000-0005-0000-0000-0000220B0000}"/>
    <cellStyle name="Normal 2 9 5" xfId="2594" xr:uid="{00000000-0005-0000-0000-0000230B0000}"/>
    <cellStyle name="Normal 2 9 5 2" xfId="2595" xr:uid="{00000000-0005-0000-0000-0000240B0000}"/>
    <cellStyle name="Normal 2 9 6" xfId="2596" xr:uid="{00000000-0005-0000-0000-0000250B0000}"/>
    <cellStyle name="Normal 2 9 6 2" xfId="2597" xr:uid="{00000000-0005-0000-0000-0000260B0000}"/>
    <cellStyle name="Normal 2 9 7" xfId="2598" xr:uid="{00000000-0005-0000-0000-0000270B0000}"/>
    <cellStyle name="Normal 2 9 7 2" xfId="2599" xr:uid="{00000000-0005-0000-0000-0000280B0000}"/>
    <cellStyle name="Normal 2 9 8" xfId="2600" xr:uid="{00000000-0005-0000-0000-0000290B0000}"/>
    <cellStyle name="Normal 20" xfId="2601" xr:uid="{00000000-0005-0000-0000-00002A0B0000}"/>
    <cellStyle name="Normal 20 10" xfId="3998" xr:uid="{00000000-0005-0000-0000-00002B0B0000}"/>
    <cellStyle name="Normal 20 2" xfId="2602" xr:uid="{00000000-0005-0000-0000-00002C0B0000}"/>
    <cellStyle name="Normal 20 2 2" xfId="3999" xr:uid="{00000000-0005-0000-0000-00002D0B0000}"/>
    <cellStyle name="Normal 20 3" xfId="2603" xr:uid="{00000000-0005-0000-0000-00002E0B0000}"/>
    <cellStyle name="Normal 20 4" xfId="2604" xr:uid="{00000000-0005-0000-0000-00002F0B0000}"/>
    <cellStyle name="Normal 20 5" xfId="2605" xr:uid="{00000000-0005-0000-0000-0000300B0000}"/>
    <cellStyle name="Normal 20 6" xfId="2606" xr:uid="{00000000-0005-0000-0000-0000310B0000}"/>
    <cellStyle name="Normal 20 7" xfId="2607" xr:uid="{00000000-0005-0000-0000-0000320B0000}"/>
    <cellStyle name="Normal 20 8" xfId="2608" xr:uid="{00000000-0005-0000-0000-0000330B0000}"/>
    <cellStyle name="Normal 20 9" xfId="2609" xr:uid="{00000000-0005-0000-0000-0000340B0000}"/>
    <cellStyle name="Normal 21" xfId="2610" xr:uid="{00000000-0005-0000-0000-0000350B0000}"/>
    <cellStyle name="Normal 21 2" xfId="2611" xr:uid="{00000000-0005-0000-0000-0000360B0000}"/>
    <cellStyle name="Normal 21 2 2" xfId="4000" xr:uid="{00000000-0005-0000-0000-0000370B0000}"/>
    <cellStyle name="Normal 21 3" xfId="2612" xr:uid="{00000000-0005-0000-0000-0000380B0000}"/>
    <cellStyle name="Normal 21 4" xfId="2613" xr:uid="{00000000-0005-0000-0000-0000390B0000}"/>
    <cellStyle name="Normal 21 5" xfId="2614" xr:uid="{00000000-0005-0000-0000-00003A0B0000}"/>
    <cellStyle name="Normal 21 6" xfId="2615" xr:uid="{00000000-0005-0000-0000-00003B0B0000}"/>
    <cellStyle name="Normal 21 7" xfId="2616" xr:uid="{00000000-0005-0000-0000-00003C0B0000}"/>
    <cellStyle name="Normal 21 8" xfId="2617" xr:uid="{00000000-0005-0000-0000-00003D0B0000}"/>
    <cellStyle name="Normal 21 9" xfId="2618" xr:uid="{00000000-0005-0000-0000-00003E0B0000}"/>
    <cellStyle name="Normal 22" xfId="2619" xr:uid="{00000000-0005-0000-0000-00003F0B0000}"/>
    <cellStyle name="Normal 22 2" xfId="2620" xr:uid="{00000000-0005-0000-0000-0000400B0000}"/>
    <cellStyle name="Normal 22 2 2" xfId="4001" xr:uid="{00000000-0005-0000-0000-0000410B0000}"/>
    <cellStyle name="Normal 22 3" xfId="4002" xr:uid="{00000000-0005-0000-0000-0000420B0000}"/>
    <cellStyle name="Normal 23" xfId="2621" xr:uid="{00000000-0005-0000-0000-0000430B0000}"/>
    <cellStyle name="Normal 23 2" xfId="2622" xr:uid="{00000000-0005-0000-0000-0000440B0000}"/>
    <cellStyle name="Normal 23 2 2" xfId="4003" xr:uid="{00000000-0005-0000-0000-0000450B0000}"/>
    <cellStyle name="Normal 23 3" xfId="4004" xr:uid="{00000000-0005-0000-0000-0000460B0000}"/>
    <cellStyle name="Normal 24" xfId="2623" xr:uid="{00000000-0005-0000-0000-0000470B0000}"/>
    <cellStyle name="Normal 24 2" xfId="2624" xr:uid="{00000000-0005-0000-0000-0000480B0000}"/>
    <cellStyle name="Normal 24 2 2" xfId="4005" xr:uid="{00000000-0005-0000-0000-0000490B0000}"/>
    <cellStyle name="Normal 24 3" xfId="4006" xr:uid="{00000000-0005-0000-0000-00004A0B0000}"/>
    <cellStyle name="Normal 25" xfId="2625" xr:uid="{00000000-0005-0000-0000-00004B0B0000}"/>
    <cellStyle name="Normal 25 2" xfId="2626" xr:uid="{00000000-0005-0000-0000-00004C0B0000}"/>
    <cellStyle name="Normal 25 2 2" xfId="4007" xr:uid="{00000000-0005-0000-0000-00004D0B0000}"/>
    <cellStyle name="Normal 25 3" xfId="4008" xr:uid="{00000000-0005-0000-0000-00004E0B0000}"/>
    <cellStyle name="Normal 26" xfId="2627" xr:uid="{00000000-0005-0000-0000-00004F0B0000}"/>
    <cellStyle name="Normal 26 2" xfId="2628" xr:uid="{00000000-0005-0000-0000-0000500B0000}"/>
    <cellStyle name="Normal 26 2 2" xfId="4009" xr:uid="{00000000-0005-0000-0000-0000510B0000}"/>
    <cellStyle name="Normal 26 3" xfId="2629" xr:uid="{00000000-0005-0000-0000-0000520B0000}"/>
    <cellStyle name="Normal 26 4" xfId="2630" xr:uid="{00000000-0005-0000-0000-0000530B0000}"/>
    <cellStyle name="Normal 26 5" xfId="2631" xr:uid="{00000000-0005-0000-0000-0000540B0000}"/>
    <cellStyle name="Normal 26 6" xfId="2632" xr:uid="{00000000-0005-0000-0000-0000550B0000}"/>
    <cellStyle name="Normal 26 7" xfId="2633" xr:uid="{00000000-0005-0000-0000-0000560B0000}"/>
    <cellStyle name="Normal 27" xfId="2634" xr:uid="{00000000-0005-0000-0000-0000570B0000}"/>
    <cellStyle name="Normal 27 2" xfId="2635" xr:uid="{00000000-0005-0000-0000-0000580B0000}"/>
    <cellStyle name="Normal 27 2 2" xfId="4010" xr:uid="{00000000-0005-0000-0000-0000590B0000}"/>
    <cellStyle name="Normal 27 3" xfId="2636" xr:uid="{00000000-0005-0000-0000-00005A0B0000}"/>
    <cellStyle name="Normal 27 4" xfId="2637" xr:uid="{00000000-0005-0000-0000-00005B0B0000}"/>
    <cellStyle name="Normal 27 5" xfId="2638" xr:uid="{00000000-0005-0000-0000-00005C0B0000}"/>
    <cellStyle name="Normal 27 6" xfId="2639" xr:uid="{00000000-0005-0000-0000-00005D0B0000}"/>
    <cellStyle name="Normal 27 7" xfId="2640" xr:uid="{00000000-0005-0000-0000-00005E0B0000}"/>
    <cellStyle name="Normal 27 8" xfId="2641" xr:uid="{00000000-0005-0000-0000-00005F0B0000}"/>
    <cellStyle name="Normal 28" xfId="2642" xr:uid="{00000000-0005-0000-0000-0000600B0000}"/>
    <cellStyle name="Normal 28 2" xfId="2643" xr:uid="{00000000-0005-0000-0000-0000610B0000}"/>
    <cellStyle name="Normal 28 2 2" xfId="4011" xr:uid="{00000000-0005-0000-0000-0000620B0000}"/>
    <cellStyle name="Normal 28 3" xfId="2644" xr:uid="{00000000-0005-0000-0000-0000630B0000}"/>
    <cellStyle name="Normal 28 4" xfId="2645" xr:uid="{00000000-0005-0000-0000-0000640B0000}"/>
    <cellStyle name="Normal 28 5" xfId="2646" xr:uid="{00000000-0005-0000-0000-0000650B0000}"/>
    <cellStyle name="Normal 28 6" xfId="2647" xr:uid="{00000000-0005-0000-0000-0000660B0000}"/>
    <cellStyle name="Normal 28 7" xfId="2648" xr:uid="{00000000-0005-0000-0000-0000670B0000}"/>
    <cellStyle name="Normal 29" xfId="2649" xr:uid="{00000000-0005-0000-0000-0000680B0000}"/>
    <cellStyle name="Normal 29 2" xfId="2650" xr:uid="{00000000-0005-0000-0000-0000690B0000}"/>
    <cellStyle name="Normal 29 2 2" xfId="4012" xr:uid="{00000000-0005-0000-0000-00006A0B0000}"/>
    <cellStyle name="Normal 29 3" xfId="2651" xr:uid="{00000000-0005-0000-0000-00006B0B0000}"/>
    <cellStyle name="Normal 3" xfId="124" xr:uid="{00000000-0005-0000-0000-00006C0B0000}"/>
    <cellStyle name="Normal 3 10" xfId="2652" xr:uid="{00000000-0005-0000-0000-00006D0B0000}"/>
    <cellStyle name="Normal 3 10 10" xfId="2653" xr:uid="{00000000-0005-0000-0000-00006E0B0000}"/>
    <cellStyle name="Normal 3 10 2" xfId="2654" xr:uid="{00000000-0005-0000-0000-00006F0B0000}"/>
    <cellStyle name="Normal 3 10 3" xfId="2655" xr:uid="{00000000-0005-0000-0000-0000700B0000}"/>
    <cellStyle name="Normal 3 10 4" xfId="2656" xr:uid="{00000000-0005-0000-0000-0000710B0000}"/>
    <cellStyle name="Normal 3 10 5" xfId="2657" xr:uid="{00000000-0005-0000-0000-0000720B0000}"/>
    <cellStyle name="Normal 3 10 6" xfId="2658" xr:uid="{00000000-0005-0000-0000-0000730B0000}"/>
    <cellStyle name="Normal 3 10 7" xfId="2659" xr:uid="{00000000-0005-0000-0000-0000740B0000}"/>
    <cellStyle name="Normal 3 10 8" xfId="2660" xr:uid="{00000000-0005-0000-0000-0000750B0000}"/>
    <cellStyle name="Normal 3 10 9" xfId="2661" xr:uid="{00000000-0005-0000-0000-0000760B0000}"/>
    <cellStyle name="Normal 3 11" xfId="2662" xr:uid="{00000000-0005-0000-0000-0000770B0000}"/>
    <cellStyle name="Normal 3 11 10" xfId="2663" xr:uid="{00000000-0005-0000-0000-0000780B0000}"/>
    <cellStyle name="Normal 3 11 2" xfId="2664" xr:uid="{00000000-0005-0000-0000-0000790B0000}"/>
    <cellStyle name="Normal 3 11 3" xfId="2665" xr:uid="{00000000-0005-0000-0000-00007A0B0000}"/>
    <cellStyle name="Normal 3 11 4" xfId="2666" xr:uid="{00000000-0005-0000-0000-00007B0B0000}"/>
    <cellStyle name="Normal 3 11 5" xfId="2667" xr:uid="{00000000-0005-0000-0000-00007C0B0000}"/>
    <cellStyle name="Normal 3 11 6" xfId="2668" xr:uid="{00000000-0005-0000-0000-00007D0B0000}"/>
    <cellStyle name="Normal 3 11 7" xfId="2669" xr:uid="{00000000-0005-0000-0000-00007E0B0000}"/>
    <cellStyle name="Normal 3 11 8" xfId="2670" xr:uid="{00000000-0005-0000-0000-00007F0B0000}"/>
    <cellStyle name="Normal 3 11 9" xfId="2671" xr:uid="{00000000-0005-0000-0000-0000800B0000}"/>
    <cellStyle name="Normal 3 12" xfId="2672" xr:uid="{00000000-0005-0000-0000-0000810B0000}"/>
    <cellStyle name="Normal 3 13" xfId="2673" xr:uid="{00000000-0005-0000-0000-0000820B0000}"/>
    <cellStyle name="Normal 3 14" xfId="2674" xr:uid="{00000000-0005-0000-0000-0000830B0000}"/>
    <cellStyle name="Normal 3 15" xfId="2675" xr:uid="{00000000-0005-0000-0000-0000840B0000}"/>
    <cellStyle name="Normal 3 16" xfId="2676" xr:uid="{00000000-0005-0000-0000-0000850B0000}"/>
    <cellStyle name="Normal 3 17" xfId="2677" xr:uid="{00000000-0005-0000-0000-0000860B0000}"/>
    <cellStyle name="Normal 3 18" xfId="2678" xr:uid="{00000000-0005-0000-0000-0000870B0000}"/>
    <cellStyle name="Normal 3 18 2" xfId="2679" xr:uid="{00000000-0005-0000-0000-0000880B0000}"/>
    <cellStyle name="Normal 3 19" xfId="2680" xr:uid="{00000000-0005-0000-0000-0000890B0000}"/>
    <cellStyle name="Normal 3 2" xfId="2681" xr:uid="{00000000-0005-0000-0000-00008A0B0000}"/>
    <cellStyle name="Normal 3 2 2" xfId="2682" xr:uid="{00000000-0005-0000-0000-00008B0B0000}"/>
    <cellStyle name="Normal 3 2 2 2" xfId="2683" xr:uid="{00000000-0005-0000-0000-00008C0B0000}"/>
    <cellStyle name="Normal 3 2 2 2 2" xfId="2684" xr:uid="{00000000-0005-0000-0000-00008D0B0000}"/>
    <cellStyle name="Normal 3 2 2 2 2 2" xfId="4013" xr:uid="{00000000-0005-0000-0000-00008E0B0000}"/>
    <cellStyle name="Normal 3 2 2 2 2 3" xfId="4014" xr:uid="{00000000-0005-0000-0000-00008F0B0000}"/>
    <cellStyle name="Normal 3 2 2 2 3" xfId="4015" xr:uid="{00000000-0005-0000-0000-0000900B0000}"/>
    <cellStyle name="Normal 3 2 2 2 4" xfId="4016" xr:uid="{00000000-0005-0000-0000-0000910B0000}"/>
    <cellStyle name="Normal 3 2 2 3" xfId="2685" xr:uid="{00000000-0005-0000-0000-0000920B0000}"/>
    <cellStyle name="Normal 3 2 2 3 2" xfId="4017" xr:uid="{00000000-0005-0000-0000-0000930B0000}"/>
    <cellStyle name="Normal 3 2 2 3 3" xfId="4018" xr:uid="{00000000-0005-0000-0000-0000940B0000}"/>
    <cellStyle name="Normal 3 2 2 4" xfId="4019" xr:uid="{00000000-0005-0000-0000-0000950B0000}"/>
    <cellStyle name="Normal 3 2 2 5" xfId="4020" xr:uid="{00000000-0005-0000-0000-0000960B0000}"/>
    <cellStyle name="Normal 3 2 2 6" xfId="4021" xr:uid="{00000000-0005-0000-0000-0000970B0000}"/>
    <cellStyle name="Normal 3 2 3" xfId="2686" xr:uid="{00000000-0005-0000-0000-0000980B0000}"/>
    <cellStyle name="Normal 3 2 3 2" xfId="2687" xr:uid="{00000000-0005-0000-0000-0000990B0000}"/>
    <cellStyle name="Normal 3 2 3 2 2" xfId="4022" xr:uid="{00000000-0005-0000-0000-00009A0B0000}"/>
    <cellStyle name="Normal 3 2 3 2 3" xfId="4023" xr:uid="{00000000-0005-0000-0000-00009B0B0000}"/>
    <cellStyle name="Normal 3 2 3 3" xfId="4024" xr:uid="{00000000-0005-0000-0000-00009C0B0000}"/>
    <cellStyle name="Normal 3 2 3 4" xfId="4025" xr:uid="{00000000-0005-0000-0000-00009D0B0000}"/>
    <cellStyle name="Normal 3 2 3 5" xfId="4026" xr:uid="{00000000-0005-0000-0000-00009E0B0000}"/>
    <cellStyle name="Normal 3 2 4" xfId="3755" xr:uid="{00000000-0005-0000-0000-00009F0B0000}"/>
    <cellStyle name="Normal 3 2 4 2" xfId="4027" xr:uid="{00000000-0005-0000-0000-0000A00B0000}"/>
    <cellStyle name="Normal 3 2 4 3" xfId="4028" xr:uid="{00000000-0005-0000-0000-0000A10B0000}"/>
    <cellStyle name="Normal 3 2 4 4" xfId="4406" xr:uid="{00000000-0005-0000-0000-0000A20B0000}"/>
    <cellStyle name="Normal 3 2 5" xfId="4029" xr:uid="{00000000-0005-0000-0000-0000A30B0000}"/>
    <cellStyle name="Normal 3 2 59" xfId="4409" xr:uid="{00000000-0005-0000-0000-0000A40B0000}"/>
    <cellStyle name="Normal 3 2 6" xfId="4030" xr:uid="{00000000-0005-0000-0000-0000A50B0000}"/>
    <cellStyle name="Normal 3 20" xfId="2688" xr:uid="{00000000-0005-0000-0000-0000A60B0000}"/>
    <cellStyle name="Normal 3 21" xfId="4031" xr:uid="{00000000-0005-0000-0000-0000A70B0000}"/>
    <cellStyle name="Normal 3 22" xfId="141" xr:uid="{00000000-0005-0000-0000-0000A80B0000}"/>
    <cellStyle name="Normal 3 23" xfId="4435" xr:uid="{00000000-0005-0000-0000-0000A90B0000}"/>
    <cellStyle name="Normal 3 3" xfId="2689" xr:uid="{00000000-0005-0000-0000-0000AA0B0000}"/>
    <cellStyle name="Normal 3 3 2" xfId="2690" xr:uid="{00000000-0005-0000-0000-0000AB0B0000}"/>
    <cellStyle name="Normal 3 3 2 2" xfId="2691" xr:uid="{00000000-0005-0000-0000-0000AC0B0000}"/>
    <cellStyle name="Normal 3 3 2 2 2" xfId="4032" xr:uid="{00000000-0005-0000-0000-0000AD0B0000}"/>
    <cellStyle name="Normal 3 3 2 2 3" xfId="4033" xr:uid="{00000000-0005-0000-0000-0000AE0B0000}"/>
    <cellStyle name="Normal 3 3 2 3" xfId="4034" xr:uid="{00000000-0005-0000-0000-0000AF0B0000}"/>
    <cellStyle name="Normal 3 3 2 4" xfId="4035" xr:uid="{00000000-0005-0000-0000-0000B00B0000}"/>
    <cellStyle name="Normal 3 3 2 5" xfId="4036" xr:uid="{00000000-0005-0000-0000-0000B10B0000}"/>
    <cellStyle name="Normal 3 3 3" xfId="2692" xr:uid="{00000000-0005-0000-0000-0000B20B0000}"/>
    <cellStyle name="Normal 3 3 3 2" xfId="4037" xr:uid="{00000000-0005-0000-0000-0000B30B0000}"/>
    <cellStyle name="Normal 3 3 3 3" xfId="4038" xr:uid="{00000000-0005-0000-0000-0000B40B0000}"/>
    <cellStyle name="Normal 3 3 4" xfId="4039" xr:uid="{00000000-0005-0000-0000-0000B50B0000}"/>
    <cellStyle name="Normal 3 3 5" xfId="4040" xr:uid="{00000000-0005-0000-0000-0000B60B0000}"/>
    <cellStyle name="Normal 3 3 6" xfId="4041" xr:uid="{00000000-0005-0000-0000-0000B70B0000}"/>
    <cellStyle name="Normal 3 4" xfId="2693" xr:uid="{00000000-0005-0000-0000-0000B80B0000}"/>
    <cellStyle name="Normal 3 4 2" xfId="2694" xr:uid="{00000000-0005-0000-0000-0000B90B0000}"/>
    <cellStyle name="Normal 3 4 2 2" xfId="4042" xr:uid="{00000000-0005-0000-0000-0000BA0B0000}"/>
    <cellStyle name="Normal 3 4 2 3" xfId="4043" xr:uid="{00000000-0005-0000-0000-0000BB0B0000}"/>
    <cellStyle name="Normal 3 4 2 4" xfId="4044" xr:uid="{00000000-0005-0000-0000-0000BC0B0000}"/>
    <cellStyle name="Normal 3 4 3" xfId="4045" xr:uid="{00000000-0005-0000-0000-0000BD0B0000}"/>
    <cellStyle name="Normal 3 4 4" xfId="4046" xr:uid="{00000000-0005-0000-0000-0000BE0B0000}"/>
    <cellStyle name="Normal 3 4 5" xfId="4047" xr:uid="{00000000-0005-0000-0000-0000BF0B0000}"/>
    <cellStyle name="Normal 3 5" xfId="2695" xr:uid="{00000000-0005-0000-0000-0000C00B0000}"/>
    <cellStyle name="Normal 3 5 2" xfId="2696" xr:uid="{00000000-0005-0000-0000-0000C10B0000}"/>
    <cellStyle name="Normal 3 5 3" xfId="4048" xr:uid="{00000000-0005-0000-0000-0000C20B0000}"/>
    <cellStyle name="Normal 3 6" xfId="2697" xr:uid="{00000000-0005-0000-0000-0000C30B0000}"/>
    <cellStyle name="Normal 3 6 10" xfId="2698" xr:uid="{00000000-0005-0000-0000-0000C40B0000}"/>
    <cellStyle name="Normal 3 6 2" xfId="2699" xr:uid="{00000000-0005-0000-0000-0000C50B0000}"/>
    <cellStyle name="Normal 3 6 3" xfId="2700" xr:uid="{00000000-0005-0000-0000-0000C60B0000}"/>
    <cellStyle name="Normal 3 6 4" xfId="2701" xr:uid="{00000000-0005-0000-0000-0000C70B0000}"/>
    <cellStyle name="Normal 3 6 5" xfId="2702" xr:uid="{00000000-0005-0000-0000-0000C80B0000}"/>
    <cellStyle name="Normal 3 6 6" xfId="2703" xr:uid="{00000000-0005-0000-0000-0000C90B0000}"/>
    <cellStyle name="Normal 3 6 7" xfId="2704" xr:uid="{00000000-0005-0000-0000-0000CA0B0000}"/>
    <cellStyle name="Normal 3 6 8" xfId="2705" xr:uid="{00000000-0005-0000-0000-0000CB0B0000}"/>
    <cellStyle name="Normal 3 6 9" xfId="2706" xr:uid="{00000000-0005-0000-0000-0000CC0B0000}"/>
    <cellStyle name="Normal 3 7" xfId="2707" xr:uid="{00000000-0005-0000-0000-0000CD0B0000}"/>
    <cellStyle name="Normal 3 7 10" xfId="2708" xr:uid="{00000000-0005-0000-0000-0000CE0B0000}"/>
    <cellStyle name="Normal 3 7 2" xfId="2709" xr:uid="{00000000-0005-0000-0000-0000CF0B0000}"/>
    <cellStyle name="Normal 3 7 3" xfId="2710" xr:uid="{00000000-0005-0000-0000-0000D00B0000}"/>
    <cellStyle name="Normal 3 7 4" xfId="2711" xr:uid="{00000000-0005-0000-0000-0000D10B0000}"/>
    <cellStyle name="Normal 3 7 5" xfId="2712" xr:uid="{00000000-0005-0000-0000-0000D20B0000}"/>
    <cellStyle name="Normal 3 7 6" xfId="2713" xr:uid="{00000000-0005-0000-0000-0000D30B0000}"/>
    <cellStyle name="Normal 3 7 7" xfId="2714" xr:uid="{00000000-0005-0000-0000-0000D40B0000}"/>
    <cellStyle name="Normal 3 7 8" xfId="2715" xr:uid="{00000000-0005-0000-0000-0000D50B0000}"/>
    <cellStyle name="Normal 3 7 9" xfId="2716" xr:uid="{00000000-0005-0000-0000-0000D60B0000}"/>
    <cellStyle name="Normal 3 8" xfId="2717" xr:uid="{00000000-0005-0000-0000-0000D70B0000}"/>
    <cellStyle name="Normal 3 8 10" xfId="2718" xr:uid="{00000000-0005-0000-0000-0000D80B0000}"/>
    <cellStyle name="Normal 3 8 2" xfId="2719" xr:uid="{00000000-0005-0000-0000-0000D90B0000}"/>
    <cellStyle name="Normal 3 8 3" xfId="2720" xr:uid="{00000000-0005-0000-0000-0000DA0B0000}"/>
    <cellStyle name="Normal 3 8 4" xfId="2721" xr:uid="{00000000-0005-0000-0000-0000DB0B0000}"/>
    <cellStyle name="Normal 3 8 5" xfId="2722" xr:uid="{00000000-0005-0000-0000-0000DC0B0000}"/>
    <cellStyle name="Normal 3 8 6" xfId="2723" xr:uid="{00000000-0005-0000-0000-0000DD0B0000}"/>
    <cellStyle name="Normal 3 8 7" xfId="2724" xr:uid="{00000000-0005-0000-0000-0000DE0B0000}"/>
    <cellStyle name="Normal 3 8 8" xfId="2725" xr:uid="{00000000-0005-0000-0000-0000DF0B0000}"/>
    <cellStyle name="Normal 3 8 9" xfId="2726" xr:uid="{00000000-0005-0000-0000-0000E00B0000}"/>
    <cellStyle name="Normal 3 9" xfId="2727" xr:uid="{00000000-0005-0000-0000-0000E10B0000}"/>
    <cellStyle name="Normal 3 9 10" xfId="2728" xr:uid="{00000000-0005-0000-0000-0000E20B0000}"/>
    <cellStyle name="Normal 3 9 2" xfId="2729" xr:uid="{00000000-0005-0000-0000-0000E30B0000}"/>
    <cellStyle name="Normal 3 9 3" xfId="2730" xr:uid="{00000000-0005-0000-0000-0000E40B0000}"/>
    <cellStyle name="Normal 3 9 4" xfId="2731" xr:uid="{00000000-0005-0000-0000-0000E50B0000}"/>
    <cellStyle name="Normal 3 9 5" xfId="2732" xr:uid="{00000000-0005-0000-0000-0000E60B0000}"/>
    <cellStyle name="Normal 3 9 6" xfId="2733" xr:uid="{00000000-0005-0000-0000-0000E70B0000}"/>
    <cellStyle name="Normal 3 9 7" xfId="2734" xr:uid="{00000000-0005-0000-0000-0000E80B0000}"/>
    <cellStyle name="Normal 3 9 8" xfId="2735" xr:uid="{00000000-0005-0000-0000-0000E90B0000}"/>
    <cellStyle name="Normal 3 9 9" xfId="2736" xr:uid="{00000000-0005-0000-0000-0000EA0B0000}"/>
    <cellStyle name="Normal 30" xfId="2737" xr:uid="{00000000-0005-0000-0000-0000EB0B0000}"/>
    <cellStyle name="Normal 30 2" xfId="2738" xr:uid="{00000000-0005-0000-0000-0000EC0B0000}"/>
    <cellStyle name="Normal 30 3" xfId="2739" xr:uid="{00000000-0005-0000-0000-0000ED0B0000}"/>
    <cellStyle name="Normal 30 4" xfId="2740" xr:uid="{00000000-0005-0000-0000-0000EE0B0000}"/>
    <cellStyle name="Normal 30 5" xfId="2741" xr:uid="{00000000-0005-0000-0000-0000EF0B0000}"/>
    <cellStyle name="Normal 30 6" xfId="2742" xr:uid="{00000000-0005-0000-0000-0000F00B0000}"/>
    <cellStyle name="Normal 30 7" xfId="2743" xr:uid="{00000000-0005-0000-0000-0000F10B0000}"/>
    <cellStyle name="Normal 30 8" xfId="2744" xr:uid="{00000000-0005-0000-0000-0000F20B0000}"/>
    <cellStyle name="Normal 31" xfId="2745" xr:uid="{00000000-0005-0000-0000-0000F30B0000}"/>
    <cellStyle name="Normal 31 2" xfId="2746" xr:uid="{00000000-0005-0000-0000-0000F40B0000}"/>
    <cellStyle name="Normal 31 2 2" xfId="4049" xr:uid="{00000000-0005-0000-0000-0000F50B0000}"/>
    <cellStyle name="Normal 31 3" xfId="2747" xr:uid="{00000000-0005-0000-0000-0000F60B0000}"/>
    <cellStyle name="Normal 31 4" xfId="2748" xr:uid="{00000000-0005-0000-0000-0000F70B0000}"/>
    <cellStyle name="Normal 31 5" xfId="2749" xr:uid="{00000000-0005-0000-0000-0000F80B0000}"/>
    <cellStyle name="Normal 31 6" xfId="2750" xr:uid="{00000000-0005-0000-0000-0000F90B0000}"/>
    <cellStyle name="Normal 32" xfId="2751" xr:uid="{00000000-0005-0000-0000-0000FA0B0000}"/>
    <cellStyle name="Normal 32 2" xfId="2752" xr:uid="{00000000-0005-0000-0000-0000FB0B0000}"/>
    <cellStyle name="Normal 32 3" xfId="2753" xr:uid="{00000000-0005-0000-0000-0000FC0B0000}"/>
    <cellStyle name="Normal 33" xfId="2754" xr:uid="{00000000-0005-0000-0000-0000FD0B0000}"/>
    <cellStyle name="Normal 33 2" xfId="2755" xr:uid="{00000000-0005-0000-0000-0000FE0B0000}"/>
    <cellStyle name="Normal 33 3" xfId="2756" xr:uid="{00000000-0005-0000-0000-0000FF0B0000}"/>
    <cellStyle name="Normal 33 4" xfId="2757" xr:uid="{00000000-0005-0000-0000-0000000C0000}"/>
    <cellStyle name="Normal 34" xfId="2758" xr:uid="{00000000-0005-0000-0000-0000010C0000}"/>
    <cellStyle name="Normal 34 2" xfId="2759" xr:uid="{00000000-0005-0000-0000-0000020C0000}"/>
    <cellStyle name="Normal 34 3" xfId="2760" xr:uid="{00000000-0005-0000-0000-0000030C0000}"/>
    <cellStyle name="Normal 34 4" xfId="2761" xr:uid="{00000000-0005-0000-0000-0000040C0000}"/>
    <cellStyle name="Normal 34 5" xfId="2762" xr:uid="{00000000-0005-0000-0000-0000050C0000}"/>
    <cellStyle name="Normal 34 6" xfId="2763" xr:uid="{00000000-0005-0000-0000-0000060C0000}"/>
    <cellStyle name="Normal 35" xfId="2764" xr:uid="{00000000-0005-0000-0000-0000070C0000}"/>
    <cellStyle name="Normal 35 2" xfId="2765" xr:uid="{00000000-0005-0000-0000-0000080C0000}"/>
    <cellStyle name="Normal 35 3" xfId="2766" xr:uid="{00000000-0005-0000-0000-0000090C0000}"/>
    <cellStyle name="Normal 35 4" xfId="2767" xr:uid="{00000000-0005-0000-0000-00000A0C0000}"/>
    <cellStyle name="Normal 36" xfId="2768" xr:uid="{00000000-0005-0000-0000-00000B0C0000}"/>
    <cellStyle name="Normal 36 2" xfId="2769" xr:uid="{00000000-0005-0000-0000-00000C0C0000}"/>
    <cellStyle name="Normal 36 3" xfId="2770" xr:uid="{00000000-0005-0000-0000-00000D0C0000}"/>
    <cellStyle name="Normal 37" xfId="2771" xr:uid="{00000000-0005-0000-0000-00000E0C0000}"/>
    <cellStyle name="Normal 37 2" xfId="2772" xr:uid="{00000000-0005-0000-0000-00000F0C0000}"/>
    <cellStyle name="Normal 37 2 2" xfId="2773" xr:uid="{00000000-0005-0000-0000-0000100C0000}"/>
    <cellStyle name="Normal 37 2 3" xfId="2774" xr:uid="{00000000-0005-0000-0000-0000110C0000}"/>
    <cellStyle name="Normal 37 3" xfId="2775" xr:uid="{00000000-0005-0000-0000-0000120C0000}"/>
    <cellStyle name="Normal 37 4" xfId="2776" xr:uid="{00000000-0005-0000-0000-0000130C0000}"/>
    <cellStyle name="Normal 38" xfId="2777" xr:uid="{00000000-0005-0000-0000-0000140C0000}"/>
    <cellStyle name="Normal 38 2" xfId="2778" xr:uid="{00000000-0005-0000-0000-0000150C0000}"/>
    <cellStyle name="Normal 38 3" xfId="2779" xr:uid="{00000000-0005-0000-0000-0000160C0000}"/>
    <cellStyle name="Normal 39" xfId="2780" xr:uid="{00000000-0005-0000-0000-0000170C0000}"/>
    <cellStyle name="Normal 39 2" xfId="2781" xr:uid="{00000000-0005-0000-0000-0000180C0000}"/>
    <cellStyle name="Normal 39 3" xfId="2782" xr:uid="{00000000-0005-0000-0000-0000190C0000}"/>
    <cellStyle name="Normal 4" xfId="126" xr:uid="{00000000-0005-0000-0000-00001A0C0000}"/>
    <cellStyle name="Normal 4 10" xfId="2784" xr:uid="{00000000-0005-0000-0000-00001B0C0000}"/>
    <cellStyle name="Normal 4 11" xfId="2785" xr:uid="{00000000-0005-0000-0000-00001C0C0000}"/>
    <cellStyle name="Normal 4 12" xfId="2786" xr:uid="{00000000-0005-0000-0000-00001D0C0000}"/>
    <cellStyle name="Normal 4 12 2" xfId="2787" xr:uid="{00000000-0005-0000-0000-00001E0C0000}"/>
    <cellStyle name="Normal 4 13" xfId="2788" xr:uid="{00000000-0005-0000-0000-00001F0C0000}"/>
    <cellStyle name="Normal 4 14" xfId="4050" xr:uid="{00000000-0005-0000-0000-0000200C0000}"/>
    <cellStyle name="Normal 4 15" xfId="2783" xr:uid="{00000000-0005-0000-0000-0000210C0000}"/>
    <cellStyle name="Normal 4 16" xfId="4459" xr:uid="{6B106570-5C4F-4AD9-B388-B0DDD6284C88}"/>
    <cellStyle name="Normal 4 2" xfId="2789" xr:uid="{00000000-0005-0000-0000-0000220C0000}"/>
    <cellStyle name="Normal 4 2 2" xfId="2790" xr:uid="{00000000-0005-0000-0000-0000230C0000}"/>
    <cellStyle name="Normal 4 2 2 2" xfId="4432" xr:uid="{00000000-0005-0000-0000-0000240C0000}"/>
    <cellStyle name="Normal 4 2 3" xfId="2791" xr:uid="{00000000-0005-0000-0000-0000250C0000}"/>
    <cellStyle name="Normal 4 2 3 2" xfId="2792" xr:uid="{00000000-0005-0000-0000-0000260C0000}"/>
    <cellStyle name="Normal 4 3" xfId="2793" xr:uid="{00000000-0005-0000-0000-0000270C0000}"/>
    <cellStyle name="Normal 4 3 2" xfId="2794" xr:uid="{00000000-0005-0000-0000-0000280C0000}"/>
    <cellStyle name="Normal 4 4" xfId="2795" xr:uid="{00000000-0005-0000-0000-0000290C0000}"/>
    <cellStyle name="Normal 4 4 2" xfId="2796" xr:uid="{00000000-0005-0000-0000-00002A0C0000}"/>
    <cellStyle name="Normal 4 5" xfId="2797" xr:uid="{00000000-0005-0000-0000-00002B0C0000}"/>
    <cellStyle name="Normal 4 5 2" xfId="2798" xr:uid="{00000000-0005-0000-0000-00002C0C0000}"/>
    <cellStyle name="Normal 4 6" xfId="2799" xr:uid="{00000000-0005-0000-0000-00002D0C0000}"/>
    <cellStyle name="Normal 4 7" xfId="2800" xr:uid="{00000000-0005-0000-0000-00002E0C0000}"/>
    <cellStyle name="Normal 4 8" xfId="2801" xr:uid="{00000000-0005-0000-0000-00002F0C0000}"/>
    <cellStyle name="Normal 4 9" xfId="2802" xr:uid="{00000000-0005-0000-0000-0000300C0000}"/>
    <cellStyle name="Normal 40" xfId="2803" xr:uid="{00000000-0005-0000-0000-0000310C0000}"/>
    <cellStyle name="Normal 40 2" xfId="2804" xr:uid="{00000000-0005-0000-0000-0000320C0000}"/>
    <cellStyle name="Normal 40 3" xfId="2805" xr:uid="{00000000-0005-0000-0000-0000330C0000}"/>
    <cellStyle name="Normal 41" xfId="2806" xr:uid="{00000000-0005-0000-0000-0000340C0000}"/>
    <cellStyle name="Normal 41 2" xfId="2807" xr:uid="{00000000-0005-0000-0000-0000350C0000}"/>
    <cellStyle name="Normal 41 3" xfId="2808" xr:uid="{00000000-0005-0000-0000-0000360C0000}"/>
    <cellStyle name="Normal 42" xfId="2809" xr:uid="{00000000-0005-0000-0000-0000370C0000}"/>
    <cellStyle name="Normal 43" xfId="2810" xr:uid="{00000000-0005-0000-0000-0000380C0000}"/>
    <cellStyle name="Normal 44" xfId="2811" xr:uid="{00000000-0005-0000-0000-0000390C0000}"/>
    <cellStyle name="Normal 45" xfId="2812" xr:uid="{00000000-0005-0000-0000-00003A0C0000}"/>
    <cellStyle name="Normal 46" xfId="2813" xr:uid="{00000000-0005-0000-0000-00003B0C0000}"/>
    <cellStyle name="Normal 47" xfId="2814" xr:uid="{00000000-0005-0000-0000-00003C0C0000}"/>
    <cellStyle name="Normal 48" xfId="2815" xr:uid="{00000000-0005-0000-0000-00003D0C0000}"/>
    <cellStyle name="Normal 49" xfId="2816" xr:uid="{00000000-0005-0000-0000-00003E0C0000}"/>
    <cellStyle name="Normal 5" xfId="133" xr:uid="{00000000-0005-0000-0000-00003F0C0000}"/>
    <cellStyle name="Normal 5 10" xfId="2818" xr:uid="{00000000-0005-0000-0000-0000400C0000}"/>
    <cellStyle name="Normal 5 11" xfId="2819" xr:uid="{00000000-0005-0000-0000-0000410C0000}"/>
    <cellStyle name="Normal 5 12" xfId="2820" xr:uid="{00000000-0005-0000-0000-0000420C0000}"/>
    <cellStyle name="Normal 5 13" xfId="2821" xr:uid="{00000000-0005-0000-0000-0000430C0000}"/>
    <cellStyle name="Normal 5 14" xfId="2822" xr:uid="{00000000-0005-0000-0000-0000440C0000}"/>
    <cellStyle name="Normal 5 15" xfId="2823" xr:uid="{00000000-0005-0000-0000-0000450C0000}"/>
    <cellStyle name="Normal 5 16" xfId="2824" xr:uid="{00000000-0005-0000-0000-0000460C0000}"/>
    <cellStyle name="Normal 5 17" xfId="2825" xr:uid="{00000000-0005-0000-0000-0000470C0000}"/>
    <cellStyle name="Normal 5 17 2" xfId="2826" xr:uid="{00000000-0005-0000-0000-0000480C0000}"/>
    <cellStyle name="Normal 5 18" xfId="2827" xr:uid="{00000000-0005-0000-0000-0000490C0000}"/>
    <cellStyle name="Normal 5 19" xfId="2817" xr:uid="{00000000-0005-0000-0000-00004A0C0000}"/>
    <cellStyle name="Normal 5 2" xfId="2828" xr:uid="{00000000-0005-0000-0000-00004B0C0000}"/>
    <cellStyle name="Normal 5 2 2" xfId="2829" xr:uid="{00000000-0005-0000-0000-00004C0C0000}"/>
    <cellStyle name="Normal 5 2 3" xfId="2830" xr:uid="{00000000-0005-0000-0000-00004D0C0000}"/>
    <cellStyle name="Normal 5 2 4" xfId="2831" xr:uid="{00000000-0005-0000-0000-00004E0C0000}"/>
    <cellStyle name="Normal 5 2 5" xfId="2832" xr:uid="{00000000-0005-0000-0000-00004F0C0000}"/>
    <cellStyle name="Normal 5 2 6" xfId="4051" xr:uid="{00000000-0005-0000-0000-0000500C0000}"/>
    <cellStyle name="Normal 5 3" xfId="2833" xr:uid="{00000000-0005-0000-0000-0000510C0000}"/>
    <cellStyle name="Normal 5 3 2" xfId="2834" xr:uid="{00000000-0005-0000-0000-0000520C0000}"/>
    <cellStyle name="Normal 5 4" xfId="2835" xr:uid="{00000000-0005-0000-0000-0000530C0000}"/>
    <cellStyle name="Normal 5 4 2" xfId="2836" xr:uid="{00000000-0005-0000-0000-0000540C0000}"/>
    <cellStyle name="Normal 5 5" xfId="2837" xr:uid="{00000000-0005-0000-0000-0000550C0000}"/>
    <cellStyle name="Normal 5 5 2" xfId="2838" xr:uid="{00000000-0005-0000-0000-0000560C0000}"/>
    <cellStyle name="Normal 5 6" xfId="2839" xr:uid="{00000000-0005-0000-0000-0000570C0000}"/>
    <cellStyle name="Normal 5 7" xfId="2840" xr:uid="{00000000-0005-0000-0000-0000580C0000}"/>
    <cellStyle name="Normal 5 8" xfId="2841" xr:uid="{00000000-0005-0000-0000-0000590C0000}"/>
    <cellStyle name="Normal 5 9" xfId="2842" xr:uid="{00000000-0005-0000-0000-00005A0C0000}"/>
    <cellStyle name="Normal 50" xfId="2843" xr:uid="{00000000-0005-0000-0000-00005B0C0000}"/>
    <cellStyle name="Normal 51" xfId="2844" xr:uid="{00000000-0005-0000-0000-00005C0C0000}"/>
    <cellStyle name="Normal 52" xfId="2845" xr:uid="{00000000-0005-0000-0000-00005D0C0000}"/>
    <cellStyle name="Normal 53" xfId="2846" xr:uid="{00000000-0005-0000-0000-00005E0C0000}"/>
    <cellStyle name="Normal 54" xfId="2847" xr:uid="{00000000-0005-0000-0000-00005F0C0000}"/>
    <cellStyle name="Normal 55" xfId="2848" xr:uid="{00000000-0005-0000-0000-0000600C0000}"/>
    <cellStyle name="Normal 56" xfId="2849" xr:uid="{00000000-0005-0000-0000-0000610C0000}"/>
    <cellStyle name="Normal 57" xfId="2850" xr:uid="{00000000-0005-0000-0000-0000620C0000}"/>
    <cellStyle name="Normal 58" xfId="2851" xr:uid="{00000000-0005-0000-0000-0000630C0000}"/>
    <cellStyle name="Normal 59" xfId="2852" xr:uid="{00000000-0005-0000-0000-0000640C0000}"/>
    <cellStyle name="Normal 6" xfId="135" xr:uid="{00000000-0005-0000-0000-0000650C0000}"/>
    <cellStyle name="Normal 6 10" xfId="2854" xr:uid="{00000000-0005-0000-0000-0000660C0000}"/>
    <cellStyle name="Normal 6 11" xfId="2855" xr:uid="{00000000-0005-0000-0000-0000670C0000}"/>
    <cellStyle name="Normal 6 12" xfId="2856" xr:uid="{00000000-0005-0000-0000-0000680C0000}"/>
    <cellStyle name="Normal 6 13" xfId="2857" xr:uid="{00000000-0005-0000-0000-0000690C0000}"/>
    <cellStyle name="Normal 6 14" xfId="2858" xr:uid="{00000000-0005-0000-0000-00006A0C0000}"/>
    <cellStyle name="Normal 6 15" xfId="2859" xr:uid="{00000000-0005-0000-0000-00006B0C0000}"/>
    <cellStyle name="Normal 6 16" xfId="2860" xr:uid="{00000000-0005-0000-0000-00006C0C0000}"/>
    <cellStyle name="Normal 6 17" xfId="2861" xr:uid="{00000000-0005-0000-0000-00006D0C0000}"/>
    <cellStyle name="Normal 6 18" xfId="4052" xr:uid="{00000000-0005-0000-0000-00006E0C0000}"/>
    <cellStyle name="Normal 6 19" xfId="2853" xr:uid="{00000000-0005-0000-0000-00006F0C0000}"/>
    <cellStyle name="Normal 6 2" xfId="2862" xr:uid="{00000000-0005-0000-0000-0000700C0000}"/>
    <cellStyle name="Normal 6 2 2" xfId="2863" xr:uid="{00000000-0005-0000-0000-0000710C0000}"/>
    <cellStyle name="Normal 6 2 3" xfId="2864" xr:uid="{00000000-0005-0000-0000-0000720C0000}"/>
    <cellStyle name="Normal 6 2 4" xfId="2865" xr:uid="{00000000-0005-0000-0000-0000730C0000}"/>
    <cellStyle name="Normal 6 2 5" xfId="2866" xr:uid="{00000000-0005-0000-0000-0000740C0000}"/>
    <cellStyle name="Normal 6 2 6" xfId="4053" xr:uid="{00000000-0005-0000-0000-0000750C0000}"/>
    <cellStyle name="Normal 6 20" xfId="4460" xr:uid="{0F15559A-EFB4-4BD9-96A3-CD12E9B80CE5}"/>
    <cellStyle name="Normal 6 3" xfId="2867" xr:uid="{00000000-0005-0000-0000-0000760C0000}"/>
    <cellStyle name="Normal 6 3 2" xfId="2868" xr:uid="{00000000-0005-0000-0000-0000770C0000}"/>
    <cellStyle name="Normal 6 4" xfId="2869" xr:uid="{00000000-0005-0000-0000-0000780C0000}"/>
    <cellStyle name="Normal 6 4 2" xfId="2870" xr:uid="{00000000-0005-0000-0000-0000790C0000}"/>
    <cellStyle name="Normal 6 5" xfId="2871" xr:uid="{00000000-0005-0000-0000-00007A0C0000}"/>
    <cellStyle name="Normal 6 5 2" xfId="2872" xr:uid="{00000000-0005-0000-0000-00007B0C0000}"/>
    <cellStyle name="Normal 6 6" xfId="2873" xr:uid="{00000000-0005-0000-0000-00007C0C0000}"/>
    <cellStyle name="Normal 6 7" xfId="2874" xr:uid="{00000000-0005-0000-0000-00007D0C0000}"/>
    <cellStyle name="Normal 6 8" xfId="2875" xr:uid="{00000000-0005-0000-0000-00007E0C0000}"/>
    <cellStyle name="Normal 6 9" xfId="2876" xr:uid="{00000000-0005-0000-0000-00007F0C0000}"/>
    <cellStyle name="Normal 60" xfId="2877" xr:uid="{00000000-0005-0000-0000-0000800C0000}"/>
    <cellStyle name="Normal 61" xfId="2878" xr:uid="{00000000-0005-0000-0000-0000810C0000}"/>
    <cellStyle name="Normal 62" xfId="2879" xr:uid="{00000000-0005-0000-0000-0000820C0000}"/>
    <cellStyle name="Normal 63" xfId="2880" xr:uid="{00000000-0005-0000-0000-0000830C0000}"/>
    <cellStyle name="Normal 64" xfId="2881" xr:uid="{00000000-0005-0000-0000-0000840C0000}"/>
    <cellStyle name="Normal 65" xfId="2882" xr:uid="{00000000-0005-0000-0000-0000850C0000}"/>
    <cellStyle name="Normal 66" xfId="2883" xr:uid="{00000000-0005-0000-0000-0000860C0000}"/>
    <cellStyle name="Normal 67" xfId="2884" xr:uid="{00000000-0005-0000-0000-0000870C0000}"/>
    <cellStyle name="Normal 68" xfId="2885" xr:uid="{00000000-0005-0000-0000-0000880C0000}"/>
    <cellStyle name="Normal 69" xfId="2886" xr:uid="{00000000-0005-0000-0000-0000890C0000}"/>
    <cellStyle name="Normal 7" xfId="136" xr:uid="{00000000-0005-0000-0000-00008A0C0000}"/>
    <cellStyle name="Normal 7 10" xfId="2888" xr:uid="{00000000-0005-0000-0000-00008B0C0000}"/>
    <cellStyle name="Normal 7 11" xfId="4054" xr:uid="{00000000-0005-0000-0000-00008C0C0000}"/>
    <cellStyle name="Normal 7 12" xfId="2887" xr:uid="{00000000-0005-0000-0000-00008D0C0000}"/>
    <cellStyle name="Normal 7 2" xfId="2889" xr:uid="{00000000-0005-0000-0000-00008E0C0000}"/>
    <cellStyle name="Normal 7 2 2" xfId="4055" xr:uid="{00000000-0005-0000-0000-00008F0C0000}"/>
    <cellStyle name="Normal 7 2 3" xfId="4056" xr:uid="{00000000-0005-0000-0000-0000900C0000}"/>
    <cellStyle name="Normal 7 2 4" xfId="4057" xr:uid="{00000000-0005-0000-0000-0000910C0000}"/>
    <cellStyle name="Normal 7 3" xfId="2890" xr:uid="{00000000-0005-0000-0000-0000920C0000}"/>
    <cellStyle name="Normal 7 4" xfId="2891" xr:uid="{00000000-0005-0000-0000-0000930C0000}"/>
    <cellStyle name="Normal 7 5" xfId="2892" xr:uid="{00000000-0005-0000-0000-0000940C0000}"/>
    <cellStyle name="Normal 7 6" xfId="2893" xr:uid="{00000000-0005-0000-0000-0000950C0000}"/>
    <cellStyle name="Normal 7 7" xfId="2894" xr:uid="{00000000-0005-0000-0000-0000960C0000}"/>
    <cellStyle name="Normal 7 8" xfId="2895" xr:uid="{00000000-0005-0000-0000-0000970C0000}"/>
    <cellStyle name="Normal 7 9" xfId="2896" xr:uid="{00000000-0005-0000-0000-0000980C0000}"/>
    <cellStyle name="Normal 70" xfId="2897" xr:uid="{00000000-0005-0000-0000-0000990C0000}"/>
    <cellStyle name="Normal 71" xfId="2898" xr:uid="{00000000-0005-0000-0000-00009A0C0000}"/>
    <cellStyle name="Normal 72" xfId="2899" xr:uid="{00000000-0005-0000-0000-00009B0C0000}"/>
    <cellStyle name="Normal 73" xfId="2900" xr:uid="{00000000-0005-0000-0000-00009C0C0000}"/>
    <cellStyle name="Normal 74" xfId="2901" xr:uid="{00000000-0005-0000-0000-00009D0C0000}"/>
    <cellStyle name="Normal 75" xfId="2902" xr:uid="{00000000-0005-0000-0000-00009E0C0000}"/>
    <cellStyle name="Normal 76" xfId="2903" xr:uid="{00000000-0005-0000-0000-00009F0C0000}"/>
    <cellStyle name="Normal 77" xfId="2904" xr:uid="{00000000-0005-0000-0000-0000A00C0000}"/>
    <cellStyle name="Normal 78" xfId="2905" xr:uid="{00000000-0005-0000-0000-0000A10C0000}"/>
    <cellStyle name="Normal 79" xfId="2906" xr:uid="{00000000-0005-0000-0000-0000A20C0000}"/>
    <cellStyle name="Normal 8" xfId="137" xr:uid="{00000000-0005-0000-0000-0000A30C0000}"/>
    <cellStyle name="Normal 8 10" xfId="2908" xr:uid="{00000000-0005-0000-0000-0000A40C0000}"/>
    <cellStyle name="Normal 8 11" xfId="2909" xr:uid="{00000000-0005-0000-0000-0000A50C0000}"/>
    <cellStyle name="Normal 8 12" xfId="2910" xr:uid="{00000000-0005-0000-0000-0000A60C0000}"/>
    <cellStyle name="Normal 8 13" xfId="2911" xr:uid="{00000000-0005-0000-0000-0000A70C0000}"/>
    <cellStyle name="Normal 8 14" xfId="2912" xr:uid="{00000000-0005-0000-0000-0000A80C0000}"/>
    <cellStyle name="Normal 8 15" xfId="2913" xr:uid="{00000000-0005-0000-0000-0000A90C0000}"/>
    <cellStyle name="Normal 8 16" xfId="2914" xr:uid="{00000000-0005-0000-0000-0000AA0C0000}"/>
    <cellStyle name="Normal 8 17" xfId="2907" xr:uid="{00000000-0005-0000-0000-0000AB0C0000}"/>
    <cellStyle name="Normal 8 2" xfId="2915" xr:uid="{00000000-0005-0000-0000-0000AC0C0000}"/>
    <cellStyle name="Normal 8 2 2" xfId="2916" xr:uid="{00000000-0005-0000-0000-0000AD0C0000}"/>
    <cellStyle name="Normal 8 2 3" xfId="2917" xr:uid="{00000000-0005-0000-0000-0000AE0C0000}"/>
    <cellStyle name="Normal 8 2 4" xfId="2918" xr:uid="{00000000-0005-0000-0000-0000AF0C0000}"/>
    <cellStyle name="Normal 8 2 5" xfId="2919" xr:uid="{00000000-0005-0000-0000-0000B00C0000}"/>
    <cellStyle name="Normal 8 2 6" xfId="4058" xr:uid="{00000000-0005-0000-0000-0000B10C0000}"/>
    <cellStyle name="Normal 8 3" xfId="2920" xr:uid="{00000000-0005-0000-0000-0000B20C0000}"/>
    <cellStyle name="Normal 8 3 2" xfId="2921" xr:uid="{00000000-0005-0000-0000-0000B30C0000}"/>
    <cellStyle name="Normal 8 4" xfId="2922" xr:uid="{00000000-0005-0000-0000-0000B40C0000}"/>
    <cellStyle name="Normal 8 4 2" xfId="2923" xr:uid="{00000000-0005-0000-0000-0000B50C0000}"/>
    <cellStyle name="Normal 8 5" xfId="2924" xr:uid="{00000000-0005-0000-0000-0000B60C0000}"/>
    <cellStyle name="Normal 8 5 2" xfId="2925" xr:uid="{00000000-0005-0000-0000-0000B70C0000}"/>
    <cellStyle name="Normal 8 6" xfId="2926" xr:uid="{00000000-0005-0000-0000-0000B80C0000}"/>
    <cellStyle name="Normal 8 7" xfId="2927" xr:uid="{00000000-0005-0000-0000-0000B90C0000}"/>
    <cellStyle name="Normal 8 8" xfId="2928" xr:uid="{00000000-0005-0000-0000-0000BA0C0000}"/>
    <cellStyle name="Normal 8 9" xfId="2929" xr:uid="{00000000-0005-0000-0000-0000BB0C0000}"/>
    <cellStyle name="Normal 80" xfId="2930" xr:uid="{00000000-0005-0000-0000-0000BC0C0000}"/>
    <cellStyle name="Normal 81" xfId="2931" xr:uid="{00000000-0005-0000-0000-0000BD0C0000}"/>
    <cellStyle name="Normal 82" xfId="2932" xr:uid="{00000000-0005-0000-0000-0000BE0C0000}"/>
    <cellStyle name="Normal 83" xfId="2933" xr:uid="{00000000-0005-0000-0000-0000BF0C0000}"/>
    <cellStyle name="Normal 84" xfId="2934" xr:uid="{00000000-0005-0000-0000-0000C00C0000}"/>
    <cellStyle name="Normal 85" xfId="3745" xr:uid="{00000000-0005-0000-0000-0000C10C0000}"/>
    <cellStyle name="Normal 85 2" xfId="4396" xr:uid="{00000000-0005-0000-0000-0000C20C0000}"/>
    <cellStyle name="Normal 86" xfId="3746" xr:uid="{00000000-0005-0000-0000-0000C30C0000}"/>
    <cellStyle name="Normal 86 2" xfId="4397" xr:uid="{00000000-0005-0000-0000-0000C40C0000}"/>
    <cellStyle name="Normal 87" xfId="3747" xr:uid="{00000000-0005-0000-0000-0000C50C0000}"/>
    <cellStyle name="Normal 87 2" xfId="4398" xr:uid="{00000000-0005-0000-0000-0000C60C0000}"/>
    <cellStyle name="Normal 88" xfId="3748" xr:uid="{00000000-0005-0000-0000-0000C70C0000}"/>
    <cellStyle name="Normal 88 2" xfId="4399" xr:uid="{00000000-0005-0000-0000-0000C80C0000}"/>
    <cellStyle name="Normal 89" xfId="3749" xr:uid="{00000000-0005-0000-0000-0000C90C0000}"/>
    <cellStyle name="Normal 89 2" xfId="4400" xr:uid="{00000000-0005-0000-0000-0000CA0C0000}"/>
    <cellStyle name="Normal 9" xfId="2935" xr:uid="{00000000-0005-0000-0000-0000CB0C0000}"/>
    <cellStyle name="Normal 9 10" xfId="2936" xr:uid="{00000000-0005-0000-0000-0000CC0C0000}"/>
    <cellStyle name="Normal 9 11" xfId="2937" xr:uid="{00000000-0005-0000-0000-0000CD0C0000}"/>
    <cellStyle name="Normal 9 12" xfId="2938" xr:uid="{00000000-0005-0000-0000-0000CE0C0000}"/>
    <cellStyle name="Normal 9 13" xfId="2939" xr:uid="{00000000-0005-0000-0000-0000CF0C0000}"/>
    <cellStyle name="Normal 9 14" xfId="2940" xr:uid="{00000000-0005-0000-0000-0000D00C0000}"/>
    <cellStyle name="Normal 9 15" xfId="2941" xr:uid="{00000000-0005-0000-0000-0000D10C0000}"/>
    <cellStyle name="Normal 9 16" xfId="2942" xr:uid="{00000000-0005-0000-0000-0000D20C0000}"/>
    <cellStyle name="Normal 9 17" xfId="2943" xr:uid="{00000000-0005-0000-0000-0000D30C0000}"/>
    <cellStyle name="Normal 9 18" xfId="2944" xr:uid="{00000000-0005-0000-0000-0000D40C0000}"/>
    <cellStyle name="Normal 9 19" xfId="4059" xr:uid="{00000000-0005-0000-0000-0000D50C0000}"/>
    <cellStyle name="Normal 9 2" xfId="2945" xr:uid="{00000000-0005-0000-0000-0000D60C0000}"/>
    <cellStyle name="Normal 9 2 2" xfId="2946" xr:uid="{00000000-0005-0000-0000-0000D70C0000}"/>
    <cellStyle name="Normal 9 2 3" xfId="2947" xr:uid="{00000000-0005-0000-0000-0000D80C0000}"/>
    <cellStyle name="Normal 9 2 4" xfId="2948" xr:uid="{00000000-0005-0000-0000-0000D90C0000}"/>
    <cellStyle name="Normal 9 2 5" xfId="2949" xr:uid="{00000000-0005-0000-0000-0000DA0C0000}"/>
    <cellStyle name="Normal 9 2 6" xfId="4060" xr:uid="{00000000-0005-0000-0000-0000DB0C0000}"/>
    <cellStyle name="Normal 9 3" xfId="2950" xr:uid="{00000000-0005-0000-0000-0000DC0C0000}"/>
    <cellStyle name="Normal 9 3 2" xfId="2951" xr:uid="{00000000-0005-0000-0000-0000DD0C0000}"/>
    <cellStyle name="Normal 9 4" xfId="2952" xr:uid="{00000000-0005-0000-0000-0000DE0C0000}"/>
    <cellStyle name="Normal 9 4 2" xfId="2953" xr:uid="{00000000-0005-0000-0000-0000DF0C0000}"/>
    <cellStyle name="Normal 9 5" xfId="2954" xr:uid="{00000000-0005-0000-0000-0000E00C0000}"/>
    <cellStyle name="Normal 9 5 2" xfId="2955" xr:uid="{00000000-0005-0000-0000-0000E10C0000}"/>
    <cellStyle name="Normal 9 6" xfId="2956" xr:uid="{00000000-0005-0000-0000-0000E20C0000}"/>
    <cellStyle name="Normal 9 7" xfId="2957" xr:uid="{00000000-0005-0000-0000-0000E30C0000}"/>
    <cellStyle name="Normal 9 8" xfId="2958" xr:uid="{00000000-0005-0000-0000-0000E40C0000}"/>
    <cellStyle name="Normal 9 9" xfId="2959" xr:uid="{00000000-0005-0000-0000-0000E50C0000}"/>
    <cellStyle name="Normal 90" xfId="3750" xr:uid="{00000000-0005-0000-0000-0000E60C0000}"/>
    <cellStyle name="Normal 90 2" xfId="4401" xr:uid="{00000000-0005-0000-0000-0000E70C0000}"/>
    <cellStyle name="Normal 91" xfId="3751" xr:uid="{00000000-0005-0000-0000-0000E80C0000}"/>
    <cellStyle name="Normal 91 2" xfId="4402" xr:uid="{00000000-0005-0000-0000-0000E90C0000}"/>
    <cellStyle name="Normal 92" xfId="3752" xr:uid="{00000000-0005-0000-0000-0000EA0C0000}"/>
    <cellStyle name="Normal 92 2" xfId="4403" xr:uid="{00000000-0005-0000-0000-0000EB0C0000}"/>
    <cellStyle name="Normal 93" xfId="3753" xr:uid="{00000000-0005-0000-0000-0000EC0C0000}"/>
    <cellStyle name="Normal 93 2" xfId="4404" xr:uid="{00000000-0005-0000-0000-0000ED0C0000}"/>
    <cellStyle name="Normal 94" xfId="3754" xr:uid="{00000000-0005-0000-0000-0000EE0C0000}"/>
    <cellStyle name="Normal 94 2" xfId="4405" xr:uid="{00000000-0005-0000-0000-0000EF0C0000}"/>
    <cellStyle name="Normal 95" xfId="4061" xr:uid="{00000000-0005-0000-0000-0000F00C0000}"/>
    <cellStyle name="Normal 96" xfId="4062" xr:uid="{00000000-0005-0000-0000-0000F10C0000}"/>
    <cellStyle name="Normal 97" xfId="4063" xr:uid="{00000000-0005-0000-0000-0000F20C0000}"/>
    <cellStyle name="Normal 98" xfId="4064" xr:uid="{00000000-0005-0000-0000-0000F30C0000}"/>
    <cellStyle name="Normal 99" xfId="4065" xr:uid="{00000000-0005-0000-0000-0000F40C0000}"/>
    <cellStyle name="Normal_Sheet1_LOCAL COPY IRIS - IPL Reg Impact and Spend Report - 4-13-2009 Final Submission" xfId="4430" xr:uid="{00000000-0005-0000-0000-0000F70C0000}"/>
    <cellStyle name="Note 10 2" xfId="2960" xr:uid="{00000000-0005-0000-0000-0000F80C0000}"/>
    <cellStyle name="Note 10 2 2" xfId="4066" xr:uid="{00000000-0005-0000-0000-0000F90C0000}"/>
    <cellStyle name="Note 10 2 2 2" xfId="4843" xr:uid="{E258164D-DDEF-4C2F-905D-0C678419F6B1}"/>
    <cellStyle name="Note 10 2 2 2 2" xfId="6223" xr:uid="{3AFEF568-D920-4E05-B429-6BF4084F995C}"/>
    <cellStyle name="Note 10 2 2 2 3" xfId="6913" xr:uid="{A1FC9082-FDA1-41F6-958B-F992129EA89C}"/>
    <cellStyle name="Note 10 2 2 3" xfId="5447" xr:uid="{393FF629-833E-46E6-8920-095E23CC35A9}"/>
    <cellStyle name="Note 10 2 3" xfId="4543" xr:uid="{913C3F3B-EA38-4214-A3A0-E0E2E85EAB28}"/>
    <cellStyle name="Note 10 2 3 2" xfId="5923" xr:uid="{4EF0D9F6-83C4-4ADE-9D8A-6E9F59746FFC}"/>
    <cellStyle name="Note 10 2 3 3" xfId="6613" xr:uid="{8CE4FA25-4764-4A89-9FD3-30E5FE0DE871}"/>
    <cellStyle name="Note 10 2 4" xfId="5705" xr:uid="{66CCD1FF-C467-46F2-AC4F-D51E8C26D2F2}"/>
    <cellStyle name="Note 10 3" xfId="2961" xr:uid="{00000000-0005-0000-0000-0000FA0C0000}"/>
    <cellStyle name="Note 10 3 2" xfId="4067" xr:uid="{00000000-0005-0000-0000-0000FB0C0000}"/>
    <cellStyle name="Note 10 3 2 2" xfId="4844" xr:uid="{FE3E00EA-11B7-4F4A-9A20-A99CA105375F}"/>
    <cellStyle name="Note 10 3 2 2 2" xfId="6224" xr:uid="{201D67C7-70E2-4CFD-9876-08A822FF6B71}"/>
    <cellStyle name="Note 10 3 2 2 3" xfId="6914" xr:uid="{F3AAE726-D663-49C7-ADB1-3D4E6C4704F6}"/>
    <cellStyle name="Note 10 3 2 3" xfId="5446" xr:uid="{DA90B76C-CA30-4B0F-9C69-85D23203495E}"/>
    <cellStyle name="Note 10 3 3" xfId="4544" xr:uid="{2BD5EB5E-1A59-4AAC-B70C-C81AD99534AF}"/>
    <cellStyle name="Note 10 3 3 2" xfId="5924" xr:uid="{1E9BA4AB-D482-4B47-85E8-A4FBAA00A4C3}"/>
    <cellStyle name="Note 10 3 3 3" xfId="6614" xr:uid="{6BA6E096-E1D7-40A5-A3A8-F733ED0C03A6}"/>
    <cellStyle name="Note 10 3 4" xfId="5704" xr:uid="{49733E9E-DD75-4C06-8E7E-FF4156850B40}"/>
    <cellStyle name="Note 11 2" xfId="2962" xr:uid="{00000000-0005-0000-0000-0000FC0C0000}"/>
    <cellStyle name="Note 11 2 2" xfId="4068" xr:uid="{00000000-0005-0000-0000-0000FD0C0000}"/>
    <cellStyle name="Note 11 2 2 2" xfId="4845" xr:uid="{16D04289-3DA9-4D24-BCBF-0A61C5D92922}"/>
    <cellStyle name="Note 11 2 2 2 2" xfId="6225" xr:uid="{DCC56FDF-CDE4-4AB4-B779-8369C83CCA24}"/>
    <cellStyle name="Note 11 2 2 2 3" xfId="6915" xr:uid="{40AB0EAA-1631-4FC2-9E2E-63F35CF91A96}"/>
    <cellStyle name="Note 11 2 2 3" xfId="5445" xr:uid="{F3EF4E7A-C505-4892-92F7-98CE6E175D0F}"/>
    <cellStyle name="Note 11 2 3" xfId="4545" xr:uid="{C43B8306-8DBD-4342-A327-1CA075E7C60D}"/>
    <cellStyle name="Note 11 2 3 2" xfId="5925" xr:uid="{AE127706-D6FB-498F-903E-F77F2E62C100}"/>
    <cellStyle name="Note 11 2 3 3" xfId="6615" xr:uid="{A8F11694-EA6D-4268-927B-45FF1F320FE8}"/>
    <cellStyle name="Note 11 2 4" xfId="5703" xr:uid="{86FBEB39-CCD0-4C63-A0CB-F5ABE7335F69}"/>
    <cellStyle name="Note 11 3" xfId="2963" xr:uid="{00000000-0005-0000-0000-0000FE0C0000}"/>
    <cellStyle name="Note 11 3 2" xfId="4069" xr:uid="{00000000-0005-0000-0000-0000FF0C0000}"/>
    <cellStyle name="Note 11 3 2 2" xfId="4846" xr:uid="{D8BBC9F6-5B2D-49B4-8A1A-DD50E5950143}"/>
    <cellStyle name="Note 11 3 2 2 2" xfId="6226" xr:uid="{ABFF88C2-798A-489B-BA3B-03816C75E2DB}"/>
    <cellStyle name="Note 11 3 2 2 3" xfId="6916" xr:uid="{023401F5-103A-4D96-87CE-2C9CCC8ED4BA}"/>
    <cellStyle name="Note 11 3 2 3" xfId="5444" xr:uid="{25A52450-114D-4D5F-AA0C-D11890270990}"/>
    <cellStyle name="Note 11 3 3" xfId="4546" xr:uid="{0657FED9-25A4-42CC-828B-8EF8ABFCCE3D}"/>
    <cellStyle name="Note 11 3 3 2" xfId="5926" xr:uid="{EBCD8A41-D34F-427B-A5C3-68AF91E62832}"/>
    <cellStyle name="Note 11 3 3 3" xfId="6616" xr:uid="{987AEBDD-5A31-439E-97AA-043C5C2F8CE0}"/>
    <cellStyle name="Note 11 3 4" xfId="5702" xr:uid="{0AC13C7F-0099-4F8D-890D-9447B08CF462}"/>
    <cellStyle name="Note 12 2" xfId="2964" xr:uid="{00000000-0005-0000-0000-0000000D0000}"/>
    <cellStyle name="Note 12 2 2" xfId="4070" xr:uid="{00000000-0005-0000-0000-0000010D0000}"/>
    <cellStyle name="Note 12 2 2 2" xfId="4847" xr:uid="{9CBE5466-3F19-4917-8645-3FE1EDFF247F}"/>
    <cellStyle name="Note 12 2 2 2 2" xfId="6227" xr:uid="{791AE154-8C84-4F43-9DFD-A42A2E8355F8}"/>
    <cellStyle name="Note 12 2 2 2 3" xfId="6917" xr:uid="{83192AD6-AEE3-4937-A482-FBC18392D561}"/>
    <cellStyle name="Note 12 2 2 3" xfId="5443" xr:uid="{F279DF7A-0898-4886-AB94-2F4552EC612C}"/>
    <cellStyle name="Note 12 2 3" xfId="4547" xr:uid="{0E55C358-1D74-4BCB-A496-68DAD88B7D7B}"/>
    <cellStyle name="Note 12 2 3 2" xfId="5927" xr:uid="{2724E147-30BE-4946-9D31-96F49870DEED}"/>
    <cellStyle name="Note 12 2 3 3" xfId="6617" xr:uid="{5C762F27-0A83-4291-9765-06F065AF8EB7}"/>
    <cellStyle name="Note 12 2 4" xfId="5701" xr:uid="{3F19A97E-0175-4D6F-A707-568594400B43}"/>
    <cellStyle name="Note 12 3" xfId="2965" xr:uid="{00000000-0005-0000-0000-0000020D0000}"/>
    <cellStyle name="Note 12 3 2" xfId="4071" xr:uid="{00000000-0005-0000-0000-0000030D0000}"/>
    <cellStyle name="Note 12 3 2 2" xfId="4848" xr:uid="{0FA3FF4A-EB69-41CD-8EDD-CB0EF46E74F4}"/>
    <cellStyle name="Note 12 3 2 2 2" xfId="6228" xr:uid="{3471D499-8060-4BE0-9152-E66C1B00840D}"/>
    <cellStyle name="Note 12 3 2 2 3" xfId="6918" xr:uid="{71EA674E-01DD-46DD-9539-041DC4135D8E}"/>
    <cellStyle name="Note 12 3 2 3" xfId="5442" xr:uid="{5DD07FA9-83B2-43DF-A3E5-0707F0FE0413}"/>
    <cellStyle name="Note 12 3 3" xfId="4548" xr:uid="{992682B4-666C-4D58-93A4-ACC6C0837367}"/>
    <cellStyle name="Note 12 3 3 2" xfId="5928" xr:uid="{638DBD0C-72B9-439C-8F53-1BF8190DA2A6}"/>
    <cellStyle name="Note 12 3 3 3" xfId="6618" xr:uid="{7FE6C88A-A2E4-42CD-B0D0-5C0C28FF003D}"/>
    <cellStyle name="Note 12 3 4" xfId="5700" xr:uid="{EFF4D02F-9273-42C7-AD3A-D4D5B45279F1}"/>
    <cellStyle name="Note 13 2" xfId="2966" xr:uid="{00000000-0005-0000-0000-0000040D0000}"/>
    <cellStyle name="Note 13 2 2" xfId="4072" xr:uid="{00000000-0005-0000-0000-0000050D0000}"/>
    <cellStyle name="Note 13 2 2 2" xfId="4849" xr:uid="{02B18F59-9F5E-4BD7-93D4-E03DF7656B93}"/>
    <cellStyle name="Note 13 2 2 2 2" xfId="6229" xr:uid="{2A3173A9-B726-402A-A141-720DCB4070F2}"/>
    <cellStyle name="Note 13 2 2 2 3" xfId="6919" xr:uid="{B70B17B7-D111-4CFD-9DE2-7E5E3F7C58AF}"/>
    <cellStyle name="Note 13 2 2 3" xfId="5441" xr:uid="{489206BD-335A-4F1C-A9C3-7312B8B9B507}"/>
    <cellStyle name="Note 13 2 3" xfId="4549" xr:uid="{7D264A29-731D-4913-8C46-008E4D401E3E}"/>
    <cellStyle name="Note 13 2 3 2" xfId="5929" xr:uid="{36127C06-D356-4005-8892-95F88E504BDC}"/>
    <cellStyle name="Note 13 2 3 3" xfId="6619" xr:uid="{F005A480-D74F-46F2-AB7F-E8947DA315CD}"/>
    <cellStyle name="Note 13 2 4" xfId="5699" xr:uid="{8A001E2E-586E-4710-BE96-3806C340BD0C}"/>
    <cellStyle name="Note 13 3" xfId="2967" xr:uid="{00000000-0005-0000-0000-0000060D0000}"/>
    <cellStyle name="Note 13 3 2" xfId="4073" xr:uid="{00000000-0005-0000-0000-0000070D0000}"/>
    <cellStyle name="Note 13 3 2 2" xfId="4850" xr:uid="{F19FFCEC-11C4-4265-BFDB-0DBFBE8C64B8}"/>
    <cellStyle name="Note 13 3 2 2 2" xfId="6230" xr:uid="{9F8B2B59-ABD0-41C6-AF4E-703B0791C128}"/>
    <cellStyle name="Note 13 3 2 2 3" xfId="6920" xr:uid="{703F4753-FB49-4CCE-8B5B-29AA3B339AAA}"/>
    <cellStyle name="Note 13 3 2 3" xfId="5440" xr:uid="{8FA4218B-40C7-4F85-B7E9-65EC4872AC6E}"/>
    <cellStyle name="Note 13 3 3" xfId="4550" xr:uid="{B715AF70-6B2E-45FD-97E3-B9440781780D}"/>
    <cellStyle name="Note 13 3 3 2" xfId="5930" xr:uid="{6E475AE4-7451-4537-ACB0-4FFB8072EEA0}"/>
    <cellStyle name="Note 13 3 3 3" xfId="6620" xr:uid="{80AE7D6D-6FDA-4458-BE5C-A74834D973BC}"/>
    <cellStyle name="Note 13 3 4" xfId="5698" xr:uid="{239EB18C-592E-4A19-8680-AA58FD800A2A}"/>
    <cellStyle name="Note 14 2" xfId="2968" xr:uid="{00000000-0005-0000-0000-0000080D0000}"/>
    <cellStyle name="Note 14 2 2" xfId="4074" xr:uid="{00000000-0005-0000-0000-0000090D0000}"/>
    <cellStyle name="Note 14 2 2 2" xfId="4851" xr:uid="{67C33A40-53AF-4EF4-A440-76E8E314EB19}"/>
    <cellStyle name="Note 14 2 2 2 2" xfId="6231" xr:uid="{21B66AC1-EA7F-4EA1-B5D7-70165E1F95EB}"/>
    <cellStyle name="Note 14 2 2 2 3" xfId="6921" xr:uid="{393F4A99-61E7-4DD0-87C7-88D583980DDE}"/>
    <cellStyle name="Note 14 2 2 3" xfId="5439" xr:uid="{57BEC591-E60A-40C8-8822-5D3946B357DE}"/>
    <cellStyle name="Note 14 2 3" xfId="4551" xr:uid="{B3A3160D-73D0-4ACA-9BBF-244F7D49E598}"/>
    <cellStyle name="Note 14 2 3 2" xfId="5931" xr:uid="{CCE8F95C-9FE5-4AE1-9A72-6830E87FA3B6}"/>
    <cellStyle name="Note 14 2 3 3" xfId="6621" xr:uid="{7AC42C59-5925-4CC5-9AA6-27F4BBB828BD}"/>
    <cellStyle name="Note 14 2 4" xfId="5697" xr:uid="{65483C8A-9BD1-4096-8FEB-5444C511F548}"/>
    <cellStyle name="Note 14 3" xfId="2969" xr:uid="{00000000-0005-0000-0000-00000A0D0000}"/>
    <cellStyle name="Note 14 3 2" xfId="4075" xr:uid="{00000000-0005-0000-0000-00000B0D0000}"/>
    <cellStyle name="Note 14 3 2 2" xfId="4852" xr:uid="{EFB65649-2A80-457B-A899-7D3543E0AF4D}"/>
    <cellStyle name="Note 14 3 2 2 2" xfId="6232" xr:uid="{5BAF50EC-7AFC-404E-AB57-D47B63D80C43}"/>
    <cellStyle name="Note 14 3 2 2 3" xfId="6922" xr:uid="{8F846BE0-F0B7-4B91-A4C8-46EF70E71708}"/>
    <cellStyle name="Note 14 3 2 3" xfId="5438" xr:uid="{01CB058B-91AB-4849-A70C-49DEADB65159}"/>
    <cellStyle name="Note 14 3 3" xfId="4552" xr:uid="{832FE012-7F04-402F-B816-93BF0478DC0E}"/>
    <cellStyle name="Note 14 3 3 2" xfId="5932" xr:uid="{52461B22-9DCC-44CB-A42D-30BFEE901D61}"/>
    <cellStyle name="Note 14 3 3 3" xfId="6622" xr:uid="{EE3AB951-AC2E-4D02-91F5-BC433DEC126A}"/>
    <cellStyle name="Note 14 3 4" xfId="5696" xr:uid="{F0B1A0D3-0006-47FA-A8B7-0F6506BDA1F2}"/>
    <cellStyle name="Note 15 2" xfId="2970" xr:uid="{00000000-0005-0000-0000-00000C0D0000}"/>
    <cellStyle name="Note 15 2 2" xfId="4076" xr:uid="{00000000-0005-0000-0000-00000D0D0000}"/>
    <cellStyle name="Note 15 2 2 2" xfId="4853" xr:uid="{694D9E6E-1DEB-4A6B-95FE-F632CCCAAE6B}"/>
    <cellStyle name="Note 15 2 2 2 2" xfId="6233" xr:uid="{576426CB-B387-417D-AF19-99426014ADD0}"/>
    <cellStyle name="Note 15 2 2 2 3" xfId="6923" xr:uid="{8BFD5575-00A6-46E0-A7C1-D402BB733DF2}"/>
    <cellStyle name="Note 15 2 2 3" xfId="5437" xr:uid="{04B9A731-7728-4852-B2A8-32DBCBD02027}"/>
    <cellStyle name="Note 15 2 3" xfId="4553" xr:uid="{01D0C4B8-AA6F-4283-9CB4-1E46441C6239}"/>
    <cellStyle name="Note 15 2 3 2" xfId="5933" xr:uid="{911B88B6-8DA4-4D7D-A70B-DB5C3C6FAE36}"/>
    <cellStyle name="Note 15 2 3 3" xfId="6623" xr:uid="{2A148173-E616-4B85-A11D-FCB824D1E790}"/>
    <cellStyle name="Note 15 2 4" xfId="5695" xr:uid="{14EE1A56-689D-46B2-B9D8-54462505D1F3}"/>
    <cellStyle name="Note 15 3" xfId="2971" xr:uid="{00000000-0005-0000-0000-00000E0D0000}"/>
    <cellStyle name="Note 15 3 2" xfId="4077" xr:uid="{00000000-0005-0000-0000-00000F0D0000}"/>
    <cellStyle name="Note 15 3 2 2" xfId="4854" xr:uid="{2D861838-8EFA-4526-90BA-28EFD70B5866}"/>
    <cellStyle name="Note 15 3 2 2 2" xfId="6234" xr:uid="{1297ECCD-E6E4-4833-ADDB-1DF55DC7C221}"/>
    <cellStyle name="Note 15 3 2 2 3" xfId="6924" xr:uid="{4B879E51-5A27-4BF5-A6BE-2DE4585CEFE8}"/>
    <cellStyle name="Note 15 3 2 3" xfId="5436" xr:uid="{BDFDBCCE-471D-4C35-AD73-7E9EE98ECD43}"/>
    <cellStyle name="Note 15 3 3" xfId="4554" xr:uid="{74360D21-F53D-4FF4-99F1-5509885C8585}"/>
    <cellStyle name="Note 15 3 3 2" xfId="5934" xr:uid="{3372BD9A-829E-447D-94BD-70273C7F3E2B}"/>
    <cellStyle name="Note 15 3 3 3" xfId="6624" xr:uid="{8D0A407D-CAF7-483A-9E63-8077413B0B60}"/>
    <cellStyle name="Note 15 3 4" xfId="5694" xr:uid="{0625C41A-6155-4F6A-94D9-DE62BEFCCF54}"/>
    <cellStyle name="Note 16" xfId="2972" xr:uid="{00000000-0005-0000-0000-0000100D0000}"/>
    <cellStyle name="Note 16 10" xfId="5693" xr:uid="{5C9FD7A4-95FD-471E-A46B-2EB36F2AC145}"/>
    <cellStyle name="Note 16 2" xfId="2973" xr:uid="{00000000-0005-0000-0000-0000110D0000}"/>
    <cellStyle name="Note 16 2 2" xfId="4078" xr:uid="{00000000-0005-0000-0000-0000120D0000}"/>
    <cellStyle name="Note 16 2 2 2" xfId="4855" xr:uid="{E10BCBB9-C43C-422C-A055-5E405067EBFF}"/>
    <cellStyle name="Note 16 2 2 2 2" xfId="6235" xr:uid="{0FFB54D8-9B40-4A43-A4B0-50F6B35F9879}"/>
    <cellStyle name="Note 16 2 2 2 3" xfId="6925" xr:uid="{C28D7C82-A925-4717-954A-513EFC9B7A48}"/>
    <cellStyle name="Note 16 2 2 3" xfId="5435" xr:uid="{2FC56CB8-4E79-4D45-A7CC-3CAD947494F3}"/>
    <cellStyle name="Note 16 2 3" xfId="4556" xr:uid="{F8790928-AC71-4429-9C85-EA12B016EE40}"/>
    <cellStyle name="Note 16 2 3 2" xfId="5936" xr:uid="{19262583-0613-420D-B9E0-6D5616610ABC}"/>
    <cellStyle name="Note 16 2 3 3" xfId="6626" xr:uid="{CCDA4226-54BD-4892-82B9-06D3230F3E63}"/>
    <cellStyle name="Note 16 2 4" xfId="5692" xr:uid="{322AB0B3-BE03-48A8-9DCC-71BA4E121F66}"/>
    <cellStyle name="Note 16 3" xfId="2974" xr:uid="{00000000-0005-0000-0000-0000130D0000}"/>
    <cellStyle name="Note 16 3 2" xfId="4079" xr:uid="{00000000-0005-0000-0000-0000140D0000}"/>
    <cellStyle name="Note 16 3 2 2" xfId="4856" xr:uid="{B513662B-592C-452C-96B0-EF6B22CCFC2E}"/>
    <cellStyle name="Note 16 3 2 2 2" xfId="6236" xr:uid="{707917C0-DDFF-4190-A5BF-FFDA6C89B6C4}"/>
    <cellStyle name="Note 16 3 2 2 3" xfId="6926" xr:uid="{D5EBFEDE-0974-42B1-B9B6-A16B89646F7A}"/>
    <cellStyle name="Note 16 3 2 3" xfId="5434" xr:uid="{A5A1CAC3-C8BA-4596-8916-C9196BA2A838}"/>
    <cellStyle name="Note 16 3 3" xfId="4557" xr:uid="{1DDE6CB5-B38D-46CD-A69C-E82FAE24BD0B}"/>
    <cellStyle name="Note 16 3 3 2" xfId="5937" xr:uid="{C695B254-997C-4C9C-9A5B-04038D5400A3}"/>
    <cellStyle name="Note 16 3 3 3" xfId="6627" xr:uid="{A57AE992-CC0B-4655-8067-EEE763C7BE8B}"/>
    <cellStyle name="Note 16 3 4" xfId="5691" xr:uid="{48C8B874-A6B3-4A02-AD38-6459BEC40E24}"/>
    <cellStyle name="Note 16 4" xfId="2975" xr:uid="{00000000-0005-0000-0000-0000150D0000}"/>
    <cellStyle name="Note 16 4 2" xfId="4080" xr:uid="{00000000-0005-0000-0000-0000160D0000}"/>
    <cellStyle name="Note 16 4 2 2" xfId="4857" xr:uid="{B21200C3-AAD6-4CE9-8CA9-EC2C190DD05A}"/>
    <cellStyle name="Note 16 4 2 2 2" xfId="6237" xr:uid="{2C0D7F46-4176-4F17-A5EA-5DA8F9C89575}"/>
    <cellStyle name="Note 16 4 2 2 3" xfId="6927" xr:uid="{063BB790-D18C-411A-9709-32F623941569}"/>
    <cellStyle name="Note 16 4 2 3" xfId="5433" xr:uid="{A7A2849A-BC47-4E4A-A0F7-9849C5904277}"/>
    <cellStyle name="Note 16 4 3" xfId="4558" xr:uid="{2404F0D8-0E34-41F7-B6E7-BF042DC7DAE2}"/>
    <cellStyle name="Note 16 4 3 2" xfId="5938" xr:uid="{2DDF33AB-54EB-4BE1-BC85-23B44D376654}"/>
    <cellStyle name="Note 16 4 3 3" xfId="6628" xr:uid="{8C65C9A0-2F88-4B79-B4EC-DACBBA6B908B}"/>
    <cellStyle name="Note 16 4 4" xfId="5690" xr:uid="{657E4A54-E0DF-4F54-86EF-1521DDB0FA1F}"/>
    <cellStyle name="Note 16 5" xfId="2976" xr:uid="{00000000-0005-0000-0000-0000170D0000}"/>
    <cellStyle name="Note 16 5 2" xfId="4081" xr:uid="{00000000-0005-0000-0000-0000180D0000}"/>
    <cellStyle name="Note 16 5 2 2" xfId="4858" xr:uid="{9496BFF0-590A-4ADC-B237-39D5A772FF61}"/>
    <cellStyle name="Note 16 5 2 2 2" xfId="6238" xr:uid="{AE3A907F-C19B-44A8-BF99-8F1801E2D50F}"/>
    <cellStyle name="Note 16 5 2 2 3" xfId="6928" xr:uid="{68BB4BC2-031B-409C-80E6-E2C1DCC5E933}"/>
    <cellStyle name="Note 16 5 2 3" xfId="5432" xr:uid="{424BE36B-13A9-4A43-942C-E3472AEDEC9F}"/>
    <cellStyle name="Note 16 5 3" xfId="4559" xr:uid="{F88475F1-2E07-4ABA-A054-3F4E0E07D7CF}"/>
    <cellStyle name="Note 16 5 3 2" xfId="5939" xr:uid="{84EAFEAA-6BA1-4E46-BB6C-7BEFA116954C}"/>
    <cellStyle name="Note 16 5 3 3" xfId="6629" xr:uid="{5B316246-49D1-4440-AF4A-4D5BBCCF6B72}"/>
    <cellStyle name="Note 16 5 4" xfId="5689" xr:uid="{F40529AE-8187-4CF8-BCC6-A30BBF55FB30}"/>
    <cellStyle name="Note 16 6" xfId="2977" xr:uid="{00000000-0005-0000-0000-0000190D0000}"/>
    <cellStyle name="Note 16 6 2" xfId="4082" xr:uid="{00000000-0005-0000-0000-00001A0D0000}"/>
    <cellStyle name="Note 16 6 2 2" xfId="4859" xr:uid="{655497AF-2CC1-4082-BC0F-0D808B249546}"/>
    <cellStyle name="Note 16 6 2 2 2" xfId="6239" xr:uid="{B92B87AA-7609-438E-A526-5C7882AB52C6}"/>
    <cellStyle name="Note 16 6 2 2 3" xfId="6929" xr:uid="{2F4D7F69-C4D4-4737-9CE7-A25B2A917515}"/>
    <cellStyle name="Note 16 6 2 3" xfId="5431" xr:uid="{DC4C8BF9-B284-4DEC-9646-9E8BAC8D044B}"/>
    <cellStyle name="Note 16 6 3" xfId="4560" xr:uid="{5C898C82-D7C4-48D8-AA6C-20A4E18356EC}"/>
    <cellStyle name="Note 16 6 3 2" xfId="5940" xr:uid="{B4AEEDB8-BADE-4E24-8FC9-1B12A6777B4C}"/>
    <cellStyle name="Note 16 6 3 3" xfId="6630" xr:uid="{713884CD-925D-4B86-920B-F21D1794E8A7}"/>
    <cellStyle name="Note 16 6 4" xfId="5688" xr:uid="{82FBA7EA-50D3-43AB-948D-4C595C462AC7}"/>
    <cellStyle name="Note 16 7" xfId="2978" xr:uid="{00000000-0005-0000-0000-00001B0D0000}"/>
    <cellStyle name="Note 16 7 2" xfId="4083" xr:uid="{00000000-0005-0000-0000-00001C0D0000}"/>
    <cellStyle name="Note 16 7 2 2" xfId="4860" xr:uid="{A6E8D1BB-8906-4822-9922-1EC42146075A}"/>
    <cellStyle name="Note 16 7 2 2 2" xfId="6240" xr:uid="{D1D38468-EC0E-4E89-ABED-119BD7687EDF}"/>
    <cellStyle name="Note 16 7 2 2 3" xfId="6930" xr:uid="{847E493F-D43B-42AD-9EF2-05A68ADB82E7}"/>
    <cellStyle name="Note 16 7 2 3" xfId="5430" xr:uid="{D4B49329-A6E3-46AD-977B-7D3784EB2BA0}"/>
    <cellStyle name="Note 16 7 3" xfId="4561" xr:uid="{6C8F5157-B001-4408-8B55-FB23CBE64AC8}"/>
    <cellStyle name="Note 16 7 3 2" xfId="5941" xr:uid="{47C4768F-5177-40F1-9C97-0D91D2380109}"/>
    <cellStyle name="Note 16 7 3 3" xfId="6631" xr:uid="{F74FD6EE-9443-4CB7-8399-C7950939539B}"/>
    <cellStyle name="Note 16 7 4" xfId="5687" xr:uid="{D2D8B2B8-8F25-4935-9B78-75D2FB7DA507}"/>
    <cellStyle name="Note 16 8" xfId="4084" xr:uid="{00000000-0005-0000-0000-00001D0D0000}"/>
    <cellStyle name="Note 16 8 2" xfId="4861" xr:uid="{685DB599-B553-4EC5-91B4-A97D34A98172}"/>
    <cellStyle name="Note 16 8 2 2" xfId="6241" xr:uid="{F1488994-C05D-47C5-9ED6-931215F4260D}"/>
    <cellStyle name="Note 16 8 2 3" xfId="6931" xr:uid="{D87A9EE5-DAB3-44D8-BA18-F2E65504A214}"/>
    <cellStyle name="Note 16 8 3" xfId="5429" xr:uid="{65AE1FD1-3AD7-4780-A5A0-B8F3B8FCE59A}"/>
    <cellStyle name="Note 16 9" xfId="4555" xr:uid="{AE53E8D7-1E37-477E-80B3-8957AB1E9B66}"/>
    <cellStyle name="Note 16 9 2" xfId="5935" xr:uid="{74C8CA2A-6DB6-4775-8C54-C96849E2BB15}"/>
    <cellStyle name="Note 16 9 3" xfId="6625" xr:uid="{0425B46C-EC2A-4D4C-A88E-4D2132CE597D}"/>
    <cellStyle name="Note 17" xfId="2979" xr:uid="{00000000-0005-0000-0000-00001E0D0000}"/>
    <cellStyle name="Note 17 2" xfId="4085" xr:uid="{00000000-0005-0000-0000-00001F0D0000}"/>
    <cellStyle name="Note 17 2 2" xfId="4862" xr:uid="{D69FF9BE-8DB0-48B9-A859-194450729EB6}"/>
    <cellStyle name="Note 17 2 2 2" xfId="6242" xr:uid="{F0FECF9C-B272-41D9-8833-68624AF7030E}"/>
    <cellStyle name="Note 17 2 2 3" xfId="6932" xr:uid="{6614C486-A506-45AD-AB9B-0DD56107213D}"/>
    <cellStyle name="Note 17 2 3" xfId="5428" xr:uid="{3268FCD4-F719-4301-977B-071B32C9D2FC}"/>
    <cellStyle name="Note 17 3" xfId="4562" xr:uid="{35FED77C-E3A1-4FC7-A2FC-0F9C5E4DD88F}"/>
    <cellStyle name="Note 17 3 2" xfId="5942" xr:uid="{18312BF2-FC32-4073-AA8E-AF94697F5486}"/>
    <cellStyle name="Note 17 3 3" xfId="6632" xr:uid="{97BD3081-6C98-4C75-A9F7-5600EDA77DFA}"/>
    <cellStyle name="Note 17 4" xfId="5686" xr:uid="{2501A54E-CC96-4DA0-9C50-1B3645133F0F}"/>
    <cellStyle name="Note 18" xfId="2980" xr:uid="{00000000-0005-0000-0000-0000200D0000}"/>
    <cellStyle name="Note 18 2" xfId="4086" xr:uid="{00000000-0005-0000-0000-0000210D0000}"/>
    <cellStyle name="Note 18 2 2" xfId="4863" xr:uid="{9D7EB948-855E-43A3-9F81-200FCDC91457}"/>
    <cellStyle name="Note 18 2 2 2" xfId="6243" xr:uid="{57C70F6A-95A5-48D1-AF3F-B65F09466122}"/>
    <cellStyle name="Note 18 2 2 3" xfId="6933" xr:uid="{E7AA5EB7-C660-4BF1-94BC-CE7BA71D8E4D}"/>
    <cellStyle name="Note 18 2 3" xfId="5427" xr:uid="{810482CE-7DAB-441B-919F-CB4D946994C8}"/>
    <cellStyle name="Note 18 3" xfId="4563" xr:uid="{08BC8B8D-37DA-4500-B9F1-B306077B7946}"/>
    <cellStyle name="Note 18 3 2" xfId="5943" xr:uid="{7408AC3B-0412-4366-A312-BEC6028E7CEB}"/>
    <cellStyle name="Note 18 3 3" xfId="6633" xr:uid="{0E59867C-501B-427C-AFF9-316DC6F9C9F9}"/>
    <cellStyle name="Note 18 4" xfId="5685" xr:uid="{BC534054-DD44-4113-9EEB-13A18F1E3BF4}"/>
    <cellStyle name="Note 19" xfId="2981" xr:uid="{00000000-0005-0000-0000-0000220D0000}"/>
    <cellStyle name="Note 19 2" xfId="4087" xr:uid="{00000000-0005-0000-0000-0000230D0000}"/>
    <cellStyle name="Note 19 2 2" xfId="4864" xr:uid="{70924935-C7AC-4C4B-8DB0-F573567D8F3A}"/>
    <cellStyle name="Note 19 2 2 2" xfId="6244" xr:uid="{AB4E181D-307A-4AFF-A8FA-F10F0740BB96}"/>
    <cellStyle name="Note 19 2 2 3" xfId="6934" xr:uid="{519ACB96-7A8C-41D8-8D93-BC2FF83E3F76}"/>
    <cellStyle name="Note 19 2 3" xfId="5426" xr:uid="{A7E3C660-57C7-4295-8ECA-E67654EA995E}"/>
    <cellStyle name="Note 19 3" xfId="4564" xr:uid="{8B45B13E-AF25-4AF6-9FE2-6872839F5FF9}"/>
    <cellStyle name="Note 19 3 2" xfId="5944" xr:uid="{946F667D-A267-4BE2-BF67-04B8CAED112F}"/>
    <cellStyle name="Note 19 3 3" xfId="6634" xr:uid="{3167040F-9EFF-4CE2-AE39-399EF7A85481}"/>
    <cellStyle name="Note 19 4" xfId="5684" xr:uid="{CDBCF7CE-0221-449C-8A3A-63C57A3ECDF6}"/>
    <cellStyle name="Note 2" xfId="2982" xr:uid="{00000000-0005-0000-0000-0000240D0000}"/>
    <cellStyle name="Note 2 10" xfId="2983" xr:uid="{00000000-0005-0000-0000-0000250D0000}"/>
    <cellStyle name="Note 2 10 2" xfId="4088" xr:uid="{00000000-0005-0000-0000-0000260D0000}"/>
    <cellStyle name="Note 2 10 2 2" xfId="4865" xr:uid="{5A241986-5E49-42D7-89B7-B1A33C502C1F}"/>
    <cellStyle name="Note 2 10 2 2 2" xfId="6245" xr:uid="{6C8ECF55-312D-4085-A10C-98771DFA3325}"/>
    <cellStyle name="Note 2 10 2 2 3" xfId="6935" xr:uid="{1A8DD2C1-4E42-43F5-8026-CA3790BF609A}"/>
    <cellStyle name="Note 2 10 2 3" xfId="5425" xr:uid="{679B1A77-4D73-4637-B414-708A13222526}"/>
    <cellStyle name="Note 2 10 3" xfId="4565" xr:uid="{11536B57-B4CC-4280-934C-A0DB5B5AEEF2}"/>
    <cellStyle name="Note 2 10 3 2" xfId="5945" xr:uid="{0B81989C-E11C-4092-97B5-2121DD07AAEE}"/>
    <cellStyle name="Note 2 10 3 3" xfId="6635" xr:uid="{27AC6D6B-D48A-4CC7-9552-490F81D90A59}"/>
    <cellStyle name="Note 2 10 4" xfId="5819" xr:uid="{18916529-E38A-4A88-B42C-8EE29618A60A}"/>
    <cellStyle name="Note 2 11" xfId="2984" xr:uid="{00000000-0005-0000-0000-0000270D0000}"/>
    <cellStyle name="Note 2 11 10" xfId="5818" xr:uid="{DD7E6489-1072-4F64-881E-97C7AABBEDCC}"/>
    <cellStyle name="Note 2 11 2" xfId="2985" xr:uid="{00000000-0005-0000-0000-0000280D0000}"/>
    <cellStyle name="Note 2 11 2 10" xfId="5683" xr:uid="{1F7C2E42-9036-4146-A64E-176CD2346B4E}"/>
    <cellStyle name="Note 2 11 2 2" xfId="2986" xr:uid="{00000000-0005-0000-0000-0000290D0000}"/>
    <cellStyle name="Note 2 11 2 2 2" xfId="4089" xr:uid="{00000000-0005-0000-0000-00002A0D0000}"/>
    <cellStyle name="Note 2 11 2 2 2 2" xfId="4866" xr:uid="{9B599EF5-9CB0-43FC-AA06-83397A29B9F7}"/>
    <cellStyle name="Note 2 11 2 2 2 2 2" xfId="6246" xr:uid="{06678BD7-F92A-4387-97B5-E3850B61FF15}"/>
    <cellStyle name="Note 2 11 2 2 2 2 3" xfId="6936" xr:uid="{B6ABCB62-0459-41CE-B193-6984B1DA9394}"/>
    <cellStyle name="Note 2 11 2 2 2 3" xfId="5424" xr:uid="{BDC0F98E-309B-4BA8-B9A2-2ABE7F900C16}"/>
    <cellStyle name="Note 2 11 2 2 3" xfId="4568" xr:uid="{697D0884-7A25-4609-BA25-56558A50B99A}"/>
    <cellStyle name="Note 2 11 2 2 3 2" xfId="5948" xr:uid="{D4613EF0-937C-4DCB-870C-5F153D6BF27F}"/>
    <cellStyle name="Note 2 11 2 2 3 3" xfId="6638" xr:uid="{D8EFDBC5-A8DD-4088-ACC4-5F756E33A1CA}"/>
    <cellStyle name="Note 2 11 2 2 4" xfId="5682" xr:uid="{4927FCA7-980C-4FD8-813F-7B7530085126}"/>
    <cellStyle name="Note 2 11 2 3" xfId="2987" xr:uid="{00000000-0005-0000-0000-00002B0D0000}"/>
    <cellStyle name="Note 2 11 2 3 2" xfId="4090" xr:uid="{00000000-0005-0000-0000-00002C0D0000}"/>
    <cellStyle name="Note 2 11 2 3 2 2" xfId="4867" xr:uid="{37DB90B5-3335-44AF-9C3E-37341BA813BF}"/>
    <cellStyle name="Note 2 11 2 3 2 2 2" xfId="6247" xr:uid="{87A6E68F-825B-4C0A-BB3A-219FA608411E}"/>
    <cellStyle name="Note 2 11 2 3 2 2 3" xfId="6937" xr:uid="{88C63468-21B1-4AF7-8A28-E6ABAECF663A}"/>
    <cellStyle name="Note 2 11 2 3 2 3" xfId="5423" xr:uid="{B5EAC386-D481-45C9-85AE-5FEA86418473}"/>
    <cellStyle name="Note 2 11 2 3 3" xfId="4569" xr:uid="{47D7E6BE-12BF-4661-ACD0-2600515879C3}"/>
    <cellStyle name="Note 2 11 2 3 3 2" xfId="5949" xr:uid="{8E5CEC10-C069-49C0-A450-D8D08E2A68C7}"/>
    <cellStyle name="Note 2 11 2 3 3 3" xfId="6639" xr:uid="{C46608F8-1EEC-472A-BE59-2BE1A2F8CDBA}"/>
    <cellStyle name="Note 2 11 2 3 4" xfId="5681" xr:uid="{D1404DD2-3AFF-4FBD-9571-29C27482E56F}"/>
    <cellStyle name="Note 2 11 2 4" xfId="2988" xr:uid="{00000000-0005-0000-0000-00002D0D0000}"/>
    <cellStyle name="Note 2 11 2 4 2" xfId="4091" xr:uid="{00000000-0005-0000-0000-00002E0D0000}"/>
    <cellStyle name="Note 2 11 2 4 2 2" xfId="4868" xr:uid="{9DB41BD5-AA77-4B93-A697-23829BFADA3D}"/>
    <cellStyle name="Note 2 11 2 4 2 2 2" xfId="6248" xr:uid="{DBF49C18-D9AA-4A39-BC4F-ED5383FBFE33}"/>
    <cellStyle name="Note 2 11 2 4 2 2 3" xfId="6938" xr:uid="{DAB3F3E0-162C-4E97-B48E-E532A2575AB1}"/>
    <cellStyle name="Note 2 11 2 4 2 3" xfId="5422" xr:uid="{DB697A60-89AC-462D-AC3B-BF962681E1A5}"/>
    <cellStyle name="Note 2 11 2 4 3" xfId="4570" xr:uid="{8EE9F9A2-3C00-432B-A6E6-6CEE074497F2}"/>
    <cellStyle name="Note 2 11 2 4 3 2" xfId="5950" xr:uid="{5F722321-6E9D-404F-ABCD-CAE959C08D68}"/>
    <cellStyle name="Note 2 11 2 4 3 3" xfId="6640" xr:uid="{6F5D6087-EA09-4BBC-986C-06D06071E05F}"/>
    <cellStyle name="Note 2 11 2 4 4" xfId="5817" xr:uid="{4FB311F1-D80F-4E1D-A69D-0D6E5F88BD37}"/>
    <cellStyle name="Note 2 11 2 5" xfId="2989" xr:uid="{00000000-0005-0000-0000-00002F0D0000}"/>
    <cellStyle name="Note 2 11 2 5 2" xfId="4092" xr:uid="{00000000-0005-0000-0000-0000300D0000}"/>
    <cellStyle name="Note 2 11 2 5 2 2" xfId="4869" xr:uid="{28BB04A7-79F9-430A-8210-83EE8D99038A}"/>
    <cellStyle name="Note 2 11 2 5 2 2 2" xfId="6249" xr:uid="{15B7A18E-A3E4-4F77-9B78-0D8D07467D49}"/>
    <cellStyle name="Note 2 11 2 5 2 2 3" xfId="6939" xr:uid="{868907E3-071C-4CF9-BF3F-F75412183552}"/>
    <cellStyle name="Note 2 11 2 5 2 3" xfId="5421" xr:uid="{6C28850A-2F1F-4165-921F-A8866EC6F24F}"/>
    <cellStyle name="Note 2 11 2 5 3" xfId="4571" xr:uid="{397EEE9E-913C-4D12-A36D-E3F99E6B7F3F}"/>
    <cellStyle name="Note 2 11 2 5 3 2" xfId="5951" xr:uid="{4D23A285-7710-4715-9453-546CF38D6BFB}"/>
    <cellStyle name="Note 2 11 2 5 3 3" xfId="6641" xr:uid="{E3F5FF74-C522-4506-A44B-C74F9C49206B}"/>
    <cellStyle name="Note 2 11 2 5 4" xfId="5680" xr:uid="{F1E9FB2A-6480-436B-BFC2-B49AB9BEACC3}"/>
    <cellStyle name="Note 2 11 2 6" xfId="2990" xr:uid="{00000000-0005-0000-0000-0000310D0000}"/>
    <cellStyle name="Note 2 11 2 6 2" xfId="4093" xr:uid="{00000000-0005-0000-0000-0000320D0000}"/>
    <cellStyle name="Note 2 11 2 6 2 2" xfId="4870" xr:uid="{0D1536FB-99FB-469B-A247-505C3E22A5EE}"/>
    <cellStyle name="Note 2 11 2 6 2 2 2" xfId="6250" xr:uid="{89563614-E1FC-4F55-A4A2-043BBB99FC7B}"/>
    <cellStyle name="Note 2 11 2 6 2 2 3" xfId="6940" xr:uid="{E64894CE-48E6-410F-BC2B-E98CC0B65F40}"/>
    <cellStyle name="Note 2 11 2 6 2 3" xfId="5784" xr:uid="{3FFCE8C7-A5A4-4DB4-AFB4-B25614671026}"/>
    <cellStyle name="Note 2 11 2 6 3" xfId="4572" xr:uid="{A72D66BF-ADE1-40E1-B98F-E3D30DB2D281}"/>
    <cellStyle name="Note 2 11 2 6 3 2" xfId="5952" xr:uid="{3A8D138A-D134-47A5-8561-F0A74124984A}"/>
    <cellStyle name="Note 2 11 2 6 3 3" xfId="6642" xr:uid="{D9A63C5D-4AEB-4E55-B347-565F9E437913}"/>
    <cellStyle name="Note 2 11 2 6 4" xfId="5816" xr:uid="{F80EF308-8A73-46A4-AADE-C922D22BA604}"/>
    <cellStyle name="Note 2 11 2 7" xfId="2991" xr:uid="{00000000-0005-0000-0000-0000330D0000}"/>
    <cellStyle name="Note 2 11 2 7 2" xfId="4094" xr:uid="{00000000-0005-0000-0000-0000340D0000}"/>
    <cellStyle name="Note 2 11 2 7 2 2" xfId="4871" xr:uid="{2CE0F18A-D5B5-41B0-997E-7FAE74FB2CBB}"/>
    <cellStyle name="Note 2 11 2 7 2 2 2" xfId="6251" xr:uid="{2F6C5C4D-B953-45AB-AB85-2DAA42262B67}"/>
    <cellStyle name="Note 2 11 2 7 2 2 3" xfId="6941" xr:uid="{24E24DA1-970E-4B54-95E4-B2AB439AEDBB}"/>
    <cellStyle name="Note 2 11 2 7 2 3" xfId="5420" xr:uid="{42848BBE-111D-47DA-9696-4BB85EE5C3C3}"/>
    <cellStyle name="Note 2 11 2 7 3" xfId="4573" xr:uid="{8915AF4C-4295-4AD6-A23C-9691F51E447A}"/>
    <cellStyle name="Note 2 11 2 7 3 2" xfId="5953" xr:uid="{F8056F12-15AA-446C-8B5D-928612FBCD96}"/>
    <cellStyle name="Note 2 11 2 7 3 3" xfId="6643" xr:uid="{BD9DD653-2D4A-4EBB-B0E4-2E654F91C6DE}"/>
    <cellStyle name="Note 2 11 2 7 4" xfId="5679" xr:uid="{85C9E621-A125-49DA-8136-A8A1017D93FD}"/>
    <cellStyle name="Note 2 11 2 8" xfId="4095" xr:uid="{00000000-0005-0000-0000-0000350D0000}"/>
    <cellStyle name="Note 2 11 2 8 2" xfId="4872" xr:uid="{3AAA1D5F-20FD-431E-8259-6183ED87C4F5}"/>
    <cellStyle name="Note 2 11 2 8 2 2" xfId="6252" xr:uid="{2C375716-8AF5-4F52-B80C-7D81BBD6599B}"/>
    <cellStyle name="Note 2 11 2 8 2 3" xfId="6942" xr:uid="{E5FB4EC6-9BFB-42E4-B2ED-3A8F1894A39A}"/>
    <cellStyle name="Note 2 11 2 8 3" xfId="5419" xr:uid="{4C3EB7B6-5E27-43AB-83D7-D16052FBEAFC}"/>
    <cellStyle name="Note 2 11 2 9" xfId="4567" xr:uid="{2657CA75-F06A-4B4E-983A-BD2AEA1254AB}"/>
    <cellStyle name="Note 2 11 2 9 2" xfId="5947" xr:uid="{8416FF95-D590-464C-A9C2-3C403F1D02A4}"/>
    <cellStyle name="Note 2 11 2 9 3" xfId="6637" xr:uid="{3CA9ED4E-3FA6-4B5B-A797-B1D4728D9BC2}"/>
    <cellStyle name="Note 2 11 3" xfId="2992" xr:uid="{00000000-0005-0000-0000-0000360D0000}"/>
    <cellStyle name="Note 2 11 3 2" xfId="4096" xr:uid="{00000000-0005-0000-0000-0000370D0000}"/>
    <cellStyle name="Note 2 11 3 2 2" xfId="4873" xr:uid="{15225A8F-CBF9-445C-BCC8-3410EC788510}"/>
    <cellStyle name="Note 2 11 3 2 2 2" xfId="6253" xr:uid="{541E0C9D-7393-42F2-9B6C-DC299FAD692C}"/>
    <cellStyle name="Note 2 11 3 2 2 3" xfId="6943" xr:uid="{309B1708-390A-4488-9F44-9DA5A7CB6291}"/>
    <cellStyle name="Note 2 11 3 2 3" xfId="5418" xr:uid="{B1A11E65-EFB9-404A-98BD-5200128D7FD7}"/>
    <cellStyle name="Note 2 11 3 3" xfId="4574" xr:uid="{79134F17-400C-4B3C-8DA3-2985D9870473}"/>
    <cellStyle name="Note 2 11 3 3 2" xfId="5954" xr:uid="{66C88880-FD34-4828-99F1-78081352FE6B}"/>
    <cellStyle name="Note 2 11 3 3 3" xfId="6644" xr:uid="{2D7C25C7-F9ED-4970-8657-20BBCD09B2AF}"/>
    <cellStyle name="Note 2 11 3 4" xfId="5678" xr:uid="{6BCD5F85-52BD-4DA7-9DAB-1E16C0734C83}"/>
    <cellStyle name="Note 2 11 4" xfId="2993" xr:uid="{00000000-0005-0000-0000-0000380D0000}"/>
    <cellStyle name="Note 2 11 4 2" xfId="4097" xr:uid="{00000000-0005-0000-0000-0000390D0000}"/>
    <cellStyle name="Note 2 11 4 2 2" xfId="4874" xr:uid="{56365C1F-0BCD-4E24-AD75-0A2A08BCA99E}"/>
    <cellStyle name="Note 2 11 4 2 2 2" xfId="6254" xr:uid="{42392C87-479E-4C24-BC53-DA2ADCBF4A5E}"/>
    <cellStyle name="Note 2 11 4 2 2 3" xfId="6944" xr:uid="{26ADE1F0-97D4-428F-A71B-E19E566201FF}"/>
    <cellStyle name="Note 2 11 4 2 3" xfId="5417" xr:uid="{8704BBFB-4F59-48C3-89D4-F701FE01449A}"/>
    <cellStyle name="Note 2 11 4 3" xfId="4575" xr:uid="{79CEA80D-7527-42C4-A94A-862288450EE2}"/>
    <cellStyle name="Note 2 11 4 3 2" xfId="5955" xr:uid="{F8B6D9A1-FF2A-4B0F-98B2-F1F35AE0875F}"/>
    <cellStyle name="Note 2 11 4 3 3" xfId="6645" xr:uid="{647C563E-AA18-4DA4-B0AE-C7FD615EDA24}"/>
    <cellStyle name="Note 2 11 4 4" xfId="5815" xr:uid="{E7D3B1B6-CF81-4A97-93B3-82A1B3CCBE0F}"/>
    <cellStyle name="Note 2 11 5" xfId="2994" xr:uid="{00000000-0005-0000-0000-00003A0D0000}"/>
    <cellStyle name="Note 2 11 5 2" xfId="4098" xr:uid="{00000000-0005-0000-0000-00003B0D0000}"/>
    <cellStyle name="Note 2 11 5 2 2" xfId="4875" xr:uid="{02D14AE1-5789-4B04-9F19-B495791354D1}"/>
    <cellStyle name="Note 2 11 5 2 2 2" xfId="6255" xr:uid="{EE4A16C3-50C4-42BD-BABB-517D86646935}"/>
    <cellStyle name="Note 2 11 5 2 2 3" xfId="6945" xr:uid="{B977CF5B-5618-44A8-8043-7B9B8DEFA062}"/>
    <cellStyle name="Note 2 11 5 2 3" xfId="5416" xr:uid="{32884872-EDCF-43F2-B6DB-C35A7B4A815E}"/>
    <cellStyle name="Note 2 11 5 3" xfId="4576" xr:uid="{A0AC3303-8C1D-4A95-941A-DECD776000C9}"/>
    <cellStyle name="Note 2 11 5 3 2" xfId="5956" xr:uid="{02D5BA14-AE67-420D-9BC9-2BE9B936DF4C}"/>
    <cellStyle name="Note 2 11 5 3 3" xfId="6646" xr:uid="{550F7BFF-836F-4986-98AA-FE73EBD212F6}"/>
    <cellStyle name="Note 2 11 5 4" xfId="5677" xr:uid="{E0057610-864C-410C-B670-ED218B3BF9D5}"/>
    <cellStyle name="Note 2 11 6" xfId="2995" xr:uid="{00000000-0005-0000-0000-00003C0D0000}"/>
    <cellStyle name="Note 2 11 6 2" xfId="4099" xr:uid="{00000000-0005-0000-0000-00003D0D0000}"/>
    <cellStyle name="Note 2 11 6 2 2" xfId="4876" xr:uid="{DFA2B2D3-81B2-4559-B982-7EFF487E3F38}"/>
    <cellStyle name="Note 2 11 6 2 2 2" xfId="6256" xr:uid="{91B210D2-FF1B-44DB-8465-5D9B6C7FF340}"/>
    <cellStyle name="Note 2 11 6 2 2 3" xfId="6946" xr:uid="{BD147DB4-B6D9-4297-9BCF-D988880D899C}"/>
    <cellStyle name="Note 2 11 6 2 3" xfId="5415" xr:uid="{BB824A6F-D107-4116-B559-CC7AE3699561}"/>
    <cellStyle name="Note 2 11 6 3" xfId="4577" xr:uid="{D35A0522-1FF2-4271-9F21-9D8D82F8EA53}"/>
    <cellStyle name="Note 2 11 6 3 2" xfId="5957" xr:uid="{6BDC0FA7-5CCC-401A-9DD1-FE73C480CC73}"/>
    <cellStyle name="Note 2 11 6 3 3" xfId="6647" xr:uid="{DABC7095-C03C-4CC8-A125-86ED678A8555}"/>
    <cellStyle name="Note 2 11 6 4" xfId="5676" xr:uid="{ECAAA5CC-6C17-4F34-84A9-6B4F0932EF26}"/>
    <cellStyle name="Note 2 11 7" xfId="2996" xr:uid="{00000000-0005-0000-0000-00003E0D0000}"/>
    <cellStyle name="Note 2 11 7 2" xfId="4100" xr:uid="{00000000-0005-0000-0000-00003F0D0000}"/>
    <cellStyle name="Note 2 11 7 2 2" xfId="4877" xr:uid="{27100D25-96DD-4E28-B159-32C6AB8D849B}"/>
    <cellStyle name="Note 2 11 7 2 2 2" xfId="6257" xr:uid="{4D9468A3-234B-4225-9F4D-0D7C86B96376}"/>
    <cellStyle name="Note 2 11 7 2 2 3" xfId="6947" xr:uid="{1879CAB0-A8FA-4263-BB55-E8BCA64F5806}"/>
    <cellStyle name="Note 2 11 7 2 3" xfId="5414" xr:uid="{3F8E9ADC-0F44-4604-AFE0-E3089F5FB703}"/>
    <cellStyle name="Note 2 11 7 3" xfId="4578" xr:uid="{51E1E970-DF2B-4240-92E0-E9416781440A}"/>
    <cellStyle name="Note 2 11 7 3 2" xfId="5958" xr:uid="{B3033534-7DE7-4786-BEFF-89B5B23EB4D6}"/>
    <cellStyle name="Note 2 11 7 3 3" xfId="6648" xr:uid="{C1804935-8B2B-47E8-AB98-D73EC95AFDFC}"/>
    <cellStyle name="Note 2 11 7 4" xfId="5814" xr:uid="{0583CBAD-AEB8-4F4F-8965-12B43A229A7F}"/>
    <cellStyle name="Note 2 11 8" xfId="4101" xr:uid="{00000000-0005-0000-0000-0000400D0000}"/>
    <cellStyle name="Note 2 11 8 2" xfId="4878" xr:uid="{7D315D4E-605D-4DAC-81F3-CDC18D3BB734}"/>
    <cellStyle name="Note 2 11 8 2 2" xfId="6258" xr:uid="{5663B58B-4491-4D86-915D-C38BC3C0F804}"/>
    <cellStyle name="Note 2 11 8 2 3" xfId="6948" xr:uid="{90BEBBB4-368E-45B2-B6E1-99E04D6B64E1}"/>
    <cellStyle name="Note 2 11 8 3" xfId="5413" xr:uid="{5A3B8D4B-48D4-44C6-B7B7-FB9AC12CD7C3}"/>
    <cellStyle name="Note 2 11 9" xfId="4566" xr:uid="{E88498B0-289D-427F-B59A-6386B1BE06DA}"/>
    <cellStyle name="Note 2 11 9 2" xfId="5946" xr:uid="{F04BC629-D790-4199-B537-725D941FF6CF}"/>
    <cellStyle name="Note 2 11 9 3" xfId="6636" xr:uid="{24A7102D-1EE0-446A-9F4B-53A82C4F617F}"/>
    <cellStyle name="Note 2 12" xfId="2997" xr:uid="{00000000-0005-0000-0000-0000410D0000}"/>
    <cellStyle name="Note 2 12 2" xfId="4102" xr:uid="{00000000-0005-0000-0000-0000420D0000}"/>
    <cellStyle name="Note 2 12 2 2" xfId="4879" xr:uid="{4182E851-AF01-4BB2-985E-8C783168136D}"/>
    <cellStyle name="Note 2 12 2 2 2" xfId="6259" xr:uid="{0E8F675F-E323-46BD-A2A3-F4F72E99894C}"/>
    <cellStyle name="Note 2 12 2 2 3" xfId="6949" xr:uid="{9A00561D-CD0D-4A84-B569-545CC5262A8C}"/>
    <cellStyle name="Note 2 12 2 3" xfId="5412" xr:uid="{8A9D2CE5-4C0E-4E9C-8C5B-BABA0C25D21C}"/>
    <cellStyle name="Note 2 12 3" xfId="4579" xr:uid="{942FBAD9-BD40-4B9C-ABD0-99643E455EB3}"/>
    <cellStyle name="Note 2 12 3 2" xfId="5959" xr:uid="{844E7A5A-7B57-45A2-9C03-A9690530E0FF}"/>
    <cellStyle name="Note 2 12 3 3" xfId="6649" xr:uid="{A24F349A-03C2-4ED8-A5DE-D7ABBF716C91}"/>
    <cellStyle name="Note 2 12 4" xfId="5675" xr:uid="{D00A6BAA-8538-4C49-A0D3-7FB9B8B0819D}"/>
    <cellStyle name="Note 2 13" xfId="2998" xr:uid="{00000000-0005-0000-0000-0000430D0000}"/>
    <cellStyle name="Note 2 13 2" xfId="4103" xr:uid="{00000000-0005-0000-0000-0000440D0000}"/>
    <cellStyle name="Note 2 13 2 2" xfId="4880" xr:uid="{21D0F28A-6938-43D7-997B-AF6997FCF16A}"/>
    <cellStyle name="Note 2 13 2 2 2" xfId="6260" xr:uid="{5AA84F1D-204E-4DA7-9BE8-C442C8830EC5}"/>
    <cellStyle name="Note 2 13 2 2 3" xfId="6950" xr:uid="{8E94D9C4-2B9A-4287-8E23-C7529A33C826}"/>
    <cellStyle name="Note 2 13 2 3" xfId="5411" xr:uid="{42CBCD8D-739A-4248-A991-8769259460CD}"/>
    <cellStyle name="Note 2 13 3" xfId="4580" xr:uid="{A4325F68-FAE0-4D49-A9A8-3576D51EFAC8}"/>
    <cellStyle name="Note 2 13 3 2" xfId="5960" xr:uid="{1FEDE09C-8CC2-4F25-9D11-7F601CAF410A}"/>
    <cellStyle name="Note 2 13 3 3" xfId="6650" xr:uid="{223D9B04-A489-4265-9503-7A7E4C9AECB7}"/>
    <cellStyle name="Note 2 13 4" xfId="5674" xr:uid="{6DB78DC9-85DB-4F4C-8019-CF34BC8F9B6E}"/>
    <cellStyle name="Note 2 14" xfId="2999" xr:uid="{00000000-0005-0000-0000-0000450D0000}"/>
    <cellStyle name="Note 2 14 2" xfId="4104" xr:uid="{00000000-0005-0000-0000-0000460D0000}"/>
    <cellStyle name="Note 2 14 2 2" xfId="4881" xr:uid="{BB2E6976-827C-4960-BE24-4D46C0FE1F98}"/>
    <cellStyle name="Note 2 14 2 2 2" xfId="6261" xr:uid="{FCDE9E5F-684A-4BD0-9389-B0F9EFB5143A}"/>
    <cellStyle name="Note 2 14 2 2 3" xfId="6951" xr:uid="{455D9286-66D2-44DA-A3F5-2D9E30B06F2E}"/>
    <cellStyle name="Note 2 14 2 3" xfId="5410" xr:uid="{0424482D-65F6-461C-A9E5-38023C69AEA8}"/>
    <cellStyle name="Note 2 14 3" xfId="4581" xr:uid="{FCEB2CC5-AEF0-4ED3-B5C3-8ED40E3471F0}"/>
    <cellStyle name="Note 2 14 3 2" xfId="5961" xr:uid="{9C10B9D4-E59C-4329-B100-42D0FB0E8B38}"/>
    <cellStyle name="Note 2 14 3 3" xfId="6651" xr:uid="{E9CC5634-6172-49DC-96F6-134F92D9B86E}"/>
    <cellStyle name="Note 2 14 4" xfId="5813" xr:uid="{390A2F52-C06A-47B0-99EB-5B454CB4A11F}"/>
    <cellStyle name="Note 2 15" xfId="3000" xr:uid="{00000000-0005-0000-0000-0000470D0000}"/>
    <cellStyle name="Note 2 15 2" xfId="4105" xr:uid="{00000000-0005-0000-0000-0000480D0000}"/>
    <cellStyle name="Note 2 15 2 2" xfId="4882" xr:uid="{37C92C9B-6F20-4309-9682-1DBBAF82EF9F}"/>
    <cellStyle name="Note 2 15 2 2 2" xfId="6262" xr:uid="{7B8D65DC-2EC1-41FD-B035-EB9DACAE1578}"/>
    <cellStyle name="Note 2 15 2 2 3" xfId="6952" xr:uid="{720F35C7-0EA2-47FB-A8A3-1A2A52D944F4}"/>
    <cellStyle name="Note 2 15 2 3" xfId="5409" xr:uid="{7778B424-9610-4D02-BB5F-98FA00CC215E}"/>
    <cellStyle name="Note 2 15 3" xfId="4582" xr:uid="{D5BF16D6-296E-4EC3-84C1-279A67E7B078}"/>
    <cellStyle name="Note 2 15 3 2" xfId="5962" xr:uid="{E03B4451-84AF-43CE-BA47-3646FD8124F6}"/>
    <cellStyle name="Note 2 15 3 3" xfId="6652" xr:uid="{41F86F98-754C-44F1-B9E4-F54F5FFF0431}"/>
    <cellStyle name="Note 2 15 4" xfId="5673" xr:uid="{5AFD686E-2AA9-4783-97F7-BA6530DD92DE}"/>
    <cellStyle name="Note 2 16" xfId="3001" xr:uid="{00000000-0005-0000-0000-0000490D0000}"/>
    <cellStyle name="Note 2 16 2" xfId="4106" xr:uid="{00000000-0005-0000-0000-00004A0D0000}"/>
    <cellStyle name="Note 2 16 2 2" xfId="4883" xr:uid="{EAB30CAE-814F-446E-B819-FCD500E9525E}"/>
    <cellStyle name="Note 2 16 2 2 2" xfId="6263" xr:uid="{940D5E4C-0663-4D8E-BAF5-E38205A0085D}"/>
    <cellStyle name="Note 2 16 2 2 3" xfId="6953" xr:uid="{9070A56E-576D-4CA1-9D82-8F74C2640C87}"/>
    <cellStyle name="Note 2 16 2 3" xfId="5408" xr:uid="{1D03502E-0D41-4609-81AC-20D69090E733}"/>
    <cellStyle name="Note 2 16 3" xfId="4583" xr:uid="{FE7FAFF6-4978-4580-BD6F-5C773FCE1BF8}"/>
    <cellStyle name="Note 2 16 3 2" xfId="5963" xr:uid="{911E3B47-16D2-4786-B4B9-C448A6863BF5}"/>
    <cellStyle name="Note 2 16 3 3" xfId="6653" xr:uid="{1BFE701B-626B-4517-9814-1D2F02052D9B}"/>
    <cellStyle name="Note 2 16 4" xfId="5672" xr:uid="{CB066E91-9DFC-41A7-A78E-3283A622DF18}"/>
    <cellStyle name="Note 2 17" xfId="3002" xr:uid="{00000000-0005-0000-0000-00004B0D0000}"/>
    <cellStyle name="Note 2 17 2" xfId="4107" xr:uid="{00000000-0005-0000-0000-00004C0D0000}"/>
    <cellStyle name="Note 2 17 2 2" xfId="4884" xr:uid="{EF7DE451-A470-4A78-8B09-15CFB32FBCB2}"/>
    <cellStyle name="Note 2 17 2 2 2" xfId="6264" xr:uid="{8B39F22B-A5E1-4147-B21E-163ECC5209C7}"/>
    <cellStyle name="Note 2 17 2 2 3" xfId="6954" xr:uid="{FC522AEE-E32F-4619-94CE-A81568A8DBCC}"/>
    <cellStyle name="Note 2 17 2 3" xfId="5407" xr:uid="{85F56CE0-36EE-48C7-B709-BCBCD1C4C65A}"/>
    <cellStyle name="Note 2 17 3" xfId="4584" xr:uid="{4C602CCF-F1EE-44C0-905A-319880DA30BF}"/>
    <cellStyle name="Note 2 17 3 2" xfId="5964" xr:uid="{CA85DF31-7EAF-4285-8CE9-1424B4AFE1C9}"/>
    <cellStyle name="Note 2 17 3 3" xfId="6654" xr:uid="{883A0E9A-3FF3-49DB-B511-4E25EB945B00}"/>
    <cellStyle name="Note 2 17 4" xfId="5812" xr:uid="{B01D4F91-87A6-407D-A437-F961EC18DF48}"/>
    <cellStyle name="Note 2 18" xfId="3003" xr:uid="{00000000-0005-0000-0000-00004D0D0000}"/>
    <cellStyle name="Note 2 18 2" xfId="4108" xr:uid="{00000000-0005-0000-0000-00004E0D0000}"/>
    <cellStyle name="Note 2 18 2 2" xfId="4885" xr:uid="{5271A669-16A2-4316-AE23-E312C9B3D454}"/>
    <cellStyle name="Note 2 18 2 2 2" xfId="6265" xr:uid="{B2620CBB-C5B4-4709-B7C3-27067387441F}"/>
    <cellStyle name="Note 2 18 2 2 3" xfId="6955" xr:uid="{19276D3B-981E-4B4E-8617-D32E63140D45}"/>
    <cellStyle name="Note 2 18 2 3" xfId="5406" xr:uid="{CF5E127A-4990-452C-97E7-80292B6E7B31}"/>
    <cellStyle name="Note 2 18 3" xfId="4585" xr:uid="{FB6E08AF-568D-4B5A-8741-1AEC82495920}"/>
    <cellStyle name="Note 2 18 3 2" xfId="5965" xr:uid="{CFE2AF43-FE38-4A72-B767-2ABF03F01FDC}"/>
    <cellStyle name="Note 2 18 3 3" xfId="6655" xr:uid="{CC9B6BF8-6B0A-4FE8-8889-FEABA13B1335}"/>
    <cellStyle name="Note 2 18 4" xfId="5671" xr:uid="{4BCFFDF7-9BF6-41B6-8864-D91A4FE61F8D}"/>
    <cellStyle name="Note 2 19" xfId="3004" xr:uid="{00000000-0005-0000-0000-00004F0D0000}"/>
    <cellStyle name="Note 2 19 2" xfId="4109" xr:uid="{00000000-0005-0000-0000-0000500D0000}"/>
    <cellStyle name="Note 2 19 2 2" xfId="4886" xr:uid="{ABDBD9BF-AB2A-4AE8-9576-D868A822989E}"/>
    <cellStyle name="Note 2 19 2 2 2" xfId="6266" xr:uid="{56B71381-BE56-41D7-81A0-C95A53E4D8B3}"/>
    <cellStyle name="Note 2 19 2 2 3" xfId="6956" xr:uid="{7C6002DB-F0F6-478E-8A4C-09E2F3A8245E}"/>
    <cellStyle name="Note 2 19 2 3" xfId="5405" xr:uid="{E93A15D0-2E53-4FF5-A2D5-04D875B226DA}"/>
    <cellStyle name="Note 2 19 3" xfId="4586" xr:uid="{5A51086A-5200-45F5-9621-4AC915BA4784}"/>
    <cellStyle name="Note 2 19 3 2" xfId="5966" xr:uid="{55A89BCD-E82D-4611-9C2F-A9652B4DCBA7}"/>
    <cellStyle name="Note 2 19 3 3" xfId="6656" xr:uid="{4F09819C-BF75-4C08-8DB8-3435272E11C1}"/>
    <cellStyle name="Note 2 19 4" xfId="5670" xr:uid="{6F0593AA-9855-4606-88A3-4ABB4ADE65B6}"/>
    <cellStyle name="Note 2 2" xfId="3005" xr:uid="{00000000-0005-0000-0000-0000510D0000}"/>
    <cellStyle name="Note 2 2 2" xfId="3006" xr:uid="{00000000-0005-0000-0000-0000520D0000}"/>
    <cellStyle name="Note 2 2 2 2" xfId="4110" xr:uid="{00000000-0005-0000-0000-0000530D0000}"/>
    <cellStyle name="Note 2 2 2 2 2" xfId="4887" xr:uid="{A2ED70B9-0168-48FF-81BC-797C1000F97F}"/>
    <cellStyle name="Note 2 2 2 2 2 2" xfId="6267" xr:uid="{A5C4E280-23B5-4056-87ED-6787D9C42C82}"/>
    <cellStyle name="Note 2 2 2 2 2 3" xfId="6957" xr:uid="{68A6748C-7561-4556-807C-17952D80AC37}"/>
    <cellStyle name="Note 2 2 2 2 3" xfId="5404" xr:uid="{1BA5902D-A18B-462F-879E-BB20FE918040}"/>
    <cellStyle name="Note 2 2 2 3" xfId="4587" xr:uid="{BF87F60A-EC04-4E2E-AF62-C6F45E85798E}"/>
    <cellStyle name="Note 2 2 2 3 2" xfId="5967" xr:uid="{52CCABA3-E321-4B15-AA4C-EAE1A5C94DB9}"/>
    <cellStyle name="Note 2 2 2 3 3" xfId="6657" xr:uid="{CE5B7B13-3FCC-421B-8481-C2F83C91B28C}"/>
    <cellStyle name="Note 2 2 2 4" xfId="5811" xr:uid="{1E148D9E-61A2-4BD8-801D-CFF4DB06CBBA}"/>
    <cellStyle name="Note 2 2 3" xfId="4111" xr:uid="{00000000-0005-0000-0000-0000540D0000}"/>
    <cellStyle name="Note 2 2 3 2" xfId="4888" xr:uid="{39954DB1-3F6D-4ABE-9662-A5866DB98053}"/>
    <cellStyle name="Note 2 2 3 2 2" xfId="6268" xr:uid="{619EA388-FFE3-4FE5-A1DF-0020DBA4CBDB}"/>
    <cellStyle name="Note 2 2 3 2 3" xfId="6958" xr:uid="{38C03B3E-68BC-4644-A049-E9D96D21730A}"/>
    <cellStyle name="Note 2 2 3 3" xfId="5403" xr:uid="{D94A5F3C-5A54-4DA1-B9CC-C09E65EAB77B}"/>
    <cellStyle name="Note 2 2 4" xfId="4112" xr:uid="{00000000-0005-0000-0000-0000550D0000}"/>
    <cellStyle name="Note 2 20" xfId="3007" xr:uid="{00000000-0005-0000-0000-0000560D0000}"/>
    <cellStyle name="Note 2 20 2" xfId="3008" xr:uid="{00000000-0005-0000-0000-0000570D0000}"/>
    <cellStyle name="Note 2 20 2 2" xfId="3009" xr:uid="{00000000-0005-0000-0000-0000580D0000}"/>
    <cellStyle name="Note 2 20 2 2 2" xfId="4113" xr:uid="{00000000-0005-0000-0000-0000590D0000}"/>
    <cellStyle name="Note 2 20 2 2 2 2" xfId="4889" xr:uid="{B9738E24-5F9A-422E-8B78-B9D0559B499D}"/>
    <cellStyle name="Note 2 20 2 2 2 2 2" xfId="6269" xr:uid="{3190EDD4-4ECB-4050-8607-FCD8089BD686}"/>
    <cellStyle name="Note 2 20 2 2 2 2 3" xfId="6959" xr:uid="{EF9083DF-B8AD-4BE2-9122-5D52DEF758B0}"/>
    <cellStyle name="Note 2 20 2 2 2 3" xfId="5402" xr:uid="{241F7EFD-6947-473F-BA91-C7969CE1FD4A}"/>
    <cellStyle name="Note 2 20 2 2 3" xfId="4590" xr:uid="{A4C56943-2460-42B8-845A-B318CA4CAF05}"/>
    <cellStyle name="Note 2 20 2 2 3 2" xfId="5970" xr:uid="{91C7BDA1-2DA9-4432-8260-234AB3D6B1A3}"/>
    <cellStyle name="Note 2 20 2 2 3 3" xfId="6660" xr:uid="{3917BF33-DE3B-49A7-B072-2289600BE5A4}"/>
    <cellStyle name="Note 2 20 2 2 4" xfId="5810" xr:uid="{81CCA763-587A-4FB5-9C91-ABFF5036257B}"/>
    <cellStyle name="Note 2 20 2 3" xfId="3010" xr:uid="{00000000-0005-0000-0000-00005A0D0000}"/>
    <cellStyle name="Note 2 20 2 3 2" xfId="4114" xr:uid="{00000000-0005-0000-0000-00005B0D0000}"/>
    <cellStyle name="Note 2 20 2 3 2 2" xfId="4890" xr:uid="{D4028909-95A0-4C63-B7AB-53F014D56EE3}"/>
    <cellStyle name="Note 2 20 2 3 2 2 2" xfId="6270" xr:uid="{D94CBF01-DABD-4381-BFB3-F89E74D40462}"/>
    <cellStyle name="Note 2 20 2 3 2 2 3" xfId="6960" xr:uid="{44F4A633-F5DF-4430-B37D-D56F69CDA96B}"/>
    <cellStyle name="Note 2 20 2 3 2 3" xfId="5401" xr:uid="{1E0723E3-5C4A-470E-A909-023316C01945}"/>
    <cellStyle name="Note 2 20 2 3 3" xfId="4591" xr:uid="{137250C3-8E8B-442C-90BC-3358EEAD7A8C}"/>
    <cellStyle name="Note 2 20 2 3 3 2" xfId="5971" xr:uid="{B3749B31-A93F-4622-8E75-775F36E809D5}"/>
    <cellStyle name="Note 2 20 2 3 3 3" xfId="6661" xr:uid="{F3C0B159-34FC-4DCD-B755-8AAC700C9FEE}"/>
    <cellStyle name="Note 2 20 2 3 4" xfId="5809" xr:uid="{DA01FAA3-FAEB-4683-8F67-8C0F597932D9}"/>
    <cellStyle name="Note 2 20 2 4" xfId="4115" xr:uid="{00000000-0005-0000-0000-00005C0D0000}"/>
    <cellStyle name="Note 2 20 2 4 2" xfId="4891" xr:uid="{5A8F622E-5B4F-48E7-B9C5-35600F1D72C6}"/>
    <cellStyle name="Note 2 20 2 4 2 2" xfId="6271" xr:uid="{A5AC49DA-1408-445B-A942-6F7A2352804F}"/>
    <cellStyle name="Note 2 20 2 4 2 3" xfId="6961" xr:uid="{B78954AB-F798-46CA-8277-043438708E4E}"/>
    <cellStyle name="Note 2 20 2 4 3" xfId="5400" xr:uid="{52DE24AB-1226-4EC9-B74B-40FA0EFBE889}"/>
    <cellStyle name="Note 2 20 2 5" xfId="4589" xr:uid="{9D931125-123D-4EFE-BA38-9DD57574B005}"/>
    <cellStyle name="Note 2 20 2 5 2" xfId="5969" xr:uid="{C848CEF0-828D-4C28-918B-500086CE7AFE}"/>
    <cellStyle name="Note 2 20 2 5 3" xfId="6659" xr:uid="{0FC8E66F-1DB1-4B16-B157-2B472D67E7EE}"/>
    <cellStyle name="Note 2 20 2 6" xfId="5668" xr:uid="{E65E73E1-58CE-43C1-BB6A-50BD40C336AA}"/>
    <cellStyle name="Note 2 20 3" xfId="3011" xr:uid="{00000000-0005-0000-0000-00005D0D0000}"/>
    <cellStyle name="Note 2 20 3 2" xfId="4116" xr:uid="{00000000-0005-0000-0000-00005E0D0000}"/>
    <cellStyle name="Note 2 20 3 2 2" xfId="4892" xr:uid="{C66176DB-9B0E-4AA0-AFA7-48AA018753B9}"/>
    <cellStyle name="Note 2 20 3 2 2 2" xfId="6272" xr:uid="{C65FB35A-100D-4BD2-B471-73524F0388D7}"/>
    <cellStyle name="Note 2 20 3 2 2 3" xfId="6962" xr:uid="{17A68DF6-B447-467F-83A5-D2C7CDB92B87}"/>
    <cellStyle name="Note 2 20 3 2 3" xfId="5399" xr:uid="{9B205E2A-1EF2-462C-AB1F-45318F7A0DF2}"/>
    <cellStyle name="Note 2 20 3 3" xfId="4592" xr:uid="{85419151-2F06-4919-B919-2C834C6F87DC}"/>
    <cellStyle name="Note 2 20 3 3 2" xfId="5972" xr:uid="{52D08838-5580-4E1E-AFB3-3FA5751F42E5}"/>
    <cellStyle name="Note 2 20 3 3 3" xfId="6662" xr:uid="{AB8441A4-D456-4DD5-8059-B49818F10683}"/>
    <cellStyle name="Note 2 20 3 4" xfId="5667" xr:uid="{B244FF8C-4C8F-4328-B323-B3B831830413}"/>
    <cellStyle name="Note 2 20 4" xfId="3012" xr:uid="{00000000-0005-0000-0000-00005F0D0000}"/>
    <cellStyle name="Note 2 20 4 2" xfId="4117" xr:uid="{00000000-0005-0000-0000-0000600D0000}"/>
    <cellStyle name="Note 2 20 4 2 2" xfId="4893" xr:uid="{460F4F48-BFAE-41B1-AEBA-8FCFDDDB3C03}"/>
    <cellStyle name="Note 2 20 4 2 2 2" xfId="6273" xr:uid="{674A608F-E670-4697-9AE0-5D4FD56DF2EB}"/>
    <cellStyle name="Note 2 20 4 2 2 3" xfId="6963" xr:uid="{74FFED8F-C97A-4BC6-B47C-DECAA0B60F53}"/>
    <cellStyle name="Note 2 20 4 2 3" xfId="5398" xr:uid="{F5BCEEEA-0F10-425A-9371-F686D4504E20}"/>
    <cellStyle name="Note 2 20 4 3" xfId="4593" xr:uid="{37A97CE4-406F-40FB-9B9C-F4699ABFD58D}"/>
    <cellStyle name="Note 2 20 4 3 2" xfId="5973" xr:uid="{67DD1D03-719B-48BA-9162-B12124AB7E74}"/>
    <cellStyle name="Note 2 20 4 3 3" xfId="6663" xr:uid="{951D20A1-94DA-4CB3-917C-B4614FCEFE98}"/>
    <cellStyle name="Note 2 20 4 4" xfId="5666" xr:uid="{9B009AB9-C68A-4669-AE9A-B97D66A72A40}"/>
    <cellStyle name="Note 2 20 5" xfId="4118" xr:uid="{00000000-0005-0000-0000-0000610D0000}"/>
    <cellStyle name="Note 2 20 5 2" xfId="4894" xr:uid="{070C560C-F1E1-49E2-8C99-F06A9FF80EEC}"/>
    <cellStyle name="Note 2 20 5 2 2" xfId="6274" xr:uid="{208C2024-888B-4681-A22A-43C11993C5B2}"/>
    <cellStyle name="Note 2 20 5 2 3" xfId="6964" xr:uid="{36DCA4AA-D269-4EAF-97F1-254E6FB97418}"/>
    <cellStyle name="Note 2 20 5 3" xfId="5397" xr:uid="{A5B999E2-5D88-475F-8496-D95C746EA75C}"/>
    <cellStyle name="Note 2 20 6" xfId="4588" xr:uid="{81AE636C-23D0-409F-A42C-54C8A3FEF850}"/>
    <cellStyle name="Note 2 20 6 2" xfId="5968" xr:uid="{6743E5E9-5197-45A6-9E5D-A7CE5B982B29}"/>
    <cellStyle name="Note 2 20 6 3" xfId="6658" xr:uid="{5F7C521A-D6CF-45D0-9EFC-4A8BA5A31213}"/>
    <cellStyle name="Note 2 20 7" xfId="5669" xr:uid="{11011346-A082-4F23-A580-BC0C4783C96B}"/>
    <cellStyle name="Note 2 21" xfId="3013" xr:uid="{00000000-0005-0000-0000-0000620D0000}"/>
    <cellStyle name="Note 2 21 2" xfId="4119" xr:uid="{00000000-0005-0000-0000-0000630D0000}"/>
    <cellStyle name="Note 2 21 2 2" xfId="4895" xr:uid="{7B71537D-863A-428A-BA56-26B24D56B382}"/>
    <cellStyle name="Note 2 21 2 2 2" xfId="6275" xr:uid="{A118E440-1E92-4D60-B6EB-C3E16301899C}"/>
    <cellStyle name="Note 2 21 2 2 3" xfId="6965" xr:uid="{508A0E76-52A3-4631-A7CC-F3A14BD68653}"/>
    <cellStyle name="Note 2 21 2 3" xfId="5396" xr:uid="{A55B96F3-12DE-42F9-8FE6-C8BAC127D8DA}"/>
    <cellStyle name="Note 2 21 3" xfId="4594" xr:uid="{6CBF6CF8-B66C-4C48-B6BD-0E2C9AC6A7D5}"/>
    <cellStyle name="Note 2 21 3 2" xfId="5974" xr:uid="{5B99A7BE-D8BA-431C-B217-9F0F7EFFBF8D}"/>
    <cellStyle name="Note 2 21 3 3" xfId="6664" xr:uid="{B0F6DB30-ACA2-4553-8BEC-49E233D44300}"/>
    <cellStyle name="Note 2 21 4" xfId="5808" xr:uid="{C768DB0A-A445-45C2-AA90-166A38E5C5DF}"/>
    <cellStyle name="Note 2 22" xfId="3014" xr:uid="{00000000-0005-0000-0000-0000640D0000}"/>
    <cellStyle name="Note 2 22 2" xfId="4120" xr:uid="{00000000-0005-0000-0000-0000650D0000}"/>
    <cellStyle name="Note 2 22 2 2" xfId="4896" xr:uid="{8447F522-DD73-487C-A270-AD44E87E99A5}"/>
    <cellStyle name="Note 2 22 2 2 2" xfId="6276" xr:uid="{58544C6E-A372-46FA-B568-6A21D4D23037}"/>
    <cellStyle name="Note 2 22 2 2 3" xfId="6966" xr:uid="{06F82C31-57BB-4F43-B1B6-1600DC7580F7}"/>
    <cellStyle name="Note 2 22 2 3" xfId="5395" xr:uid="{0D808A78-A98A-40B0-9CF1-0AB644089AA2}"/>
    <cellStyle name="Note 2 22 3" xfId="4595" xr:uid="{1044F8E2-E00C-4199-990B-6EDB750D76B9}"/>
    <cellStyle name="Note 2 22 3 2" xfId="5975" xr:uid="{17AB603D-2DAE-4A67-B9E2-CF7C43E18E93}"/>
    <cellStyle name="Note 2 22 3 3" xfId="6665" xr:uid="{869D5D54-215C-4932-AD67-8AA1FF9D5220}"/>
    <cellStyle name="Note 2 22 4" xfId="5807" xr:uid="{9A18C6E6-F349-48AD-87BF-54B494B50AD6}"/>
    <cellStyle name="Note 2 23" xfId="3015" xr:uid="{00000000-0005-0000-0000-0000660D0000}"/>
    <cellStyle name="Note 2 23 2" xfId="3016" xr:uid="{00000000-0005-0000-0000-0000670D0000}"/>
    <cellStyle name="Note 2 23 2 2" xfId="4121" xr:uid="{00000000-0005-0000-0000-0000680D0000}"/>
    <cellStyle name="Note 2 23 2 2 2" xfId="4897" xr:uid="{262B5B51-9F6D-4D9D-A925-E6D76288D973}"/>
    <cellStyle name="Note 2 23 2 2 2 2" xfId="6277" xr:uid="{736753EB-5505-4A70-9DD1-14D92E600727}"/>
    <cellStyle name="Note 2 23 2 2 2 3" xfId="6967" xr:uid="{FBCDC3D5-0570-496F-8728-8726F0101144}"/>
    <cellStyle name="Note 2 23 2 2 3" xfId="5394" xr:uid="{7FA9F0E4-7AC4-4EB7-98AE-1548E1D35247}"/>
    <cellStyle name="Note 2 23 2 3" xfId="4597" xr:uid="{F28EA3BA-1B72-4978-A429-AD33D0D01D06}"/>
    <cellStyle name="Note 2 23 2 3 2" xfId="5977" xr:uid="{0AF92F5F-E382-44D4-A5F3-77019CCA2275}"/>
    <cellStyle name="Note 2 23 2 3 3" xfId="6667" xr:uid="{71076CA1-6F4F-4E29-8C3C-5C7CC34F7914}"/>
    <cellStyle name="Note 2 23 2 4" xfId="5664" xr:uid="{67C60D0A-59F9-46DC-B1B5-4A044B5D0DA7}"/>
    <cellStyle name="Note 2 23 3" xfId="3017" xr:uid="{00000000-0005-0000-0000-0000690D0000}"/>
    <cellStyle name="Note 2 23 3 2" xfId="4122" xr:uid="{00000000-0005-0000-0000-00006A0D0000}"/>
    <cellStyle name="Note 2 23 3 2 2" xfId="4898" xr:uid="{52A7E53F-603B-48FD-8BCB-CD7DCE1D4593}"/>
    <cellStyle name="Note 2 23 3 2 2 2" xfId="6278" xr:uid="{ABAAB3C1-26A5-458B-A055-DBC70ECBA254}"/>
    <cellStyle name="Note 2 23 3 2 2 3" xfId="6968" xr:uid="{4CF38529-D5CD-46A1-AFFF-52F1264D88E6}"/>
    <cellStyle name="Note 2 23 3 2 3" xfId="5393" xr:uid="{DDD56C64-4191-4D54-94B8-14F4DA3A1D9E}"/>
    <cellStyle name="Note 2 23 3 3" xfId="4598" xr:uid="{33FFF68F-002D-416C-A0B5-D78C483EC1FE}"/>
    <cellStyle name="Note 2 23 3 3 2" xfId="5978" xr:uid="{27B83A3F-15D3-49EF-B21B-B437C1BF6EF1}"/>
    <cellStyle name="Note 2 23 3 3 3" xfId="6668" xr:uid="{DAEB3CB9-0E24-4B9C-A72D-6DD1C13B2C39}"/>
    <cellStyle name="Note 2 23 3 4" xfId="5663" xr:uid="{30049B94-231C-44ED-8BE6-92B1E8B92495}"/>
    <cellStyle name="Note 2 23 4" xfId="4123" xr:uid="{00000000-0005-0000-0000-00006B0D0000}"/>
    <cellStyle name="Note 2 23 4 2" xfId="4899" xr:uid="{3E6E59D4-CE25-49BC-B275-9FC3944ED6EA}"/>
    <cellStyle name="Note 2 23 4 2 2" xfId="6279" xr:uid="{14411AE2-BE8B-4168-BBD8-825797C929B4}"/>
    <cellStyle name="Note 2 23 4 2 3" xfId="6969" xr:uid="{D31EC23E-66C3-4866-97B1-B2ADF9B54F77}"/>
    <cellStyle name="Note 2 23 4 3" xfId="5392" xr:uid="{7F2FCB40-46BC-44C9-90E7-29E5796C3B79}"/>
    <cellStyle name="Note 2 23 5" xfId="4596" xr:uid="{26A46BB9-574A-4F8E-AE1F-FAB6BDB7683E}"/>
    <cellStyle name="Note 2 23 5 2" xfId="5976" xr:uid="{DA097EED-631D-45AF-B4AA-BCE010B4D4A4}"/>
    <cellStyle name="Note 2 23 5 3" xfId="6666" xr:uid="{A2177562-9BD1-40C7-B1F8-2642381B55EB}"/>
    <cellStyle name="Note 2 23 6" xfId="5665" xr:uid="{D680ED28-AA7D-4382-91B0-61C8E71DB075}"/>
    <cellStyle name="Note 2 24" xfId="3018" xr:uid="{00000000-0005-0000-0000-00006C0D0000}"/>
    <cellStyle name="Note 2 24 2" xfId="3019" xr:uid="{00000000-0005-0000-0000-00006D0D0000}"/>
    <cellStyle name="Note 2 24 2 2" xfId="4124" xr:uid="{00000000-0005-0000-0000-00006E0D0000}"/>
    <cellStyle name="Note 2 24 2 2 2" xfId="4900" xr:uid="{7C463D42-CB1E-4027-9E17-F398E4252F1C}"/>
    <cellStyle name="Note 2 24 2 2 2 2" xfId="6280" xr:uid="{A05D9637-82D0-4778-9B0A-4B81E3CC5B3F}"/>
    <cellStyle name="Note 2 24 2 2 2 3" xfId="6970" xr:uid="{72AD781C-0078-40D7-B653-8570033383A4}"/>
    <cellStyle name="Note 2 24 2 2 3" xfId="5391" xr:uid="{CEAF99DB-0C50-4652-8FCB-C6DDDCB88520}"/>
    <cellStyle name="Note 2 24 2 3" xfId="4600" xr:uid="{57507813-53ED-4C58-8598-9B09267FE09C}"/>
    <cellStyle name="Note 2 24 2 3 2" xfId="5980" xr:uid="{DBF3F20D-1D2B-497C-9D19-5001E35DBE19}"/>
    <cellStyle name="Note 2 24 2 3 3" xfId="6670" xr:uid="{38942E8A-DE7F-4117-9B95-BA758DE802E5}"/>
    <cellStyle name="Note 2 24 2 4" xfId="5661" xr:uid="{028C310B-B558-4F78-844A-27C1A87A175D}"/>
    <cellStyle name="Note 2 24 3" xfId="3020" xr:uid="{00000000-0005-0000-0000-00006F0D0000}"/>
    <cellStyle name="Note 2 24 3 2" xfId="4125" xr:uid="{00000000-0005-0000-0000-0000700D0000}"/>
    <cellStyle name="Note 2 24 3 2 2" xfId="4901" xr:uid="{9AACFFA5-259C-45A6-8FF0-16C58E722D02}"/>
    <cellStyle name="Note 2 24 3 2 2 2" xfId="6281" xr:uid="{53E88C38-BE57-47A0-96A8-84121716BAB4}"/>
    <cellStyle name="Note 2 24 3 2 2 3" xfId="6971" xr:uid="{6C360B70-EC6D-4BEA-9D5F-2E7973E6AFC6}"/>
    <cellStyle name="Note 2 24 3 2 3" xfId="5390" xr:uid="{C208FD4D-39E0-4C58-9FEF-2B09497E7FF1}"/>
    <cellStyle name="Note 2 24 3 3" xfId="4601" xr:uid="{FDD1A321-0257-4CC5-933A-21C3232AF0A5}"/>
    <cellStyle name="Note 2 24 3 3 2" xfId="5981" xr:uid="{C5A5321E-E0B3-4B64-BA45-6C74223BE149}"/>
    <cellStyle name="Note 2 24 3 3 3" xfId="6671" xr:uid="{1D6B4904-1339-4DBB-925C-9032FF4C68B0}"/>
    <cellStyle name="Note 2 24 3 4" xfId="5660" xr:uid="{1B721D05-D7B6-4ECA-9BAA-20C4DAD77B90}"/>
    <cellStyle name="Note 2 24 4" xfId="4126" xr:uid="{00000000-0005-0000-0000-0000710D0000}"/>
    <cellStyle name="Note 2 24 4 2" xfId="4902" xr:uid="{39381E54-F439-46E0-9AE0-2C53BE100F35}"/>
    <cellStyle name="Note 2 24 4 2 2" xfId="6282" xr:uid="{7E66D248-E9B3-4BD9-9753-F903139DB26B}"/>
    <cellStyle name="Note 2 24 4 2 3" xfId="6972" xr:uid="{A9EBBE2A-3B9D-442F-92F5-F8D78F6EED4E}"/>
    <cellStyle name="Note 2 24 4 3" xfId="5389" xr:uid="{A34AD9EC-F99E-4E00-AD5A-0C8A91673750}"/>
    <cellStyle name="Note 2 24 5" xfId="4599" xr:uid="{C89EBB33-63C3-4E9D-BE15-CA46156AAFA2}"/>
    <cellStyle name="Note 2 24 5 2" xfId="5979" xr:uid="{699B950E-708A-4C8B-A7CF-B7D52FABF439}"/>
    <cellStyle name="Note 2 24 5 3" xfId="6669" xr:uid="{870431B0-596A-4768-9394-B60428FDB48F}"/>
    <cellStyle name="Note 2 24 6" xfId="5662" xr:uid="{22CB02C9-98A2-4F59-AA77-603DB100C54A}"/>
    <cellStyle name="Note 2 25" xfId="3021" xr:uid="{00000000-0005-0000-0000-0000720D0000}"/>
    <cellStyle name="Note 2 25 2" xfId="3022" xr:uid="{00000000-0005-0000-0000-0000730D0000}"/>
    <cellStyle name="Note 2 25 2 2" xfId="4127" xr:uid="{00000000-0005-0000-0000-0000740D0000}"/>
    <cellStyle name="Note 2 25 2 2 2" xfId="4903" xr:uid="{2E01F6B3-6CFC-4199-B177-7EBE28E146D6}"/>
    <cellStyle name="Note 2 25 2 2 2 2" xfId="6283" xr:uid="{6EF5BE44-2BAD-4EE1-852A-38D3B18FC520}"/>
    <cellStyle name="Note 2 25 2 2 2 3" xfId="6973" xr:uid="{1B3E0780-ECEA-4DE4-95E7-1416C67018D7}"/>
    <cellStyle name="Note 2 25 2 2 3" xfId="5388" xr:uid="{DA97D086-4162-440C-9991-4D4EBC805F54}"/>
    <cellStyle name="Note 2 25 2 3" xfId="4603" xr:uid="{2D34A753-2818-4B70-992C-B4EC4245C243}"/>
    <cellStyle name="Note 2 25 2 3 2" xfId="5983" xr:uid="{933CED07-3A55-4464-ADF9-34D19E894743}"/>
    <cellStyle name="Note 2 25 2 3 3" xfId="6673" xr:uid="{443C37B0-1BB7-4120-97A3-0C7A1A0DD40C}"/>
    <cellStyle name="Note 2 25 2 4" xfId="5658" xr:uid="{4AD37E4E-3006-4388-AC16-BACC5C2934F0}"/>
    <cellStyle name="Note 2 25 3" xfId="3023" xr:uid="{00000000-0005-0000-0000-0000750D0000}"/>
    <cellStyle name="Note 2 25 3 2" xfId="4128" xr:uid="{00000000-0005-0000-0000-0000760D0000}"/>
    <cellStyle name="Note 2 25 3 2 2" xfId="4904" xr:uid="{D1163309-3244-4B47-B2D5-8F683F38D623}"/>
    <cellStyle name="Note 2 25 3 2 2 2" xfId="6284" xr:uid="{6F03D61B-5652-4491-9361-F3D5FB353C95}"/>
    <cellStyle name="Note 2 25 3 2 2 3" xfId="6974" xr:uid="{FB01F472-ACB0-4093-81D6-9EA48CBE74CC}"/>
    <cellStyle name="Note 2 25 3 2 3" xfId="5387" xr:uid="{42BC4DCC-8AD6-4EFD-9E33-00BF8EDAA230}"/>
    <cellStyle name="Note 2 25 3 3" xfId="4604" xr:uid="{674793D5-E5AB-4AE9-8681-B38BB0D650DA}"/>
    <cellStyle name="Note 2 25 3 3 2" xfId="5984" xr:uid="{8CD2D702-F887-489F-AE31-9625CCA2D978}"/>
    <cellStyle name="Note 2 25 3 3 3" xfId="6674" xr:uid="{376DE246-D81B-47CF-B6E2-8F630948C522}"/>
    <cellStyle name="Note 2 25 3 4" xfId="5806" xr:uid="{37A985F5-6046-4369-A0DB-F1AB992CE01F}"/>
    <cellStyle name="Note 2 25 4" xfId="4129" xr:uid="{00000000-0005-0000-0000-0000770D0000}"/>
    <cellStyle name="Note 2 25 4 2" xfId="4905" xr:uid="{C064BCA2-04C8-48A5-9197-03144580E0D9}"/>
    <cellStyle name="Note 2 25 4 2 2" xfId="6285" xr:uid="{879EC251-C1BD-4CF0-A065-7AA66E35285F}"/>
    <cellStyle name="Note 2 25 4 2 3" xfId="6975" xr:uid="{E07ABC22-DDF7-4348-9939-16956CAE69F5}"/>
    <cellStyle name="Note 2 25 4 3" xfId="5386" xr:uid="{63DFDC37-71CB-467A-A707-68ACA7349E42}"/>
    <cellStyle name="Note 2 25 5" xfId="4602" xr:uid="{714C7891-332E-4159-85C9-570FD118516B}"/>
    <cellStyle name="Note 2 25 5 2" xfId="5982" xr:uid="{8AE81EC5-DE7E-4D6C-A411-D3ED4AC94A11}"/>
    <cellStyle name="Note 2 25 5 3" xfId="6672" xr:uid="{7AAE114C-F047-4492-9CFD-586B2C013235}"/>
    <cellStyle name="Note 2 25 6" xfId="5659" xr:uid="{D9D072B3-78C4-4CAA-BA30-82E28A53DAA4}"/>
    <cellStyle name="Note 2 26" xfId="3024" xr:uid="{00000000-0005-0000-0000-0000780D0000}"/>
    <cellStyle name="Note 2 26 2" xfId="3025" xr:uid="{00000000-0005-0000-0000-0000790D0000}"/>
    <cellStyle name="Note 2 26 2 2" xfId="4130" xr:uid="{00000000-0005-0000-0000-00007A0D0000}"/>
    <cellStyle name="Note 2 26 2 2 2" xfId="4906" xr:uid="{1AA3D30B-B266-4F60-8A74-7CCCBDB7BBE6}"/>
    <cellStyle name="Note 2 26 2 2 2 2" xfId="6286" xr:uid="{5241A209-31F6-40D4-B07B-8AC31F6CDC06}"/>
    <cellStyle name="Note 2 26 2 2 2 3" xfId="6976" xr:uid="{4E5DCBD0-4B52-45D3-A184-E55E81575E61}"/>
    <cellStyle name="Note 2 26 2 2 3" xfId="5385" xr:uid="{65AE3CE3-18DF-4E77-A777-68F46CAEA717}"/>
    <cellStyle name="Note 2 26 2 3" xfId="4606" xr:uid="{023F1A08-BB56-4E9F-BD3B-13A335AAF74B}"/>
    <cellStyle name="Note 2 26 2 3 2" xfId="5986" xr:uid="{792AC003-9832-44DB-AC6A-BFF301A6D411}"/>
    <cellStyle name="Note 2 26 2 3 3" xfId="6676" xr:uid="{3AAA7C53-15DD-4F04-BF68-C659CCEB2B01}"/>
    <cellStyle name="Note 2 26 2 4" xfId="5834" xr:uid="{16B61634-2309-42A5-AF21-6FBE383A58F4}"/>
    <cellStyle name="Note 2 26 3" xfId="3026" xr:uid="{00000000-0005-0000-0000-00007B0D0000}"/>
    <cellStyle name="Note 2 26 3 2" xfId="4131" xr:uid="{00000000-0005-0000-0000-00007C0D0000}"/>
    <cellStyle name="Note 2 26 3 2 2" xfId="4907" xr:uid="{918956BB-1142-4820-839F-E1505B0B2D1B}"/>
    <cellStyle name="Note 2 26 3 2 2 2" xfId="6287" xr:uid="{CF04FEF3-C34D-4C20-878F-88A2D82E5D38}"/>
    <cellStyle name="Note 2 26 3 2 2 3" xfId="6977" xr:uid="{4B72D14F-AE53-44AE-9368-1A034F2398E3}"/>
    <cellStyle name="Note 2 26 3 2 3" xfId="5384" xr:uid="{5461FC1F-56DA-4A8C-8920-FAE2AEE05587}"/>
    <cellStyle name="Note 2 26 3 3" xfId="4607" xr:uid="{DCBC201B-B6AA-4ED0-BA0F-F40D5A20785E}"/>
    <cellStyle name="Note 2 26 3 3 2" xfId="5987" xr:uid="{D47B90DD-6E2C-41A1-8AE3-537E589B1780}"/>
    <cellStyle name="Note 2 26 3 3 3" xfId="6677" xr:uid="{7521A8CC-AEED-4996-B1CF-C1074D3FB5A4}"/>
    <cellStyle name="Note 2 26 3 4" xfId="5152" xr:uid="{73BCC516-5D29-4179-8EF5-D695138D6E15}"/>
    <cellStyle name="Note 2 26 4" xfId="4132" xr:uid="{00000000-0005-0000-0000-00007D0D0000}"/>
    <cellStyle name="Note 2 26 4 2" xfId="4908" xr:uid="{FF0659C2-1F2C-4F79-B9DC-E1F607457DB9}"/>
    <cellStyle name="Note 2 26 4 2 2" xfId="6288" xr:uid="{6C0194E2-1F79-4A5E-A0A9-8C643A296EF3}"/>
    <cellStyle name="Note 2 26 4 2 3" xfId="6978" xr:uid="{FE1BDE11-536B-4259-AE78-87D29B5CA478}"/>
    <cellStyle name="Note 2 26 4 3" xfId="5383" xr:uid="{EE8723B2-80E6-4E14-8FB8-8C75CC437601}"/>
    <cellStyle name="Note 2 26 5" xfId="4605" xr:uid="{B3F47859-0E75-4E70-AEDB-BFAEC9EC970E}"/>
    <cellStyle name="Note 2 26 5 2" xfId="5985" xr:uid="{3E27CCFA-A0B6-49C4-8866-35D4D1E212FE}"/>
    <cellStyle name="Note 2 26 5 3" xfId="6675" xr:uid="{CDC99008-3F12-4A0D-AE2B-DB3CD84D4361}"/>
    <cellStyle name="Note 2 26 6" xfId="5657" xr:uid="{3E49416F-844D-45E5-BD2C-267716A89179}"/>
    <cellStyle name="Note 2 27" xfId="3027" xr:uid="{00000000-0005-0000-0000-00007E0D0000}"/>
    <cellStyle name="Note 2 27 2" xfId="4133" xr:uid="{00000000-0005-0000-0000-00007F0D0000}"/>
    <cellStyle name="Note 2 27 2 2" xfId="4909" xr:uid="{EBAAAF5D-4407-4EFC-88C0-729EF3F5A0FF}"/>
    <cellStyle name="Note 2 27 2 2 2" xfId="6289" xr:uid="{4BB8AA6B-032B-45BC-9E51-1C80F8A8CADE}"/>
    <cellStyle name="Note 2 27 2 2 3" xfId="6979" xr:uid="{CBE91EEB-B51D-498F-8A6C-57513E9D7CAF}"/>
    <cellStyle name="Note 2 27 2 3" xfId="5382" xr:uid="{5FDF8328-30D7-4619-9566-881FF23CC856}"/>
    <cellStyle name="Note 2 27 3" xfId="4608" xr:uid="{E31787AE-B7AA-4DE1-BEEC-3F1D9D5763A3}"/>
    <cellStyle name="Note 2 27 3 2" xfId="5988" xr:uid="{78F5134E-966E-4E12-A1F9-70910CD403F1}"/>
    <cellStyle name="Note 2 27 3 3" xfId="6678" xr:uid="{AA737DA6-B3EE-4C56-ABEC-DEEA7305D7F0}"/>
    <cellStyle name="Note 2 27 4" xfId="5656" xr:uid="{DA78A015-AA00-4140-A125-705391946700}"/>
    <cellStyle name="Note 2 28" xfId="3028" xr:uid="{00000000-0005-0000-0000-0000800D0000}"/>
    <cellStyle name="Note 2 28 2" xfId="4134" xr:uid="{00000000-0005-0000-0000-0000810D0000}"/>
    <cellStyle name="Note 2 28 2 2" xfId="4910" xr:uid="{E1D8403C-DBF7-4ED8-916B-5A075DF7EA3D}"/>
    <cellStyle name="Note 2 28 2 2 2" xfId="6290" xr:uid="{B212B811-55B9-4913-9A81-A0FF0F6026C4}"/>
    <cellStyle name="Note 2 28 2 2 3" xfId="6980" xr:uid="{1E5DAA52-D233-4C54-A2EE-FE2E8C932081}"/>
    <cellStyle name="Note 2 28 2 3" xfId="5381" xr:uid="{9ECACB79-70BC-420C-AC80-948FB6AA3A57}"/>
    <cellStyle name="Note 2 28 3" xfId="4609" xr:uid="{74F338F5-C776-4242-88DF-8365D48B7480}"/>
    <cellStyle name="Note 2 28 3 2" xfId="5989" xr:uid="{48FB9F87-4AE2-4684-8253-0D605E976BFC}"/>
    <cellStyle name="Note 2 28 3 3" xfId="6679" xr:uid="{4139B26E-2C6D-47D0-9009-43280015896E}"/>
    <cellStyle name="Note 2 28 4" xfId="5655" xr:uid="{BECFF928-10BA-4F39-9DE1-5328A9DF1876}"/>
    <cellStyle name="Note 2 29" xfId="3029" xr:uid="{00000000-0005-0000-0000-0000820D0000}"/>
    <cellStyle name="Note 2 29 2" xfId="4135" xr:uid="{00000000-0005-0000-0000-0000830D0000}"/>
    <cellStyle name="Note 2 29 2 2" xfId="4911" xr:uid="{0A30AA8A-1927-4C6A-B091-137CB0C6AF55}"/>
    <cellStyle name="Note 2 29 2 2 2" xfId="6291" xr:uid="{DAA72919-07F2-4A9A-AA5C-7E5ABBB7B305}"/>
    <cellStyle name="Note 2 29 2 2 3" xfId="6981" xr:uid="{7526EC20-3A0D-48F8-A001-04D243CB41A3}"/>
    <cellStyle name="Note 2 29 2 3" xfId="5380" xr:uid="{E15F8733-D92E-4B3F-A7B0-1F975C9FAA60}"/>
    <cellStyle name="Note 2 29 3" xfId="4610" xr:uid="{6473928B-6E21-419A-8965-DEA90C04248D}"/>
    <cellStyle name="Note 2 29 3 2" xfId="5990" xr:uid="{546A81B6-6A65-4797-B631-6C41D7A38948}"/>
    <cellStyle name="Note 2 29 3 3" xfId="6680" xr:uid="{FAEEC0F6-30D9-446B-A0F3-07BFE3921788}"/>
    <cellStyle name="Note 2 29 4" xfId="5654" xr:uid="{B1EC9C94-3966-4C3B-8A81-277125D13339}"/>
    <cellStyle name="Note 2 3" xfId="3030" xr:uid="{00000000-0005-0000-0000-0000840D0000}"/>
    <cellStyle name="Note 2 3 2" xfId="4136" xr:uid="{00000000-0005-0000-0000-0000850D0000}"/>
    <cellStyle name="Note 2 3 2 2" xfId="4912" xr:uid="{2DCDB437-27FF-4BA9-B55A-37C5CA68E40B}"/>
    <cellStyle name="Note 2 3 2 2 2" xfId="6292" xr:uid="{C7F90513-48BB-42C1-82CF-81473158D75A}"/>
    <cellStyle name="Note 2 3 2 2 3" xfId="6982" xr:uid="{1F5EE440-83B2-4BEF-9DE5-A2ACCA57AD53}"/>
    <cellStyle name="Note 2 3 2 3" xfId="5379" xr:uid="{034BD460-F157-487C-8F17-9625650172AF}"/>
    <cellStyle name="Note 2 3 3" xfId="4611" xr:uid="{0E4461C1-E798-451C-9DC2-A12E0A18E16E}"/>
    <cellStyle name="Note 2 3 3 2" xfId="5991" xr:uid="{41C01CCC-154E-4D73-A28F-DA718E718704}"/>
    <cellStyle name="Note 2 3 3 3" xfId="6681" xr:uid="{B79007E3-2895-4FDC-908C-13C4BD959A81}"/>
    <cellStyle name="Note 2 3 4" xfId="5653" xr:uid="{5BF310D4-354D-4CF6-9889-425C19B36C10}"/>
    <cellStyle name="Note 2 30" xfId="3031" xr:uid="{00000000-0005-0000-0000-0000860D0000}"/>
    <cellStyle name="Note 2 30 2" xfId="4137" xr:uid="{00000000-0005-0000-0000-0000870D0000}"/>
    <cellStyle name="Note 2 30 2 2" xfId="4913" xr:uid="{036D9504-E815-4207-9D50-62EFDDCA2A10}"/>
    <cellStyle name="Note 2 30 2 2 2" xfId="6293" xr:uid="{FB2FCA3E-15BE-4696-93B3-BE21EBC8BDC2}"/>
    <cellStyle name="Note 2 30 2 2 3" xfId="6983" xr:uid="{040183DA-70A5-4412-A446-37F74D672017}"/>
    <cellStyle name="Note 2 30 2 3" xfId="5378" xr:uid="{285ED4F0-FCEF-4762-926F-051A57792698}"/>
    <cellStyle name="Note 2 30 3" xfId="4612" xr:uid="{61A858A0-8631-42A1-9EE0-660889EA1C68}"/>
    <cellStyle name="Note 2 30 3 2" xfId="5992" xr:uid="{42C33B83-B8CB-423D-9970-DA3317850B49}"/>
    <cellStyle name="Note 2 30 3 3" xfId="6682" xr:uid="{6852D941-8D1A-4870-A922-0A1649663704}"/>
    <cellStyle name="Note 2 30 4" xfId="5652" xr:uid="{FA1C52FA-1FF1-41AA-97B6-EB8C3DA94912}"/>
    <cellStyle name="Note 2 31" xfId="3032" xr:uid="{00000000-0005-0000-0000-0000880D0000}"/>
    <cellStyle name="Note 2 31 2" xfId="3033" xr:uid="{00000000-0005-0000-0000-0000890D0000}"/>
    <cellStyle name="Note 2 31 3" xfId="4138" xr:uid="{00000000-0005-0000-0000-00008A0D0000}"/>
    <cellStyle name="Note 2 31 3 2" xfId="4914" xr:uid="{D91C08FB-C728-4C3A-B3F0-13F66347BBE9}"/>
    <cellStyle name="Note 2 31 3 2 2" xfId="6294" xr:uid="{5EC10FBA-439A-45B2-8715-72C9A3F08156}"/>
    <cellStyle name="Note 2 31 3 2 3" xfId="6984" xr:uid="{F45E7DBA-7D4A-445F-83EC-05A03F621612}"/>
    <cellStyle name="Note 2 31 3 3" xfId="5377" xr:uid="{987AE4D2-7010-4BD3-AC34-4CB0EE721CD8}"/>
    <cellStyle name="Note 2 31 4" xfId="4613" xr:uid="{3B26AFAE-5084-49EB-93CA-731AAC1D1678}"/>
    <cellStyle name="Note 2 31 4 2" xfId="5993" xr:uid="{7D683729-84DA-4394-B192-32F1F5B24923}"/>
    <cellStyle name="Note 2 31 4 3" xfId="6683" xr:uid="{92E5899B-D7D9-47A9-BF6A-E24D7E7638A1}"/>
    <cellStyle name="Note 2 31 5" xfId="5651" xr:uid="{A4D86CF4-A75F-42DA-9DC5-CC353DBCC35A}"/>
    <cellStyle name="Note 2 32" xfId="3034" xr:uid="{00000000-0005-0000-0000-00008B0D0000}"/>
    <cellStyle name="Note 2 32 2" xfId="4139" xr:uid="{00000000-0005-0000-0000-00008C0D0000}"/>
    <cellStyle name="Note 2 32 2 2" xfId="4915" xr:uid="{060B16F4-CD7D-4178-BE52-9E51158C2C08}"/>
    <cellStyle name="Note 2 32 2 2 2" xfId="6295" xr:uid="{FE93ADA0-7EF1-4371-80F1-84AE0814F690}"/>
    <cellStyle name="Note 2 32 2 2 3" xfId="6985" xr:uid="{61B68624-85FA-4637-8B8C-AA03B17C8946}"/>
    <cellStyle name="Note 2 32 2 3" xfId="5376" xr:uid="{A60D5AD9-1133-41A2-A4B6-44627F8E14AD}"/>
    <cellStyle name="Note 2 32 3" xfId="4614" xr:uid="{AA32E1A2-628F-47EC-893D-ED73A76325CE}"/>
    <cellStyle name="Note 2 32 3 2" xfId="5994" xr:uid="{9C206759-952E-456B-BDAA-8ACB9F81EFAD}"/>
    <cellStyle name="Note 2 32 3 3" xfId="6684" xr:uid="{41C6822C-D8D2-4B19-BB9C-4601B8FB0097}"/>
    <cellStyle name="Note 2 32 4" xfId="5650" xr:uid="{ADF2C8AD-8C72-40EE-97B2-886DD478F6AA}"/>
    <cellStyle name="Note 2 33" xfId="4140" xr:uid="{00000000-0005-0000-0000-00008D0D0000}"/>
    <cellStyle name="Note 2 33 2" xfId="4916" xr:uid="{C67223CD-DD7A-46D6-BBE6-F8F8B7274E86}"/>
    <cellStyle name="Note 2 33 2 2" xfId="6296" xr:uid="{D8FC8D62-F696-4FA5-9647-5D2B70553EF6}"/>
    <cellStyle name="Note 2 33 2 3" xfId="6986" xr:uid="{7F592AE8-472C-4F66-B0AC-78D406018144}"/>
    <cellStyle name="Note 2 33 3" xfId="5783" xr:uid="{F74FAB72-CEED-4691-AC3F-3C59B07308CD}"/>
    <cellStyle name="Note 2 4" xfId="3035" xr:uid="{00000000-0005-0000-0000-00008E0D0000}"/>
    <cellStyle name="Note 2 4 2" xfId="4141" xr:uid="{00000000-0005-0000-0000-00008F0D0000}"/>
    <cellStyle name="Note 2 4 2 2" xfId="4917" xr:uid="{A7BAD72B-ED70-437E-B116-71690BAE3198}"/>
    <cellStyle name="Note 2 4 2 2 2" xfId="6297" xr:uid="{79CE48A8-823B-4630-A7A2-03A5BD702D67}"/>
    <cellStyle name="Note 2 4 2 2 3" xfId="6987" xr:uid="{33220211-3AC8-475A-A9B1-522FA356B101}"/>
    <cellStyle name="Note 2 4 2 3" xfId="5375" xr:uid="{BD608443-B039-4A39-A84D-9705BA7881CE}"/>
    <cellStyle name="Note 2 4 3" xfId="4615" xr:uid="{F5516AAF-5ED8-4BAF-AE42-772D5A7CE653}"/>
    <cellStyle name="Note 2 4 3 2" xfId="5995" xr:uid="{CCDC0FF8-B45F-42F2-8A32-A2D38833C260}"/>
    <cellStyle name="Note 2 4 3 3" xfId="6685" xr:uid="{2F2E6644-B231-4DF5-BAD7-A1A52111DE9C}"/>
    <cellStyle name="Note 2 4 4" xfId="5833" xr:uid="{FF82080C-4053-4EC9-8C6F-BC8877BCEE55}"/>
    <cellStyle name="Note 2 5" xfId="3036" xr:uid="{00000000-0005-0000-0000-0000900D0000}"/>
    <cellStyle name="Note 2 5 2" xfId="4142" xr:uid="{00000000-0005-0000-0000-0000910D0000}"/>
    <cellStyle name="Note 2 5 2 2" xfId="4918" xr:uid="{6DAC73A1-4D57-47EE-AB78-074BC9C01478}"/>
    <cellStyle name="Note 2 5 2 2 2" xfId="6298" xr:uid="{C28B2BAA-6EDA-4024-8A0B-A0AE0AC6B408}"/>
    <cellStyle name="Note 2 5 2 2 3" xfId="6988" xr:uid="{4C27666B-AFFF-4B21-B265-907FD7B3ACBD}"/>
    <cellStyle name="Note 2 5 2 3" xfId="5374" xr:uid="{989961FE-3AD0-4B43-9701-372B5D18DE92}"/>
    <cellStyle name="Note 2 5 3" xfId="4616" xr:uid="{1AF911F9-F935-4563-B1A1-48014855E253}"/>
    <cellStyle name="Note 2 5 3 2" xfId="5996" xr:uid="{A16CD95B-38D7-404D-B171-C4D45212A0E4}"/>
    <cellStyle name="Note 2 5 3 3" xfId="6686" xr:uid="{EB60A5C6-D7DF-4190-B91D-7EDE3BE9C62D}"/>
    <cellStyle name="Note 2 5 4" xfId="5805" xr:uid="{2C01C754-FCEB-4510-A3AD-FECB2B9B9B61}"/>
    <cellStyle name="Note 2 6" xfId="3037" xr:uid="{00000000-0005-0000-0000-0000920D0000}"/>
    <cellStyle name="Note 2 6 2" xfId="4143" xr:uid="{00000000-0005-0000-0000-0000930D0000}"/>
    <cellStyle name="Note 2 6 2 2" xfId="4919" xr:uid="{B81BC443-4F6C-4CB8-8B86-DB6E402ED8BD}"/>
    <cellStyle name="Note 2 6 2 2 2" xfId="6299" xr:uid="{8875E024-C4CE-4A43-857F-E524523CE1CE}"/>
    <cellStyle name="Note 2 6 2 2 3" xfId="6989" xr:uid="{C0704BEF-F61D-4AF8-A0B4-0C502C42DD03}"/>
    <cellStyle name="Note 2 6 2 3" xfId="5373" xr:uid="{5AAC1763-512F-494D-AB7E-920D5B1E9186}"/>
    <cellStyle name="Note 2 6 3" xfId="4617" xr:uid="{DFFC4A56-87C0-4150-A631-3EF371BB5D68}"/>
    <cellStyle name="Note 2 6 3 2" xfId="5997" xr:uid="{85CF1415-547E-4C75-93B5-43251E85860D}"/>
    <cellStyle name="Note 2 6 3 3" xfId="6687" xr:uid="{4B2CF9BB-66EF-4867-B49E-97655D1A4EEF}"/>
    <cellStyle name="Note 2 6 4" xfId="5832" xr:uid="{DACF577C-919A-43FA-8768-871736F44CE0}"/>
    <cellStyle name="Note 2 7" xfId="3038" xr:uid="{00000000-0005-0000-0000-0000940D0000}"/>
    <cellStyle name="Note 2 7 2" xfId="4144" xr:uid="{00000000-0005-0000-0000-0000950D0000}"/>
    <cellStyle name="Note 2 7 2 2" xfId="4920" xr:uid="{69355364-1A76-4B3D-85E1-7C49311FF927}"/>
    <cellStyle name="Note 2 7 2 2 2" xfId="6300" xr:uid="{06BD1557-1C0F-46A1-A9D3-74852DD51AA0}"/>
    <cellStyle name="Note 2 7 2 2 3" xfId="6990" xr:uid="{446AE73B-E2D4-4A5E-AC6E-E215AF942ECA}"/>
    <cellStyle name="Note 2 7 2 3" xfId="5372" xr:uid="{7100E019-4A0D-4438-866D-3D28CB70D2F8}"/>
    <cellStyle name="Note 2 7 3" xfId="4618" xr:uid="{C13E054C-88C0-43CE-9AE3-E6CB2E8EF882}"/>
    <cellStyle name="Note 2 7 3 2" xfId="5998" xr:uid="{49B9E23B-7479-4BF2-B9FC-00611EA280FE}"/>
    <cellStyle name="Note 2 7 3 3" xfId="6688" xr:uid="{1FC121D4-2268-47D2-A0B0-26D55744286D}"/>
    <cellStyle name="Note 2 7 4" xfId="5831" xr:uid="{709A3A66-B5E4-4F70-8C90-3F93A5512DBF}"/>
    <cellStyle name="Note 2 8" xfId="3039" xr:uid="{00000000-0005-0000-0000-0000960D0000}"/>
    <cellStyle name="Note 2 8 10" xfId="3040" xr:uid="{00000000-0005-0000-0000-0000970D0000}"/>
    <cellStyle name="Note 2 8 10 2" xfId="4145" xr:uid="{00000000-0005-0000-0000-0000980D0000}"/>
    <cellStyle name="Note 2 8 10 2 2" xfId="4921" xr:uid="{7E0C7AEB-6EE3-44FD-B56C-49BE13CA6ED7}"/>
    <cellStyle name="Note 2 8 10 2 2 2" xfId="6301" xr:uid="{F3252294-53AC-45AE-8091-2FC2F9B589B3}"/>
    <cellStyle name="Note 2 8 10 2 2 3" xfId="6991" xr:uid="{00E07446-B8F6-417A-943F-A228E92E6594}"/>
    <cellStyle name="Note 2 8 10 2 3" xfId="5371" xr:uid="{EA53DA69-C831-43FA-AAF1-EBF934D8ED80}"/>
    <cellStyle name="Note 2 8 10 3" xfId="4620" xr:uid="{E127225B-B11C-4DBC-B8B2-8E63B9F09106}"/>
    <cellStyle name="Note 2 8 10 3 2" xfId="6000" xr:uid="{7EFBBA77-B400-4768-8168-F74652723458}"/>
    <cellStyle name="Note 2 8 10 3 3" xfId="6690" xr:uid="{768919DF-087A-44B5-878C-E46BDE03D7FD}"/>
    <cellStyle name="Note 2 8 10 4" xfId="5804" xr:uid="{FD752DBE-FC34-4162-B9B8-0B569047E704}"/>
    <cellStyle name="Note 2 8 11" xfId="3041" xr:uid="{00000000-0005-0000-0000-0000990D0000}"/>
    <cellStyle name="Note 2 8 11 2" xfId="4146" xr:uid="{00000000-0005-0000-0000-00009A0D0000}"/>
    <cellStyle name="Note 2 8 11 2 2" xfId="4922" xr:uid="{A00BC9E3-BD8B-46EF-9EFE-20F8A4CE58CE}"/>
    <cellStyle name="Note 2 8 11 2 2 2" xfId="6302" xr:uid="{3D3C231C-17C7-4401-91C7-5AC6F9D4C012}"/>
    <cellStyle name="Note 2 8 11 2 2 3" xfId="6992" xr:uid="{75256A85-9E48-4DD9-9FC6-A8BF95950CDA}"/>
    <cellStyle name="Note 2 8 11 2 3" xfId="5370" xr:uid="{EC137868-E36D-4062-8787-D3B403C20FCB}"/>
    <cellStyle name="Note 2 8 11 3" xfId="4621" xr:uid="{9F2EC766-7923-4FDA-A281-78F15F9284BE}"/>
    <cellStyle name="Note 2 8 11 3 2" xfId="6001" xr:uid="{8908B7D4-F179-469B-A26F-3F3AEDB1306D}"/>
    <cellStyle name="Note 2 8 11 3 3" xfId="6691" xr:uid="{F8E87BFD-83C6-4163-9B41-9231C0773FCE}"/>
    <cellStyle name="Note 2 8 11 4" xfId="5649" xr:uid="{48F04295-03E8-4997-AC01-1BE6BAE91414}"/>
    <cellStyle name="Note 2 8 12" xfId="4147" xr:uid="{00000000-0005-0000-0000-00009B0D0000}"/>
    <cellStyle name="Note 2 8 12 2" xfId="4923" xr:uid="{FFBD5A99-D019-4C19-B040-C6F518746C02}"/>
    <cellStyle name="Note 2 8 12 2 2" xfId="6303" xr:uid="{5393D5B6-32E1-4FAF-B7B5-DCEFD37DE3FE}"/>
    <cellStyle name="Note 2 8 12 2 3" xfId="6993" xr:uid="{06C47266-6D08-465D-9304-64DCA05627CE}"/>
    <cellStyle name="Note 2 8 12 3" xfId="5369" xr:uid="{B04D428B-5F96-4B1D-B1B4-61C1E4EA524F}"/>
    <cellStyle name="Note 2 8 13" xfId="4619" xr:uid="{DC4B092F-4712-4D17-BA19-0A2035F3B396}"/>
    <cellStyle name="Note 2 8 13 2" xfId="5999" xr:uid="{C5E57649-92EA-4C66-8ECE-30F0BC9341BE}"/>
    <cellStyle name="Note 2 8 13 3" xfId="6689" xr:uid="{D606096B-28BA-49FC-88A1-2C95E550721A}"/>
    <cellStyle name="Note 2 8 14" xfId="5777" xr:uid="{71805CDF-3141-4E1C-BEFC-7831F6F0ED76}"/>
    <cellStyle name="Note 2 8 2" xfId="3042" xr:uid="{00000000-0005-0000-0000-00009C0D0000}"/>
    <cellStyle name="Note 2 8 2 10" xfId="4148" xr:uid="{00000000-0005-0000-0000-00009D0D0000}"/>
    <cellStyle name="Note 2 8 2 10 2" xfId="4924" xr:uid="{0A20C3FB-790C-42B4-B042-607A516F5AB9}"/>
    <cellStyle name="Note 2 8 2 10 2 2" xfId="6304" xr:uid="{ABF18362-06D0-465B-B85A-B9A9FFAC656E}"/>
    <cellStyle name="Note 2 8 2 10 2 3" xfId="6994" xr:uid="{2CB6EA8F-4B4F-47B5-9824-D78281F0AE92}"/>
    <cellStyle name="Note 2 8 2 10 3" xfId="5368" xr:uid="{218C5212-1E84-43AA-B693-CA8DBC1B8FA1}"/>
    <cellStyle name="Note 2 8 2 11" xfId="4622" xr:uid="{2BA9C2E1-9A86-4F0C-AD23-A41AF2B3236C}"/>
    <cellStyle name="Note 2 8 2 11 2" xfId="6002" xr:uid="{82F98A91-A8E0-4CE5-AD6F-4951130C597E}"/>
    <cellStyle name="Note 2 8 2 11 3" xfId="6692" xr:uid="{3BA34AAA-90FE-4BC7-BA45-CD2A12086936}"/>
    <cellStyle name="Note 2 8 2 12" xfId="5648" xr:uid="{1F4163F1-ABFF-4FF6-8E98-0A96BCE26E48}"/>
    <cellStyle name="Note 2 8 2 2" xfId="3043" xr:uid="{00000000-0005-0000-0000-00009E0D0000}"/>
    <cellStyle name="Note 2 8 2 2 2" xfId="4149" xr:uid="{00000000-0005-0000-0000-00009F0D0000}"/>
    <cellStyle name="Note 2 8 2 2 2 2" xfId="4925" xr:uid="{21866A53-FD2C-4188-A494-D5A4248E7DEB}"/>
    <cellStyle name="Note 2 8 2 2 2 2 2" xfId="6305" xr:uid="{56937407-1E12-4457-AC7A-A16A8E0F6D61}"/>
    <cellStyle name="Note 2 8 2 2 2 2 3" xfId="6995" xr:uid="{E3AE6BAD-6B50-4934-A9E6-E44F183A45AF}"/>
    <cellStyle name="Note 2 8 2 2 2 3" xfId="5367" xr:uid="{975876A4-5CE2-44CE-B61C-D3F8372E7B00}"/>
    <cellStyle name="Note 2 8 2 2 3" xfId="4623" xr:uid="{73560032-C330-4083-83CC-D7D48F214993}"/>
    <cellStyle name="Note 2 8 2 2 3 2" xfId="6003" xr:uid="{91718805-7DD7-4364-857C-FA83C7E3A5A2}"/>
    <cellStyle name="Note 2 8 2 2 3 3" xfId="6693" xr:uid="{04822740-7EA6-4740-8A6C-3B305A3E95DF}"/>
    <cellStyle name="Note 2 8 2 2 4" xfId="5647" xr:uid="{B10A5E40-B60E-4F46-972E-780A4E6B9B8A}"/>
    <cellStyle name="Note 2 8 2 3" xfId="3044" xr:uid="{00000000-0005-0000-0000-0000A00D0000}"/>
    <cellStyle name="Note 2 8 2 3 2" xfId="4150" xr:uid="{00000000-0005-0000-0000-0000A10D0000}"/>
    <cellStyle name="Note 2 8 2 3 2 2" xfId="4926" xr:uid="{03133DF2-6037-436C-9358-D71C32764D13}"/>
    <cellStyle name="Note 2 8 2 3 2 2 2" xfId="6306" xr:uid="{5E4A59D0-C5EC-49E2-91D4-00A1413F16C2}"/>
    <cellStyle name="Note 2 8 2 3 2 2 3" xfId="6996" xr:uid="{24B9E6CB-2F46-4086-8CCD-0BC8CA8E4D63}"/>
    <cellStyle name="Note 2 8 2 3 2 3" xfId="5366" xr:uid="{F4A5853A-4221-46AA-BEE5-796967081FAB}"/>
    <cellStyle name="Note 2 8 2 3 3" xfId="4624" xr:uid="{3C607C88-A36E-41F7-B9C3-E0E62444C00F}"/>
    <cellStyle name="Note 2 8 2 3 3 2" xfId="6004" xr:uid="{7745A72F-BD48-4FE0-96BB-A5BBE0C6F3F4}"/>
    <cellStyle name="Note 2 8 2 3 3 3" xfId="6694" xr:uid="{677F51BF-6394-4CAB-BA76-02056979BDE4}"/>
    <cellStyle name="Note 2 8 2 3 4" xfId="5646" xr:uid="{358F71C1-68B4-4BE7-8E01-747DF0C84F53}"/>
    <cellStyle name="Note 2 8 2 4" xfId="3045" xr:uid="{00000000-0005-0000-0000-0000A20D0000}"/>
    <cellStyle name="Note 2 8 2 4 2" xfId="4151" xr:uid="{00000000-0005-0000-0000-0000A30D0000}"/>
    <cellStyle name="Note 2 8 2 4 2 2" xfId="4927" xr:uid="{1C0BB17A-CAAA-4B51-8A21-EC0BCBBC2559}"/>
    <cellStyle name="Note 2 8 2 4 2 2 2" xfId="6307" xr:uid="{FC8CB897-878E-4A19-A000-4B65CF7036AB}"/>
    <cellStyle name="Note 2 8 2 4 2 2 3" xfId="6997" xr:uid="{8E8A7F45-3A2B-4B0B-AB60-D5A572A4D338}"/>
    <cellStyle name="Note 2 8 2 4 2 3" xfId="5365" xr:uid="{84207AA9-E939-4752-8748-89797E3DF43E}"/>
    <cellStyle name="Note 2 8 2 4 3" xfId="4625" xr:uid="{ECFE4744-5185-44C6-87E5-751230960E5E}"/>
    <cellStyle name="Note 2 8 2 4 3 2" xfId="6005" xr:uid="{93D4CBB0-6EDF-41AA-A9D8-BC7524049FCE}"/>
    <cellStyle name="Note 2 8 2 4 3 3" xfId="6695" xr:uid="{2999BCDA-B927-4BF4-9FCD-878022ACA158}"/>
    <cellStyle name="Note 2 8 2 4 4" xfId="5645" xr:uid="{AAF1D9AF-7671-4973-94BB-C21AEBFF2943}"/>
    <cellStyle name="Note 2 8 2 5" xfId="3046" xr:uid="{00000000-0005-0000-0000-0000A40D0000}"/>
    <cellStyle name="Note 2 8 2 5 2" xfId="4152" xr:uid="{00000000-0005-0000-0000-0000A50D0000}"/>
    <cellStyle name="Note 2 8 2 5 2 2" xfId="4928" xr:uid="{81B7B57C-4F65-4F54-9620-6739E23C67BE}"/>
    <cellStyle name="Note 2 8 2 5 2 2 2" xfId="6308" xr:uid="{7F212AA9-E615-454F-A751-DFD996180B80}"/>
    <cellStyle name="Note 2 8 2 5 2 2 3" xfId="6998" xr:uid="{F5C395E5-5EA7-47EB-A893-9FA252B4DBBA}"/>
    <cellStyle name="Note 2 8 2 5 2 3" xfId="5364" xr:uid="{216B9329-E0F4-4BE1-88BF-310523241937}"/>
    <cellStyle name="Note 2 8 2 5 3" xfId="4626" xr:uid="{994AFA05-8392-44E8-AD73-10AC97D30261}"/>
    <cellStyle name="Note 2 8 2 5 3 2" xfId="6006" xr:uid="{D23711A5-953F-4E5E-AB38-3A7A7B79CD24}"/>
    <cellStyle name="Note 2 8 2 5 3 3" xfId="6696" xr:uid="{75A3DF77-DA2A-4EAF-BD7B-AB9FA03AA556}"/>
    <cellStyle name="Note 2 8 2 5 4" xfId="5644" xr:uid="{2A008420-8DF8-405C-A1D4-DAD5A379D35B}"/>
    <cellStyle name="Note 2 8 2 6" xfId="3047" xr:uid="{00000000-0005-0000-0000-0000A60D0000}"/>
    <cellStyle name="Note 2 8 2 6 2" xfId="4153" xr:uid="{00000000-0005-0000-0000-0000A70D0000}"/>
    <cellStyle name="Note 2 8 2 6 2 2" xfId="4929" xr:uid="{10724E34-B1C2-4B40-8599-782251E91B74}"/>
    <cellStyle name="Note 2 8 2 6 2 2 2" xfId="6309" xr:uid="{617BCD74-531B-4BE6-9B7D-189E7959171D}"/>
    <cellStyle name="Note 2 8 2 6 2 2 3" xfId="6999" xr:uid="{0BDD50AB-2065-4A21-8106-D762DFE3837B}"/>
    <cellStyle name="Note 2 8 2 6 2 3" xfId="5363" xr:uid="{2467FC0B-59AD-4DF6-8E70-A5C450D0B1A7}"/>
    <cellStyle name="Note 2 8 2 6 3" xfId="4627" xr:uid="{30D7180C-1A25-4BD6-B026-F035A51CABC5}"/>
    <cellStyle name="Note 2 8 2 6 3 2" xfId="6007" xr:uid="{66D3F06B-0F10-437F-AAD0-727A580B78C5}"/>
    <cellStyle name="Note 2 8 2 6 3 3" xfId="6697" xr:uid="{64007CB0-4BC1-4F30-ADE4-5637793D638D}"/>
    <cellStyle name="Note 2 8 2 6 4" xfId="5643" xr:uid="{BDE9E810-DD65-47BB-9657-40BFD720F5A6}"/>
    <cellStyle name="Note 2 8 2 7" xfId="3048" xr:uid="{00000000-0005-0000-0000-0000A80D0000}"/>
    <cellStyle name="Note 2 8 2 7 2" xfId="4154" xr:uid="{00000000-0005-0000-0000-0000A90D0000}"/>
    <cellStyle name="Note 2 8 2 7 2 2" xfId="4930" xr:uid="{61D4B8F1-B320-430D-9103-72D986BA9EEE}"/>
    <cellStyle name="Note 2 8 2 7 2 2 2" xfId="6310" xr:uid="{812771AB-9515-4DAA-811C-DBEDC195F217}"/>
    <cellStyle name="Note 2 8 2 7 2 2 3" xfId="7000" xr:uid="{BB037D23-227B-4766-9930-80CF0BA3F50B}"/>
    <cellStyle name="Note 2 8 2 7 2 3" xfId="5362" xr:uid="{98CF03B5-31A8-4F55-A96F-F2153D56F411}"/>
    <cellStyle name="Note 2 8 2 7 3" xfId="4628" xr:uid="{4030BB86-E713-4471-8F62-1F2DFBF53843}"/>
    <cellStyle name="Note 2 8 2 7 3 2" xfId="6008" xr:uid="{8CC66B2D-8765-415A-9E20-F71F52BCD4F4}"/>
    <cellStyle name="Note 2 8 2 7 3 3" xfId="6698" xr:uid="{03847AC0-A721-46AB-9C1B-0DF7E243FCB2}"/>
    <cellStyle name="Note 2 8 2 7 4" xfId="5642" xr:uid="{6BA5A6A6-E558-4107-8CD1-412952FBDC2D}"/>
    <cellStyle name="Note 2 8 2 8" xfId="3049" xr:uid="{00000000-0005-0000-0000-0000AA0D0000}"/>
    <cellStyle name="Note 2 8 2 8 2" xfId="4155" xr:uid="{00000000-0005-0000-0000-0000AB0D0000}"/>
    <cellStyle name="Note 2 8 2 8 2 2" xfId="4931" xr:uid="{666414F3-4A9C-43F9-8A7D-C715E66D41B3}"/>
    <cellStyle name="Note 2 8 2 8 2 2 2" xfId="6311" xr:uid="{E5226611-9324-4616-AD18-62BFB78F34C1}"/>
    <cellStyle name="Note 2 8 2 8 2 2 3" xfId="7001" xr:uid="{EA35E65A-B5C2-4C78-B37D-5D566657F5EF}"/>
    <cellStyle name="Note 2 8 2 8 2 3" xfId="5361" xr:uid="{38129D53-96F5-479D-BBE7-7FE3B3A2AF38}"/>
    <cellStyle name="Note 2 8 2 8 3" xfId="4629" xr:uid="{71DC1E77-E7FF-4677-A475-58E4865B3372}"/>
    <cellStyle name="Note 2 8 2 8 3 2" xfId="6009" xr:uid="{EE1E4E15-E3FC-4050-89F7-47DDE1C8F5F3}"/>
    <cellStyle name="Note 2 8 2 8 3 3" xfId="6699" xr:uid="{5C208F23-D876-4E2A-86B6-76C0BC1F86D0}"/>
    <cellStyle name="Note 2 8 2 8 4" xfId="5641" xr:uid="{EB213C49-22C9-4BBE-BD2E-A9B53638EB9E}"/>
    <cellStyle name="Note 2 8 2 9" xfId="3050" xr:uid="{00000000-0005-0000-0000-0000AC0D0000}"/>
    <cellStyle name="Note 2 8 2 9 2" xfId="4156" xr:uid="{00000000-0005-0000-0000-0000AD0D0000}"/>
    <cellStyle name="Note 2 8 2 9 2 2" xfId="4932" xr:uid="{EDF1653D-88C8-4473-9A1F-C5DE75FFA2E3}"/>
    <cellStyle name="Note 2 8 2 9 2 2 2" xfId="6312" xr:uid="{ECF8E111-DA96-40B7-A2B8-3A4AA4FBB823}"/>
    <cellStyle name="Note 2 8 2 9 2 2 3" xfId="7002" xr:uid="{C2F83C63-D40D-4ADB-8166-2DB543D294ED}"/>
    <cellStyle name="Note 2 8 2 9 2 3" xfId="5360" xr:uid="{6EADF1BD-2A50-4C1F-8171-3FF7E7491998}"/>
    <cellStyle name="Note 2 8 2 9 3" xfId="4630" xr:uid="{886A5369-0D8A-4DD2-8FBB-94D28F73F4CF}"/>
    <cellStyle name="Note 2 8 2 9 3 2" xfId="6010" xr:uid="{D3681C6D-6B79-4884-9402-C322A1735325}"/>
    <cellStyle name="Note 2 8 2 9 3 3" xfId="6700" xr:uid="{561112A9-1F1D-4DA3-8B0C-0C7D24BBC8A1}"/>
    <cellStyle name="Note 2 8 2 9 4" xfId="5640" xr:uid="{CAC79FE7-C81E-4CA2-B7AB-2F4DCAD2B6C2}"/>
    <cellStyle name="Note 2 8 3" xfId="3051" xr:uid="{00000000-0005-0000-0000-0000AE0D0000}"/>
    <cellStyle name="Note 2 8 3 2" xfId="4157" xr:uid="{00000000-0005-0000-0000-0000AF0D0000}"/>
    <cellStyle name="Note 2 8 3 2 2" xfId="4933" xr:uid="{64E4EE38-0F21-444B-A890-F800526F5080}"/>
    <cellStyle name="Note 2 8 3 2 2 2" xfId="6313" xr:uid="{EF420136-82BB-46E5-8030-C48DB56F97ED}"/>
    <cellStyle name="Note 2 8 3 2 2 3" xfId="7003" xr:uid="{CA869373-E2B4-491C-BCE8-56ACB364732D}"/>
    <cellStyle name="Note 2 8 3 2 3" xfId="5359" xr:uid="{41B1ADEB-823E-487E-BA45-DEF055837A99}"/>
    <cellStyle name="Note 2 8 3 3" xfId="4631" xr:uid="{F60A03B2-DD8C-4AA2-8657-524F8A1516CB}"/>
    <cellStyle name="Note 2 8 3 3 2" xfId="6011" xr:uid="{A1AAEB5B-B078-43E5-91DE-BEF0A4771913}"/>
    <cellStyle name="Note 2 8 3 3 3" xfId="6701" xr:uid="{57292E7D-54DB-4561-B796-0356F79E079A}"/>
    <cellStyle name="Note 2 8 3 4" xfId="5639" xr:uid="{FD1517B2-6B5D-4BFC-BC2F-836077484B21}"/>
    <cellStyle name="Note 2 8 4" xfId="3052" xr:uid="{00000000-0005-0000-0000-0000B00D0000}"/>
    <cellStyle name="Note 2 8 4 2" xfId="4158" xr:uid="{00000000-0005-0000-0000-0000B10D0000}"/>
    <cellStyle name="Note 2 8 4 2 2" xfId="4934" xr:uid="{CDA3598E-742C-4DF4-908D-FC5AE01E5CD1}"/>
    <cellStyle name="Note 2 8 4 2 2 2" xfId="6314" xr:uid="{0797A2FC-327D-4888-AF17-0BA3F3D27F2E}"/>
    <cellStyle name="Note 2 8 4 2 2 3" xfId="7004" xr:uid="{4C6E6010-A4E6-4D95-B064-4F94FC9881AD}"/>
    <cellStyle name="Note 2 8 4 2 3" xfId="5358" xr:uid="{4EDFF47B-2AE1-45D9-882D-C44825633FEB}"/>
    <cellStyle name="Note 2 8 4 3" xfId="4632" xr:uid="{3A54BA2D-0D28-4D54-9702-0E72332ADB61}"/>
    <cellStyle name="Note 2 8 4 3 2" xfId="6012" xr:uid="{CA4E15FE-AE7F-4BED-A3F2-62C6F63368C0}"/>
    <cellStyle name="Note 2 8 4 3 3" xfId="6702" xr:uid="{8515522F-5736-4863-B9EF-8E35EC8B04FC}"/>
    <cellStyle name="Note 2 8 4 4" xfId="5638" xr:uid="{1E1549E7-4B6B-4308-ADC0-515DB8BA25B0}"/>
    <cellStyle name="Note 2 8 5" xfId="3053" xr:uid="{00000000-0005-0000-0000-0000B20D0000}"/>
    <cellStyle name="Note 2 8 5 2" xfId="3054" xr:uid="{00000000-0005-0000-0000-0000B30D0000}"/>
    <cellStyle name="Note 2 8 5 2 2" xfId="4159" xr:uid="{00000000-0005-0000-0000-0000B40D0000}"/>
    <cellStyle name="Note 2 8 5 2 2 2" xfId="4935" xr:uid="{D4CCC407-20BD-4772-841D-BC5D7C6811FD}"/>
    <cellStyle name="Note 2 8 5 2 2 2 2" xfId="6315" xr:uid="{BDD3351A-DDE7-405B-92BC-805110A7F217}"/>
    <cellStyle name="Note 2 8 5 2 2 2 3" xfId="7005" xr:uid="{0089BF60-E8B4-4541-A519-648AC3CBD5CD}"/>
    <cellStyle name="Note 2 8 5 2 2 3" xfId="5357" xr:uid="{B94BFBC9-7F49-4E42-A6E6-5C03450CE2E0}"/>
    <cellStyle name="Note 2 8 5 2 3" xfId="4634" xr:uid="{013B34A8-0A97-4C58-BE7F-D4C3D69A4D80}"/>
    <cellStyle name="Note 2 8 5 2 3 2" xfId="6014" xr:uid="{C0B4A2DF-A91E-4E42-B6BA-CE82D4E4F4D5}"/>
    <cellStyle name="Note 2 8 5 2 3 3" xfId="6704" xr:uid="{9DDD230F-821A-4C39-BBF1-ACBCAD1055FA}"/>
    <cellStyle name="Note 2 8 5 2 4" xfId="5803" xr:uid="{74EAB46D-739B-4531-82CF-3A26133D2C7D}"/>
    <cellStyle name="Note 2 8 5 3" xfId="3055" xr:uid="{00000000-0005-0000-0000-0000B50D0000}"/>
    <cellStyle name="Note 2 8 5 3 2" xfId="4160" xr:uid="{00000000-0005-0000-0000-0000B60D0000}"/>
    <cellStyle name="Note 2 8 5 3 2 2" xfId="4936" xr:uid="{F7FE6482-3444-4C97-A65A-2620237AB85E}"/>
    <cellStyle name="Note 2 8 5 3 2 2 2" xfId="6316" xr:uid="{998F2630-C450-4350-BFCD-C17C380DDD0F}"/>
    <cellStyle name="Note 2 8 5 3 2 2 3" xfId="7006" xr:uid="{ABDA2FC7-92DD-4475-B42B-BE0BFA6C2530}"/>
    <cellStyle name="Note 2 8 5 3 2 3" xfId="5356" xr:uid="{411CAD86-E884-4C05-A204-8F4A042A2BBF}"/>
    <cellStyle name="Note 2 8 5 3 3" xfId="4635" xr:uid="{7A5338B7-F2D3-4E45-A2B2-2A4741D8FED7}"/>
    <cellStyle name="Note 2 8 5 3 3 2" xfId="6015" xr:uid="{5C875ACF-140F-46E1-9BBA-CE25CC1A53F0}"/>
    <cellStyle name="Note 2 8 5 3 3 3" xfId="6705" xr:uid="{967B9EF8-EA10-4D2A-A57D-71FE84A497EF}"/>
    <cellStyle name="Note 2 8 5 3 4" xfId="5802" xr:uid="{FE4049D1-D54E-491E-BB26-6EBA3615FA18}"/>
    <cellStyle name="Note 2 8 5 4" xfId="4161" xr:uid="{00000000-0005-0000-0000-0000B70D0000}"/>
    <cellStyle name="Note 2 8 5 4 2" xfId="4937" xr:uid="{DCCEC008-273A-4CFC-B411-174A030FF518}"/>
    <cellStyle name="Note 2 8 5 4 2 2" xfId="6317" xr:uid="{5099EC1D-BDFF-49DF-BF2B-46DD2CD0F575}"/>
    <cellStyle name="Note 2 8 5 4 2 3" xfId="7007" xr:uid="{85A05D9F-C90C-4973-8090-268E9C3EED01}"/>
    <cellStyle name="Note 2 8 5 4 3" xfId="5355" xr:uid="{BB631566-FF33-4FE2-B092-CEB037452E55}"/>
    <cellStyle name="Note 2 8 5 5" xfId="4633" xr:uid="{51AB16C3-2AFC-4B95-A216-0F287B17F2B7}"/>
    <cellStyle name="Note 2 8 5 5 2" xfId="6013" xr:uid="{A8664339-D904-4E2C-86B4-5ECF963D7513}"/>
    <cellStyle name="Note 2 8 5 5 3" xfId="6703" xr:uid="{D45C7F94-17F6-48E9-A35B-07657CE0EC29}"/>
    <cellStyle name="Note 2 8 5 6" xfId="5151" xr:uid="{F8A801B9-3B86-4D4C-A656-7D500A787FAE}"/>
    <cellStyle name="Note 2 8 6" xfId="3056" xr:uid="{00000000-0005-0000-0000-0000B80D0000}"/>
    <cellStyle name="Note 2 8 6 2" xfId="3057" xr:uid="{00000000-0005-0000-0000-0000B90D0000}"/>
    <cellStyle name="Note 2 8 6 2 2" xfId="4162" xr:uid="{00000000-0005-0000-0000-0000BA0D0000}"/>
    <cellStyle name="Note 2 8 6 2 2 2" xfId="4938" xr:uid="{009A3200-7061-47E8-AF65-BDCC9CBEEE2C}"/>
    <cellStyle name="Note 2 8 6 2 2 2 2" xfId="6318" xr:uid="{898B13A3-312A-4C5A-AE43-84A024A40D4C}"/>
    <cellStyle name="Note 2 8 6 2 2 2 3" xfId="7008" xr:uid="{FEDEF956-837F-417F-8B6E-C901FA2379B1}"/>
    <cellStyle name="Note 2 8 6 2 2 3" xfId="5354" xr:uid="{0E3BAAB3-B68B-49F7-8463-05E5C2654F85}"/>
    <cellStyle name="Note 2 8 6 2 3" xfId="4637" xr:uid="{8B7E90EF-193E-4A09-B724-6C984E42EE9A}"/>
    <cellStyle name="Note 2 8 6 2 3 2" xfId="6017" xr:uid="{1469B6D7-A118-4AF4-822A-6211E810E2AE}"/>
    <cellStyle name="Note 2 8 6 2 3 3" xfId="6707" xr:uid="{E421C97D-967A-4B1C-877E-973FB27AF6A4}"/>
    <cellStyle name="Note 2 8 6 2 4" xfId="5636" xr:uid="{46D66C06-2D04-45AC-AF3A-01786EA11757}"/>
    <cellStyle name="Note 2 8 6 3" xfId="3058" xr:uid="{00000000-0005-0000-0000-0000BB0D0000}"/>
    <cellStyle name="Note 2 8 6 3 2" xfId="4163" xr:uid="{00000000-0005-0000-0000-0000BC0D0000}"/>
    <cellStyle name="Note 2 8 6 3 2 2" xfId="4939" xr:uid="{998E8A90-5EC6-49F5-9AA5-AF526AD3B7F5}"/>
    <cellStyle name="Note 2 8 6 3 2 2 2" xfId="6319" xr:uid="{DF7E731F-0B2E-43E4-8BDE-BC967777593A}"/>
    <cellStyle name="Note 2 8 6 3 2 2 3" xfId="7009" xr:uid="{F79E3050-FE78-405A-8AEF-0E0F5FF90EE9}"/>
    <cellStyle name="Note 2 8 6 3 2 3" xfId="5353" xr:uid="{5934B6D3-A3B9-4446-8886-F52A262F6C41}"/>
    <cellStyle name="Note 2 8 6 3 3" xfId="4638" xr:uid="{BFCC89AE-9ABB-4038-8AC5-2BDA71949DBD}"/>
    <cellStyle name="Note 2 8 6 3 3 2" xfId="6018" xr:uid="{0EB01606-18BA-4631-8EA1-70C0C926D99F}"/>
    <cellStyle name="Note 2 8 6 3 3 3" xfId="6708" xr:uid="{39EC7AEB-57D7-4006-92E7-4B26AED7D8DF}"/>
    <cellStyle name="Note 2 8 6 3 4" xfId="5801" xr:uid="{5F6A9A58-4AB4-4AD9-AC56-7C05C25FB267}"/>
    <cellStyle name="Note 2 8 6 4" xfId="4164" xr:uid="{00000000-0005-0000-0000-0000BD0D0000}"/>
    <cellStyle name="Note 2 8 6 4 2" xfId="4940" xr:uid="{9FC2AE92-26E7-470F-BFDE-15EBCB21D19D}"/>
    <cellStyle name="Note 2 8 6 4 2 2" xfId="6320" xr:uid="{E3804076-6553-452F-8611-4FE3FC306DEF}"/>
    <cellStyle name="Note 2 8 6 4 2 3" xfId="7010" xr:uid="{51F23FF7-D15D-49C4-9DC4-E959EFFD5DBA}"/>
    <cellStyle name="Note 2 8 6 4 3" xfId="5352" xr:uid="{B5698C50-132C-435D-8DC4-23DF222938FB}"/>
    <cellStyle name="Note 2 8 6 5" xfId="4636" xr:uid="{827F3CF7-A3E5-46AD-BAB0-1B34BAF5D447}"/>
    <cellStyle name="Note 2 8 6 5 2" xfId="6016" xr:uid="{D1159C3C-365B-4A0E-B0E4-AA0F695D4AEF}"/>
    <cellStyle name="Note 2 8 6 5 3" xfId="6706" xr:uid="{5BAF3543-3A61-4FE0-B330-FA45055B726A}"/>
    <cellStyle name="Note 2 8 6 6" xfId="5637" xr:uid="{5D7D672D-0875-4F5D-8981-A6DCEC0214E8}"/>
    <cellStyle name="Note 2 8 7" xfId="3059" xr:uid="{00000000-0005-0000-0000-0000BE0D0000}"/>
    <cellStyle name="Note 2 8 7 2" xfId="3060" xr:uid="{00000000-0005-0000-0000-0000BF0D0000}"/>
    <cellStyle name="Note 2 8 7 2 2" xfId="4165" xr:uid="{00000000-0005-0000-0000-0000C00D0000}"/>
    <cellStyle name="Note 2 8 7 2 2 2" xfId="4941" xr:uid="{7AA39BDB-0687-453C-AB09-824B13FEF4E6}"/>
    <cellStyle name="Note 2 8 7 2 2 2 2" xfId="6321" xr:uid="{2FFB7B1E-92CC-401F-B5D1-DEB54C504DA7}"/>
    <cellStyle name="Note 2 8 7 2 2 2 3" xfId="7011" xr:uid="{7744C0AC-29F4-48A0-9142-E25538B7F76D}"/>
    <cellStyle name="Note 2 8 7 2 2 3" xfId="5351" xr:uid="{9A1EF9BF-B32A-43CD-B477-E5F5BD573765}"/>
    <cellStyle name="Note 2 8 7 2 3" xfId="4640" xr:uid="{AB2D9C10-C71A-46EC-80C5-1802503DE2FD}"/>
    <cellStyle name="Note 2 8 7 2 3 2" xfId="6020" xr:uid="{49CE1BC6-410D-453F-9F38-311BA32949F8}"/>
    <cellStyle name="Note 2 8 7 2 3 3" xfId="6710" xr:uid="{4F0E7CCC-43F2-4CDE-8B7E-03C048ADC381}"/>
    <cellStyle name="Note 2 8 7 2 4" xfId="5635" xr:uid="{B609E435-4DFD-4486-9056-938381144224}"/>
    <cellStyle name="Note 2 8 7 3" xfId="3061" xr:uid="{00000000-0005-0000-0000-0000C10D0000}"/>
    <cellStyle name="Note 2 8 7 3 2" xfId="4166" xr:uid="{00000000-0005-0000-0000-0000C20D0000}"/>
    <cellStyle name="Note 2 8 7 3 2 2" xfId="4942" xr:uid="{E2B24219-CBF3-4331-827C-0941EAAD4935}"/>
    <cellStyle name="Note 2 8 7 3 2 2 2" xfId="6322" xr:uid="{02959E32-2490-45EF-9262-1ECD0A37464C}"/>
    <cellStyle name="Note 2 8 7 3 2 2 3" xfId="7012" xr:uid="{E56F404D-AA36-40EC-9A96-3D4D9323FFEB}"/>
    <cellStyle name="Note 2 8 7 3 2 3" xfId="5350" xr:uid="{ECB5D393-5ECA-475E-9EE9-F03AB13F61A2}"/>
    <cellStyle name="Note 2 8 7 3 3" xfId="4641" xr:uid="{F40076F2-FD1A-4549-8D7C-E8F62B920FEC}"/>
    <cellStyle name="Note 2 8 7 3 3 2" xfId="6021" xr:uid="{B21A8B1E-B7CD-4158-BBEC-59C39B3E5810}"/>
    <cellStyle name="Note 2 8 7 3 3 3" xfId="6711" xr:uid="{FAF04593-EFD5-4CB3-B3A5-C22A5C5BA181}"/>
    <cellStyle name="Note 2 8 7 3 4" xfId="5634" xr:uid="{9F2A57C8-2E93-4858-A9E0-8DD49F5E7963}"/>
    <cellStyle name="Note 2 8 7 4" xfId="4167" xr:uid="{00000000-0005-0000-0000-0000C30D0000}"/>
    <cellStyle name="Note 2 8 7 4 2" xfId="4943" xr:uid="{D2686662-0563-49E3-B8CD-AC0326773379}"/>
    <cellStyle name="Note 2 8 7 4 2 2" xfId="6323" xr:uid="{69D68B72-DCD4-4ED9-8CAD-788F85EBCEB5}"/>
    <cellStyle name="Note 2 8 7 4 2 3" xfId="7013" xr:uid="{E29E8A77-2506-4660-BDDE-8B82805245FF}"/>
    <cellStyle name="Note 2 8 7 4 3" xfId="5349" xr:uid="{CFE11D53-F89B-4293-A8A0-585542A88C14}"/>
    <cellStyle name="Note 2 8 7 5" xfId="4639" xr:uid="{09176C17-A118-4647-9A93-5FF322D2171D}"/>
    <cellStyle name="Note 2 8 7 5 2" xfId="6019" xr:uid="{3A5D07F2-589D-49F8-92E0-0DC86DEC4F01}"/>
    <cellStyle name="Note 2 8 7 5 3" xfId="6709" xr:uid="{CE30A12A-635B-447E-86CE-221C7D7ADDC4}"/>
    <cellStyle name="Note 2 8 7 6" xfId="5800" xr:uid="{521784B5-BED6-49ED-888E-1CAE9D3354D1}"/>
    <cellStyle name="Note 2 8 8" xfId="3062" xr:uid="{00000000-0005-0000-0000-0000C40D0000}"/>
    <cellStyle name="Note 2 8 8 2" xfId="3063" xr:uid="{00000000-0005-0000-0000-0000C50D0000}"/>
    <cellStyle name="Note 2 8 8 2 2" xfId="4168" xr:uid="{00000000-0005-0000-0000-0000C60D0000}"/>
    <cellStyle name="Note 2 8 8 2 2 2" xfId="4944" xr:uid="{76A41E5E-65F7-4AD7-8556-01529FE0954A}"/>
    <cellStyle name="Note 2 8 8 2 2 2 2" xfId="6324" xr:uid="{30F64B20-113A-405E-A894-80CAAD6D6AB7}"/>
    <cellStyle name="Note 2 8 8 2 2 2 3" xfId="7014" xr:uid="{FCB39CA4-C13A-4FB1-9B94-D431D31B3049}"/>
    <cellStyle name="Note 2 8 8 2 2 3" xfId="5348" xr:uid="{70784FD0-0645-4B27-BF10-882E2AFC2D69}"/>
    <cellStyle name="Note 2 8 8 2 3" xfId="4643" xr:uid="{BDCF5CAA-2AB8-4FA6-B74B-FD952C176A71}"/>
    <cellStyle name="Note 2 8 8 2 3 2" xfId="6023" xr:uid="{4A92402C-F703-492B-9FF4-7D764EAE13A3}"/>
    <cellStyle name="Note 2 8 8 2 3 3" xfId="6713" xr:uid="{0A53DE6F-A7B1-42A9-BD98-8F607662B34C}"/>
    <cellStyle name="Note 2 8 8 2 4" xfId="5798" xr:uid="{27B78E01-E8CD-4760-8D8C-20DBF9CAFAE2}"/>
    <cellStyle name="Note 2 8 8 3" xfId="3064" xr:uid="{00000000-0005-0000-0000-0000C70D0000}"/>
    <cellStyle name="Note 2 8 8 3 2" xfId="4169" xr:uid="{00000000-0005-0000-0000-0000C80D0000}"/>
    <cellStyle name="Note 2 8 8 3 2 2" xfId="4945" xr:uid="{5AB19F0B-700F-4F84-BBE8-F6E8E9D1EA9F}"/>
    <cellStyle name="Note 2 8 8 3 2 2 2" xfId="6325" xr:uid="{82475039-AF65-4F02-9C21-CEB53A12CC3E}"/>
    <cellStyle name="Note 2 8 8 3 2 2 3" xfId="7015" xr:uid="{C3C9A5D8-9B93-469B-8169-F15362471DCB}"/>
    <cellStyle name="Note 2 8 8 3 2 3" xfId="5347" xr:uid="{7805BE15-AEB4-453C-9F03-8B606AADF8E2}"/>
    <cellStyle name="Note 2 8 8 3 3" xfId="4644" xr:uid="{6EE18107-E186-4290-93F0-FE015DABF43A}"/>
    <cellStyle name="Note 2 8 8 3 3 2" xfId="6024" xr:uid="{AE8827E5-58DB-45ED-8103-0D51A86AD68C}"/>
    <cellStyle name="Note 2 8 8 3 3 3" xfId="6714" xr:uid="{DCDFDEE2-F356-4214-B597-633F51568F1F}"/>
    <cellStyle name="Note 2 8 8 3 4" xfId="5633" xr:uid="{2EB84931-BC08-4E93-A97A-C2BD0182E9C4}"/>
    <cellStyle name="Note 2 8 8 4" xfId="4170" xr:uid="{00000000-0005-0000-0000-0000C90D0000}"/>
    <cellStyle name="Note 2 8 8 4 2" xfId="4946" xr:uid="{14F8528E-8E57-46D4-9224-EEC631379B02}"/>
    <cellStyle name="Note 2 8 8 4 2 2" xfId="6326" xr:uid="{68AB6BEF-E4A4-466F-8EF5-02DB3BC842F8}"/>
    <cellStyle name="Note 2 8 8 4 2 3" xfId="7016" xr:uid="{7A23EF5C-58F6-4870-ADAB-EB3A5B164491}"/>
    <cellStyle name="Note 2 8 8 4 3" xfId="5346" xr:uid="{F597CE59-E89F-4A28-9D97-4678733F11FF}"/>
    <cellStyle name="Note 2 8 8 5" xfId="4642" xr:uid="{35F2C481-BC2F-4C2D-87D0-414F9742CCA6}"/>
    <cellStyle name="Note 2 8 8 5 2" xfId="6022" xr:uid="{3A3E43CB-0428-4DBD-861B-4FBF0E80378B}"/>
    <cellStyle name="Note 2 8 8 5 3" xfId="6712" xr:uid="{42CF083C-C9BA-4433-8D26-A7496F9F1C2A}"/>
    <cellStyle name="Note 2 8 8 6" xfId="5799" xr:uid="{05BF6944-D7DD-48B4-8008-D958DE08F2A2}"/>
    <cellStyle name="Note 2 8 9" xfId="3065" xr:uid="{00000000-0005-0000-0000-0000CA0D0000}"/>
    <cellStyle name="Note 2 8 9 2" xfId="3066" xr:uid="{00000000-0005-0000-0000-0000CB0D0000}"/>
    <cellStyle name="Note 2 8 9 2 2" xfId="4171" xr:uid="{00000000-0005-0000-0000-0000CC0D0000}"/>
    <cellStyle name="Note 2 8 9 2 2 2" xfId="4947" xr:uid="{01098FFD-66DB-490D-89DB-E073CF35AF0C}"/>
    <cellStyle name="Note 2 8 9 2 2 2 2" xfId="6327" xr:uid="{FC4F7EC8-5769-4F17-95DD-238189D10F85}"/>
    <cellStyle name="Note 2 8 9 2 2 2 3" xfId="7017" xr:uid="{F90832EC-CBD2-4586-8870-D8AE16E95AE3}"/>
    <cellStyle name="Note 2 8 9 2 2 3" xfId="5345" xr:uid="{247A2A96-FF4F-40F1-86D3-FBC0B5E7EAAD}"/>
    <cellStyle name="Note 2 8 9 2 3" xfId="4646" xr:uid="{B530FE8B-161C-4E96-A35C-E158573AA20A}"/>
    <cellStyle name="Note 2 8 9 2 3 2" xfId="6026" xr:uid="{F909F018-CD2A-484D-8923-F00DBF7B13AA}"/>
    <cellStyle name="Note 2 8 9 2 3 3" xfId="6716" xr:uid="{372D0359-0128-4F69-9E12-A5415305E441}"/>
    <cellStyle name="Note 2 8 9 2 4" xfId="5631" xr:uid="{387FCB12-DCEB-40D0-9019-49EB620FFE75}"/>
    <cellStyle name="Note 2 8 9 3" xfId="3067" xr:uid="{00000000-0005-0000-0000-0000CD0D0000}"/>
    <cellStyle name="Note 2 8 9 3 2" xfId="4172" xr:uid="{00000000-0005-0000-0000-0000CE0D0000}"/>
    <cellStyle name="Note 2 8 9 3 2 2" xfId="4948" xr:uid="{F70DB5DE-E40B-4D11-ACE2-02800904D78B}"/>
    <cellStyle name="Note 2 8 9 3 2 2 2" xfId="6328" xr:uid="{07E2244A-071E-4F90-A9DF-5F16BA42E0E3}"/>
    <cellStyle name="Note 2 8 9 3 2 2 3" xfId="7018" xr:uid="{56DBD61E-6102-4E93-83C3-349A9D4246A8}"/>
    <cellStyle name="Note 2 8 9 3 2 3" xfId="5839" xr:uid="{517004DB-85F0-47CA-92A8-BC1988856FC1}"/>
    <cellStyle name="Note 2 8 9 3 3" xfId="4647" xr:uid="{66CB656C-5839-4CF8-82D3-1B658D706AA7}"/>
    <cellStyle name="Note 2 8 9 3 3 2" xfId="6027" xr:uid="{341967B0-5483-4E64-BABF-4627AA28FA52}"/>
    <cellStyle name="Note 2 8 9 3 3 3" xfId="6717" xr:uid="{B0D82D91-A397-447D-8877-02FC03173EA8}"/>
    <cellStyle name="Note 2 8 9 3 4" xfId="5630" xr:uid="{863B0790-1AA3-4730-96A1-8FF1A14A4799}"/>
    <cellStyle name="Note 2 8 9 4" xfId="4173" xr:uid="{00000000-0005-0000-0000-0000CF0D0000}"/>
    <cellStyle name="Note 2 8 9 4 2" xfId="4949" xr:uid="{02194770-0281-4674-AF6B-EA79DD8C40D5}"/>
    <cellStyle name="Note 2 8 9 4 2 2" xfId="6329" xr:uid="{FFB38209-005B-4C9F-864B-58F444B4855D}"/>
    <cellStyle name="Note 2 8 9 4 2 3" xfId="7019" xr:uid="{972B6479-882A-4EDC-A40E-719BB4F1448A}"/>
    <cellStyle name="Note 2 8 9 4 3" xfId="5837" xr:uid="{8FF34A6E-1405-4763-BBBD-AE1B30575C93}"/>
    <cellStyle name="Note 2 8 9 5" xfId="4645" xr:uid="{865D739F-A6DC-4F29-AC22-C2505EDB62B7}"/>
    <cellStyle name="Note 2 8 9 5 2" xfId="6025" xr:uid="{1BF13302-CCCC-4F82-9E35-41C59BE242C6}"/>
    <cellStyle name="Note 2 8 9 5 3" xfId="6715" xr:uid="{7C633585-BF06-4D38-97BA-2B2CC608DC8C}"/>
    <cellStyle name="Note 2 8 9 6" xfId="5632" xr:uid="{24249926-193E-4645-9B9C-809F5CFFEF8A}"/>
    <cellStyle name="Note 2 9" xfId="3068" xr:uid="{00000000-0005-0000-0000-0000D00D0000}"/>
    <cellStyle name="Note 2 9 2" xfId="4174" xr:uid="{00000000-0005-0000-0000-0000D10D0000}"/>
    <cellStyle name="Note 2 9 2 2" xfId="4950" xr:uid="{A2F5F4CB-5AAE-43C7-8D8F-A6B5C0CB96ED}"/>
    <cellStyle name="Note 2 9 2 2 2" xfId="6330" xr:uid="{B4FAD7C4-6995-4325-89F3-30E88A7542D6}"/>
    <cellStyle name="Note 2 9 2 2 3" xfId="7020" xr:uid="{90D533D8-7174-49C5-B9F4-1793207C41D4}"/>
    <cellStyle name="Note 2 9 2 3" xfId="5840" xr:uid="{D4647D8F-A28D-42AF-9745-24B01605D811}"/>
    <cellStyle name="Note 2 9 3" xfId="4648" xr:uid="{004CCE19-B189-483A-A067-FB048B2F2D73}"/>
    <cellStyle name="Note 2 9 3 2" xfId="6028" xr:uid="{1E0236CE-5C66-4413-B3CF-7D1926B91C04}"/>
    <cellStyle name="Note 2 9 3 3" xfId="6718" xr:uid="{E27C00EE-E85F-4870-9A34-F31592113DE0}"/>
    <cellStyle name="Note 2 9 4" xfId="5797" xr:uid="{1797EF39-C558-4993-99AC-459D0AC4D3A4}"/>
    <cellStyle name="Note 20" xfId="3069" xr:uid="{00000000-0005-0000-0000-0000D20D0000}"/>
    <cellStyle name="Note 20 2" xfId="4175" xr:uid="{00000000-0005-0000-0000-0000D30D0000}"/>
    <cellStyle name="Note 20 2 2" xfId="4951" xr:uid="{6F57E836-81B8-42C1-A420-23829A143ABF}"/>
    <cellStyle name="Note 20 2 2 2" xfId="6331" xr:uid="{9130DCCC-FEF3-47ED-9695-C18C456BF94A}"/>
    <cellStyle name="Note 20 2 2 3" xfId="7021" xr:uid="{9FA646C2-4F00-4B8B-8496-44B57533E035}"/>
    <cellStyle name="Note 20 2 3" xfId="5838" xr:uid="{EA4055FC-5540-47B3-B3F0-AE5DEC977486}"/>
    <cellStyle name="Note 20 3" xfId="4649" xr:uid="{59FCC1C7-E130-4CA2-B7EC-EA35AEC7F031}"/>
    <cellStyle name="Note 20 3 2" xfId="6029" xr:uid="{7CE1724A-ACED-49C3-A664-08B7FBD448C7}"/>
    <cellStyle name="Note 20 3 3" xfId="6719" xr:uid="{D7812CA5-BECC-4E41-86BD-6C76C40C1095}"/>
    <cellStyle name="Note 20 4" xfId="5796" xr:uid="{B7761F6B-69FB-46B3-B4F5-B0C849A1704B}"/>
    <cellStyle name="Note 21" xfId="3070" xr:uid="{00000000-0005-0000-0000-0000D40D0000}"/>
    <cellStyle name="Note 21 2" xfId="4176" xr:uid="{00000000-0005-0000-0000-0000D50D0000}"/>
    <cellStyle name="Note 21 2 2" xfId="4952" xr:uid="{8B320DE4-1614-4B02-971B-BF5715E7350D}"/>
    <cellStyle name="Note 21 2 2 2" xfId="6332" xr:uid="{501BD9A5-6C40-426F-B42B-B863D9C7A866}"/>
    <cellStyle name="Note 21 2 2 3" xfId="7022" xr:uid="{3E8EA480-ED85-4A6A-801E-0C5EC0A425B5}"/>
    <cellStyle name="Note 21 2 3" xfId="5836" xr:uid="{F5F36A73-CE13-4FE0-8182-A43D04152D16}"/>
    <cellStyle name="Note 21 3" xfId="4650" xr:uid="{F4ED1FB0-B23C-4752-8FF0-043D73C0E932}"/>
    <cellStyle name="Note 21 3 2" xfId="6030" xr:uid="{2FA6680D-7143-4C95-BA41-920BDF2A775A}"/>
    <cellStyle name="Note 21 3 3" xfId="6720" xr:uid="{B9BE2A97-2AD6-41A2-836B-4B8E42981083}"/>
    <cellStyle name="Note 21 4" xfId="5629" xr:uid="{52359591-0BDE-4AE3-9326-D9F779D48F30}"/>
    <cellStyle name="Note 22" xfId="3071" xr:uid="{00000000-0005-0000-0000-0000D60D0000}"/>
    <cellStyle name="Note 22 2" xfId="4177" xr:uid="{00000000-0005-0000-0000-0000D70D0000}"/>
    <cellStyle name="Note 22 2 2" xfId="4953" xr:uid="{2B0E34F4-B365-4585-980E-6269A43831B6}"/>
    <cellStyle name="Note 22 2 2 2" xfId="6333" xr:uid="{620CB3BD-641C-4D53-A5FB-E87F07A90F4B}"/>
    <cellStyle name="Note 22 2 2 3" xfId="7023" xr:uid="{DD9D9846-F4E2-46C9-88A4-D7902CAD4F88}"/>
    <cellStyle name="Note 22 2 3" xfId="5835" xr:uid="{B7E6FC02-47E2-42EB-89BA-0A0F9299465F}"/>
    <cellStyle name="Note 22 3" xfId="4651" xr:uid="{5F32EC9C-39B3-4EDF-AE04-A9E9584BCA98}"/>
    <cellStyle name="Note 22 3 2" xfId="6031" xr:uid="{BA0A5F07-5458-4C59-B377-CD64C2C3B031}"/>
    <cellStyle name="Note 22 3 3" xfId="6721" xr:uid="{2834CD16-D506-48A9-909C-0D5FB1580CD4}"/>
    <cellStyle name="Note 22 4" xfId="5628" xr:uid="{E3127684-39A9-4CF4-ACC1-4B0A342ED386}"/>
    <cellStyle name="Note 23" xfId="3072" xr:uid="{00000000-0005-0000-0000-0000D80D0000}"/>
    <cellStyle name="Note 23 2" xfId="4178" xr:uid="{00000000-0005-0000-0000-0000D90D0000}"/>
    <cellStyle name="Note 23 2 2" xfId="4954" xr:uid="{70AA4633-85C7-4182-9E36-BF6E87A5E297}"/>
    <cellStyle name="Note 23 2 2 2" xfId="6334" xr:uid="{6787D33E-85FD-40C0-82F6-0C4708BCB432}"/>
    <cellStyle name="Note 23 2 2 3" xfId="7024" xr:uid="{BA1F1ACE-0191-4452-B98D-7D3B66E447C6}"/>
    <cellStyle name="Note 23 2 3" xfId="5344" xr:uid="{77FA901B-C335-4E5B-AC79-0F9FCDE591E7}"/>
    <cellStyle name="Note 23 3" xfId="4652" xr:uid="{3DFAB60C-688A-4F4C-BDBB-FA517F99FFE7}"/>
    <cellStyle name="Note 23 3 2" xfId="6032" xr:uid="{E3C4F658-EDEE-4C50-94FC-9ECF1CB5A613}"/>
    <cellStyle name="Note 23 3 3" xfId="6722" xr:uid="{1B9EB021-72C2-4598-805E-3C26C77E0523}"/>
    <cellStyle name="Note 23 4" xfId="5795" xr:uid="{3BF8ABA4-3A51-4C1E-BCAA-738A939624E9}"/>
    <cellStyle name="Note 24" xfId="3073" xr:uid="{00000000-0005-0000-0000-0000DA0D0000}"/>
    <cellStyle name="Note 24 2" xfId="4179" xr:uid="{00000000-0005-0000-0000-0000DB0D0000}"/>
    <cellStyle name="Note 24 2 2" xfId="4955" xr:uid="{BF659F32-F2DF-44EB-921F-EFA260C1E235}"/>
    <cellStyle name="Note 24 2 2 2" xfId="6335" xr:uid="{94A74B6A-509F-4B6C-8DC6-433E3ED70B47}"/>
    <cellStyle name="Note 24 2 2 3" xfId="7025" xr:uid="{8EA76887-0A1C-42A0-A081-3C59DAF5BD1B}"/>
    <cellStyle name="Note 24 2 3" xfId="5343" xr:uid="{26732823-BF1A-4787-8030-32F942A3DB9A}"/>
    <cellStyle name="Note 24 3" xfId="4653" xr:uid="{C5E295C4-A590-47FD-84AE-2F525BECFDD4}"/>
    <cellStyle name="Note 24 3 2" xfId="6033" xr:uid="{6E53881A-A237-47BC-AE94-09279AAD0F98}"/>
    <cellStyle name="Note 24 3 3" xfId="6723" xr:uid="{17FCDA46-CF1B-41E7-AC8E-F1EC9254C5EA}"/>
    <cellStyle name="Note 24 4" xfId="5794" xr:uid="{B14FEDE3-E662-4401-9BF5-F409B0370CBE}"/>
    <cellStyle name="Note 25" xfId="3074" xr:uid="{00000000-0005-0000-0000-0000DC0D0000}"/>
    <cellStyle name="Note 25 2" xfId="4180" xr:uid="{00000000-0005-0000-0000-0000DD0D0000}"/>
    <cellStyle name="Note 25 2 2" xfId="4956" xr:uid="{63B34690-ECDF-403F-9C57-4F9A38C894CC}"/>
    <cellStyle name="Note 25 2 2 2" xfId="6336" xr:uid="{AFAD9219-D58F-4975-882C-B6E17115CB4B}"/>
    <cellStyle name="Note 25 2 2 3" xfId="7026" xr:uid="{26027732-8C3A-4FDC-A57A-D7B7DCA94DE9}"/>
    <cellStyle name="Note 25 2 3" xfId="5342" xr:uid="{675DBE92-B6C0-4E1A-9E4E-F7388F4987CC}"/>
    <cellStyle name="Note 25 3" xfId="4654" xr:uid="{1910C8F3-D336-4164-B915-87205B15E97F}"/>
    <cellStyle name="Note 25 3 2" xfId="6034" xr:uid="{BB7A8BBB-42EC-48EF-9C09-CA2679779A0C}"/>
    <cellStyle name="Note 25 3 3" xfId="6724" xr:uid="{9675BE98-706F-4ECC-ACC6-612688FB169A}"/>
    <cellStyle name="Note 25 4" xfId="5627" xr:uid="{A1BE84BA-889D-42A7-9896-6B11E0A64F6D}"/>
    <cellStyle name="Note 3" xfId="3075" xr:uid="{00000000-0005-0000-0000-0000DE0D0000}"/>
    <cellStyle name="Note 3 10" xfId="4181" xr:uid="{00000000-0005-0000-0000-0000DF0D0000}"/>
    <cellStyle name="Note 3 2" xfId="3076" xr:uid="{00000000-0005-0000-0000-0000E00D0000}"/>
    <cellStyle name="Note 3 2 2" xfId="4182" xr:uid="{00000000-0005-0000-0000-0000E10D0000}"/>
    <cellStyle name="Note 3 2 2 2" xfId="4957" xr:uid="{FE5E7B53-3320-427F-9C82-BE928DA6166D}"/>
    <cellStyle name="Note 3 2 2 2 2" xfId="6337" xr:uid="{73D99C40-89C8-49DE-AC45-FFAF559DE58C}"/>
    <cellStyle name="Note 3 2 2 2 3" xfId="7027" xr:uid="{1CA8405C-2D00-4C8C-B03D-B5AF58969F6A}"/>
    <cellStyle name="Note 3 2 2 3" xfId="5341" xr:uid="{12FAF6FC-7777-4C79-8699-2DA496B3B629}"/>
    <cellStyle name="Note 3 2 3" xfId="4183" xr:uid="{00000000-0005-0000-0000-0000E20D0000}"/>
    <cellStyle name="Note 3 2 3 2" xfId="4958" xr:uid="{26810002-3E30-4D56-8CAA-FE81813A7CC4}"/>
    <cellStyle name="Note 3 2 3 2 2" xfId="6338" xr:uid="{4AFC1864-CA09-4203-AEB1-BFF527892265}"/>
    <cellStyle name="Note 3 2 3 2 3" xfId="7028" xr:uid="{C98D0EF3-878F-42F9-BD54-9D44B3E0CBDB}"/>
    <cellStyle name="Note 3 2 3 3" xfId="5340" xr:uid="{43956EB2-74FA-437D-AB89-5403AEA921E8}"/>
    <cellStyle name="Note 3 2 4" xfId="4655" xr:uid="{82F4F6A3-D282-4CCC-BE79-F1E4159C46B5}"/>
    <cellStyle name="Note 3 2 4 2" xfId="6035" xr:uid="{1F07502A-FECF-4E21-A463-322F552D29CD}"/>
    <cellStyle name="Note 3 2 4 3" xfId="6725" xr:uid="{67B05BB3-F0F6-4D41-A60C-589F1BDD1959}"/>
    <cellStyle name="Note 3 2 5" xfId="5793" xr:uid="{05AC3201-2A66-41F9-AAAC-C8F3A4903715}"/>
    <cellStyle name="Note 3 3" xfId="3077" xr:uid="{00000000-0005-0000-0000-0000E30D0000}"/>
    <cellStyle name="Note 3 3 2" xfId="4184" xr:uid="{00000000-0005-0000-0000-0000E40D0000}"/>
    <cellStyle name="Note 3 3 2 2" xfId="4959" xr:uid="{7D470DB1-370A-4DF0-B66A-49F96254C882}"/>
    <cellStyle name="Note 3 3 2 2 2" xfId="6339" xr:uid="{B62B5012-48C1-40D6-B5AE-89C3B4B27D18}"/>
    <cellStyle name="Note 3 3 2 2 3" xfId="7029" xr:uid="{630738CE-7F8D-4D49-A7FB-2FB431A96ADF}"/>
    <cellStyle name="Note 3 3 2 3" xfId="5339" xr:uid="{C4BC4096-D558-4DD4-A16D-AC616B8C3A48}"/>
    <cellStyle name="Note 3 3 3" xfId="4656" xr:uid="{AEA23CF2-B1DE-4117-90A3-B6AEFE1B61B8}"/>
    <cellStyle name="Note 3 3 3 2" xfId="6036" xr:uid="{FABDC455-AB94-4160-A48D-64F5E9FB705E}"/>
    <cellStyle name="Note 3 3 3 3" xfId="6726" xr:uid="{66265F8F-1C48-4801-B31B-E837642DC84A}"/>
    <cellStyle name="Note 3 3 4" xfId="5792" xr:uid="{F8EA2E88-FCC8-422B-B4CB-62209143505C}"/>
    <cellStyle name="Note 3 4" xfId="3078" xr:uid="{00000000-0005-0000-0000-0000E50D0000}"/>
    <cellStyle name="Note 3 4 2" xfId="4185" xr:uid="{00000000-0005-0000-0000-0000E60D0000}"/>
    <cellStyle name="Note 3 4 2 2" xfId="4960" xr:uid="{9098DDC8-9424-43FF-990C-83986BEA45C2}"/>
    <cellStyle name="Note 3 4 2 2 2" xfId="6340" xr:uid="{8E51CACA-0C49-439B-85F2-985DC0C45FCA}"/>
    <cellStyle name="Note 3 4 2 2 3" xfId="7030" xr:uid="{23FD3350-51FB-406A-9009-A099DE70A42E}"/>
    <cellStyle name="Note 3 4 2 3" xfId="5338" xr:uid="{0C361900-78E9-4B3A-988A-0057753427BD}"/>
    <cellStyle name="Note 3 4 3" xfId="4657" xr:uid="{825E718F-3EB3-4F42-822F-4BCE4B457BA9}"/>
    <cellStyle name="Note 3 4 3 2" xfId="6037" xr:uid="{B4DF1CC4-106C-49DA-843B-9BE0D1A9DFAF}"/>
    <cellStyle name="Note 3 4 3 3" xfId="6727" xr:uid="{CB0416F1-A2A4-4C6F-8FAB-9D27C80F875E}"/>
    <cellStyle name="Note 3 4 4" xfId="5626" xr:uid="{2755DAA0-A3C6-4E16-BDF7-DE151FDF9076}"/>
    <cellStyle name="Note 3 5" xfId="3079" xr:uid="{00000000-0005-0000-0000-0000E70D0000}"/>
    <cellStyle name="Note 3 5 2" xfId="4186" xr:uid="{00000000-0005-0000-0000-0000E80D0000}"/>
    <cellStyle name="Note 3 5 2 2" xfId="4961" xr:uid="{95C10E6A-4665-4DAF-A637-2695CC23F45C}"/>
    <cellStyle name="Note 3 5 2 2 2" xfId="6341" xr:uid="{875F0AF4-5A26-46AF-81D1-0BCBC91940E5}"/>
    <cellStyle name="Note 3 5 2 2 3" xfId="7031" xr:uid="{CC235220-6916-4293-AD4B-C4D74C2B5EB5}"/>
    <cellStyle name="Note 3 5 2 3" xfId="5337" xr:uid="{E11F2EBE-2980-412B-A4E0-5FD57B9E8821}"/>
    <cellStyle name="Note 3 5 3" xfId="4658" xr:uid="{25EAD6A4-A0C4-4D49-B283-18DDFC756C5A}"/>
    <cellStyle name="Note 3 5 3 2" xfId="6038" xr:uid="{8AA92724-2B88-483E-9D33-47442EE0DC37}"/>
    <cellStyle name="Note 3 5 3 3" xfId="6728" xr:uid="{F3077F3B-10A3-4423-A5E1-B16051CF6615}"/>
    <cellStyle name="Note 3 5 4" xfId="5625" xr:uid="{DF4DFF9A-09CE-4528-A032-43689089E052}"/>
    <cellStyle name="Note 3 6" xfId="3080" xr:uid="{00000000-0005-0000-0000-0000E90D0000}"/>
    <cellStyle name="Note 3 6 2" xfId="4187" xr:uid="{00000000-0005-0000-0000-0000EA0D0000}"/>
    <cellStyle name="Note 3 6 2 2" xfId="4962" xr:uid="{F31CA5E5-6E1E-4101-BE7E-363C945D285C}"/>
    <cellStyle name="Note 3 6 2 2 2" xfId="6342" xr:uid="{D8A089BC-A174-46A3-9471-A8B0632E1099}"/>
    <cellStyle name="Note 3 6 2 2 3" xfId="7032" xr:uid="{4E399F3E-9267-4511-9E1E-087C07097B75}"/>
    <cellStyle name="Note 3 6 2 3" xfId="5336" xr:uid="{4E99332B-F139-4E14-9002-DABC8F1221FB}"/>
    <cellStyle name="Note 3 6 3" xfId="4659" xr:uid="{0DBA5E57-155A-4E6A-AA5B-7C0551404A54}"/>
    <cellStyle name="Note 3 6 3 2" xfId="6039" xr:uid="{40425A70-02B7-4436-B08D-FFF7DE4879A5}"/>
    <cellStyle name="Note 3 6 3 3" xfId="6729" xr:uid="{7D6EFBB8-BACF-40FE-86BB-24C75BBA4740}"/>
    <cellStyle name="Note 3 6 4" xfId="5791" xr:uid="{05FED4B1-1FEC-4167-89D6-CB34EE8D0037}"/>
    <cellStyle name="Note 3 7" xfId="3081" xr:uid="{00000000-0005-0000-0000-0000EB0D0000}"/>
    <cellStyle name="Note 3 7 2" xfId="4188" xr:uid="{00000000-0005-0000-0000-0000EC0D0000}"/>
    <cellStyle name="Note 3 7 2 2" xfId="4963" xr:uid="{0C263CD4-B634-436D-9EF8-16B3C7B8DFD9}"/>
    <cellStyle name="Note 3 7 2 2 2" xfId="6343" xr:uid="{129E7BD8-D121-4207-A47C-A6DBA0F6ADB5}"/>
    <cellStyle name="Note 3 7 2 2 3" xfId="7033" xr:uid="{908C1846-DE97-4BD7-8734-E2189B68C138}"/>
    <cellStyle name="Note 3 7 2 3" xfId="5335" xr:uid="{5FC27D64-82A4-413C-B2B4-A031D0EAEDF9}"/>
    <cellStyle name="Note 3 7 3" xfId="4660" xr:uid="{34E86819-61C2-4A18-B485-2469DADB9911}"/>
    <cellStyle name="Note 3 7 3 2" xfId="6040" xr:uid="{42EADE8B-665A-47F8-B644-607A4A4EDBEF}"/>
    <cellStyle name="Note 3 7 3 3" xfId="6730" xr:uid="{CD19EBF2-FAE3-4E0E-83C3-38330078ED01}"/>
    <cellStyle name="Note 3 7 4" xfId="5790" xr:uid="{8459AC77-59FC-466D-AF41-35DED6E57D12}"/>
    <cellStyle name="Note 3 8" xfId="3082" xr:uid="{00000000-0005-0000-0000-0000ED0D0000}"/>
    <cellStyle name="Note 3 8 2" xfId="4189" xr:uid="{00000000-0005-0000-0000-0000EE0D0000}"/>
    <cellStyle name="Note 3 8 2 2" xfId="4964" xr:uid="{DDC8F5DF-9FD0-415B-8C03-05E1BE46B2C3}"/>
    <cellStyle name="Note 3 8 2 2 2" xfId="6344" xr:uid="{A780252F-10BC-4AA0-A8BF-93C38A62FDF4}"/>
    <cellStyle name="Note 3 8 2 2 3" xfId="7034" xr:uid="{1D7932A6-D3C8-438B-91DB-EE9ABF03C265}"/>
    <cellStyle name="Note 3 8 2 3" xfId="5334" xr:uid="{70475415-BFA1-41D0-8B96-11FCD35365D8}"/>
    <cellStyle name="Note 3 8 3" xfId="4661" xr:uid="{3D2E348F-2878-4DFB-83C8-DFA9735D51C3}"/>
    <cellStyle name="Note 3 8 3 2" xfId="6041" xr:uid="{33D2ECE9-63C1-47A1-9CAE-15C18B7F2FB3}"/>
    <cellStyle name="Note 3 8 3 3" xfId="6731" xr:uid="{A43F311A-AB54-486D-8B94-C12E603F11CC}"/>
    <cellStyle name="Note 3 8 4" xfId="5624" xr:uid="{86D3B50E-D7FD-4971-B73D-65EE49F10D72}"/>
    <cellStyle name="Note 3 9" xfId="4190" xr:uid="{00000000-0005-0000-0000-0000EF0D0000}"/>
    <cellStyle name="Note 3 9 2" xfId="4965" xr:uid="{0BD90E4B-6742-4023-9622-A85B77CA314D}"/>
    <cellStyle name="Note 3 9 2 2" xfId="6345" xr:uid="{B1864C5E-5F62-40EB-ADDF-013AE5655D1F}"/>
    <cellStyle name="Note 3 9 2 3" xfId="7035" xr:uid="{DC002745-6D4F-464B-81D1-17F2A13D2E64}"/>
    <cellStyle name="Note 3 9 3" xfId="5333" xr:uid="{DFD97903-BAB5-4236-934B-429567CB7946}"/>
    <cellStyle name="Note 4" xfId="3083" xr:uid="{00000000-0005-0000-0000-0000F00D0000}"/>
    <cellStyle name="Note 4 2" xfId="3084" xr:uid="{00000000-0005-0000-0000-0000F10D0000}"/>
    <cellStyle name="Note 4 2 2" xfId="4191" xr:uid="{00000000-0005-0000-0000-0000F20D0000}"/>
    <cellStyle name="Note 4 2 2 2" xfId="4966" xr:uid="{BD102119-AA5D-407B-848E-4D83C8531E59}"/>
    <cellStyle name="Note 4 2 2 2 2" xfId="6346" xr:uid="{3E7BE231-3400-4CF6-81A4-A719EA8BBFBF}"/>
    <cellStyle name="Note 4 2 2 2 3" xfId="7036" xr:uid="{7B196E9E-2F0A-45B5-8631-353CCBC92235}"/>
    <cellStyle name="Note 4 2 2 3" xfId="5332" xr:uid="{4AEB5A9C-6247-4EAA-996D-7168B65280F7}"/>
    <cellStyle name="Note 4 2 3" xfId="4663" xr:uid="{E44E2F36-8BC5-4A38-8703-83C5C295077B}"/>
    <cellStyle name="Note 4 2 3 2" xfId="6043" xr:uid="{5C84D655-A8EA-4EF8-AB44-9FD7D50AC39B}"/>
    <cellStyle name="Note 4 2 3 3" xfId="6733" xr:uid="{085E7CDD-9F47-4476-B447-C51D2C4AF8E9}"/>
    <cellStyle name="Note 4 2 4" xfId="5622" xr:uid="{1481B5CF-C209-4596-8F72-0327EF71DEF0}"/>
    <cellStyle name="Note 4 3" xfId="3085" xr:uid="{00000000-0005-0000-0000-0000F30D0000}"/>
    <cellStyle name="Note 4 3 2" xfId="4192" xr:uid="{00000000-0005-0000-0000-0000F40D0000}"/>
    <cellStyle name="Note 4 3 2 2" xfId="4967" xr:uid="{610E48D5-4B7B-487B-B905-76F93C9D95B7}"/>
    <cellStyle name="Note 4 3 2 2 2" xfId="6347" xr:uid="{23B23F4D-A5E0-433F-8A3A-A35AA95CE77B}"/>
    <cellStyle name="Note 4 3 2 2 3" xfId="7037" xr:uid="{6D996706-EB2F-4D86-AC3D-1E4CB2527685}"/>
    <cellStyle name="Note 4 3 2 3" xfId="5331" xr:uid="{71FB5A75-452C-4FEF-9A83-1B65880A86C3}"/>
    <cellStyle name="Note 4 3 3" xfId="4664" xr:uid="{C601647F-B166-4855-8D77-DE3F5B160FD1}"/>
    <cellStyle name="Note 4 3 3 2" xfId="6044" xr:uid="{A29BE886-97EE-42BD-8578-52932D516444}"/>
    <cellStyle name="Note 4 3 3 3" xfId="6734" xr:uid="{E7D5ADFB-B712-42D1-9C3E-1EE5EA42F1C2}"/>
    <cellStyle name="Note 4 3 4" xfId="5621" xr:uid="{031A2EF9-2791-4897-AA99-61C5779C1E47}"/>
    <cellStyle name="Note 4 4" xfId="4193" xr:uid="{00000000-0005-0000-0000-0000F50D0000}"/>
    <cellStyle name="Note 4 4 2" xfId="4968" xr:uid="{9EE52B0A-F5A5-4449-89D7-F4600EEFFC98}"/>
    <cellStyle name="Note 4 4 2 2" xfId="6348" xr:uid="{C6419463-37FB-44C6-A090-9BDF7E98B877}"/>
    <cellStyle name="Note 4 4 2 3" xfId="7038" xr:uid="{CF7D69CD-3FC5-4217-91F9-09CF73290106}"/>
    <cellStyle name="Note 4 4 3" xfId="5782" xr:uid="{9B4D41E3-4CFB-4198-85E2-F057246A2602}"/>
    <cellStyle name="Note 4 5" xfId="4662" xr:uid="{FBBB0D91-AE39-47DC-9BD2-9276DEA974B4}"/>
    <cellStyle name="Note 4 5 2" xfId="6042" xr:uid="{37F15100-1F5C-4D5C-A6DF-8E67D8470A96}"/>
    <cellStyle name="Note 4 5 3" xfId="6732" xr:uid="{44627408-1FED-4837-BA80-B41ED4CAAFA3}"/>
    <cellStyle name="Note 4 6" xfId="5623" xr:uid="{CBAFE2B2-AA07-45C5-8F72-7644C5F28B55}"/>
    <cellStyle name="Note 5" xfId="3086" xr:uid="{00000000-0005-0000-0000-0000F60D0000}"/>
    <cellStyle name="Note 5 2" xfId="3087" xr:uid="{00000000-0005-0000-0000-0000F70D0000}"/>
    <cellStyle name="Note 5 2 2" xfId="4194" xr:uid="{00000000-0005-0000-0000-0000F80D0000}"/>
    <cellStyle name="Note 5 2 2 2" xfId="4969" xr:uid="{A8B30E39-737B-4AFF-9A33-B5AD1F81C48B}"/>
    <cellStyle name="Note 5 2 2 2 2" xfId="6349" xr:uid="{62B5B73C-5491-4420-94E5-25401FD82416}"/>
    <cellStyle name="Note 5 2 2 2 3" xfId="7039" xr:uid="{A9B7C635-A0FB-4142-876B-1761E1015D5F}"/>
    <cellStyle name="Note 5 2 2 3" xfId="5330" xr:uid="{A9386623-1F54-41DF-987A-59F9B3E5E18F}"/>
    <cellStyle name="Note 5 2 3" xfId="4665" xr:uid="{4BA4A145-D717-4747-9037-57918B1F05F2}"/>
    <cellStyle name="Note 5 2 3 2" xfId="6045" xr:uid="{63BD1FA5-1E71-4AD2-BD4A-F8AC9D76B740}"/>
    <cellStyle name="Note 5 2 3 3" xfId="6735" xr:uid="{1137CEAE-330C-4F77-9D48-06231CE78822}"/>
    <cellStyle name="Note 5 2 4" xfId="5620" xr:uid="{CB9AB136-EC3A-4B1E-9753-384B34496F33}"/>
    <cellStyle name="Note 5 3" xfId="3088" xr:uid="{00000000-0005-0000-0000-0000F90D0000}"/>
    <cellStyle name="Note 5 3 2" xfId="4195" xr:uid="{00000000-0005-0000-0000-0000FA0D0000}"/>
    <cellStyle name="Note 5 3 2 2" xfId="4970" xr:uid="{3829AFC7-2375-4CDF-95AC-C230DD2E7EB4}"/>
    <cellStyle name="Note 5 3 2 2 2" xfId="6350" xr:uid="{AF4E99E6-6CD1-4274-813A-A653FE1450D9}"/>
    <cellStyle name="Note 5 3 2 2 3" xfId="7040" xr:uid="{FA2BEB7D-6D7D-464F-81F0-F79E3999F3DC}"/>
    <cellStyle name="Note 5 3 2 3" xfId="5329" xr:uid="{AB912CCF-E913-4275-B179-7F18A5FA6F98}"/>
    <cellStyle name="Note 5 3 3" xfId="4666" xr:uid="{DD2C62C6-0C95-4D1C-A3B3-4BFA07E3D5B3}"/>
    <cellStyle name="Note 5 3 3 2" xfId="6046" xr:uid="{A8CE8087-2E33-4437-997B-8B7926152BD2}"/>
    <cellStyle name="Note 5 3 3 3" xfId="6736" xr:uid="{D17B912B-AF80-4079-8229-A8C51471730F}"/>
    <cellStyle name="Note 5 3 4" xfId="5619" xr:uid="{DCBBEE80-C9E2-4058-9FD2-B0BFB66842D1}"/>
    <cellStyle name="Note 6" xfId="3089" xr:uid="{00000000-0005-0000-0000-0000FB0D0000}"/>
    <cellStyle name="Note 6 2" xfId="3090" xr:uid="{00000000-0005-0000-0000-0000FC0D0000}"/>
    <cellStyle name="Note 6 2 2" xfId="4196" xr:uid="{00000000-0005-0000-0000-0000FD0D0000}"/>
    <cellStyle name="Note 6 2 2 2" xfId="4971" xr:uid="{CB157DC9-0ACE-4999-B8D0-8ECE59C3AD4A}"/>
    <cellStyle name="Note 6 2 2 2 2" xfId="6351" xr:uid="{C7F61B75-A53A-4903-9055-3B7F51835F74}"/>
    <cellStyle name="Note 6 2 2 2 3" xfId="7041" xr:uid="{DEC46AD9-6248-416E-93E9-C73DC2F4993E}"/>
    <cellStyle name="Note 6 2 2 3" xfId="5328" xr:uid="{AAE89993-E33B-4EDE-82C8-1FF5AD4E76CF}"/>
    <cellStyle name="Note 6 2 3" xfId="4667" xr:uid="{77CB5EB5-508E-4272-BE34-B070DEA75831}"/>
    <cellStyle name="Note 6 2 3 2" xfId="6047" xr:uid="{C9906EB4-5702-4B11-BAEF-81BDB07CD801}"/>
    <cellStyle name="Note 6 2 3 3" xfId="6737" xr:uid="{D2847CE6-5283-4B02-A9A9-AFBB9408586A}"/>
    <cellStyle name="Note 6 2 4" xfId="5618" xr:uid="{FA0E0156-06A5-4676-9ECB-88C299C9FEDA}"/>
    <cellStyle name="Note 6 3" xfId="3091" xr:uid="{00000000-0005-0000-0000-0000FE0D0000}"/>
    <cellStyle name="Note 6 3 2" xfId="4197" xr:uid="{00000000-0005-0000-0000-0000FF0D0000}"/>
    <cellStyle name="Note 6 3 2 2" xfId="4972" xr:uid="{5A57A263-10C1-4E36-A251-8E6139D08B8D}"/>
    <cellStyle name="Note 6 3 2 2 2" xfId="6352" xr:uid="{5C3BB8D7-A847-4E7D-9EC6-D5D051757F12}"/>
    <cellStyle name="Note 6 3 2 2 3" xfId="7042" xr:uid="{47AD1A6E-C9CA-43FF-B0BD-A8E307DD13B7}"/>
    <cellStyle name="Note 6 3 2 3" xfId="5327" xr:uid="{02DDB149-B5F6-434A-A1B1-C04773A49DD3}"/>
    <cellStyle name="Note 6 3 3" xfId="4668" xr:uid="{B0F3C6EA-D074-44D6-8EE0-CEA210E62810}"/>
    <cellStyle name="Note 6 3 3 2" xfId="6048" xr:uid="{3221CDF0-4EF3-4868-A34A-36D15EA6F444}"/>
    <cellStyle name="Note 6 3 3 3" xfId="6738" xr:uid="{9445B601-08FF-470D-9C66-B386322FE66B}"/>
    <cellStyle name="Note 6 3 4" xfId="5617" xr:uid="{4A39FE38-8CFD-4E3D-AB26-3A246E0A1AC6}"/>
    <cellStyle name="Note 7 2" xfId="3092" xr:uid="{00000000-0005-0000-0000-0000000E0000}"/>
    <cellStyle name="Note 7 2 2" xfId="4198" xr:uid="{00000000-0005-0000-0000-0000010E0000}"/>
    <cellStyle name="Note 7 2 2 2" xfId="4973" xr:uid="{DE8E4E1E-AADE-4F68-B0A2-77A4952E5BF8}"/>
    <cellStyle name="Note 7 2 2 2 2" xfId="6353" xr:uid="{DDED4B02-7783-4CE9-A2FD-31908917995D}"/>
    <cellStyle name="Note 7 2 2 2 3" xfId="7043" xr:uid="{E9960A5B-99CE-4135-8C6F-56423051C83D}"/>
    <cellStyle name="Note 7 2 2 3" xfId="5326" xr:uid="{338A94DE-4466-4727-A501-4F2C3F753F3F}"/>
    <cellStyle name="Note 7 2 3" xfId="4669" xr:uid="{10259B18-B6D5-48C5-97E6-0744E6FC0425}"/>
    <cellStyle name="Note 7 2 3 2" xfId="6049" xr:uid="{299FC008-6B88-4151-8958-C00F033EA94E}"/>
    <cellStyle name="Note 7 2 3 3" xfId="6739" xr:uid="{541202CE-0D1A-456C-935E-CC0DA9CCDDF0}"/>
    <cellStyle name="Note 7 2 4" xfId="5616" xr:uid="{CF8E16D3-7046-4749-9A0A-7041EC00A545}"/>
    <cellStyle name="Note 7 3" xfId="3093" xr:uid="{00000000-0005-0000-0000-0000020E0000}"/>
    <cellStyle name="Note 7 3 2" xfId="4199" xr:uid="{00000000-0005-0000-0000-0000030E0000}"/>
    <cellStyle name="Note 7 3 2 2" xfId="4974" xr:uid="{CF23B1EF-4864-48C5-86AD-2D27341FF83A}"/>
    <cellStyle name="Note 7 3 2 2 2" xfId="6354" xr:uid="{AF43C852-DB3E-4649-9D2B-0DE998A0F819}"/>
    <cellStyle name="Note 7 3 2 2 3" xfId="7044" xr:uid="{7824FEDB-779A-48C5-9E40-F578F6251F18}"/>
    <cellStyle name="Note 7 3 2 3" xfId="5325" xr:uid="{97D6954A-EB05-44DF-9793-4FDC95627BE0}"/>
    <cellStyle name="Note 7 3 3" xfId="4670" xr:uid="{1D9191F0-AD2B-470D-A397-B12D0BA424DC}"/>
    <cellStyle name="Note 7 3 3 2" xfId="6050" xr:uid="{FD49AD1A-69E3-41FF-A5B8-5D0616F98D85}"/>
    <cellStyle name="Note 7 3 3 3" xfId="6740" xr:uid="{C7FB5F70-E824-4091-92AE-0962ACC475AE}"/>
    <cellStyle name="Note 7 3 4" xfId="5615" xr:uid="{40C7620F-22C6-4CE4-BD4A-EFF3F5588A2F}"/>
    <cellStyle name="Note 8 2" xfId="3094" xr:uid="{00000000-0005-0000-0000-0000040E0000}"/>
    <cellStyle name="Note 8 2 2" xfId="4200" xr:uid="{00000000-0005-0000-0000-0000050E0000}"/>
    <cellStyle name="Note 8 2 2 2" xfId="4975" xr:uid="{DFE68DCA-0F3B-4AC6-AE55-016B79D45FDD}"/>
    <cellStyle name="Note 8 2 2 2 2" xfId="6355" xr:uid="{178576DD-CB9F-4AFF-A289-2EA95EB89DBB}"/>
    <cellStyle name="Note 8 2 2 2 3" xfId="7045" xr:uid="{737F2FE2-B679-4549-9E3B-421F2CBDA1DA}"/>
    <cellStyle name="Note 8 2 2 3" xfId="5324" xr:uid="{4316DCA0-440D-42A2-AD68-F05C975D73EE}"/>
    <cellStyle name="Note 8 2 3" xfId="4671" xr:uid="{0EC6575E-10D0-4115-A456-F3E5AAA32713}"/>
    <cellStyle name="Note 8 2 3 2" xfId="6051" xr:uid="{65D41E40-291A-4FB3-905D-5741B182C778}"/>
    <cellStyle name="Note 8 2 3 3" xfId="6741" xr:uid="{D29C60FD-5C62-4A0D-AF89-FD12C3A7137A}"/>
    <cellStyle name="Note 8 2 4" xfId="5614" xr:uid="{09FCB4CA-730A-4EF1-835C-2E5D3C1B0BBC}"/>
    <cellStyle name="Note 8 3" xfId="3095" xr:uid="{00000000-0005-0000-0000-0000060E0000}"/>
    <cellStyle name="Note 8 3 2" xfId="4201" xr:uid="{00000000-0005-0000-0000-0000070E0000}"/>
    <cellStyle name="Note 8 3 2 2" xfId="4976" xr:uid="{CC8038F1-07CE-456D-9220-50CE0413D958}"/>
    <cellStyle name="Note 8 3 2 2 2" xfId="6356" xr:uid="{2E522201-F926-4982-A625-0F4505C14AF9}"/>
    <cellStyle name="Note 8 3 2 2 3" xfId="7046" xr:uid="{43AFEEBA-DE99-4692-B9D4-17AC495FCC90}"/>
    <cellStyle name="Note 8 3 2 3" xfId="5323" xr:uid="{99A4265D-A6BA-45AF-A15C-BE53B58AEBE6}"/>
    <cellStyle name="Note 8 3 3" xfId="4672" xr:uid="{9FDCC833-A370-4100-81D2-D733659F22CF}"/>
    <cellStyle name="Note 8 3 3 2" xfId="6052" xr:uid="{433A6B33-06E7-459D-907C-725ACEA16C02}"/>
    <cellStyle name="Note 8 3 3 3" xfId="6742" xr:uid="{8273B3E0-18B3-44FB-95EC-637C566D5C0F}"/>
    <cellStyle name="Note 8 3 4" xfId="5613" xr:uid="{BE2EAAAC-F01B-40C2-8868-44E63FC90E37}"/>
    <cellStyle name="Note 9 2" xfId="3096" xr:uid="{00000000-0005-0000-0000-0000080E0000}"/>
    <cellStyle name="Note 9 2 2" xfId="4202" xr:uid="{00000000-0005-0000-0000-0000090E0000}"/>
    <cellStyle name="Note 9 2 2 2" xfId="4977" xr:uid="{4C9678C2-378D-40B8-B149-DC480E16EA2F}"/>
    <cellStyle name="Note 9 2 2 2 2" xfId="6357" xr:uid="{965C2902-D1EF-42A5-ADF2-7A717C3359AD}"/>
    <cellStyle name="Note 9 2 2 2 3" xfId="7047" xr:uid="{07785AB6-6B35-4321-BB2B-71D108205585}"/>
    <cellStyle name="Note 9 2 2 3" xfId="5322" xr:uid="{9BCF9FEE-228C-4F03-A0ED-A67E2C7AD1BF}"/>
    <cellStyle name="Note 9 2 3" xfId="4673" xr:uid="{4ECB294E-6D82-4A19-B688-680295235AE9}"/>
    <cellStyle name="Note 9 2 3 2" xfId="6053" xr:uid="{C2DAC2E5-C916-4F35-9B2E-CCA4CD3A9D04}"/>
    <cellStyle name="Note 9 2 3 3" xfId="6743" xr:uid="{AB3F60D5-D4E7-46FD-86BD-A04B9F142BAE}"/>
    <cellStyle name="Note 9 2 4" xfId="5612" xr:uid="{8C7D2D4A-116D-4EB0-8FCA-90E4D07CCB50}"/>
    <cellStyle name="Note 9 3" xfId="3097" xr:uid="{00000000-0005-0000-0000-00000A0E0000}"/>
    <cellStyle name="Note 9 3 2" xfId="4203" xr:uid="{00000000-0005-0000-0000-00000B0E0000}"/>
    <cellStyle name="Note 9 3 2 2" xfId="4978" xr:uid="{7803909D-2716-432A-849F-52B49757EDB7}"/>
    <cellStyle name="Note 9 3 2 2 2" xfId="6358" xr:uid="{3ECF1F84-6BA3-4774-A66B-5B473BE136FA}"/>
    <cellStyle name="Note 9 3 2 2 3" xfId="7048" xr:uid="{04A413E1-0639-4792-9716-EA23A369DC24}"/>
    <cellStyle name="Note 9 3 2 3" xfId="5321" xr:uid="{4B19B6ED-0AE6-46BF-A86F-B82E5F551568}"/>
    <cellStyle name="Note 9 3 3" xfId="4674" xr:uid="{870CD3CE-C2BD-48F6-B1AF-0CD2FF760B1C}"/>
    <cellStyle name="Note 9 3 3 2" xfId="6054" xr:uid="{4E662A75-DB4D-4A35-9C2A-548EE1885461}"/>
    <cellStyle name="Note 9 3 3 3" xfId="6744" xr:uid="{922E66B7-29DB-41AF-9DCB-68356FDD6E74}"/>
    <cellStyle name="Note 9 3 4" xfId="5611" xr:uid="{07DB1927-255E-4EC6-BAB5-FAB36E2C392D}"/>
    <cellStyle name="Number" xfId="4446" xr:uid="{402306DC-0987-4CA9-B02D-551FDB1C05FD}"/>
    <cellStyle name="Output 10 2" xfId="3098" xr:uid="{00000000-0005-0000-0000-00000C0E0000}"/>
    <cellStyle name="Output 10 2 2" xfId="4204" xr:uid="{00000000-0005-0000-0000-00000D0E0000}"/>
    <cellStyle name="Output 10 2 2 2" xfId="4979" xr:uid="{ABD55B88-E58E-490D-8C08-C848C392D17F}"/>
    <cellStyle name="Output 10 2 2 2 2" xfId="6359" xr:uid="{A72C8689-41D0-44E5-A4FF-129C8413C0B1}"/>
    <cellStyle name="Output 10 2 2 2 3" xfId="7049" xr:uid="{14224A9E-6EF5-465D-9657-FDA1AABC6A8F}"/>
    <cellStyle name="Output 10 2 2 3" xfId="5320" xr:uid="{24FEDB71-5A22-4020-B3E8-FEEF9ADF4399}"/>
    <cellStyle name="Output 10 2 3" xfId="4205" xr:uid="{00000000-0005-0000-0000-00000E0E0000}"/>
    <cellStyle name="Output 10 2 3 2" xfId="4980" xr:uid="{3B383E70-121C-475A-9B54-7DFB57CD7B19}"/>
    <cellStyle name="Output 10 2 3 2 2" xfId="6360" xr:uid="{F440A46B-45A4-4DBA-A92D-5894D377997B}"/>
    <cellStyle name="Output 10 2 3 2 3" xfId="7050" xr:uid="{3EB3A608-2EAD-43C0-80E6-01E0F16C2999}"/>
    <cellStyle name="Output 10 2 3 3" xfId="5319" xr:uid="{BF00B945-E0FA-4F90-8082-4BA06ACB6A74}"/>
    <cellStyle name="Output 10 2 4" xfId="4675" xr:uid="{E9584508-A9A4-4CB1-9868-D0CD626133C2}"/>
    <cellStyle name="Output 10 2 4 2" xfId="6055" xr:uid="{3B27DB1D-A331-4425-A36F-6D06BE8AE40A}"/>
    <cellStyle name="Output 10 2 4 3" xfId="6745" xr:uid="{80C5E319-E92F-41B1-B9A4-BA07756F0136}"/>
    <cellStyle name="Output 10 2 5" xfId="5610" xr:uid="{D1963A75-0C51-4A63-A2DA-5D704733871E}"/>
    <cellStyle name="Output 10 3" xfId="3099" xr:uid="{00000000-0005-0000-0000-00000F0E0000}"/>
    <cellStyle name="Output 10 3 2" xfId="4206" xr:uid="{00000000-0005-0000-0000-0000100E0000}"/>
    <cellStyle name="Output 10 3 2 2" xfId="4981" xr:uid="{08B710F7-9616-408D-8ADF-D072294DC0FF}"/>
    <cellStyle name="Output 10 3 2 2 2" xfId="6361" xr:uid="{3D5D0A2E-6A4F-4AFF-8EB4-58FD0379AC0D}"/>
    <cellStyle name="Output 10 3 2 2 3" xfId="7051" xr:uid="{6657FA51-4F4F-4B6F-84F6-241DBA1EE437}"/>
    <cellStyle name="Output 10 3 2 3" xfId="5318" xr:uid="{6A1946E2-1042-475B-BBCE-E8CF2A47B0A9}"/>
    <cellStyle name="Output 10 3 3" xfId="4207" xr:uid="{00000000-0005-0000-0000-0000110E0000}"/>
    <cellStyle name="Output 10 3 3 2" xfId="4982" xr:uid="{4FEA1A1B-5510-4588-AFC6-28CF6B6848DB}"/>
    <cellStyle name="Output 10 3 3 2 2" xfId="6362" xr:uid="{8DF01571-F89F-4856-9413-50B3F140CF5B}"/>
    <cellStyle name="Output 10 3 3 2 3" xfId="7052" xr:uid="{C4637FFF-0253-42AF-8743-2530CC6B9653}"/>
    <cellStyle name="Output 10 3 3 3" xfId="5317" xr:uid="{ED2CF52B-CB63-4C81-BD83-BC0BFF427B57}"/>
    <cellStyle name="Output 10 3 4" xfId="4676" xr:uid="{EF6E5B27-24D3-4891-A0E8-849CC722489F}"/>
    <cellStyle name="Output 10 3 4 2" xfId="6056" xr:uid="{FF9E0ACB-6E8C-4F01-84A2-8C0201CF0764}"/>
    <cellStyle name="Output 10 3 4 3" xfId="6746" xr:uid="{5F13FF43-C65F-4EBA-A38B-E801ECB21E69}"/>
    <cellStyle name="Output 10 3 5" xfId="5609" xr:uid="{57A9DC62-54FF-4BA2-844F-406FD6F07261}"/>
    <cellStyle name="Output 11 2" xfId="3100" xr:uid="{00000000-0005-0000-0000-0000120E0000}"/>
    <cellStyle name="Output 11 2 2" xfId="4208" xr:uid="{00000000-0005-0000-0000-0000130E0000}"/>
    <cellStyle name="Output 11 2 2 2" xfId="4983" xr:uid="{5D591BBE-01B5-40B4-B216-93B46BCCAF35}"/>
    <cellStyle name="Output 11 2 2 2 2" xfId="6363" xr:uid="{3EBC970E-634B-42E9-8C1B-BE3E962FBF41}"/>
    <cellStyle name="Output 11 2 2 2 3" xfId="7053" xr:uid="{B84D443F-B79E-4400-B1F2-DA0EB2610C4B}"/>
    <cellStyle name="Output 11 2 2 3" xfId="5316" xr:uid="{86936C71-B617-46F4-89BE-6B0A56E3F992}"/>
    <cellStyle name="Output 11 2 3" xfId="4209" xr:uid="{00000000-0005-0000-0000-0000140E0000}"/>
    <cellStyle name="Output 11 2 3 2" xfId="4984" xr:uid="{2F34553C-9110-44C6-95C8-27B9E92B7404}"/>
    <cellStyle name="Output 11 2 3 2 2" xfId="6364" xr:uid="{C4A5DBDB-8DA7-4AC4-A32A-FEF2618FD529}"/>
    <cellStyle name="Output 11 2 3 2 3" xfId="7054" xr:uid="{54BFE1B8-11BB-4459-AEEF-18E8F16659F1}"/>
    <cellStyle name="Output 11 2 3 3" xfId="5315" xr:uid="{84E3E03B-C448-4F44-ADD5-CC1C94D53D0F}"/>
    <cellStyle name="Output 11 2 4" xfId="4677" xr:uid="{DFF3C64A-F911-4B3D-9FC4-2B8E5714C5B0}"/>
    <cellStyle name="Output 11 2 4 2" xfId="6057" xr:uid="{88B7352E-4362-4E2A-9055-DA368C3EE5EF}"/>
    <cellStyle name="Output 11 2 4 3" xfId="6747" xr:uid="{43AD3C56-193E-4D32-AE9F-565CCE1437D1}"/>
    <cellStyle name="Output 11 2 5" xfId="5608" xr:uid="{72A1DADF-A736-481D-9E56-3AB363D1A99D}"/>
    <cellStyle name="Output 11 3" xfId="3101" xr:uid="{00000000-0005-0000-0000-0000150E0000}"/>
    <cellStyle name="Output 11 3 2" xfId="4210" xr:uid="{00000000-0005-0000-0000-0000160E0000}"/>
    <cellStyle name="Output 11 3 2 2" xfId="4985" xr:uid="{BC648F67-66A9-4A6D-9D68-F3B0C1ACB49C}"/>
    <cellStyle name="Output 11 3 2 2 2" xfId="6365" xr:uid="{6FF45CBB-68A6-4FF2-A5C7-6860DFA95D33}"/>
    <cellStyle name="Output 11 3 2 2 3" xfId="7055" xr:uid="{77223E71-B1EF-4237-BB5D-2B434E930DA5}"/>
    <cellStyle name="Output 11 3 2 3" xfId="5314" xr:uid="{41035BE9-A4F9-423C-AABC-78E7FC4584C2}"/>
    <cellStyle name="Output 11 3 3" xfId="4211" xr:uid="{00000000-0005-0000-0000-0000170E0000}"/>
    <cellStyle name="Output 11 3 3 2" xfId="4986" xr:uid="{95983648-DD87-4F93-83C4-617F87F49911}"/>
    <cellStyle name="Output 11 3 3 2 2" xfId="6366" xr:uid="{735D3935-49A2-4A22-977C-AB6BC0A82D4E}"/>
    <cellStyle name="Output 11 3 3 2 3" xfId="7056" xr:uid="{7A7F9AB5-E49E-4C4C-A3E5-BEA0115E42CD}"/>
    <cellStyle name="Output 11 3 3 3" xfId="5313" xr:uid="{E9D31D15-01F7-4240-A794-C1DD76C72944}"/>
    <cellStyle name="Output 11 3 4" xfId="4678" xr:uid="{9E2CAD3D-BBF1-4D2E-9915-7EAE95CFE744}"/>
    <cellStyle name="Output 11 3 4 2" xfId="6058" xr:uid="{988B4E16-CB64-49FF-9BDB-BCCE5E5341FC}"/>
    <cellStyle name="Output 11 3 4 3" xfId="6748" xr:uid="{16B1467B-E3EB-43B4-8CDC-90CA3A66AF20}"/>
    <cellStyle name="Output 11 3 5" xfId="5607" xr:uid="{351B3F95-D158-4D4C-A2B2-282E6E771DC4}"/>
    <cellStyle name="Output 12 2" xfId="3102" xr:uid="{00000000-0005-0000-0000-0000180E0000}"/>
    <cellStyle name="Output 12 2 2" xfId="4212" xr:uid="{00000000-0005-0000-0000-0000190E0000}"/>
    <cellStyle name="Output 12 2 2 2" xfId="4987" xr:uid="{2D37FCC3-AA75-4A22-A6A1-4714D534CD6F}"/>
    <cellStyle name="Output 12 2 2 2 2" xfId="6367" xr:uid="{783DF15D-DDEE-40E8-B4E8-4BB4145C321D}"/>
    <cellStyle name="Output 12 2 2 2 3" xfId="7057" xr:uid="{E4426D94-7FE3-4A13-9B00-C4005C8DA11A}"/>
    <cellStyle name="Output 12 2 2 3" xfId="5312" xr:uid="{F756E49B-B94D-41EA-9CF3-A1C3BCE4892B}"/>
    <cellStyle name="Output 12 2 3" xfId="4213" xr:uid="{00000000-0005-0000-0000-00001A0E0000}"/>
    <cellStyle name="Output 12 2 3 2" xfId="4988" xr:uid="{6525597C-2F3C-45A6-9A27-0E6793179D17}"/>
    <cellStyle name="Output 12 2 3 2 2" xfId="6368" xr:uid="{A9515D36-1120-48A1-BEA6-160E4A6D02F3}"/>
    <cellStyle name="Output 12 2 3 2 3" xfId="7058" xr:uid="{864BDB65-F6B8-4700-A559-2B5B1DC30436}"/>
    <cellStyle name="Output 12 2 3 3" xfId="5311" xr:uid="{92B26A7C-2F81-44DA-8439-1E1F134B73F5}"/>
    <cellStyle name="Output 12 2 4" xfId="4679" xr:uid="{DB5957D8-467E-4A6E-9988-9310EF9706F6}"/>
    <cellStyle name="Output 12 2 4 2" xfId="6059" xr:uid="{16999FD9-F1AD-4D45-A8D6-988B66A08D2F}"/>
    <cellStyle name="Output 12 2 4 3" xfId="6749" xr:uid="{345AF6CC-F7CD-4548-B44F-833503403001}"/>
    <cellStyle name="Output 12 2 5" xfId="5606" xr:uid="{25BFCB39-0039-4350-9D15-4604AF12BE9B}"/>
    <cellStyle name="Output 12 3" xfId="3103" xr:uid="{00000000-0005-0000-0000-00001B0E0000}"/>
    <cellStyle name="Output 12 3 2" xfId="4214" xr:uid="{00000000-0005-0000-0000-00001C0E0000}"/>
    <cellStyle name="Output 12 3 2 2" xfId="4989" xr:uid="{F191D78C-259B-4FE9-8048-4C60B87B09C7}"/>
    <cellStyle name="Output 12 3 2 2 2" xfId="6369" xr:uid="{47F73AA9-7AAD-48A9-B8B4-DA30E4E846B1}"/>
    <cellStyle name="Output 12 3 2 2 3" xfId="7059" xr:uid="{A51DFF67-C685-4B07-9ECE-755F07B2FBF5}"/>
    <cellStyle name="Output 12 3 2 3" xfId="5310" xr:uid="{DBAB396A-3EED-41BD-9AB8-34A566AFA946}"/>
    <cellStyle name="Output 12 3 3" xfId="4215" xr:uid="{00000000-0005-0000-0000-00001D0E0000}"/>
    <cellStyle name="Output 12 3 3 2" xfId="4990" xr:uid="{EC35B771-FD67-4157-88C9-49CD327E3E1F}"/>
    <cellStyle name="Output 12 3 3 2 2" xfId="6370" xr:uid="{B032E964-2286-4812-84F6-A4B2BFBD7A57}"/>
    <cellStyle name="Output 12 3 3 2 3" xfId="7060" xr:uid="{05CFEB84-10BA-4B09-8F1E-02BAB6E7B0FC}"/>
    <cellStyle name="Output 12 3 3 3" xfId="5309" xr:uid="{C0A78F30-E5BB-48DB-939F-87FCC616919D}"/>
    <cellStyle name="Output 12 3 4" xfId="4680" xr:uid="{5C502E1D-0EB9-451B-ADF8-27787D6E52FE}"/>
    <cellStyle name="Output 12 3 4 2" xfId="6060" xr:uid="{F993FF4B-A8D8-48F4-BDEF-409231205546}"/>
    <cellStyle name="Output 12 3 4 3" xfId="6750" xr:uid="{937FED55-71BB-4511-AC0F-3A3D47E1719C}"/>
    <cellStyle name="Output 12 3 5" xfId="5605" xr:uid="{12AC7DE3-D34A-4C74-B305-B6BFF6418EF9}"/>
    <cellStyle name="Output 13 2" xfId="3104" xr:uid="{00000000-0005-0000-0000-00001E0E0000}"/>
    <cellStyle name="Output 13 2 2" xfId="4216" xr:uid="{00000000-0005-0000-0000-00001F0E0000}"/>
    <cellStyle name="Output 13 2 2 2" xfId="4991" xr:uid="{895C3FF0-96CB-4294-B6C7-CF33639E4FED}"/>
    <cellStyle name="Output 13 2 2 2 2" xfId="6371" xr:uid="{C43E49B4-C843-4ED0-94FC-617DA513514E}"/>
    <cellStyle name="Output 13 2 2 2 3" xfId="7061" xr:uid="{44772BE4-E38D-450D-811B-56C172E899E6}"/>
    <cellStyle name="Output 13 2 2 3" xfId="5308" xr:uid="{089D3B3D-C781-4D0A-94BE-383069D909EF}"/>
    <cellStyle name="Output 13 2 3" xfId="4217" xr:uid="{00000000-0005-0000-0000-0000200E0000}"/>
    <cellStyle name="Output 13 2 3 2" xfId="4992" xr:uid="{BD41C06C-E15F-46DB-834A-461FB9AE2EF6}"/>
    <cellStyle name="Output 13 2 3 2 2" xfId="6372" xr:uid="{285F16ED-B7C2-41D1-8257-B6DF91B899ED}"/>
    <cellStyle name="Output 13 2 3 2 3" xfId="7062" xr:uid="{B7499E5A-3343-4085-844A-135592476354}"/>
    <cellStyle name="Output 13 2 3 3" xfId="5307" xr:uid="{3A01AA4D-DC7E-4DA1-87CB-FE91E2672479}"/>
    <cellStyle name="Output 13 2 4" xfId="4681" xr:uid="{D05BA67C-3AF3-4E52-A183-006DBAB2B079}"/>
    <cellStyle name="Output 13 2 4 2" xfId="6061" xr:uid="{CB1DA89F-71D1-48F0-A1AF-50EDE3BC65E5}"/>
    <cellStyle name="Output 13 2 4 3" xfId="6751" xr:uid="{81460C02-99E6-4D9F-B0EB-2C3EE22747A2}"/>
    <cellStyle name="Output 13 2 5" xfId="5604" xr:uid="{E34BC0A8-1033-4B6E-9E0A-70889DE384BD}"/>
    <cellStyle name="Output 13 3" xfId="3105" xr:uid="{00000000-0005-0000-0000-0000210E0000}"/>
    <cellStyle name="Output 13 3 2" xfId="4218" xr:uid="{00000000-0005-0000-0000-0000220E0000}"/>
    <cellStyle name="Output 13 3 2 2" xfId="4993" xr:uid="{B9764E5D-F897-40F4-A89B-81D9DDF76F28}"/>
    <cellStyle name="Output 13 3 2 2 2" xfId="6373" xr:uid="{B2560D97-A873-43AE-A87C-0DCAD9A2BCBE}"/>
    <cellStyle name="Output 13 3 2 2 3" xfId="7063" xr:uid="{D9BF80D8-192B-4CE8-B0EE-A42B7DF89A46}"/>
    <cellStyle name="Output 13 3 2 3" xfId="5306" xr:uid="{7606C121-B520-4ED2-9D52-972A2BC80F97}"/>
    <cellStyle name="Output 13 3 3" xfId="4219" xr:uid="{00000000-0005-0000-0000-0000230E0000}"/>
    <cellStyle name="Output 13 3 3 2" xfId="4994" xr:uid="{19CA4166-F23A-477F-891C-72A0FF677ADF}"/>
    <cellStyle name="Output 13 3 3 2 2" xfId="6374" xr:uid="{83BE2EE8-28E3-4471-8FA7-DF48F5059D89}"/>
    <cellStyle name="Output 13 3 3 2 3" xfId="7064" xr:uid="{C7D62F04-7F56-4363-B11E-BD0C328C4556}"/>
    <cellStyle name="Output 13 3 3 3" xfId="5305" xr:uid="{6F516DF4-E6BD-477B-B16C-FAE1D8BCE55D}"/>
    <cellStyle name="Output 13 3 4" xfId="4682" xr:uid="{AF42FA7A-3C27-400B-B933-9AE0D554B2A1}"/>
    <cellStyle name="Output 13 3 4 2" xfId="6062" xr:uid="{E45CBA30-C8EA-4768-AB6F-DCC42DC20CE8}"/>
    <cellStyle name="Output 13 3 4 3" xfId="6752" xr:uid="{B67F0478-F374-4527-B1C5-01EA1EE52FEC}"/>
    <cellStyle name="Output 13 3 5" xfId="5603" xr:uid="{4C066CFD-AB9E-4D05-B985-02D2028B1E44}"/>
    <cellStyle name="Output 14 2" xfId="3106" xr:uid="{00000000-0005-0000-0000-0000240E0000}"/>
    <cellStyle name="Output 14 2 2" xfId="4220" xr:uid="{00000000-0005-0000-0000-0000250E0000}"/>
    <cellStyle name="Output 14 2 2 2" xfId="4995" xr:uid="{816A5C86-E7E0-4A1C-BBE7-0599C4B50400}"/>
    <cellStyle name="Output 14 2 2 2 2" xfId="6375" xr:uid="{33E4C071-6BE1-41D3-BFA9-8A0EDFB018A9}"/>
    <cellStyle name="Output 14 2 2 2 3" xfId="7065" xr:uid="{71F9198C-2ABC-409E-BB2E-8C77C0EA9C92}"/>
    <cellStyle name="Output 14 2 2 3" xfId="5304" xr:uid="{8F3907BC-FA54-4600-B450-456210875E69}"/>
    <cellStyle name="Output 14 2 3" xfId="4221" xr:uid="{00000000-0005-0000-0000-0000260E0000}"/>
    <cellStyle name="Output 14 2 3 2" xfId="4996" xr:uid="{6578C84B-2995-4270-91EF-89B521083691}"/>
    <cellStyle name="Output 14 2 3 2 2" xfId="6376" xr:uid="{570FC191-2188-49F8-ABC0-C52780A719E0}"/>
    <cellStyle name="Output 14 2 3 2 3" xfId="7066" xr:uid="{3B92F121-B6CC-4E38-8986-2219E8FA5117}"/>
    <cellStyle name="Output 14 2 3 3" xfId="5303" xr:uid="{3A103438-439F-449C-BF17-6DD34730D2EC}"/>
    <cellStyle name="Output 14 2 4" xfId="4683" xr:uid="{F77F4AEB-7D6E-4673-92AA-40AF80E06596}"/>
    <cellStyle name="Output 14 2 4 2" xfId="6063" xr:uid="{7B4C0D9F-AFA0-462E-91E6-B805EDAB8076}"/>
    <cellStyle name="Output 14 2 4 3" xfId="6753" xr:uid="{01AF01B0-184E-4AA4-9320-CAEF91F99BE5}"/>
    <cellStyle name="Output 14 2 5" xfId="5602" xr:uid="{797B41F5-612F-4B4E-8DCA-E81D95576733}"/>
    <cellStyle name="Output 14 3" xfId="3107" xr:uid="{00000000-0005-0000-0000-0000270E0000}"/>
    <cellStyle name="Output 14 3 2" xfId="4222" xr:uid="{00000000-0005-0000-0000-0000280E0000}"/>
    <cellStyle name="Output 14 3 2 2" xfId="4997" xr:uid="{1B4908E0-F3C1-4295-8216-D8F4BFA6F210}"/>
    <cellStyle name="Output 14 3 2 2 2" xfId="6377" xr:uid="{19ED62C9-465F-40C0-A16A-93FCA0C65EA7}"/>
    <cellStyle name="Output 14 3 2 2 3" xfId="7067" xr:uid="{3636EE62-1EC2-44FB-BF90-23B3888589D6}"/>
    <cellStyle name="Output 14 3 2 3" xfId="5302" xr:uid="{813D61FD-0C47-4D20-8CEC-EC345D83D1E5}"/>
    <cellStyle name="Output 14 3 3" xfId="4223" xr:uid="{00000000-0005-0000-0000-0000290E0000}"/>
    <cellStyle name="Output 14 3 3 2" xfId="4998" xr:uid="{E606BEBD-1792-465A-AC4D-8BEFC40218FD}"/>
    <cellStyle name="Output 14 3 3 2 2" xfId="6378" xr:uid="{6B91D28C-F25B-4C13-88BA-1CB8EA2A53C8}"/>
    <cellStyle name="Output 14 3 3 2 3" xfId="7068" xr:uid="{FCEB8E7D-BF6C-4D83-8A03-4B788E795D8E}"/>
    <cellStyle name="Output 14 3 3 3" xfId="5301" xr:uid="{0C704F44-DDB8-4480-9F0B-AA740AEFE0D0}"/>
    <cellStyle name="Output 14 3 4" xfId="4684" xr:uid="{49141EBB-4743-49CA-B957-F9E9BF7CFB36}"/>
    <cellStyle name="Output 14 3 4 2" xfId="6064" xr:uid="{9F06E25D-6E43-494F-8B24-AAF46AA06567}"/>
    <cellStyle name="Output 14 3 4 3" xfId="6754" xr:uid="{2DAB4EB7-BDCF-4CFB-9F16-63A2701E45C1}"/>
    <cellStyle name="Output 14 3 5" xfId="5601" xr:uid="{EEF7B39F-E20D-47A8-B606-870CCC597936}"/>
    <cellStyle name="Output 15" xfId="3108" xr:uid="{00000000-0005-0000-0000-00002A0E0000}"/>
    <cellStyle name="Output 15 10" xfId="4685" xr:uid="{441B7EAB-8263-45F4-8276-DCCC9DF8D92F}"/>
    <cellStyle name="Output 15 10 2" xfId="6065" xr:uid="{A1F408B3-AD63-4E4C-A26B-F0F1A061B013}"/>
    <cellStyle name="Output 15 10 3" xfId="6755" xr:uid="{52CC9FE0-F9F4-49D8-868D-1D053C4A63BF}"/>
    <cellStyle name="Output 15 11" xfId="5600" xr:uid="{F72CFED9-BAA6-4901-9166-4E7A8FE4223A}"/>
    <cellStyle name="Output 15 2" xfId="3109" xr:uid="{00000000-0005-0000-0000-00002B0E0000}"/>
    <cellStyle name="Output 15 2 2" xfId="4224" xr:uid="{00000000-0005-0000-0000-00002C0E0000}"/>
    <cellStyle name="Output 15 2 2 2" xfId="4999" xr:uid="{70323ABF-C052-40B7-B6BE-2DEA6648F002}"/>
    <cellStyle name="Output 15 2 2 2 2" xfId="6379" xr:uid="{1CD4F655-662B-4E45-86F7-4F30B5CE4DCE}"/>
    <cellStyle name="Output 15 2 2 2 3" xfId="7069" xr:uid="{074240E3-7550-478A-8857-ED2D131EDE0C}"/>
    <cellStyle name="Output 15 2 2 3" xfId="5300" xr:uid="{69E14442-2D73-4A70-A168-AF78365949CC}"/>
    <cellStyle name="Output 15 2 3" xfId="4225" xr:uid="{00000000-0005-0000-0000-00002D0E0000}"/>
    <cellStyle name="Output 15 2 3 2" xfId="5000" xr:uid="{074A17A4-40EC-4631-BBFF-A0550795F212}"/>
    <cellStyle name="Output 15 2 3 2 2" xfId="6380" xr:uid="{BF55AF8E-B5C5-437E-AD2E-C844D1C681BD}"/>
    <cellStyle name="Output 15 2 3 2 3" xfId="7070" xr:uid="{112120FA-BFF2-4A30-9D9B-B723193F0B76}"/>
    <cellStyle name="Output 15 2 3 3" xfId="5299" xr:uid="{BD99B60A-2B8A-41EE-8953-793B8EBC2DA5}"/>
    <cellStyle name="Output 15 2 4" xfId="4686" xr:uid="{9003A32A-B302-48EF-A18F-1D27C04AF7AF}"/>
    <cellStyle name="Output 15 2 4 2" xfId="6066" xr:uid="{0DA113D4-D763-4E97-A213-4C38788E3893}"/>
    <cellStyle name="Output 15 2 4 3" xfId="6756" xr:uid="{B096EBB9-BBAB-4DD8-8F87-E5B83498DCB6}"/>
    <cellStyle name="Output 15 2 5" xfId="5599" xr:uid="{BCF91616-3ACB-4E88-86C3-ED44D8024895}"/>
    <cellStyle name="Output 15 3" xfId="3110" xr:uid="{00000000-0005-0000-0000-00002E0E0000}"/>
    <cellStyle name="Output 15 3 2" xfId="4226" xr:uid="{00000000-0005-0000-0000-00002F0E0000}"/>
    <cellStyle name="Output 15 3 2 2" xfId="5001" xr:uid="{7C06FDE6-A031-4442-993D-F0C82DBEC08C}"/>
    <cellStyle name="Output 15 3 2 2 2" xfId="6381" xr:uid="{D0CD515B-7E32-46CC-9936-F7866AE678C9}"/>
    <cellStyle name="Output 15 3 2 2 3" xfId="7071" xr:uid="{BAF3821D-DA1E-44A6-9B6C-C7D3E93023BC}"/>
    <cellStyle name="Output 15 3 2 3" xfId="5298" xr:uid="{E7476FB6-D56D-42B4-A934-EFF4F74AEBA2}"/>
    <cellStyle name="Output 15 3 3" xfId="4227" xr:uid="{00000000-0005-0000-0000-0000300E0000}"/>
    <cellStyle name="Output 15 3 3 2" xfId="5002" xr:uid="{64B60F66-77D1-434F-AFC2-0838D9FBA8C9}"/>
    <cellStyle name="Output 15 3 3 2 2" xfId="6382" xr:uid="{0E1553E6-AD0E-4186-9E01-766AB711A8AF}"/>
    <cellStyle name="Output 15 3 3 2 3" xfId="7072" xr:uid="{84D9D875-99ED-44F1-85EF-9B909EC6E669}"/>
    <cellStyle name="Output 15 3 3 3" xfId="5297" xr:uid="{4DE9B988-0D42-461A-84D1-7668F73F9049}"/>
    <cellStyle name="Output 15 3 4" xfId="4687" xr:uid="{5F4C0133-1DDB-431A-8FA9-352AE71DDEBE}"/>
    <cellStyle name="Output 15 3 4 2" xfId="6067" xr:uid="{438A5AEA-8F9A-4F56-846D-5629F0E1349F}"/>
    <cellStyle name="Output 15 3 4 3" xfId="6757" xr:uid="{DD601EBD-F017-4BE0-A161-DC1AE66108EE}"/>
    <cellStyle name="Output 15 3 5" xfId="5598" xr:uid="{4306B066-E59A-46BA-9EE9-E65449586DA8}"/>
    <cellStyle name="Output 15 4" xfId="3111" xr:uid="{00000000-0005-0000-0000-0000310E0000}"/>
    <cellStyle name="Output 15 4 2" xfId="4228" xr:uid="{00000000-0005-0000-0000-0000320E0000}"/>
    <cellStyle name="Output 15 4 2 2" xfId="5003" xr:uid="{869FF5D6-BD94-40E7-9E9C-9C2A8A34F210}"/>
    <cellStyle name="Output 15 4 2 2 2" xfId="6383" xr:uid="{14189554-B763-4E33-9FEB-2A26FD8CD3E9}"/>
    <cellStyle name="Output 15 4 2 2 3" xfId="7073" xr:uid="{A7D869BD-46D9-4339-8C30-4583140EB809}"/>
    <cellStyle name="Output 15 4 2 3" xfId="5296" xr:uid="{427DB5AE-F516-4D12-B880-EA6A93094263}"/>
    <cellStyle name="Output 15 4 3" xfId="4229" xr:uid="{00000000-0005-0000-0000-0000330E0000}"/>
    <cellStyle name="Output 15 4 3 2" xfId="5004" xr:uid="{66EB9605-DFA2-4529-A909-B6C92D1A9259}"/>
    <cellStyle name="Output 15 4 3 2 2" xfId="6384" xr:uid="{CC5FEE35-FF0B-4B4F-AA5F-ABA97B5AB447}"/>
    <cellStyle name="Output 15 4 3 2 3" xfId="7074" xr:uid="{86966D72-1B67-4BDD-B875-91854E74E207}"/>
    <cellStyle name="Output 15 4 3 3" xfId="5295" xr:uid="{A9AB9894-4916-4E3A-89F5-789654C28923}"/>
    <cellStyle name="Output 15 4 4" xfId="4688" xr:uid="{3F477104-CD4D-4A19-8710-35C2B1F262B2}"/>
    <cellStyle name="Output 15 4 4 2" xfId="6068" xr:uid="{ADF78EF3-87D5-4EF1-A5A9-1B1ECC333B5A}"/>
    <cellStyle name="Output 15 4 4 3" xfId="6758" xr:uid="{9D43A618-A7AB-44E4-A54A-87AC472284A1}"/>
    <cellStyle name="Output 15 4 5" xfId="5597" xr:uid="{3869850F-8FF5-4F58-9904-EE7B59650297}"/>
    <cellStyle name="Output 15 5" xfId="3112" xr:uid="{00000000-0005-0000-0000-0000340E0000}"/>
    <cellStyle name="Output 15 5 2" xfId="4230" xr:uid="{00000000-0005-0000-0000-0000350E0000}"/>
    <cellStyle name="Output 15 5 2 2" xfId="5005" xr:uid="{F1F1282A-C931-4489-A97D-3D94C90F318F}"/>
    <cellStyle name="Output 15 5 2 2 2" xfId="6385" xr:uid="{C0B11C38-61E4-4541-B603-290294E77DAE}"/>
    <cellStyle name="Output 15 5 2 2 3" xfId="7075" xr:uid="{D1533BA8-3CD3-4F10-83D6-21CF3737F2E5}"/>
    <cellStyle name="Output 15 5 2 3" xfId="5294" xr:uid="{0DEBE5EF-3491-4C67-80DA-9F64B19BAFC7}"/>
    <cellStyle name="Output 15 5 3" xfId="4231" xr:uid="{00000000-0005-0000-0000-0000360E0000}"/>
    <cellStyle name="Output 15 5 3 2" xfId="5006" xr:uid="{107695FE-AD00-4E2C-BE72-C92A5C5B848D}"/>
    <cellStyle name="Output 15 5 3 2 2" xfId="6386" xr:uid="{0799D800-D0BE-402D-8C68-D7D686A42810}"/>
    <cellStyle name="Output 15 5 3 2 3" xfId="7076" xr:uid="{B76A91E3-7D36-4134-A5C4-DE4620F4B08C}"/>
    <cellStyle name="Output 15 5 3 3" xfId="5293" xr:uid="{90C3BC71-D181-428E-8142-7BBC22592CE5}"/>
    <cellStyle name="Output 15 5 4" xfId="4689" xr:uid="{511E9F31-41DA-4826-AD54-8617B9BAF6C9}"/>
    <cellStyle name="Output 15 5 4 2" xfId="6069" xr:uid="{F38DFF2A-B36B-4C1A-A95C-DE995FA4A3E4}"/>
    <cellStyle name="Output 15 5 4 3" xfId="6759" xr:uid="{1C281675-80B7-4C16-AA12-5AD1460ADAE4}"/>
    <cellStyle name="Output 15 5 5" xfId="5596" xr:uid="{A500DE06-875D-4CBF-8968-E0A994886B71}"/>
    <cellStyle name="Output 15 6" xfId="3113" xr:uid="{00000000-0005-0000-0000-0000370E0000}"/>
    <cellStyle name="Output 15 6 2" xfId="4232" xr:uid="{00000000-0005-0000-0000-0000380E0000}"/>
    <cellStyle name="Output 15 6 2 2" xfId="5007" xr:uid="{B3650652-A7B1-4B8F-9244-3C1961DF9DCD}"/>
    <cellStyle name="Output 15 6 2 2 2" xfId="6387" xr:uid="{C4D058E9-04CE-4084-9E63-3C8B387AD98D}"/>
    <cellStyle name="Output 15 6 2 2 3" xfId="7077" xr:uid="{1472D8ED-B6C3-423C-BB44-3FC13C64D37D}"/>
    <cellStyle name="Output 15 6 2 3" xfId="5292" xr:uid="{91692AC4-EB6B-4455-9A0C-C551A52D6DCF}"/>
    <cellStyle name="Output 15 6 3" xfId="4233" xr:uid="{00000000-0005-0000-0000-0000390E0000}"/>
    <cellStyle name="Output 15 6 3 2" xfId="5008" xr:uid="{D7AC114E-D0DB-4C26-8E21-DBE30406ED51}"/>
    <cellStyle name="Output 15 6 3 2 2" xfId="6388" xr:uid="{C505AC60-73DE-4C0A-89E6-655661463D42}"/>
    <cellStyle name="Output 15 6 3 2 3" xfId="7078" xr:uid="{D72D60D1-C87A-4DDB-97F9-257D1424FE6E}"/>
    <cellStyle name="Output 15 6 3 3" xfId="5291" xr:uid="{A3C07789-981F-488B-8D82-1BA75B7ACC22}"/>
    <cellStyle name="Output 15 6 4" xfId="4690" xr:uid="{55F4C280-7887-4533-9748-2C40F464ED9C}"/>
    <cellStyle name="Output 15 6 4 2" xfId="6070" xr:uid="{6F77BA1C-F734-4EA4-ACE1-AFC0CA956C64}"/>
    <cellStyle name="Output 15 6 4 3" xfId="6760" xr:uid="{67D98AC4-6BA2-4C64-AB4F-7FA59F053B67}"/>
    <cellStyle name="Output 15 6 5" xfId="5595" xr:uid="{3B12EFD9-6128-43B1-AFBB-A3446E2BEB66}"/>
    <cellStyle name="Output 15 7" xfId="3114" xr:uid="{00000000-0005-0000-0000-00003A0E0000}"/>
    <cellStyle name="Output 15 7 2" xfId="4234" xr:uid="{00000000-0005-0000-0000-00003B0E0000}"/>
    <cellStyle name="Output 15 7 2 2" xfId="5009" xr:uid="{59E4EAC9-0F63-495A-8AAB-15A2A39BB4D8}"/>
    <cellStyle name="Output 15 7 2 2 2" xfId="6389" xr:uid="{6693AD55-E3ED-4D73-BBE4-0F298B434E7E}"/>
    <cellStyle name="Output 15 7 2 2 3" xfId="7079" xr:uid="{885DD376-9711-41E1-BBCB-897060CE7F9A}"/>
    <cellStyle name="Output 15 7 2 3" xfId="5290" xr:uid="{A5B7F637-C47C-405E-BEEC-FB721A4C77A7}"/>
    <cellStyle name="Output 15 7 3" xfId="4235" xr:uid="{00000000-0005-0000-0000-00003C0E0000}"/>
    <cellStyle name="Output 15 7 3 2" xfId="5010" xr:uid="{14A73500-5F00-488D-8923-AF86D99021F6}"/>
    <cellStyle name="Output 15 7 3 2 2" xfId="6390" xr:uid="{AAFBB0F7-E82C-4616-938A-61E9DD236EBB}"/>
    <cellStyle name="Output 15 7 3 2 3" xfId="7080" xr:uid="{054F1C23-8BE0-4F9C-A8A6-41BC342A8EDF}"/>
    <cellStyle name="Output 15 7 3 3" xfId="5289" xr:uid="{4104E724-1513-47EB-BD48-667225045707}"/>
    <cellStyle name="Output 15 7 4" xfId="4691" xr:uid="{9C6376EA-90F6-420F-AE85-98B3FCA5574C}"/>
    <cellStyle name="Output 15 7 4 2" xfId="6071" xr:uid="{01F64CD0-7DDA-450B-A2B5-59DA2838BD2E}"/>
    <cellStyle name="Output 15 7 4 3" xfId="6761" xr:uid="{9DD1E30D-5A54-4526-8108-07102C8DF536}"/>
    <cellStyle name="Output 15 7 5" xfId="5594" xr:uid="{2959C9CF-7DB8-4C6C-AED8-9EEBC515B252}"/>
    <cellStyle name="Output 15 8" xfId="4236" xr:uid="{00000000-0005-0000-0000-00003D0E0000}"/>
    <cellStyle name="Output 15 8 2" xfId="5011" xr:uid="{72860FA3-EAC2-44AD-B39F-00D103371136}"/>
    <cellStyle name="Output 15 8 2 2" xfId="6391" xr:uid="{67C56533-42A2-48F4-A6D5-73E3C50F778F}"/>
    <cellStyle name="Output 15 8 2 3" xfId="7081" xr:uid="{96B81D3E-9C66-4873-A599-425A42F547AA}"/>
    <cellStyle name="Output 15 8 3" xfId="5288" xr:uid="{2C602C69-DD2F-48EA-80F0-D090E55C05BC}"/>
    <cellStyle name="Output 15 9" xfId="4237" xr:uid="{00000000-0005-0000-0000-00003E0E0000}"/>
    <cellStyle name="Output 15 9 2" xfId="5012" xr:uid="{8ED28840-DDCF-467A-8653-65BD4480AFED}"/>
    <cellStyle name="Output 15 9 2 2" xfId="6392" xr:uid="{345FB91B-3725-410F-B0BC-238FC8FB702B}"/>
    <cellStyle name="Output 15 9 2 3" xfId="7082" xr:uid="{A649D1CA-C5AB-4F7D-8E78-DBED611ABBA2}"/>
    <cellStyle name="Output 15 9 3" xfId="5287" xr:uid="{0A599E2F-B838-492A-B35A-24E08F030313}"/>
    <cellStyle name="Output 16" xfId="3115" xr:uid="{00000000-0005-0000-0000-00003F0E0000}"/>
    <cellStyle name="Output 16 2" xfId="4238" xr:uid="{00000000-0005-0000-0000-0000400E0000}"/>
    <cellStyle name="Output 16 2 2" xfId="5013" xr:uid="{E3970476-6A34-4927-A117-5CEEBB546DFC}"/>
    <cellStyle name="Output 16 2 2 2" xfId="6393" xr:uid="{9A1260E6-6093-481D-8BA6-59E1ADE55146}"/>
    <cellStyle name="Output 16 2 2 3" xfId="7083" xr:uid="{E6AA8633-50DD-4CFB-8145-DAF42B738D9A}"/>
    <cellStyle name="Output 16 2 3" xfId="5286" xr:uid="{38FAFBFC-171F-4A63-8DC7-E1F0DA08E975}"/>
    <cellStyle name="Output 16 3" xfId="4239" xr:uid="{00000000-0005-0000-0000-0000410E0000}"/>
    <cellStyle name="Output 16 3 2" xfId="5014" xr:uid="{9D054C26-6032-4751-8A91-89784CA845E5}"/>
    <cellStyle name="Output 16 3 2 2" xfId="6394" xr:uid="{FE6795B8-79FE-411E-8DFA-A3E934BB645B}"/>
    <cellStyle name="Output 16 3 2 3" xfId="7084" xr:uid="{A5EB03B8-6D2D-4FC0-A2DB-1104329B1031}"/>
    <cellStyle name="Output 16 3 3" xfId="5285" xr:uid="{AE080F11-128C-4080-96CA-E0C8003C3C3C}"/>
    <cellStyle name="Output 16 4" xfId="4692" xr:uid="{50D97795-3BEB-4A82-BCD0-97C148802647}"/>
    <cellStyle name="Output 16 4 2" xfId="6072" xr:uid="{2FAF6E47-2A02-43A1-874C-BFBB3441A6A8}"/>
    <cellStyle name="Output 16 4 3" xfId="6762" xr:uid="{B0396B4E-F0DF-4E6D-84B4-015E5C60E2C0}"/>
    <cellStyle name="Output 16 5" xfId="5593" xr:uid="{4EDC1268-A23D-4CCF-BF42-0D96249786EE}"/>
    <cellStyle name="Output 17" xfId="3116" xr:uid="{00000000-0005-0000-0000-0000420E0000}"/>
    <cellStyle name="Output 17 2" xfId="4240" xr:uid="{00000000-0005-0000-0000-0000430E0000}"/>
    <cellStyle name="Output 17 2 2" xfId="5015" xr:uid="{2DDEE4A9-26BE-4199-9F78-061578E05E9D}"/>
    <cellStyle name="Output 17 2 2 2" xfId="6395" xr:uid="{AA92BD2C-705E-4CAA-B1B1-86C5189FB020}"/>
    <cellStyle name="Output 17 2 2 3" xfId="7085" xr:uid="{80C261D3-D9F4-44E7-B195-51AB1414EE2B}"/>
    <cellStyle name="Output 17 2 3" xfId="5781" xr:uid="{3F6AFCEF-4527-4F64-ADDB-ABF810BBD063}"/>
    <cellStyle name="Output 17 3" xfId="4241" xr:uid="{00000000-0005-0000-0000-0000440E0000}"/>
    <cellStyle name="Output 17 3 2" xfId="5016" xr:uid="{52C0B8F0-4D3A-4C7D-9E53-BC074116BF35}"/>
    <cellStyle name="Output 17 3 2 2" xfId="6396" xr:uid="{0F3538F5-91A9-4D20-A12C-1D32A7021422}"/>
    <cellStyle name="Output 17 3 2 3" xfId="7086" xr:uid="{4E758C8F-281F-4A5B-98CF-277C20E94232}"/>
    <cellStyle name="Output 17 3 3" xfId="5284" xr:uid="{E0DBDA80-E987-48CD-89CB-A323EB3D00A4}"/>
    <cellStyle name="Output 17 4" xfId="4693" xr:uid="{9F3856C9-FBCE-42CA-BCF9-94BA5C64B77D}"/>
    <cellStyle name="Output 17 4 2" xfId="6073" xr:uid="{D2255256-8165-4D13-9F14-64EAD6262CBB}"/>
    <cellStyle name="Output 17 4 3" xfId="6763" xr:uid="{29E8A7FE-0B2F-4EDC-8376-D2D254C2BFE6}"/>
    <cellStyle name="Output 17 5" xfId="5592" xr:uid="{D077BAE6-D9EF-4775-AD73-3FF58626C2BA}"/>
    <cellStyle name="Output 18" xfId="3117" xr:uid="{00000000-0005-0000-0000-0000450E0000}"/>
    <cellStyle name="Output 18 2" xfId="4242" xr:uid="{00000000-0005-0000-0000-0000460E0000}"/>
    <cellStyle name="Output 18 2 2" xfId="5017" xr:uid="{B532C6AB-F642-4F46-8382-678E6026C659}"/>
    <cellStyle name="Output 18 2 2 2" xfId="6397" xr:uid="{AF77C83C-526C-43FE-AB8D-A158BC3256A0}"/>
    <cellStyle name="Output 18 2 2 3" xfId="7087" xr:uid="{55E259F7-4F7A-4AE8-9E1A-4E4540087F2A}"/>
    <cellStyle name="Output 18 2 3" xfId="5283" xr:uid="{CCCCEEEA-22EC-4CAC-8C14-ED4DE34936DC}"/>
    <cellStyle name="Output 18 3" xfId="4243" xr:uid="{00000000-0005-0000-0000-0000470E0000}"/>
    <cellStyle name="Output 18 3 2" xfId="5018" xr:uid="{9E8699B4-B1D3-4DB6-96D1-89067BEA39D9}"/>
    <cellStyle name="Output 18 3 2 2" xfId="6398" xr:uid="{54E68DF7-71FA-4256-ACA9-3E993E9E942A}"/>
    <cellStyle name="Output 18 3 2 3" xfId="7088" xr:uid="{4962A8FD-7067-4627-B0B6-9F8D18752012}"/>
    <cellStyle name="Output 18 3 3" xfId="5282" xr:uid="{9A3AB829-5728-4A15-B1B8-DEED537BF5A6}"/>
    <cellStyle name="Output 18 4" xfId="4694" xr:uid="{C4754FE5-A354-47CE-B215-683821A4FEB0}"/>
    <cellStyle name="Output 18 4 2" xfId="6074" xr:uid="{F7529D65-A183-4507-898F-B8ECC60B3353}"/>
    <cellStyle name="Output 18 4 3" xfId="6764" xr:uid="{F3692C39-C8F0-47FC-BA88-0E7F2851EE00}"/>
    <cellStyle name="Output 18 5" xfId="5591" xr:uid="{AE3FAFF8-6634-4C7C-AD9E-4EE689A1005E}"/>
    <cellStyle name="Output 19" xfId="3118" xr:uid="{00000000-0005-0000-0000-0000480E0000}"/>
    <cellStyle name="Output 19 2" xfId="4244" xr:uid="{00000000-0005-0000-0000-0000490E0000}"/>
    <cellStyle name="Output 19 2 2" xfId="5019" xr:uid="{B1CB1A54-EB14-4968-B1F5-11CBDBDBE54C}"/>
    <cellStyle name="Output 19 2 2 2" xfId="6399" xr:uid="{A42004C9-C0E9-43EC-B1F2-9473E165CF52}"/>
    <cellStyle name="Output 19 2 2 3" xfId="7089" xr:uid="{5E9C6148-CC33-4DB5-9634-4898BA1C3FF4}"/>
    <cellStyle name="Output 19 2 3" xfId="5281" xr:uid="{EDFD6B27-AA2E-44B3-B883-8CF2E3E8F7C3}"/>
    <cellStyle name="Output 19 3" xfId="4245" xr:uid="{00000000-0005-0000-0000-00004A0E0000}"/>
    <cellStyle name="Output 19 3 2" xfId="5020" xr:uid="{5218FA78-05F0-4F5C-95AD-13402364AE89}"/>
    <cellStyle name="Output 19 3 2 2" xfId="6400" xr:uid="{1234977A-D044-4948-B08B-C9FC04094456}"/>
    <cellStyle name="Output 19 3 2 3" xfId="7090" xr:uid="{3DFF2885-B131-431D-B6E0-E3009F69FD64}"/>
    <cellStyle name="Output 19 3 3" xfId="5280" xr:uid="{0605791A-B726-4763-B073-D90F5E1A6052}"/>
    <cellStyle name="Output 19 4" xfId="4695" xr:uid="{FAE734A6-7866-41A7-8A20-D99ABDBEB042}"/>
    <cellStyle name="Output 19 4 2" xfId="6075" xr:uid="{D993BF8A-9DE6-441B-9736-8FF0532035E2}"/>
    <cellStyle name="Output 19 4 3" xfId="6765" xr:uid="{5B1A73F1-7CD1-45CA-ACE8-FA17CCA4EE43}"/>
    <cellStyle name="Output 19 5" xfId="5590" xr:uid="{DA17B4BA-C9AA-4EBA-BEBA-A37272EC4BEF}"/>
    <cellStyle name="Output 2" xfId="3119" xr:uid="{00000000-0005-0000-0000-00004B0E0000}"/>
    <cellStyle name="Output 2 2" xfId="3120" xr:uid="{00000000-0005-0000-0000-00004C0E0000}"/>
    <cellStyle name="Output 2 2 2" xfId="4246" xr:uid="{00000000-0005-0000-0000-00004D0E0000}"/>
    <cellStyle name="Output 2 2 2 2" xfId="5021" xr:uid="{7CD76F50-ABC9-42FA-9B26-D57724B7742B}"/>
    <cellStyle name="Output 2 2 2 2 2" xfId="6401" xr:uid="{6790ABE9-EEDC-48C0-8A92-10A502492889}"/>
    <cellStyle name="Output 2 2 2 2 3" xfId="7091" xr:uid="{B8946262-EC85-4E24-BE76-807BE14F1EE3}"/>
    <cellStyle name="Output 2 2 2 3" xfId="5279" xr:uid="{D840A547-FBAC-449E-B114-60BEC42EFDCC}"/>
    <cellStyle name="Output 2 2 3" xfId="4247" xr:uid="{00000000-0005-0000-0000-00004E0E0000}"/>
    <cellStyle name="Output 2 2 3 2" xfId="5022" xr:uid="{CB9F3AEE-D734-418F-8559-254E5627BF4A}"/>
    <cellStyle name="Output 2 2 3 2 2" xfId="6402" xr:uid="{287D4A58-712B-47A7-8319-146C546BFA83}"/>
    <cellStyle name="Output 2 2 3 2 3" xfId="7092" xr:uid="{AA4789E4-FE91-4D00-B3D3-D6AF399948B0}"/>
    <cellStyle name="Output 2 2 3 3" xfId="5278" xr:uid="{045D358E-EAFA-45F5-A714-14D45DB3156D}"/>
    <cellStyle name="Output 2 2 4" xfId="4696" xr:uid="{0C303258-D0CD-4B7B-9BC7-FF276DD21570}"/>
    <cellStyle name="Output 2 2 4 2" xfId="6076" xr:uid="{F656A6E6-8D7A-4E4F-8BF3-629C62607881}"/>
    <cellStyle name="Output 2 2 4 3" xfId="6766" xr:uid="{65A40B4A-6B1B-4630-8DE9-4785D8FB1B7F}"/>
    <cellStyle name="Output 2 2 5" xfId="5589" xr:uid="{A15E92CC-1D78-4AEE-A629-09A7F9538AA1}"/>
    <cellStyle name="Output 2 3" xfId="3121" xr:uid="{00000000-0005-0000-0000-00004F0E0000}"/>
    <cellStyle name="Output 2 3 2" xfId="4248" xr:uid="{00000000-0005-0000-0000-0000500E0000}"/>
    <cellStyle name="Output 2 3 2 2" xfId="5023" xr:uid="{D3C79A0D-A6CC-4749-8290-C09283AE83EF}"/>
    <cellStyle name="Output 2 3 2 2 2" xfId="6403" xr:uid="{02F9D425-0BCD-4DC8-9C88-20ADB1DA3216}"/>
    <cellStyle name="Output 2 3 2 2 3" xfId="7093" xr:uid="{3E04CE26-66AF-4142-A5F5-00A84B1FF32C}"/>
    <cellStyle name="Output 2 3 2 3" xfId="5277" xr:uid="{6B9B98B3-57C1-46E4-98B8-24DE75A5D123}"/>
    <cellStyle name="Output 2 3 3" xfId="4249" xr:uid="{00000000-0005-0000-0000-0000510E0000}"/>
    <cellStyle name="Output 2 3 3 2" xfId="5024" xr:uid="{37E3E668-46E9-4E1C-B8A2-234510D6013F}"/>
    <cellStyle name="Output 2 3 3 2 2" xfId="6404" xr:uid="{51CF99D5-95AA-4063-A7BC-3FDFEF419849}"/>
    <cellStyle name="Output 2 3 3 2 3" xfId="7094" xr:uid="{57EDCF3F-90C6-4488-B953-526717885577}"/>
    <cellStyle name="Output 2 3 3 3" xfId="5276" xr:uid="{963FB027-D28F-4D74-B8B7-5B659FC9C7D5}"/>
    <cellStyle name="Output 2 3 4" xfId="4697" xr:uid="{06D93392-4A17-4162-93F2-CD4C6C664316}"/>
    <cellStyle name="Output 2 3 4 2" xfId="6077" xr:uid="{9B869A66-D791-420F-A2EE-F18A551E0442}"/>
    <cellStyle name="Output 2 3 4 3" xfId="6767" xr:uid="{01A01592-D537-49EC-A663-ED4C551D1FD8}"/>
    <cellStyle name="Output 2 3 5" xfId="5588" xr:uid="{F0B02FF3-9ECA-45C5-ABCF-0DAE9FE0BE32}"/>
    <cellStyle name="Output 2 4" xfId="4250" xr:uid="{00000000-0005-0000-0000-0000520E0000}"/>
    <cellStyle name="Output 2 4 2" xfId="5025" xr:uid="{0BCB360C-3245-43B4-BBAD-310DD6BA1CE0}"/>
    <cellStyle name="Output 2 4 2 2" xfId="6405" xr:uid="{48ACACD9-8619-4D2A-AE87-B7AEB0B34778}"/>
    <cellStyle name="Output 2 4 2 3" xfId="7095" xr:uid="{0C7DA0EE-D9E1-4E39-8E14-562F09E2D2E9}"/>
    <cellStyle name="Output 2 4 3" xfId="5275" xr:uid="{F6225059-EB98-402E-9E4A-DCCAF6E7A79F}"/>
    <cellStyle name="Output 2 5" xfId="4251" xr:uid="{00000000-0005-0000-0000-0000530E0000}"/>
    <cellStyle name="Output 2 5 2" xfId="5026" xr:uid="{47F8F689-36C4-4A70-90B1-EF2CDCD4FAAF}"/>
    <cellStyle name="Output 2 5 2 2" xfId="6406" xr:uid="{054F77A8-44A6-48B8-877D-EB1C11B62D4C}"/>
    <cellStyle name="Output 2 5 2 3" xfId="7096" xr:uid="{963A5FA3-F53D-4858-BF2D-D98BBD47DC15}"/>
    <cellStyle name="Output 2 5 3" xfId="5274" xr:uid="{FA90958D-6BBE-43AA-840C-165947B67477}"/>
    <cellStyle name="Output 2 6" xfId="4252" xr:uid="{00000000-0005-0000-0000-0000540E0000}"/>
    <cellStyle name="Output 20" xfId="3122" xr:uid="{00000000-0005-0000-0000-0000550E0000}"/>
    <cellStyle name="Output 20 2" xfId="4253" xr:uid="{00000000-0005-0000-0000-0000560E0000}"/>
    <cellStyle name="Output 20 2 2" xfId="5027" xr:uid="{D80B5166-F39E-469C-AEAB-D520F42DDB2D}"/>
    <cellStyle name="Output 20 2 2 2" xfId="6407" xr:uid="{C56F69A5-036E-4310-BFA1-C76848D366B6}"/>
    <cellStyle name="Output 20 2 2 3" xfId="7097" xr:uid="{9B6B330F-1A87-4AD3-B123-C6130A66127D}"/>
    <cellStyle name="Output 20 2 3" xfId="5273" xr:uid="{9731D54C-16F7-40BF-838C-0AAE6E4EFCCB}"/>
    <cellStyle name="Output 20 3" xfId="4254" xr:uid="{00000000-0005-0000-0000-0000570E0000}"/>
    <cellStyle name="Output 20 3 2" xfId="5028" xr:uid="{A45104D4-4977-41EF-AC4A-187AC5D9F087}"/>
    <cellStyle name="Output 20 3 2 2" xfId="6408" xr:uid="{37765BE4-7811-45E2-90E1-A4B581D5530E}"/>
    <cellStyle name="Output 20 3 2 3" xfId="7098" xr:uid="{3B3758BF-B1B1-4F4A-A456-85C37DAFA75F}"/>
    <cellStyle name="Output 20 3 3" xfId="5272" xr:uid="{26CFBC1B-2997-4C80-B745-D5D058EAC244}"/>
    <cellStyle name="Output 20 4" xfId="4698" xr:uid="{F41F3718-05A7-463B-A69F-07A733812189}"/>
    <cellStyle name="Output 20 4 2" xfId="6078" xr:uid="{8CB41EB4-D8ED-4A25-8C2A-0D6395A47669}"/>
    <cellStyle name="Output 20 4 3" xfId="6768" xr:uid="{0CA7D40E-0DAA-4D52-A9D7-2BC6131F3996}"/>
    <cellStyle name="Output 20 5" xfId="5587" xr:uid="{5B492206-016C-465B-BBA2-4AC0F032C5FD}"/>
    <cellStyle name="Output 21" xfId="3123" xr:uid="{00000000-0005-0000-0000-0000580E0000}"/>
    <cellStyle name="Output 21 2" xfId="4255" xr:uid="{00000000-0005-0000-0000-0000590E0000}"/>
    <cellStyle name="Output 21 2 2" xfId="5029" xr:uid="{4BABEE71-950B-49E4-A583-75C2C17DA46B}"/>
    <cellStyle name="Output 21 2 2 2" xfId="6409" xr:uid="{484597AD-33E3-4009-9A06-7A6421D71725}"/>
    <cellStyle name="Output 21 2 2 3" xfId="7099" xr:uid="{A145A41F-5190-4826-8891-4059CA16E5A3}"/>
    <cellStyle name="Output 21 2 3" xfId="5271" xr:uid="{434F7240-9DF0-4DDF-89F5-134F100089CB}"/>
    <cellStyle name="Output 21 3" xfId="4256" xr:uid="{00000000-0005-0000-0000-00005A0E0000}"/>
    <cellStyle name="Output 21 3 2" xfId="5030" xr:uid="{B9FB1E0F-7C02-4AF0-9343-64442795B75C}"/>
    <cellStyle name="Output 21 3 2 2" xfId="6410" xr:uid="{9ECF6D15-7056-40B6-8BBB-0CD5FDC4E4C5}"/>
    <cellStyle name="Output 21 3 2 3" xfId="7100" xr:uid="{3F8DD3CE-78E0-43EC-B1D7-111B77BDE23A}"/>
    <cellStyle name="Output 21 3 3" xfId="5270" xr:uid="{7C5CD291-E32F-48EE-A648-8DC0D8BC05E5}"/>
    <cellStyle name="Output 21 4" xfId="4699" xr:uid="{C288490E-BEA5-431D-992B-91B6C95FA2EB}"/>
    <cellStyle name="Output 21 4 2" xfId="6079" xr:uid="{B78FB02F-0BF9-45E7-83B8-F053F4CCCDED}"/>
    <cellStyle name="Output 21 4 3" xfId="6769" xr:uid="{583B21E4-A67B-4D44-AF11-99FE6B3ADE2F}"/>
    <cellStyle name="Output 21 5" xfId="5586" xr:uid="{29691C7A-02BA-43EE-8720-B23EC0E9FD50}"/>
    <cellStyle name="Output 22" xfId="3124" xr:uid="{00000000-0005-0000-0000-00005B0E0000}"/>
    <cellStyle name="Output 22 2" xfId="4257" xr:uid="{00000000-0005-0000-0000-00005C0E0000}"/>
    <cellStyle name="Output 22 2 2" xfId="5031" xr:uid="{E787B8BD-335C-44ED-AFE8-B4903AFD8DC4}"/>
    <cellStyle name="Output 22 2 2 2" xfId="6411" xr:uid="{3C4E0EAD-BA24-4ABF-BA1E-B1D4E84ECAD0}"/>
    <cellStyle name="Output 22 2 2 3" xfId="7101" xr:uid="{5AF12AAA-8D93-4C7E-AC7D-5C8D545F8BBF}"/>
    <cellStyle name="Output 22 2 3" xfId="5269" xr:uid="{E9ACE58D-3490-4D86-81F5-2DAF317EA9AC}"/>
    <cellStyle name="Output 22 3" xfId="4258" xr:uid="{00000000-0005-0000-0000-00005D0E0000}"/>
    <cellStyle name="Output 22 3 2" xfId="5032" xr:uid="{944E3872-D099-4F31-AEA8-57D9640E6D6C}"/>
    <cellStyle name="Output 22 3 2 2" xfId="6412" xr:uid="{E1A8E0B6-E44A-4D56-9037-D7F9699779E0}"/>
    <cellStyle name="Output 22 3 2 3" xfId="7102" xr:uid="{B2D1530F-C5EC-48E2-A243-E36B63D5818C}"/>
    <cellStyle name="Output 22 3 3" xfId="5268" xr:uid="{CE514A5F-8816-46AE-95DE-6B7E0294A51A}"/>
    <cellStyle name="Output 22 4" xfId="4700" xr:uid="{0F67FA6F-9E06-4C0F-A16F-0EFCAFD4EDF1}"/>
    <cellStyle name="Output 22 4 2" xfId="6080" xr:uid="{2D301FC5-B226-4F2B-83BD-DDCD0E0B41E2}"/>
    <cellStyle name="Output 22 4 3" xfId="6770" xr:uid="{F7AB7D69-2A24-427F-8228-316A1B4984F0}"/>
    <cellStyle name="Output 22 5" xfId="5585" xr:uid="{57A95D6E-E963-4EEF-A730-B58044437433}"/>
    <cellStyle name="Output 3" xfId="3125" xr:uid="{00000000-0005-0000-0000-00005E0E0000}"/>
    <cellStyle name="Output 3 2" xfId="3126" xr:uid="{00000000-0005-0000-0000-00005F0E0000}"/>
    <cellStyle name="Output 3 2 2" xfId="4259" xr:uid="{00000000-0005-0000-0000-0000600E0000}"/>
    <cellStyle name="Output 3 2 2 2" xfId="5033" xr:uid="{AE027077-C20B-4C1D-B0AE-7D5E8931BF24}"/>
    <cellStyle name="Output 3 2 2 2 2" xfId="6413" xr:uid="{EFAE12AC-F6FC-4E1E-829D-DF29027B67CE}"/>
    <cellStyle name="Output 3 2 2 2 3" xfId="7103" xr:uid="{0BCB97D1-9E26-4651-BF95-60CF34ABB65F}"/>
    <cellStyle name="Output 3 2 2 3" xfId="5267" xr:uid="{DCCD856D-60D3-4C85-8A47-812D4131B4DB}"/>
    <cellStyle name="Output 3 2 3" xfId="4260" xr:uid="{00000000-0005-0000-0000-0000610E0000}"/>
    <cellStyle name="Output 3 2 3 2" xfId="5034" xr:uid="{53BEA846-D74D-469C-AA0A-D9061E738659}"/>
    <cellStyle name="Output 3 2 3 2 2" xfId="6414" xr:uid="{FA356D3B-FF07-4C31-8B6B-8977F2042C57}"/>
    <cellStyle name="Output 3 2 3 2 3" xfId="7104" xr:uid="{3ED989F4-7777-4A30-922F-81CAF68C21D3}"/>
    <cellStyle name="Output 3 2 3 3" xfId="5266" xr:uid="{B7C8CEC8-5D9C-4108-BAA5-2EA6995EC2F2}"/>
    <cellStyle name="Output 3 2 4" xfId="4701" xr:uid="{058FA9E1-EA95-4424-B841-8703F7EAFE19}"/>
    <cellStyle name="Output 3 2 4 2" xfId="6081" xr:uid="{FC614870-A42C-44FD-B32C-04A8B473C201}"/>
    <cellStyle name="Output 3 2 4 3" xfId="6771" xr:uid="{8B1A82B3-D438-4985-AB51-28D04B462206}"/>
    <cellStyle name="Output 3 2 5" xfId="5584" xr:uid="{576C630C-7E4B-4384-BB8B-8DE59AFFC745}"/>
    <cellStyle name="Output 3 3" xfId="3127" xr:uid="{00000000-0005-0000-0000-0000620E0000}"/>
    <cellStyle name="Output 3 3 2" xfId="4261" xr:uid="{00000000-0005-0000-0000-0000630E0000}"/>
    <cellStyle name="Output 3 3 2 2" xfId="5035" xr:uid="{C30A8A34-D9F5-41B1-889F-891D2DA7CB0C}"/>
    <cellStyle name="Output 3 3 2 2 2" xfId="6415" xr:uid="{78719BA9-63A4-49BD-B356-EC3D7F801919}"/>
    <cellStyle name="Output 3 3 2 2 3" xfId="7105" xr:uid="{92336815-57E2-4537-825D-C53786B52B3D}"/>
    <cellStyle name="Output 3 3 2 3" xfId="5265" xr:uid="{AA9C179D-0D37-4CED-A943-F588DFA6E0A2}"/>
    <cellStyle name="Output 3 3 3" xfId="4262" xr:uid="{00000000-0005-0000-0000-0000640E0000}"/>
    <cellStyle name="Output 3 3 3 2" xfId="5036" xr:uid="{D2973942-5D8C-4E79-8034-D2DCC6A72451}"/>
    <cellStyle name="Output 3 3 3 2 2" xfId="6416" xr:uid="{BEE4A914-0255-4C10-9EE3-43E07EAB86D1}"/>
    <cellStyle name="Output 3 3 3 2 3" xfId="7106" xr:uid="{3EA0197F-49F5-432F-898C-DF14D9301B10}"/>
    <cellStyle name="Output 3 3 3 3" xfId="5264" xr:uid="{782F41E3-DB49-4598-BBB4-C0A0C8C4B765}"/>
    <cellStyle name="Output 3 3 4" xfId="4702" xr:uid="{DB98C5D1-CACC-45C6-83FC-9DE4275D0053}"/>
    <cellStyle name="Output 3 3 4 2" xfId="6082" xr:uid="{3772DB29-B60B-4953-8BDB-A3050B2CB732}"/>
    <cellStyle name="Output 3 3 4 3" xfId="6772" xr:uid="{526332C7-73EE-4A25-AC3D-BC4722F1108E}"/>
    <cellStyle name="Output 3 3 5" xfId="5583" xr:uid="{B9D15AFB-566C-46BF-8E43-0208993D1B1F}"/>
    <cellStyle name="Output 3 4" xfId="4263" xr:uid="{00000000-0005-0000-0000-0000650E0000}"/>
    <cellStyle name="Output 3 4 2" xfId="5037" xr:uid="{453AC8BA-F38E-4A7A-800F-4E582118A24D}"/>
    <cellStyle name="Output 3 4 2 2" xfId="6417" xr:uid="{0A6BC5F7-74DC-4552-8C54-8A6B8EF7DF54}"/>
    <cellStyle name="Output 3 4 2 3" xfId="7107" xr:uid="{42C03E21-17B0-47D5-A951-9014402C9B01}"/>
    <cellStyle name="Output 3 4 3" xfId="5263" xr:uid="{13663364-F21E-43BE-B5E0-06F099A491D1}"/>
    <cellStyle name="Output 3 5" xfId="4264" xr:uid="{00000000-0005-0000-0000-0000660E0000}"/>
    <cellStyle name="Output 3 5 2" xfId="5038" xr:uid="{D47F2FEF-F209-4622-9550-00B832922926}"/>
    <cellStyle name="Output 3 5 2 2" xfId="6418" xr:uid="{016F3ECF-4174-4915-AF5C-6030F4D7EC03}"/>
    <cellStyle name="Output 3 5 2 3" xfId="7108" xr:uid="{1A051084-ADF3-476F-9AA3-FE6A61459D27}"/>
    <cellStyle name="Output 3 5 3" xfId="5262" xr:uid="{61A006BF-D035-4E27-8DB9-2D888AF1CBD6}"/>
    <cellStyle name="Output 3 6" xfId="4265" xr:uid="{00000000-0005-0000-0000-0000670E0000}"/>
    <cellStyle name="Output 4" xfId="3128" xr:uid="{00000000-0005-0000-0000-0000680E0000}"/>
    <cellStyle name="Output 4 2" xfId="3129" xr:uid="{00000000-0005-0000-0000-0000690E0000}"/>
    <cellStyle name="Output 4 2 2" xfId="4266" xr:uid="{00000000-0005-0000-0000-00006A0E0000}"/>
    <cellStyle name="Output 4 2 2 2" xfId="5039" xr:uid="{12B5EF62-C665-4410-BB54-906D5FDEAA00}"/>
    <cellStyle name="Output 4 2 2 2 2" xfId="6419" xr:uid="{F097D705-4186-4D60-A731-14FE4FD7E9BC}"/>
    <cellStyle name="Output 4 2 2 2 3" xfId="7109" xr:uid="{7D369033-CA61-4788-A2D6-0CA458F1F3FE}"/>
    <cellStyle name="Output 4 2 2 3" xfId="5261" xr:uid="{FFF80DD4-3E9E-442C-BE44-16A42EE114B0}"/>
    <cellStyle name="Output 4 2 3" xfId="4267" xr:uid="{00000000-0005-0000-0000-00006B0E0000}"/>
    <cellStyle name="Output 4 2 3 2" xfId="5040" xr:uid="{82596B87-51B9-454D-BB9F-4A6D74AAA83C}"/>
    <cellStyle name="Output 4 2 3 2 2" xfId="6420" xr:uid="{E948A422-52B2-4EBA-9BAE-636B85EE491D}"/>
    <cellStyle name="Output 4 2 3 2 3" xfId="7110" xr:uid="{E0860D4D-116B-4EF2-B0B5-CB048D9F95BB}"/>
    <cellStyle name="Output 4 2 3 3" xfId="5260" xr:uid="{64DD3C58-F007-4FAD-BF02-7180810C3FBA}"/>
    <cellStyle name="Output 4 2 4" xfId="4704" xr:uid="{0BDC2C34-D52D-45B2-96A5-47FBA0F23F91}"/>
    <cellStyle name="Output 4 2 4 2" xfId="6084" xr:uid="{D636C8A8-12B0-4BE0-8ABB-3EA8ED1088DC}"/>
    <cellStyle name="Output 4 2 4 3" xfId="6774" xr:uid="{D2AB5D6E-D3EA-452D-B7BA-E9F1C65473CD}"/>
    <cellStyle name="Output 4 2 5" xfId="5581" xr:uid="{2A1247C2-AA41-4EFB-B8EF-46885F3ACBF7}"/>
    <cellStyle name="Output 4 3" xfId="3130" xr:uid="{00000000-0005-0000-0000-00006C0E0000}"/>
    <cellStyle name="Output 4 3 2" xfId="4268" xr:uid="{00000000-0005-0000-0000-00006D0E0000}"/>
    <cellStyle name="Output 4 3 2 2" xfId="5041" xr:uid="{84A60305-D886-4784-B754-D36406968641}"/>
    <cellStyle name="Output 4 3 2 2 2" xfId="6421" xr:uid="{5293C672-5552-404F-8023-BA4C8B6525E8}"/>
    <cellStyle name="Output 4 3 2 2 3" xfId="7111" xr:uid="{5171736E-80CC-47B6-9862-EE796C0D7D9C}"/>
    <cellStyle name="Output 4 3 2 3" xfId="5259" xr:uid="{26B66EC1-470C-42FD-90FC-EB42ABC64E2E}"/>
    <cellStyle name="Output 4 3 3" xfId="4269" xr:uid="{00000000-0005-0000-0000-00006E0E0000}"/>
    <cellStyle name="Output 4 3 3 2" xfId="5042" xr:uid="{FE57E0BF-7FCE-437E-90DC-10A7AF1FE7B9}"/>
    <cellStyle name="Output 4 3 3 2 2" xfId="6422" xr:uid="{097B02FB-C44C-4757-9222-0E9C94770CA7}"/>
    <cellStyle name="Output 4 3 3 2 3" xfId="7112" xr:uid="{4F85AFB1-C56E-44ED-829F-DC4DC792E70B}"/>
    <cellStyle name="Output 4 3 3 3" xfId="5258" xr:uid="{6DBFC599-B839-4791-BB87-12915A0C9565}"/>
    <cellStyle name="Output 4 3 4" xfId="4705" xr:uid="{79B79A67-1255-4D02-86AE-9C55FB3A5765}"/>
    <cellStyle name="Output 4 3 4 2" xfId="6085" xr:uid="{26A10445-21C6-4AF6-86DC-F3669530ADC4}"/>
    <cellStyle name="Output 4 3 4 3" xfId="6775" xr:uid="{26DE0A0B-45BD-4634-8F00-2FE5AFE47BA9}"/>
    <cellStyle name="Output 4 3 5" xfId="5580" xr:uid="{9A93C133-208C-4051-8B1E-09A09B805B65}"/>
    <cellStyle name="Output 4 4" xfId="4270" xr:uid="{00000000-0005-0000-0000-00006F0E0000}"/>
    <cellStyle name="Output 4 4 2" xfId="5043" xr:uid="{6A80A17B-B396-4DE5-B1AE-6BF2DA6EED6C}"/>
    <cellStyle name="Output 4 4 2 2" xfId="6423" xr:uid="{2D4C08E0-09AF-4E2C-9461-E5397EB6AF42}"/>
    <cellStyle name="Output 4 4 2 3" xfId="7113" xr:uid="{507DF04E-DCD8-4FC2-8D7D-05F699C39C46}"/>
    <cellStyle name="Output 4 4 3" xfId="5257" xr:uid="{D25C02C3-5E98-4C6C-A400-F049B96917BB}"/>
    <cellStyle name="Output 4 5" xfId="4271" xr:uid="{00000000-0005-0000-0000-0000700E0000}"/>
    <cellStyle name="Output 4 5 2" xfId="5044" xr:uid="{1B6EDD6F-29EB-4D32-8C9A-F80CA458EEE2}"/>
    <cellStyle name="Output 4 5 2 2" xfId="6424" xr:uid="{8CA86DAA-6375-4F5E-A5D6-5030B681229A}"/>
    <cellStyle name="Output 4 5 2 3" xfId="7114" xr:uid="{CD9BAA26-3F1F-47A8-9DD2-1CFE3B5E7393}"/>
    <cellStyle name="Output 4 5 3" xfId="5256" xr:uid="{334838B5-4CAB-4CB3-BD4B-660F8CECF3BD}"/>
    <cellStyle name="Output 4 6" xfId="4703" xr:uid="{77F0F94F-668F-4242-9E24-9AAF92AA07E2}"/>
    <cellStyle name="Output 4 6 2" xfId="6083" xr:uid="{C4F01053-2836-4C3B-B893-6074F06F9793}"/>
    <cellStyle name="Output 4 6 3" xfId="6773" xr:uid="{73C3D02B-F585-4552-B171-7D47C1463451}"/>
    <cellStyle name="Output 4 7" xfId="5582" xr:uid="{45732612-0601-4B4A-8AD1-0700DA16F0B2}"/>
    <cellStyle name="Output 5 2" xfId="3131" xr:uid="{00000000-0005-0000-0000-0000710E0000}"/>
    <cellStyle name="Output 5 2 2" xfId="4272" xr:uid="{00000000-0005-0000-0000-0000720E0000}"/>
    <cellStyle name="Output 5 2 2 2" xfId="5045" xr:uid="{E599C044-0D6D-460C-9EBF-607CFECD4894}"/>
    <cellStyle name="Output 5 2 2 2 2" xfId="6425" xr:uid="{528E7292-B490-46E9-972C-317B91903BDF}"/>
    <cellStyle name="Output 5 2 2 2 3" xfId="7115" xr:uid="{33E43E8D-1B20-4C81-86E5-7582196277D5}"/>
    <cellStyle name="Output 5 2 2 3" xfId="5255" xr:uid="{C168A38C-7099-48D9-A2A7-D40048E63883}"/>
    <cellStyle name="Output 5 2 3" xfId="4273" xr:uid="{00000000-0005-0000-0000-0000730E0000}"/>
    <cellStyle name="Output 5 2 3 2" xfId="5046" xr:uid="{ADA8284D-E138-4F42-B5ED-8AE23E5F63A3}"/>
    <cellStyle name="Output 5 2 3 2 2" xfId="6426" xr:uid="{4BD1F82E-9115-40BF-BD3E-38D5AC1271A1}"/>
    <cellStyle name="Output 5 2 3 2 3" xfId="7116" xr:uid="{3C261C06-F88F-4D6D-9878-E0EB4DAF9DCE}"/>
    <cellStyle name="Output 5 2 3 3" xfId="5254" xr:uid="{2EBCB07E-018C-4E84-AF30-09C86B860D64}"/>
    <cellStyle name="Output 5 2 4" xfId="4706" xr:uid="{F01BBF9B-0A1C-4446-9E83-EF1B000E6DB0}"/>
    <cellStyle name="Output 5 2 4 2" xfId="6086" xr:uid="{C045F897-9DD5-4145-B131-249DADEF6A9D}"/>
    <cellStyle name="Output 5 2 4 3" xfId="6776" xr:uid="{72CC1301-5F99-4309-BB1D-6D8AB991E4C7}"/>
    <cellStyle name="Output 5 2 5" xfId="5579" xr:uid="{761360FA-6092-47FB-9E9F-C801CE26BA5E}"/>
    <cellStyle name="Output 5 3" xfId="3132" xr:uid="{00000000-0005-0000-0000-0000740E0000}"/>
    <cellStyle name="Output 5 3 2" xfId="4274" xr:uid="{00000000-0005-0000-0000-0000750E0000}"/>
    <cellStyle name="Output 5 3 2 2" xfId="5047" xr:uid="{6B9F9D65-F392-4C06-B971-50A2EE9065A2}"/>
    <cellStyle name="Output 5 3 2 2 2" xfId="6427" xr:uid="{DE8D6ECA-C6BC-440B-90A8-B8879E6AE1FC}"/>
    <cellStyle name="Output 5 3 2 2 3" xfId="7117" xr:uid="{DEB19595-7A2F-438C-BC69-F8BC80BD5D11}"/>
    <cellStyle name="Output 5 3 2 3" xfId="5253" xr:uid="{D33AC370-4D2C-43A5-A37B-149829AA8611}"/>
    <cellStyle name="Output 5 3 3" xfId="4275" xr:uid="{00000000-0005-0000-0000-0000760E0000}"/>
    <cellStyle name="Output 5 3 3 2" xfId="5048" xr:uid="{7A15B304-CA38-4E5D-925E-5EC6AAE0B495}"/>
    <cellStyle name="Output 5 3 3 2 2" xfId="6428" xr:uid="{4B6ABEEE-B7F6-4405-AFA3-1C1B3A36D127}"/>
    <cellStyle name="Output 5 3 3 2 3" xfId="7118" xr:uid="{B6540818-5875-4FF1-8AD4-7B2F439080C8}"/>
    <cellStyle name="Output 5 3 3 3" xfId="5252" xr:uid="{A9061561-44BE-43FB-9770-DE56D098C58E}"/>
    <cellStyle name="Output 5 3 4" xfId="4707" xr:uid="{B19974D7-8B20-4D94-A6DC-3F5A8375392F}"/>
    <cellStyle name="Output 5 3 4 2" xfId="6087" xr:uid="{DD081E78-24C2-41C0-92D0-90EC6D84E336}"/>
    <cellStyle name="Output 5 3 4 3" xfId="6777" xr:uid="{BC83DE13-1ECA-4CE5-BD1E-E463CFECD768}"/>
    <cellStyle name="Output 5 3 5" xfId="5578" xr:uid="{C9F36EFD-5D01-43B4-8688-E5F7AD7C202A}"/>
    <cellStyle name="Output 6 2" xfId="3133" xr:uid="{00000000-0005-0000-0000-0000770E0000}"/>
    <cellStyle name="Output 6 2 2" xfId="4276" xr:uid="{00000000-0005-0000-0000-0000780E0000}"/>
    <cellStyle name="Output 6 2 2 2" xfId="5049" xr:uid="{FA92A0FA-D94E-4F00-821E-0727EBB34B78}"/>
    <cellStyle name="Output 6 2 2 2 2" xfId="6429" xr:uid="{E0287F91-8F51-4C23-8D97-02B469975CFD}"/>
    <cellStyle name="Output 6 2 2 2 3" xfId="7119" xr:uid="{AB25C6DF-6286-449E-8F9D-F19A7425254F}"/>
    <cellStyle name="Output 6 2 2 3" xfId="5251" xr:uid="{085A1B0F-758D-4190-9890-E8B4D4529839}"/>
    <cellStyle name="Output 6 2 3" xfId="4277" xr:uid="{00000000-0005-0000-0000-0000790E0000}"/>
    <cellStyle name="Output 6 2 3 2" xfId="5050" xr:uid="{E1009E0D-907C-48DA-B8B6-CD5F378CDCE1}"/>
    <cellStyle name="Output 6 2 3 2 2" xfId="6430" xr:uid="{D5CF2648-0FA5-4ED9-A72E-A4A424B2CD3D}"/>
    <cellStyle name="Output 6 2 3 2 3" xfId="7120" xr:uid="{2A60C6A1-8A39-44A5-A7FE-5D8ACCCB51E6}"/>
    <cellStyle name="Output 6 2 3 3" xfId="5250" xr:uid="{4022EF58-8B73-4ABB-BC44-0A2826164857}"/>
    <cellStyle name="Output 6 2 4" xfId="4708" xr:uid="{DECE6FC3-6A68-406E-A83E-2F222834EBE5}"/>
    <cellStyle name="Output 6 2 4 2" xfId="6088" xr:uid="{8F1C4ADB-A6D9-4660-B6EE-E1EDE0B6B183}"/>
    <cellStyle name="Output 6 2 4 3" xfId="6778" xr:uid="{2D9CE0AE-DB17-4551-A739-6DDBE6E91471}"/>
    <cellStyle name="Output 6 2 5" xfId="5577" xr:uid="{C33983D5-980D-492A-9EAD-B99A0318E1E8}"/>
    <cellStyle name="Output 6 3" xfId="3134" xr:uid="{00000000-0005-0000-0000-00007A0E0000}"/>
    <cellStyle name="Output 6 3 2" xfId="4278" xr:uid="{00000000-0005-0000-0000-00007B0E0000}"/>
    <cellStyle name="Output 6 3 2 2" xfId="5051" xr:uid="{8CC83D60-751B-45A8-8432-E2F89DF673F7}"/>
    <cellStyle name="Output 6 3 2 2 2" xfId="6431" xr:uid="{13F93C84-13C6-4F67-87CE-4965A7C74049}"/>
    <cellStyle name="Output 6 3 2 2 3" xfId="7121" xr:uid="{EC97EC7A-B552-4F56-AEDE-BF789A6F0847}"/>
    <cellStyle name="Output 6 3 2 3" xfId="5249" xr:uid="{3C301E9D-6BC5-4635-8FD4-5A8232A1ADC3}"/>
    <cellStyle name="Output 6 3 3" xfId="4279" xr:uid="{00000000-0005-0000-0000-00007C0E0000}"/>
    <cellStyle name="Output 6 3 3 2" xfId="5052" xr:uid="{5CD287A9-A046-41B3-8CC8-6473EDC16C3F}"/>
    <cellStyle name="Output 6 3 3 2 2" xfId="6432" xr:uid="{95E5A3B0-C667-45A2-9CAC-32D0E46A1386}"/>
    <cellStyle name="Output 6 3 3 2 3" xfId="7122" xr:uid="{0F63B670-0212-4E7C-8451-C10F53E03A6F}"/>
    <cellStyle name="Output 6 3 3 3" xfId="5248" xr:uid="{0B0F272C-38BE-40A4-9A34-301722950FCC}"/>
    <cellStyle name="Output 6 3 4" xfId="4709" xr:uid="{B3282F6C-21FF-4089-B73F-EAEE563F2245}"/>
    <cellStyle name="Output 6 3 4 2" xfId="6089" xr:uid="{6B2D9B13-C59E-4AD4-B584-01CA89144E55}"/>
    <cellStyle name="Output 6 3 4 3" xfId="6779" xr:uid="{1C3E62C2-6070-4D13-958A-146EE46BDF9C}"/>
    <cellStyle name="Output 6 3 5" xfId="5576" xr:uid="{E0B9CD98-A759-441A-8C0C-8EF995938EFA}"/>
    <cellStyle name="Output 7 2" xfId="3135" xr:uid="{00000000-0005-0000-0000-00007D0E0000}"/>
    <cellStyle name="Output 7 2 2" xfId="4280" xr:uid="{00000000-0005-0000-0000-00007E0E0000}"/>
    <cellStyle name="Output 7 2 2 2" xfId="5053" xr:uid="{EE03B08B-DAFE-4EB7-BCCA-11B4B60510F0}"/>
    <cellStyle name="Output 7 2 2 2 2" xfId="6433" xr:uid="{9E100097-B884-449E-8644-C2F3F2F47013}"/>
    <cellStyle name="Output 7 2 2 2 3" xfId="7123" xr:uid="{BA7BD4F2-FF9B-4FC7-8F9A-744E99A23850}"/>
    <cellStyle name="Output 7 2 2 3" xfId="5247" xr:uid="{CE6F23A1-22BD-45A9-9D7E-A84CA0C3D419}"/>
    <cellStyle name="Output 7 2 3" xfId="4281" xr:uid="{00000000-0005-0000-0000-00007F0E0000}"/>
    <cellStyle name="Output 7 2 3 2" xfId="5054" xr:uid="{077D470A-956A-4119-AA8C-4E18C310A4D0}"/>
    <cellStyle name="Output 7 2 3 2 2" xfId="6434" xr:uid="{083E1C98-7A35-4EFD-AF1B-8ECB1BFF667D}"/>
    <cellStyle name="Output 7 2 3 2 3" xfId="7124" xr:uid="{90AFD594-CE55-4A0B-AB42-DB5402ECB93C}"/>
    <cellStyle name="Output 7 2 3 3" xfId="5246" xr:uid="{ADD9F9BC-B1F8-4D67-86D6-E2E780B0EF71}"/>
    <cellStyle name="Output 7 2 4" xfId="4710" xr:uid="{FFA60E75-2210-4C26-99E9-1683AB2BD769}"/>
    <cellStyle name="Output 7 2 4 2" xfId="6090" xr:uid="{1FB86C35-5C31-44B3-9F51-6874B567785A}"/>
    <cellStyle name="Output 7 2 4 3" xfId="6780" xr:uid="{FA30D10E-8752-4D1B-89A4-BD95DD0D7797}"/>
    <cellStyle name="Output 7 2 5" xfId="5575" xr:uid="{B65A305B-C5E3-4854-BD86-6968B592B861}"/>
    <cellStyle name="Output 7 3" xfId="3136" xr:uid="{00000000-0005-0000-0000-0000800E0000}"/>
    <cellStyle name="Output 7 3 2" xfId="4282" xr:uid="{00000000-0005-0000-0000-0000810E0000}"/>
    <cellStyle name="Output 7 3 2 2" xfId="5055" xr:uid="{9DCD73D5-9C4B-48DA-993B-6B2D3A5B7B83}"/>
    <cellStyle name="Output 7 3 2 2 2" xfId="6435" xr:uid="{B8AD9AD1-2B51-4507-B286-094A61BAC777}"/>
    <cellStyle name="Output 7 3 2 2 3" xfId="7125" xr:uid="{EA9EB487-76F3-4967-9B88-F48993008A4B}"/>
    <cellStyle name="Output 7 3 2 3" xfId="5245" xr:uid="{EC7E4550-0602-4E93-B1BC-6E6E8FEC2BE5}"/>
    <cellStyle name="Output 7 3 3" xfId="4283" xr:uid="{00000000-0005-0000-0000-0000820E0000}"/>
    <cellStyle name="Output 7 3 3 2" xfId="5056" xr:uid="{A2C961C8-4F34-4C8B-AE64-86E0FDA21CB3}"/>
    <cellStyle name="Output 7 3 3 2 2" xfId="6436" xr:uid="{0F2976B6-8E24-42F5-9040-933969DDB82F}"/>
    <cellStyle name="Output 7 3 3 2 3" xfId="7126" xr:uid="{6A312A34-19D3-4A89-9344-F335122CE6A9}"/>
    <cellStyle name="Output 7 3 3 3" xfId="5244" xr:uid="{217460A0-0CFB-481A-81FC-CD23F621E78B}"/>
    <cellStyle name="Output 7 3 4" xfId="4711" xr:uid="{79E05244-2C4A-4BAA-8B5E-8ADD61FD6185}"/>
    <cellStyle name="Output 7 3 4 2" xfId="6091" xr:uid="{B9DCBC3E-ED94-48A7-9BE9-810220CF30FE}"/>
    <cellStyle name="Output 7 3 4 3" xfId="6781" xr:uid="{1517D690-B17C-4555-A5B2-D798E37601B8}"/>
    <cellStyle name="Output 7 3 5" xfId="5574" xr:uid="{3525EBA2-5DA5-476B-98C5-326761F26BF4}"/>
    <cellStyle name="Output 8 2" xfId="3137" xr:uid="{00000000-0005-0000-0000-0000830E0000}"/>
    <cellStyle name="Output 8 2 2" xfId="4284" xr:uid="{00000000-0005-0000-0000-0000840E0000}"/>
    <cellStyle name="Output 8 2 2 2" xfId="5057" xr:uid="{CD9B5C2F-FDC2-4DE6-8D8A-47211C830569}"/>
    <cellStyle name="Output 8 2 2 2 2" xfId="6437" xr:uid="{6B4903DC-1A00-46A9-91EC-36B955B62E3E}"/>
    <cellStyle name="Output 8 2 2 2 3" xfId="7127" xr:uid="{E688D616-CCF9-4116-9E6C-A9012371AB98}"/>
    <cellStyle name="Output 8 2 2 3" xfId="5243" xr:uid="{E0DBA2E2-E744-4796-9990-C073FC9D8C0F}"/>
    <cellStyle name="Output 8 2 3" xfId="4285" xr:uid="{00000000-0005-0000-0000-0000850E0000}"/>
    <cellStyle name="Output 8 2 3 2" xfId="5058" xr:uid="{94DFC7D4-02A3-4EC9-A1CD-C30F2FE65389}"/>
    <cellStyle name="Output 8 2 3 2 2" xfId="6438" xr:uid="{E6D21C10-BDC1-4293-A4DC-21757EDB973F}"/>
    <cellStyle name="Output 8 2 3 2 3" xfId="7128" xr:uid="{FD50F130-CD15-4EED-97C4-50C330267009}"/>
    <cellStyle name="Output 8 2 3 3" xfId="5242" xr:uid="{D70A3A98-BFE5-4E2D-A6E4-92FE3E96ADFF}"/>
    <cellStyle name="Output 8 2 4" xfId="4712" xr:uid="{76C94F66-84AA-4FBA-9DDE-A256784A6AD2}"/>
    <cellStyle name="Output 8 2 4 2" xfId="6092" xr:uid="{4B66B643-F089-4127-9EC5-5391EE8BC976}"/>
    <cellStyle name="Output 8 2 4 3" xfId="6782" xr:uid="{BBD03599-954E-4BCF-91B7-5F87E94267D0}"/>
    <cellStyle name="Output 8 2 5" xfId="5573" xr:uid="{85C63B7E-C1CC-4887-8D37-D6DCCA35CF40}"/>
    <cellStyle name="Output 8 3" xfId="3138" xr:uid="{00000000-0005-0000-0000-0000860E0000}"/>
    <cellStyle name="Output 8 3 2" xfId="4286" xr:uid="{00000000-0005-0000-0000-0000870E0000}"/>
    <cellStyle name="Output 8 3 2 2" xfId="5059" xr:uid="{E2D720FA-1C4E-4DDF-ABB0-BFFDA4F17134}"/>
    <cellStyle name="Output 8 3 2 2 2" xfId="6439" xr:uid="{A789F301-4DCE-4373-A22C-EEFE69A73635}"/>
    <cellStyle name="Output 8 3 2 2 3" xfId="7129" xr:uid="{7E4FF559-5146-405E-BB28-DC012A544E4F}"/>
    <cellStyle name="Output 8 3 2 3" xfId="5241" xr:uid="{FC887442-FA08-40AA-82AD-C9D00B026525}"/>
    <cellStyle name="Output 8 3 3" xfId="4287" xr:uid="{00000000-0005-0000-0000-0000880E0000}"/>
    <cellStyle name="Output 8 3 3 2" xfId="5060" xr:uid="{C930E29A-BD48-41E6-87D9-D04330F058D6}"/>
    <cellStyle name="Output 8 3 3 2 2" xfId="6440" xr:uid="{82ECD887-1DD0-41DC-B4A6-A162EB2AA37F}"/>
    <cellStyle name="Output 8 3 3 2 3" xfId="7130" xr:uid="{42E4F7A5-E584-447A-A559-CD5E091DE33E}"/>
    <cellStyle name="Output 8 3 3 3" xfId="5780" xr:uid="{54D7EB2E-D073-43BA-9183-E53C3B8AFD6C}"/>
    <cellStyle name="Output 8 3 4" xfId="4713" xr:uid="{4A4321C8-2B4E-4190-82E4-8C94BA46AECF}"/>
    <cellStyle name="Output 8 3 4 2" xfId="6093" xr:uid="{B0A47EC4-DF95-4CC6-8F99-103234671A8F}"/>
    <cellStyle name="Output 8 3 4 3" xfId="6783" xr:uid="{9410C9E5-4ADC-4C60-94B3-1A568BC09BC4}"/>
    <cellStyle name="Output 8 3 5" xfId="5572" xr:uid="{2D5D0D57-7BC9-4AB5-8F9F-1DE14C881F71}"/>
    <cellStyle name="Output 9 2" xfId="3139" xr:uid="{00000000-0005-0000-0000-0000890E0000}"/>
    <cellStyle name="Output 9 2 2" xfId="4288" xr:uid="{00000000-0005-0000-0000-00008A0E0000}"/>
    <cellStyle name="Output 9 2 2 2" xfId="5061" xr:uid="{1B157C41-BB97-4ABA-B440-73717EEEB9E0}"/>
    <cellStyle name="Output 9 2 2 2 2" xfId="6441" xr:uid="{A11CF207-EEA8-4C44-A575-59BFA973E635}"/>
    <cellStyle name="Output 9 2 2 2 3" xfId="7131" xr:uid="{DD9272D6-2645-45AC-96DA-07AF53B1CEF7}"/>
    <cellStyle name="Output 9 2 2 3" xfId="5240" xr:uid="{67348A06-44FD-4BE4-B7E6-157519CD9805}"/>
    <cellStyle name="Output 9 2 3" xfId="4289" xr:uid="{00000000-0005-0000-0000-00008B0E0000}"/>
    <cellStyle name="Output 9 2 3 2" xfId="5062" xr:uid="{DDCB8D03-3477-4E27-9CEA-842A5A48B746}"/>
    <cellStyle name="Output 9 2 3 2 2" xfId="6442" xr:uid="{CD303C19-5299-4AFB-8DB4-8379B66435EB}"/>
    <cellStyle name="Output 9 2 3 2 3" xfId="7132" xr:uid="{6454EB43-EDFE-4543-BCBB-2AD04320D76D}"/>
    <cellStyle name="Output 9 2 3 3" xfId="5239" xr:uid="{209AE0E8-8AE2-457F-ABC9-A40D7680D576}"/>
    <cellStyle name="Output 9 2 4" xfId="4714" xr:uid="{9D9B1C49-7C17-4652-BE16-3F7CC7891AFA}"/>
    <cellStyle name="Output 9 2 4 2" xfId="6094" xr:uid="{DB3D663E-9B4A-4BAC-AEB9-9D18F8906314}"/>
    <cellStyle name="Output 9 2 4 3" xfId="6784" xr:uid="{FB18BA27-CDA9-4E2F-BF89-D266072D00AE}"/>
    <cellStyle name="Output 9 2 5" xfId="5571" xr:uid="{4C8BE8FA-ECF8-49B4-ADF1-DBD6BF32B273}"/>
    <cellStyle name="Output 9 3" xfId="3140" xr:uid="{00000000-0005-0000-0000-00008C0E0000}"/>
    <cellStyle name="Output 9 3 2" xfId="4290" xr:uid="{00000000-0005-0000-0000-00008D0E0000}"/>
    <cellStyle name="Output 9 3 2 2" xfId="5063" xr:uid="{F7F1A88E-F057-4682-9F59-7108E6A03FA3}"/>
    <cellStyle name="Output 9 3 2 2 2" xfId="6443" xr:uid="{471A228A-11B2-4063-B21D-D8B464127A2A}"/>
    <cellStyle name="Output 9 3 2 2 3" xfId="7133" xr:uid="{A9263157-410C-49EC-BE83-F0BE3B3D3DC2}"/>
    <cellStyle name="Output 9 3 2 3" xfId="5238" xr:uid="{201CF448-4903-419A-96F3-4A424743B486}"/>
    <cellStyle name="Output 9 3 3" xfId="4291" xr:uid="{00000000-0005-0000-0000-00008E0E0000}"/>
    <cellStyle name="Output 9 3 3 2" xfId="5064" xr:uid="{C732E17C-FEEA-4D19-BA4F-1DD9458DECDD}"/>
    <cellStyle name="Output 9 3 3 2 2" xfId="6444" xr:uid="{54C4D066-9D4B-4E11-B8F3-155EC8846DF4}"/>
    <cellStyle name="Output 9 3 3 2 3" xfId="7134" xr:uid="{A03076CA-38F4-497F-835A-00E9F19D9CCC}"/>
    <cellStyle name="Output 9 3 3 3" xfId="5237" xr:uid="{9624D79F-E1D1-496D-8E14-3DD40A6C150F}"/>
    <cellStyle name="Output 9 3 4" xfId="4715" xr:uid="{A97021A4-171B-4063-A1DE-3C5BE701F5D1}"/>
    <cellStyle name="Output 9 3 4 2" xfId="6095" xr:uid="{5C90D807-05B7-4946-8343-6DE095C08764}"/>
    <cellStyle name="Output 9 3 4 3" xfId="6785" xr:uid="{3EDB1C50-B25D-4519-8410-3C05985FE8F1}"/>
    <cellStyle name="Output 9 3 5" xfId="5570" xr:uid="{345FD1EA-5EC6-4A11-9865-5F2C568E34FE}"/>
    <cellStyle name="Percent" xfId="4416" builtinId="5"/>
    <cellStyle name="Percent - 0%" xfId="4292" xr:uid="{00000000-0005-0000-0000-0000900E0000}"/>
    <cellStyle name="Percent - 0.0%" xfId="4293" xr:uid="{00000000-0005-0000-0000-0000910E0000}"/>
    <cellStyle name="Percent [0.0%]" xfId="4294" xr:uid="{00000000-0005-0000-0000-0000920E0000}"/>
    <cellStyle name="Percent [0.00%]" xfId="4295" xr:uid="{00000000-0005-0000-0000-0000930E0000}"/>
    <cellStyle name="Percent 0.0%" xfId="4296" xr:uid="{00000000-0005-0000-0000-0000940E0000}"/>
    <cellStyle name="Percent 10" xfId="3141" xr:uid="{00000000-0005-0000-0000-0000950E0000}"/>
    <cellStyle name="Percent 10 10" xfId="3142" xr:uid="{00000000-0005-0000-0000-0000960E0000}"/>
    <cellStyle name="Percent 10 11" xfId="3143" xr:uid="{00000000-0005-0000-0000-0000970E0000}"/>
    <cellStyle name="Percent 10 2" xfId="3144" xr:uid="{00000000-0005-0000-0000-0000980E0000}"/>
    <cellStyle name="Percent 10 2 2" xfId="3145" xr:uid="{00000000-0005-0000-0000-0000990E0000}"/>
    <cellStyle name="Percent 10 2 3" xfId="3146" xr:uid="{00000000-0005-0000-0000-00009A0E0000}"/>
    <cellStyle name="Percent 10 2 4" xfId="3147" xr:uid="{00000000-0005-0000-0000-00009B0E0000}"/>
    <cellStyle name="Percent 10 2 5" xfId="3148" xr:uid="{00000000-0005-0000-0000-00009C0E0000}"/>
    <cellStyle name="Percent 10 3" xfId="3149" xr:uid="{00000000-0005-0000-0000-00009D0E0000}"/>
    <cellStyle name="Percent 10 4" xfId="3150" xr:uid="{00000000-0005-0000-0000-00009E0E0000}"/>
    <cellStyle name="Percent 10 5" xfId="3151" xr:uid="{00000000-0005-0000-0000-00009F0E0000}"/>
    <cellStyle name="Percent 10 6" xfId="3152" xr:uid="{00000000-0005-0000-0000-0000A00E0000}"/>
    <cellStyle name="Percent 10 7" xfId="3153" xr:uid="{00000000-0005-0000-0000-0000A10E0000}"/>
    <cellStyle name="Percent 10 8" xfId="3154" xr:uid="{00000000-0005-0000-0000-0000A20E0000}"/>
    <cellStyle name="Percent 10 9" xfId="3155" xr:uid="{00000000-0005-0000-0000-0000A30E0000}"/>
    <cellStyle name="Percent 11" xfId="3156" xr:uid="{00000000-0005-0000-0000-0000A40E0000}"/>
    <cellStyle name="Percent 11 2" xfId="3157" xr:uid="{00000000-0005-0000-0000-0000A50E0000}"/>
    <cellStyle name="Percent 12" xfId="3158" xr:uid="{00000000-0005-0000-0000-0000A60E0000}"/>
    <cellStyle name="Percent 12 2" xfId="3159" xr:uid="{00000000-0005-0000-0000-0000A70E0000}"/>
    <cellStyle name="Percent 13" xfId="3160" xr:uid="{00000000-0005-0000-0000-0000A80E0000}"/>
    <cellStyle name="Percent 13 2" xfId="3161" xr:uid="{00000000-0005-0000-0000-0000A90E0000}"/>
    <cellStyle name="Percent 14" xfId="3162" xr:uid="{00000000-0005-0000-0000-0000AA0E0000}"/>
    <cellStyle name="Percent 14 2" xfId="3163" xr:uid="{00000000-0005-0000-0000-0000AB0E0000}"/>
    <cellStyle name="Percent 15" xfId="3164" xr:uid="{00000000-0005-0000-0000-0000AC0E0000}"/>
    <cellStyle name="Percent 15 2" xfId="3165" xr:uid="{00000000-0005-0000-0000-0000AD0E0000}"/>
    <cellStyle name="Percent 16" xfId="3166" xr:uid="{00000000-0005-0000-0000-0000AE0E0000}"/>
    <cellStyle name="Percent 16 2" xfId="3167" xr:uid="{00000000-0005-0000-0000-0000AF0E0000}"/>
    <cellStyle name="Percent 17" xfId="3168" xr:uid="{00000000-0005-0000-0000-0000B00E0000}"/>
    <cellStyle name="Percent 17 2" xfId="3169" xr:uid="{00000000-0005-0000-0000-0000B10E0000}"/>
    <cellStyle name="Percent 18" xfId="3170" xr:uid="{00000000-0005-0000-0000-0000B20E0000}"/>
    <cellStyle name="Percent 18 2" xfId="3171" xr:uid="{00000000-0005-0000-0000-0000B30E0000}"/>
    <cellStyle name="Percent 19" xfId="3172" xr:uid="{00000000-0005-0000-0000-0000B40E0000}"/>
    <cellStyle name="Percent 19 2" xfId="3173" xr:uid="{00000000-0005-0000-0000-0000B50E0000}"/>
    <cellStyle name="Percent 2" xfId="142" xr:uid="{00000000-0005-0000-0000-0000B60E0000}"/>
    <cellStyle name="Percent 2 10" xfId="3174" xr:uid="{00000000-0005-0000-0000-0000B70E0000}"/>
    <cellStyle name="Percent 2 11" xfId="3175" xr:uid="{00000000-0005-0000-0000-0000B80E0000}"/>
    <cellStyle name="Percent 2 12" xfId="3176" xr:uid="{00000000-0005-0000-0000-0000B90E0000}"/>
    <cellStyle name="Percent 2 13" xfId="3177" xr:uid="{00000000-0005-0000-0000-0000BA0E0000}"/>
    <cellStyle name="Percent 2 14" xfId="3178" xr:uid="{00000000-0005-0000-0000-0000BB0E0000}"/>
    <cellStyle name="Percent 2 15" xfId="3179" xr:uid="{00000000-0005-0000-0000-0000BC0E0000}"/>
    <cellStyle name="Percent 2 16" xfId="3180" xr:uid="{00000000-0005-0000-0000-0000BD0E0000}"/>
    <cellStyle name="Percent 2 17" xfId="3181" xr:uid="{00000000-0005-0000-0000-0000BE0E0000}"/>
    <cellStyle name="Percent 2 18" xfId="3182" xr:uid="{00000000-0005-0000-0000-0000BF0E0000}"/>
    <cellStyle name="Percent 2 19" xfId="3183" xr:uid="{00000000-0005-0000-0000-0000C00E0000}"/>
    <cellStyle name="Percent 2 2" xfId="3184" xr:uid="{00000000-0005-0000-0000-0000C10E0000}"/>
    <cellStyle name="Percent 2 2 10" xfId="3185" xr:uid="{00000000-0005-0000-0000-0000C20E0000}"/>
    <cellStyle name="Percent 2 2 10 2" xfId="3186" xr:uid="{00000000-0005-0000-0000-0000C30E0000}"/>
    <cellStyle name="Percent 2 2 10 3" xfId="3187" xr:uid="{00000000-0005-0000-0000-0000C40E0000}"/>
    <cellStyle name="Percent 2 2 11" xfId="3188" xr:uid="{00000000-0005-0000-0000-0000C50E0000}"/>
    <cellStyle name="Percent 2 2 11 2" xfId="3189" xr:uid="{00000000-0005-0000-0000-0000C60E0000}"/>
    <cellStyle name="Percent 2 2 11 3" xfId="3190" xr:uid="{00000000-0005-0000-0000-0000C70E0000}"/>
    <cellStyle name="Percent 2 2 12" xfId="3191" xr:uid="{00000000-0005-0000-0000-0000C80E0000}"/>
    <cellStyle name="Percent 2 2 12 2" xfId="3192" xr:uid="{00000000-0005-0000-0000-0000C90E0000}"/>
    <cellStyle name="Percent 2 2 12 3" xfId="3193" xr:uid="{00000000-0005-0000-0000-0000CA0E0000}"/>
    <cellStyle name="Percent 2 2 13" xfId="3194" xr:uid="{00000000-0005-0000-0000-0000CB0E0000}"/>
    <cellStyle name="Percent 2 2 13 2" xfId="3195" xr:uid="{00000000-0005-0000-0000-0000CC0E0000}"/>
    <cellStyle name="Percent 2 2 13 3" xfId="3196" xr:uid="{00000000-0005-0000-0000-0000CD0E0000}"/>
    <cellStyle name="Percent 2 2 14" xfId="3197" xr:uid="{00000000-0005-0000-0000-0000CE0E0000}"/>
    <cellStyle name="Percent 2 2 14 2" xfId="3198" xr:uid="{00000000-0005-0000-0000-0000CF0E0000}"/>
    <cellStyle name="Percent 2 2 14 3" xfId="3199" xr:uid="{00000000-0005-0000-0000-0000D00E0000}"/>
    <cellStyle name="Percent 2 2 15" xfId="3200" xr:uid="{00000000-0005-0000-0000-0000D10E0000}"/>
    <cellStyle name="Percent 2 2 16" xfId="3201" xr:uid="{00000000-0005-0000-0000-0000D20E0000}"/>
    <cellStyle name="Percent 2 2 17" xfId="3202" xr:uid="{00000000-0005-0000-0000-0000D30E0000}"/>
    <cellStyle name="Percent 2 2 18" xfId="3203" xr:uid="{00000000-0005-0000-0000-0000D40E0000}"/>
    <cellStyle name="Percent 2 2 19" xfId="3204" xr:uid="{00000000-0005-0000-0000-0000D50E0000}"/>
    <cellStyle name="Percent 2 2 2" xfId="3205" xr:uid="{00000000-0005-0000-0000-0000D60E0000}"/>
    <cellStyle name="Percent 2 2 2 10" xfId="3206" xr:uid="{00000000-0005-0000-0000-0000D70E0000}"/>
    <cellStyle name="Percent 2 2 2 2" xfId="3207" xr:uid="{00000000-0005-0000-0000-0000D80E0000}"/>
    <cellStyle name="Percent 2 2 2 3" xfId="3208" xr:uid="{00000000-0005-0000-0000-0000D90E0000}"/>
    <cellStyle name="Percent 2 2 2 4" xfId="3209" xr:uid="{00000000-0005-0000-0000-0000DA0E0000}"/>
    <cellStyle name="Percent 2 2 2 5" xfId="3210" xr:uid="{00000000-0005-0000-0000-0000DB0E0000}"/>
    <cellStyle name="Percent 2 2 2 6" xfId="3211" xr:uid="{00000000-0005-0000-0000-0000DC0E0000}"/>
    <cellStyle name="Percent 2 2 2 7" xfId="3212" xr:uid="{00000000-0005-0000-0000-0000DD0E0000}"/>
    <cellStyle name="Percent 2 2 2 8" xfId="3213" xr:uid="{00000000-0005-0000-0000-0000DE0E0000}"/>
    <cellStyle name="Percent 2 2 2 9" xfId="3214" xr:uid="{00000000-0005-0000-0000-0000DF0E0000}"/>
    <cellStyle name="Percent 2 2 20" xfId="3215" xr:uid="{00000000-0005-0000-0000-0000E00E0000}"/>
    <cellStyle name="Percent 2 2 21" xfId="3216" xr:uid="{00000000-0005-0000-0000-0000E10E0000}"/>
    <cellStyle name="Percent 2 2 22" xfId="3217" xr:uid="{00000000-0005-0000-0000-0000E20E0000}"/>
    <cellStyle name="Percent 2 2 23" xfId="3218" xr:uid="{00000000-0005-0000-0000-0000E30E0000}"/>
    <cellStyle name="Percent 2 2 3" xfId="3219" xr:uid="{00000000-0005-0000-0000-0000E40E0000}"/>
    <cellStyle name="Percent 2 2 3 2" xfId="3220" xr:uid="{00000000-0005-0000-0000-0000E50E0000}"/>
    <cellStyle name="Percent 2 2 3 3" xfId="3221" xr:uid="{00000000-0005-0000-0000-0000E60E0000}"/>
    <cellStyle name="Percent 2 2 4" xfId="3222" xr:uid="{00000000-0005-0000-0000-0000E70E0000}"/>
    <cellStyle name="Percent 2 2 4 2" xfId="3223" xr:uid="{00000000-0005-0000-0000-0000E80E0000}"/>
    <cellStyle name="Percent 2 2 4 3" xfId="3224" xr:uid="{00000000-0005-0000-0000-0000E90E0000}"/>
    <cellStyle name="Percent 2 2 5" xfId="3225" xr:uid="{00000000-0005-0000-0000-0000EA0E0000}"/>
    <cellStyle name="Percent 2 2 5 2" xfId="3226" xr:uid="{00000000-0005-0000-0000-0000EB0E0000}"/>
    <cellStyle name="Percent 2 2 5 3" xfId="3227" xr:uid="{00000000-0005-0000-0000-0000EC0E0000}"/>
    <cellStyle name="Percent 2 2 6" xfId="3228" xr:uid="{00000000-0005-0000-0000-0000ED0E0000}"/>
    <cellStyle name="Percent 2 2 6 2" xfId="3229" xr:uid="{00000000-0005-0000-0000-0000EE0E0000}"/>
    <cellStyle name="Percent 2 2 6 3" xfId="3230" xr:uid="{00000000-0005-0000-0000-0000EF0E0000}"/>
    <cellStyle name="Percent 2 2 7" xfId="3231" xr:uid="{00000000-0005-0000-0000-0000F00E0000}"/>
    <cellStyle name="Percent 2 2 7 2" xfId="3232" xr:uid="{00000000-0005-0000-0000-0000F10E0000}"/>
    <cellStyle name="Percent 2 2 7 3" xfId="3233" xr:uid="{00000000-0005-0000-0000-0000F20E0000}"/>
    <cellStyle name="Percent 2 2 8" xfId="3234" xr:uid="{00000000-0005-0000-0000-0000F30E0000}"/>
    <cellStyle name="Percent 2 2 8 2" xfId="3235" xr:uid="{00000000-0005-0000-0000-0000F40E0000}"/>
    <cellStyle name="Percent 2 2 8 3" xfId="3236" xr:uid="{00000000-0005-0000-0000-0000F50E0000}"/>
    <cellStyle name="Percent 2 2 9" xfId="3237" xr:uid="{00000000-0005-0000-0000-0000F60E0000}"/>
    <cellStyle name="Percent 2 2 9 2" xfId="3238" xr:uid="{00000000-0005-0000-0000-0000F70E0000}"/>
    <cellStyle name="Percent 2 2 9 3" xfId="3239" xr:uid="{00000000-0005-0000-0000-0000F80E0000}"/>
    <cellStyle name="Percent 2 20" xfId="3240" xr:uid="{00000000-0005-0000-0000-0000F90E0000}"/>
    <cellStyle name="Percent 2 21" xfId="3241" xr:uid="{00000000-0005-0000-0000-0000FA0E0000}"/>
    <cellStyle name="Percent 2 22" xfId="3242" xr:uid="{00000000-0005-0000-0000-0000FB0E0000}"/>
    <cellStyle name="Percent 2 23" xfId="3243" xr:uid="{00000000-0005-0000-0000-0000FC0E0000}"/>
    <cellStyle name="Percent 2 24" xfId="3244" xr:uid="{00000000-0005-0000-0000-0000FD0E0000}"/>
    <cellStyle name="Percent 2 25" xfId="3245" xr:uid="{00000000-0005-0000-0000-0000FE0E0000}"/>
    <cellStyle name="Percent 2 26" xfId="3246" xr:uid="{00000000-0005-0000-0000-0000FF0E0000}"/>
    <cellStyle name="Percent 2 27" xfId="3247" xr:uid="{00000000-0005-0000-0000-0000000F0000}"/>
    <cellStyle name="Percent 2 27 2" xfId="3248" xr:uid="{00000000-0005-0000-0000-0000010F0000}"/>
    <cellStyle name="Percent 2 28" xfId="3249" xr:uid="{00000000-0005-0000-0000-0000020F0000}"/>
    <cellStyle name="Percent 2 3" xfId="3250" xr:uid="{00000000-0005-0000-0000-0000030F0000}"/>
    <cellStyle name="Percent 2 3 10" xfId="3251" xr:uid="{00000000-0005-0000-0000-0000040F0000}"/>
    <cellStyle name="Percent 2 3 2" xfId="3252" xr:uid="{00000000-0005-0000-0000-0000050F0000}"/>
    <cellStyle name="Percent 2 3 3" xfId="3253" xr:uid="{00000000-0005-0000-0000-0000060F0000}"/>
    <cellStyle name="Percent 2 3 4" xfId="3254" xr:uid="{00000000-0005-0000-0000-0000070F0000}"/>
    <cellStyle name="Percent 2 3 5" xfId="3255" xr:uid="{00000000-0005-0000-0000-0000080F0000}"/>
    <cellStyle name="Percent 2 3 6" xfId="3256" xr:uid="{00000000-0005-0000-0000-0000090F0000}"/>
    <cellStyle name="Percent 2 3 7" xfId="3257" xr:uid="{00000000-0005-0000-0000-00000A0F0000}"/>
    <cellStyle name="Percent 2 3 8" xfId="3258" xr:uid="{00000000-0005-0000-0000-00000B0F0000}"/>
    <cellStyle name="Percent 2 3 9" xfId="3259" xr:uid="{00000000-0005-0000-0000-00000C0F0000}"/>
    <cellStyle name="Percent 2 4" xfId="3260" xr:uid="{00000000-0005-0000-0000-00000D0F0000}"/>
    <cellStyle name="Percent 2 4 10" xfId="3261" xr:uid="{00000000-0005-0000-0000-00000E0F0000}"/>
    <cellStyle name="Percent 2 4 2" xfId="3262" xr:uid="{00000000-0005-0000-0000-00000F0F0000}"/>
    <cellStyle name="Percent 2 4 3" xfId="3263" xr:uid="{00000000-0005-0000-0000-0000100F0000}"/>
    <cellStyle name="Percent 2 4 4" xfId="3264" xr:uid="{00000000-0005-0000-0000-0000110F0000}"/>
    <cellStyle name="Percent 2 4 5" xfId="3265" xr:uid="{00000000-0005-0000-0000-0000120F0000}"/>
    <cellStyle name="Percent 2 4 6" xfId="3266" xr:uid="{00000000-0005-0000-0000-0000130F0000}"/>
    <cellStyle name="Percent 2 4 7" xfId="3267" xr:uid="{00000000-0005-0000-0000-0000140F0000}"/>
    <cellStyle name="Percent 2 4 8" xfId="3268" xr:uid="{00000000-0005-0000-0000-0000150F0000}"/>
    <cellStyle name="Percent 2 4 9" xfId="3269" xr:uid="{00000000-0005-0000-0000-0000160F0000}"/>
    <cellStyle name="Percent 2 5" xfId="3270" xr:uid="{00000000-0005-0000-0000-0000170F0000}"/>
    <cellStyle name="Percent 2 5 10" xfId="3271" xr:uid="{00000000-0005-0000-0000-0000180F0000}"/>
    <cellStyle name="Percent 2 5 2" xfId="3272" xr:uid="{00000000-0005-0000-0000-0000190F0000}"/>
    <cellStyle name="Percent 2 5 3" xfId="3273" xr:uid="{00000000-0005-0000-0000-00001A0F0000}"/>
    <cellStyle name="Percent 2 5 4" xfId="3274" xr:uid="{00000000-0005-0000-0000-00001B0F0000}"/>
    <cellStyle name="Percent 2 5 5" xfId="3275" xr:uid="{00000000-0005-0000-0000-00001C0F0000}"/>
    <cellStyle name="Percent 2 5 6" xfId="3276" xr:uid="{00000000-0005-0000-0000-00001D0F0000}"/>
    <cellStyle name="Percent 2 5 7" xfId="3277" xr:uid="{00000000-0005-0000-0000-00001E0F0000}"/>
    <cellStyle name="Percent 2 5 8" xfId="3278" xr:uid="{00000000-0005-0000-0000-00001F0F0000}"/>
    <cellStyle name="Percent 2 5 9" xfId="3279" xr:uid="{00000000-0005-0000-0000-0000200F0000}"/>
    <cellStyle name="Percent 2 6" xfId="3280" xr:uid="{00000000-0005-0000-0000-0000210F0000}"/>
    <cellStyle name="Percent 2 6 10" xfId="3281" xr:uid="{00000000-0005-0000-0000-0000220F0000}"/>
    <cellStyle name="Percent 2 6 2" xfId="3282" xr:uid="{00000000-0005-0000-0000-0000230F0000}"/>
    <cellStyle name="Percent 2 6 3" xfId="3283" xr:uid="{00000000-0005-0000-0000-0000240F0000}"/>
    <cellStyle name="Percent 2 6 4" xfId="3284" xr:uid="{00000000-0005-0000-0000-0000250F0000}"/>
    <cellStyle name="Percent 2 6 5" xfId="3285" xr:uid="{00000000-0005-0000-0000-0000260F0000}"/>
    <cellStyle name="Percent 2 6 6" xfId="3286" xr:uid="{00000000-0005-0000-0000-0000270F0000}"/>
    <cellStyle name="Percent 2 6 7" xfId="3287" xr:uid="{00000000-0005-0000-0000-0000280F0000}"/>
    <cellStyle name="Percent 2 6 8" xfId="3288" xr:uid="{00000000-0005-0000-0000-0000290F0000}"/>
    <cellStyle name="Percent 2 6 9" xfId="3289" xr:uid="{00000000-0005-0000-0000-00002A0F0000}"/>
    <cellStyle name="Percent 2 7" xfId="3290" xr:uid="{00000000-0005-0000-0000-00002B0F0000}"/>
    <cellStyle name="Percent 2 8" xfId="3291" xr:uid="{00000000-0005-0000-0000-00002C0F0000}"/>
    <cellStyle name="Percent 2 9" xfId="3292" xr:uid="{00000000-0005-0000-0000-00002D0F0000}"/>
    <cellStyle name="Percent 20" xfId="3293" xr:uid="{00000000-0005-0000-0000-00002E0F0000}"/>
    <cellStyle name="Percent 20 2" xfId="3294" xr:uid="{00000000-0005-0000-0000-00002F0F0000}"/>
    <cellStyle name="Percent 21" xfId="3295" xr:uid="{00000000-0005-0000-0000-0000300F0000}"/>
    <cellStyle name="Percent 21 2" xfId="3296" xr:uid="{00000000-0005-0000-0000-0000310F0000}"/>
    <cellStyle name="Percent 22" xfId="3297" xr:uid="{00000000-0005-0000-0000-0000320F0000}"/>
    <cellStyle name="Percent 22 2" xfId="3298" xr:uid="{00000000-0005-0000-0000-0000330F0000}"/>
    <cellStyle name="Percent 23" xfId="3299" xr:uid="{00000000-0005-0000-0000-0000340F0000}"/>
    <cellStyle name="Percent 24" xfId="3300" xr:uid="{00000000-0005-0000-0000-0000350F0000}"/>
    <cellStyle name="Percent 25" xfId="3301" xr:uid="{00000000-0005-0000-0000-0000360F0000}"/>
    <cellStyle name="Percent 26" xfId="3302" xr:uid="{00000000-0005-0000-0000-0000370F0000}"/>
    <cellStyle name="Percent 27" xfId="3303" xr:uid="{00000000-0005-0000-0000-0000380F0000}"/>
    <cellStyle name="Percent 28" xfId="3304" xr:uid="{00000000-0005-0000-0000-0000390F0000}"/>
    <cellStyle name="Percent 29" xfId="3305" xr:uid="{00000000-0005-0000-0000-00003A0F0000}"/>
    <cellStyle name="Percent 3" xfId="3306" xr:uid="{00000000-0005-0000-0000-00003B0F0000}"/>
    <cellStyle name="Percent 3 2" xfId="3307" xr:uid="{00000000-0005-0000-0000-00003C0F0000}"/>
    <cellStyle name="Percent 3 2 2" xfId="4297" xr:uid="{00000000-0005-0000-0000-00003D0F0000}"/>
    <cellStyle name="Percent 3 2 3" xfId="4298" xr:uid="{00000000-0005-0000-0000-00003E0F0000}"/>
    <cellStyle name="Percent 3 3" xfId="3308" xr:uid="{00000000-0005-0000-0000-00003F0F0000}"/>
    <cellStyle name="Percent 3 4" xfId="3309" xr:uid="{00000000-0005-0000-0000-0000400F0000}"/>
    <cellStyle name="Percent 3 5" xfId="3310" xr:uid="{00000000-0005-0000-0000-0000410F0000}"/>
    <cellStyle name="Percent 3 6" xfId="3311" xr:uid="{00000000-0005-0000-0000-0000420F0000}"/>
    <cellStyle name="Percent 3 6 2" xfId="3312" xr:uid="{00000000-0005-0000-0000-0000430F0000}"/>
    <cellStyle name="Percent 3 7" xfId="3313" xr:uid="{00000000-0005-0000-0000-0000440F0000}"/>
    <cellStyle name="Percent 30" xfId="3314" xr:uid="{00000000-0005-0000-0000-0000450F0000}"/>
    <cellStyle name="Percent 31" xfId="3315" xr:uid="{00000000-0005-0000-0000-0000460F0000}"/>
    <cellStyle name="Percent 32" xfId="3316" xr:uid="{00000000-0005-0000-0000-0000470F0000}"/>
    <cellStyle name="Percent 33" xfId="3317" xr:uid="{00000000-0005-0000-0000-0000480F0000}"/>
    <cellStyle name="Percent 34" xfId="3318" xr:uid="{00000000-0005-0000-0000-0000490F0000}"/>
    <cellStyle name="Percent 35" xfId="3319" xr:uid="{00000000-0005-0000-0000-00004A0F0000}"/>
    <cellStyle name="Percent 36" xfId="3320" xr:uid="{00000000-0005-0000-0000-00004B0F0000}"/>
    <cellStyle name="Percent 37" xfId="3321" xr:uid="{00000000-0005-0000-0000-00004C0F0000}"/>
    <cellStyle name="Percent 38" xfId="3322" xr:uid="{00000000-0005-0000-0000-00004D0F0000}"/>
    <cellStyle name="Percent 39" xfId="3323" xr:uid="{00000000-0005-0000-0000-00004E0F0000}"/>
    <cellStyle name="Percent 39 2" xfId="3324" xr:uid="{00000000-0005-0000-0000-00004F0F0000}"/>
    <cellStyle name="Percent 39 2 2" xfId="3325" xr:uid="{00000000-0005-0000-0000-0000500F0000}"/>
    <cellStyle name="Percent 39 3" xfId="3326" xr:uid="{00000000-0005-0000-0000-0000510F0000}"/>
    <cellStyle name="Percent 39 3 2" xfId="3327" xr:uid="{00000000-0005-0000-0000-0000520F0000}"/>
    <cellStyle name="Percent 39 4" xfId="3328" xr:uid="{00000000-0005-0000-0000-0000530F0000}"/>
    <cellStyle name="Percent 39 4 2" xfId="3329" xr:uid="{00000000-0005-0000-0000-0000540F0000}"/>
    <cellStyle name="Percent 39 5" xfId="3330" xr:uid="{00000000-0005-0000-0000-0000550F0000}"/>
    <cellStyle name="Percent 39 5 2" xfId="3331" xr:uid="{00000000-0005-0000-0000-0000560F0000}"/>
    <cellStyle name="Percent 39 6" xfId="3332" xr:uid="{00000000-0005-0000-0000-0000570F0000}"/>
    <cellStyle name="Percent 39 6 2" xfId="3333" xr:uid="{00000000-0005-0000-0000-0000580F0000}"/>
    <cellStyle name="Percent 39 7" xfId="3334" xr:uid="{00000000-0005-0000-0000-0000590F0000}"/>
    <cellStyle name="Percent 39 7 2" xfId="3335" xr:uid="{00000000-0005-0000-0000-00005A0F0000}"/>
    <cellStyle name="Percent 39 8" xfId="3336" xr:uid="{00000000-0005-0000-0000-00005B0F0000}"/>
    <cellStyle name="Percent 4" xfId="3337" xr:uid="{00000000-0005-0000-0000-00005C0F0000}"/>
    <cellStyle name="Percent 4 2" xfId="3338" xr:uid="{00000000-0005-0000-0000-00005D0F0000}"/>
    <cellStyle name="Percent 4 2 2" xfId="4299" xr:uid="{00000000-0005-0000-0000-00005E0F0000}"/>
    <cellStyle name="Percent 4 2 3" xfId="4300" xr:uid="{00000000-0005-0000-0000-00005F0F0000}"/>
    <cellStyle name="Percent 4 2 4" xfId="4301" xr:uid="{00000000-0005-0000-0000-0000600F0000}"/>
    <cellStyle name="Percent 4 3" xfId="3339" xr:uid="{00000000-0005-0000-0000-0000610F0000}"/>
    <cellStyle name="Percent 4 4" xfId="3340" xr:uid="{00000000-0005-0000-0000-0000620F0000}"/>
    <cellStyle name="Percent 4 5" xfId="3341" xr:uid="{00000000-0005-0000-0000-0000630F0000}"/>
    <cellStyle name="Percent 4 6" xfId="4302" xr:uid="{00000000-0005-0000-0000-0000640F0000}"/>
    <cellStyle name="Percent 40" xfId="3342" xr:uid="{00000000-0005-0000-0000-0000650F0000}"/>
    <cellStyle name="Percent 40 2" xfId="3343" xr:uid="{00000000-0005-0000-0000-0000660F0000}"/>
    <cellStyle name="Percent 40 2 2" xfId="3344" xr:uid="{00000000-0005-0000-0000-0000670F0000}"/>
    <cellStyle name="Percent 40 3" xfId="3345" xr:uid="{00000000-0005-0000-0000-0000680F0000}"/>
    <cellStyle name="Percent 40 3 2" xfId="3346" xr:uid="{00000000-0005-0000-0000-0000690F0000}"/>
    <cellStyle name="Percent 40 4" xfId="3347" xr:uid="{00000000-0005-0000-0000-00006A0F0000}"/>
    <cellStyle name="Percent 40 4 2" xfId="3348" xr:uid="{00000000-0005-0000-0000-00006B0F0000}"/>
    <cellStyle name="Percent 40 5" xfId="3349" xr:uid="{00000000-0005-0000-0000-00006C0F0000}"/>
    <cellStyle name="Percent 40 5 2" xfId="3350" xr:uid="{00000000-0005-0000-0000-00006D0F0000}"/>
    <cellStyle name="Percent 40 6" xfId="3351" xr:uid="{00000000-0005-0000-0000-00006E0F0000}"/>
    <cellStyle name="Percent 40 6 2" xfId="3352" xr:uid="{00000000-0005-0000-0000-00006F0F0000}"/>
    <cellStyle name="Percent 40 7" xfId="3353" xr:uid="{00000000-0005-0000-0000-0000700F0000}"/>
    <cellStyle name="Percent 40 7 2" xfId="3354" xr:uid="{00000000-0005-0000-0000-0000710F0000}"/>
    <cellStyle name="Percent 40 8" xfId="3355" xr:uid="{00000000-0005-0000-0000-0000720F0000}"/>
    <cellStyle name="Percent 41" xfId="3356" xr:uid="{00000000-0005-0000-0000-0000730F0000}"/>
    <cellStyle name="Percent 41 2" xfId="3357" xr:uid="{00000000-0005-0000-0000-0000740F0000}"/>
    <cellStyle name="Percent 42" xfId="3358" xr:uid="{00000000-0005-0000-0000-0000750F0000}"/>
    <cellStyle name="Percent 42 2" xfId="3359" xr:uid="{00000000-0005-0000-0000-0000760F0000}"/>
    <cellStyle name="Percent 42 2 2" xfId="3360" xr:uid="{00000000-0005-0000-0000-0000770F0000}"/>
    <cellStyle name="Percent 42 3" xfId="3361" xr:uid="{00000000-0005-0000-0000-0000780F0000}"/>
    <cellStyle name="Percent 42 3 2" xfId="3362" xr:uid="{00000000-0005-0000-0000-0000790F0000}"/>
    <cellStyle name="Percent 42 4" xfId="3363" xr:uid="{00000000-0005-0000-0000-00007A0F0000}"/>
    <cellStyle name="Percent 42 4 2" xfId="3364" xr:uid="{00000000-0005-0000-0000-00007B0F0000}"/>
    <cellStyle name="Percent 42 5" xfId="3365" xr:uid="{00000000-0005-0000-0000-00007C0F0000}"/>
    <cellStyle name="Percent 42 5 2" xfId="3366" xr:uid="{00000000-0005-0000-0000-00007D0F0000}"/>
    <cellStyle name="Percent 42 6" xfId="3367" xr:uid="{00000000-0005-0000-0000-00007E0F0000}"/>
    <cellStyle name="Percent 42 6 2" xfId="3368" xr:uid="{00000000-0005-0000-0000-00007F0F0000}"/>
    <cellStyle name="Percent 42 7" xfId="3369" xr:uid="{00000000-0005-0000-0000-0000800F0000}"/>
    <cellStyle name="Percent 42 7 2" xfId="3370" xr:uid="{00000000-0005-0000-0000-0000810F0000}"/>
    <cellStyle name="Percent 42 8" xfId="3371" xr:uid="{00000000-0005-0000-0000-0000820F0000}"/>
    <cellStyle name="Percent 43" xfId="3372" xr:uid="{00000000-0005-0000-0000-0000830F0000}"/>
    <cellStyle name="Percent 43 10" xfId="3373" xr:uid="{00000000-0005-0000-0000-0000840F0000}"/>
    <cellStyle name="Percent 43 2" xfId="3374" xr:uid="{00000000-0005-0000-0000-0000850F0000}"/>
    <cellStyle name="Percent 43 3" xfId="3375" xr:uid="{00000000-0005-0000-0000-0000860F0000}"/>
    <cellStyle name="Percent 43 4" xfId="3376" xr:uid="{00000000-0005-0000-0000-0000870F0000}"/>
    <cellStyle name="Percent 43 5" xfId="3377" xr:uid="{00000000-0005-0000-0000-0000880F0000}"/>
    <cellStyle name="Percent 43 6" xfId="3378" xr:uid="{00000000-0005-0000-0000-0000890F0000}"/>
    <cellStyle name="Percent 43 7" xfId="3379" xr:uid="{00000000-0005-0000-0000-00008A0F0000}"/>
    <cellStyle name="Percent 43 8" xfId="3380" xr:uid="{00000000-0005-0000-0000-00008B0F0000}"/>
    <cellStyle name="Percent 43 9" xfId="3381" xr:uid="{00000000-0005-0000-0000-00008C0F0000}"/>
    <cellStyle name="Percent 44" xfId="3382" xr:uid="{00000000-0005-0000-0000-00008D0F0000}"/>
    <cellStyle name="Percent 44 10" xfId="3383" xr:uid="{00000000-0005-0000-0000-00008E0F0000}"/>
    <cellStyle name="Percent 44 2" xfId="3384" xr:uid="{00000000-0005-0000-0000-00008F0F0000}"/>
    <cellStyle name="Percent 44 3" xfId="3385" xr:uid="{00000000-0005-0000-0000-0000900F0000}"/>
    <cellStyle name="Percent 44 4" xfId="3386" xr:uid="{00000000-0005-0000-0000-0000910F0000}"/>
    <cellStyle name="Percent 44 5" xfId="3387" xr:uid="{00000000-0005-0000-0000-0000920F0000}"/>
    <cellStyle name="Percent 44 6" xfId="3388" xr:uid="{00000000-0005-0000-0000-0000930F0000}"/>
    <cellStyle name="Percent 44 7" xfId="3389" xr:uid="{00000000-0005-0000-0000-0000940F0000}"/>
    <cellStyle name="Percent 44 8" xfId="3390" xr:uid="{00000000-0005-0000-0000-0000950F0000}"/>
    <cellStyle name="Percent 44 9" xfId="3391" xr:uid="{00000000-0005-0000-0000-0000960F0000}"/>
    <cellStyle name="Percent 45" xfId="3392" xr:uid="{00000000-0005-0000-0000-0000970F0000}"/>
    <cellStyle name="Percent 45 10" xfId="3393" xr:uid="{00000000-0005-0000-0000-0000980F0000}"/>
    <cellStyle name="Percent 45 2" xfId="3394" xr:uid="{00000000-0005-0000-0000-0000990F0000}"/>
    <cellStyle name="Percent 45 3" xfId="3395" xr:uid="{00000000-0005-0000-0000-00009A0F0000}"/>
    <cellStyle name="Percent 45 4" xfId="3396" xr:uid="{00000000-0005-0000-0000-00009B0F0000}"/>
    <cellStyle name="Percent 45 5" xfId="3397" xr:uid="{00000000-0005-0000-0000-00009C0F0000}"/>
    <cellStyle name="Percent 45 6" xfId="3398" xr:uid="{00000000-0005-0000-0000-00009D0F0000}"/>
    <cellStyle name="Percent 45 7" xfId="3399" xr:uid="{00000000-0005-0000-0000-00009E0F0000}"/>
    <cellStyle name="Percent 45 8" xfId="3400" xr:uid="{00000000-0005-0000-0000-00009F0F0000}"/>
    <cellStyle name="Percent 45 9" xfId="3401" xr:uid="{00000000-0005-0000-0000-0000A00F0000}"/>
    <cellStyle name="Percent 46" xfId="3402" xr:uid="{00000000-0005-0000-0000-0000A10F0000}"/>
    <cellStyle name="Percent 46 10" xfId="3403" xr:uid="{00000000-0005-0000-0000-0000A20F0000}"/>
    <cellStyle name="Percent 46 2" xfId="3404" xr:uid="{00000000-0005-0000-0000-0000A30F0000}"/>
    <cellStyle name="Percent 46 3" xfId="3405" xr:uid="{00000000-0005-0000-0000-0000A40F0000}"/>
    <cellStyle name="Percent 46 4" xfId="3406" xr:uid="{00000000-0005-0000-0000-0000A50F0000}"/>
    <cellStyle name="Percent 46 5" xfId="3407" xr:uid="{00000000-0005-0000-0000-0000A60F0000}"/>
    <cellStyle name="Percent 46 6" xfId="3408" xr:uid="{00000000-0005-0000-0000-0000A70F0000}"/>
    <cellStyle name="Percent 46 7" xfId="3409" xr:uid="{00000000-0005-0000-0000-0000A80F0000}"/>
    <cellStyle name="Percent 46 8" xfId="3410" xr:uid="{00000000-0005-0000-0000-0000A90F0000}"/>
    <cellStyle name="Percent 46 9" xfId="3411" xr:uid="{00000000-0005-0000-0000-0000AA0F0000}"/>
    <cellStyle name="Percent 47" xfId="3412" xr:uid="{00000000-0005-0000-0000-0000AB0F0000}"/>
    <cellStyle name="Percent 47 10" xfId="3413" xr:uid="{00000000-0005-0000-0000-0000AC0F0000}"/>
    <cellStyle name="Percent 47 2" xfId="3414" xr:uid="{00000000-0005-0000-0000-0000AD0F0000}"/>
    <cellStyle name="Percent 47 3" xfId="3415" xr:uid="{00000000-0005-0000-0000-0000AE0F0000}"/>
    <cellStyle name="Percent 47 4" xfId="3416" xr:uid="{00000000-0005-0000-0000-0000AF0F0000}"/>
    <cellStyle name="Percent 47 5" xfId="3417" xr:uid="{00000000-0005-0000-0000-0000B00F0000}"/>
    <cellStyle name="Percent 47 6" xfId="3418" xr:uid="{00000000-0005-0000-0000-0000B10F0000}"/>
    <cellStyle name="Percent 47 7" xfId="3419" xr:uid="{00000000-0005-0000-0000-0000B20F0000}"/>
    <cellStyle name="Percent 47 8" xfId="3420" xr:uid="{00000000-0005-0000-0000-0000B30F0000}"/>
    <cellStyle name="Percent 47 9" xfId="3421" xr:uid="{00000000-0005-0000-0000-0000B40F0000}"/>
    <cellStyle name="Percent 48" xfId="3422" xr:uid="{00000000-0005-0000-0000-0000B50F0000}"/>
    <cellStyle name="Percent 48 10" xfId="3423" xr:uid="{00000000-0005-0000-0000-0000B60F0000}"/>
    <cellStyle name="Percent 48 2" xfId="3424" xr:uid="{00000000-0005-0000-0000-0000B70F0000}"/>
    <cellStyle name="Percent 48 3" xfId="3425" xr:uid="{00000000-0005-0000-0000-0000B80F0000}"/>
    <cellStyle name="Percent 48 4" xfId="3426" xr:uid="{00000000-0005-0000-0000-0000B90F0000}"/>
    <cellStyle name="Percent 48 5" xfId="3427" xr:uid="{00000000-0005-0000-0000-0000BA0F0000}"/>
    <cellStyle name="Percent 48 6" xfId="3428" xr:uid="{00000000-0005-0000-0000-0000BB0F0000}"/>
    <cellStyle name="Percent 48 7" xfId="3429" xr:uid="{00000000-0005-0000-0000-0000BC0F0000}"/>
    <cellStyle name="Percent 48 8" xfId="3430" xr:uid="{00000000-0005-0000-0000-0000BD0F0000}"/>
    <cellStyle name="Percent 48 9" xfId="3431" xr:uid="{00000000-0005-0000-0000-0000BE0F0000}"/>
    <cellStyle name="Percent 49" xfId="4420" xr:uid="{00000000-0005-0000-0000-0000BF0F0000}"/>
    <cellStyle name="Percent 5" xfId="3432" xr:uid="{00000000-0005-0000-0000-0000C00F0000}"/>
    <cellStyle name="Percent 5 2" xfId="3433" xr:uid="{00000000-0005-0000-0000-0000C10F0000}"/>
    <cellStyle name="Percent 5 3" xfId="3434" xr:uid="{00000000-0005-0000-0000-0000C20F0000}"/>
    <cellStyle name="Percent 5 4" xfId="3435" xr:uid="{00000000-0005-0000-0000-0000C30F0000}"/>
    <cellStyle name="Percent 5 5" xfId="3436" xr:uid="{00000000-0005-0000-0000-0000C40F0000}"/>
    <cellStyle name="Percent 50" xfId="4423" xr:uid="{00000000-0005-0000-0000-0000C50F0000}"/>
    <cellStyle name="Percent 51" xfId="4428" xr:uid="{00000000-0005-0000-0000-0000C60F0000}"/>
    <cellStyle name="Percent 51 2" xfId="3437" xr:uid="{00000000-0005-0000-0000-0000C70F0000}"/>
    <cellStyle name="Percent 51 3" xfId="3438" xr:uid="{00000000-0005-0000-0000-0000C80F0000}"/>
    <cellStyle name="Percent 51 4" xfId="3439" xr:uid="{00000000-0005-0000-0000-0000C90F0000}"/>
    <cellStyle name="Percent 52" xfId="4438" xr:uid="{00000000-0005-0000-0000-0000CA0F0000}"/>
    <cellStyle name="Percent 52 2" xfId="3440" xr:uid="{00000000-0005-0000-0000-0000CB0F0000}"/>
    <cellStyle name="Percent 52 3" xfId="3441" xr:uid="{00000000-0005-0000-0000-0000CC0F0000}"/>
    <cellStyle name="Percent 52 4" xfId="3442" xr:uid="{00000000-0005-0000-0000-0000CD0F0000}"/>
    <cellStyle name="Percent 52 5" xfId="3443" xr:uid="{00000000-0005-0000-0000-0000CE0F0000}"/>
    <cellStyle name="Percent 52 6" xfId="3444" xr:uid="{00000000-0005-0000-0000-0000CF0F0000}"/>
    <cellStyle name="Percent 52 7" xfId="3445" xr:uid="{00000000-0005-0000-0000-0000D00F0000}"/>
    <cellStyle name="Percent 52 8" xfId="3446" xr:uid="{00000000-0005-0000-0000-0000D10F0000}"/>
    <cellStyle name="Percent 53" xfId="4440" xr:uid="{D8462DCE-68BA-4314-8663-5124010D8E5B}"/>
    <cellStyle name="Percent 55 2" xfId="3447" xr:uid="{00000000-0005-0000-0000-0000D20F0000}"/>
    <cellStyle name="Percent 55 3" xfId="3448" xr:uid="{00000000-0005-0000-0000-0000D30F0000}"/>
    <cellStyle name="Percent 57 2" xfId="3449" xr:uid="{00000000-0005-0000-0000-0000D40F0000}"/>
    <cellStyle name="Percent 57 2 2" xfId="3450" xr:uid="{00000000-0005-0000-0000-0000D50F0000}"/>
    <cellStyle name="Percent 57 2 3" xfId="3451" xr:uid="{00000000-0005-0000-0000-0000D60F0000}"/>
    <cellStyle name="Percent 57 3" xfId="3452" xr:uid="{00000000-0005-0000-0000-0000D70F0000}"/>
    <cellStyle name="Percent 57 4" xfId="3453" xr:uid="{00000000-0005-0000-0000-0000D80F0000}"/>
    <cellStyle name="Percent 58 2" xfId="3454" xr:uid="{00000000-0005-0000-0000-0000D90F0000}"/>
    <cellStyle name="Percent 58 3" xfId="3455" xr:uid="{00000000-0005-0000-0000-0000DA0F0000}"/>
    <cellStyle name="Percent 59 2" xfId="3456" xr:uid="{00000000-0005-0000-0000-0000DB0F0000}"/>
    <cellStyle name="Percent 59 3" xfId="3457" xr:uid="{00000000-0005-0000-0000-0000DC0F0000}"/>
    <cellStyle name="Percent 6" xfId="3458" xr:uid="{00000000-0005-0000-0000-0000DD0F0000}"/>
    <cellStyle name="Percent 6 2" xfId="3459" xr:uid="{00000000-0005-0000-0000-0000DE0F0000}"/>
    <cellStyle name="Percent 6 3" xfId="3460" xr:uid="{00000000-0005-0000-0000-0000DF0F0000}"/>
    <cellStyle name="Percent 6 4" xfId="3461" xr:uid="{00000000-0005-0000-0000-0000E00F0000}"/>
    <cellStyle name="Percent 6 5" xfId="3462" xr:uid="{00000000-0005-0000-0000-0000E10F0000}"/>
    <cellStyle name="Percent 60 2" xfId="3463" xr:uid="{00000000-0005-0000-0000-0000E20F0000}"/>
    <cellStyle name="Percent 60 3" xfId="3464" xr:uid="{00000000-0005-0000-0000-0000E30F0000}"/>
    <cellStyle name="Percent 61 2" xfId="3465" xr:uid="{00000000-0005-0000-0000-0000E40F0000}"/>
    <cellStyle name="Percent 61 3" xfId="3466" xr:uid="{00000000-0005-0000-0000-0000E50F0000}"/>
    <cellStyle name="Percent 62" xfId="3467" xr:uid="{00000000-0005-0000-0000-0000E60F0000}"/>
    <cellStyle name="Percent 64" xfId="3468" xr:uid="{00000000-0005-0000-0000-0000E70F0000}"/>
    <cellStyle name="Percent 68" xfId="3469" xr:uid="{00000000-0005-0000-0000-0000E80F0000}"/>
    <cellStyle name="Percent 7" xfId="3470" xr:uid="{00000000-0005-0000-0000-0000E90F0000}"/>
    <cellStyle name="Percent 7 10" xfId="3471" xr:uid="{00000000-0005-0000-0000-0000EA0F0000}"/>
    <cellStyle name="Percent 7 11" xfId="3472" xr:uid="{00000000-0005-0000-0000-0000EB0F0000}"/>
    <cellStyle name="Percent 7 2" xfId="3473" xr:uid="{00000000-0005-0000-0000-0000EC0F0000}"/>
    <cellStyle name="Percent 7 2 10" xfId="3474" xr:uid="{00000000-0005-0000-0000-0000ED0F0000}"/>
    <cellStyle name="Percent 7 2 2" xfId="3475" xr:uid="{00000000-0005-0000-0000-0000EE0F0000}"/>
    <cellStyle name="Percent 7 2 3" xfId="3476" xr:uid="{00000000-0005-0000-0000-0000EF0F0000}"/>
    <cellStyle name="Percent 7 2 4" xfId="3477" xr:uid="{00000000-0005-0000-0000-0000F00F0000}"/>
    <cellStyle name="Percent 7 2 5" xfId="3478" xr:uid="{00000000-0005-0000-0000-0000F10F0000}"/>
    <cellStyle name="Percent 7 2 6" xfId="3479" xr:uid="{00000000-0005-0000-0000-0000F20F0000}"/>
    <cellStyle name="Percent 7 2 7" xfId="3480" xr:uid="{00000000-0005-0000-0000-0000F30F0000}"/>
    <cellStyle name="Percent 7 2 8" xfId="3481" xr:uid="{00000000-0005-0000-0000-0000F40F0000}"/>
    <cellStyle name="Percent 7 2 9" xfId="3482" xr:uid="{00000000-0005-0000-0000-0000F50F0000}"/>
    <cellStyle name="Percent 7 3" xfId="3483" xr:uid="{00000000-0005-0000-0000-0000F60F0000}"/>
    <cellStyle name="Percent 7 3 10" xfId="3484" xr:uid="{00000000-0005-0000-0000-0000F70F0000}"/>
    <cellStyle name="Percent 7 3 2" xfId="3485" xr:uid="{00000000-0005-0000-0000-0000F80F0000}"/>
    <cellStyle name="Percent 7 3 3" xfId="3486" xr:uid="{00000000-0005-0000-0000-0000F90F0000}"/>
    <cellStyle name="Percent 7 3 4" xfId="3487" xr:uid="{00000000-0005-0000-0000-0000FA0F0000}"/>
    <cellStyle name="Percent 7 3 5" xfId="3488" xr:uid="{00000000-0005-0000-0000-0000FB0F0000}"/>
    <cellStyle name="Percent 7 3 6" xfId="3489" xr:uid="{00000000-0005-0000-0000-0000FC0F0000}"/>
    <cellStyle name="Percent 7 3 7" xfId="3490" xr:uid="{00000000-0005-0000-0000-0000FD0F0000}"/>
    <cellStyle name="Percent 7 3 8" xfId="3491" xr:uid="{00000000-0005-0000-0000-0000FE0F0000}"/>
    <cellStyle name="Percent 7 3 9" xfId="3492" xr:uid="{00000000-0005-0000-0000-0000FF0F0000}"/>
    <cellStyle name="Percent 7 4" xfId="3493" xr:uid="{00000000-0005-0000-0000-000000100000}"/>
    <cellStyle name="Percent 7 4 10" xfId="3494" xr:uid="{00000000-0005-0000-0000-000001100000}"/>
    <cellStyle name="Percent 7 4 2" xfId="3495" xr:uid="{00000000-0005-0000-0000-000002100000}"/>
    <cellStyle name="Percent 7 4 3" xfId="3496" xr:uid="{00000000-0005-0000-0000-000003100000}"/>
    <cellStyle name="Percent 7 4 4" xfId="3497" xr:uid="{00000000-0005-0000-0000-000004100000}"/>
    <cellStyle name="Percent 7 4 5" xfId="3498" xr:uid="{00000000-0005-0000-0000-000005100000}"/>
    <cellStyle name="Percent 7 4 6" xfId="3499" xr:uid="{00000000-0005-0000-0000-000006100000}"/>
    <cellStyle name="Percent 7 4 7" xfId="3500" xr:uid="{00000000-0005-0000-0000-000007100000}"/>
    <cellStyle name="Percent 7 4 8" xfId="3501" xr:uid="{00000000-0005-0000-0000-000008100000}"/>
    <cellStyle name="Percent 7 4 9" xfId="3502" xr:uid="{00000000-0005-0000-0000-000009100000}"/>
    <cellStyle name="Percent 7 5" xfId="3503" xr:uid="{00000000-0005-0000-0000-00000A100000}"/>
    <cellStyle name="Percent 7 5 10" xfId="3504" xr:uid="{00000000-0005-0000-0000-00000B100000}"/>
    <cellStyle name="Percent 7 5 2" xfId="3505" xr:uid="{00000000-0005-0000-0000-00000C100000}"/>
    <cellStyle name="Percent 7 5 3" xfId="3506" xr:uid="{00000000-0005-0000-0000-00000D100000}"/>
    <cellStyle name="Percent 7 5 4" xfId="3507" xr:uid="{00000000-0005-0000-0000-00000E100000}"/>
    <cellStyle name="Percent 7 5 5" xfId="3508" xr:uid="{00000000-0005-0000-0000-00000F100000}"/>
    <cellStyle name="Percent 7 5 6" xfId="3509" xr:uid="{00000000-0005-0000-0000-000010100000}"/>
    <cellStyle name="Percent 7 5 7" xfId="3510" xr:uid="{00000000-0005-0000-0000-000011100000}"/>
    <cellStyle name="Percent 7 5 8" xfId="3511" xr:uid="{00000000-0005-0000-0000-000012100000}"/>
    <cellStyle name="Percent 7 5 9" xfId="3512" xr:uid="{00000000-0005-0000-0000-000013100000}"/>
    <cellStyle name="Percent 7 6" xfId="3513" xr:uid="{00000000-0005-0000-0000-000014100000}"/>
    <cellStyle name="Percent 7 6 10" xfId="3514" xr:uid="{00000000-0005-0000-0000-000015100000}"/>
    <cellStyle name="Percent 7 6 2" xfId="3515" xr:uid="{00000000-0005-0000-0000-000016100000}"/>
    <cellStyle name="Percent 7 6 3" xfId="3516" xr:uid="{00000000-0005-0000-0000-000017100000}"/>
    <cellStyle name="Percent 7 6 4" xfId="3517" xr:uid="{00000000-0005-0000-0000-000018100000}"/>
    <cellStyle name="Percent 7 6 5" xfId="3518" xr:uid="{00000000-0005-0000-0000-000019100000}"/>
    <cellStyle name="Percent 7 6 6" xfId="3519" xr:uid="{00000000-0005-0000-0000-00001A100000}"/>
    <cellStyle name="Percent 7 6 7" xfId="3520" xr:uid="{00000000-0005-0000-0000-00001B100000}"/>
    <cellStyle name="Percent 7 6 8" xfId="3521" xr:uid="{00000000-0005-0000-0000-00001C100000}"/>
    <cellStyle name="Percent 7 6 9" xfId="3522" xr:uid="{00000000-0005-0000-0000-00001D100000}"/>
    <cellStyle name="Percent 7 7" xfId="3523" xr:uid="{00000000-0005-0000-0000-00001E100000}"/>
    <cellStyle name="Percent 7 7 10" xfId="3524" xr:uid="{00000000-0005-0000-0000-00001F100000}"/>
    <cellStyle name="Percent 7 7 2" xfId="3525" xr:uid="{00000000-0005-0000-0000-000020100000}"/>
    <cellStyle name="Percent 7 7 3" xfId="3526" xr:uid="{00000000-0005-0000-0000-000021100000}"/>
    <cellStyle name="Percent 7 7 4" xfId="3527" xr:uid="{00000000-0005-0000-0000-000022100000}"/>
    <cellStyle name="Percent 7 7 5" xfId="3528" xr:uid="{00000000-0005-0000-0000-000023100000}"/>
    <cellStyle name="Percent 7 7 6" xfId="3529" xr:uid="{00000000-0005-0000-0000-000024100000}"/>
    <cellStyle name="Percent 7 7 7" xfId="3530" xr:uid="{00000000-0005-0000-0000-000025100000}"/>
    <cellStyle name="Percent 7 7 8" xfId="3531" xr:uid="{00000000-0005-0000-0000-000026100000}"/>
    <cellStyle name="Percent 7 7 9" xfId="3532" xr:uid="{00000000-0005-0000-0000-000027100000}"/>
    <cellStyle name="Percent 7 8" xfId="3533" xr:uid="{00000000-0005-0000-0000-000028100000}"/>
    <cellStyle name="Percent 7 9" xfId="3534" xr:uid="{00000000-0005-0000-0000-000029100000}"/>
    <cellStyle name="Percent 8" xfId="3535" xr:uid="{00000000-0005-0000-0000-00002A100000}"/>
    <cellStyle name="Percent 8 10" xfId="3536" xr:uid="{00000000-0005-0000-0000-00002B100000}"/>
    <cellStyle name="Percent 8 11" xfId="3537" xr:uid="{00000000-0005-0000-0000-00002C100000}"/>
    <cellStyle name="Percent 8 2" xfId="3538" xr:uid="{00000000-0005-0000-0000-00002D100000}"/>
    <cellStyle name="Percent 8 2 10" xfId="3539" xr:uid="{00000000-0005-0000-0000-00002E100000}"/>
    <cellStyle name="Percent 8 2 2" xfId="3540" xr:uid="{00000000-0005-0000-0000-00002F100000}"/>
    <cellStyle name="Percent 8 2 3" xfId="3541" xr:uid="{00000000-0005-0000-0000-000030100000}"/>
    <cellStyle name="Percent 8 2 4" xfId="3542" xr:uid="{00000000-0005-0000-0000-000031100000}"/>
    <cellStyle name="Percent 8 2 5" xfId="3543" xr:uid="{00000000-0005-0000-0000-000032100000}"/>
    <cellStyle name="Percent 8 2 6" xfId="3544" xr:uid="{00000000-0005-0000-0000-000033100000}"/>
    <cellStyle name="Percent 8 2 7" xfId="3545" xr:uid="{00000000-0005-0000-0000-000034100000}"/>
    <cellStyle name="Percent 8 2 8" xfId="3546" xr:uid="{00000000-0005-0000-0000-000035100000}"/>
    <cellStyle name="Percent 8 2 9" xfId="3547" xr:uid="{00000000-0005-0000-0000-000036100000}"/>
    <cellStyle name="Percent 8 3" xfId="3548" xr:uid="{00000000-0005-0000-0000-000037100000}"/>
    <cellStyle name="Percent 8 3 10" xfId="3549" xr:uid="{00000000-0005-0000-0000-000038100000}"/>
    <cellStyle name="Percent 8 3 2" xfId="3550" xr:uid="{00000000-0005-0000-0000-000039100000}"/>
    <cellStyle name="Percent 8 3 3" xfId="3551" xr:uid="{00000000-0005-0000-0000-00003A100000}"/>
    <cellStyle name="Percent 8 3 4" xfId="3552" xr:uid="{00000000-0005-0000-0000-00003B100000}"/>
    <cellStyle name="Percent 8 3 5" xfId="3553" xr:uid="{00000000-0005-0000-0000-00003C100000}"/>
    <cellStyle name="Percent 8 3 6" xfId="3554" xr:uid="{00000000-0005-0000-0000-00003D100000}"/>
    <cellStyle name="Percent 8 3 7" xfId="3555" xr:uid="{00000000-0005-0000-0000-00003E100000}"/>
    <cellStyle name="Percent 8 3 8" xfId="3556" xr:uid="{00000000-0005-0000-0000-00003F100000}"/>
    <cellStyle name="Percent 8 3 9" xfId="3557" xr:uid="{00000000-0005-0000-0000-000040100000}"/>
    <cellStyle name="Percent 8 4" xfId="3558" xr:uid="{00000000-0005-0000-0000-000041100000}"/>
    <cellStyle name="Percent 8 4 10" xfId="3559" xr:uid="{00000000-0005-0000-0000-000042100000}"/>
    <cellStyle name="Percent 8 4 2" xfId="3560" xr:uid="{00000000-0005-0000-0000-000043100000}"/>
    <cellStyle name="Percent 8 4 3" xfId="3561" xr:uid="{00000000-0005-0000-0000-000044100000}"/>
    <cellStyle name="Percent 8 4 4" xfId="3562" xr:uid="{00000000-0005-0000-0000-000045100000}"/>
    <cellStyle name="Percent 8 4 5" xfId="3563" xr:uid="{00000000-0005-0000-0000-000046100000}"/>
    <cellStyle name="Percent 8 4 6" xfId="3564" xr:uid="{00000000-0005-0000-0000-000047100000}"/>
    <cellStyle name="Percent 8 4 7" xfId="3565" xr:uid="{00000000-0005-0000-0000-000048100000}"/>
    <cellStyle name="Percent 8 4 8" xfId="3566" xr:uid="{00000000-0005-0000-0000-000049100000}"/>
    <cellStyle name="Percent 8 4 9" xfId="3567" xr:uid="{00000000-0005-0000-0000-00004A100000}"/>
    <cellStyle name="Percent 8 5" xfId="3568" xr:uid="{00000000-0005-0000-0000-00004B100000}"/>
    <cellStyle name="Percent 8 5 10" xfId="3569" xr:uid="{00000000-0005-0000-0000-00004C100000}"/>
    <cellStyle name="Percent 8 5 2" xfId="3570" xr:uid="{00000000-0005-0000-0000-00004D100000}"/>
    <cellStyle name="Percent 8 5 3" xfId="3571" xr:uid="{00000000-0005-0000-0000-00004E100000}"/>
    <cellStyle name="Percent 8 5 4" xfId="3572" xr:uid="{00000000-0005-0000-0000-00004F100000}"/>
    <cellStyle name="Percent 8 5 5" xfId="3573" xr:uid="{00000000-0005-0000-0000-000050100000}"/>
    <cellStyle name="Percent 8 5 6" xfId="3574" xr:uid="{00000000-0005-0000-0000-000051100000}"/>
    <cellStyle name="Percent 8 5 7" xfId="3575" xr:uid="{00000000-0005-0000-0000-000052100000}"/>
    <cellStyle name="Percent 8 5 8" xfId="3576" xr:uid="{00000000-0005-0000-0000-000053100000}"/>
    <cellStyle name="Percent 8 5 9" xfId="3577" xr:uid="{00000000-0005-0000-0000-000054100000}"/>
    <cellStyle name="Percent 8 6" xfId="3578" xr:uid="{00000000-0005-0000-0000-000055100000}"/>
    <cellStyle name="Percent 8 6 10" xfId="3579" xr:uid="{00000000-0005-0000-0000-000056100000}"/>
    <cellStyle name="Percent 8 6 2" xfId="3580" xr:uid="{00000000-0005-0000-0000-000057100000}"/>
    <cellStyle name="Percent 8 6 3" xfId="3581" xr:uid="{00000000-0005-0000-0000-000058100000}"/>
    <cellStyle name="Percent 8 6 4" xfId="3582" xr:uid="{00000000-0005-0000-0000-000059100000}"/>
    <cellStyle name="Percent 8 6 5" xfId="3583" xr:uid="{00000000-0005-0000-0000-00005A100000}"/>
    <cellStyle name="Percent 8 6 6" xfId="3584" xr:uid="{00000000-0005-0000-0000-00005B100000}"/>
    <cellStyle name="Percent 8 6 7" xfId="3585" xr:uid="{00000000-0005-0000-0000-00005C100000}"/>
    <cellStyle name="Percent 8 6 8" xfId="3586" xr:uid="{00000000-0005-0000-0000-00005D100000}"/>
    <cellStyle name="Percent 8 6 9" xfId="3587" xr:uid="{00000000-0005-0000-0000-00005E100000}"/>
    <cellStyle name="Percent 8 7" xfId="3588" xr:uid="{00000000-0005-0000-0000-00005F100000}"/>
    <cellStyle name="Percent 8 7 10" xfId="3589" xr:uid="{00000000-0005-0000-0000-000060100000}"/>
    <cellStyle name="Percent 8 7 2" xfId="3590" xr:uid="{00000000-0005-0000-0000-000061100000}"/>
    <cellStyle name="Percent 8 7 3" xfId="3591" xr:uid="{00000000-0005-0000-0000-000062100000}"/>
    <cellStyle name="Percent 8 7 4" xfId="3592" xr:uid="{00000000-0005-0000-0000-000063100000}"/>
    <cellStyle name="Percent 8 7 5" xfId="3593" xr:uid="{00000000-0005-0000-0000-000064100000}"/>
    <cellStyle name="Percent 8 7 6" xfId="3594" xr:uid="{00000000-0005-0000-0000-000065100000}"/>
    <cellStyle name="Percent 8 7 7" xfId="3595" xr:uid="{00000000-0005-0000-0000-000066100000}"/>
    <cellStyle name="Percent 8 7 8" xfId="3596" xr:uid="{00000000-0005-0000-0000-000067100000}"/>
    <cellStyle name="Percent 8 7 9" xfId="3597" xr:uid="{00000000-0005-0000-0000-000068100000}"/>
    <cellStyle name="Percent 8 8" xfId="3598" xr:uid="{00000000-0005-0000-0000-000069100000}"/>
    <cellStyle name="Percent 8 9" xfId="3599" xr:uid="{00000000-0005-0000-0000-00006A100000}"/>
    <cellStyle name="Percent 9" xfId="3600" xr:uid="{00000000-0005-0000-0000-00006B100000}"/>
    <cellStyle name="Percent 9 2" xfId="3601" xr:uid="{00000000-0005-0000-0000-00006C100000}"/>
    <cellStyle name="Percent 9 3" xfId="3602" xr:uid="{00000000-0005-0000-0000-00006D100000}"/>
    <cellStyle name="Percent 9 4" xfId="3603" xr:uid="{00000000-0005-0000-0000-00006E100000}"/>
    <cellStyle name="Percent 9 5" xfId="3604" xr:uid="{00000000-0005-0000-0000-00006F100000}"/>
    <cellStyle name="Style 1" xfId="3605" xr:uid="{00000000-0005-0000-0000-000070100000}"/>
    <cellStyle name="Style 1 2" xfId="4303" xr:uid="{00000000-0005-0000-0000-000071100000}"/>
    <cellStyle name="Text10" xfId="4304" xr:uid="{00000000-0005-0000-0000-000072100000}"/>
    <cellStyle name="Text8" xfId="4305" xr:uid="{00000000-0005-0000-0000-000073100000}"/>
    <cellStyle name="Title 10 2" xfId="3606" xr:uid="{00000000-0005-0000-0000-000074100000}"/>
    <cellStyle name="Title 10 3" xfId="3607" xr:uid="{00000000-0005-0000-0000-000075100000}"/>
    <cellStyle name="Title 11 2" xfId="3608" xr:uid="{00000000-0005-0000-0000-000076100000}"/>
    <cellStyle name="Title 11 3" xfId="3609" xr:uid="{00000000-0005-0000-0000-000077100000}"/>
    <cellStyle name="Title 12 2" xfId="3610" xr:uid="{00000000-0005-0000-0000-000078100000}"/>
    <cellStyle name="Title 12 3" xfId="3611" xr:uid="{00000000-0005-0000-0000-000079100000}"/>
    <cellStyle name="Title 13 2" xfId="3612" xr:uid="{00000000-0005-0000-0000-00007A100000}"/>
    <cellStyle name="Title 13 3" xfId="3613" xr:uid="{00000000-0005-0000-0000-00007B100000}"/>
    <cellStyle name="Title 14 2" xfId="3614" xr:uid="{00000000-0005-0000-0000-00007C100000}"/>
    <cellStyle name="Title 14 3" xfId="3615" xr:uid="{00000000-0005-0000-0000-00007D100000}"/>
    <cellStyle name="Title 15" xfId="3616" xr:uid="{00000000-0005-0000-0000-00007E100000}"/>
    <cellStyle name="Title 15 2" xfId="3617" xr:uid="{00000000-0005-0000-0000-00007F100000}"/>
    <cellStyle name="Title 15 3" xfId="3618" xr:uid="{00000000-0005-0000-0000-000080100000}"/>
    <cellStyle name="Title 15 4" xfId="3619" xr:uid="{00000000-0005-0000-0000-000081100000}"/>
    <cellStyle name="Title 15 5" xfId="3620" xr:uid="{00000000-0005-0000-0000-000082100000}"/>
    <cellStyle name="Title 15 6" xfId="3621" xr:uid="{00000000-0005-0000-0000-000083100000}"/>
    <cellStyle name="Title 15 7" xfId="3622" xr:uid="{00000000-0005-0000-0000-000084100000}"/>
    <cellStyle name="Title 16" xfId="3623" xr:uid="{00000000-0005-0000-0000-000085100000}"/>
    <cellStyle name="Title 17" xfId="3624" xr:uid="{00000000-0005-0000-0000-000086100000}"/>
    <cellStyle name="Title 18" xfId="3625" xr:uid="{00000000-0005-0000-0000-000087100000}"/>
    <cellStyle name="Title 19" xfId="3626" xr:uid="{00000000-0005-0000-0000-000088100000}"/>
    <cellStyle name="Title 2" xfId="3627" xr:uid="{00000000-0005-0000-0000-000089100000}"/>
    <cellStyle name="Title 2 10" xfId="3628" xr:uid="{00000000-0005-0000-0000-00008A100000}"/>
    <cellStyle name="Title 2 2" xfId="3629" xr:uid="{00000000-0005-0000-0000-00008B100000}"/>
    <cellStyle name="Title 2 3" xfId="3630" xr:uid="{00000000-0005-0000-0000-00008C100000}"/>
    <cellStyle name="Title 2 4" xfId="3631" xr:uid="{00000000-0005-0000-0000-00008D100000}"/>
    <cellStyle name="Title 2 5" xfId="3632" xr:uid="{00000000-0005-0000-0000-00008E100000}"/>
    <cellStyle name="Title 2 6" xfId="3633" xr:uid="{00000000-0005-0000-0000-00008F100000}"/>
    <cellStyle name="Title 2 7" xfId="3634" xr:uid="{00000000-0005-0000-0000-000090100000}"/>
    <cellStyle name="Title 2 8" xfId="3635" xr:uid="{00000000-0005-0000-0000-000091100000}"/>
    <cellStyle name="Title 2 9" xfId="3636" xr:uid="{00000000-0005-0000-0000-000092100000}"/>
    <cellStyle name="Title 20" xfId="3637" xr:uid="{00000000-0005-0000-0000-000093100000}"/>
    <cellStyle name="Title 21" xfId="3638" xr:uid="{00000000-0005-0000-0000-000094100000}"/>
    <cellStyle name="Title 22" xfId="3639" xr:uid="{00000000-0005-0000-0000-000095100000}"/>
    <cellStyle name="Title 3" xfId="3640" xr:uid="{00000000-0005-0000-0000-000096100000}"/>
    <cellStyle name="Title 3 2" xfId="3641" xr:uid="{00000000-0005-0000-0000-000097100000}"/>
    <cellStyle name="Title 3 3" xfId="3642" xr:uid="{00000000-0005-0000-0000-000098100000}"/>
    <cellStyle name="Title 4" xfId="3643" xr:uid="{00000000-0005-0000-0000-000099100000}"/>
    <cellStyle name="Title 4 2" xfId="3644" xr:uid="{00000000-0005-0000-0000-00009A100000}"/>
    <cellStyle name="Title 4 3" xfId="3645" xr:uid="{00000000-0005-0000-0000-00009B100000}"/>
    <cellStyle name="Title 5 2" xfId="3646" xr:uid="{00000000-0005-0000-0000-00009C100000}"/>
    <cellStyle name="Title 5 3" xfId="3647" xr:uid="{00000000-0005-0000-0000-00009D100000}"/>
    <cellStyle name="Title 6 2" xfId="3648" xr:uid="{00000000-0005-0000-0000-00009E100000}"/>
    <cellStyle name="Title 6 3" xfId="3649" xr:uid="{00000000-0005-0000-0000-00009F100000}"/>
    <cellStyle name="Title 7 2" xfId="3650" xr:uid="{00000000-0005-0000-0000-0000A0100000}"/>
    <cellStyle name="Title 7 3" xfId="3651" xr:uid="{00000000-0005-0000-0000-0000A1100000}"/>
    <cellStyle name="Title 8 2" xfId="3652" xr:uid="{00000000-0005-0000-0000-0000A2100000}"/>
    <cellStyle name="Title 8 3" xfId="3653" xr:uid="{00000000-0005-0000-0000-0000A3100000}"/>
    <cellStyle name="Title 9 2" xfId="3654" xr:uid="{00000000-0005-0000-0000-0000A4100000}"/>
    <cellStyle name="Title 9 3" xfId="3655" xr:uid="{00000000-0005-0000-0000-0000A5100000}"/>
    <cellStyle name="Total 10 2" xfId="3656" xr:uid="{00000000-0005-0000-0000-0000A6100000}"/>
    <cellStyle name="Total 10 2 2" xfId="4306" xr:uid="{00000000-0005-0000-0000-0000A7100000}"/>
    <cellStyle name="Total 10 2 2 2" xfId="5065" xr:uid="{940003EE-84C0-4B8A-871E-13FEFC901628}"/>
    <cellStyle name="Total 10 2 2 2 2" xfId="6445" xr:uid="{3E902528-5537-4361-A25D-EF4D235A17C1}"/>
    <cellStyle name="Total 10 2 2 2 3" xfId="7135" xr:uid="{95A76C36-29B2-42C0-B422-51203625D300}"/>
    <cellStyle name="Total 10 2 2 3" xfId="5236" xr:uid="{9D1309CE-8E8F-48CD-8C42-4AC3EBEC289D}"/>
    <cellStyle name="Total 10 2 3" xfId="4307" xr:uid="{00000000-0005-0000-0000-0000A8100000}"/>
    <cellStyle name="Total 10 2 3 2" xfId="5066" xr:uid="{389869DF-15FD-4720-942C-B4DD4BFC82E0}"/>
    <cellStyle name="Total 10 2 3 2 2" xfId="6446" xr:uid="{970D4D61-8E87-4606-B36E-27C445E0FE00}"/>
    <cellStyle name="Total 10 2 3 2 3" xfId="7136" xr:uid="{06C4E850-A69E-4AB9-A0C0-9D1F4090E629}"/>
    <cellStyle name="Total 10 2 3 3" xfId="5235" xr:uid="{CC584632-5F17-472D-B4F8-37D76FDA3EC3}"/>
    <cellStyle name="Total 10 2 4" xfId="4716" xr:uid="{11FCE80E-4DAC-49C1-AE73-30FBBA1A6C62}"/>
    <cellStyle name="Total 10 2 4 2" xfId="6096" xr:uid="{9CD27E78-0E2F-481A-B860-882F7F45332F}"/>
    <cellStyle name="Total 10 2 4 3" xfId="6786" xr:uid="{F09E3689-E979-4394-900E-8E2E17A8C795}"/>
    <cellStyle name="Total 10 2 5" xfId="5569" xr:uid="{82D3DE04-942E-4C9C-B916-ACF3E170BD56}"/>
    <cellStyle name="Total 10 3" xfId="3657" xr:uid="{00000000-0005-0000-0000-0000A9100000}"/>
    <cellStyle name="Total 10 3 2" xfId="4308" xr:uid="{00000000-0005-0000-0000-0000AA100000}"/>
    <cellStyle name="Total 10 3 2 2" xfId="5067" xr:uid="{ED21E740-49D7-466A-9BB7-4D154BDB6951}"/>
    <cellStyle name="Total 10 3 2 2 2" xfId="6447" xr:uid="{41002776-FF6F-4B4B-8348-50729CE095C5}"/>
    <cellStyle name="Total 10 3 2 2 3" xfId="7137" xr:uid="{A91CDF4E-1C66-453D-BAD7-289AA08A542D}"/>
    <cellStyle name="Total 10 3 2 3" xfId="5234" xr:uid="{1E76A199-44A7-4457-8F39-A4FE99F6359C}"/>
    <cellStyle name="Total 10 3 3" xfId="4309" xr:uid="{00000000-0005-0000-0000-0000AB100000}"/>
    <cellStyle name="Total 10 3 3 2" xfId="5068" xr:uid="{DAA47CA7-F04A-4322-B11A-B82096C12267}"/>
    <cellStyle name="Total 10 3 3 2 2" xfId="6448" xr:uid="{A3A01183-04C7-4DE4-BA88-9A4643875D4F}"/>
    <cellStyle name="Total 10 3 3 2 3" xfId="7138" xr:uid="{3DC43878-6147-48A3-9BCD-C175F8EFB2CA}"/>
    <cellStyle name="Total 10 3 3 3" xfId="5233" xr:uid="{F497F03A-AB19-483C-AE9E-16BB87BD07D1}"/>
    <cellStyle name="Total 10 3 4" xfId="4717" xr:uid="{5FD40797-01F7-458C-A5CD-FED2B3D3EBCE}"/>
    <cellStyle name="Total 10 3 4 2" xfId="6097" xr:uid="{E0F9EA4A-51E3-4932-94F8-E921DB3F3469}"/>
    <cellStyle name="Total 10 3 4 3" xfId="6787" xr:uid="{DA33C4E0-3EBF-4DA5-90DB-EA8E983780E3}"/>
    <cellStyle name="Total 10 3 5" xfId="5568" xr:uid="{45C2BA10-832F-4085-A81B-CD3A99C7D646}"/>
    <cellStyle name="Total 11 2" xfId="3658" xr:uid="{00000000-0005-0000-0000-0000AC100000}"/>
    <cellStyle name="Total 11 2 2" xfId="4310" xr:uid="{00000000-0005-0000-0000-0000AD100000}"/>
    <cellStyle name="Total 11 2 2 2" xfId="5069" xr:uid="{EF63F22D-138C-41EB-B6E0-895A95848DC6}"/>
    <cellStyle name="Total 11 2 2 2 2" xfId="6449" xr:uid="{FCB4FEF5-4BD9-48CE-8B6B-CF710A5EACBA}"/>
    <cellStyle name="Total 11 2 2 2 3" xfId="7139" xr:uid="{FF285030-8FBB-43D6-8122-D9FF340C8667}"/>
    <cellStyle name="Total 11 2 2 3" xfId="5232" xr:uid="{B04072F1-515C-4A23-AE68-0FFE98778EF1}"/>
    <cellStyle name="Total 11 2 3" xfId="4311" xr:uid="{00000000-0005-0000-0000-0000AE100000}"/>
    <cellStyle name="Total 11 2 3 2" xfId="5070" xr:uid="{EE95F46D-0A24-4F01-977E-FBD9D861925F}"/>
    <cellStyle name="Total 11 2 3 2 2" xfId="6450" xr:uid="{B1190C40-3E27-45CD-9EE9-9F55D5A18096}"/>
    <cellStyle name="Total 11 2 3 2 3" xfId="7140" xr:uid="{1C5D3A7C-D713-4B3D-AC34-D37E58E8CDF9}"/>
    <cellStyle name="Total 11 2 3 3" xfId="5231" xr:uid="{F17A66ED-9959-4F49-A1F1-D00244DB34C3}"/>
    <cellStyle name="Total 11 2 4" xfId="4718" xr:uid="{7CC0CF77-E5E1-4BC3-A42E-BD0E86AA13E2}"/>
    <cellStyle name="Total 11 2 4 2" xfId="6098" xr:uid="{B16CE1FC-367E-4AC1-A088-009CE9DC8AAB}"/>
    <cellStyle name="Total 11 2 4 3" xfId="6788" xr:uid="{318B6779-10F9-436E-932F-740AC40CD485}"/>
    <cellStyle name="Total 11 2 5" xfId="5567" xr:uid="{B4006598-2504-4C72-A869-282721F73DA3}"/>
    <cellStyle name="Total 11 3" xfId="3659" xr:uid="{00000000-0005-0000-0000-0000AF100000}"/>
    <cellStyle name="Total 11 3 2" xfId="4312" xr:uid="{00000000-0005-0000-0000-0000B0100000}"/>
    <cellStyle name="Total 11 3 2 2" xfId="5071" xr:uid="{D9116317-42EB-4788-BB42-AFFBE6FFFA50}"/>
    <cellStyle name="Total 11 3 2 2 2" xfId="6451" xr:uid="{FB8D3B49-2299-45AB-B125-184ED1345D30}"/>
    <cellStyle name="Total 11 3 2 2 3" xfId="7141" xr:uid="{5C0684D2-B508-469C-BFC8-9EA6165D3CEA}"/>
    <cellStyle name="Total 11 3 2 3" xfId="5230" xr:uid="{69007BA4-8ACD-44BC-8787-858E7F904714}"/>
    <cellStyle name="Total 11 3 3" xfId="4313" xr:uid="{00000000-0005-0000-0000-0000B1100000}"/>
    <cellStyle name="Total 11 3 3 2" xfId="5072" xr:uid="{7C24B2E1-6FED-4855-AC3B-E7CC8E328709}"/>
    <cellStyle name="Total 11 3 3 2 2" xfId="6452" xr:uid="{7BC66594-CDE8-4ABA-A6B2-BF0E0C6392CC}"/>
    <cellStyle name="Total 11 3 3 2 3" xfId="7142" xr:uid="{BD462418-EC7F-4230-8049-842B63715A77}"/>
    <cellStyle name="Total 11 3 3 3" xfId="5229" xr:uid="{C75B291A-7FCF-4F78-8178-05741E572D3D}"/>
    <cellStyle name="Total 11 3 4" xfId="4719" xr:uid="{424DB3CA-B900-4D2B-9382-AF60202E9BA1}"/>
    <cellStyle name="Total 11 3 4 2" xfId="6099" xr:uid="{02B21435-9E62-4D1F-ACDE-38A255613765}"/>
    <cellStyle name="Total 11 3 4 3" xfId="6789" xr:uid="{8B8F20E3-BC61-494D-9793-323FE09CDA52}"/>
    <cellStyle name="Total 11 3 5" xfId="5566" xr:uid="{E2D725A1-241B-4840-83B6-1396953107E1}"/>
    <cellStyle name="Total 12 2" xfId="3660" xr:uid="{00000000-0005-0000-0000-0000B2100000}"/>
    <cellStyle name="Total 12 2 2" xfId="4314" xr:uid="{00000000-0005-0000-0000-0000B3100000}"/>
    <cellStyle name="Total 12 2 2 2" xfId="5073" xr:uid="{434357D0-11D9-4F7D-84A1-F549891C212D}"/>
    <cellStyle name="Total 12 2 2 2 2" xfId="6453" xr:uid="{783C610B-F784-4F4C-B42B-89204B74DD04}"/>
    <cellStyle name="Total 12 2 2 2 3" xfId="7143" xr:uid="{FB4EFAE6-F862-4441-A7AC-9A637E256CD8}"/>
    <cellStyle name="Total 12 2 2 3" xfId="5228" xr:uid="{70C06B87-CB75-4213-9509-66F440B3B49B}"/>
    <cellStyle name="Total 12 2 3" xfId="4315" xr:uid="{00000000-0005-0000-0000-0000B4100000}"/>
    <cellStyle name="Total 12 2 3 2" xfId="5074" xr:uid="{6AC75F30-E597-4628-8521-225CE848C557}"/>
    <cellStyle name="Total 12 2 3 2 2" xfId="6454" xr:uid="{93598444-CEA1-4AC7-BE9C-72AB3EFF873A}"/>
    <cellStyle name="Total 12 2 3 2 3" xfId="7144" xr:uid="{69BFDC9F-7445-432D-BF49-8B6A8A61871E}"/>
    <cellStyle name="Total 12 2 3 3" xfId="5227" xr:uid="{00FD1CD4-A7EF-4613-AD2D-09ED7C0A3DA8}"/>
    <cellStyle name="Total 12 2 4" xfId="4720" xr:uid="{2A8ED7F7-FAE0-4B16-B76B-29B666B45835}"/>
    <cellStyle name="Total 12 2 4 2" xfId="6100" xr:uid="{CCA00E03-3659-4C85-ADB9-A9A07DE2A98B}"/>
    <cellStyle name="Total 12 2 4 3" xfId="6790" xr:uid="{CC3B851A-A1AB-4017-A43E-321F74D7EF71}"/>
    <cellStyle name="Total 12 2 5" xfId="5565" xr:uid="{AD31757D-6AB3-4D3E-A406-A850CCBA2B8D}"/>
    <cellStyle name="Total 12 3" xfId="3661" xr:uid="{00000000-0005-0000-0000-0000B5100000}"/>
    <cellStyle name="Total 12 3 2" xfId="4316" xr:uid="{00000000-0005-0000-0000-0000B6100000}"/>
    <cellStyle name="Total 12 3 2 2" xfId="5075" xr:uid="{CEBE4E12-5894-4FAF-AE85-3D0D83A60CFD}"/>
    <cellStyle name="Total 12 3 2 2 2" xfId="6455" xr:uid="{F38D1314-3E00-414C-A798-97C377CEC91B}"/>
    <cellStyle name="Total 12 3 2 2 3" xfId="7145" xr:uid="{2379C4AD-D090-4E9B-AD39-96B9FF630488}"/>
    <cellStyle name="Total 12 3 2 3" xfId="5226" xr:uid="{353979FC-A555-4ACF-A7B7-77FC09F583B0}"/>
    <cellStyle name="Total 12 3 3" xfId="4317" xr:uid="{00000000-0005-0000-0000-0000B7100000}"/>
    <cellStyle name="Total 12 3 3 2" xfId="5076" xr:uid="{A719FA95-7305-447C-893C-ABF82006007A}"/>
    <cellStyle name="Total 12 3 3 2 2" xfId="6456" xr:uid="{BFE175B6-6C8A-4F2F-80CC-9F9583C3047D}"/>
    <cellStyle name="Total 12 3 3 2 3" xfId="7146" xr:uid="{2A673AC1-C69D-4603-B2F8-3C3686194430}"/>
    <cellStyle name="Total 12 3 3 3" xfId="5225" xr:uid="{4CFEFDDB-302A-4123-A24B-8D34ED2C03F3}"/>
    <cellStyle name="Total 12 3 4" xfId="4721" xr:uid="{4C998AF5-FF33-4DA1-A98B-9F5A4F84B4F6}"/>
    <cellStyle name="Total 12 3 4 2" xfId="6101" xr:uid="{C2A1EAA8-301A-418F-9244-40892A4596FB}"/>
    <cellStyle name="Total 12 3 4 3" xfId="6791" xr:uid="{BBE4450E-D6B5-4EFB-80BC-E7431104AF92}"/>
    <cellStyle name="Total 12 3 5" xfId="5564" xr:uid="{2A06DB65-A1A7-4925-83CA-8552F845F56B}"/>
    <cellStyle name="Total 13 2" xfId="3662" xr:uid="{00000000-0005-0000-0000-0000B8100000}"/>
    <cellStyle name="Total 13 2 2" xfId="4318" xr:uid="{00000000-0005-0000-0000-0000B9100000}"/>
    <cellStyle name="Total 13 2 2 2" xfId="5077" xr:uid="{3F202D83-EB6D-40BE-9454-ABC1810EE233}"/>
    <cellStyle name="Total 13 2 2 2 2" xfId="6457" xr:uid="{7193A0D4-7B01-4FF7-85AD-259BF7928F95}"/>
    <cellStyle name="Total 13 2 2 2 3" xfId="7147" xr:uid="{A2F7D8A1-94F0-4C20-A790-F239606ED4A6}"/>
    <cellStyle name="Total 13 2 2 3" xfId="5224" xr:uid="{F7BBBE0E-0714-455E-9350-2B1909B0F97C}"/>
    <cellStyle name="Total 13 2 3" xfId="4319" xr:uid="{00000000-0005-0000-0000-0000BA100000}"/>
    <cellStyle name="Total 13 2 3 2" xfId="5078" xr:uid="{392D64EB-EEAE-4F70-87E5-07A3C565713D}"/>
    <cellStyle name="Total 13 2 3 2 2" xfId="6458" xr:uid="{10618126-9A14-4FCF-8068-AD98A60707E3}"/>
    <cellStyle name="Total 13 2 3 2 3" xfId="7148" xr:uid="{A124596A-FCAB-42C0-8920-4A158C9054EB}"/>
    <cellStyle name="Total 13 2 3 3" xfId="5223" xr:uid="{B2597BD6-079A-4CBC-8C08-5FB7382756C9}"/>
    <cellStyle name="Total 13 2 4" xfId="4722" xr:uid="{02C6808C-5D69-4448-ACCD-651147DF05B6}"/>
    <cellStyle name="Total 13 2 4 2" xfId="6102" xr:uid="{FC0D1FD1-91E0-4A0D-B656-E83E37A57DF9}"/>
    <cellStyle name="Total 13 2 4 3" xfId="6792" xr:uid="{2EA33949-02DB-4190-A245-FB165D5E2419}"/>
    <cellStyle name="Total 13 2 5" xfId="5563" xr:uid="{4A0A6E1F-0B37-4D25-8F54-6B898D3E8473}"/>
    <cellStyle name="Total 13 3" xfId="3663" xr:uid="{00000000-0005-0000-0000-0000BB100000}"/>
    <cellStyle name="Total 13 3 2" xfId="4320" xr:uid="{00000000-0005-0000-0000-0000BC100000}"/>
    <cellStyle name="Total 13 3 2 2" xfId="5079" xr:uid="{41FE69C5-3FC7-4CA7-9D91-382CB38A9336}"/>
    <cellStyle name="Total 13 3 2 2 2" xfId="6459" xr:uid="{2DD66D7B-907D-4023-B0A7-797184AF8B14}"/>
    <cellStyle name="Total 13 3 2 2 3" xfId="7149" xr:uid="{CA03E015-07E5-4E43-A5F6-7282B08D3D2D}"/>
    <cellStyle name="Total 13 3 2 3" xfId="5222" xr:uid="{E763F2BB-9D3F-40C3-9BAC-9E7CF8760540}"/>
    <cellStyle name="Total 13 3 3" xfId="4321" xr:uid="{00000000-0005-0000-0000-0000BD100000}"/>
    <cellStyle name="Total 13 3 3 2" xfId="5080" xr:uid="{0F63B6E7-1F4A-4F3C-909B-B22295EB2EFB}"/>
    <cellStyle name="Total 13 3 3 2 2" xfId="6460" xr:uid="{CDA012ED-34BE-4B5B-84ED-35908A8E019D}"/>
    <cellStyle name="Total 13 3 3 2 3" xfId="7150" xr:uid="{98F076B2-8D80-45A6-B111-D85F37BD8345}"/>
    <cellStyle name="Total 13 3 3 3" xfId="5221" xr:uid="{5D8517D9-6487-41C9-9AB3-3C33D6B64A59}"/>
    <cellStyle name="Total 13 3 4" xfId="4723" xr:uid="{BC63D725-A92B-4157-BF9A-D6E504659F82}"/>
    <cellStyle name="Total 13 3 4 2" xfId="6103" xr:uid="{1D95D977-4AB1-42EE-99EE-E086E2BC9C69}"/>
    <cellStyle name="Total 13 3 4 3" xfId="6793" xr:uid="{B7C4E0CD-19B1-4E56-9D26-535F13CB7A1E}"/>
    <cellStyle name="Total 13 3 5" xfId="5562" xr:uid="{4C501D6B-0B76-486C-952A-330B254D6CFF}"/>
    <cellStyle name="Total 14 2" xfId="3664" xr:uid="{00000000-0005-0000-0000-0000BE100000}"/>
    <cellStyle name="Total 14 2 2" xfId="4322" xr:uid="{00000000-0005-0000-0000-0000BF100000}"/>
    <cellStyle name="Total 14 2 2 2" xfId="5081" xr:uid="{E1E41A28-CA37-465A-B1D5-9CB995528CEB}"/>
    <cellStyle name="Total 14 2 2 2 2" xfId="6461" xr:uid="{19E1BF53-11EC-40C3-B313-8953468D0DEF}"/>
    <cellStyle name="Total 14 2 2 2 3" xfId="7151" xr:uid="{E5E95AA6-B4B0-410B-A16A-D0A19364840A}"/>
    <cellStyle name="Total 14 2 2 3" xfId="5220" xr:uid="{624DFAE5-B721-47DB-A602-9A5887C1189C}"/>
    <cellStyle name="Total 14 2 3" xfId="4323" xr:uid="{00000000-0005-0000-0000-0000C0100000}"/>
    <cellStyle name="Total 14 2 3 2" xfId="5082" xr:uid="{A1857F3D-A337-4353-BDF9-D3B4DB277EB4}"/>
    <cellStyle name="Total 14 2 3 2 2" xfId="6462" xr:uid="{3DF628BA-D773-461B-8DAE-35999E415918}"/>
    <cellStyle name="Total 14 2 3 2 3" xfId="7152" xr:uid="{9F27C9B2-40D3-462A-9710-0CF5F877F1AC}"/>
    <cellStyle name="Total 14 2 3 3" xfId="5219" xr:uid="{54EAFECC-29EA-4959-A419-5A75070354E0}"/>
    <cellStyle name="Total 14 2 4" xfId="4724" xr:uid="{D41F6A09-B89E-4B83-9333-1BB85670750F}"/>
    <cellStyle name="Total 14 2 4 2" xfId="6104" xr:uid="{F4C2BA0C-85B9-41B9-93B6-1C876B358229}"/>
    <cellStyle name="Total 14 2 4 3" xfId="6794" xr:uid="{D1EDB7AD-4FD2-4263-9C2F-2963071C83CC}"/>
    <cellStyle name="Total 14 2 5" xfId="5561" xr:uid="{EDF1F0A5-8C26-4666-AE94-C967233C6FF6}"/>
    <cellStyle name="Total 14 3" xfId="3665" xr:uid="{00000000-0005-0000-0000-0000C1100000}"/>
    <cellStyle name="Total 14 3 2" xfId="4324" xr:uid="{00000000-0005-0000-0000-0000C2100000}"/>
    <cellStyle name="Total 14 3 2 2" xfId="5083" xr:uid="{FFD5BF32-B5AF-4B3D-88B2-FFF7480EE9FC}"/>
    <cellStyle name="Total 14 3 2 2 2" xfId="6463" xr:uid="{7295176A-3A07-4165-A841-E776A098A33E}"/>
    <cellStyle name="Total 14 3 2 2 3" xfId="7153" xr:uid="{ECB9A48C-656D-45BE-B570-155BC248A6AA}"/>
    <cellStyle name="Total 14 3 2 3" xfId="5218" xr:uid="{5D53DA86-6927-45A1-9BE7-FC43C31AA0D4}"/>
    <cellStyle name="Total 14 3 3" xfId="4325" xr:uid="{00000000-0005-0000-0000-0000C3100000}"/>
    <cellStyle name="Total 14 3 3 2" xfId="5084" xr:uid="{D0351DAE-F008-4447-85CD-DC4601002063}"/>
    <cellStyle name="Total 14 3 3 2 2" xfId="6464" xr:uid="{88737BC5-0C75-49C6-A3F8-A6E1494E8718}"/>
    <cellStyle name="Total 14 3 3 2 3" xfId="7154" xr:uid="{98F3E954-A9AB-4E8E-B89B-861B07DE9460}"/>
    <cellStyle name="Total 14 3 3 3" xfId="5217" xr:uid="{3909EFBD-9135-44E3-9EC1-F67BF7F682DE}"/>
    <cellStyle name="Total 14 3 4" xfId="4725" xr:uid="{710B32BB-8FCD-4C64-BC6E-73AB61D7C279}"/>
    <cellStyle name="Total 14 3 4 2" xfId="6105" xr:uid="{AB7FB715-DC88-4DC3-9ADE-99BDD1CBE731}"/>
    <cellStyle name="Total 14 3 4 3" xfId="6795" xr:uid="{2C5FEC3E-94D1-458B-8803-9D882D5E2BE3}"/>
    <cellStyle name="Total 14 3 5" xfId="5560" xr:uid="{1269F912-7CD9-4DF5-87BC-17674F030078}"/>
    <cellStyle name="Total 15" xfId="3666" xr:uid="{00000000-0005-0000-0000-0000C4100000}"/>
    <cellStyle name="Total 15 10" xfId="4726" xr:uid="{6C5C3F95-D727-421E-AD5F-0BCF2832AAD0}"/>
    <cellStyle name="Total 15 10 2" xfId="6106" xr:uid="{DD9D1A00-8B60-481E-852C-10C0B6B8BAB9}"/>
    <cellStyle name="Total 15 10 3" xfId="6796" xr:uid="{A437BFA6-EB9C-463F-B0C3-2E35B31D7B2E}"/>
    <cellStyle name="Total 15 11" xfId="5559" xr:uid="{B9B96AD2-6C83-4454-8112-1A2561FD4DDC}"/>
    <cellStyle name="Total 15 2" xfId="3667" xr:uid="{00000000-0005-0000-0000-0000C5100000}"/>
    <cellStyle name="Total 15 2 2" xfId="4326" xr:uid="{00000000-0005-0000-0000-0000C6100000}"/>
    <cellStyle name="Total 15 2 2 2" xfId="5085" xr:uid="{2471FE89-0FF6-4352-B060-35F75E0B00BC}"/>
    <cellStyle name="Total 15 2 2 2 2" xfId="6465" xr:uid="{D34B308E-40F7-4CF2-AEF7-B1AE5DB9C1A9}"/>
    <cellStyle name="Total 15 2 2 2 3" xfId="7155" xr:uid="{AE52E208-3711-41DA-B8A2-6C5D01D9081D}"/>
    <cellStyle name="Total 15 2 2 3" xfId="5216" xr:uid="{C81702E9-7E01-4F15-81EF-DFBD53976EEA}"/>
    <cellStyle name="Total 15 2 3" xfId="4327" xr:uid="{00000000-0005-0000-0000-0000C7100000}"/>
    <cellStyle name="Total 15 2 3 2" xfId="5086" xr:uid="{7B581CF6-69F8-4B07-971B-99120E1129A7}"/>
    <cellStyle name="Total 15 2 3 2 2" xfId="6466" xr:uid="{9081F99D-5702-453B-9479-086F333F4B34}"/>
    <cellStyle name="Total 15 2 3 2 3" xfId="7156" xr:uid="{95A8ACFA-9072-4297-9CFB-64F6FD93B6C7}"/>
    <cellStyle name="Total 15 2 3 3" xfId="5215" xr:uid="{025FDF2D-4FB0-4262-87C1-07499D3DFB25}"/>
    <cellStyle name="Total 15 2 4" xfId="4727" xr:uid="{85229F80-00FB-4FCB-99E4-FA83F5CAEBD1}"/>
    <cellStyle name="Total 15 2 4 2" xfId="6107" xr:uid="{5CE1249F-661B-40B4-B722-FB7C580F4E31}"/>
    <cellStyle name="Total 15 2 4 3" xfId="6797" xr:uid="{D6ED2626-5010-4FB6-A925-1E83C7070E4B}"/>
    <cellStyle name="Total 15 2 5" xfId="5558" xr:uid="{F7067955-3DA3-441A-AD70-05379D76BD9D}"/>
    <cellStyle name="Total 15 3" xfId="3668" xr:uid="{00000000-0005-0000-0000-0000C8100000}"/>
    <cellStyle name="Total 15 3 2" xfId="4328" xr:uid="{00000000-0005-0000-0000-0000C9100000}"/>
    <cellStyle name="Total 15 3 2 2" xfId="5087" xr:uid="{660CE296-6B29-4454-B01D-9251B366D7F9}"/>
    <cellStyle name="Total 15 3 2 2 2" xfId="6467" xr:uid="{4B0E2299-B466-464C-9D33-14EA96628592}"/>
    <cellStyle name="Total 15 3 2 2 3" xfId="7157" xr:uid="{0F119303-F24B-4EFC-8516-486BFD0EDA99}"/>
    <cellStyle name="Total 15 3 2 3" xfId="5214" xr:uid="{A395B33B-26D1-4C5B-81F0-D06D37ADEF32}"/>
    <cellStyle name="Total 15 3 3" xfId="4329" xr:uid="{00000000-0005-0000-0000-0000CA100000}"/>
    <cellStyle name="Total 15 3 3 2" xfId="5088" xr:uid="{D7AE3989-DE33-4A9F-B1D9-2AA0C0FD2B1C}"/>
    <cellStyle name="Total 15 3 3 2 2" xfId="6468" xr:uid="{BDFBAADA-1CBF-48F5-B5AF-3FDE906CB6B6}"/>
    <cellStyle name="Total 15 3 3 2 3" xfId="7158" xr:uid="{AB3DAFF6-1942-41D0-887B-46DB6079F5F6}"/>
    <cellStyle name="Total 15 3 3 3" xfId="5213" xr:uid="{1F82BC82-D792-4EF6-855C-2422EC1BBF22}"/>
    <cellStyle name="Total 15 3 4" xfId="4728" xr:uid="{B09395B3-9ABE-4CC1-B7AE-CDF9A8679CB8}"/>
    <cellStyle name="Total 15 3 4 2" xfId="6108" xr:uid="{56C0B806-176A-4F22-B95F-5397496F94D5}"/>
    <cellStyle name="Total 15 3 4 3" xfId="6798" xr:uid="{7FFECC18-C310-4665-AE61-D91A2F1540B8}"/>
    <cellStyle name="Total 15 3 5" xfId="5557" xr:uid="{BABE641C-1F35-4B14-B7AE-1294F373593A}"/>
    <cellStyle name="Total 15 4" xfId="3669" xr:uid="{00000000-0005-0000-0000-0000CB100000}"/>
    <cellStyle name="Total 15 4 2" xfId="4330" xr:uid="{00000000-0005-0000-0000-0000CC100000}"/>
    <cellStyle name="Total 15 4 2 2" xfId="5089" xr:uid="{F27F8029-BA62-4373-BF16-C35891C39DA6}"/>
    <cellStyle name="Total 15 4 2 2 2" xfId="6469" xr:uid="{4FEF7433-6962-4E78-BF03-8F897C3CEF62}"/>
    <cellStyle name="Total 15 4 2 2 3" xfId="7159" xr:uid="{D223E9F2-BD0C-44E6-A701-32E9DDD7B95B}"/>
    <cellStyle name="Total 15 4 2 3" xfId="5212" xr:uid="{C259453C-DF8F-41B7-A750-22DBC99C15E7}"/>
    <cellStyle name="Total 15 4 3" xfId="4331" xr:uid="{00000000-0005-0000-0000-0000CD100000}"/>
    <cellStyle name="Total 15 4 3 2" xfId="5090" xr:uid="{1F3BEC75-ED58-4698-8DE2-2EBAA03A0840}"/>
    <cellStyle name="Total 15 4 3 2 2" xfId="6470" xr:uid="{AB630E10-80DE-4590-B79A-37D2DF5C9F9E}"/>
    <cellStyle name="Total 15 4 3 2 3" xfId="7160" xr:uid="{B17D28CA-406A-4BD4-A60A-2182A8EDB2BF}"/>
    <cellStyle name="Total 15 4 3 3" xfId="5211" xr:uid="{73C6C494-E70A-4AE3-A47B-28639FB429C4}"/>
    <cellStyle name="Total 15 4 4" xfId="4729" xr:uid="{359F8886-C5EB-4C5F-B0ED-B22C60BE4AE1}"/>
    <cellStyle name="Total 15 4 4 2" xfId="6109" xr:uid="{76079815-27E5-4D5C-8E57-3770E9D16737}"/>
    <cellStyle name="Total 15 4 4 3" xfId="6799" xr:uid="{BF1C5D8D-311B-4B2F-866A-FAD7F9B1BA53}"/>
    <cellStyle name="Total 15 4 5" xfId="5556" xr:uid="{31DB4350-DB17-4C56-A540-668CB3EB1B30}"/>
    <cellStyle name="Total 15 5" xfId="3670" xr:uid="{00000000-0005-0000-0000-0000CE100000}"/>
    <cellStyle name="Total 15 5 2" xfId="4332" xr:uid="{00000000-0005-0000-0000-0000CF100000}"/>
    <cellStyle name="Total 15 5 2 2" xfId="5091" xr:uid="{D2D8A800-BFA2-4E0E-A134-D91CEA72E314}"/>
    <cellStyle name="Total 15 5 2 2 2" xfId="6471" xr:uid="{299BC83F-F865-4AAD-B7F7-5C82B76E82F2}"/>
    <cellStyle name="Total 15 5 2 2 3" xfId="7161" xr:uid="{938B0272-9D78-435C-9E17-CFE64B32BAAF}"/>
    <cellStyle name="Total 15 5 2 3" xfId="5210" xr:uid="{A33F9B39-2F41-4B01-B24E-A21AC8A9BBE0}"/>
    <cellStyle name="Total 15 5 3" xfId="4333" xr:uid="{00000000-0005-0000-0000-0000D0100000}"/>
    <cellStyle name="Total 15 5 3 2" xfId="5092" xr:uid="{13C7F7E6-9C3D-4224-90C5-A541D45AAB8C}"/>
    <cellStyle name="Total 15 5 3 2 2" xfId="6472" xr:uid="{44F938C8-BC0A-4CDA-9F36-614822719AE2}"/>
    <cellStyle name="Total 15 5 3 2 3" xfId="7162" xr:uid="{BC39C3FE-F4DD-4EB0-9964-7DA094DD99B8}"/>
    <cellStyle name="Total 15 5 3 3" xfId="5209" xr:uid="{AACCE035-D7A6-4D97-B117-2BF6863E2EBE}"/>
    <cellStyle name="Total 15 5 4" xfId="4730" xr:uid="{7AD15B94-8B7C-4474-BC48-F40209D82889}"/>
    <cellStyle name="Total 15 5 4 2" xfId="6110" xr:uid="{808801C5-6A21-456B-9827-D8289FC138B1}"/>
    <cellStyle name="Total 15 5 4 3" xfId="6800" xr:uid="{31E19F24-297B-484D-887B-8BE43197DED4}"/>
    <cellStyle name="Total 15 5 5" xfId="5555" xr:uid="{7FB91CCA-672A-4807-B7DB-59DD163DFEDA}"/>
    <cellStyle name="Total 15 6" xfId="3671" xr:uid="{00000000-0005-0000-0000-0000D1100000}"/>
    <cellStyle name="Total 15 6 2" xfId="4334" xr:uid="{00000000-0005-0000-0000-0000D2100000}"/>
    <cellStyle name="Total 15 6 2 2" xfId="5093" xr:uid="{1EF13F97-162D-4A63-B041-505A7FCE0696}"/>
    <cellStyle name="Total 15 6 2 2 2" xfId="6473" xr:uid="{EAC86060-AB56-4F86-87E3-56A104B16397}"/>
    <cellStyle name="Total 15 6 2 2 3" xfId="7163" xr:uid="{E474638E-CB95-4644-BC7C-289FA689D507}"/>
    <cellStyle name="Total 15 6 2 3" xfId="5779" xr:uid="{D3C15738-7A10-4D7C-A99A-E83E741D5A28}"/>
    <cellStyle name="Total 15 6 3" xfId="4335" xr:uid="{00000000-0005-0000-0000-0000D3100000}"/>
    <cellStyle name="Total 15 6 3 2" xfId="5094" xr:uid="{822D8823-80E1-4216-99C8-8D5AE9AA3554}"/>
    <cellStyle name="Total 15 6 3 2 2" xfId="6474" xr:uid="{97840F4D-5DFA-49A7-95FB-E240C5F03007}"/>
    <cellStyle name="Total 15 6 3 2 3" xfId="7164" xr:uid="{B9455F60-DC3E-4226-8091-BABACDD1508B}"/>
    <cellStyle name="Total 15 6 3 3" xfId="5208" xr:uid="{D23C4D84-38C7-4E9D-B8AC-799CEF7B0BA8}"/>
    <cellStyle name="Total 15 6 4" xfId="4731" xr:uid="{1B53412B-3E47-4BB0-9B17-901EBF76CED0}"/>
    <cellStyle name="Total 15 6 4 2" xfId="6111" xr:uid="{ACF88D1E-CB57-4721-B669-96EF1DE2763C}"/>
    <cellStyle name="Total 15 6 4 3" xfId="6801" xr:uid="{D13C8E1E-2060-4148-85E3-090722E741F5}"/>
    <cellStyle name="Total 15 6 5" xfId="5554" xr:uid="{B6B26426-C6DB-45FF-AF85-32AE6C2AD630}"/>
    <cellStyle name="Total 15 7" xfId="3672" xr:uid="{00000000-0005-0000-0000-0000D4100000}"/>
    <cellStyle name="Total 15 7 2" xfId="4336" xr:uid="{00000000-0005-0000-0000-0000D5100000}"/>
    <cellStyle name="Total 15 7 2 2" xfId="5095" xr:uid="{17229F0B-B4BF-475C-9F76-675A1D9D58B2}"/>
    <cellStyle name="Total 15 7 2 2 2" xfId="6475" xr:uid="{2437A0AE-92E2-4AD6-B145-8A2D570A4476}"/>
    <cellStyle name="Total 15 7 2 2 3" xfId="7165" xr:uid="{CB16E953-F653-4932-9566-BB303C81119A}"/>
    <cellStyle name="Total 15 7 2 3" xfId="5207" xr:uid="{F68C8F15-D4C7-44D8-A99F-67A47D46FECC}"/>
    <cellStyle name="Total 15 7 3" xfId="4337" xr:uid="{00000000-0005-0000-0000-0000D6100000}"/>
    <cellStyle name="Total 15 7 3 2" xfId="5096" xr:uid="{23FC4DAD-C3FD-4814-ADB4-D4F1137A7F76}"/>
    <cellStyle name="Total 15 7 3 2 2" xfId="6476" xr:uid="{984BE596-D081-4B18-9F26-7D926A128A66}"/>
    <cellStyle name="Total 15 7 3 2 3" xfId="7166" xr:uid="{685EB00F-6677-4545-9979-D3F8AE400CFD}"/>
    <cellStyle name="Total 15 7 3 3" xfId="5206" xr:uid="{DC335A1D-22D8-4294-8238-DC2BCDD8B258}"/>
    <cellStyle name="Total 15 7 4" xfId="4732" xr:uid="{B0107F0A-DF63-4511-A20D-01FBCCB521A1}"/>
    <cellStyle name="Total 15 7 4 2" xfId="6112" xr:uid="{236DD744-7F75-403F-A505-795CC4A05F67}"/>
    <cellStyle name="Total 15 7 4 3" xfId="6802" xr:uid="{1240469D-DE6F-4F4C-84F5-129419241E9D}"/>
    <cellStyle name="Total 15 7 5" xfId="5553" xr:uid="{FC5E80DE-68A0-4EB4-92EA-80CA9FF374A1}"/>
    <cellStyle name="Total 15 8" xfId="4338" xr:uid="{00000000-0005-0000-0000-0000D7100000}"/>
    <cellStyle name="Total 15 8 2" xfId="5097" xr:uid="{DDF0C239-D833-4A35-A583-34CC2D143345}"/>
    <cellStyle name="Total 15 8 2 2" xfId="6477" xr:uid="{A400FAC4-1AD6-4D6F-A868-D7A11A1BB34C}"/>
    <cellStyle name="Total 15 8 2 3" xfId="7167" xr:uid="{BEB8361F-BDCB-4FC2-8AC5-114D0C7F9D10}"/>
    <cellStyle name="Total 15 8 3" xfId="5205" xr:uid="{1A13A070-8C52-4B79-8377-D61F5C4097B7}"/>
    <cellStyle name="Total 15 9" xfId="4339" xr:uid="{00000000-0005-0000-0000-0000D8100000}"/>
    <cellStyle name="Total 15 9 2" xfId="5098" xr:uid="{7D7F473D-5E5A-4D91-9015-646E3E3231C3}"/>
    <cellStyle name="Total 15 9 2 2" xfId="6478" xr:uid="{4C145268-D378-4C28-8C3F-30FB257F16B8}"/>
    <cellStyle name="Total 15 9 2 3" xfId="7168" xr:uid="{59754B4A-5F10-4393-8C43-546B74EE8A07}"/>
    <cellStyle name="Total 15 9 3" xfId="5204" xr:uid="{793C4CF9-49FD-43DE-ADFF-406EA3E9573A}"/>
    <cellStyle name="Total 16" xfId="3673" xr:uid="{00000000-0005-0000-0000-0000D9100000}"/>
    <cellStyle name="Total 16 2" xfId="4340" xr:uid="{00000000-0005-0000-0000-0000DA100000}"/>
    <cellStyle name="Total 16 2 2" xfId="5099" xr:uid="{AEBCE265-27E2-48A4-8466-1A9742D6F221}"/>
    <cellStyle name="Total 16 2 2 2" xfId="6479" xr:uid="{76176ACD-1DC0-4AD8-BAA3-48A43793FB67}"/>
    <cellStyle name="Total 16 2 2 3" xfId="7169" xr:uid="{EB35E10F-3433-410C-90CE-1E2AAB331A7A}"/>
    <cellStyle name="Total 16 2 3" xfId="5203" xr:uid="{83DFC362-1F10-466C-86F9-3F6EDDB94C5E}"/>
    <cellStyle name="Total 16 3" xfId="4341" xr:uid="{00000000-0005-0000-0000-0000DB100000}"/>
    <cellStyle name="Total 16 3 2" xfId="5100" xr:uid="{D6786DD0-D770-4469-9290-A296C0EDCFF3}"/>
    <cellStyle name="Total 16 3 2 2" xfId="6480" xr:uid="{A4D7C83E-60B5-4A56-A5D8-AA4A306E7067}"/>
    <cellStyle name="Total 16 3 2 3" xfId="7170" xr:uid="{EEF2B8AC-BFA9-4A56-AC9E-6B7370182B77}"/>
    <cellStyle name="Total 16 3 3" xfId="5202" xr:uid="{C60F439B-E59E-4405-A6AE-AEDDEA98C16D}"/>
    <cellStyle name="Total 16 4" xfId="4733" xr:uid="{F0CF1482-7F4D-46BC-B30F-C7406E38511C}"/>
    <cellStyle name="Total 16 4 2" xfId="6113" xr:uid="{1E2FAB37-8A35-4826-BF5D-24A144019B2F}"/>
    <cellStyle name="Total 16 4 3" xfId="6803" xr:uid="{5BF7CA3F-ABAD-438F-9A3B-F82247DAD108}"/>
    <cellStyle name="Total 16 5" xfId="5552" xr:uid="{D3D15F9D-D6A0-4043-8D80-BCFD6B411E9F}"/>
    <cellStyle name="Total 17" xfId="3674" xr:uid="{00000000-0005-0000-0000-0000DC100000}"/>
    <cellStyle name="Total 17 2" xfId="4342" xr:uid="{00000000-0005-0000-0000-0000DD100000}"/>
    <cellStyle name="Total 17 2 2" xfId="5101" xr:uid="{3F9FBFE0-1AD9-406B-9FD7-08CB1C0C119B}"/>
    <cellStyle name="Total 17 2 2 2" xfId="6481" xr:uid="{0AD4614B-E190-4802-828D-2FD9B137482D}"/>
    <cellStyle name="Total 17 2 2 3" xfId="7171" xr:uid="{435144E9-F538-48F7-8C62-73F56740DA71}"/>
    <cellStyle name="Total 17 2 3" xfId="5201" xr:uid="{A15510D9-7C43-44F3-AFE6-4D32FA99D9EC}"/>
    <cellStyle name="Total 17 3" xfId="4343" xr:uid="{00000000-0005-0000-0000-0000DE100000}"/>
    <cellStyle name="Total 17 3 2" xfId="5102" xr:uid="{8765CD8F-BAD2-4F17-8901-4A50633EB8E4}"/>
    <cellStyle name="Total 17 3 2 2" xfId="6482" xr:uid="{7464E490-A897-4B60-84BA-BBC27A2405C1}"/>
    <cellStyle name="Total 17 3 2 3" xfId="7172" xr:uid="{E414E9EE-2996-457C-AC5D-57D3F758EC7B}"/>
    <cellStyle name="Total 17 3 3" xfId="5200" xr:uid="{F33B57D7-611E-46E0-A645-67F6853ED186}"/>
    <cellStyle name="Total 17 4" xfId="4734" xr:uid="{795DF257-5C83-4C3C-810C-010180E93147}"/>
    <cellStyle name="Total 17 4 2" xfId="6114" xr:uid="{10668E62-141C-4F1D-8C1A-A99CF1BF16B2}"/>
    <cellStyle name="Total 17 4 3" xfId="6804" xr:uid="{21D564FB-0057-4868-B06E-C48AFFB628D0}"/>
    <cellStyle name="Total 17 5" xfId="5551" xr:uid="{C2DF8F03-B301-4615-92DB-5863BB3EEEA6}"/>
    <cellStyle name="Total 18" xfId="3675" xr:uid="{00000000-0005-0000-0000-0000DF100000}"/>
    <cellStyle name="Total 18 2" xfId="4344" xr:uid="{00000000-0005-0000-0000-0000E0100000}"/>
    <cellStyle name="Total 18 2 2" xfId="5103" xr:uid="{F8AC4326-A611-49D8-B462-30430BE3F632}"/>
    <cellStyle name="Total 18 2 2 2" xfId="6483" xr:uid="{05EEB532-4DB1-4C67-AD58-AEFF0A6F4560}"/>
    <cellStyle name="Total 18 2 2 3" xfId="7173" xr:uid="{8DA276BC-15A5-4640-ABD5-C686E6A0397E}"/>
    <cellStyle name="Total 18 2 3" xfId="5199" xr:uid="{E3764E44-AE25-4C9C-B23C-5ACBCDDDC903}"/>
    <cellStyle name="Total 18 3" xfId="4345" xr:uid="{00000000-0005-0000-0000-0000E1100000}"/>
    <cellStyle name="Total 18 3 2" xfId="5104" xr:uid="{7F83DE83-BD2C-484C-925D-FFB198C42AE6}"/>
    <cellStyle name="Total 18 3 2 2" xfId="6484" xr:uid="{F678EA10-1788-4910-8688-53FEB5D338F2}"/>
    <cellStyle name="Total 18 3 2 3" xfId="7174" xr:uid="{3013EDE8-FF76-41D8-9B92-F3A11523FE18}"/>
    <cellStyle name="Total 18 3 3" xfId="5198" xr:uid="{A02D616D-3F11-4973-AF9F-F7328230CF4F}"/>
    <cellStyle name="Total 18 4" xfId="4735" xr:uid="{51FA4D8A-5D3F-48C6-A1C1-4201429A1BEE}"/>
    <cellStyle name="Total 18 4 2" xfId="6115" xr:uid="{7F89289D-DF22-4287-8E2D-9D6F327F755B}"/>
    <cellStyle name="Total 18 4 3" xfId="6805" xr:uid="{3F940675-C13F-4D22-AAA5-1984910D7BAF}"/>
    <cellStyle name="Total 18 5" xfId="5550" xr:uid="{09705A7A-362C-4F8B-8752-07CECE88AF73}"/>
    <cellStyle name="Total 19" xfId="3676" xr:uid="{00000000-0005-0000-0000-0000E2100000}"/>
    <cellStyle name="Total 19 2" xfId="4346" xr:uid="{00000000-0005-0000-0000-0000E3100000}"/>
    <cellStyle name="Total 19 2 2" xfId="5105" xr:uid="{54ACA19A-8B4A-4618-842F-594CB3E71E3B}"/>
    <cellStyle name="Total 19 2 2 2" xfId="6485" xr:uid="{255686EB-00CB-4C29-9CDF-AECF1F9B3649}"/>
    <cellStyle name="Total 19 2 2 3" xfId="7175" xr:uid="{92238353-3BB1-4C37-A59C-606F6242F630}"/>
    <cellStyle name="Total 19 2 3" xfId="5197" xr:uid="{2E218C25-C2F0-4D1A-A711-CE7C3934C178}"/>
    <cellStyle name="Total 19 3" xfId="4347" xr:uid="{00000000-0005-0000-0000-0000E4100000}"/>
    <cellStyle name="Total 19 3 2" xfId="5106" xr:uid="{D7548936-D0F0-439C-A4ED-47442B0B502C}"/>
    <cellStyle name="Total 19 3 2 2" xfId="6486" xr:uid="{44C161A5-800E-4A11-BBB1-879F91B5B006}"/>
    <cellStyle name="Total 19 3 2 3" xfId="7176" xr:uid="{4E99A6E5-3649-4A45-8C92-0902F2E5B0DE}"/>
    <cellStyle name="Total 19 3 3" xfId="5196" xr:uid="{DC9BF987-823A-4D66-AD10-47026DF56786}"/>
    <cellStyle name="Total 19 4" xfId="4736" xr:uid="{7A3F7791-E4F0-4B28-97EC-8248C8747901}"/>
    <cellStyle name="Total 19 4 2" xfId="6116" xr:uid="{53E12250-52E6-4F04-A3CB-EDBADD3D465A}"/>
    <cellStyle name="Total 19 4 3" xfId="6806" xr:uid="{F3C3DC11-D4B2-4F4C-AD4B-1D37B4E27FE4}"/>
    <cellStyle name="Total 19 5" xfId="5549" xr:uid="{BF88D610-8D9D-4E45-8C1B-1A460ECF0B30}"/>
    <cellStyle name="Total 2" xfId="3677" xr:uid="{00000000-0005-0000-0000-0000E5100000}"/>
    <cellStyle name="Total 2 2" xfId="3678" xr:uid="{00000000-0005-0000-0000-0000E6100000}"/>
    <cellStyle name="Total 2 2 2" xfId="4348" xr:uid="{00000000-0005-0000-0000-0000E7100000}"/>
    <cellStyle name="Total 2 2 2 2" xfId="5107" xr:uid="{59187A28-9D93-4CE0-A69D-57F48C11AF0B}"/>
    <cellStyle name="Total 2 2 2 2 2" xfId="6487" xr:uid="{0622CAA9-C09E-4AF6-A709-42DBC7F7FC38}"/>
    <cellStyle name="Total 2 2 2 2 3" xfId="7177" xr:uid="{4F40F069-1C2A-4EA9-9CFB-BE057B15F9C0}"/>
    <cellStyle name="Total 2 2 2 3" xfId="5195" xr:uid="{4B7B074C-840E-4EA1-BD35-EA4D99F36195}"/>
    <cellStyle name="Total 2 2 3" xfId="4349" xr:uid="{00000000-0005-0000-0000-0000E8100000}"/>
    <cellStyle name="Total 2 2 3 2" xfId="5108" xr:uid="{2D8AC48A-8C8A-4255-8062-A12CC1AF444D}"/>
    <cellStyle name="Total 2 2 3 2 2" xfId="6488" xr:uid="{1A7F2BE7-7B44-4F11-A18B-6642CBCC2CFC}"/>
    <cellStyle name="Total 2 2 3 2 3" xfId="7178" xr:uid="{FA1F793E-2CE8-4B8A-9AD6-57ED324CA785}"/>
    <cellStyle name="Total 2 2 3 3" xfId="5194" xr:uid="{6781FA45-C0CE-4571-B0CD-2A9FCFDD298B}"/>
    <cellStyle name="Total 2 2 4" xfId="4737" xr:uid="{0871A4B9-D427-470F-94C4-3529E145C269}"/>
    <cellStyle name="Total 2 2 4 2" xfId="6117" xr:uid="{67D84120-CE55-41BE-9245-8CFB60E9493E}"/>
    <cellStyle name="Total 2 2 4 3" xfId="6807" xr:uid="{5461B425-1D68-4958-8C1C-EBE68828DA4F}"/>
    <cellStyle name="Total 2 2 5" xfId="5789" xr:uid="{68A10AB6-F7CA-4FA6-93DE-75C05C4D5D2D}"/>
    <cellStyle name="Total 2 3" xfId="3679" xr:uid="{00000000-0005-0000-0000-0000E9100000}"/>
    <cellStyle name="Total 2 3 2" xfId="4350" xr:uid="{00000000-0005-0000-0000-0000EA100000}"/>
    <cellStyle name="Total 2 3 2 2" xfId="5109" xr:uid="{49B50CCE-8F8A-4827-9E99-0BAA818C5E15}"/>
    <cellStyle name="Total 2 3 2 2 2" xfId="6489" xr:uid="{D0B344C7-5AD0-48D7-BB97-B158D5A3A338}"/>
    <cellStyle name="Total 2 3 2 2 3" xfId="7179" xr:uid="{B01B7009-75F8-4767-A1C0-E6F37253DE91}"/>
    <cellStyle name="Total 2 3 2 3" xfId="5193" xr:uid="{A5D1505F-86DD-4359-9393-581DF7989B67}"/>
    <cellStyle name="Total 2 3 3" xfId="4351" xr:uid="{00000000-0005-0000-0000-0000EB100000}"/>
    <cellStyle name="Total 2 3 3 2" xfId="5110" xr:uid="{DEB9D9E1-DA2E-4E5A-A95D-523D094749EF}"/>
    <cellStyle name="Total 2 3 3 2 2" xfId="6490" xr:uid="{BF5264AC-47A1-42D7-B6C0-C27CEC6446C7}"/>
    <cellStyle name="Total 2 3 3 2 3" xfId="7180" xr:uid="{17B14FE3-9340-4DA0-9CF0-551B08231F16}"/>
    <cellStyle name="Total 2 3 3 3" xfId="5192" xr:uid="{2E5D48C8-405B-4DCD-8E0B-15C3BCBD3C8D}"/>
    <cellStyle name="Total 2 3 4" xfId="4738" xr:uid="{29D92665-17C3-4ABD-B175-206AB7B79819}"/>
    <cellStyle name="Total 2 3 4 2" xfId="6118" xr:uid="{4A88B3E6-7F34-4024-A037-658754B6522B}"/>
    <cellStyle name="Total 2 3 4 3" xfId="6808" xr:uid="{486E3F70-5691-4170-8326-5A7EE6EFB907}"/>
    <cellStyle name="Total 2 3 5" xfId="5548" xr:uid="{A2A531E7-22C8-4F5A-9C0F-F3B745A8614E}"/>
    <cellStyle name="Total 2 4" xfId="4352" xr:uid="{00000000-0005-0000-0000-0000EC100000}"/>
    <cellStyle name="Total 2 4 2" xfId="5111" xr:uid="{89E8756B-497D-4DC0-B357-5A485167CAB8}"/>
    <cellStyle name="Total 2 4 2 2" xfId="6491" xr:uid="{01641421-6155-4E94-96C4-826D3958C66E}"/>
    <cellStyle name="Total 2 4 2 3" xfId="7181" xr:uid="{61D7D7F6-FFBD-473F-B33D-737EB55ED5C6}"/>
    <cellStyle name="Total 2 4 3" xfId="5191" xr:uid="{5910608E-08E2-4A6B-A05D-02D3722E61D2}"/>
    <cellStyle name="Total 2 5" xfId="4353" xr:uid="{00000000-0005-0000-0000-0000ED100000}"/>
    <cellStyle name="Total 2 5 2" xfId="5112" xr:uid="{36A82D9A-3E13-4A01-8BAF-DA2D6522E441}"/>
    <cellStyle name="Total 2 5 2 2" xfId="6492" xr:uid="{805DD874-BB80-4CA5-9779-1C68440E2DEB}"/>
    <cellStyle name="Total 2 5 2 3" xfId="7182" xr:uid="{C1978C30-C124-46FE-ACE3-9BF1325B3DAB}"/>
    <cellStyle name="Total 2 5 3" xfId="5190" xr:uid="{B345C3F7-096A-488F-9C2C-0E680F017FF5}"/>
    <cellStyle name="Total 2 6" xfId="4354" xr:uid="{00000000-0005-0000-0000-0000EE100000}"/>
    <cellStyle name="Total 20" xfId="3680" xr:uid="{00000000-0005-0000-0000-0000EF100000}"/>
    <cellStyle name="Total 20 2" xfId="4355" xr:uid="{00000000-0005-0000-0000-0000F0100000}"/>
    <cellStyle name="Total 20 2 2" xfId="5113" xr:uid="{97AB718D-E43D-4A7E-BAA0-6E6EB654A7DD}"/>
    <cellStyle name="Total 20 2 2 2" xfId="6493" xr:uid="{85A01658-7FEE-43D0-A0D4-5FCBB6EB1CD4}"/>
    <cellStyle name="Total 20 2 2 3" xfId="7183" xr:uid="{D5BB4111-D93B-4626-8ED8-935B1D908AAD}"/>
    <cellStyle name="Total 20 2 3" xfId="5189" xr:uid="{67B37DD7-6473-47AA-9611-D731926E88E2}"/>
    <cellStyle name="Total 20 3" xfId="4356" xr:uid="{00000000-0005-0000-0000-0000F1100000}"/>
    <cellStyle name="Total 20 3 2" xfId="5114" xr:uid="{45A825FC-E2A1-4728-993A-4C77052D8332}"/>
    <cellStyle name="Total 20 3 2 2" xfId="6494" xr:uid="{9A3E424D-7F7F-4A02-BF75-184C1A34C843}"/>
    <cellStyle name="Total 20 3 2 3" xfId="7184" xr:uid="{32AB92B7-BD52-433A-958B-75E72303D882}"/>
    <cellStyle name="Total 20 3 3" xfId="5188" xr:uid="{7B409143-A8C9-4283-818D-FF7427D4DB7A}"/>
    <cellStyle name="Total 20 4" xfId="4739" xr:uid="{53049B1E-A7CF-4D80-A49F-2C322B3804D8}"/>
    <cellStyle name="Total 20 4 2" xfId="6119" xr:uid="{D435234E-C6CC-4332-83E0-F59086848949}"/>
    <cellStyle name="Total 20 4 3" xfId="6809" xr:uid="{E6F234CB-2162-4272-B5D8-03AC08D8D70E}"/>
    <cellStyle name="Total 20 5" xfId="5547" xr:uid="{050047CB-A2A6-46D9-8431-7DBDB6DF66E6}"/>
    <cellStyle name="Total 21" xfId="3681" xr:uid="{00000000-0005-0000-0000-0000F2100000}"/>
    <cellStyle name="Total 21 2" xfId="4357" xr:uid="{00000000-0005-0000-0000-0000F3100000}"/>
    <cellStyle name="Total 21 2 2" xfId="5115" xr:uid="{8B1DFFFF-3316-477F-BBFD-0CB6C4A65041}"/>
    <cellStyle name="Total 21 2 2 2" xfId="6495" xr:uid="{2EDA152B-B52B-4D36-8E73-EEC418C81DFA}"/>
    <cellStyle name="Total 21 2 2 3" xfId="7185" xr:uid="{3FD4BBF0-149B-4C5A-AAD1-EF7C725841AF}"/>
    <cellStyle name="Total 21 2 3" xfId="5187" xr:uid="{AF4124F8-BF1A-47CE-B68F-FBDFFC2514FD}"/>
    <cellStyle name="Total 21 3" xfId="4358" xr:uid="{00000000-0005-0000-0000-0000F4100000}"/>
    <cellStyle name="Total 21 3 2" xfId="5116" xr:uid="{77413111-0048-46B4-ACBE-E82DF3BE2673}"/>
    <cellStyle name="Total 21 3 2 2" xfId="6496" xr:uid="{2D31AFAD-94CA-4CD6-BAA7-AEC0509E600D}"/>
    <cellStyle name="Total 21 3 2 3" xfId="7186" xr:uid="{FF0B87BA-012D-4ACA-A7FB-035D6B263662}"/>
    <cellStyle name="Total 21 3 3" xfId="5186" xr:uid="{365EA02A-610A-4534-BED9-EEAAB940C80C}"/>
    <cellStyle name="Total 21 4" xfId="4740" xr:uid="{451D789F-3772-478A-955C-4C8972FB2E35}"/>
    <cellStyle name="Total 21 4 2" xfId="6120" xr:uid="{FFD5FC2C-AFCE-40F8-854A-E7B1EE762F15}"/>
    <cellStyle name="Total 21 4 3" xfId="6810" xr:uid="{2011CEF4-99C5-402C-BB48-11236A7C2A62}"/>
    <cellStyle name="Total 21 5" xfId="5546" xr:uid="{934BD14B-0914-4A58-BC2F-1A5C2B9E7594}"/>
    <cellStyle name="Total 22" xfId="3682" xr:uid="{00000000-0005-0000-0000-0000F5100000}"/>
    <cellStyle name="Total 22 2" xfId="4359" xr:uid="{00000000-0005-0000-0000-0000F6100000}"/>
    <cellStyle name="Total 22 2 2" xfId="5117" xr:uid="{25334A38-EA8C-4712-9B64-20AA3C173C80}"/>
    <cellStyle name="Total 22 2 2 2" xfId="6497" xr:uid="{9834CB6D-DE46-4770-9890-9F6023525E6C}"/>
    <cellStyle name="Total 22 2 2 3" xfId="7187" xr:uid="{EFE3A163-FD22-444B-9AA9-3F9FE3DC2755}"/>
    <cellStyle name="Total 22 2 3" xfId="5185" xr:uid="{1F13263C-DEBD-462A-BA0D-7207FE69DECC}"/>
    <cellStyle name="Total 22 3" xfId="4360" xr:uid="{00000000-0005-0000-0000-0000F7100000}"/>
    <cellStyle name="Total 22 3 2" xfId="5118" xr:uid="{ECAD00E8-2651-41B1-84EF-8A92B591845C}"/>
    <cellStyle name="Total 22 3 2 2" xfId="6498" xr:uid="{F687702E-6AFD-4BCF-866B-AB8B5FD9D8C2}"/>
    <cellStyle name="Total 22 3 2 3" xfId="7188" xr:uid="{FED4C9E9-FFB0-409C-9483-69D28FE9F0C4}"/>
    <cellStyle name="Total 22 3 3" xfId="5184" xr:uid="{2EAC2AAC-277A-476A-9F08-88CA098FA364}"/>
    <cellStyle name="Total 22 4" xfId="4741" xr:uid="{820E2C9F-2CB6-45A3-B813-A4239DE3345A}"/>
    <cellStyle name="Total 22 4 2" xfId="6121" xr:uid="{EFD60EBE-8F21-4D4B-9848-365C12253F1D}"/>
    <cellStyle name="Total 22 4 3" xfId="6811" xr:uid="{003891FF-B28E-4C12-ACEB-41FF4D485027}"/>
    <cellStyle name="Total 22 5" xfId="5545" xr:uid="{ECD37ED2-E4F5-47D4-80E7-74D905991552}"/>
    <cellStyle name="Total 3" xfId="3683" xr:uid="{00000000-0005-0000-0000-0000F8100000}"/>
    <cellStyle name="Total 3 2" xfId="3684" xr:uid="{00000000-0005-0000-0000-0000F9100000}"/>
    <cellStyle name="Total 3 2 2" xfId="4361" xr:uid="{00000000-0005-0000-0000-0000FA100000}"/>
    <cellStyle name="Total 3 2 2 2" xfId="5119" xr:uid="{CEF3777A-EC18-49A3-A7DD-CE8B25864A13}"/>
    <cellStyle name="Total 3 2 2 2 2" xfId="6499" xr:uid="{494C67F5-B595-49D4-9FD9-EF6E333AF740}"/>
    <cellStyle name="Total 3 2 2 2 3" xfId="7189" xr:uid="{F22C6E24-566C-4ED7-8CDD-6778B75DCC7F}"/>
    <cellStyle name="Total 3 2 2 3" xfId="5183" xr:uid="{4C3EB73A-B689-428E-82BD-5882838861F9}"/>
    <cellStyle name="Total 3 2 3" xfId="4362" xr:uid="{00000000-0005-0000-0000-0000FB100000}"/>
    <cellStyle name="Total 3 2 3 2" xfId="5120" xr:uid="{5DE7A0FD-047C-46EB-A3A7-2909FB5E563E}"/>
    <cellStyle name="Total 3 2 3 2 2" xfId="6500" xr:uid="{A39F36DF-9A9A-48DA-9BEB-257ACCE14A7A}"/>
    <cellStyle name="Total 3 2 3 2 3" xfId="7190" xr:uid="{4D93CED2-4BE5-4BB2-84F9-DC0A13D11CFE}"/>
    <cellStyle name="Total 3 2 3 3" xfId="5182" xr:uid="{38D2F011-E7A6-4B3C-B79D-2E1DEA1FA4D3}"/>
    <cellStyle name="Total 3 2 4" xfId="4742" xr:uid="{56CFE2C1-5682-4AB5-BA00-A13C51A2B6BF}"/>
    <cellStyle name="Total 3 2 4 2" xfId="6122" xr:uid="{4F84A5F0-DCDF-47B9-B0E6-8793D772B044}"/>
    <cellStyle name="Total 3 2 4 3" xfId="6812" xr:uid="{79C6ED31-7452-4131-A62E-56583AF0FF91}"/>
    <cellStyle name="Total 3 2 5" xfId="5544" xr:uid="{80662B71-CED1-42DA-929B-457566717E03}"/>
    <cellStyle name="Total 3 3" xfId="3685" xr:uid="{00000000-0005-0000-0000-0000FC100000}"/>
    <cellStyle name="Total 3 3 2" xfId="4363" xr:uid="{00000000-0005-0000-0000-0000FD100000}"/>
    <cellStyle name="Total 3 3 2 2" xfId="5121" xr:uid="{3483CB76-2FB7-4EB6-ABE0-8C6B6C3390D2}"/>
    <cellStyle name="Total 3 3 2 2 2" xfId="6501" xr:uid="{092625D8-179A-4294-8D56-A410B8AFDB4A}"/>
    <cellStyle name="Total 3 3 2 2 3" xfId="7191" xr:uid="{B50613ED-D8C8-4887-975D-CB6239A265DC}"/>
    <cellStyle name="Total 3 3 2 3" xfId="5181" xr:uid="{5D413380-774E-4B0E-A4E9-130082C85DEA}"/>
    <cellStyle name="Total 3 3 3" xfId="4364" xr:uid="{00000000-0005-0000-0000-0000FE100000}"/>
    <cellStyle name="Total 3 3 3 2" xfId="5122" xr:uid="{6E425E09-4DE2-4DD1-9272-FF84430F8C9F}"/>
    <cellStyle name="Total 3 3 3 2 2" xfId="6502" xr:uid="{D8741617-DB6C-4618-A364-DB07C3946525}"/>
    <cellStyle name="Total 3 3 3 2 3" xfId="7192" xr:uid="{CB4641DE-9E89-4897-9ADA-3A360F8C79CD}"/>
    <cellStyle name="Total 3 3 3 3" xfId="5180" xr:uid="{1BC45300-E1EC-46AA-9A29-C8244C27986F}"/>
    <cellStyle name="Total 3 3 4" xfId="4743" xr:uid="{251F749A-D81D-4928-BEF6-D51216A50C99}"/>
    <cellStyle name="Total 3 3 4 2" xfId="6123" xr:uid="{53B0FDA8-B416-4A4B-AC6D-126E01CE42F6}"/>
    <cellStyle name="Total 3 3 4 3" xfId="6813" xr:uid="{AF98067C-10E1-474B-99A0-5F6F748623E3}"/>
    <cellStyle name="Total 3 3 5" xfId="5788" xr:uid="{30D1B4D3-55CC-4149-BC41-8F772B2242D7}"/>
    <cellStyle name="Total 3 4" xfId="4365" xr:uid="{00000000-0005-0000-0000-0000FF100000}"/>
    <cellStyle name="Total 3 4 2" xfId="5123" xr:uid="{9E5ED648-8C20-417A-9FF0-0D36EA59450E}"/>
    <cellStyle name="Total 3 4 2 2" xfId="6503" xr:uid="{68E46848-9E74-46BB-BDC2-6347D0E9C20C}"/>
    <cellStyle name="Total 3 4 2 3" xfId="7193" xr:uid="{B78682A0-396A-4320-9685-538F25872617}"/>
    <cellStyle name="Total 3 4 3" xfId="5179" xr:uid="{E86DDE9C-6504-44A1-AC5A-D7C77F57CE53}"/>
    <cellStyle name="Total 3 5" xfId="4366" xr:uid="{00000000-0005-0000-0000-000000110000}"/>
    <cellStyle name="Total 3 5 2" xfId="5124" xr:uid="{D9FD479D-B16F-469F-8B74-7E4D00E8C071}"/>
    <cellStyle name="Total 3 5 2 2" xfId="6504" xr:uid="{474664EA-D70E-4533-8C4B-85EF627BF7E1}"/>
    <cellStyle name="Total 3 5 2 3" xfId="7194" xr:uid="{AA9BEE36-8C9C-4379-9473-0C8416651BC8}"/>
    <cellStyle name="Total 3 5 3" xfId="5178" xr:uid="{5555707E-926D-4768-B338-6EC7555DD870}"/>
    <cellStyle name="Total 3 6" xfId="4367" xr:uid="{00000000-0005-0000-0000-000001110000}"/>
    <cellStyle name="Total 4" xfId="3686" xr:uid="{00000000-0005-0000-0000-000002110000}"/>
    <cellStyle name="Total 4 2" xfId="3687" xr:uid="{00000000-0005-0000-0000-000003110000}"/>
    <cellStyle name="Total 4 2 2" xfId="4368" xr:uid="{00000000-0005-0000-0000-000004110000}"/>
    <cellStyle name="Total 4 2 2 2" xfId="5125" xr:uid="{C8CF2243-CE2D-488A-919F-ABBE3D6C46D6}"/>
    <cellStyle name="Total 4 2 2 2 2" xfId="6505" xr:uid="{8B51BB96-F600-4A85-9F0D-E7D3F26155DE}"/>
    <cellStyle name="Total 4 2 2 2 3" xfId="7195" xr:uid="{F319C709-6573-4376-9CD0-79CB1659DC48}"/>
    <cellStyle name="Total 4 2 2 3" xfId="5177" xr:uid="{5CA8FC24-8262-4825-BE43-4D583DBBA851}"/>
    <cellStyle name="Total 4 2 3" xfId="4369" xr:uid="{00000000-0005-0000-0000-000005110000}"/>
    <cellStyle name="Total 4 2 3 2" xfId="5126" xr:uid="{8FA70E89-0B18-4D88-9521-2C8E7C13106B}"/>
    <cellStyle name="Total 4 2 3 2 2" xfId="6506" xr:uid="{4AD416B9-1541-4A1E-84C4-177DDD938D1B}"/>
    <cellStyle name="Total 4 2 3 2 3" xfId="7196" xr:uid="{92EFC965-8975-4C06-8A32-2A1820B0327F}"/>
    <cellStyle name="Total 4 2 3 3" xfId="5176" xr:uid="{533736F2-BCCB-41CB-984C-5E6A023D2FCE}"/>
    <cellStyle name="Total 4 2 4" xfId="4745" xr:uid="{D82D69C3-74DF-445B-8A98-59F008051DBF}"/>
    <cellStyle name="Total 4 2 4 2" xfId="6125" xr:uid="{058AA0DD-A1EC-4F97-BB25-653BC02B2746}"/>
    <cellStyle name="Total 4 2 4 3" xfId="6815" xr:uid="{C33B2B32-EBDB-4C37-99AF-090686098264}"/>
    <cellStyle name="Total 4 2 5" xfId="5542" xr:uid="{E7ED21EB-E17C-49F7-8FA5-5C76D8328B81}"/>
    <cellStyle name="Total 4 3" xfId="3688" xr:uid="{00000000-0005-0000-0000-000006110000}"/>
    <cellStyle name="Total 4 3 2" xfId="4370" xr:uid="{00000000-0005-0000-0000-000007110000}"/>
    <cellStyle name="Total 4 3 2 2" xfId="5127" xr:uid="{91B9CB67-A5EB-4BE1-B633-99E98E894E31}"/>
    <cellStyle name="Total 4 3 2 2 2" xfId="6507" xr:uid="{37354411-2292-401C-8D89-1DDA081E70C3}"/>
    <cellStyle name="Total 4 3 2 2 3" xfId="7197" xr:uid="{10720EE2-08E1-4930-AC5F-E3E5142A5543}"/>
    <cellStyle name="Total 4 3 2 3" xfId="5175" xr:uid="{9415831A-393B-4BD1-A87C-5D58A29A4374}"/>
    <cellStyle name="Total 4 3 3" xfId="4371" xr:uid="{00000000-0005-0000-0000-000008110000}"/>
    <cellStyle name="Total 4 3 3 2" xfId="5128" xr:uid="{655C36E7-009A-4482-842B-E5688D686325}"/>
    <cellStyle name="Total 4 3 3 2 2" xfId="6508" xr:uid="{F164D292-9FA8-4FF4-BB35-23C498228ADB}"/>
    <cellStyle name="Total 4 3 3 2 3" xfId="7198" xr:uid="{9407C2CE-862D-4AA4-9D94-4DB806E895FB}"/>
    <cellStyle name="Total 4 3 3 3" xfId="5174" xr:uid="{F1A0A967-FF5B-4888-A013-F4DAFD96C8BF}"/>
    <cellStyle name="Total 4 3 4" xfId="4746" xr:uid="{FD397471-AC52-47CB-B63E-198995CBCE3F}"/>
    <cellStyle name="Total 4 3 4 2" xfId="6126" xr:uid="{3B0A9E97-EF10-408A-BB5A-69357CCD65E0}"/>
    <cellStyle name="Total 4 3 4 3" xfId="6816" xr:uid="{FFF76B00-3113-4C32-84F7-168530C4F563}"/>
    <cellStyle name="Total 4 3 5" xfId="5541" xr:uid="{B80FE495-1EA1-4A32-9831-1D6B9F710031}"/>
    <cellStyle name="Total 4 4" xfId="4372" xr:uid="{00000000-0005-0000-0000-000009110000}"/>
    <cellStyle name="Total 4 4 2" xfId="5129" xr:uid="{62BC119C-4CD8-4C01-A6CF-28A597FCE9A5}"/>
    <cellStyle name="Total 4 4 2 2" xfId="6509" xr:uid="{047770E3-7AE5-45C9-88B7-C36807165E76}"/>
    <cellStyle name="Total 4 4 2 3" xfId="7199" xr:uid="{E82535E4-BDF5-4976-A58C-EF1C02DB0CD0}"/>
    <cellStyle name="Total 4 4 3" xfId="5173" xr:uid="{98D8D211-341A-41CC-9FE6-67BBF6DAB57F}"/>
    <cellStyle name="Total 4 5" xfId="4373" xr:uid="{00000000-0005-0000-0000-00000A110000}"/>
    <cellStyle name="Total 4 5 2" xfId="5130" xr:uid="{F2342EF9-A62C-4E17-BD3A-F0A778AB7B9E}"/>
    <cellStyle name="Total 4 5 2 2" xfId="6510" xr:uid="{4E14C056-AA97-4474-9468-73A8CED2157E}"/>
    <cellStyle name="Total 4 5 2 3" xfId="7200" xr:uid="{4CB50E0F-36C7-4F5C-B816-5507F46336C5}"/>
    <cellStyle name="Total 4 5 3" xfId="5172" xr:uid="{3920EEFB-9843-46EE-8EC0-F5AD1678D3B7}"/>
    <cellStyle name="Total 4 6" xfId="4744" xr:uid="{6EA1FDA2-8CE8-4012-83AC-CC0570695113}"/>
    <cellStyle name="Total 4 6 2" xfId="6124" xr:uid="{228EED24-CA52-48A9-BEC8-EBE20B9E1418}"/>
    <cellStyle name="Total 4 6 3" xfId="6814" xr:uid="{79BC34AE-8BE6-4CBE-99E8-0311EAAF6850}"/>
    <cellStyle name="Total 4 7" xfId="5543" xr:uid="{C7671DA7-A94B-40BF-9592-609B7E8196CE}"/>
    <cellStyle name="Total 5 2" xfId="3689" xr:uid="{00000000-0005-0000-0000-00000B110000}"/>
    <cellStyle name="Total 5 2 2" xfId="4374" xr:uid="{00000000-0005-0000-0000-00000C110000}"/>
    <cellStyle name="Total 5 2 2 2" xfId="5131" xr:uid="{79A03E18-9B9C-415A-8558-3B8BA5D3728C}"/>
    <cellStyle name="Total 5 2 2 2 2" xfId="6511" xr:uid="{A16D8C07-EE3F-4066-A867-C4E431B9D8F5}"/>
    <cellStyle name="Total 5 2 2 2 3" xfId="7201" xr:uid="{8C00D41B-81BB-45ED-AA08-4522CB76DE61}"/>
    <cellStyle name="Total 5 2 2 3" xfId="5171" xr:uid="{D151464A-7D30-4475-BD27-0CAC95365364}"/>
    <cellStyle name="Total 5 2 3" xfId="4375" xr:uid="{00000000-0005-0000-0000-00000D110000}"/>
    <cellStyle name="Total 5 2 3 2" xfId="5132" xr:uid="{03FE5365-C1FD-45A6-ABD8-6CE80EF033FF}"/>
    <cellStyle name="Total 5 2 3 2 2" xfId="6512" xr:uid="{A30FB462-10BB-45D8-B7F2-1F2C0818C842}"/>
    <cellStyle name="Total 5 2 3 2 3" xfId="7202" xr:uid="{F520CA1F-2752-498D-8201-93990B5D0B2D}"/>
    <cellStyle name="Total 5 2 3 3" xfId="5170" xr:uid="{C4DFFC03-5E4C-49FA-8E4C-5E4199FDF246}"/>
    <cellStyle name="Total 5 2 4" xfId="4747" xr:uid="{B22605C5-78F6-4A06-B3BD-81ACC79748DA}"/>
    <cellStyle name="Total 5 2 4 2" xfId="6127" xr:uid="{062123EA-0A56-4A3D-A364-D5DAABEA64E5}"/>
    <cellStyle name="Total 5 2 4 3" xfId="6817" xr:uid="{76CC5052-F77C-41C5-ADF7-E675E29AF0B2}"/>
    <cellStyle name="Total 5 2 5" xfId="5540" xr:uid="{8031CC0D-57AB-4361-8D64-CC6295E69B60}"/>
    <cellStyle name="Total 5 3" xfId="3690" xr:uid="{00000000-0005-0000-0000-00000E110000}"/>
    <cellStyle name="Total 5 3 2" xfId="4376" xr:uid="{00000000-0005-0000-0000-00000F110000}"/>
    <cellStyle name="Total 5 3 2 2" xfId="5133" xr:uid="{72F1D367-C473-47F9-ACD3-B6BDCB2E80C5}"/>
    <cellStyle name="Total 5 3 2 2 2" xfId="6513" xr:uid="{AB196703-ED37-4FFC-92D0-6BEEBE0CBD53}"/>
    <cellStyle name="Total 5 3 2 2 3" xfId="7203" xr:uid="{56710846-910B-4990-8BF6-80B146045A64}"/>
    <cellStyle name="Total 5 3 2 3" xfId="5169" xr:uid="{9916687D-1104-4D04-B9FA-580CC02B1089}"/>
    <cellStyle name="Total 5 3 3" xfId="4377" xr:uid="{00000000-0005-0000-0000-000010110000}"/>
    <cellStyle name="Total 5 3 3 2" xfId="5134" xr:uid="{C4A0BE2A-7EBE-49D3-A9DB-FA2904F37C94}"/>
    <cellStyle name="Total 5 3 3 2 2" xfId="6514" xr:uid="{AF199293-719E-428C-BC8A-245E55F4C232}"/>
    <cellStyle name="Total 5 3 3 2 3" xfId="7204" xr:uid="{B93ABC48-200C-4CDE-BB1F-0FB275BE4438}"/>
    <cellStyle name="Total 5 3 3 3" xfId="5168" xr:uid="{A31DFE72-B122-4542-8A15-8455C87D0203}"/>
    <cellStyle name="Total 5 3 4" xfId="4748" xr:uid="{6086F704-E7FB-40F9-ACA5-97F1C03AC6FF}"/>
    <cellStyle name="Total 5 3 4 2" xfId="6128" xr:uid="{0EE53595-E01D-425C-8125-1DAB82B78833}"/>
    <cellStyle name="Total 5 3 4 3" xfId="6818" xr:uid="{8291BAD5-A166-4AE1-B370-8A562DC57AC5}"/>
    <cellStyle name="Total 5 3 5" xfId="5539" xr:uid="{655922FB-44D2-4B32-B81A-BF5E57426395}"/>
    <cellStyle name="Total 6 2" xfId="3691" xr:uid="{00000000-0005-0000-0000-000011110000}"/>
    <cellStyle name="Total 6 2 2" xfId="4378" xr:uid="{00000000-0005-0000-0000-000012110000}"/>
    <cellStyle name="Total 6 2 2 2" xfId="5135" xr:uid="{A9192B62-2D15-4352-A6E6-2BBD31CD7FF5}"/>
    <cellStyle name="Total 6 2 2 2 2" xfId="6515" xr:uid="{635082AC-DCF9-40A2-8CA5-12865F4D4B27}"/>
    <cellStyle name="Total 6 2 2 2 3" xfId="7205" xr:uid="{F710F480-E70F-41A4-BA22-DE6912FCF4E4}"/>
    <cellStyle name="Total 6 2 2 3" xfId="5167" xr:uid="{ED4BE2AE-E22D-4084-836C-B721388F27C0}"/>
    <cellStyle name="Total 6 2 3" xfId="4379" xr:uid="{00000000-0005-0000-0000-000013110000}"/>
    <cellStyle name="Total 6 2 3 2" xfId="5136" xr:uid="{40909B5E-6C84-445B-9876-060EBFC999AE}"/>
    <cellStyle name="Total 6 2 3 2 2" xfId="6516" xr:uid="{06C50CC1-BB49-4B40-8C41-03ED01EDAB2D}"/>
    <cellStyle name="Total 6 2 3 2 3" xfId="7206" xr:uid="{B982A9E3-6050-458E-B654-B2306D6D1362}"/>
    <cellStyle name="Total 6 2 3 3" xfId="5166" xr:uid="{5D22B229-F291-4656-A633-79B2C5B93B86}"/>
    <cellStyle name="Total 6 2 4" xfId="4749" xr:uid="{966507F5-89BA-480F-8D1E-2DE99008C786}"/>
    <cellStyle name="Total 6 2 4 2" xfId="6129" xr:uid="{B6850D6E-4105-4FD0-8B9B-62DA1BED7A21}"/>
    <cellStyle name="Total 6 2 4 3" xfId="6819" xr:uid="{7D47898E-8DF3-4350-89EE-1BC261C65331}"/>
    <cellStyle name="Total 6 2 5" xfId="5538" xr:uid="{FAADAE62-F933-4BA5-981E-B1A8002F63EA}"/>
    <cellStyle name="Total 6 3" xfId="3692" xr:uid="{00000000-0005-0000-0000-000014110000}"/>
    <cellStyle name="Total 6 3 2" xfId="4380" xr:uid="{00000000-0005-0000-0000-000015110000}"/>
    <cellStyle name="Total 6 3 2 2" xfId="5137" xr:uid="{FFBBD735-DC03-415B-A2C3-894CD81ADE9A}"/>
    <cellStyle name="Total 6 3 2 2 2" xfId="6517" xr:uid="{A9E94A05-E71A-4A43-BCDF-167B95BE7693}"/>
    <cellStyle name="Total 6 3 2 2 3" xfId="7207" xr:uid="{2092C9C0-DD84-4D01-B531-B516D6095273}"/>
    <cellStyle name="Total 6 3 2 3" xfId="5165" xr:uid="{3140D0F2-AA36-4061-B5FD-71CB96C4DBC1}"/>
    <cellStyle name="Total 6 3 3" xfId="4381" xr:uid="{00000000-0005-0000-0000-000016110000}"/>
    <cellStyle name="Total 6 3 3 2" xfId="5138" xr:uid="{D9FB0D0F-A698-4CEC-9883-1B4DC363392A}"/>
    <cellStyle name="Total 6 3 3 2 2" xfId="6518" xr:uid="{A3E9BDC5-2313-40E9-A608-C66C0B9FDD17}"/>
    <cellStyle name="Total 6 3 3 2 3" xfId="7208" xr:uid="{C7A550BF-1033-429D-A3E1-36FDAC66DB8A}"/>
    <cellStyle name="Total 6 3 3 3" xfId="5778" xr:uid="{2A8A0936-EEC1-4FD8-98A4-AB84D4EE4BAE}"/>
    <cellStyle name="Total 6 3 4" xfId="4750" xr:uid="{2DC0A84A-A1B0-4D0B-9962-8540794F14DD}"/>
    <cellStyle name="Total 6 3 4 2" xfId="6130" xr:uid="{FB78DF58-F5D8-4690-B80E-9FB0A02E08F5}"/>
    <cellStyle name="Total 6 3 4 3" xfId="6820" xr:uid="{CB85226C-BB87-4557-9C9B-C420CF5EF053}"/>
    <cellStyle name="Total 6 3 5" xfId="5537" xr:uid="{45141EB7-9174-419E-9DCB-645AB58EB529}"/>
    <cellStyle name="Total 7 2" xfId="3693" xr:uid="{00000000-0005-0000-0000-000017110000}"/>
    <cellStyle name="Total 7 2 2" xfId="4382" xr:uid="{00000000-0005-0000-0000-000018110000}"/>
    <cellStyle name="Total 7 2 2 2" xfId="5139" xr:uid="{4F10B3C6-BA48-4811-BDA3-B04E8553C801}"/>
    <cellStyle name="Total 7 2 2 2 2" xfId="6519" xr:uid="{7DC97B30-7002-4855-8C46-70CA3E58D1DD}"/>
    <cellStyle name="Total 7 2 2 2 3" xfId="7209" xr:uid="{F1F7AC8B-D99D-40B1-B57F-604DCD3138E4}"/>
    <cellStyle name="Total 7 2 2 3" xfId="5164" xr:uid="{25CA7E90-1256-41DB-9E4E-7EC3C8F88F94}"/>
    <cellStyle name="Total 7 2 3" xfId="4383" xr:uid="{00000000-0005-0000-0000-000019110000}"/>
    <cellStyle name="Total 7 2 3 2" xfId="5140" xr:uid="{F435D3ED-0314-4D80-AF2D-CBDC1BF2390E}"/>
    <cellStyle name="Total 7 2 3 2 2" xfId="6520" xr:uid="{393030B0-4402-4985-82A5-B9F016502F61}"/>
    <cellStyle name="Total 7 2 3 2 3" xfId="7210" xr:uid="{1806C982-DEC3-41E2-A72C-60DA59A55A04}"/>
    <cellStyle name="Total 7 2 3 3" xfId="5163" xr:uid="{ADA3C99E-33FC-406F-9ECE-DC99F8B29145}"/>
    <cellStyle name="Total 7 2 4" xfId="4751" xr:uid="{36F76D4B-FE34-48E8-8B72-B54F5F281B95}"/>
    <cellStyle name="Total 7 2 4 2" xfId="6131" xr:uid="{DDA0B6E1-93B5-427C-B4B2-60D84B08FB2D}"/>
    <cellStyle name="Total 7 2 4 3" xfId="6821" xr:uid="{4F296E65-6021-4D5E-99B7-A937882067C8}"/>
    <cellStyle name="Total 7 2 5" xfId="5536" xr:uid="{AB2E8B4E-7282-4B20-84AB-48A5C8D101B2}"/>
    <cellStyle name="Total 7 3" xfId="3694" xr:uid="{00000000-0005-0000-0000-00001A110000}"/>
    <cellStyle name="Total 7 3 2" xfId="4384" xr:uid="{00000000-0005-0000-0000-00001B110000}"/>
    <cellStyle name="Total 7 3 2 2" xfId="5141" xr:uid="{EDF61E84-F443-4D4C-B268-0A5DBEDF2A29}"/>
    <cellStyle name="Total 7 3 2 2 2" xfId="6521" xr:uid="{928A4CCD-8B04-425D-8A2B-47AE19B75E69}"/>
    <cellStyle name="Total 7 3 2 2 3" xfId="7211" xr:uid="{7AE0FB52-0ACC-44D2-847E-F4BD51960429}"/>
    <cellStyle name="Total 7 3 2 3" xfId="5162" xr:uid="{30F8D5B0-8D29-492A-8376-A8E8025140A0}"/>
    <cellStyle name="Total 7 3 3" xfId="4385" xr:uid="{00000000-0005-0000-0000-00001C110000}"/>
    <cellStyle name="Total 7 3 3 2" xfId="5142" xr:uid="{98592BEE-10C3-43AB-A5E6-5049F9E6FF57}"/>
    <cellStyle name="Total 7 3 3 2 2" xfId="6522" xr:uid="{E9A8285D-02D4-4EDC-88E6-AA54FCDFA881}"/>
    <cellStyle name="Total 7 3 3 2 3" xfId="7212" xr:uid="{0193B5C7-355A-490B-AEDB-4A28FFEDEF10}"/>
    <cellStyle name="Total 7 3 3 3" xfId="5161" xr:uid="{A7CB6A0E-AFCA-47E9-AC5D-7FCC3D849795}"/>
    <cellStyle name="Total 7 3 4" xfId="4752" xr:uid="{2B8D3CD1-7D17-45DD-93DC-2A0E04B213ED}"/>
    <cellStyle name="Total 7 3 4 2" xfId="6132" xr:uid="{0729B3CB-BE9E-4D48-B929-34DA5E8AD3FE}"/>
    <cellStyle name="Total 7 3 4 3" xfId="6822" xr:uid="{E191D592-4D24-43CE-9DCB-9C9ACF9E9EBB}"/>
    <cellStyle name="Total 7 3 5" xfId="5535" xr:uid="{F79259AC-F53B-449C-87FE-9519E3913F56}"/>
    <cellStyle name="Total 8 2" xfId="3695" xr:uid="{00000000-0005-0000-0000-00001D110000}"/>
    <cellStyle name="Total 8 2 2" xfId="4386" xr:uid="{00000000-0005-0000-0000-00001E110000}"/>
    <cellStyle name="Total 8 2 2 2" xfId="5143" xr:uid="{C5AC22E6-7C33-4779-9842-64B0B754BF8A}"/>
    <cellStyle name="Total 8 2 2 2 2" xfId="6523" xr:uid="{EB7E2F43-1573-4A41-A02A-45F4ED6FB113}"/>
    <cellStyle name="Total 8 2 2 2 3" xfId="7213" xr:uid="{C2740494-13C1-47C9-840B-59571376F6D5}"/>
    <cellStyle name="Total 8 2 2 3" xfId="5160" xr:uid="{C3797B79-24FC-41F7-924C-07D1C3C2C393}"/>
    <cellStyle name="Total 8 2 3" xfId="4387" xr:uid="{00000000-0005-0000-0000-00001F110000}"/>
    <cellStyle name="Total 8 2 3 2" xfId="5144" xr:uid="{F4170D73-5B3E-4333-AE7B-49F91619D282}"/>
    <cellStyle name="Total 8 2 3 2 2" xfId="6524" xr:uid="{35DC53C3-FB25-4177-965F-749CC0D14C1C}"/>
    <cellStyle name="Total 8 2 3 2 3" xfId="7214" xr:uid="{2889E4CD-569E-4038-A77E-BFC9C8A0B513}"/>
    <cellStyle name="Total 8 2 3 3" xfId="5159" xr:uid="{0B397818-C9C2-4E9C-8A48-DDEE908DC0D1}"/>
    <cellStyle name="Total 8 2 4" xfId="4753" xr:uid="{10F42812-C95F-4EB0-A4E2-D6E3B3951F22}"/>
    <cellStyle name="Total 8 2 4 2" xfId="6133" xr:uid="{7C0C1A7C-6F4C-4E6B-8E51-CF18E172D35E}"/>
    <cellStyle name="Total 8 2 4 3" xfId="6823" xr:uid="{3F13F538-3EEF-4050-A2EF-6BD5244A52FA}"/>
    <cellStyle name="Total 8 2 5" xfId="5534" xr:uid="{E645559E-6DEB-4257-80FB-8A59134E2CC7}"/>
    <cellStyle name="Total 8 3" xfId="3696" xr:uid="{00000000-0005-0000-0000-000020110000}"/>
    <cellStyle name="Total 8 3 2" xfId="4388" xr:uid="{00000000-0005-0000-0000-000021110000}"/>
    <cellStyle name="Total 8 3 2 2" xfId="5145" xr:uid="{D1589677-0129-422C-9E48-12C42D5A3BFA}"/>
    <cellStyle name="Total 8 3 2 2 2" xfId="6525" xr:uid="{B094F0B9-EAB3-4C1A-8E9E-CD67E301A73C}"/>
    <cellStyle name="Total 8 3 2 2 3" xfId="7215" xr:uid="{28BC4EC5-E718-43B5-8225-E8F1FF317109}"/>
    <cellStyle name="Total 8 3 2 3" xfId="5158" xr:uid="{105272AD-4CBD-417D-AC68-37206F2BFA58}"/>
    <cellStyle name="Total 8 3 3" xfId="4389" xr:uid="{00000000-0005-0000-0000-000022110000}"/>
    <cellStyle name="Total 8 3 3 2" xfId="5146" xr:uid="{F5B67C7C-1677-4B54-8730-5AF1738C2904}"/>
    <cellStyle name="Total 8 3 3 2 2" xfId="6526" xr:uid="{40736350-D0B6-4463-98CD-F0747CC5021E}"/>
    <cellStyle name="Total 8 3 3 2 3" xfId="7216" xr:uid="{2376E54F-DB91-40FB-9182-A99C4A5849EC}"/>
    <cellStyle name="Total 8 3 3 3" xfId="5157" xr:uid="{9393FC2E-72FB-45FB-A8F8-2E6584E34B97}"/>
    <cellStyle name="Total 8 3 4" xfId="4754" xr:uid="{BC50B70E-074C-4416-9900-54D70B9A52D4}"/>
    <cellStyle name="Total 8 3 4 2" xfId="6134" xr:uid="{55E97566-7D5E-4FFD-8589-2ABB311FD194}"/>
    <cellStyle name="Total 8 3 4 3" xfId="6824" xr:uid="{DDA09D09-A705-4264-820E-7E80C4A1C92B}"/>
    <cellStyle name="Total 8 3 5" xfId="5533" xr:uid="{15EEFE24-BA75-4D31-999D-8D634E91AA26}"/>
    <cellStyle name="Total 9 2" xfId="3697" xr:uid="{00000000-0005-0000-0000-000023110000}"/>
    <cellStyle name="Total 9 2 2" xfId="4390" xr:uid="{00000000-0005-0000-0000-000024110000}"/>
    <cellStyle name="Total 9 2 2 2" xfId="5147" xr:uid="{2CA4848E-ACF6-4A2F-B833-B22A12802CD3}"/>
    <cellStyle name="Total 9 2 2 2 2" xfId="6527" xr:uid="{19D84C96-2756-434D-80BB-B0FE012941B2}"/>
    <cellStyle name="Total 9 2 2 2 3" xfId="7217" xr:uid="{47C95D1E-9DAC-4A86-A0EB-2CCB9E13B867}"/>
    <cellStyle name="Total 9 2 2 3" xfId="5156" xr:uid="{E3A873AE-5BC9-48BD-A9AF-2EF2425BFE1D}"/>
    <cellStyle name="Total 9 2 3" xfId="4391" xr:uid="{00000000-0005-0000-0000-000025110000}"/>
    <cellStyle name="Total 9 2 3 2" xfId="5148" xr:uid="{8A1D7995-D2AF-4F92-A0EF-54C9A86AF7D7}"/>
    <cellStyle name="Total 9 2 3 2 2" xfId="6528" xr:uid="{5FF0B174-6F3A-40E2-A28C-A1B2E0CCBAA1}"/>
    <cellStyle name="Total 9 2 3 2 3" xfId="7218" xr:uid="{78EF40E1-36AA-4F1F-98FD-B3CBBA4C383E}"/>
    <cellStyle name="Total 9 2 3 3" xfId="5155" xr:uid="{0B84356C-0898-4C58-94EC-A7F3CCD6F944}"/>
    <cellStyle name="Total 9 2 4" xfId="4755" xr:uid="{48B5A6CF-7614-46FB-B0BF-3C82C32F2127}"/>
    <cellStyle name="Total 9 2 4 2" xfId="6135" xr:uid="{19D3AFA9-2BD0-4825-9F07-DD618B37EA9A}"/>
    <cellStyle name="Total 9 2 4 3" xfId="6825" xr:uid="{EDEC40AC-E313-40C5-AF13-973788672AE8}"/>
    <cellStyle name="Total 9 2 5" xfId="5532" xr:uid="{94F81351-93D4-4328-A6CB-7655B64B9673}"/>
    <cellStyle name="Total 9 3" xfId="3698" xr:uid="{00000000-0005-0000-0000-000026110000}"/>
    <cellStyle name="Total 9 3 2" xfId="4392" xr:uid="{00000000-0005-0000-0000-000027110000}"/>
    <cellStyle name="Total 9 3 2 2" xfId="5149" xr:uid="{B169B01B-7B98-4D7F-B41E-82248FB9371E}"/>
    <cellStyle name="Total 9 3 2 2 2" xfId="6529" xr:uid="{1319EE39-D935-4EC3-ABFE-C81C5F962EDE}"/>
    <cellStyle name="Total 9 3 2 2 3" xfId="7219" xr:uid="{DDE765C9-0F9E-4800-A606-1EA749A66A49}"/>
    <cellStyle name="Total 9 3 2 3" xfId="5154" xr:uid="{A949AE8F-7859-47C8-85BC-F29F5D07D8A2}"/>
    <cellStyle name="Total 9 3 3" xfId="4393" xr:uid="{00000000-0005-0000-0000-000028110000}"/>
    <cellStyle name="Total 9 3 3 2" xfId="5150" xr:uid="{97793641-0288-45B3-BEA1-A273FA6F89F4}"/>
    <cellStyle name="Total 9 3 3 2 2" xfId="6530" xr:uid="{6E794705-1004-4E09-9EC7-054010247D31}"/>
    <cellStyle name="Total 9 3 3 2 3" xfId="7220" xr:uid="{A1121A35-442A-4BF2-AC29-23263E36F91A}"/>
    <cellStyle name="Total 9 3 3 3" xfId="5153" xr:uid="{D837960F-1527-45E5-AACB-434A38850E25}"/>
    <cellStyle name="Total 9 3 4" xfId="4756" xr:uid="{69CD123E-35F5-45A8-A037-DE8398A64E1A}"/>
    <cellStyle name="Total 9 3 4 2" xfId="6136" xr:uid="{A9BC4380-3706-4D97-A3EF-5D5F8C76C6EA}"/>
    <cellStyle name="Total 9 3 4 3" xfId="6826" xr:uid="{9F8E0619-8A24-4BBD-8551-905319A55A12}"/>
    <cellStyle name="Total 9 3 5" xfId="5531" xr:uid="{C13DEBE9-CE4A-4EA6-AE53-A407DC3C8B63}"/>
    <cellStyle name="TRANSMISSION RELIABILITY PORTION OF PROJECT" xfId="3699" xr:uid="{00000000-0005-0000-0000-000029110000}"/>
    <cellStyle name="Warning Text 10 2" xfId="3700" xr:uid="{00000000-0005-0000-0000-00002A110000}"/>
    <cellStyle name="Warning Text 10 3" xfId="3701" xr:uid="{00000000-0005-0000-0000-00002B110000}"/>
    <cellStyle name="Warning Text 11 2" xfId="3702" xr:uid="{00000000-0005-0000-0000-00002C110000}"/>
    <cellStyle name="Warning Text 11 3" xfId="3703" xr:uid="{00000000-0005-0000-0000-00002D110000}"/>
    <cellStyle name="Warning Text 12 2" xfId="3704" xr:uid="{00000000-0005-0000-0000-00002E110000}"/>
    <cellStyle name="Warning Text 12 3" xfId="3705" xr:uid="{00000000-0005-0000-0000-00002F110000}"/>
    <cellStyle name="Warning Text 13 2" xfId="3706" xr:uid="{00000000-0005-0000-0000-000030110000}"/>
    <cellStyle name="Warning Text 13 3" xfId="3707" xr:uid="{00000000-0005-0000-0000-000031110000}"/>
    <cellStyle name="Warning Text 14 2" xfId="3708" xr:uid="{00000000-0005-0000-0000-000032110000}"/>
    <cellStyle name="Warning Text 14 3" xfId="3709" xr:uid="{00000000-0005-0000-0000-000033110000}"/>
    <cellStyle name="Warning Text 15" xfId="3710" xr:uid="{00000000-0005-0000-0000-000034110000}"/>
    <cellStyle name="Warning Text 15 2" xfId="3711" xr:uid="{00000000-0005-0000-0000-000035110000}"/>
    <cellStyle name="Warning Text 15 3" xfId="3712" xr:uid="{00000000-0005-0000-0000-000036110000}"/>
    <cellStyle name="Warning Text 15 4" xfId="3713" xr:uid="{00000000-0005-0000-0000-000037110000}"/>
    <cellStyle name="Warning Text 15 5" xfId="3714" xr:uid="{00000000-0005-0000-0000-000038110000}"/>
    <cellStyle name="Warning Text 15 6" xfId="3715" xr:uid="{00000000-0005-0000-0000-000039110000}"/>
    <cellStyle name="Warning Text 15 7" xfId="3716" xr:uid="{00000000-0005-0000-0000-00003A110000}"/>
    <cellStyle name="Warning Text 16" xfId="3717" xr:uid="{00000000-0005-0000-0000-00003B110000}"/>
    <cellStyle name="Warning Text 17" xfId="3718" xr:uid="{00000000-0005-0000-0000-00003C110000}"/>
    <cellStyle name="Warning Text 18" xfId="3719" xr:uid="{00000000-0005-0000-0000-00003D110000}"/>
    <cellStyle name="Warning Text 19" xfId="3720" xr:uid="{00000000-0005-0000-0000-00003E110000}"/>
    <cellStyle name="Warning Text 2" xfId="3721" xr:uid="{00000000-0005-0000-0000-00003F110000}"/>
    <cellStyle name="Warning Text 2 2" xfId="3722" xr:uid="{00000000-0005-0000-0000-000040110000}"/>
    <cellStyle name="Warning Text 2 3" xfId="3723" xr:uid="{00000000-0005-0000-0000-000041110000}"/>
    <cellStyle name="Warning Text 2 4" xfId="4394" xr:uid="{00000000-0005-0000-0000-000042110000}"/>
    <cellStyle name="Warning Text 20" xfId="3724" xr:uid="{00000000-0005-0000-0000-000043110000}"/>
    <cellStyle name="Warning Text 21" xfId="3725" xr:uid="{00000000-0005-0000-0000-000044110000}"/>
    <cellStyle name="Warning Text 22" xfId="3726" xr:uid="{00000000-0005-0000-0000-000045110000}"/>
    <cellStyle name="Warning Text 3" xfId="3727" xr:uid="{00000000-0005-0000-0000-000046110000}"/>
    <cellStyle name="Warning Text 3 2" xfId="3728" xr:uid="{00000000-0005-0000-0000-000047110000}"/>
    <cellStyle name="Warning Text 3 3" xfId="3729" xr:uid="{00000000-0005-0000-0000-000048110000}"/>
    <cellStyle name="Warning Text 3 4" xfId="4395" xr:uid="{00000000-0005-0000-0000-000049110000}"/>
    <cellStyle name="Warning Text 4" xfId="3730" xr:uid="{00000000-0005-0000-0000-00004A110000}"/>
    <cellStyle name="Warning Text 4 2" xfId="3731" xr:uid="{00000000-0005-0000-0000-00004B110000}"/>
    <cellStyle name="Warning Text 4 3" xfId="3732" xr:uid="{00000000-0005-0000-0000-00004C110000}"/>
    <cellStyle name="Warning Text 5 2" xfId="3733" xr:uid="{00000000-0005-0000-0000-00004D110000}"/>
    <cellStyle name="Warning Text 5 3" xfId="3734" xr:uid="{00000000-0005-0000-0000-00004E110000}"/>
    <cellStyle name="Warning Text 6 2" xfId="3735" xr:uid="{00000000-0005-0000-0000-00004F110000}"/>
    <cellStyle name="Warning Text 6 3" xfId="3736" xr:uid="{00000000-0005-0000-0000-000050110000}"/>
    <cellStyle name="Warning Text 7 2" xfId="3737" xr:uid="{00000000-0005-0000-0000-000051110000}"/>
    <cellStyle name="Warning Text 7 3" xfId="3738" xr:uid="{00000000-0005-0000-0000-000052110000}"/>
    <cellStyle name="Warning Text 8 2" xfId="3739" xr:uid="{00000000-0005-0000-0000-000053110000}"/>
    <cellStyle name="Warning Text 8 3" xfId="3740" xr:uid="{00000000-0005-0000-0000-000054110000}"/>
    <cellStyle name="Warning Text 9 2" xfId="3741" xr:uid="{00000000-0005-0000-0000-000055110000}"/>
    <cellStyle name="Warning Text 9 3" xfId="3742" xr:uid="{00000000-0005-0000-0000-000056110000}"/>
    <cellStyle name="표준_ENERGY CONSUMP" xfId="3743" xr:uid="{00000000-0005-0000-0000-000057110000}"/>
    <cellStyle name="常规_海外市场服务网站资料操作BOM" xfId="3744" xr:uid="{00000000-0005-0000-0000-000058110000}"/>
  </cellStyles>
  <dxfs count="7">
    <dxf>
      <font>
        <b/>
        <i val="0"/>
        <color auto="1"/>
      </font>
      <fill>
        <patternFill>
          <bgColor theme="0" tint="-0.24994659260841701"/>
        </patternFill>
      </fill>
    </dxf>
    <dxf>
      <border>
        <left style="medium">
          <color theme="0" tint="-0.24994659260841701"/>
        </left>
        <right style="medium">
          <color theme="0" tint="-0.24994659260841701"/>
        </right>
        <top style="medium">
          <color theme="0" tint="-0.24994659260841701"/>
        </top>
        <bottom style="medium">
          <color theme="0" tint="-0.24994659260841701"/>
        </bottom>
        <vertical style="medium">
          <color theme="0" tint="-0.24994659260841701"/>
        </vertical>
        <horizontal style="medium">
          <color theme="0" tint="-0.24994659260841701"/>
        </horizontal>
      </border>
    </dxf>
    <dxf>
      <font>
        <b/>
        <i val="0"/>
        <color theme="3"/>
      </font>
      <fill>
        <patternFill>
          <bgColor theme="6"/>
        </patternFill>
      </fill>
    </dxf>
    <dxf>
      <font>
        <b/>
        <i val="0"/>
        <color theme="0"/>
      </font>
      <fill>
        <patternFill>
          <bgColor theme="4"/>
        </patternFill>
      </fill>
    </dxf>
    <dxf>
      <border>
        <left style="medium">
          <color theme="0" tint="-0.24994659260841701"/>
        </left>
        <right style="medium">
          <color theme="0" tint="-0.24994659260841701"/>
        </right>
        <top style="medium">
          <color theme="0" tint="-0.24994659260841701"/>
        </top>
        <bottom style="medium">
          <color theme="0" tint="-0.24994659260841701"/>
        </bottom>
        <vertical style="medium">
          <color theme="0" tint="-0.24994659260841701"/>
        </vertical>
        <horizontal style="medium">
          <color theme="0" tint="-0.24994659260841701"/>
        </horizontal>
      </border>
    </dxf>
    <dxf>
      <font>
        <b/>
        <i val="0"/>
        <color theme="0"/>
      </font>
      <fill>
        <patternFill>
          <bgColor theme="4"/>
        </patternFill>
      </fill>
    </dxf>
    <dxf>
      <border>
        <left style="medium">
          <color theme="0" tint="-0.24994659260841701"/>
        </left>
        <right style="medium">
          <color theme="0" tint="-0.24994659260841701"/>
        </right>
        <top style="medium">
          <color theme="0" tint="-0.24994659260841701"/>
        </top>
        <bottom style="medium">
          <color theme="0" tint="-0.24994659260841701"/>
        </bottom>
        <vertical style="medium">
          <color theme="0" tint="-0.24994659260841701"/>
        </vertical>
        <horizontal style="medium">
          <color theme="0" tint="-0.24994659260841701"/>
        </horizontal>
      </border>
    </dxf>
  </dxfs>
  <tableStyles count="3" defaultTableStyle="TableStyleMedium2" defaultPivotStyle="PivotStyleLight16">
    <tableStyle name="CADMUS" pivot="0" count="2" xr9:uid="{41341A1E-E9F6-49AD-9E4B-65F1ECBF5B7A}">
      <tableStyleElement type="wholeTable" dxfId="6"/>
      <tableStyleElement type="headerRow" dxfId="5"/>
    </tableStyle>
    <tableStyle name="CADMUS 2" pivot="0" count="3" xr9:uid="{16B32DE5-DC46-4EA9-8D0C-5722DAEA9A83}">
      <tableStyleElement type="wholeTable" dxfId="4"/>
      <tableStyleElement type="headerRow" dxfId="3"/>
      <tableStyleElement type="totalRow" dxfId="2"/>
    </tableStyle>
    <tableStyle name="CADMUS 3" pivot="0" count="2" xr9:uid="{89B6B1F5-19D4-44DB-A721-0F93FB6A11C2}">
      <tableStyleElement type="wholeTable" dxfId="1"/>
      <tableStyleElement type="headerRow" dxfId="0"/>
    </tableStyle>
  </tableStyles>
  <colors>
    <mruColors>
      <color rgb="FF4472C4"/>
      <color rgb="FFED911D"/>
      <color rgb="FFFF4747"/>
      <color rgb="FFFFFF00"/>
      <color rgb="FF0000FF"/>
      <color rgb="FFFF3300"/>
      <color rgb="FFADE0ED"/>
      <color rgb="FFFF9933"/>
      <color rgb="FFEBF1DE"/>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sharedStrings" Target="sharedString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theme" Target="theme/theme1.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v>Residential savings</c:v>
          </c:tx>
          <c:spPr>
            <a:solidFill>
              <a:srgbClr val="4472C4"/>
            </a:solidFill>
            <a:ln>
              <a:noFill/>
            </a:ln>
            <a:effectLst/>
          </c:spPr>
          <c:invertIfNegative val="0"/>
          <c:cat>
            <c:numRef>
              <c:f>'Company Portfolio Summary'!$AI$134:$AO$134</c:f>
              <c:numCache>
                <c:formatCode>General</c:formatCode>
                <c:ptCount val="7"/>
                <c:pt idx="0">
                  <c:v>2024</c:v>
                </c:pt>
                <c:pt idx="1">
                  <c:v>2025</c:v>
                </c:pt>
                <c:pt idx="2">
                  <c:v>2026</c:v>
                </c:pt>
                <c:pt idx="3">
                  <c:v>2027</c:v>
                </c:pt>
                <c:pt idx="4">
                  <c:v>2028</c:v>
                </c:pt>
                <c:pt idx="5">
                  <c:v>2029</c:v>
                </c:pt>
                <c:pt idx="6">
                  <c:v>2030</c:v>
                </c:pt>
              </c:numCache>
            </c:numRef>
          </c:cat>
          <c:val>
            <c:numRef>
              <c:f>'Company Portfolio Summary'!$AI$153:$AO$153</c:f>
              <c:numCache>
                <c:formatCode>_(* #,##0_);_(* \(#,##0\);_(* "-"??_);_(@_)</c:formatCode>
                <c:ptCount val="7"/>
                <c:pt idx="0">
                  <c:v>4730.8025868235409</c:v>
                </c:pt>
                <c:pt idx="1">
                  <c:v>7463.2957121091949</c:v>
                </c:pt>
                <c:pt idx="2">
                  <c:v>13332.822223951047</c:v>
                </c:pt>
                <c:pt idx="3">
                  <c:v>16069.97857937301</c:v>
                </c:pt>
                <c:pt idx="4">
                  <c:v>18860.166275043281</c:v>
                </c:pt>
                <c:pt idx="5">
                  <c:v>18860.258896619529</c:v>
                </c:pt>
                <c:pt idx="6">
                  <c:v>18860.356149274587</c:v>
                </c:pt>
              </c:numCache>
            </c:numRef>
          </c:val>
          <c:extLst>
            <c:ext xmlns:c16="http://schemas.microsoft.com/office/drawing/2014/chart" uri="{C3380CC4-5D6E-409C-BE32-E72D297353CC}">
              <c16:uniqueId val="{00000000-5FE8-489E-9D93-7A5DF67642D3}"/>
            </c:ext>
          </c:extLst>
        </c:ser>
        <c:ser>
          <c:idx val="0"/>
          <c:order val="1"/>
          <c:tx>
            <c:v>Business (non-residential) savings</c:v>
          </c:tx>
          <c:spPr>
            <a:solidFill>
              <a:srgbClr val="ED911D"/>
            </a:solidFill>
            <a:ln>
              <a:noFill/>
            </a:ln>
            <a:effectLst/>
          </c:spPr>
          <c:invertIfNegative val="0"/>
          <c:cat>
            <c:numRef>
              <c:f>'Company Portfolio Summary'!$AI$134:$AO$134</c:f>
              <c:numCache>
                <c:formatCode>General</c:formatCode>
                <c:ptCount val="7"/>
                <c:pt idx="0">
                  <c:v>2024</c:v>
                </c:pt>
                <c:pt idx="1">
                  <c:v>2025</c:v>
                </c:pt>
                <c:pt idx="2">
                  <c:v>2026</c:v>
                </c:pt>
                <c:pt idx="3">
                  <c:v>2027</c:v>
                </c:pt>
                <c:pt idx="4">
                  <c:v>2028</c:v>
                </c:pt>
                <c:pt idx="5">
                  <c:v>2029</c:v>
                </c:pt>
                <c:pt idx="6">
                  <c:v>2030</c:v>
                </c:pt>
              </c:numCache>
            </c:numRef>
          </c:cat>
          <c:val>
            <c:numRef>
              <c:f>'Company Portfolio Summary'!$AI$152:$AO$152</c:f>
              <c:numCache>
                <c:formatCode>_(* #,##0_);_(* \(#,##0\);_(* "-"??_);_(@_)</c:formatCode>
                <c:ptCount val="7"/>
                <c:pt idx="0">
                  <c:v>88003.278761116511</c:v>
                </c:pt>
                <c:pt idx="1">
                  <c:v>94309.04586966426</c:v>
                </c:pt>
                <c:pt idx="2">
                  <c:v>46748.679338960552</c:v>
                </c:pt>
                <c:pt idx="3">
                  <c:v>28921.077377758662</c:v>
                </c:pt>
                <c:pt idx="4">
                  <c:v>29249.035735611291</c:v>
                </c:pt>
                <c:pt idx="5">
                  <c:v>29354.236269285306</c:v>
                </c:pt>
                <c:pt idx="6">
                  <c:v>29249.544236608937</c:v>
                </c:pt>
              </c:numCache>
            </c:numRef>
          </c:val>
          <c:extLst>
            <c:ext xmlns:c16="http://schemas.microsoft.com/office/drawing/2014/chart" uri="{C3380CC4-5D6E-409C-BE32-E72D297353CC}">
              <c16:uniqueId val="{00000001-5FE8-489E-9D93-7A5DF67642D3}"/>
            </c:ext>
          </c:extLst>
        </c:ser>
        <c:dLbls>
          <c:showLegendKey val="0"/>
          <c:showVal val="0"/>
          <c:showCatName val="0"/>
          <c:showSerName val="0"/>
          <c:showPercent val="0"/>
          <c:showBubbleSize val="0"/>
        </c:dLbls>
        <c:gapWidth val="219"/>
        <c:overlap val="-27"/>
        <c:axId val="1363279248"/>
        <c:axId val="1363279728"/>
      </c:barChart>
      <c:catAx>
        <c:axId val="136327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3279728"/>
        <c:crosses val="autoZero"/>
        <c:auto val="1"/>
        <c:lblAlgn val="ctr"/>
        <c:lblOffset val="100"/>
        <c:noMultiLvlLbl val="0"/>
      </c:catAx>
      <c:valAx>
        <c:axId val="1363279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MWh</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363279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Residential</c:v>
          </c:tx>
          <c:spPr>
            <a:solidFill>
              <a:srgbClr val="4472C4"/>
            </a:solidFill>
            <a:ln>
              <a:noFill/>
            </a:ln>
            <a:effectLst/>
          </c:spPr>
          <c:invertIfNegative val="0"/>
          <c:cat>
            <c:strLit>
              <c:ptCount val="2"/>
              <c:pt idx="0">
                <c:v>Technical Potential</c:v>
              </c:pt>
              <c:pt idx="1">
                <c:v>Achievable Potential</c:v>
              </c:pt>
            </c:strLit>
          </c:cat>
          <c:val>
            <c:numRef>
              <c:f>('Company Portfolio Summary'!$AL$161,'Company Portfolio Summary'!$AN$161)</c:f>
              <c:numCache>
                <c:formatCode>0%</c:formatCode>
                <c:ptCount val="2"/>
                <c:pt idx="0">
                  <c:v>0.49162679425837319</c:v>
                </c:pt>
                <c:pt idx="1">
                  <c:v>0.22909585316111489</c:v>
                </c:pt>
              </c:numCache>
            </c:numRef>
          </c:val>
          <c:extLst>
            <c:ext xmlns:c16="http://schemas.microsoft.com/office/drawing/2014/chart" uri="{C3380CC4-5D6E-409C-BE32-E72D297353CC}">
              <c16:uniqueId val="{00000000-E6CC-4BBC-9F4E-1B12EC9BD10D}"/>
            </c:ext>
          </c:extLst>
        </c:ser>
        <c:ser>
          <c:idx val="1"/>
          <c:order val="1"/>
          <c:tx>
            <c:v>Business (non-residential)</c:v>
          </c:tx>
          <c:spPr>
            <a:solidFill>
              <a:srgbClr val="ED911D"/>
            </a:solidFill>
            <a:ln>
              <a:noFill/>
            </a:ln>
            <a:effectLst/>
          </c:spPr>
          <c:invertIfNegative val="0"/>
          <c:cat>
            <c:strLit>
              <c:ptCount val="2"/>
              <c:pt idx="0">
                <c:v>Technical Potential</c:v>
              </c:pt>
              <c:pt idx="1">
                <c:v>Achievable Potential</c:v>
              </c:pt>
            </c:strLit>
          </c:cat>
          <c:val>
            <c:numRef>
              <c:f>('Company Portfolio Summary'!$AL$165,'Company Portfolio Summary'!$AN$165)</c:f>
              <c:numCache>
                <c:formatCode>0%</c:formatCode>
                <c:ptCount val="2"/>
                <c:pt idx="0">
                  <c:v>0.50837320574162681</c:v>
                </c:pt>
                <c:pt idx="1">
                  <c:v>0.77090414683888508</c:v>
                </c:pt>
              </c:numCache>
            </c:numRef>
          </c:val>
          <c:extLst>
            <c:ext xmlns:c16="http://schemas.microsoft.com/office/drawing/2014/chart" uri="{C3380CC4-5D6E-409C-BE32-E72D297353CC}">
              <c16:uniqueId val="{00000001-E6CC-4BBC-9F4E-1B12EC9BD10D}"/>
            </c:ext>
          </c:extLst>
        </c:ser>
        <c:dLbls>
          <c:showLegendKey val="0"/>
          <c:showVal val="0"/>
          <c:showCatName val="0"/>
          <c:showSerName val="0"/>
          <c:showPercent val="0"/>
          <c:showBubbleSize val="0"/>
        </c:dLbls>
        <c:gapWidth val="150"/>
        <c:overlap val="100"/>
        <c:axId val="278536799"/>
        <c:axId val="278534399"/>
      </c:barChart>
      <c:catAx>
        <c:axId val="278536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8534399"/>
        <c:crosses val="autoZero"/>
        <c:auto val="1"/>
        <c:lblAlgn val="ctr"/>
        <c:lblOffset val="100"/>
        <c:noMultiLvlLbl val="0"/>
      </c:catAx>
      <c:valAx>
        <c:axId val="27853439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85367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spPr>
            <a:solidFill>
              <a:schemeClr val="accent1"/>
            </a:solidFill>
            <a:ln>
              <a:noFill/>
            </a:ln>
            <a:effectLst/>
          </c:spPr>
          <c:val>
            <c:numRef>
              <c:f>'Company Portfolio Summary'!$G$152:$M$152</c:f>
              <c:numCache>
                <c:formatCode>#,##0</c:formatCode>
                <c:ptCount val="7"/>
                <c:pt idx="0">
                  <c:v>3803137.5589529192</c:v>
                </c:pt>
                <c:pt idx="1">
                  <c:v>3803137.5589529192</c:v>
                </c:pt>
                <c:pt idx="2">
                  <c:v>3803137.5589529192</c:v>
                </c:pt>
                <c:pt idx="3">
                  <c:v>3803137.5589529192</c:v>
                </c:pt>
                <c:pt idx="4">
                  <c:v>3803137.5589529192</c:v>
                </c:pt>
                <c:pt idx="5">
                  <c:v>3803137.5589529192</c:v>
                </c:pt>
                <c:pt idx="6">
                  <c:v>3803137.5589529192</c:v>
                </c:pt>
              </c:numCache>
            </c:numRef>
          </c:val>
          <c:extLst>
            <c:ext xmlns:c16="http://schemas.microsoft.com/office/drawing/2014/chart" uri="{C3380CC4-5D6E-409C-BE32-E72D297353CC}">
              <c16:uniqueId val="{00000000-CC84-43D1-97DE-BD50AF638191}"/>
            </c:ext>
          </c:extLst>
        </c:ser>
        <c:ser>
          <c:idx val="1"/>
          <c:order val="1"/>
          <c:spPr>
            <a:solidFill>
              <a:schemeClr val="accent2"/>
            </a:solidFill>
            <a:ln>
              <a:noFill/>
            </a:ln>
            <a:effectLst/>
          </c:spPr>
          <c:val>
            <c:numRef>
              <c:f>'Company Portfolio Summary'!$G$153:$M$153</c:f>
              <c:numCache>
                <c:formatCode>#,##0</c:formatCode>
                <c:ptCount val="7"/>
                <c:pt idx="0">
                  <c:v>601590.33513920265</c:v>
                </c:pt>
                <c:pt idx="1">
                  <c:v>601590.33513920265</c:v>
                </c:pt>
                <c:pt idx="2">
                  <c:v>601590.33513920265</c:v>
                </c:pt>
                <c:pt idx="3">
                  <c:v>601590.33513920265</c:v>
                </c:pt>
                <c:pt idx="4">
                  <c:v>601590.33513920265</c:v>
                </c:pt>
                <c:pt idx="5">
                  <c:v>601590.33513920265</c:v>
                </c:pt>
                <c:pt idx="6">
                  <c:v>601590.33513920265</c:v>
                </c:pt>
              </c:numCache>
            </c:numRef>
          </c:val>
          <c:extLst>
            <c:ext xmlns:c16="http://schemas.microsoft.com/office/drawing/2014/chart" uri="{C3380CC4-5D6E-409C-BE32-E72D297353CC}">
              <c16:uniqueId val="{00000001-CC84-43D1-97DE-BD50AF638191}"/>
            </c:ext>
          </c:extLst>
        </c:ser>
        <c:ser>
          <c:idx val="2"/>
          <c:order val="2"/>
          <c:spPr>
            <a:solidFill>
              <a:schemeClr val="accent3"/>
            </a:solidFill>
            <a:ln>
              <a:noFill/>
            </a:ln>
            <a:effectLst/>
          </c:spPr>
          <c:val>
            <c:numRef>
              <c:f>'Company Portfolio Summary'!$G$154:$M$154</c:f>
              <c:numCache>
                <c:formatCode>#,##0</c:formatCode>
                <c:ptCount val="7"/>
                <c:pt idx="0">
                  <c:v>0</c:v>
                </c:pt>
                <c:pt idx="1">
                  <c:v>0</c:v>
                </c:pt>
                <c:pt idx="2">
                  <c:v>4542653.2653061226</c:v>
                </c:pt>
                <c:pt idx="3">
                  <c:v>5299762.1428571437</c:v>
                </c:pt>
                <c:pt idx="4">
                  <c:v>6056871.0204081628</c:v>
                </c:pt>
                <c:pt idx="5">
                  <c:v>6056871.0204081628</c:v>
                </c:pt>
                <c:pt idx="6">
                  <c:v>6056871.0204081628</c:v>
                </c:pt>
              </c:numCache>
            </c:numRef>
          </c:val>
          <c:extLst>
            <c:ext xmlns:c16="http://schemas.microsoft.com/office/drawing/2014/chart" uri="{C3380CC4-5D6E-409C-BE32-E72D297353CC}">
              <c16:uniqueId val="{00000002-CC84-43D1-97DE-BD50AF638191}"/>
            </c:ext>
          </c:extLst>
        </c:ser>
        <c:ser>
          <c:idx val="3"/>
          <c:order val="3"/>
          <c:spPr>
            <a:solidFill>
              <a:schemeClr val="accent4"/>
            </a:solidFill>
            <a:ln>
              <a:noFill/>
            </a:ln>
            <a:effectLst/>
          </c:spPr>
          <c:val>
            <c:numRef>
              <c:f>'Company Portfolio Summary'!$G$155:$M$155</c:f>
              <c:numCache>
                <c:formatCode>#,##0</c:formatCode>
                <c:ptCount val="7"/>
                <c:pt idx="0">
                  <c:v>326074.69273141853</c:v>
                </c:pt>
                <c:pt idx="1">
                  <c:v>650701.58546283701</c:v>
                </c:pt>
                <c:pt idx="2">
                  <c:v>1299882.9809256741</c:v>
                </c:pt>
                <c:pt idx="3">
                  <c:v>2598169.7623513481</c:v>
                </c:pt>
                <c:pt idx="4">
                  <c:v>3728750.338488658</c:v>
                </c:pt>
                <c:pt idx="5">
                  <c:v>3728842.960064908</c:v>
                </c:pt>
                <c:pt idx="6">
                  <c:v>3728940.2127199704</c:v>
                </c:pt>
              </c:numCache>
            </c:numRef>
          </c:val>
          <c:extLst>
            <c:ext xmlns:c16="http://schemas.microsoft.com/office/drawing/2014/chart" uri="{C3380CC4-5D6E-409C-BE32-E72D297353CC}">
              <c16:uniqueId val="{00000003-CC84-43D1-97DE-BD50AF638191}"/>
            </c:ext>
          </c:extLst>
        </c:ser>
        <c:ser>
          <c:idx val="4"/>
          <c:order val="4"/>
          <c:spPr>
            <a:solidFill>
              <a:schemeClr val="accent5"/>
            </a:solidFill>
            <a:ln>
              <a:noFill/>
            </a:ln>
            <a:effectLst/>
          </c:spPr>
          <c:val>
            <c:numRef>
              <c:f>'Company Portfolio Summary'!$G$156:$M$156</c:f>
              <c:numCache>
                <c:formatCode>#,##0</c:formatCode>
                <c:ptCount val="7"/>
                <c:pt idx="0">
                  <c:v>0</c:v>
                </c:pt>
                <c:pt idx="1">
                  <c:v>2407866.2325542364</c:v>
                </c:pt>
                <c:pt idx="2">
                  <c:v>3085558.083627129</c:v>
                </c:pt>
                <c:pt idx="3">
                  <c:v>3767318.7800723948</c:v>
                </c:pt>
                <c:pt idx="4">
                  <c:v>4669817.0220543351</c:v>
                </c:pt>
                <c:pt idx="5">
                  <c:v>4669817.0220543351</c:v>
                </c:pt>
                <c:pt idx="6">
                  <c:v>4669817.0220543351</c:v>
                </c:pt>
              </c:numCache>
            </c:numRef>
          </c:val>
          <c:extLst>
            <c:ext xmlns:c16="http://schemas.microsoft.com/office/drawing/2014/chart" uri="{C3380CC4-5D6E-409C-BE32-E72D297353CC}">
              <c16:uniqueId val="{00000004-CC84-43D1-97DE-BD50AF638191}"/>
            </c:ext>
          </c:extLst>
        </c:ser>
        <c:ser>
          <c:idx val="5"/>
          <c:order val="5"/>
          <c:spPr>
            <a:solidFill>
              <a:schemeClr val="accent6"/>
            </a:solidFill>
            <a:ln>
              <a:noFill/>
            </a:ln>
            <a:effectLst/>
          </c:spPr>
          <c:val>
            <c:numRef>
              <c:f>'Company Portfolio Summary'!$G$157:$M$157</c:f>
              <c:numCache>
                <c:formatCode>#,##0</c:formatCode>
                <c:ptCount val="7"/>
                <c:pt idx="0">
                  <c:v>87497146.197729841</c:v>
                </c:pt>
                <c:pt idx="1">
                  <c:v>93511245.43083182</c:v>
                </c:pt>
                <c:pt idx="2">
                  <c:v>45867765.984191194</c:v>
                </c:pt>
                <c:pt idx="3">
                  <c:v>27930617.671303935</c:v>
                </c:pt>
                <c:pt idx="4">
                  <c:v>28145278.287864756</c:v>
                </c:pt>
                <c:pt idx="5">
                  <c:v>28135590.395709727</c:v>
                </c:pt>
                <c:pt idx="6">
                  <c:v>28030898.363033358</c:v>
                </c:pt>
              </c:numCache>
            </c:numRef>
          </c:val>
          <c:extLst>
            <c:ext xmlns:c16="http://schemas.microsoft.com/office/drawing/2014/chart" uri="{C3380CC4-5D6E-409C-BE32-E72D297353CC}">
              <c16:uniqueId val="{00000005-CC84-43D1-97DE-BD50AF638191}"/>
            </c:ext>
          </c:extLst>
        </c:ser>
        <c:ser>
          <c:idx val="6"/>
          <c:order val="6"/>
          <c:spPr>
            <a:solidFill>
              <a:schemeClr val="accent1">
                <a:lumMod val="60000"/>
              </a:schemeClr>
            </a:solidFill>
            <a:ln>
              <a:noFill/>
            </a:ln>
            <a:effectLst/>
          </c:spPr>
          <c:val>
            <c:numRef>
              <c:f>'Company Portfolio Summary'!$G$158:$M$158</c:f>
              <c:numCache>
                <c:formatCode>#,##0</c:formatCode>
                <c:ptCount val="7"/>
                <c:pt idx="0">
                  <c:v>218264.29362199522</c:v>
                </c:pt>
                <c:pt idx="1">
                  <c:v>436528.58724399045</c:v>
                </c:pt>
                <c:pt idx="2">
                  <c:v>436528.58724399045</c:v>
                </c:pt>
                <c:pt idx="3">
                  <c:v>436528.58724399045</c:v>
                </c:pt>
                <c:pt idx="4">
                  <c:v>436528.58724399045</c:v>
                </c:pt>
                <c:pt idx="5">
                  <c:v>436528.58724399045</c:v>
                </c:pt>
                <c:pt idx="6">
                  <c:v>436528.58724399045</c:v>
                </c:pt>
              </c:numCache>
            </c:numRef>
          </c:val>
          <c:extLst>
            <c:ext xmlns:c16="http://schemas.microsoft.com/office/drawing/2014/chart" uri="{C3380CC4-5D6E-409C-BE32-E72D297353CC}">
              <c16:uniqueId val="{00000006-CC84-43D1-97DE-BD50AF638191}"/>
            </c:ext>
          </c:extLst>
        </c:ser>
        <c:ser>
          <c:idx val="7"/>
          <c:order val="7"/>
          <c:spPr>
            <a:solidFill>
              <a:schemeClr val="accent2">
                <a:lumMod val="60000"/>
              </a:schemeClr>
            </a:solidFill>
            <a:ln>
              <a:noFill/>
            </a:ln>
            <a:effectLst/>
          </c:spPr>
          <c:val>
            <c:numRef>
              <c:f>'Company Portfolio Summary'!$G$159:$M$159</c:f>
              <c:numCache>
                <c:formatCode>#,##0</c:formatCode>
                <c:ptCount val="7"/>
                <c:pt idx="0">
                  <c:v>287868.26976466214</c:v>
                </c:pt>
                <c:pt idx="1">
                  <c:v>361271.85158846271</c:v>
                </c:pt>
                <c:pt idx="2">
                  <c:v>444384.76752536953</c:v>
                </c:pt>
                <c:pt idx="3">
                  <c:v>553931.11921073741</c:v>
                </c:pt>
                <c:pt idx="4">
                  <c:v>667228.86050254409</c:v>
                </c:pt>
                <c:pt idx="5">
                  <c:v>782117.2863315891</c:v>
                </c:pt>
                <c:pt idx="6">
                  <c:v>782117.2863315891</c:v>
                </c:pt>
              </c:numCache>
            </c:numRef>
          </c:val>
          <c:extLst>
            <c:ext xmlns:c16="http://schemas.microsoft.com/office/drawing/2014/chart" uri="{C3380CC4-5D6E-409C-BE32-E72D297353CC}">
              <c16:uniqueId val="{00000007-CC84-43D1-97DE-BD50AF638191}"/>
            </c:ext>
          </c:extLst>
        </c:ser>
        <c:ser>
          <c:idx val="8"/>
          <c:order val="8"/>
          <c:spPr>
            <a:solidFill>
              <a:schemeClr val="accent3">
                <a:lumMod val="60000"/>
              </a:schemeClr>
            </a:solidFill>
            <a:ln>
              <a:noFill/>
            </a:ln>
            <a:effectLst/>
          </c:spPr>
          <c:val>
            <c:numRef>
              <c:f>'Company Portfolio Summary'!$G$160:$M$160</c:f>
              <c:numCache>
                <c:formatCode>#,##0</c:formatCode>
                <c:ptCount val="7"/>
                <c:pt idx="0">
                  <c:v>0</c:v>
                </c:pt>
                <c:pt idx="1">
                  <c:v>0</c:v>
                </c:pt>
                <c:pt idx="2">
                  <c:v>70527597.921308637</c:v>
                </c:pt>
                <c:pt idx="3">
                  <c:v>105791391.38167283</c:v>
                </c:pt>
                <c:pt idx="4">
                  <c:v>105791391.38167283</c:v>
                </c:pt>
                <c:pt idx="5">
                  <c:v>84633113.105338261</c:v>
                </c:pt>
                <c:pt idx="6">
                  <c:v>67706490.484270602</c:v>
                </c:pt>
              </c:numCache>
            </c:numRef>
          </c:val>
          <c:extLst>
            <c:ext xmlns:c16="http://schemas.microsoft.com/office/drawing/2014/chart" uri="{C3380CC4-5D6E-409C-BE32-E72D297353CC}">
              <c16:uniqueId val="{00000008-CC84-43D1-97DE-BD50AF638191}"/>
            </c:ext>
          </c:extLst>
        </c:ser>
        <c:dLbls>
          <c:showLegendKey val="0"/>
          <c:showVal val="0"/>
          <c:showCatName val="0"/>
          <c:showSerName val="0"/>
          <c:showPercent val="0"/>
          <c:showBubbleSize val="0"/>
        </c:dLbls>
        <c:axId val="671049279"/>
        <c:axId val="671050239"/>
      </c:areaChart>
      <c:catAx>
        <c:axId val="67104927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050239"/>
        <c:crosses val="autoZero"/>
        <c:auto val="1"/>
        <c:lblAlgn val="ctr"/>
        <c:lblOffset val="100"/>
        <c:noMultiLvlLbl val="0"/>
      </c:catAx>
      <c:valAx>
        <c:axId val="6710502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0492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'Company Portfolio Summary'!$AU$150:$AU$156</c:f>
              <c:numCache>
                <c:formatCode>_(* #,##0_);_(* \(#,##0\);_(* "-"??_);_(@_)</c:formatCode>
                <c:ptCount val="7"/>
                <c:pt idx="0">
                  <c:v>311.26966633157275</c:v>
                </c:pt>
                <c:pt idx="1">
                  <c:v>58.466087145338797</c:v>
                </c:pt>
                <c:pt idx="2">
                  <c:v>709.27020408163276</c:v>
                </c:pt>
                <c:pt idx="3">
                  <c:v>0</c:v>
                </c:pt>
                <c:pt idx="4">
                  <c:v>383.58770340715751</c:v>
                </c:pt>
                <c:pt idx="5">
                  <c:v>7267.7359743980014</c:v>
                </c:pt>
                <c:pt idx="6">
                  <c:v>116.48132344316969</c:v>
                </c:pt>
              </c:numCache>
            </c:numRef>
          </c:val>
          <c:extLst>
            <c:ext xmlns:c16="http://schemas.microsoft.com/office/drawing/2014/chart" uri="{C3380CC4-5D6E-409C-BE32-E72D297353CC}">
              <c16:uniqueId val="{00000000-EE50-4CAF-A58D-BC0C52BF8E88}"/>
            </c:ext>
          </c:extLst>
        </c:ser>
        <c:ser>
          <c:idx val="1"/>
          <c:order val="1"/>
          <c:spPr>
            <a:solidFill>
              <a:schemeClr val="accent2"/>
            </a:solidFill>
            <a:ln>
              <a:noFill/>
            </a:ln>
            <a:effectLst/>
          </c:spPr>
          <c:invertIfNegative val="0"/>
          <c:val>
            <c:numRef>
              <c:f>'Company Portfolio Summary'!$AV$150:$AV$156</c:f>
              <c:numCache>
                <c:formatCode>_(* #,##0.00_);_(* \(#,##0.00\);_(* "-"??_);_(@_)</c:formatCode>
                <c:ptCount val="7"/>
                <c:pt idx="0">
                  <c:v>434.14812316814147</c:v>
                </c:pt>
                <c:pt idx="1">
                  <c:v>68.674695792146423</c:v>
                </c:pt>
                <c:pt idx="2">
                  <c:v>691.42363246668526</c:v>
                </c:pt>
                <c:pt idx="3">
                  <c:v>425.67810647488244</c:v>
                </c:pt>
                <c:pt idx="4">
                  <c:v>533.08413493770945</c:v>
                </c:pt>
                <c:pt idx="5">
                  <c:v>3199.8742423554063</c:v>
                </c:pt>
                <c:pt idx="6">
                  <c:v>49.832030507304843</c:v>
                </c:pt>
              </c:numCache>
            </c:numRef>
          </c:val>
          <c:extLst>
            <c:ext xmlns:c16="http://schemas.microsoft.com/office/drawing/2014/chart" uri="{C3380CC4-5D6E-409C-BE32-E72D297353CC}">
              <c16:uniqueId val="{00000001-EE50-4CAF-A58D-BC0C52BF8E88}"/>
            </c:ext>
          </c:extLst>
        </c:ser>
        <c:dLbls>
          <c:showLegendKey val="0"/>
          <c:showVal val="0"/>
          <c:showCatName val="0"/>
          <c:showSerName val="0"/>
          <c:showPercent val="0"/>
          <c:showBubbleSize val="0"/>
        </c:dLbls>
        <c:gapWidth val="219"/>
        <c:overlap val="-27"/>
        <c:axId val="2055863039"/>
        <c:axId val="2055863519"/>
      </c:barChart>
      <c:catAx>
        <c:axId val="205586303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63519"/>
        <c:crosses val="autoZero"/>
        <c:auto val="1"/>
        <c:lblAlgn val="ctr"/>
        <c:lblOffset val="100"/>
        <c:noMultiLvlLbl val="0"/>
      </c:catAx>
      <c:valAx>
        <c:axId val="205586351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63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'Residential Audit Online'!$AE$51:$AJ$51</c:f>
              <c:numCache>
                <c:formatCode>0</c:formatCode>
                <c:ptCount val="6"/>
                <c:pt idx="0">
                  <c:v>928.5</c:v>
                </c:pt>
                <c:pt idx="1">
                  <c:v>1207.5</c:v>
                </c:pt>
                <c:pt idx="2">
                  <c:v>1487</c:v>
                </c:pt>
                <c:pt idx="3">
                  <c:v>1859</c:v>
                </c:pt>
                <c:pt idx="4">
                  <c:v>1859</c:v>
                </c:pt>
                <c:pt idx="5">
                  <c:v>1859</c:v>
                </c:pt>
              </c:numCache>
            </c:numRef>
          </c:val>
          <c:extLst>
            <c:ext xmlns:c16="http://schemas.microsoft.com/office/drawing/2014/chart" uri="{C3380CC4-5D6E-409C-BE32-E72D297353CC}">
              <c16:uniqueId val="{00000000-B2A6-4A3F-BB7E-E1A6D53BAE7E}"/>
            </c:ext>
          </c:extLst>
        </c:ser>
        <c:dLbls>
          <c:showLegendKey val="0"/>
          <c:showVal val="0"/>
          <c:showCatName val="0"/>
          <c:showSerName val="0"/>
          <c:showPercent val="0"/>
          <c:showBubbleSize val="0"/>
        </c:dLbls>
        <c:gapWidth val="219"/>
        <c:overlap val="-27"/>
        <c:axId val="1974685504"/>
        <c:axId val="1974698464"/>
      </c:barChart>
      <c:catAx>
        <c:axId val="19746855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698464"/>
        <c:crosses val="autoZero"/>
        <c:auto val="1"/>
        <c:lblAlgn val="ctr"/>
        <c:lblOffset val="100"/>
        <c:noMultiLvlLbl val="0"/>
      </c:catAx>
      <c:valAx>
        <c:axId val="1974698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685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17" Type="http://schemas.openxmlformats.org/officeDocument/2006/relationships/chart" Target="../charts/chart5.xml"/><Relationship Id="rId2" Type="http://schemas.openxmlformats.org/officeDocument/2006/relationships/image" Target="../media/image16.png"/><Relationship Id="rId16" Type="http://schemas.openxmlformats.org/officeDocument/2006/relationships/image" Target="../media/image30.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5" Type="http://schemas.openxmlformats.org/officeDocument/2006/relationships/image" Target="../media/image2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34.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33.png"/><Relationship Id="rId5" Type="http://schemas.openxmlformats.org/officeDocument/2006/relationships/image" Target="../media/image5.png"/><Relationship Id="rId10" Type="http://schemas.openxmlformats.org/officeDocument/2006/relationships/image" Target="../media/image32.png"/><Relationship Id="rId4" Type="http://schemas.openxmlformats.org/officeDocument/2006/relationships/image" Target="../media/image4.png"/><Relationship Id="rId9"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10</xdr:col>
      <xdr:colOff>604611</xdr:colOff>
      <xdr:row>1</xdr:row>
      <xdr:rowOff>124734</xdr:rowOff>
    </xdr:from>
    <xdr:to>
      <xdr:col>21</xdr:col>
      <xdr:colOff>435429</xdr:colOff>
      <xdr:row>21</xdr:row>
      <xdr:rowOff>73480</xdr:rowOff>
    </xdr:to>
    <xdr:graphicFrame macro="">
      <xdr:nvGraphicFramePr>
        <xdr:cNvPr id="2" name="Chart 1">
          <a:extLst>
            <a:ext uri="{FF2B5EF4-FFF2-40B4-BE49-F238E27FC236}">
              <a16:creationId xmlns:a16="http://schemas.microsoft.com/office/drawing/2014/main" id="{D512E859-6A1D-40A5-BC2F-2E1965F57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172358</xdr:colOff>
      <xdr:row>2</xdr:row>
      <xdr:rowOff>72571</xdr:rowOff>
    </xdr:from>
    <xdr:to>
      <xdr:col>10</xdr:col>
      <xdr:colOff>27668</xdr:colOff>
      <xdr:row>21</xdr:row>
      <xdr:rowOff>115662</xdr:rowOff>
    </xdr:to>
    <xdr:graphicFrame macro="">
      <xdr:nvGraphicFramePr>
        <xdr:cNvPr id="3" name="Chart 2">
          <a:extLst>
            <a:ext uri="{FF2B5EF4-FFF2-40B4-BE49-F238E27FC236}">
              <a16:creationId xmlns:a16="http://schemas.microsoft.com/office/drawing/2014/main" id="{C3FB65BA-9328-4517-988A-A7B10D74C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12</xdr:col>
      <xdr:colOff>399162</xdr:colOff>
      <xdr:row>102</xdr:row>
      <xdr:rowOff>8729</xdr:rowOff>
    </xdr:to>
    <xdr:pic>
      <xdr:nvPicPr>
        <xdr:cNvPr id="2" name="Picture 1">
          <a:extLst>
            <a:ext uri="{FF2B5EF4-FFF2-40B4-BE49-F238E27FC236}">
              <a16:creationId xmlns:a16="http://schemas.microsoft.com/office/drawing/2014/main" id="{1BF21E7A-4158-45E2-B9E3-165AFA7646A8}"/>
            </a:ext>
          </a:extLst>
        </xdr:cNvPr>
        <xdr:cNvPicPr>
          <a:picLocks noChangeAspect="1"/>
        </xdr:cNvPicPr>
      </xdr:nvPicPr>
      <xdr:blipFill>
        <a:blip xmlns:r="http://schemas.openxmlformats.org/officeDocument/2006/relationships" r:embed="rId1"/>
        <a:stretch>
          <a:fillRect/>
        </a:stretch>
      </xdr:blipFill>
      <xdr:spPr>
        <a:xfrm>
          <a:off x="171450" y="381000"/>
          <a:ext cx="7104762" cy="6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1772957</xdr:colOff>
      <xdr:row>151</xdr:row>
      <xdr:rowOff>85912</xdr:rowOff>
    </xdr:from>
    <xdr:to>
      <xdr:col>4</xdr:col>
      <xdr:colOff>1353483</xdr:colOff>
      <xdr:row>169</xdr:row>
      <xdr:rowOff>2055</xdr:rowOff>
    </xdr:to>
    <xdr:graphicFrame macro="">
      <xdr:nvGraphicFramePr>
        <xdr:cNvPr id="2" name="Chart 1">
          <a:extLst>
            <a:ext uri="{FF2B5EF4-FFF2-40B4-BE49-F238E27FC236}">
              <a16:creationId xmlns:a16="http://schemas.microsoft.com/office/drawing/2014/main" id="{5C39C49D-DA14-62A0-D708-4DFCAA1D16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753222</xdr:colOff>
      <xdr:row>150</xdr:row>
      <xdr:rowOff>76386</xdr:rowOff>
    </xdr:from>
    <xdr:to>
      <xdr:col>44</xdr:col>
      <xdr:colOff>1219013</xdr:colOff>
      <xdr:row>167</xdr:row>
      <xdr:rowOff>152586</xdr:rowOff>
    </xdr:to>
    <xdr:graphicFrame macro="">
      <xdr:nvGraphicFramePr>
        <xdr:cNvPr id="3" name="Chart 2">
          <a:extLst>
            <a:ext uri="{FF2B5EF4-FFF2-40B4-BE49-F238E27FC236}">
              <a16:creationId xmlns:a16="http://schemas.microsoft.com/office/drawing/2014/main" id="{0BAA3E16-47C2-A2F3-89CD-AA64CE4A5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4970</xdr:colOff>
      <xdr:row>38</xdr:row>
      <xdr:rowOff>49694</xdr:rowOff>
    </xdr:from>
    <xdr:to>
      <xdr:col>2</xdr:col>
      <xdr:colOff>655983</xdr:colOff>
      <xdr:row>46</xdr:row>
      <xdr:rowOff>142387</xdr:rowOff>
    </xdr:to>
    <xdr:pic>
      <xdr:nvPicPr>
        <xdr:cNvPr id="2" name="Picture 6">
          <a:extLst>
            <a:ext uri="{FF2B5EF4-FFF2-40B4-BE49-F238E27FC236}">
              <a16:creationId xmlns:a16="http://schemas.microsoft.com/office/drawing/2014/main" id="{098DB525-AA41-49E8-AF97-777746FEFBE9}"/>
            </a:ext>
          </a:extLst>
        </xdr:cNvPr>
        <xdr:cNvPicPr>
          <a:picLocks noChangeAspect="1"/>
        </xdr:cNvPicPr>
      </xdr:nvPicPr>
      <xdr:blipFill>
        <a:blip xmlns:r="http://schemas.openxmlformats.org/officeDocument/2006/relationships" r:embed="rId1"/>
        <a:stretch>
          <a:fillRect/>
        </a:stretch>
      </xdr:blipFill>
      <xdr:spPr>
        <a:xfrm>
          <a:off x="613105" y="5046656"/>
          <a:ext cx="5293107" cy="1379056"/>
        </a:xfrm>
        <a:prstGeom prst="rect">
          <a:avLst/>
        </a:prstGeom>
      </xdr:spPr>
    </xdr:pic>
    <xdr:clientData/>
  </xdr:twoCellAnchor>
  <xdr:twoCellAnchor editAs="oneCell">
    <xdr:from>
      <xdr:col>0</xdr:col>
      <xdr:colOff>596901</xdr:colOff>
      <xdr:row>69</xdr:row>
      <xdr:rowOff>152400</xdr:rowOff>
    </xdr:from>
    <xdr:to>
      <xdr:col>2</xdr:col>
      <xdr:colOff>520700</xdr:colOff>
      <xdr:row>90</xdr:row>
      <xdr:rowOff>60052</xdr:rowOff>
    </xdr:to>
    <xdr:pic>
      <xdr:nvPicPr>
        <xdr:cNvPr id="3" name="Picture 2">
          <a:extLst>
            <a:ext uri="{FF2B5EF4-FFF2-40B4-BE49-F238E27FC236}">
              <a16:creationId xmlns:a16="http://schemas.microsoft.com/office/drawing/2014/main" id="{155697B2-B4ED-4482-8C44-466E27A16251}"/>
            </a:ext>
          </a:extLst>
        </xdr:cNvPr>
        <xdr:cNvPicPr>
          <a:picLocks noChangeAspect="1"/>
        </xdr:cNvPicPr>
      </xdr:nvPicPr>
      <xdr:blipFill>
        <a:blip xmlns:r="http://schemas.openxmlformats.org/officeDocument/2006/relationships" r:embed="rId2"/>
        <a:stretch>
          <a:fillRect/>
        </a:stretch>
      </xdr:blipFill>
      <xdr:spPr>
        <a:xfrm>
          <a:off x="596901" y="32299275"/>
          <a:ext cx="5178424" cy="3308076"/>
        </a:xfrm>
        <a:prstGeom prst="rect">
          <a:avLst/>
        </a:prstGeom>
      </xdr:spPr>
    </xdr:pic>
    <xdr:clientData/>
  </xdr:twoCellAnchor>
  <xdr:twoCellAnchor editAs="oneCell">
    <xdr:from>
      <xdr:col>4</xdr:col>
      <xdr:colOff>0</xdr:colOff>
      <xdr:row>39</xdr:row>
      <xdr:rowOff>1</xdr:rowOff>
    </xdr:from>
    <xdr:to>
      <xdr:col>8</xdr:col>
      <xdr:colOff>617997</xdr:colOff>
      <xdr:row>46</xdr:row>
      <xdr:rowOff>105752</xdr:rowOff>
    </xdr:to>
    <xdr:pic>
      <xdr:nvPicPr>
        <xdr:cNvPr id="4" name="Picture 3">
          <a:extLst>
            <a:ext uri="{FF2B5EF4-FFF2-40B4-BE49-F238E27FC236}">
              <a16:creationId xmlns:a16="http://schemas.microsoft.com/office/drawing/2014/main" id="{B83EE013-EA50-4139-93AC-CF59F71B8E4E}"/>
            </a:ext>
          </a:extLst>
        </xdr:cNvPr>
        <xdr:cNvPicPr>
          <a:picLocks noChangeAspect="1"/>
        </xdr:cNvPicPr>
      </xdr:nvPicPr>
      <xdr:blipFill>
        <a:blip xmlns:r="http://schemas.openxmlformats.org/officeDocument/2006/relationships" r:embed="rId3"/>
        <a:stretch>
          <a:fillRect/>
        </a:stretch>
      </xdr:blipFill>
      <xdr:spPr>
        <a:xfrm>
          <a:off x="10096500" y="5158155"/>
          <a:ext cx="6460191" cy="1230922"/>
        </a:xfrm>
        <a:prstGeom prst="rect">
          <a:avLst/>
        </a:prstGeom>
      </xdr:spPr>
    </xdr:pic>
    <xdr:clientData/>
  </xdr:twoCellAnchor>
  <xdr:twoCellAnchor editAs="oneCell">
    <xdr:from>
      <xdr:col>3</xdr:col>
      <xdr:colOff>2044700</xdr:colOff>
      <xdr:row>69</xdr:row>
      <xdr:rowOff>95251</xdr:rowOff>
    </xdr:from>
    <xdr:to>
      <xdr:col>5</xdr:col>
      <xdr:colOff>76200</xdr:colOff>
      <xdr:row>73</xdr:row>
      <xdr:rowOff>46484</xdr:rowOff>
    </xdr:to>
    <xdr:pic>
      <xdr:nvPicPr>
        <xdr:cNvPr id="5" name="Picture 4">
          <a:extLst>
            <a:ext uri="{FF2B5EF4-FFF2-40B4-BE49-F238E27FC236}">
              <a16:creationId xmlns:a16="http://schemas.microsoft.com/office/drawing/2014/main" id="{437C4778-D624-40FA-A236-E91F16D07417}"/>
            </a:ext>
          </a:extLst>
        </xdr:cNvPr>
        <xdr:cNvPicPr>
          <a:picLocks noChangeAspect="1"/>
        </xdr:cNvPicPr>
      </xdr:nvPicPr>
      <xdr:blipFill>
        <a:blip xmlns:r="http://schemas.openxmlformats.org/officeDocument/2006/relationships" r:embed="rId4"/>
        <a:stretch>
          <a:fillRect/>
        </a:stretch>
      </xdr:blipFill>
      <xdr:spPr>
        <a:xfrm>
          <a:off x="6959600" y="32242126"/>
          <a:ext cx="3117850" cy="602107"/>
        </a:xfrm>
        <a:prstGeom prst="rect">
          <a:avLst/>
        </a:prstGeom>
      </xdr:spPr>
    </xdr:pic>
    <xdr:clientData/>
  </xdr:twoCellAnchor>
  <xdr:twoCellAnchor editAs="oneCell">
    <xdr:from>
      <xdr:col>4</xdr:col>
      <xdr:colOff>28575</xdr:colOff>
      <xdr:row>72</xdr:row>
      <xdr:rowOff>79375</xdr:rowOff>
    </xdr:from>
    <xdr:to>
      <xdr:col>9</xdr:col>
      <xdr:colOff>561624</xdr:colOff>
      <xdr:row>82</xdr:row>
      <xdr:rowOff>98422</xdr:rowOff>
    </xdr:to>
    <xdr:pic>
      <xdr:nvPicPr>
        <xdr:cNvPr id="6" name="Picture 5">
          <a:extLst>
            <a:ext uri="{FF2B5EF4-FFF2-40B4-BE49-F238E27FC236}">
              <a16:creationId xmlns:a16="http://schemas.microsoft.com/office/drawing/2014/main" id="{498BC819-A44E-46F4-B0F0-D7FA90574543}"/>
            </a:ext>
          </a:extLst>
        </xdr:cNvPr>
        <xdr:cNvPicPr>
          <a:picLocks noChangeAspect="1"/>
        </xdr:cNvPicPr>
      </xdr:nvPicPr>
      <xdr:blipFill>
        <a:blip xmlns:r="http://schemas.openxmlformats.org/officeDocument/2006/relationships" r:embed="rId5"/>
        <a:stretch>
          <a:fillRect/>
        </a:stretch>
      </xdr:blipFill>
      <xdr:spPr>
        <a:xfrm>
          <a:off x="6991350" y="32712025"/>
          <a:ext cx="7150406" cy="1638298"/>
        </a:xfrm>
        <a:prstGeom prst="rect">
          <a:avLst/>
        </a:prstGeom>
      </xdr:spPr>
    </xdr:pic>
    <xdr:clientData/>
  </xdr:twoCellAnchor>
  <xdr:oneCellAnchor>
    <xdr:from>
      <xdr:col>4</xdr:col>
      <xdr:colOff>400050</xdr:colOff>
      <xdr:row>99</xdr:row>
      <xdr:rowOff>82550</xdr:rowOff>
    </xdr:from>
    <xdr:ext cx="6291189" cy="573651"/>
    <xdr:pic>
      <xdr:nvPicPr>
        <xdr:cNvPr id="7" name="Picture 11">
          <a:extLst>
            <a:ext uri="{FF2B5EF4-FFF2-40B4-BE49-F238E27FC236}">
              <a16:creationId xmlns:a16="http://schemas.microsoft.com/office/drawing/2014/main" id="{FAAE85F8-2232-4AE2-91E8-10C7BFB4E846}"/>
            </a:ext>
          </a:extLst>
        </xdr:cNvPr>
        <xdr:cNvPicPr>
          <a:picLocks noChangeAspect="1"/>
        </xdr:cNvPicPr>
      </xdr:nvPicPr>
      <xdr:blipFill>
        <a:blip xmlns:r="http://schemas.openxmlformats.org/officeDocument/2006/relationships" r:embed="rId6"/>
        <a:stretch>
          <a:fillRect/>
        </a:stretch>
      </xdr:blipFill>
      <xdr:spPr>
        <a:xfrm>
          <a:off x="7362825" y="37487225"/>
          <a:ext cx="6291189" cy="573651"/>
        </a:xfrm>
        <a:prstGeom prst="rect">
          <a:avLst/>
        </a:prstGeom>
      </xdr:spPr>
    </xdr:pic>
    <xdr:clientData/>
  </xdr:oneCellAnchor>
  <xdr:oneCellAnchor>
    <xdr:from>
      <xdr:col>4</xdr:col>
      <xdr:colOff>361950</xdr:colOff>
      <xdr:row>97</xdr:row>
      <xdr:rowOff>178300</xdr:rowOff>
    </xdr:from>
    <xdr:ext cx="6305550" cy="304300"/>
    <xdr:pic>
      <xdr:nvPicPr>
        <xdr:cNvPr id="8" name="Picture 12">
          <a:extLst>
            <a:ext uri="{FF2B5EF4-FFF2-40B4-BE49-F238E27FC236}">
              <a16:creationId xmlns:a16="http://schemas.microsoft.com/office/drawing/2014/main" id="{9AC42657-46D5-4E5B-A4CE-788D4E8D45C5}"/>
            </a:ext>
          </a:extLst>
        </xdr:cNvPr>
        <xdr:cNvPicPr>
          <a:picLocks noChangeAspect="1"/>
        </xdr:cNvPicPr>
      </xdr:nvPicPr>
      <xdr:blipFill rotWithShape="1">
        <a:blip xmlns:r="http://schemas.openxmlformats.org/officeDocument/2006/relationships" r:embed="rId7"/>
        <a:srcRect b="22350"/>
        <a:stretch/>
      </xdr:blipFill>
      <xdr:spPr>
        <a:xfrm>
          <a:off x="7324725" y="37201975"/>
          <a:ext cx="6305550" cy="304300"/>
        </a:xfrm>
        <a:prstGeom prst="rect">
          <a:avLst/>
        </a:prstGeom>
      </xdr:spPr>
    </xdr:pic>
    <xdr:clientData/>
  </xdr:oneCellAnchor>
  <xdr:oneCellAnchor>
    <xdr:from>
      <xdr:col>4</xdr:col>
      <xdr:colOff>317500</xdr:colOff>
      <xdr:row>107</xdr:row>
      <xdr:rowOff>44451</xdr:rowOff>
    </xdr:from>
    <xdr:ext cx="6617998" cy="659884"/>
    <xdr:pic>
      <xdr:nvPicPr>
        <xdr:cNvPr id="9" name="Picture 13">
          <a:extLst>
            <a:ext uri="{FF2B5EF4-FFF2-40B4-BE49-F238E27FC236}">
              <a16:creationId xmlns:a16="http://schemas.microsoft.com/office/drawing/2014/main" id="{45FACC27-BB27-4667-8EDD-E99B9DB402D7}"/>
            </a:ext>
          </a:extLst>
        </xdr:cNvPr>
        <xdr:cNvPicPr>
          <a:picLocks noChangeAspect="1"/>
        </xdr:cNvPicPr>
      </xdr:nvPicPr>
      <xdr:blipFill>
        <a:blip xmlns:r="http://schemas.openxmlformats.org/officeDocument/2006/relationships" r:embed="rId8"/>
        <a:stretch>
          <a:fillRect/>
        </a:stretch>
      </xdr:blipFill>
      <xdr:spPr>
        <a:xfrm>
          <a:off x="7280275" y="38973126"/>
          <a:ext cx="6617998" cy="659884"/>
        </a:xfrm>
        <a:prstGeom prst="rect">
          <a:avLst/>
        </a:prstGeom>
      </xdr:spPr>
    </xdr:pic>
    <xdr:clientData/>
  </xdr:oneCellAnchor>
  <xdr:oneCellAnchor>
    <xdr:from>
      <xdr:col>4</xdr:col>
      <xdr:colOff>374650</xdr:colOff>
      <xdr:row>105</xdr:row>
      <xdr:rowOff>137658</xdr:rowOff>
    </xdr:from>
    <xdr:ext cx="6443339" cy="332601"/>
    <xdr:pic>
      <xdr:nvPicPr>
        <xdr:cNvPr id="10" name="Picture 14">
          <a:extLst>
            <a:ext uri="{FF2B5EF4-FFF2-40B4-BE49-F238E27FC236}">
              <a16:creationId xmlns:a16="http://schemas.microsoft.com/office/drawing/2014/main" id="{4BA38EE4-5EBA-4BF3-A1AB-750C3FC576ED}"/>
            </a:ext>
          </a:extLst>
        </xdr:cNvPr>
        <xdr:cNvPicPr>
          <a:picLocks noChangeAspect="1"/>
        </xdr:cNvPicPr>
      </xdr:nvPicPr>
      <xdr:blipFill>
        <a:blip xmlns:r="http://schemas.openxmlformats.org/officeDocument/2006/relationships" r:embed="rId9"/>
        <a:stretch>
          <a:fillRect/>
        </a:stretch>
      </xdr:blipFill>
      <xdr:spPr>
        <a:xfrm>
          <a:off x="7337425" y="38685333"/>
          <a:ext cx="6443339" cy="332601"/>
        </a:xfrm>
        <a:prstGeom prst="rect">
          <a:avLst/>
        </a:prstGeom>
      </xdr:spPr>
    </xdr:pic>
    <xdr:clientData/>
  </xdr:oneCellAnchor>
  <xdr:twoCellAnchor editAs="oneCell">
    <xdr:from>
      <xdr:col>1</xdr:col>
      <xdr:colOff>4970</xdr:colOff>
      <xdr:row>38</xdr:row>
      <xdr:rowOff>49694</xdr:rowOff>
    </xdr:from>
    <xdr:to>
      <xdr:col>2</xdr:col>
      <xdr:colOff>655983</xdr:colOff>
      <xdr:row>46</xdr:row>
      <xdr:rowOff>142387</xdr:rowOff>
    </xdr:to>
    <xdr:pic>
      <xdr:nvPicPr>
        <xdr:cNvPr id="11" name="Picture 6">
          <a:extLst>
            <a:ext uri="{FF2B5EF4-FFF2-40B4-BE49-F238E27FC236}">
              <a16:creationId xmlns:a16="http://schemas.microsoft.com/office/drawing/2014/main" id="{2A870492-C0D5-40DD-A249-A5389A3EF5CA}"/>
            </a:ext>
          </a:extLst>
        </xdr:cNvPr>
        <xdr:cNvPicPr>
          <a:picLocks noChangeAspect="1"/>
        </xdr:cNvPicPr>
      </xdr:nvPicPr>
      <xdr:blipFill>
        <a:blip xmlns:r="http://schemas.openxmlformats.org/officeDocument/2006/relationships" r:embed="rId1"/>
        <a:stretch>
          <a:fillRect/>
        </a:stretch>
      </xdr:blipFill>
      <xdr:spPr>
        <a:xfrm>
          <a:off x="614570" y="7021994"/>
          <a:ext cx="5296038" cy="1384918"/>
        </a:xfrm>
        <a:prstGeom prst="rect">
          <a:avLst/>
        </a:prstGeom>
      </xdr:spPr>
    </xdr:pic>
    <xdr:clientData/>
  </xdr:twoCellAnchor>
  <xdr:twoCellAnchor editAs="oneCell">
    <xdr:from>
      <xdr:col>0</xdr:col>
      <xdr:colOff>596901</xdr:colOff>
      <xdr:row>69</xdr:row>
      <xdr:rowOff>152400</xdr:rowOff>
    </xdr:from>
    <xdr:to>
      <xdr:col>2</xdr:col>
      <xdr:colOff>520700</xdr:colOff>
      <xdr:row>90</xdr:row>
      <xdr:rowOff>60052</xdr:rowOff>
    </xdr:to>
    <xdr:pic>
      <xdr:nvPicPr>
        <xdr:cNvPr id="12" name="Picture 11">
          <a:extLst>
            <a:ext uri="{FF2B5EF4-FFF2-40B4-BE49-F238E27FC236}">
              <a16:creationId xmlns:a16="http://schemas.microsoft.com/office/drawing/2014/main" id="{A307197F-3165-48DA-9708-1ECE41287BF0}"/>
            </a:ext>
          </a:extLst>
        </xdr:cNvPr>
        <xdr:cNvPicPr>
          <a:picLocks noChangeAspect="1"/>
        </xdr:cNvPicPr>
      </xdr:nvPicPr>
      <xdr:blipFill>
        <a:blip xmlns:r="http://schemas.openxmlformats.org/officeDocument/2006/relationships" r:embed="rId2"/>
        <a:stretch>
          <a:fillRect/>
        </a:stretch>
      </xdr:blipFill>
      <xdr:spPr>
        <a:xfrm>
          <a:off x="596901" y="8963025"/>
          <a:ext cx="5178424" cy="3450952"/>
        </a:xfrm>
        <a:prstGeom prst="rect">
          <a:avLst/>
        </a:prstGeom>
      </xdr:spPr>
    </xdr:pic>
    <xdr:clientData/>
  </xdr:twoCellAnchor>
  <xdr:twoCellAnchor editAs="oneCell">
    <xdr:from>
      <xdr:col>4</xdr:col>
      <xdr:colOff>0</xdr:colOff>
      <xdr:row>39</xdr:row>
      <xdr:rowOff>1</xdr:rowOff>
    </xdr:from>
    <xdr:to>
      <xdr:col>8</xdr:col>
      <xdr:colOff>617997</xdr:colOff>
      <xdr:row>46</xdr:row>
      <xdr:rowOff>105752</xdr:rowOff>
    </xdr:to>
    <xdr:pic>
      <xdr:nvPicPr>
        <xdr:cNvPr id="13" name="Picture 12">
          <a:extLst>
            <a:ext uri="{FF2B5EF4-FFF2-40B4-BE49-F238E27FC236}">
              <a16:creationId xmlns:a16="http://schemas.microsoft.com/office/drawing/2014/main" id="{D6EA7DD1-3339-44B3-9F0E-48E6ACCDD65B}"/>
            </a:ext>
          </a:extLst>
        </xdr:cNvPr>
        <xdr:cNvPicPr>
          <a:picLocks noChangeAspect="1"/>
        </xdr:cNvPicPr>
      </xdr:nvPicPr>
      <xdr:blipFill>
        <a:blip xmlns:r="http://schemas.openxmlformats.org/officeDocument/2006/relationships" r:embed="rId3"/>
        <a:stretch>
          <a:fillRect/>
        </a:stretch>
      </xdr:blipFill>
      <xdr:spPr>
        <a:xfrm>
          <a:off x="10106025" y="7134226"/>
          <a:ext cx="6463172" cy="1236051"/>
        </a:xfrm>
        <a:prstGeom prst="rect">
          <a:avLst/>
        </a:prstGeom>
      </xdr:spPr>
    </xdr:pic>
    <xdr:clientData/>
  </xdr:twoCellAnchor>
  <xdr:twoCellAnchor editAs="oneCell">
    <xdr:from>
      <xdr:col>3</xdr:col>
      <xdr:colOff>2044700</xdr:colOff>
      <xdr:row>69</xdr:row>
      <xdr:rowOff>95251</xdr:rowOff>
    </xdr:from>
    <xdr:to>
      <xdr:col>5</xdr:col>
      <xdr:colOff>76200</xdr:colOff>
      <xdr:row>73</xdr:row>
      <xdr:rowOff>46484</xdr:rowOff>
    </xdr:to>
    <xdr:pic>
      <xdr:nvPicPr>
        <xdr:cNvPr id="14" name="Picture 13">
          <a:extLst>
            <a:ext uri="{FF2B5EF4-FFF2-40B4-BE49-F238E27FC236}">
              <a16:creationId xmlns:a16="http://schemas.microsoft.com/office/drawing/2014/main" id="{14C126C2-94A7-41C5-A377-5DAB95E7538B}"/>
            </a:ext>
          </a:extLst>
        </xdr:cNvPr>
        <xdr:cNvPicPr>
          <a:picLocks noChangeAspect="1"/>
        </xdr:cNvPicPr>
      </xdr:nvPicPr>
      <xdr:blipFill>
        <a:blip xmlns:r="http://schemas.openxmlformats.org/officeDocument/2006/relationships" r:embed="rId4"/>
        <a:stretch>
          <a:fillRect/>
        </a:stretch>
      </xdr:blipFill>
      <xdr:spPr>
        <a:xfrm>
          <a:off x="10102850" y="8905876"/>
          <a:ext cx="3117850" cy="602108"/>
        </a:xfrm>
        <a:prstGeom prst="rect">
          <a:avLst/>
        </a:prstGeom>
      </xdr:spPr>
    </xdr:pic>
    <xdr:clientData/>
  </xdr:twoCellAnchor>
  <xdr:twoCellAnchor editAs="oneCell">
    <xdr:from>
      <xdr:col>4</xdr:col>
      <xdr:colOff>28575</xdr:colOff>
      <xdr:row>72</xdr:row>
      <xdr:rowOff>79375</xdr:rowOff>
    </xdr:from>
    <xdr:to>
      <xdr:col>9</xdr:col>
      <xdr:colOff>561624</xdr:colOff>
      <xdr:row>82</xdr:row>
      <xdr:rowOff>98422</xdr:rowOff>
    </xdr:to>
    <xdr:pic>
      <xdr:nvPicPr>
        <xdr:cNvPr id="15" name="Picture 14">
          <a:extLst>
            <a:ext uri="{FF2B5EF4-FFF2-40B4-BE49-F238E27FC236}">
              <a16:creationId xmlns:a16="http://schemas.microsoft.com/office/drawing/2014/main" id="{995D9A40-82A7-4039-AA6F-2D7C9CCDA307}"/>
            </a:ext>
          </a:extLst>
        </xdr:cNvPr>
        <xdr:cNvPicPr>
          <a:picLocks noChangeAspect="1"/>
        </xdr:cNvPicPr>
      </xdr:nvPicPr>
      <xdr:blipFill>
        <a:blip xmlns:r="http://schemas.openxmlformats.org/officeDocument/2006/relationships" r:embed="rId5"/>
        <a:stretch>
          <a:fillRect/>
        </a:stretch>
      </xdr:blipFill>
      <xdr:spPr>
        <a:xfrm>
          <a:off x="10134600" y="9375775"/>
          <a:ext cx="7149749" cy="1638297"/>
        </a:xfrm>
        <a:prstGeom prst="rect">
          <a:avLst/>
        </a:prstGeom>
      </xdr:spPr>
    </xdr:pic>
    <xdr:clientData/>
  </xdr:twoCellAnchor>
  <xdr:oneCellAnchor>
    <xdr:from>
      <xdr:col>4</xdr:col>
      <xdr:colOff>400050</xdr:colOff>
      <xdr:row>99</xdr:row>
      <xdr:rowOff>82550</xdr:rowOff>
    </xdr:from>
    <xdr:ext cx="6291189" cy="573651"/>
    <xdr:pic>
      <xdr:nvPicPr>
        <xdr:cNvPr id="16" name="Picture 11">
          <a:extLst>
            <a:ext uri="{FF2B5EF4-FFF2-40B4-BE49-F238E27FC236}">
              <a16:creationId xmlns:a16="http://schemas.microsoft.com/office/drawing/2014/main" id="{8A5A0535-8805-4A6F-BD7C-93D78D910C05}"/>
            </a:ext>
          </a:extLst>
        </xdr:cNvPr>
        <xdr:cNvPicPr>
          <a:picLocks noChangeAspect="1"/>
        </xdr:cNvPicPr>
      </xdr:nvPicPr>
      <xdr:blipFill>
        <a:blip xmlns:r="http://schemas.openxmlformats.org/officeDocument/2006/relationships" r:embed="rId6"/>
        <a:stretch>
          <a:fillRect/>
        </a:stretch>
      </xdr:blipFill>
      <xdr:spPr>
        <a:xfrm>
          <a:off x="10506075" y="14150975"/>
          <a:ext cx="6291189" cy="573651"/>
        </a:xfrm>
        <a:prstGeom prst="rect">
          <a:avLst/>
        </a:prstGeom>
      </xdr:spPr>
    </xdr:pic>
    <xdr:clientData/>
  </xdr:oneCellAnchor>
  <xdr:oneCellAnchor>
    <xdr:from>
      <xdr:col>4</xdr:col>
      <xdr:colOff>361950</xdr:colOff>
      <xdr:row>97</xdr:row>
      <xdr:rowOff>178300</xdr:rowOff>
    </xdr:from>
    <xdr:ext cx="6305550" cy="304300"/>
    <xdr:pic>
      <xdr:nvPicPr>
        <xdr:cNvPr id="17" name="Picture 12">
          <a:extLst>
            <a:ext uri="{FF2B5EF4-FFF2-40B4-BE49-F238E27FC236}">
              <a16:creationId xmlns:a16="http://schemas.microsoft.com/office/drawing/2014/main" id="{81144912-24D4-484D-9E67-4F4919703994}"/>
            </a:ext>
          </a:extLst>
        </xdr:cNvPr>
        <xdr:cNvPicPr>
          <a:picLocks noChangeAspect="1"/>
        </xdr:cNvPicPr>
      </xdr:nvPicPr>
      <xdr:blipFill rotWithShape="1">
        <a:blip xmlns:r="http://schemas.openxmlformats.org/officeDocument/2006/relationships" r:embed="rId7"/>
        <a:srcRect b="22350"/>
        <a:stretch/>
      </xdr:blipFill>
      <xdr:spPr>
        <a:xfrm>
          <a:off x="10467975" y="13865725"/>
          <a:ext cx="6305550" cy="304300"/>
        </a:xfrm>
        <a:prstGeom prst="rect">
          <a:avLst/>
        </a:prstGeom>
      </xdr:spPr>
    </xdr:pic>
    <xdr:clientData/>
  </xdr:oneCellAnchor>
  <xdr:oneCellAnchor>
    <xdr:from>
      <xdr:col>4</xdr:col>
      <xdr:colOff>317500</xdr:colOff>
      <xdr:row>107</xdr:row>
      <xdr:rowOff>44451</xdr:rowOff>
    </xdr:from>
    <xdr:ext cx="6617998" cy="659884"/>
    <xdr:pic>
      <xdr:nvPicPr>
        <xdr:cNvPr id="18" name="Picture 13">
          <a:extLst>
            <a:ext uri="{FF2B5EF4-FFF2-40B4-BE49-F238E27FC236}">
              <a16:creationId xmlns:a16="http://schemas.microsoft.com/office/drawing/2014/main" id="{3E4459F6-B208-41CE-9C03-3AC327035EFE}"/>
            </a:ext>
          </a:extLst>
        </xdr:cNvPr>
        <xdr:cNvPicPr>
          <a:picLocks noChangeAspect="1"/>
        </xdr:cNvPicPr>
      </xdr:nvPicPr>
      <xdr:blipFill>
        <a:blip xmlns:r="http://schemas.openxmlformats.org/officeDocument/2006/relationships" r:embed="rId8"/>
        <a:stretch>
          <a:fillRect/>
        </a:stretch>
      </xdr:blipFill>
      <xdr:spPr>
        <a:xfrm>
          <a:off x="10423525" y="15636876"/>
          <a:ext cx="6617998" cy="659884"/>
        </a:xfrm>
        <a:prstGeom prst="rect">
          <a:avLst/>
        </a:prstGeom>
      </xdr:spPr>
    </xdr:pic>
    <xdr:clientData/>
  </xdr:oneCellAnchor>
  <xdr:oneCellAnchor>
    <xdr:from>
      <xdr:col>4</xdr:col>
      <xdr:colOff>374650</xdr:colOff>
      <xdr:row>105</xdr:row>
      <xdr:rowOff>137658</xdr:rowOff>
    </xdr:from>
    <xdr:ext cx="6443339" cy="332601"/>
    <xdr:pic>
      <xdr:nvPicPr>
        <xdr:cNvPr id="19" name="Picture 14">
          <a:extLst>
            <a:ext uri="{FF2B5EF4-FFF2-40B4-BE49-F238E27FC236}">
              <a16:creationId xmlns:a16="http://schemas.microsoft.com/office/drawing/2014/main" id="{A2F68D9E-D58F-4243-B04C-6BC7A68E6590}"/>
            </a:ext>
          </a:extLst>
        </xdr:cNvPr>
        <xdr:cNvPicPr>
          <a:picLocks noChangeAspect="1"/>
        </xdr:cNvPicPr>
      </xdr:nvPicPr>
      <xdr:blipFill>
        <a:blip xmlns:r="http://schemas.openxmlformats.org/officeDocument/2006/relationships" r:embed="rId9"/>
        <a:stretch>
          <a:fillRect/>
        </a:stretch>
      </xdr:blipFill>
      <xdr:spPr>
        <a:xfrm>
          <a:off x="10480675" y="15349083"/>
          <a:ext cx="6443339" cy="33260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33</xdr:row>
      <xdr:rowOff>57150</xdr:rowOff>
    </xdr:from>
    <xdr:to>
      <xdr:col>3</xdr:col>
      <xdr:colOff>292101</xdr:colOff>
      <xdr:row>45</xdr:row>
      <xdr:rowOff>116099</xdr:rowOff>
    </xdr:to>
    <xdr:pic>
      <xdr:nvPicPr>
        <xdr:cNvPr id="4" name="Picture 3">
          <a:extLst>
            <a:ext uri="{FF2B5EF4-FFF2-40B4-BE49-F238E27FC236}">
              <a16:creationId xmlns:a16="http://schemas.microsoft.com/office/drawing/2014/main" id="{97A6F9ED-7BB5-4E30-8A01-CA34B89A2249}"/>
            </a:ext>
          </a:extLst>
        </xdr:cNvPr>
        <xdr:cNvPicPr>
          <a:picLocks noChangeAspect="1"/>
        </xdr:cNvPicPr>
      </xdr:nvPicPr>
      <xdr:blipFill>
        <a:blip xmlns:r="http://schemas.openxmlformats.org/officeDocument/2006/relationships" r:embed="rId1"/>
        <a:stretch>
          <a:fillRect/>
        </a:stretch>
      </xdr:blipFill>
      <xdr:spPr>
        <a:xfrm>
          <a:off x="641351" y="5359400"/>
          <a:ext cx="4927600" cy="2268749"/>
        </a:xfrm>
        <a:prstGeom prst="rect">
          <a:avLst/>
        </a:prstGeom>
      </xdr:spPr>
    </xdr:pic>
    <xdr:clientData/>
  </xdr:twoCellAnchor>
  <xdr:twoCellAnchor editAs="oneCell">
    <xdr:from>
      <xdr:col>4</xdr:col>
      <xdr:colOff>1079500</xdr:colOff>
      <xdr:row>33</xdr:row>
      <xdr:rowOff>19050</xdr:rowOff>
    </xdr:from>
    <xdr:to>
      <xdr:col>11</xdr:col>
      <xdr:colOff>331487</xdr:colOff>
      <xdr:row>45</xdr:row>
      <xdr:rowOff>78667</xdr:rowOff>
    </xdr:to>
    <xdr:pic>
      <xdr:nvPicPr>
        <xdr:cNvPr id="5" name="Picture 4">
          <a:extLst>
            <a:ext uri="{FF2B5EF4-FFF2-40B4-BE49-F238E27FC236}">
              <a16:creationId xmlns:a16="http://schemas.microsoft.com/office/drawing/2014/main" id="{5BA9D3B3-9F1F-46C4-8F54-4915E373582C}"/>
            </a:ext>
          </a:extLst>
        </xdr:cNvPr>
        <xdr:cNvPicPr>
          <a:picLocks noChangeAspect="1"/>
        </xdr:cNvPicPr>
      </xdr:nvPicPr>
      <xdr:blipFill>
        <a:blip xmlns:r="http://schemas.openxmlformats.org/officeDocument/2006/relationships" r:embed="rId2"/>
        <a:stretch>
          <a:fillRect/>
        </a:stretch>
      </xdr:blipFill>
      <xdr:spPr>
        <a:xfrm>
          <a:off x="8007350" y="5321300"/>
          <a:ext cx="6738637" cy="2269417"/>
        </a:xfrm>
        <a:prstGeom prst="rect">
          <a:avLst/>
        </a:prstGeom>
      </xdr:spPr>
    </xdr:pic>
    <xdr:clientData/>
  </xdr:twoCellAnchor>
  <xdr:twoCellAnchor editAs="oneCell">
    <xdr:from>
      <xdr:col>1</xdr:col>
      <xdr:colOff>0</xdr:colOff>
      <xdr:row>56</xdr:row>
      <xdr:rowOff>1</xdr:rowOff>
    </xdr:from>
    <xdr:to>
      <xdr:col>3</xdr:col>
      <xdr:colOff>1025644</xdr:colOff>
      <xdr:row>70</xdr:row>
      <xdr:rowOff>19051</xdr:rowOff>
    </xdr:to>
    <xdr:pic>
      <xdr:nvPicPr>
        <xdr:cNvPr id="6" name="Picture 5">
          <a:extLst>
            <a:ext uri="{FF2B5EF4-FFF2-40B4-BE49-F238E27FC236}">
              <a16:creationId xmlns:a16="http://schemas.microsoft.com/office/drawing/2014/main" id="{3D3F311E-B20C-4285-A19F-B583EF0FAF0A}"/>
            </a:ext>
          </a:extLst>
        </xdr:cNvPr>
        <xdr:cNvPicPr>
          <a:picLocks noChangeAspect="1"/>
        </xdr:cNvPicPr>
      </xdr:nvPicPr>
      <xdr:blipFill>
        <a:blip xmlns:r="http://schemas.openxmlformats.org/officeDocument/2006/relationships" r:embed="rId3"/>
        <a:stretch>
          <a:fillRect/>
        </a:stretch>
      </xdr:blipFill>
      <xdr:spPr>
        <a:xfrm>
          <a:off x="641350" y="9328151"/>
          <a:ext cx="5661144" cy="2597150"/>
        </a:xfrm>
        <a:prstGeom prst="rect">
          <a:avLst/>
        </a:prstGeom>
      </xdr:spPr>
    </xdr:pic>
    <xdr:clientData/>
  </xdr:twoCellAnchor>
  <xdr:twoCellAnchor editAs="oneCell">
    <xdr:from>
      <xdr:col>5</xdr:col>
      <xdr:colOff>19186</xdr:colOff>
      <xdr:row>55</xdr:row>
      <xdr:rowOff>152400</xdr:rowOff>
    </xdr:from>
    <xdr:to>
      <xdr:col>7</xdr:col>
      <xdr:colOff>79983</xdr:colOff>
      <xdr:row>62</xdr:row>
      <xdr:rowOff>139700</xdr:rowOff>
    </xdr:to>
    <xdr:pic>
      <xdr:nvPicPr>
        <xdr:cNvPr id="7" name="Picture 6">
          <a:extLst>
            <a:ext uri="{FF2B5EF4-FFF2-40B4-BE49-F238E27FC236}">
              <a16:creationId xmlns:a16="http://schemas.microsoft.com/office/drawing/2014/main" id="{7C1EB732-C22C-4980-95FB-F199FB8D0A4B}"/>
            </a:ext>
          </a:extLst>
        </xdr:cNvPr>
        <xdr:cNvPicPr>
          <a:picLocks noChangeAspect="1"/>
        </xdr:cNvPicPr>
      </xdr:nvPicPr>
      <xdr:blipFill>
        <a:blip xmlns:r="http://schemas.openxmlformats.org/officeDocument/2006/relationships" r:embed="rId4"/>
        <a:stretch>
          <a:fillRect/>
        </a:stretch>
      </xdr:blipFill>
      <xdr:spPr>
        <a:xfrm>
          <a:off x="8064636" y="9296400"/>
          <a:ext cx="2410297" cy="1276350"/>
        </a:xfrm>
        <a:prstGeom prst="rect">
          <a:avLst/>
        </a:prstGeom>
      </xdr:spPr>
    </xdr:pic>
    <xdr:clientData/>
  </xdr:twoCellAnchor>
  <xdr:twoCellAnchor editAs="oneCell">
    <xdr:from>
      <xdr:col>5</xdr:col>
      <xdr:colOff>51973</xdr:colOff>
      <xdr:row>62</xdr:row>
      <xdr:rowOff>25401</xdr:rowOff>
    </xdr:from>
    <xdr:to>
      <xdr:col>7</xdr:col>
      <xdr:colOff>101873</xdr:colOff>
      <xdr:row>67</xdr:row>
      <xdr:rowOff>165100</xdr:rowOff>
    </xdr:to>
    <xdr:pic>
      <xdr:nvPicPr>
        <xdr:cNvPr id="8" name="Picture 7">
          <a:extLst>
            <a:ext uri="{FF2B5EF4-FFF2-40B4-BE49-F238E27FC236}">
              <a16:creationId xmlns:a16="http://schemas.microsoft.com/office/drawing/2014/main" id="{B9EB63B6-EF0C-4906-ACE9-11EA9E2D435F}"/>
            </a:ext>
          </a:extLst>
        </xdr:cNvPr>
        <xdr:cNvPicPr>
          <a:picLocks noChangeAspect="1"/>
        </xdr:cNvPicPr>
      </xdr:nvPicPr>
      <xdr:blipFill>
        <a:blip xmlns:r="http://schemas.openxmlformats.org/officeDocument/2006/relationships" r:embed="rId5"/>
        <a:stretch>
          <a:fillRect/>
        </a:stretch>
      </xdr:blipFill>
      <xdr:spPr>
        <a:xfrm>
          <a:off x="8097423" y="10458451"/>
          <a:ext cx="2399400" cy="10604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177760</xdr:colOff>
      <xdr:row>62</xdr:row>
      <xdr:rowOff>6350</xdr:rowOff>
    </xdr:from>
    <xdr:to>
      <xdr:col>22</xdr:col>
      <xdr:colOff>636688</xdr:colOff>
      <xdr:row>64</xdr:row>
      <xdr:rowOff>28574</xdr:rowOff>
    </xdr:to>
    <xdr:pic>
      <xdr:nvPicPr>
        <xdr:cNvPr id="32" name="Picture 1">
          <a:extLst>
            <a:ext uri="{FF2B5EF4-FFF2-40B4-BE49-F238E27FC236}">
              <a16:creationId xmlns:a16="http://schemas.microsoft.com/office/drawing/2014/main" id="{B184A6D4-E096-49AF-8135-5798F01E4FA4}"/>
            </a:ext>
          </a:extLst>
        </xdr:cNvPr>
        <xdr:cNvPicPr>
          <a:picLocks noChangeAspect="1"/>
        </xdr:cNvPicPr>
      </xdr:nvPicPr>
      <xdr:blipFill>
        <a:blip xmlns:r="http://schemas.openxmlformats.org/officeDocument/2006/relationships" r:embed="rId1"/>
        <a:stretch>
          <a:fillRect/>
        </a:stretch>
      </xdr:blipFill>
      <xdr:spPr>
        <a:xfrm>
          <a:off x="20904160" y="4648200"/>
          <a:ext cx="7697928" cy="400050"/>
        </a:xfrm>
        <a:prstGeom prst="rect">
          <a:avLst/>
        </a:prstGeom>
      </xdr:spPr>
    </xdr:pic>
    <xdr:clientData/>
  </xdr:twoCellAnchor>
  <xdr:twoCellAnchor editAs="oneCell">
    <xdr:from>
      <xdr:col>14</xdr:col>
      <xdr:colOff>172662</xdr:colOff>
      <xdr:row>63</xdr:row>
      <xdr:rowOff>177801</xdr:rowOff>
    </xdr:from>
    <xdr:to>
      <xdr:col>22</xdr:col>
      <xdr:colOff>644525</xdr:colOff>
      <xdr:row>66</xdr:row>
      <xdr:rowOff>2245</xdr:rowOff>
    </xdr:to>
    <xdr:pic>
      <xdr:nvPicPr>
        <xdr:cNvPr id="33" name="Picture 2">
          <a:extLst>
            <a:ext uri="{FF2B5EF4-FFF2-40B4-BE49-F238E27FC236}">
              <a16:creationId xmlns:a16="http://schemas.microsoft.com/office/drawing/2014/main" id="{1DE07AD5-3F4A-4891-938D-A5A3C826F50D}"/>
            </a:ext>
          </a:extLst>
        </xdr:cNvPr>
        <xdr:cNvPicPr>
          <a:picLocks noChangeAspect="1"/>
        </xdr:cNvPicPr>
      </xdr:nvPicPr>
      <xdr:blipFill>
        <a:blip xmlns:r="http://schemas.openxmlformats.org/officeDocument/2006/relationships" r:embed="rId2"/>
        <a:stretch>
          <a:fillRect/>
        </a:stretch>
      </xdr:blipFill>
      <xdr:spPr>
        <a:xfrm>
          <a:off x="20899062" y="5003801"/>
          <a:ext cx="7701338" cy="382336"/>
        </a:xfrm>
        <a:prstGeom prst="rect">
          <a:avLst/>
        </a:prstGeom>
      </xdr:spPr>
    </xdr:pic>
    <xdr:clientData/>
  </xdr:twoCellAnchor>
  <xdr:twoCellAnchor editAs="oneCell">
    <xdr:from>
      <xdr:col>14</xdr:col>
      <xdr:colOff>190460</xdr:colOff>
      <xdr:row>67</xdr:row>
      <xdr:rowOff>44450</xdr:rowOff>
    </xdr:from>
    <xdr:to>
      <xdr:col>22</xdr:col>
      <xdr:colOff>649388</xdr:colOff>
      <xdr:row>69</xdr:row>
      <xdr:rowOff>73025</xdr:rowOff>
    </xdr:to>
    <xdr:pic>
      <xdr:nvPicPr>
        <xdr:cNvPr id="34" name="Picture 3">
          <a:extLst>
            <a:ext uri="{FF2B5EF4-FFF2-40B4-BE49-F238E27FC236}">
              <a16:creationId xmlns:a16="http://schemas.microsoft.com/office/drawing/2014/main" id="{30E62176-5AC5-466C-AFAB-9E6ED7D3C646}"/>
            </a:ext>
          </a:extLst>
        </xdr:cNvPr>
        <xdr:cNvPicPr>
          <a:picLocks noChangeAspect="1"/>
        </xdr:cNvPicPr>
      </xdr:nvPicPr>
      <xdr:blipFill>
        <a:blip xmlns:r="http://schemas.openxmlformats.org/officeDocument/2006/relationships" r:embed="rId1"/>
        <a:stretch>
          <a:fillRect/>
        </a:stretch>
      </xdr:blipFill>
      <xdr:spPr>
        <a:xfrm>
          <a:off x="20916860" y="5607050"/>
          <a:ext cx="7697928" cy="400050"/>
        </a:xfrm>
        <a:prstGeom prst="rect">
          <a:avLst/>
        </a:prstGeom>
      </xdr:spPr>
    </xdr:pic>
    <xdr:clientData/>
  </xdr:twoCellAnchor>
  <xdr:twoCellAnchor editAs="oneCell">
    <xdr:from>
      <xdr:col>14</xdr:col>
      <xdr:colOff>196850</xdr:colOff>
      <xdr:row>69</xdr:row>
      <xdr:rowOff>38100</xdr:rowOff>
    </xdr:from>
    <xdr:to>
      <xdr:col>22</xdr:col>
      <xdr:colOff>663575</xdr:colOff>
      <xdr:row>71</xdr:row>
      <xdr:rowOff>47241</xdr:rowOff>
    </xdr:to>
    <xdr:pic>
      <xdr:nvPicPr>
        <xdr:cNvPr id="35" name="Picture 4">
          <a:extLst>
            <a:ext uri="{FF2B5EF4-FFF2-40B4-BE49-F238E27FC236}">
              <a16:creationId xmlns:a16="http://schemas.microsoft.com/office/drawing/2014/main" id="{6A5320AB-B1B8-4B85-A107-776BB4B75E87}"/>
            </a:ext>
          </a:extLst>
        </xdr:cNvPr>
        <xdr:cNvPicPr>
          <a:picLocks noChangeAspect="1"/>
        </xdr:cNvPicPr>
      </xdr:nvPicPr>
      <xdr:blipFill>
        <a:blip xmlns:r="http://schemas.openxmlformats.org/officeDocument/2006/relationships" r:embed="rId3"/>
        <a:stretch>
          <a:fillRect/>
        </a:stretch>
      </xdr:blipFill>
      <xdr:spPr>
        <a:xfrm>
          <a:off x="20923250" y="5969000"/>
          <a:ext cx="7696200" cy="396492"/>
        </a:xfrm>
        <a:prstGeom prst="rect">
          <a:avLst/>
        </a:prstGeom>
      </xdr:spPr>
    </xdr:pic>
    <xdr:clientData/>
  </xdr:twoCellAnchor>
  <xdr:twoCellAnchor editAs="oneCell">
    <xdr:from>
      <xdr:col>3</xdr:col>
      <xdr:colOff>177800</xdr:colOff>
      <xdr:row>129</xdr:row>
      <xdr:rowOff>127000</xdr:rowOff>
    </xdr:from>
    <xdr:to>
      <xdr:col>6</xdr:col>
      <xdr:colOff>473399</xdr:colOff>
      <xdr:row>149</xdr:row>
      <xdr:rowOff>76363</xdr:rowOff>
    </xdr:to>
    <xdr:pic>
      <xdr:nvPicPr>
        <xdr:cNvPr id="36" name="Picture 1">
          <a:extLst>
            <a:ext uri="{FF2B5EF4-FFF2-40B4-BE49-F238E27FC236}">
              <a16:creationId xmlns:a16="http://schemas.microsoft.com/office/drawing/2014/main" id="{12153FE7-6A01-48BD-BD43-04FC891E583F}"/>
            </a:ext>
          </a:extLst>
        </xdr:cNvPr>
        <xdr:cNvPicPr>
          <a:picLocks noChangeAspect="1"/>
        </xdr:cNvPicPr>
      </xdr:nvPicPr>
      <xdr:blipFill>
        <a:blip xmlns:r="http://schemas.openxmlformats.org/officeDocument/2006/relationships" r:embed="rId4"/>
        <a:stretch>
          <a:fillRect/>
        </a:stretch>
      </xdr:blipFill>
      <xdr:spPr>
        <a:xfrm>
          <a:off x="6432550" y="17754600"/>
          <a:ext cx="6312224" cy="3187864"/>
        </a:xfrm>
        <a:prstGeom prst="rect">
          <a:avLst/>
        </a:prstGeom>
      </xdr:spPr>
    </xdr:pic>
    <xdr:clientData/>
  </xdr:twoCellAnchor>
  <xdr:twoCellAnchor editAs="oneCell">
    <xdr:from>
      <xdr:col>6</xdr:col>
      <xdr:colOff>276155</xdr:colOff>
      <xdr:row>130</xdr:row>
      <xdr:rowOff>95251</xdr:rowOff>
    </xdr:from>
    <xdr:to>
      <xdr:col>10</xdr:col>
      <xdr:colOff>969501</xdr:colOff>
      <xdr:row>146</xdr:row>
      <xdr:rowOff>123824</xdr:rowOff>
    </xdr:to>
    <xdr:pic>
      <xdr:nvPicPr>
        <xdr:cNvPr id="38" name="Picture 2">
          <a:extLst>
            <a:ext uri="{FF2B5EF4-FFF2-40B4-BE49-F238E27FC236}">
              <a16:creationId xmlns:a16="http://schemas.microsoft.com/office/drawing/2014/main" id="{D477F2B3-353E-4908-90D9-EFB9FA5C798B}"/>
            </a:ext>
          </a:extLst>
        </xdr:cNvPr>
        <xdr:cNvPicPr>
          <a:picLocks noChangeAspect="1"/>
        </xdr:cNvPicPr>
      </xdr:nvPicPr>
      <xdr:blipFill>
        <a:blip xmlns:r="http://schemas.openxmlformats.org/officeDocument/2006/relationships" r:embed="rId5"/>
        <a:stretch>
          <a:fillRect/>
        </a:stretch>
      </xdr:blipFill>
      <xdr:spPr>
        <a:xfrm>
          <a:off x="12842805" y="17887951"/>
          <a:ext cx="4979596" cy="2616199"/>
        </a:xfrm>
        <a:prstGeom prst="rect">
          <a:avLst/>
        </a:prstGeom>
      </xdr:spPr>
    </xdr:pic>
    <xdr:clientData/>
  </xdr:twoCellAnchor>
  <xdr:twoCellAnchor editAs="oneCell">
    <xdr:from>
      <xdr:col>27</xdr:col>
      <xdr:colOff>25400</xdr:colOff>
      <xdr:row>98</xdr:row>
      <xdr:rowOff>131905</xdr:rowOff>
    </xdr:from>
    <xdr:to>
      <xdr:col>36</xdr:col>
      <xdr:colOff>315111</xdr:colOff>
      <xdr:row>103</xdr:row>
      <xdr:rowOff>60031</xdr:rowOff>
    </xdr:to>
    <xdr:pic>
      <xdr:nvPicPr>
        <xdr:cNvPr id="8" name="Picture 7">
          <a:extLst>
            <a:ext uri="{FF2B5EF4-FFF2-40B4-BE49-F238E27FC236}">
              <a16:creationId xmlns:a16="http://schemas.microsoft.com/office/drawing/2014/main" id="{AE975438-F0F7-48A3-B2CF-785DD98E4542}"/>
            </a:ext>
          </a:extLst>
        </xdr:cNvPr>
        <xdr:cNvPicPr>
          <a:picLocks noChangeAspect="1"/>
        </xdr:cNvPicPr>
      </xdr:nvPicPr>
      <xdr:blipFill>
        <a:blip xmlns:r="http://schemas.openxmlformats.org/officeDocument/2006/relationships" r:embed="rId6"/>
        <a:stretch>
          <a:fillRect/>
        </a:stretch>
      </xdr:blipFill>
      <xdr:spPr>
        <a:xfrm>
          <a:off x="38652450" y="17524555"/>
          <a:ext cx="6690511" cy="848876"/>
        </a:xfrm>
        <a:prstGeom prst="rect">
          <a:avLst/>
        </a:prstGeom>
      </xdr:spPr>
    </xdr:pic>
    <xdr:clientData/>
  </xdr:twoCellAnchor>
  <xdr:twoCellAnchor editAs="oneCell">
    <xdr:from>
      <xdr:col>26</xdr:col>
      <xdr:colOff>1333500</xdr:colOff>
      <xdr:row>105</xdr:row>
      <xdr:rowOff>22607</xdr:rowOff>
    </xdr:from>
    <xdr:to>
      <xdr:col>33</xdr:col>
      <xdr:colOff>163152</xdr:colOff>
      <xdr:row>114</xdr:row>
      <xdr:rowOff>50558</xdr:rowOff>
    </xdr:to>
    <xdr:pic>
      <xdr:nvPicPr>
        <xdr:cNvPr id="9" name="Picture 8">
          <a:extLst>
            <a:ext uri="{FF2B5EF4-FFF2-40B4-BE49-F238E27FC236}">
              <a16:creationId xmlns:a16="http://schemas.microsoft.com/office/drawing/2014/main" id="{BE1E0EFC-FEAF-4D27-8D9D-2A4219A125B0}"/>
            </a:ext>
          </a:extLst>
        </xdr:cNvPr>
        <xdr:cNvPicPr>
          <a:picLocks noChangeAspect="1"/>
        </xdr:cNvPicPr>
      </xdr:nvPicPr>
      <xdr:blipFill>
        <a:blip xmlns:r="http://schemas.openxmlformats.org/officeDocument/2006/relationships" r:embed="rId7"/>
        <a:stretch>
          <a:fillRect/>
        </a:stretch>
      </xdr:blipFill>
      <xdr:spPr>
        <a:xfrm>
          <a:off x="38614350" y="18704307"/>
          <a:ext cx="4443052" cy="2371100"/>
        </a:xfrm>
        <a:prstGeom prst="rect">
          <a:avLst/>
        </a:prstGeom>
      </xdr:spPr>
    </xdr:pic>
    <xdr:clientData/>
  </xdr:twoCellAnchor>
  <xdr:twoCellAnchor editAs="oneCell">
    <xdr:from>
      <xdr:col>27</xdr:col>
      <xdr:colOff>6350</xdr:colOff>
      <xdr:row>115</xdr:row>
      <xdr:rowOff>30614</xdr:rowOff>
    </xdr:from>
    <xdr:to>
      <xdr:col>34</xdr:col>
      <xdr:colOff>600816</xdr:colOff>
      <xdr:row>128</xdr:row>
      <xdr:rowOff>101679</xdr:rowOff>
    </xdr:to>
    <xdr:pic>
      <xdr:nvPicPr>
        <xdr:cNvPr id="10" name="Picture 9">
          <a:extLst>
            <a:ext uri="{FF2B5EF4-FFF2-40B4-BE49-F238E27FC236}">
              <a16:creationId xmlns:a16="http://schemas.microsoft.com/office/drawing/2014/main" id="{C4A3746B-0834-4B95-9B0F-518E78F579C5}"/>
            </a:ext>
          </a:extLst>
        </xdr:cNvPr>
        <xdr:cNvPicPr>
          <a:picLocks noChangeAspect="1"/>
        </xdr:cNvPicPr>
      </xdr:nvPicPr>
      <xdr:blipFill>
        <a:blip xmlns:r="http://schemas.openxmlformats.org/officeDocument/2006/relationships" r:embed="rId8"/>
        <a:stretch>
          <a:fillRect/>
        </a:stretch>
      </xdr:blipFill>
      <xdr:spPr>
        <a:xfrm>
          <a:off x="38633400" y="21239614"/>
          <a:ext cx="5572866" cy="2452314"/>
        </a:xfrm>
        <a:prstGeom prst="rect">
          <a:avLst/>
        </a:prstGeom>
      </xdr:spPr>
    </xdr:pic>
    <xdr:clientData/>
  </xdr:twoCellAnchor>
  <xdr:twoCellAnchor editAs="oneCell">
    <xdr:from>
      <xdr:col>22</xdr:col>
      <xdr:colOff>290444</xdr:colOff>
      <xdr:row>100</xdr:row>
      <xdr:rowOff>38100</xdr:rowOff>
    </xdr:from>
    <xdr:to>
      <xdr:col>26</xdr:col>
      <xdr:colOff>1172789</xdr:colOff>
      <xdr:row>112</xdr:row>
      <xdr:rowOff>244887</xdr:rowOff>
    </xdr:to>
    <xdr:pic>
      <xdr:nvPicPr>
        <xdr:cNvPr id="11" name="Picture 10">
          <a:extLst>
            <a:ext uri="{FF2B5EF4-FFF2-40B4-BE49-F238E27FC236}">
              <a16:creationId xmlns:a16="http://schemas.microsoft.com/office/drawing/2014/main" id="{EB2DEA64-DD48-4EAF-A091-540B25B99D85}"/>
            </a:ext>
          </a:extLst>
        </xdr:cNvPr>
        <xdr:cNvPicPr>
          <a:picLocks noChangeAspect="1"/>
        </xdr:cNvPicPr>
      </xdr:nvPicPr>
      <xdr:blipFill>
        <a:blip xmlns:r="http://schemas.openxmlformats.org/officeDocument/2006/relationships" r:embed="rId9"/>
        <a:stretch>
          <a:fillRect/>
        </a:stretch>
      </xdr:blipFill>
      <xdr:spPr>
        <a:xfrm>
          <a:off x="34548694" y="17799050"/>
          <a:ext cx="3898595" cy="2734086"/>
        </a:xfrm>
        <a:prstGeom prst="rect">
          <a:avLst/>
        </a:prstGeom>
      </xdr:spPr>
    </xdr:pic>
    <xdr:clientData/>
  </xdr:twoCellAnchor>
  <xdr:twoCellAnchor editAs="oneCell">
    <xdr:from>
      <xdr:col>32</xdr:col>
      <xdr:colOff>31750</xdr:colOff>
      <xdr:row>86</xdr:row>
      <xdr:rowOff>81601</xdr:rowOff>
    </xdr:from>
    <xdr:to>
      <xdr:col>37</xdr:col>
      <xdr:colOff>391574</xdr:colOff>
      <xdr:row>89</xdr:row>
      <xdr:rowOff>121025</xdr:rowOff>
    </xdr:to>
    <xdr:pic>
      <xdr:nvPicPr>
        <xdr:cNvPr id="12" name="Picture 11">
          <a:extLst>
            <a:ext uri="{FF2B5EF4-FFF2-40B4-BE49-F238E27FC236}">
              <a16:creationId xmlns:a16="http://schemas.microsoft.com/office/drawing/2014/main" id="{969857AA-E359-4126-A3A9-16183BA57609}"/>
            </a:ext>
          </a:extLst>
        </xdr:cNvPr>
        <xdr:cNvPicPr>
          <a:picLocks noChangeAspect="1"/>
        </xdr:cNvPicPr>
      </xdr:nvPicPr>
      <xdr:blipFill>
        <a:blip xmlns:r="http://schemas.openxmlformats.org/officeDocument/2006/relationships" r:embed="rId10"/>
        <a:stretch>
          <a:fillRect/>
        </a:stretch>
      </xdr:blipFill>
      <xdr:spPr>
        <a:xfrm>
          <a:off x="42214800" y="15264451"/>
          <a:ext cx="4214274" cy="598224"/>
        </a:xfrm>
        <a:prstGeom prst="rect">
          <a:avLst/>
        </a:prstGeom>
      </xdr:spPr>
    </xdr:pic>
    <xdr:clientData/>
  </xdr:twoCellAnchor>
  <xdr:twoCellAnchor editAs="oneCell">
    <xdr:from>
      <xdr:col>31</xdr:col>
      <xdr:colOff>558800</xdr:colOff>
      <xdr:row>90</xdr:row>
      <xdr:rowOff>84038</xdr:rowOff>
    </xdr:from>
    <xdr:to>
      <xdr:col>37</xdr:col>
      <xdr:colOff>560106</xdr:colOff>
      <xdr:row>97</xdr:row>
      <xdr:rowOff>9773</xdr:rowOff>
    </xdr:to>
    <xdr:pic>
      <xdr:nvPicPr>
        <xdr:cNvPr id="13" name="Picture 12">
          <a:extLst>
            <a:ext uri="{FF2B5EF4-FFF2-40B4-BE49-F238E27FC236}">
              <a16:creationId xmlns:a16="http://schemas.microsoft.com/office/drawing/2014/main" id="{F267D2E7-5343-4E11-A0F6-553C97DBE5D5}"/>
            </a:ext>
          </a:extLst>
        </xdr:cNvPr>
        <xdr:cNvPicPr>
          <a:picLocks noChangeAspect="1"/>
        </xdr:cNvPicPr>
      </xdr:nvPicPr>
      <xdr:blipFill>
        <a:blip xmlns:r="http://schemas.openxmlformats.org/officeDocument/2006/relationships" r:embed="rId11"/>
        <a:stretch>
          <a:fillRect/>
        </a:stretch>
      </xdr:blipFill>
      <xdr:spPr>
        <a:xfrm>
          <a:off x="42030650" y="16003488"/>
          <a:ext cx="4573306" cy="1214785"/>
        </a:xfrm>
        <a:prstGeom prst="rect">
          <a:avLst/>
        </a:prstGeom>
      </xdr:spPr>
    </xdr:pic>
    <xdr:clientData/>
  </xdr:twoCellAnchor>
  <xdr:twoCellAnchor editAs="oneCell">
    <xdr:from>
      <xdr:col>40</xdr:col>
      <xdr:colOff>0</xdr:colOff>
      <xdr:row>66</xdr:row>
      <xdr:rowOff>0</xdr:rowOff>
    </xdr:from>
    <xdr:to>
      <xdr:col>43</xdr:col>
      <xdr:colOff>601158</xdr:colOff>
      <xdr:row>71</xdr:row>
      <xdr:rowOff>150814</xdr:rowOff>
    </xdr:to>
    <xdr:pic>
      <xdr:nvPicPr>
        <xdr:cNvPr id="14" name="Picture 13">
          <a:extLst>
            <a:ext uri="{FF2B5EF4-FFF2-40B4-BE49-F238E27FC236}">
              <a16:creationId xmlns:a16="http://schemas.microsoft.com/office/drawing/2014/main" id="{4EA2DD1B-6127-473E-BD08-EE782CFEA47F}"/>
            </a:ext>
          </a:extLst>
        </xdr:cNvPr>
        <xdr:cNvPicPr>
          <a:picLocks noChangeAspect="1"/>
        </xdr:cNvPicPr>
      </xdr:nvPicPr>
      <xdr:blipFill>
        <a:blip xmlns:r="http://schemas.openxmlformats.org/officeDocument/2006/relationships" r:embed="rId12"/>
        <a:stretch>
          <a:fillRect/>
        </a:stretch>
      </xdr:blipFill>
      <xdr:spPr>
        <a:xfrm>
          <a:off x="49066450" y="11499850"/>
          <a:ext cx="3623758" cy="1071565"/>
        </a:xfrm>
        <a:prstGeom prst="rect">
          <a:avLst/>
        </a:prstGeom>
      </xdr:spPr>
    </xdr:pic>
    <xdr:clientData/>
  </xdr:twoCellAnchor>
  <xdr:twoCellAnchor editAs="oneCell">
    <xdr:from>
      <xdr:col>40</xdr:col>
      <xdr:colOff>0</xdr:colOff>
      <xdr:row>72</xdr:row>
      <xdr:rowOff>0</xdr:rowOff>
    </xdr:from>
    <xdr:to>
      <xdr:col>43</xdr:col>
      <xdr:colOff>502482</xdr:colOff>
      <xdr:row>79</xdr:row>
      <xdr:rowOff>11472</xdr:rowOff>
    </xdr:to>
    <xdr:pic>
      <xdr:nvPicPr>
        <xdr:cNvPr id="15" name="Picture 14">
          <a:extLst>
            <a:ext uri="{FF2B5EF4-FFF2-40B4-BE49-F238E27FC236}">
              <a16:creationId xmlns:a16="http://schemas.microsoft.com/office/drawing/2014/main" id="{01C207E5-C8CA-4DA2-98F8-DC126A842098}"/>
            </a:ext>
          </a:extLst>
        </xdr:cNvPr>
        <xdr:cNvPicPr>
          <a:picLocks noChangeAspect="1"/>
        </xdr:cNvPicPr>
      </xdr:nvPicPr>
      <xdr:blipFill>
        <a:blip xmlns:r="http://schemas.openxmlformats.org/officeDocument/2006/relationships" r:embed="rId13"/>
        <a:stretch>
          <a:fillRect/>
        </a:stretch>
      </xdr:blipFill>
      <xdr:spPr>
        <a:xfrm>
          <a:off x="49066450" y="12604750"/>
          <a:ext cx="3537782" cy="1294172"/>
        </a:xfrm>
        <a:prstGeom prst="rect">
          <a:avLst/>
        </a:prstGeom>
      </xdr:spPr>
    </xdr:pic>
    <xdr:clientData/>
  </xdr:twoCellAnchor>
  <xdr:twoCellAnchor editAs="oneCell">
    <xdr:from>
      <xdr:col>40</xdr:col>
      <xdr:colOff>0</xdr:colOff>
      <xdr:row>79</xdr:row>
      <xdr:rowOff>0</xdr:rowOff>
    </xdr:from>
    <xdr:to>
      <xdr:col>44</xdr:col>
      <xdr:colOff>436613</xdr:colOff>
      <xdr:row>85</xdr:row>
      <xdr:rowOff>1203</xdr:rowOff>
    </xdr:to>
    <xdr:pic>
      <xdr:nvPicPr>
        <xdr:cNvPr id="16" name="Picture 15">
          <a:extLst>
            <a:ext uri="{FF2B5EF4-FFF2-40B4-BE49-F238E27FC236}">
              <a16:creationId xmlns:a16="http://schemas.microsoft.com/office/drawing/2014/main" id="{0D4BA3A5-C5EC-4FE5-938E-F6B02B0E4AB3}"/>
            </a:ext>
          </a:extLst>
        </xdr:cNvPr>
        <xdr:cNvPicPr>
          <a:picLocks noChangeAspect="1"/>
        </xdr:cNvPicPr>
      </xdr:nvPicPr>
      <xdr:blipFill>
        <a:blip xmlns:r="http://schemas.openxmlformats.org/officeDocument/2006/relationships" r:embed="rId14"/>
        <a:stretch>
          <a:fillRect/>
        </a:stretch>
      </xdr:blipFill>
      <xdr:spPr>
        <a:xfrm>
          <a:off x="49066450" y="13893800"/>
          <a:ext cx="4475213" cy="1095672"/>
        </a:xfrm>
        <a:prstGeom prst="rect">
          <a:avLst/>
        </a:prstGeom>
      </xdr:spPr>
    </xdr:pic>
    <xdr:clientData/>
  </xdr:twoCellAnchor>
  <xdr:oneCellAnchor>
    <xdr:from>
      <xdr:col>49</xdr:col>
      <xdr:colOff>342484</xdr:colOff>
      <xdr:row>83</xdr:row>
      <xdr:rowOff>62592</xdr:rowOff>
    </xdr:from>
    <xdr:ext cx="4475213" cy="1095672"/>
    <xdr:pic>
      <xdr:nvPicPr>
        <xdr:cNvPr id="17" name="Picture 16">
          <a:extLst>
            <a:ext uri="{FF2B5EF4-FFF2-40B4-BE49-F238E27FC236}">
              <a16:creationId xmlns:a16="http://schemas.microsoft.com/office/drawing/2014/main" id="{F2F4AD84-342F-4D42-AD46-F182D81386CB}"/>
            </a:ext>
          </a:extLst>
        </xdr:cNvPr>
        <xdr:cNvPicPr>
          <a:picLocks noChangeAspect="1"/>
        </xdr:cNvPicPr>
      </xdr:nvPicPr>
      <xdr:blipFill>
        <a:blip xmlns:r="http://schemas.openxmlformats.org/officeDocument/2006/relationships" r:embed="rId14"/>
        <a:stretch>
          <a:fillRect/>
        </a:stretch>
      </xdr:blipFill>
      <xdr:spPr>
        <a:xfrm>
          <a:off x="59832913" y="13383985"/>
          <a:ext cx="4475213" cy="1095672"/>
        </a:xfrm>
        <a:prstGeom prst="rect">
          <a:avLst/>
        </a:prstGeom>
      </xdr:spPr>
    </xdr:pic>
    <xdr:clientData/>
  </xdr:oneCellAnchor>
  <xdr:twoCellAnchor editAs="oneCell">
    <xdr:from>
      <xdr:col>53</xdr:col>
      <xdr:colOff>0</xdr:colOff>
      <xdr:row>63</xdr:row>
      <xdr:rowOff>133350</xdr:rowOff>
    </xdr:from>
    <xdr:to>
      <xdr:col>59</xdr:col>
      <xdr:colOff>496350</xdr:colOff>
      <xdr:row>70</xdr:row>
      <xdr:rowOff>35092</xdr:rowOff>
    </xdr:to>
    <xdr:pic>
      <xdr:nvPicPr>
        <xdr:cNvPr id="3" name="Picture 2">
          <a:extLst>
            <a:ext uri="{FF2B5EF4-FFF2-40B4-BE49-F238E27FC236}">
              <a16:creationId xmlns:a16="http://schemas.microsoft.com/office/drawing/2014/main" id="{9143DF17-90C6-4A15-B937-1A180230ABEF}"/>
            </a:ext>
          </a:extLst>
        </xdr:cNvPr>
        <xdr:cNvPicPr>
          <a:picLocks noChangeAspect="1"/>
        </xdr:cNvPicPr>
      </xdr:nvPicPr>
      <xdr:blipFill>
        <a:blip xmlns:r="http://schemas.openxmlformats.org/officeDocument/2006/relationships" r:embed="rId15"/>
        <a:stretch>
          <a:fillRect/>
        </a:stretch>
      </xdr:blipFill>
      <xdr:spPr>
        <a:xfrm>
          <a:off x="61798200" y="11080750"/>
          <a:ext cx="7525800" cy="1190791"/>
        </a:xfrm>
        <a:prstGeom prst="rect">
          <a:avLst/>
        </a:prstGeom>
      </xdr:spPr>
    </xdr:pic>
    <xdr:clientData/>
  </xdr:twoCellAnchor>
  <xdr:twoCellAnchor editAs="oneCell">
    <xdr:from>
      <xdr:col>59</xdr:col>
      <xdr:colOff>31750</xdr:colOff>
      <xdr:row>66</xdr:row>
      <xdr:rowOff>57150</xdr:rowOff>
    </xdr:from>
    <xdr:to>
      <xdr:col>62</xdr:col>
      <xdr:colOff>543782</xdr:colOff>
      <xdr:row>67</xdr:row>
      <xdr:rowOff>125433</xdr:rowOff>
    </xdr:to>
    <xdr:pic>
      <xdr:nvPicPr>
        <xdr:cNvPr id="20" name="Picture 19">
          <a:extLst>
            <a:ext uri="{FF2B5EF4-FFF2-40B4-BE49-F238E27FC236}">
              <a16:creationId xmlns:a16="http://schemas.microsoft.com/office/drawing/2014/main" id="{FAD4D9CA-1A1E-4BA5-9F51-3A957A37949E}"/>
            </a:ext>
          </a:extLst>
        </xdr:cNvPr>
        <xdr:cNvPicPr>
          <a:picLocks noChangeAspect="1"/>
        </xdr:cNvPicPr>
      </xdr:nvPicPr>
      <xdr:blipFill rotWithShape="1">
        <a:blip xmlns:r="http://schemas.openxmlformats.org/officeDocument/2006/relationships" r:embed="rId16"/>
        <a:srcRect l="959" t="62762"/>
        <a:stretch/>
      </xdr:blipFill>
      <xdr:spPr>
        <a:xfrm>
          <a:off x="69875400" y="11557000"/>
          <a:ext cx="3280632" cy="252433"/>
        </a:xfrm>
        <a:prstGeom prst="rect">
          <a:avLst/>
        </a:prstGeom>
      </xdr:spPr>
    </xdr:pic>
    <xdr:clientData/>
  </xdr:twoCellAnchor>
  <xdr:twoCellAnchor>
    <xdr:from>
      <xdr:col>37</xdr:col>
      <xdr:colOff>976085</xdr:colOff>
      <xdr:row>35</xdr:row>
      <xdr:rowOff>158751</xdr:rowOff>
    </xdr:from>
    <xdr:to>
      <xdr:col>42</xdr:col>
      <xdr:colOff>507092</xdr:colOff>
      <xdr:row>53</xdr:row>
      <xdr:rowOff>116568</xdr:rowOff>
    </xdr:to>
    <xdr:graphicFrame macro="">
      <xdr:nvGraphicFramePr>
        <xdr:cNvPr id="2" name="Chart 1">
          <a:extLst>
            <a:ext uri="{FF2B5EF4-FFF2-40B4-BE49-F238E27FC236}">
              <a16:creationId xmlns:a16="http://schemas.microsoft.com/office/drawing/2014/main" id="{7B404A4E-E869-7B7D-9DE5-64E7BCD50C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177760</xdr:colOff>
      <xdr:row>51</xdr:row>
      <xdr:rowOff>6350</xdr:rowOff>
    </xdr:from>
    <xdr:to>
      <xdr:col>22</xdr:col>
      <xdr:colOff>636689</xdr:colOff>
      <xdr:row>53</xdr:row>
      <xdr:rowOff>32854</xdr:rowOff>
    </xdr:to>
    <xdr:pic>
      <xdr:nvPicPr>
        <xdr:cNvPr id="2" name="Picture 1">
          <a:extLst>
            <a:ext uri="{FF2B5EF4-FFF2-40B4-BE49-F238E27FC236}">
              <a16:creationId xmlns:a16="http://schemas.microsoft.com/office/drawing/2014/main" id="{4C58D7FB-BE14-4074-BC3A-F69E76836184}"/>
            </a:ext>
          </a:extLst>
        </xdr:cNvPr>
        <xdr:cNvPicPr>
          <a:picLocks noChangeAspect="1"/>
        </xdr:cNvPicPr>
      </xdr:nvPicPr>
      <xdr:blipFill>
        <a:blip xmlns:r="http://schemas.openxmlformats.org/officeDocument/2006/relationships" r:embed="rId1"/>
        <a:stretch>
          <a:fillRect/>
        </a:stretch>
      </xdr:blipFill>
      <xdr:spPr>
        <a:xfrm>
          <a:off x="25057060" y="5397500"/>
          <a:ext cx="7536003" cy="400050"/>
        </a:xfrm>
        <a:prstGeom prst="rect">
          <a:avLst/>
        </a:prstGeom>
      </xdr:spPr>
    </xdr:pic>
    <xdr:clientData/>
  </xdr:twoCellAnchor>
  <xdr:twoCellAnchor editAs="oneCell">
    <xdr:from>
      <xdr:col>14</xdr:col>
      <xdr:colOff>172662</xdr:colOff>
      <xdr:row>52</xdr:row>
      <xdr:rowOff>177801</xdr:rowOff>
    </xdr:from>
    <xdr:to>
      <xdr:col>22</xdr:col>
      <xdr:colOff>635001</xdr:colOff>
      <xdr:row>54</xdr:row>
      <xdr:rowOff>190318</xdr:rowOff>
    </xdr:to>
    <xdr:pic>
      <xdr:nvPicPr>
        <xdr:cNvPr id="3" name="Picture 2">
          <a:extLst>
            <a:ext uri="{FF2B5EF4-FFF2-40B4-BE49-F238E27FC236}">
              <a16:creationId xmlns:a16="http://schemas.microsoft.com/office/drawing/2014/main" id="{D0CC6B01-12D5-4B6F-A818-244360004237}"/>
            </a:ext>
          </a:extLst>
        </xdr:cNvPr>
        <xdr:cNvPicPr>
          <a:picLocks noChangeAspect="1"/>
        </xdr:cNvPicPr>
      </xdr:nvPicPr>
      <xdr:blipFill>
        <a:blip xmlns:r="http://schemas.openxmlformats.org/officeDocument/2006/relationships" r:embed="rId2"/>
        <a:stretch>
          <a:fillRect/>
        </a:stretch>
      </xdr:blipFill>
      <xdr:spPr>
        <a:xfrm>
          <a:off x="25051962" y="5759451"/>
          <a:ext cx="7539413" cy="382336"/>
        </a:xfrm>
        <a:prstGeom prst="rect">
          <a:avLst/>
        </a:prstGeom>
      </xdr:spPr>
    </xdr:pic>
    <xdr:clientData/>
  </xdr:twoCellAnchor>
  <xdr:twoCellAnchor editAs="oneCell">
    <xdr:from>
      <xdr:col>14</xdr:col>
      <xdr:colOff>190460</xdr:colOff>
      <xdr:row>56</xdr:row>
      <xdr:rowOff>44450</xdr:rowOff>
    </xdr:from>
    <xdr:to>
      <xdr:col>22</xdr:col>
      <xdr:colOff>649389</xdr:colOff>
      <xdr:row>58</xdr:row>
      <xdr:rowOff>70954</xdr:rowOff>
    </xdr:to>
    <xdr:pic>
      <xdr:nvPicPr>
        <xdr:cNvPr id="4" name="Picture 3">
          <a:extLst>
            <a:ext uri="{FF2B5EF4-FFF2-40B4-BE49-F238E27FC236}">
              <a16:creationId xmlns:a16="http://schemas.microsoft.com/office/drawing/2014/main" id="{D9CF363B-2002-4300-B36E-73241AEC3F1D}"/>
            </a:ext>
          </a:extLst>
        </xdr:cNvPr>
        <xdr:cNvPicPr>
          <a:picLocks noChangeAspect="1"/>
        </xdr:cNvPicPr>
      </xdr:nvPicPr>
      <xdr:blipFill>
        <a:blip xmlns:r="http://schemas.openxmlformats.org/officeDocument/2006/relationships" r:embed="rId1"/>
        <a:stretch>
          <a:fillRect/>
        </a:stretch>
      </xdr:blipFill>
      <xdr:spPr>
        <a:xfrm>
          <a:off x="25069760" y="6388100"/>
          <a:ext cx="7536003" cy="400050"/>
        </a:xfrm>
        <a:prstGeom prst="rect">
          <a:avLst/>
        </a:prstGeom>
      </xdr:spPr>
    </xdr:pic>
    <xdr:clientData/>
  </xdr:twoCellAnchor>
  <xdr:twoCellAnchor editAs="oneCell">
    <xdr:from>
      <xdr:col>14</xdr:col>
      <xdr:colOff>196850</xdr:colOff>
      <xdr:row>58</xdr:row>
      <xdr:rowOff>38100</xdr:rowOff>
    </xdr:from>
    <xdr:to>
      <xdr:col>22</xdr:col>
      <xdr:colOff>654051</xdr:colOff>
      <xdr:row>60</xdr:row>
      <xdr:rowOff>61046</xdr:rowOff>
    </xdr:to>
    <xdr:pic>
      <xdr:nvPicPr>
        <xdr:cNvPr id="5" name="Picture 4">
          <a:extLst>
            <a:ext uri="{FF2B5EF4-FFF2-40B4-BE49-F238E27FC236}">
              <a16:creationId xmlns:a16="http://schemas.microsoft.com/office/drawing/2014/main" id="{CB08983C-C374-42E5-A958-8BEB6008F79D}"/>
            </a:ext>
          </a:extLst>
        </xdr:cNvPr>
        <xdr:cNvPicPr>
          <a:picLocks noChangeAspect="1"/>
        </xdr:cNvPicPr>
      </xdr:nvPicPr>
      <xdr:blipFill>
        <a:blip xmlns:r="http://schemas.openxmlformats.org/officeDocument/2006/relationships" r:embed="rId3"/>
        <a:stretch>
          <a:fillRect/>
        </a:stretch>
      </xdr:blipFill>
      <xdr:spPr>
        <a:xfrm>
          <a:off x="25076150" y="6762750"/>
          <a:ext cx="7534275" cy="3964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3401785</xdr:colOff>
      <xdr:row>197</xdr:row>
      <xdr:rowOff>149679</xdr:rowOff>
    </xdr:from>
    <xdr:to>
      <xdr:col>5</xdr:col>
      <xdr:colOff>476083</xdr:colOff>
      <xdr:row>219</xdr:row>
      <xdr:rowOff>124462</xdr:rowOff>
    </xdr:to>
    <xdr:pic>
      <xdr:nvPicPr>
        <xdr:cNvPr id="2" name="Picture 1">
          <a:extLst>
            <a:ext uri="{FF2B5EF4-FFF2-40B4-BE49-F238E27FC236}">
              <a16:creationId xmlns:a16="http://schemas.microsoft.com/office/drawing/2014/main" id="{065E36B3-D36C-BA0E-33A8-AE82D14BD1E9}"/>
            </a:ext>
          </a:extLst>
        </xdr:cNvPr>
        <xdr:cNvPicPr>
          <a:picLocks noChangeAspect="1"/>
        </xdr:cNvPicPr>
      </xdr:nvPicPr>
      <xdr:blipFill>
        <a:blip xmlns:r="http://schemas.openxmlformats.org/officeDocument/2006/relationships" r:embed="rId1"/>
        <a:stretch>
          <a:fillRect/>
        </a:stretch>
      </xdr:blipFill>
      <xdr:spPr>
        <a:xfrm>
          <a:off x="8137071" y="7415893"/>
          <a:ext cx="5578762" cy="3572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4970</xdr:colOff>
      <xdr:row>94</xdr:row>
      <xdr:rowOff>49694</xdr:rowOff>
    </xdr:from>
    <xdr:to>
      <xdr:col>2</xdr:col>
      <xdr:colOff>2414933</xdr:colOff>
      <xdr:row>106</xdr:row>
      <xdr:rowOff>27747</xdr:rowOff>
    </xdr:to>
    <xdr:pic>
      <xdr:nvPicPr>
        <xdr:cNvPr id="2" name="Picture 6">
          <a:extLst>
            <a:ext uri="{FF2B5EF4-FFF2-40B4-BE49-F238E27FC236}">
              <a16:creationId xmlns:a16="http://schemas.microsoft.com/office/drawing/2014/main" id="{3621CFEE-41D8-496E-80F6-9F689CFA6990}"/>
            </a:ext>
          </a:extLst>
        </xdr:cNvPr>
        <xdr:cNvPicPr>
          <a:picLocks noChangeAspect="1"/>
        </xdr:cNvPicPr>
      </xdr:nvPicPr>
      <xdr:blipFill>
        <a:blip xmlns:r="http://schemas.openxmlformats.org/officeDocument/2006/relationships" r:embed="rId1"/>
        <a:stretch>
          <a:fillRect/>
        </a:stretch>
      </xdr:blipFill>
      <xdr:spPr>
        <a:xfrm>
          <a:off x="617883" y="8605629"/>
          <a:ext cx="5291068" cy="1954697"/>
        </a:xfrm>
        <a:prstGeom prst="rect">
          <a:avLst/>
        </a:prstGeom>
      </xdr:spPr>
    </xdr:pic>
    <xdr:clientData/>
  </xdr:twoCellAnchor>
  <xdr:twoCellAnchor editAs="oneCell">
    <xdr:from>
      <xdr:col>0</xdr:col>
      <xdr:colOff>596901</xdr:colOff>
      <xdr:row>125</xdr:row>
      <xdr:rowOff>152400</xdr:rowOff>
    </xdr:from>
    <xdr:to>
      <xdr:col>2</xdr:col>
      <xdr:colOff>2279650</xdr:colOff>
      <xdr:row>145</xdr:row>
      <xdr:rowOff>107675</xdr:rowOff>
    </xdr:to>
    <xdr:pic>
      <xdr:nvPicPr>
        <xdr:cNvPr id="3" name="Picture 2">
          <a:extLst>
            <a:ext uri="{FF2B5EF4-FFF2-40B4-BE49-F238E27FC236}">
              <a16:creationId xmlns:a16="http://schemas.microsoft.com/office/drawing/2014/main" id="{7FC0C61D-8C36-4BE1-AB70-8B27460F9027}"/>
            </a:ext>
          </a:extLst>
        </xdr:cNvPr>
        <xdr:cNvPicPr>
          <a:picLocks noChangeAspect="1"/>
        </xdr:cNvPicPr>
      </xdr:nvPicPr>
      <xdr:blipFill>
        <a:blip xmlns:r="http://schemas.openxmlformats.org/officeDocument/2006/relationships" r:embed="rId2"/>
        <a:stretch>
          <a:fillRect/>
        </a:stretch>
      </xdr:blipFill>
      <xdr:spPr>
        <a:xfrm>
          <a:off x="596901" y="10580204"/>
          <a:ext cx="5178010" cy="3367710"/>
        </a:xfrm>
        <a:prstGeom prst="rect">
          <a:avLst/>
        </a:prstGeom>
      </xdr:spPr>
    </xdr:pic>
    <xdr:clientData/>
  </xdr:twoCellAnchor>
  <xdr:twoCellAnchor editAs="oneCell">
    <xdr:from>
      <xdr:col>4</xdr:col>
      <xdr:colOff>0</xdr:colOff>
      <xdr:row>95</xdr:row>
      <xdr:rowOff>1</xdr:rowOff>
    </xdr:from>
    <xdr:to>
      <xdr:col>10</xdr:col>
      <xdr:colOff>123135</xdr:colOff>
      <xdr:row>102</xdr:row>
      <xdr:rowOff>57978</xdr:rowOff>
    </xdr:to>
    <xdr:pic>
      <xdr:nvPicPr>
        <xdr:cNvPr id="4" name="Picture 3">
          <a:extLst>
            <a:ext uri="{FF2B5EF4-FFF2-40B4-BE49-F238E27FC236}">
              <a16:creationId xmlns:a16="http://schemas.microsoft.com/office/drawing/2014/main" id="{C3FE67E9-13DB-4BF8-8359-68CA7F2DF1A6}"/>
            </a:ext>
          </a:extLst>
        </xdr:cNvPr>
        <xdr:cNvPicPr>
          <a:picLocks noChangeAspect="1"/>
        </xdr:cNvPicPr>
      </xdr:nvPicPr>
      <xdr:blipFill>
        <a:blip xmlns:r="http://schemas.openxmlformats.org/officeDocument/2006/relationships" r:embed="rId3"/>
        <a:stretch>
          <a:fillRect/>
        </a:stretch>
      </xdr:blipFill>
      <xdr:spPr>
        <a:xfrm>
          <a:off x="6957391" y="8721588"/>
          <a:ext cx="6451048" cy="1217542"/>
        </a:xfrm>
        <a:prstGeom prst="rect">
          <a:avLst/>
        </a:prstGeom>
      </xdr:spPr>
    </xdr:pic>
    <xdr:clientData/>
  </xdr:twoCellAnchor>
  <xdr:twoCellAnchor editAs="oneCell">
    <xdr:from>
      <xdr:col>3</xdr:col>
      <xdr:colOff>2044700</xdr:colOff>
      <xdr:row>125</xdr:row>
      <xdr:rowOff>95251</xdr:rowOff>
    </xdr:from>
    <xdr:to>
      <xdr:col>6</xdr:col>
      <xdr:colOff>533400</xdr:colOff>
      <xdr:row>129</xdr:row>
      <xdr:rowOff>49657</xdr:rowOff>
    </xdr:to>
    <xdr:pic>
      <xdr:nvPicPr>
        <xdr:cNvPr id="5" name="Picture 4">
          <a:extLst>
            <a:ext uri="{FF2B5EF4-FFF2-40B4-BE49-F238E27FC236}">
              <a16:creationId xmlns:a16="http://schemas.microsoft.com/office/drawing/2014/main" id="{931130AB-820E-4857-81ED-DEFBCEA85AF1}"/>
            </a:ext>
          </a:extLst>
        </xdr:cNvPr>
        <xdr:cNvPicPr>
          <a:picLocks noChangeAspect="1"/>
        </xdr:cNvPicPr>
      </xdr:nvPicPr>
      <xdr:blipFill>
        <a:blip xmlns:r="http://schemas.openxmlformats.org/officeDocument/2006/relationships" r:embed="rId4"/>
        <a:stretch>
          <a:fillRect/>
        </a:stretch>
      </xdr:blipFill>
      <xdr:spPr>
        <a:xfrm>
          <a:off x="7121525" y="8572501"/>
          <a:ext cx="3117850" cy="602106"/>
        </a:xfrm>
        <a:prstGeom prst="rect">
          <a:avLst/>
        </a:prstGeom>
      </xdr:spPr>
    </xdr:pic>
    <xdr:clientData/>
  </xdr:twoCellAnchor>
  <xdr:twoCellAnchor editAs="oneCell">
    <xdr:from>
      <xdr:col>4</xdr:col>
      <xdr:colOff>28575</xdr:colOff>
      <xdr:row>128</xdr:row>
      <xdr:rowOff>79375</xdr:rowOff>
    </xdr:from>
    <xdr:to>
      <xdr:col>10</xdr:col>
      <xdr:colOff>835331</xdr:colOff>
      <xdr:row>138</xdr:row>
      <xdr:rowOff>98423</xdr:rowOff>
    </xdr:to>
    <xdr:pic>
      <xdr:nvPicPr>
        <xdr:cNvPr id="6" name="Picture 5">
          <a:extLst>
            <a:ext uri="{FF2B5EF4-FFF2-40B4-BE49-F238E27FC236}">
              <a16:creationId xmlns:a16="http://schemas.microsoft.com/office/drawing/2014/main" id="{BCA5AF63-5B36-4304-A80B-B7E90BB6EF70}"/>
            </a:ext>
          </a:extLst>
        </xdr:cNvPr>
        <xdr:cNvPicPr>
          <a:picLocks noChangeAspect="1"/>
        </xdr:cNvPicPr>
      </xdr:nvPicPr>
      <xdr:blipFill>
        <a:blip xmlns:r="http://schemas.openxmlformats.org/officeDocument/2006/relationships" r:embed="rId5"/>
        <a:stretch>
          <a:fillRect/>
        </a:stretch>
      </xdr:blipFill>
      <xdr:spPr>
        <a:xfrm>
          <a:off x="7153275" y="9042400"/>
          <a:ext cx="7149577" cy="1638299"/>
        </a:xfrm>
        <a:prstGeom prst="rect">
          <a:avLst/>
        </a:prstGeom>
      </xdr:spPr>
    </xdr:pic>
    <xdr:clientData/>
  </xdr:twoCellAnchor>
  <xdr:oneCellAnchor>
    <xdr:from>
      <xdr:col>4</xdr:col>
      <xdr:colOff>400050</xdr:colOff>
      <xdr:row>155</xdr:row>
      <xdr:rowOff>82550</xdr:rowOff>
    </xdr:from>
    <xdr:ext cx="6291189" cy="573651"/>
    <xdr:pic>
      <xdr:nvPicPr>
        <xdr:cNvPr id="7" name="Picture 11">
          <a:extLst>
            <a:ext uri="{FF2B5EF4-FFF2-40B4-BE49-F238E27FC236}">
              <a16:creationId xmlns:a16="http://schemas.microsoft.com/office/drawing/2014/main" id="{5AD24B44-BB20-4677-ACAF-B451714A86BE}"/>
            </a:ext>
          </a:extLst>
        </xdr:cNvPr>
        <xdr:cNvPicPr>
          <a:picLocks noChangeAspect="1"/>
        </xdr:cNvPicPr>
      </xdr:nvPicPr>
      <xdr:blipFill>
        <a:blip xmlns:r="http://schemas.openxmlformats.org/officeDocument/2006/relationships" r:embed="rId6"/>
        <a:stretch>
          <a:fillRect/>
        </a:stretch>
      </xdr:blipFill>
      <xdr:spPr>
        <a:xfrm>
          <a:off x="7524750" y="13817600"/>
          <a:ext cx="6291189" cy="573651"/>
        </a:xfrm>
        <a:prstGeom prst="rect">
          <a:avLst/>
        </a:prstGeom>
      </xdr:spPr>
    </xdr:pic>
    <xdr:clientData/>
  </xdr:oneCellAnchor>
  <xdr:oneCellAnchor>
    <xdr:from>
      <xdr:col>4</xdr:col>
      <xdr:colOff>361950</xdr:colOff>
      <xdr:row>153</xdr:row>
      <xdr:rowOff>178300</xdr:rowOff>
    </xdr:from>
    <xdr:ext cx="6305550" cy="304300"/>
    <xdr:pic>
      <xdr:nvPicPr>
        <xdr:cNvPr id="8" name="Picture 12">
          <a:extLst>
            <a:ext uri="{FF2B5EF4-FFF2-40B4-BE49-F238E27FC236}">
              <a16:creationId xmlns:a16="http://schemas.microsoft.com/office/drawing/2014/main" id="{54D12929-AFEC-4A21-9D89-A6265022E5FD}"/>
            </a:ext>
          </a:extLst>
        </xdr:cNvPr>
        <xdr:cNvPicPr>
          <a:picLocks noChangeAspect="1"/>
        </xdr:cNvPicPr>
      </xdr:nvPicPr>
      <xdr:blipFill rotWithShape="1">
        <a:blip xmlns:r="http://schemas.openxmlformats.org/officeDocument/2006/relationships" r:embed="rId7"/>
        <a:srcRect b="22350"/>
        <a:stretch/>
      </xdr:blipFill>
      <xdr:spPr>
        <a:xfrm>
          <a:off x="7486650" y="13532350"/>
          <a:ext cx="6305550" cy="304300"/>
        </a:xfrm>
        <a:prstGeom prst="rect">
          <a:avLst/>
        </a:prstGeom>
      </xdr:spPr>
    </xdr:pic>
    <xdr:clientData/>
  </xdr:oneCellAnchor>
  <xdr:oneCellAnchor>
    <xdr:from>
      <xdr:col>4</xdr:col>
      <xdr:colOff>317500</xdr:colOff>
      <xdr:row>163</xdr:row>
      <xdr:rowOff>44451</xdr:rowOff>
    </xdr:from>
    <xdr:ext cx="6617998" cy="659884"/>
    <xdr:pic>
      <xdr:nvPicPr>
        <xdr:cNvPr id="9" name="Picture 13">
          <a:extLst>
            <a:ext uri="{FF2B5EF4-FFF2-40B4-BE49-F238E27FC236}">
              <a16:creationId xmlns:a16="http://schemas.microsoft.com/office/drawing/2014/main" id="{0A02C14C-59DC-4207-8F9C-92333B8B13CD}"/>
            </a:ext>
          </a:extLst>
        </xdr:cNvPr>
        <xdr:cNvPicPr>
          <a:picLocks noChangeAspect="1"/>
        </xdr:cNvPicPr>
      </xdr:nvPicPr>
      <xdr:blipFill>
        <a:blip xmlns:r="http://schemas.openxmlformats.org/officeDocument/2006/relationships" r:embed="rId8"/>
        <a:stretch>
          <a:fillRect/>
        </a:stretch>
      </xdr:blipFill>
      <xdr:spPr>
        <a:xfrm>
          <a:off x="7442200" y="15303501"/>
          <a:ext cx="6617998" cy="659884"/>
        </a:xfrm>
        <a:prstGeom prst="rect">
          <a:avLst/>
        </a:prstGeom>
      </xdr:spPr>
    </xdr:pic>
    <xdr:clientData/>
  </xdr:oneCellAnchor>
  <xdr:oneCellAnchor>
    <xdr:from>
      <xdr:col>4</xdr:col>
      <xdr:colOff>374650</xdr:colOff>
      <xdr:row>161</xdr:row>
      <xdr:rowOff>137658</xdr:rowOff>
    </xdr:from>
    <xdr:ext cx="6443339" cy="332601"/>
    <xdr:pic>
      <xdr:nvPicPr>
        <xdr:cNvPr id="10" name="Picture 14">
          <a:extLst>
            <a:ext uri="{FF2B5EF4-FFF2-40B4-BE49-F238E27FC236}">
              <a16:creationId xmlns:a16="http://schemas.microsoft.com/office/drawing/2014/main" id="{42D781F6-6123-4C0E-9390-478EB65CAD4C}"/>
            </a:ext>
          </a:extLst>
        </xdr:cNvPr>
        <xdr:cNvPicPr>
          <a:picLocks noChangeAspect="1"/>
        </xdr:cNvPicPr>
      </xdr:nvPicPr>
      <xdr:blipFill>
        <a:blip xmlns:r="http://schemas.openxmlformats.org/officeDocument/2006/relationships" r:embed="rId9"/>
        <a:stretch>
          <a:fillRect/>
        </a:stretch>
      </xdr:blipFill>
      <xdr:spPr>
        <a:xfrm>
          <a:off x="7499350" y="15015708"/>
          <a:ext cx="6443339" cy="332601"/>
        </a:xfrm>
        <a:prstGeom prst="rect">
          <a:avLst/>
        </a:prstGeom>
      </xdr:spPr>
    </xdr:pic>
    <xdr:clientData/>
  </xdr:oneCellAnchor>
  <xdr:twoCellAnchor editAs="oneCell">
    <xdr:from>
      <xdr:col>4</xdr:col>
      <xdr:colOff>1341782</xdr:colOff>
      <xdr:row>30</xdr:row>
      <xdr:rowOff>24847</xdr:rowOff>
    </xdr:from>
    <xdr:to>
      <xdr:col>11</xdr:col>
      <xdr:colOff>629478</xdr:colOff>
      <xdr:row>45</xdr:row>
      <xdr:rowOff>64548</xdr:rowOff>
    </xdr:to>
    <xdr:pic>
      <xdr:nvPicPr>
        <xdr:cNvPr id="13" name="Picture 12">
          <a:extLst>
            <a:ext uri="{FF2B5EF4-FFF2-40B4-BE49-F238E27FC236}">
              <a16:creationId xmlns:a16="http://schemas.microsoft.com/office/drawing/2014/main" id="{BD38B1F1-0042-4C28-AC8F-7A63521A0A81}"/>
            </a:ext>
          </a:extLst>
        </xdr:cNvPr>
        <xdr:cNvPicPr>
          <a:picLocks noChangeAspect="1"/>
        </xdr:cNvPicPr>
      </xdr:nvPicPr>
      <xdr:blipFill>
        <a:blip xmlns:r="http://schemas.openxmlformats.org/officeDocument/2006/relationships" r:embed="rId10"/>
        <a:stretch>
          <a:fillRect/>
        </a:stretch>
      </xdr:blipFill>
      <xdr:spPr>
        <a:xfrm>
          <a:off x="11222934" y="5913782"/>
          <a:ext cx="6642653" cy="2822657"/>
        </a:xfrm>
        <a:prstGeom prst="rect">
          <a:avLst/>
        </a:prstGeom>
      </xdr:spPr>
    </xdr:pic>
    <xdr:clientData/>
  </xdr:twoCellAnchor>
  <xdr:twoCellAnchor editAs="oneCell">
    <xdr:from>
      <xdr:col>12</xdr:col>
      <xdr:colOff>8283</xdr:colOff>
      <xdr:row>48</xdr:row>
      <xdr:rowOff>121754</xdr:rowOff>
    </xdr:from>
    <xdr:to>
      <xdr:col>19</xdr:col>
      <xdr:colOff>465965</xdr:colOff>
      <xdr:row>62</xdr:row>
      <xdr:rowOff>368993</xdr:rowOff>
    </xdr:to>
    <xdr:pic>
      <xdr:nvPicPr>
        <xdr:cNvPr id="14" name="Picture 13">
          <a:extLst>
            <a:ext uri="{FF2B5EF4-FFF2-40B4-BE49-F238E27FC236}">
              <a16:creationId xmlns:a16="http://schemas.microsoft.com/office/drawing/2014/main" id="{0A19A673-FA1D-4123-9588-65D3179F0F3F}"/>
            </a:ext>
          </a:extLst>
        </xdr:cNvPr>
        <xdr:cNvPicPr>
          <a:picLocks noChangeAspect="1"/>
        </xdr:cNvPicPr>
      </xdr:nvPicPr>
      <xdr:blipFill>
        <a:blip xmlns:r="http://schemas.openxmlformats.org/officeDocument/2006/relationships" r:embed="rId11"/>
        <a:stretch>
          <a:fillRect/>
        </a:stretch>
      </xdr:blipFill>
      <xdr:spPr>
        <a:xfrm>
          <a:off x="15362583" y="15180779"/>
          <a:ext cx="6420332" cy="5952714"/>
        </a:xfrm>
        <a:prstGeom prst="rect">
          <a:avLst/>
        </a:prstGeom>
      </xdr:spPr>
    </xdr:pic>
    <xdr:clientData/>
  </xdr:twoCellAnchor>
  <xdr:twoCellAnchor editAs="oneCell">
    <xdr:from>
      <xdr:col>0</xdr:col>
      <xdr:colOff>604630</xdr:colOff>
      <xdr:row>76</xdr:row>
      <xdr:rowOff>82826</xdr:rowOff>
    </xdr:from>
    <xdr:to>
      <xdr:col>4</xdr:col>
      <xdr:colOff>452230</xdr:colOff>
      <xdr:row>85</xdr:row>
      <xdr:rowOff>3316</xdr:rowOff>
    </xdr:to>
    <xdr:pic>
      <xdr:nvPicPr>
        <xdr:cNvPr id="15" name="Picture 14">
          <a:extLst>
            <a:ext uri="{FF2B5EF4-FFF2-40B4-BE49-F238E27FC236}">
              <a16:creationId xmlns:a16="http://schemas.microsoft.com/office/drawing/2014/main" id="{843F300B-CEE7-460A-9D76-62574FC7476E}"/>
            </a:ext>
          </a:extLst>
        </xdr:cNvPr>
        <xdr:cNvPicPr>
          <a:picLocks noChangeAspect="1"/>
        </xdr:cNvPicPr>
      </xdr:nvPicPr>
      <xdr:blipFill>
        <a:blip xmlns:r="http://schemas.openxmlformats.org/officeDocument/2006/relationships" r:embed="rId12"/>
        <a:stretch>
          <a:fillRect/>
        </a:stretch>
      </xdr:blipFill>
      <xdr:spPr>
        <a:xfrm>
          <a:off x="604630" y="23646848"/>
          <a:ext cx="9723783" cy="14076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609600</xdr:colOff>
      <xdr:row>48</xdr:row>
      <xdr:rowOff>0</xdr:rowOff>
    </xdr:from>
    <xdr:to>
      <xdr:col>2</xdr:col>
      <xdr:colOff>2692124</xdr:colOff>
      <xdr:row>59</xdr:row>
      <xdr:rowOff>64001</xdr:rowOff>
    </xdr:to>
    <xdr:pic>
      <xdr:nvPicPr>
        <xdr:cNvPr id="104" name="Picture 6">
          <a:extLst>
            <a:ext uri="{FF2B5EF4-FFF2-40B4-BE49-F238E27FC236}">
              <a16:creationId xmlns:a16="http://schemas.microsoft.com/office/drawing/2014/main" id="{82EC6024-045B-49D8-998D-1B5AF8B88BCA}"/>
            </a:ext>
          </a:extLst>
        </xdr:cNvPr>
        <xdr:cNvPicPr>
          <a:picLocks noChangeAspect="1"/>
        </xdr:cNvPicPr>
      </xdr:nvPicPr>
      <xdr:blipFill>
        <a:blip xmlns:r="http://schemas.openxmlformats.org/officeDocument/2006/relationships" r:embed="rId1"/>
        <a:stretch>
          <a:fillRect/>
        </a:stretch>
      </xdr:blipFill>
      <xdr:spPr>
        <a:xfrm>
          <a:off x="609600" y="5359400"/>
          <a:ext cx="6197600" cy="1830048"/>
        </a:xfrm>
        <a:prstGeom prst="rect">
          <a:avLst/>
        </a:prstGeom>
      </xdr:spPr>
    </xdr:pic>
    <xdr:clientData/>
  </xdr:twoCellAnchor>
  <xdr:twoCellAnchor editAs="oneCell">
    <xdr:from>
      <xdr:col>0</xdr:col>
      <xdr:colOff>596901</xdr:colOff>
      <xdr:row>78</xdr:row>
      <xdr:rowOff>152399</xdr:rowOff>
    </xdr:from>
    <xdr:to>
      <xdr:col>2</xdr:col>
      <xdr:colOff>2565124</xdr:colOff>
      <xdr:row>98</xdr:row>
      <xdr:rowOff>114299</xdr:rowOff>
    </xdr:to>
    <xdr:pic>
      <xdr:nvPicPr>
        <xdr:cNvPr id="103" name="Picture 2">
          <a:extLst>
            <a:ext uri="{FF2B5EF4-FFF2-40B4-BE49-F238E27FC236}">
              <a16:creationId xmlns:a16="http://schemas.microsoft.com/office/drawing/2014/main" id="{B84E49A7-F2FA-4E18-819F-3996D1F4F5DF}"/>
            </a:ext>
          </a:extLst>
        </xdr:cNvPr>
        <xdr:cNvPicPr>
          <a:picLocks noChangeAspect="1"/>
        </xdr:cNvPicPr>
      </xdr:nvPicPr>
      <xdr:blipFill>
        <a:blip xmlns:r="http://schemas.openxmlformats.org/officeDocument/2006/relationships" r:embed="rId2"/>
        <a:stretch>
          <a:fillRect/>
        </a:stretch>
      </xdr:blipFill>
      <xdr:spPr>
        <a:xfrm>
          <a:off x="596901" y="7200899"/>
          <a:ext cx="6083299" cy="3314701"/>
        </a:xfrm>
        <a:prstGeom prst="rect">
          <a:avLst/>
        </a:prstGeom>
      </xdr:spPr>
    </xdr:pic>
    <xdr:clientData/>
  </xdr:twoCellAnchor>
  <xdr:twoCellAnchor editAs="oneCell">
    <xdr:from>
      <xdr:col>4</xdr:col>
      <xdr:colOff>0</xdr:colOff>
      <xdr:row>48</xdr:row>
      <xdr:rowOff>1</xdr:rowOff>
    </xdr:from>
    <xdr:to>
      <xdr:col>8</xdr:col>
      <xdr:colOff>1822694</xdr:colOff>
      <xdr:row>54</xdr:row>
      <xdr:rowOff>68737</xdr:rowOff>
    </xdr:to>
    <xdr:pic>
      <xdr:nvPicPr>
        <xdr:cNvPr id="9" name="Picture 3">
          <a:extLst>
            <a:ext uri="{FF2B5EF4-FFF2-40B4-BE49-F238E27FC236}">
              <a16:creationId xmlns:a16="http://schemas.microsoft.com/office/drawing/2014/main" id="{CCBD7D5E-73CC-42FE-A797-499A8E577F4E}"/>
            </a:ext>
          </a:extLst>
        </xdr:cNvPr>
        <xdr:cNvPicPr>
          <a:picLocks noChangeAspect="1"/>
        </xdr:cNvPicPr>
      </xdr:nvPicPr>
      <xdr:blipFill>
        <a:blip xmlns:r="http://schemas.openxmlformats.org/officeDocument/2006/relationships" r:embed="rId3"/>
        <a:stretch>
          <a:fillRect/>
        </a:stretch>
      </xdr:blipFill>
      <xdr:spPr>
        <a:xfrm>
          <a:off x="8229600" y="4394201"/>
          <a:ext cx="6492875" cy="1059336"/>
        </a:xfrm>
        <a:prstGeom prst="rect">
          <a:avLst/>
        </a:prstGeom>
      </xdr:spPr>
    </xdr:pic>
    <xdr:clientData/>
  </xdr:twoCellAnchor>
  <xdr:twoCellAnchor editAs="oneCell">
    <xdr:from>
      <xdr:col>3</xdr:col>
      <xdr:colOff>2044700</xdr:colOff>
      <xdr:row>78</xdr:row>
      <xdr:rowOff>95251</xdr:rowOff>
    </xdr:from>
    <xdr:to>
      <xdr:col>6</xdr:col>
      <xdr:colOff>598609</xdr:colOff>
      <xdr:row>82</xdr:row>
      <xdr:rowOff>49658</xdr:rowOff>
    </xdr:to>
    <xdr:pic>
      <xdr:nvPicPr>
        <xdr:cNvPr id="10" name="Picture 4">
          <a:extLst>
            <a:ext uri="{FF2B5EF4-FFF2-40B4-BE49-F238E27FC236}">
              <a16:creationId xmlns:a16="http://schemas.microsoft.com/office/drawing/2014/main" id="{93BEFEDD-08AC-41C6-9D33-088E660D53DE}"/>
            </a:ext>
          </a:extLst>
        </xdr:cNvPr>
        <xdr:cNvPicPr>
          <a:picLocks noChangeAspect="1"/>
        </xdr:cNvPicPr>
      </xdr:nvPicPr>
      <xdr:blipFill>
        <a:blip xmlns:r="http://schemas.openxmlformats.org/officeDocument/2006/relationships" r:embed="rId4"/>
        <a:stretch>
          <a:fillRect/>
        </a:stretch>
      </xdr:blipFill>
      <xdr:spPr>
        <a:xfrm>
          <a:off x="8210550" y="6178551"/>
          <a:ext cx="3251200" cy="614808"/>
        </a:xfrm>
        <a:prstGeom prst="rect">
          <a:avLst/>
        </a:prstGeom>
      </xdr:spPr>
    </xdr:pic>
    <xdr:clientData/>
  </xdr:twoCellAnchor>
  <xdr:twoCellAnchor editAs="oneCell">
    <xdr:from>
      <xdr:col>3</xdr:col>
      <xdr:colOff>885825</xdr:colOff>
      <xdr:row>81</xdr:row>
      <xdr:rowOff>79375</xdr:rowOff>
    </xdr:from>
    <xdr:to>
      <xdr:col>8</xdr:col>
      <xdr:colOff>1419923</xdr:colOff>
      <xdr:row>91</xdr:row>
      <xdr:rowOff>98423</xdr:rowOff>
    </xdr:to>
    <xdr:pic>
      <xdr:nvPicPr>
        <xdr:cNvPr id="2" name="Picture 5">
          <a:extLst>
            <a:ext uri="{FF2B5EF4-FFF2-40B4-BE49-F238E27FC236}">
              <a16:creationId xmlns:a16="http://schemas.microsoft.com/office/drawing/2014/main" id="{BCFB5AC3-534A-47D0-BA1F-D2D11FD6006E}"/>
            </a:ext>
          </a:extLst>
        </xdr:cNvPr>
        <xdr:cNvPicPr>
          <a:picLocks noChangeAspect="1"/>
        </xdr:cNvPicPr>
      </xdr:nvPicPr>
      <xdr:blipFill>
        <a:blip xmlns:r="http://schemas.openxmlformats.org/officeDocument/2006/relationships" r:embed="rId5"/>
        <a:stretch>
          <a:fillRect/>
        </a:stretch>
      </xdr:blipFill>
      <xdr:spPr>
        <a:xfrm>
          <a:off x="6038850" y="10328275"/>
          <a:ext cx="7149577" cy="1638299"/>
        </a:xfrm>
        <a:prstGeom prst="rect">
          <a:avLst/>
        </a:prstGeom>
      </xdr:spPr>
    </xdr:pic>
    <xdr:clientData/>
  </xdr:twoCellAnchor>
  <xdr:oneCellAnchor>
    <xdr:from>
      <xdr:col>4</xdr:col>
      <xdr:colOff>400050</xdr:colOff>
      <xdr:row>108</xdr:row>
      <xdr:rowOff>82550</xdr:rowOff>
    </xdr:from>
    <xdr:ext cx="6291189" cy="573651"/>
    <xdr:pic>
      <xdr:nvPicPr>
        <xdr:cNvPr id="3" name="Picture 11">
          <a:extLst>
            <a:ext uri="{FF2B5EF4-FFF2-40B4-BE49-F238E27FC236}">
              <a16:creationId xmlns:a16="http://schemas.microsoft.com/office/drawing/2014/main" id="{F7C2BA8F-3B4C-46F5-9A89-FB76115AFC87}"/>
            </a:ext>
          </a:extLst>
        </xdr:cNvPr>
        <xdr:cNvPicPr>
          <a:picLocks noChangeAspect="1"/>
        </xdr:cNvPicPr>
      </xdr:nvPicPr>
      <xdr:blipFill>
        <a:blip xmlns:r="http://schemas.openxmlformats.org/officeDocument/2006/relationships" r:embed="rId6"/>
        <a:stretch>
          <a:fillRect/>
        </a:stretch>
      </xdr:blipFill>
      <xdr:spPr>
        <a:xfrm>
          <a:off x="7867650" y="11690350"/>
          <a:ext cx="6291189" cy="573651"/>
        </a:xfrm>
        <a:prstGeom prst="rect">
          <a:avLst/>
        </a:prstGeom>
      </xdr:spPr>
    </xdr:pic>
    <xdr:clientData/>
  </xdr:oneCellAnchor>
  <xdr:oneCellAnchor>
    <xdr:from>
      <xdr:col>4</xdr:col>
      <xdr:colOff>361950</xdr:colOff>
      <xdr:row>106</xdr:row>
      <xdr:rowOff>178300</xdr:rowOff>
    </xdr:from>
    <xdr:ext cx="6305550" cy="304300"/>
    <xdr:pic>
      <xdr:nvPicPr>
        <xdr:cNvPr id="4" name="Picture 12">
          <a:extLst>
            <a:ext uri="{FF2B5EF4-FFF2-40B4-BE49-F238E27FC236}">
              <a16:creationId xmlns:a16="http://schemas.microsoft.com/office/drawing/2014/main" id="{1623CB83-6115-4BA4-8CC6-F62272F6D34C}"/>
            </a:ext>
          </a:extLst>
        </xdr:cNvPr>
        <xdr:cNvPicPr>
          <a:picLocks noChangeAspect="1"/>
        </xdr:cNvPicPr>
      </xdr:nvPicPr>
      <xdr:blipFill rotWithShape="1">
        <a:blip xmlns:r="http://schemas.openxmlformats.org/officeDocument/2006/relationships" r:embed="rId7"/>
        <a:srcRect b="22350"/>
        <a:stretch/>
      </xdr:blipFill>
      <xdr:spPr>
        <a:xfrm>
          <a:off x="7829550" y="11417800"/>
          <a:ext cx="6305550" cy="304300"/>
        </a:xfrm>
        <a:prstGeom prst="rect">
          <a:avLst/>
        </a:prstGeom>
      </xdr:spPr>
    </xdr:pic>
    <xdr:clientData/>
  </xdr:oneCellAnchor>
  <xdr:oneCellAnchor>
    <xdr:from>
      <xdr:col>4</xdr:col>
      <xdr:colOff>317500</xdr:colOff>
      <xdr:row>116</xdr:row>
      <xdr:rowOff>44451</xdr:rowOff>
    </xdr:from>
    <xdr:ext cx="6617998" cy="659884"/>
    <xdr:pic>
      <xdr:nvPicPr>
        <xdr:cNvPr id="5" name="Picture 13">
          <a:extLst>
            <a:ext uri="{FF2B5EF4-FFF2-40B4-BE49-F238E27FC236}">
              <a16:creationId xmlns:a16="http://schemas.microsoft.com/office/drawing/2014/main" id="{FB8D14AA-8A71-4D00-81A6-1CE6F46383C0}"/>
            </a:ext>
          </a:extLst>
        </xdr:cNvPr>
        <xdr:cNvPicPr>
          <a:picLocks noChangeAspect="1"/>
        </xdr:cNvPicPr>
      </xdr:nvPicPr>
      <xdr:blipFill>
        <a:blip xmlns:r="http://schemas.openxmlformats.org/officeDocument/2006/relationships" r:embed="rId8"/>
        <a:stretch>
          <a:fillRect/>
        </a:stretch>
      </xdr:blipFill>
      <xdr:spPr>
        <a:xfrm>
          <a:off x="7785100" y="13106401"/>
          <a:ext cx="6617998" cy="659884"/>
        </a:xfrm>
        <a:prstGeom prst="rect">
          <a:avLst/>
        </a:prstGeom>
      </xdr:spPr>
    </xdr:pic>
    <xdr:clientData/>
  </xdr:oneCellAnchor>
  <xdr:oneCellAnchor>
    <xdr:from>
      <xdr:col>4</xdr:col>
      <xdr:colOff>374650</xdr:colOff>
      <xdr:row>114</xdr:row>
      <xdr:rowOff>137658</xdr:rowOff>
    </xdr:from>
    <xdr:ext cx="6443339" cy="332601"/>
    <xdr:pic>
      <xdr:nvPicPr>
        <xdr:cNvPr id="6" name="Picture 14">
          <a:extLst>
            <a:ext uri="{FF2B5EF4-FFF2-40B4-BE49-F238E27FC236}">
              <a16:creationId xmlns:a16="http://schemas.microsoft.com/office/drawing/2014/main" id="{AEACEA16-8E24-40D4-A106-2B1A5F7F2258}"/>
            </a:ext>
          </a:extLst>
        </xdr:cNvPr>
        <xdr:cNvPicPr>
          <a:picLocks noChangeAspect="1"/>
        </xdr:cNvPicPr>
      </xdr:nvPicPr>
      <xdr:blipFill>
        <a:blip xmlns:r="http://schemas.openxmlformats.org/officeDocument/2006/relationships" r:embed="rId9"/>
        <a:stretch>
          <a:fillRect/>
        </a:stretch>
      </xdr:blipFill>
      <xdr:spPr>
        <a:xfrm>
          <a:off x="7842250" y="12831308"/>
          <a:ext cx="6443339" cy="33260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11%20Projects\6060_IUA\ExcelPotentialModel\Commercial-Electric\IPL\Model\v3\MeasureSurvey_v3.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OR-FS01\Projects2\SeventhPlan\Conservation%20Analysis\Com\COM-PreRinseSpray-7P_V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OR-FS01\Projects2\Users\Ryan\Google%20Drive\Ryan%20Files\RTF\ProCost\PartsOfProCostThatNeedToBeChangedIfSectorsAreChange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OR-FS01\Projects2\SeventhPlan\Conservation%20Analysis\Global%20EE%20Inputs\Units%20Forecasts\7P%20Forecasts%20D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admus.sharepoint.com/Projects/2011%20Projects/6060_IUA/ExcelPotentialModel/Residential-Gas/IPL/Model/MeasureSurvey_v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2011%20Projects\6060_IUA\ExcelPotentialModel\Residential-Gas\IPL\Model\MeasureSurvey_v3.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FS01\Projects2\SeventhPlan\Conservation%20Analysis\Com\Com_Master_7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OR-FS01\Projects2\SeventhPlan\Conservation%20Analysis\Com\Com-Streetlight-7P_V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aryellen.wimberly\AppData\Local\Microsoft\Windows\INetCache\Content.Outlook\LYWMD65C\LGE%20KU%20Program%20Measure%20Inputs%20FINAL%20for%20LGE%20KU%20unlinked_j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dmus.sharepoint.com/Projects/2011%20Projects/6060_IUA/ExcelPotentialModel/Commercial-Electric/IPL/Model/v3/MeasureSurvey_v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dmus.sharepoint.com/sites/CP6923/Shared%20Documents/2021%20EE%20Plan%20Update/Projections/LGE%20KU%20Program%20Measure%20Inputs_1MAR2017_adjusted%20for%20OCT17%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OR-FS01\Projects2\SeventhPlan\Conservation%20Analysis\Com\Com7P%20ProCost_v3.0.2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barques\AppData\Local\Microsoft\Windows\INetCache\IE\JNZN7R78\EStarRoomACv1_0%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iroaks1\all_proj\0501%20DEER%20Measure%20Cost%20Study\Data%20Collection\HVAC\CostRecordingForm-m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dmus.sharepoint.com/sites/CP6147-EXT-PSEGCEFEvaluationSubcontractor/Shared%20Documents/05%20-%20Data/Incremental%20Measure%20Costs/Measure%20Cost%20Data%20Collection%20Template%202022-09_0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admus.sharepoint.com/sites/CP6147/Shared%20Documents/3%20-%20Cost%20Effectiveness/Reference%20Docs/MD%20Inputs%20Workbooks/PProPlus_HPwES%20Import_CY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dmusgroup.org\energy\Projects\2011%20Projects\6060_IUA\ExcelPotentialModel\Residential-Gas\MidAm\RawData\MidAm%20Residential%20Gas%20Inputs%2002DEC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Admin"/>
      <sheetName val="Equipment Measure Inputs"/>
      <sheetName val="Retrofit Measure Inputs"/>
      <sheetName val="Qualitative Screen"/>
    </sheetNames>
    <sheetDataSet>
      <sheetData sheetId="0"/>
      <sheetData sheetId="1">
        <row r="4">
          <cell r="C4">
            <v>3.56E-2</v>
          </cell>
        </row>
        <row r="5">
          <cell r="C5">
            <v>4.8599999999999997E-2</v>
          </cell>
        </row>
        <row r="9">
          <cell r="C9">
            <v>0</v>
          </cell>
        </row>
        <row r="10">
          <cell r="C10" t="str">
            <v>Electric</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PSourceSummary"/>
      <sheetName val="SC-Retro"/>
      <sheetName val="Measure InputOutput"/>
      <sheetName val="Savings and Cost"/>
      <sheetName val="MMap"/>
      <sheetName val="RTF Input Data"/>
      <sheetName val="Market Data"/>
      <sheetName val="ToDo7P"/>
    </sheetNames>
    <sheetDataSet>
      <sheetData sheetId="0"/>
      <sheetData sheetId="1"/>
      <sheetData sheetId="2">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A82" t="str">
            <v>Shaped Savings Results; By Category and sorted by TRC BC ratio</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t="str">
            <v>Savings Allocation by Category and Month for Segments 1 &amp; 2</v>
          </cell>
          <cell r="O83">
            <v>0</v>
          </cell>
          <cell r="P83">
            <v>0</v>
          </cell>
          <cell r="Q83">
            <v>0</v>
          </cell>
          <cell r="R83">
            <v>0</v>
          </cell>
          <cell r="S83">
            <v>0</v>
          </cell>
          <cell r="T83">
            <v>0</v>
          </cell>
          <cell r="U83">
            <v>0</v>
          </cell>
          <cell r="V83">
            <v>0</v>
          </cell>
          <cell r="W83">
            <v>0</v>
          </cell>
          <cell r="X83">
            <v>0</v>
          </cell>
          <cell r="Y83">
            <v>0</v>
          </cell>
          <cell r="Z83">
            <v>0</v>
          </cell>
          <cell r="AA83" t="str">
            <v>Savings Allocation by Category and Month for Segments 3 &amp; 4</v>
          </cell>
          <cell r="AB83">
            <v>0</v>
          </cell>
          <cell r="AC83">
            <v>0</v>
          </cell>
          <cell r="AD83">
            <v>0</v>
          </cell>
          <cell r="AE83">
            <v>0</v>
          </cell>
          <cell r="AF83">
            <v>0</v>
          </cell>
          <cell r="AG83">
            <v>0</v>
          </cell>
          <cell r="AH83">
            <v>0</v>
          </cell>
          <cell r="AI83">
            <v>0</v>
          </cell>
          <cell r="AJ83">
            <v>0</v>
          </cell>
          <cell r="AK83">
            <v>0</v>
          </cell>
          <cell r="AL83">
            <v>0</v>
          </cell>
        </row>
        <row r="84">
          <cell r="A84" t="str">
            <v>Category</v>
          </cell>
          <cell r="B84" t="str">
            <v>Measure</v>
          </cell>
          <cell r="C84" t="str">
            <v>Busbar Savings</v>
          </cell>
          <cell r="D84" t="str">
            <v>First Cost</v>
          </cell>
          <cell r="E84" t="str">
            <v>Admin Cost</v>
          </cell>
          <cell r="F84" t="str">
            <v>First Year Program Cost</v>
          </cell>
          <cell r="G84" t="str">
            <v>PV Cost</v>
          </cell>
          <cell r="H84" t="str">
            <v>PV Benefits</v>
          </cell>
          <cell r="I84" t="str">
            <v>Unit Program Cost: First Year Program Cost in $/average annual kW saved</v>
          </cell>
          <cell r="J84" t="str">
            <v>Utility System Net Levelized Cost (Net of T&amp;D Capacity Benefits, Act Credit &amp; Risk-Mitigation) in mills/kWh</v>
          </cell>
          <cell r="K84" t="str">
            <v>TRC Net Levelized Cost (Net of All Benefits) in mills/kWh</v>
          </cell>
          <cell r="L84" t="str">
            <v>TRC B/C Ratio</v>
          </cell>
          <cell r="M84" t="str">
            <v>Net Electric &amp; Gas System CO2 Avoided (Lifetime Tons)</v>
          </cell>
          <cell r="N84" t="str">
            <v>Jan</v>
          </cell>
          <cell r="O84" t="str">
            <v>Feb</v>
          </cell>
          <cell r="P84" t="str">
            <v>Mar</v>
          </cell>
          <cell r="Q84" t="str">
            <v>Apr</v>
          </cell>
          <cell r="R84" t="str">
            <v>May</v>
          </cell>
          <cell r="S84" t="str">
            <v>Jun</v>
          </cell>
          <cell r="T84" t="str">
            <v>Jul</v>
          </cell>
          <cell r="U84" t="str">
            <v>Aug</v>
          </cell>
          <cell r="V84" t="str">
            <v>Sep</v>
          </cell>
          <cell r="W84" t="str">
            <v>Oct</v>
          </cell>
          <cell r="X84" t="str">
            <v>Nov</v>
          </cell>
          <cell r="Y84" t="str">
            <v>Dec</v>
          </cell>
          <cell r="Z84">
            <v>0</v>
          </cell>
          <cell r="AA84" t="str">
            <v>Jan</v>
          </cell>
          <cell r="AB84" t="str">
            <v>Feb</v>
          </cell>
          <cell r="AC84" t="str">
            <v>Mar</v>
          </cell>
          <cell r="AD84" t="str">
            <v>Apr</v>
          </cell>
          <cell r="AE84" t="str">
            <v>May</v>
          </cell>
          <cell r="AF84" t="str">
            <v>Jun</v>
          </cell>
          <cell r="AG84" t="str">
            <v>Jul</v>
          </cell>
          <cell r="AH84" t="str">
            <v>Aug</v>
          </cell>
          <cell r="AI84" t="str">
            <v>Sep</v>
          </cell>
          <cell r="AJ84" t="str">
            <v>Oct</v>
          </cell>
          <cell r="AK84" t="str">
            <v>Nov</v>
          </cell>
          <cell r="AL84" t="str">
            <v>Dec</v>
          </cell>
        </row>
        <row r="85">
          <cell r="A85" t="str">
            <v>Pre-Rinse Spray Valve_0.61_to_0.8gpm</v>
          </cell>
          <cell r="C85">
            <v>1014.9319638695388</v>
          </cell>
          <cell r="D85">
            <v>140.30018993983049</v>
          </cell>
          <cell r="E85">
            <v>28.060037987966098</v>
          </cell>
          <cell r="F85">
            <v>168.36022792779659</v>
          </cell>
          <cell r="G85">
            <v>562.67767234415953</v>
          </cell>
          <cell r="H85">
            <v>2401.1224094135705</v>
          </cell>
          <cell r="I85">
            <v>1453.137401471254</v>
          </cell>
          <cell r="J85">
            <v>-5.3310393631655701</v>
          </cell>
          <cell r="K85">
            <v>-94.975694057127612</v>
          </cell>
          <cell r="L85">
            <v>4.2673141790224323</v>
          </cell>
          <cell r="M85">
            <v>9.6418536567606097</v>
          </cell>
          <cell r="N85">
            <v>81.137471959364973</v>
          </cell>
          <cell r="O85">
            <v>75.627341722904248</v>
          </cell>
          <cell r="P85">
            <v>84.226876962216323</v>
          </cell>
          <cell r="Q85">
            <v>76.770750943475022</v>
          </cell>
          <cell r="R85">
            <v>77.772494505605721</v>
          </cell>
          <cell r="S85">
            <v>69.424493261821212</v>
          </cell>
          <cell r="T85">
            <v>67.102525036092743</v>
          </cell>
          <cell r="U85">
            <v>66.539374002048291</v>
          </cell>
          <cell r="V85">
            <v>63.817012172924407</v>
          </cell>
          <cell r="W85">
            <v>67.156419163808295</v>
          </cell>
          <cell r="X85">
            <v>68.928813073541789</v>
          </cell>
          <cell r="Y85">
            <v>76.695386570234476</v>
          </cell>
          <cell r="Z85">
            <v>0</v>
          </cell>
          <cell r="AA85">
            <v>13.230995729558181</v>
          </cell>
          <cell r="AB85">
            <v>12.144401246183438</v>
          </cell>
          <cell r="AC85">
            <v>13.491878341504226</v>
          </cell>
          <cell r="AD85">
            <v>12.030138176760246</v>
          </cell>
          <cell r="AE85">
            <v>12.25948873843009</v>
          </cell>
          <cell r="AF85">
            <v>10.876268056074798</v>
          </cell>
          <cell r="AG85">
            <v>10.660253765709331</v>
          </cell>
          <cell r="AH85">
            <v>10.423945846491158</v>
          </cell>
          <cell r="AI85">
            <v>10.087994585174506</v>
          </cell>
          <cell r="AJ85">
            <v>10.550161519220188</v>
          </cell>
          <cell r="AK85">
            <v>11.343268933848949</v>
          </cell>
          <cell r="AL85">
            <v>12.634209556545937</v>
          </cell>
        </row>
        <row r="86">
          <cell r="A86" t="str">
            <v>Pre-Rinse Spray Valve_0.81_to_1.0gpm</v>
          </cell>
          <cell r="C86">
            <v>624.41552814908528</v>
          </cell>
          <cell r="D86">
            <v>140.30018993983049</v>
          </cell>
          <cell r="E86">
            <v>28.060037987966098</v>
          </cell>
          <cell r="F86">
            <v>168.36022792779659</v>
          </cell>
          <cell r="G86">
            <v>562.67767234415953</v>
          </cell>
          <cell r="H86">
            <v>1477.2400227778237</v>
          </cell>
          <cell r="I86">
            <v>2361.9457399133848</v>
          </cell>
          <cell r="J86">
            <v>-3.2712846349533828</v>
          </cell>
          <cell r="K86">
            <v>-69.462872673783593</v>
          </cell>
          <cell r="L86">
            <v>2.6253752288117731</v>
          </cell>
          <cell r="M86">
            <v>5.9319475174163045</v>
          </cell>
          <cell r="N86">
            <v>49.918121814814427</v>
          </cell>
          <cell r="O86">
            <v>46.52813016586471</v>
          </cell>
          <cell r="P86">
            <v>51.818813216006546</v>
          </cell>
          <cell r="Q86">
            <v>47.231588621967703</v>
          </cell>
          <cell r="R86">
            <v>47.847890263540776</v>
          </cell>
          <cell r="S86">
            <v>42.711958209777066</v>
          </cell>
          <cell r="T86">
            <v>41.283416132448217</v>
          </cell>
          <cell r="U86">
            <v>40.936949312140484</v>
          </cell>
          <cell r="V86">
            <v>39.2620734979388</v>
          </cell>
          <cell r="W86">
            <v>41.316573360143892</v>
          </cell>
          <cell r="X86">
            <v>42.407001407177702</v>
          </cell>
          <cell r="Y86">
            <v>47.185222277625556</v>
          </cell>
          <cell r="Z86">
            <v>0</v>
          </cell>
          <cell r="AA86">
            <v>8.1400916322626813</v>
          </cell>
          <cell r="AB86">
            <v>7.4715872473642895</v>
          </cell>
          <cell r="AC86">
            <v>8.3005941681195026</v>
          </cell>
          <cell r="AD86">
            <v>7.4012892989483223</v>
          </cell>
          <cell r="AE86">
            <v>7.5423924045696689</v>
          </cell>
          <cell r="AF86">
            <v>6.6913949942342512</v>
          </cell>
          <cell r="AG86">
            <v>6.5584967488266992</v>
          </cell>
          <cell r="AH86">
            <v>6.4131132754144913</v>
          </cell>
          <cell r="AI86">
            <v>6.2064263331020193</v>
          </cell>
          <cell r="AJ86">
            <v>6.4907648114320518</v>
          </cell>
          <cell r="AK86">
            <v>6.9787074546967887</v>
          </cell>
          <cell r="AL86">
            <v>7.7729315006684701</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row>
      </sheetData>
      <sheetData sheetId="3">
        <row r="82">
          <cell r="A82" t="str">
            <v>Shaped Savings Results; By Category and sorted by TRC BC ratio</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nsorInCode"/>
      <sheetName val="PartsOfProCostThatNeedToBeChang"/>
    </sheetNames>
    <definedNames>
      <definedName name="PC_Main" refersTo="#REF!"/>
      <definedName name="TestMeasure" refersTo="#REF!"/>
    </defined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Pop Forecast (Base Case)"/>
      <sheetName val="Res Forecast (Base Case)"/>
      <sheetName val="Com Forecast (Base Case)"/>
      <sheetName val="Ind Forecast (Base Case)"/>
      <sheetName val="Ag Forecast (Base Case)"/>
      <sheetName val="DEI (Base Case)"/>
      <sheetName val="Pop Forecast (High Case)"/>
      <sheetName val="Pop Forecast (Low Case)"/>
      <sheetName val="7P Forecasts D2"/>
    </sheetNames>
    <sheetDataSet>
      <sheetData sheetId="0"/>
      <sheetData sheetId="1">
        <row r="5">
          <cell r="B5" t="str">
            <v>Abrev</v>
          </cell>
          <cell r="C5" t="str">
            <v>POPULATION FORECAST (1000s)</v>
          </cell>
          <cell r="D5" t="str">
            <v>Scenario</v>
          </cell>
          <cell r="E5">
            <v>1985</v>
          </cell>
          <cell r="F5">
            <v>1986</v>
          </cell>
          <cell r="G5">
            <v>1987</v>
          </cell>
          <cell r="H5">
            <v>1988</v>
          </cell>
          <cell r="I5">
            <v>1989</v>
          </cell>
          <cell r="J5">
            <v>1990</v>
          </cell>
          <cell r="K5">
            <v>1991</v>
          </cell>
          <cell r="L5">
            <v>1992</v>
          </cell>
          <cell r="M5">
            <v>1993</v>
          </cell>
          <cell r="N5">
            <v>1994</v>
          </cell>
          <cell r="O5">
            <v>1995</v>
          </cell>
          <cell r="P5">
            <v>1996</v>
          </cell>
          <cell r="Q5">
            <v>1997</v>
          </cell>
          <cell r="R5">
            <v>1998</v>
          </cell>
          <cell r="S5">
            <v>1999</v>
          </cell>
          <cell r="T5">
            <v>2000</v>
          </cell>
          <cell r="U5">
            <v>2001</v>
          </cell>
          <cell r="V5">
            <v>2002</v>
          </cell>
          <cell r="W5">
            <v>2003</v>
          </cell>
          <cell r="X5">
            <v>2004</v>
          </cell>
          <cell r="Y5">
            <v>2005</v>
          </cell>
          <cell r="Z5">
            <v>2006</v>
          </cell>
          <cell r="AA5">
            <v>2007</v>
          </cell>
          <cell r="AB5">
            <v>2008</v>
          </cell>
          <cell r="AC5">
            <v>2009</v>
          </cell>
          <cell r="AD5">
            <v>2010</v>
          </cell>
          <cell r="AE5">
            <v>2011</v>
          </cell>
          <cell r="AF5">
            <v>2012</v>
          </cell>
          <cell r="AG5">
            <v>2013</v>
          </cell>
          <cell r="AH5">
            <v>2014</v>
          </cell>
          <cell r="AI5">
            <v>2015</v>
          </cell>
          <cell r="AJ5">
            <v>2016</v>
          </cell>
          <cell r="AK5">
            <v>2017</v>
          </cell>
          <cell r="AL5">
            <v>2018</v>
          </cell>
          <cell r="AM5">
            <v>2019</v>
          </cell>
          <cell r="AN5">
            <v>2020</v>
          </cell>
          <cell r="AO5">
            <v>2021</v>
          </cell>
          <cell r="AP5">
            <v>2022</v>
          </cell>
          <cell r="AQ5">
            <v>2023</v>
          </cell>
          <cell r="AR5">
            <v>2024</v>
          </cell>
          <cell r="AS5">
            <v>2025</v>
          </cell>
          <cell r="AT5">
            <v>2026</v>
          </cell>
          <cell r="AU5">
            <v>2027</v>
          </cell>
          <cell r="AV5">
            <v>2028</v>
          </cell>
          <cell r="AW5">
            <v>2029</v>
          </cell>
          <cell r="AX5">
            <v>2030</v>
          </cell>
          <cell r="AY5">
            <v>2031</v>
          </cell>
          <cell r="AZ5">
            <v>2032</v>
          </cell>
          <cell r="BA5">
            <v>2033</v>
          </cell>
          <cell r="BB5">
            <v>2034</v>
          </cell>
          <cell r="BC5">
            <v>2035</v>
          </cell>
        </row>
        <row r="6">
          <cell r="B6" t="str">
            <v>Or</v>
          </cell>
          <cell r="C6" t="str">
            <v>Oregon</v>
          </cell>
          <cell r="D6" t="str">
            <v>Trend (basecase)</v>
          </cell>
          <cell r="E6">
            <v>2674.306</v>
          </cell>
          <cell r="F6">
            <v>2686.1149999999998</v>
          </cell>
          <cell r="G6">
            <v>2707.4250000000002</v>
          </cell>
          <cell r="H6">
            <v>2747.9569999999999</v>
          </cell>
          <cell r="I6">
            <v>2800.471</v>
          </cell>
          <cell r="J6">
            <v>2868.6590000000001</v>
          </cell>
          <cell r="K6">
            <v>2935.9960000000001</v>
          </cell>
          <cell r="L6">
            <v>3000.55</v>
          </cell>
          <cell r="M6">
            <v>3067.395</v>
          </cell>
          <cell r="N6">
            <v>3129.1930000000002</v>
          </cell>
          <cell r="O6">
            <v>3192.0929999999998</v>
          </cell>
          <cell r="P6">
            <v>3253.8310000000001</v>
          </cell>
          <cell r="Q6">
            <v>3309.7</v>
          </cell>
          <cell r="R6">
            <v>3357.1759999999999</v>
          </cell>
          <cell r="S6">
            <v>3398.232</v>
          </cell>
          <cell r="T6">
            <v>3434.8069999999998</v>
          </cell>
          <cell r="U6">
            <v>3474.0340000000001</v>
          </cell>
          <cell r="V6">
            <v>3516.915</v>
          </cell>
          <cell r="W6">
            <v>3549.38</v>
          </cell>
          <cell r="X6">
            <v>3576.2510000000002</v>
          </cell>
          <cell r="Y6">
            <v>3621.221</v>
          </cell>
          <cell r="Z6">
            <v>3676.88</v>
          </cell>
          <cell r="AA6">
            <v>3727.835</v>
          </cell>
          <cell r="AB6">
            <v>3773.288</v>
          </cell>
          <cell r="AC6">
            <v>3811.7179999999998</v>
          </cell>
          <cell r="AD6">
            <v>3841.4360000000001</v>
          </cell>
          <cell r="AE6">
            <v>3871.9769999999999</v>
          </cell>
          <cell r="AF6">
            <v>3903.4650000000001</v>
          </cell>
          <cell r="AG6">
            <v>3934.049</v>
          </cell>
          <cell r="AH6">
            <v>3966.8829999999998</v>
          </cell>
          <cell r="AI6">
            <v>4002.799</v>
          </cell>
          <cell r="AJ6">
            <v>4039.9940000000001</v>
          </cell>
          <cell r="AK6">
            <v>4078.125</v>
          </cell>
          <cell r="AL6">
            <v>4116.6090000000004</v>
          </cell>
          <cell r="AM6">
            <v>4154.674</v>
          </cell>
          <cell r="AN6">
            <v>4192.0780000000004</v>
          </cell>
          <cell r="AO6">
            <v>4228.7430000000004</v>
          </cell>
          <cell r="AP6">
            <v>4264.6490000000003</v>
          </cell>
          <cell r="AQ6">
            <v>4299.7920000000004</v>
          </cell>
          <cell r="AR6">
            <v>4334.1710000000003</v>
          </cell>
          <cell r="AS6">
            <v>4367.7330000000002</v>
          </cell>
          <cell r="AT6">
            <v>4400.4340000000002</v>
          </cell>
          <cell r="AU6">
            <v>4432.5820000000003</v>
          </cell>
          <cell r="AV6">
            <v>4464.3519999999999</v>
          </cell>
          <cell r="AW6">
            <v>4495.7730000000001</v>
          </cell>
          <cell r="AX6">
            <v>4526.8729999999996</v>
          </cell>
          <cell r="AY6">
            <v>4557.6930000000002</v>
          </cell>
          <cell r="AZ6">
            <v>4588.2659999999996</v>
          </cell>
          <cell r="BA6">
            <v>4618.6210000000001</v>
          </cell>
          <cell r="BB6">
            <v>4648.692</v>
          </cell>
          <cell r="BC6">
            <v>4678.3620000000001</v>
          </cell>
        </row>
        <row r="7">
          <cell r="B7" t="str">
            <v>WA</v>
          </cell>
          <cell r="C7" t="str">
            <v>Washington</v>
          </cell>
          <cell r="D7" t="str">
            <v>Trend (basecase)</v>
          </cell>
          <cell r="E7">
            <v>4406.3850000000002</v>
          </cell>
          <cell r="F7">
            <v>4464.1899999999996</v>
          </cell>
          <cell r="G7">
            <v>4547.0309999999999</v>
          </cell>
          <cell r="H7">
            <v>4652.9070000000002</v>
          </cell>
          <cell r="I7">
            <v>4768.7150000000001</v>
          </cell>
          <cell r="J7">
            <v>4915.9459999999999</v>
          </cell>
          <cell r="K7">
            <v>5043.0330000000004</v>
          </cell>
          <cell r="L7">
            <v>5174.2219999999998</v>
          </cell>
          <cell r="M7">
            <v>5289.3639999999996</v>
          </cell>
          <cell r="N7">
            <v>5388.8370000000004</v>
          </cell>
          <cell r="O7">
            <v>5490.92</v>
          </cell>
          <cell r="P7">
            <v>5583.7539999999999</v>
          </cell>
          <cell r="Q7">
            <v>5685.8310000000001</v>
          </cell>
          <cell r="R7">
            <v>5777.2370000000001</v>
          </cell>
          <cell r="S7">
            <v>5850.9089999999997</v>
          </cell>
          <cell r="T7">
            <v>5920.5039999999999</v>
          </cell>
          <cell r="U7">
            <v>5993.451</v>
          </cell>
          <cell r="V7">
            <v>6057.85</v>
          </cell>
          <cell r="W7">
            <v>6114.7939999999999</v>
          </cell>
          <cell r="X7">
            <v>6188.66</v>
          </cell>
          <cell r="Y7">
            <v>6273.5249999999996</v>
          </cell>
          <cell r="Z7">
            <v>6380.576</v>
          </cell>
          <cell r="AA7">
            <v>6474.665</v>
          </cell>
          <cell r="AB7">
            <v>6575.5370000000003</v>
          </cell>
          <cell r="AC7">
            <v>6675.0910000000003</v>
          </cell>
          <cell r="AD7">
            <v>6752.683</v>
          </cell>
          <cell r="AE7">
            <v>6830.3310000000001</v>
          </cell>
          <cell r="AF7">
            <v>6904.9059999999999</v>
          </cell>
          <cell r="AG7">
            <v>6981</v>
          </cell>
          <cell r="AH7">
            <v>7058.0010000000002</v>
          </cell>
          <cell r="AI7">
            <v>7134.8850000000002</v>
          </cell>
          <cell r="AJ7">
            <v>7210.4989999999998</v>
          </cell>
          <cell r="AK7">
            <v>7285.5159999999996</v>
          </cell>
          <cell r="AL7">
            <v>7360.0730000000003</v>
          </cell>
          <cell r="AM7">
            <v>7433.7640000000001</v>
          </cell>
          <cell r="AN7">
            <v>7506.3230000000003</v>
          </cell>
          <cell r="AO7">
            <v>7577.2960000000003</v>
          </cell>
          <cell r="AP7">
            <v>7646.607</v>
          </cell>
          <cell r="AQ7">
            <v>7714.268</v>
          </cell>
          <cell r="AR7">
            <v>7780.4369999999999</v>
          </cell>
          <cell r="AS7">
            <v>7845.4889999999996</v>
          </cell>
          <cell r="AT7">
            <v>7909.7030000000004</v>
          </cell>
          <cell r="AU7">
            <v>7973.1719999999996</v>
          </cell>
          <cell r="AV7">
            <v>8035.9170000000004</v>
          </cell>
          <cell r="AW7">
            <v>8097.9880000000003</v>
          </cell>
          <cell r="AX7">
            <v>8159.4440000000004</v>
          </cell>
          <cell r="AY7">
            <v>8220.3349999999991</v>
          </cell>
          <cell r="AZ7">
            <v>8280.7260000000006</v>
          </cell>
          <cell r="BA7">
            <v>8340.6640000000007</v>
          </cell>
          <cell r="BB7">
            <v>8400.2720000000008</v>
          </cell>
          <cell r="BC7">
            <v>8459.8109999999997</v>
          </cell>
        </row>
        <row r="8">
          <cell r="B8" t="str">
            <v>ID</v>
          </cell>
          <cell r="C8" t="str">
            <v>Idaho</v>
          </cell>
          <cell r="D8" t="str">
            <v>Trend (basecase)</v>
          </cell>
          <cell r="E8">
            <v>993.13199999999995</v>
          </cell>
          <cell r="F8">
            <v>989.48</v>
          </cell>
          <cell r="G8">
            <v>985.447</v>
          </cell>
          <cell r="H8">
            <v>987.25800000000004</v>
          </cell>
          <cell r="I8">
            <v>997.22299999999996</v>
          </cell>
          <cell r="J8">
            <v>1016.634</v>
          </cell>
          <cell r="K8">
            <v>1045.135</v>
          </cell>
          <cell r="L8">
            <v>1076.6510000000001</v>
          </cell>
          <cell r="M8">
            <v>1113.1759999999999</v>
          </cell>
          <cell r="N8">
            <v>1148.825</v>
          </cell>
          <cell r="O8">
            <v>1180.0889999999999</v>
          </cell>
          <cell r="P8">
            <v>1206.2</v>
          </cell>
          <cell r="Q8">
            <v>1231.357</v>
          </cell>
          <cell r="R8">
            <v>1255.1849999999999</v>
          </cell>
          <cell r="S8">
            <v>1278.7760000000001</v>
          </cell>
          <cell r="T8">
            <v>1301.894</v>
          </cell>
          <cell r="U8">
            <v>1322.481</v>
          </cell>
          <cell r="V8">
            <v>1343.3820000000001</v>
          </cell>
          <cell r="W8">
            <v>1367.23</v>
          </cell>
          <cell r="X8">
            <v>1396.7929999999999</v>
          </cell>
          <cell r="Y8">
            <v>1433.46</v>
          </cell>
          <cell r="Z8">
            <v>1472.8989999999999</v>
          </cell>
          <cell r="AA8">
            <v>1508.2539999999999</v>
          </cell>
          <cell r="AB8">
            <v>1536.239</v>
          </cell>
          <cell r="AC8">
            <v>1556.479</v>
          </cell>
          <cell r="AD8">
            <v>1572.4290000000001</v>
          </cell>
          <cell r="AE8">
            <v>1585.2860000000001</v>
          </cell>
          <cell r="AF8">
            <v>1597.952</v>
          </cell>
          <cell r="AG8">
            <v>1614.3810000000001</v>
          </cell>
          <cell r="AH8">
            <v>1633.1020000000001</v>
          </cell>
          <cell r="AI8">
            <v>1653.616</v>
          </cell>
          <cell r="AJ8">
            <v>1675.2660000000001</v>
          </cell>
          <cell r="AK8">
            <v>1698.1659999999999</v>
          </cell>
          <cell r="AL8">
            <v>1722.0160000000001</v>
          </cell>
          <cell r="AM8">
            <v>1746.183</v>
          </cell>
          <cell r="AN8">
            <v>1770.4179999999999</v>
          </cell>
          <cell r="AO8">
            <v>1794.69</v>
          </cell>
          <cell r="AP8">
            <v>1818.9970000000001</v>
          </cell>
          <cell r="AQ8">
            <v>1843.36</v>
          </cell>
          <cell r="AR8">
            <v>1867.77</v>
          </cell>
          <cell r="AS8">
            <v>1892.2149999999999</v>
          </cell>
          <cell r="AT8">
            <v>1916.6949999999999</v>
          </cell>
          <cell r="AU8">
            <v>1941.2059999999999</v>
          </cell>
          <cell r="AV8">
            <v>1965.741</v>
          </cell>
          <cell r="AW8">
            <v>1990.2360000000001</v>
          </cell>
          <cell r="AX8">
            <v>2014.665</v>
          </cell>
          <cell r="AY8">
            <v>2039.0309999999999</v>
          </cell>
          <cell r="AZ8">
            <v>2063.33</v>
          </cell>
          <cell r="BA8">
            <v>2087.5639999999999</v>
          </cell>
          <cell r="BB8">
            <v>2111.7449999999999</v>
          </cell>
          <cell r="BC8">
            <v>2135.9479999999999</v>
          </cell>
        </row>
        <row r="9">
          <cell r="B9" t="str">
            <v>MT</v>
          </cell>
          <cell r="C9" t="str">
            <v>Montana</v>
          </cell>
          <cell r="D9" t="str">
            <v>Trend (basecase)</v>
          </cell>
          <cell r="E9">
            <v>820.61699999999996</v>
          </cell>
          <cell r="F9">
            <v>812.64099999999996</v>
          </cell>
          <cell r="G9">
            <v>804.69</v>
          </cell>
          <cell r="H9">
            <v>800.39700000000005</v>
          </cell>
          <cell r="I9">
            <v>799.77599999999995</v>
          </cell>
          <cell r="J9">
            <v>801.93899999999996</v>
          </cell>
          <cell r="K9">
            <v>812.08500000000004</v>
          </cell>
          <cell r="L9">
            <v>828.29399999999998</v>
          </cell>
          <cell r="M9">
            <v>846.649</v>
          </cell>
          <cell r="N9">
            <v>863.10900000000004</v>
          </cell>
          <cell r="O9">
            <v>877.40700000000004</v>
          </cell>
          <cell r="P9">
            <v>886.32100000000003</v>
          </cell>
          <cell r="Q9">
            <v>890.12</v>
          </cell>
          <cell r="R9">
            <v>893.221</v>
          </cell>
          <cell r="S9">
            <v>898.36199999999997</v>
          </cell>
          <cell r="T9">
            <v>903.97699999999998</v>
          </cell>
          <cell r="U9">
            <v>907.64300000000003</v>
          </cell>
          <cell r="V9">
            <v>912.86199999999997</v>
          </cell>
          <cell r="W9">
            <v>921.07</v>
          </cell>
          <cell r="X9">
            <v>931.24400000000003</v>
          </cell>
          <cell r="Y9">
            <v>941.82</v>
          </cell>
          <cell r="Z9">
            <v>954.14599999999996</v>
          </cell>
          <cell r="AA9">
            <v>966.13900000000001</v>
          </cell>
          <cell r="AB9">
            <v>977.09500000000003</v>
          </cell>
          <cell r="AC9">
            <v>984.86599999999999</v>
          </cell>
          <cell r="AD9">
            <v>991.57600000000002</v>
          </cell>
          <cell r="AE9">
            <v>998.63499999999999</v>
          </cell>
          <cell r="AF9">
            <v>1006.807</v>
          </cell>
          <cell r="AG9">
            <v>1016.352</v>
          </cell>
          <cell r="AH9">
            <v>1025.7760000000001</v>
          </cell>
          <cell r="AI9">
            <v>1034.779</v>
          </cell>
          <cell r="AJ9">
            <v>1043.723</v>
          </cell>
          <cell r="AK9">
            <v>1052.69</v>
          </cell>
          <cell r="AL9">
            <v>1061.3920000000001</v>
          </cell>
          <cell r="AM9">
            <v>1069.5709999999999</v>
          </cell>
          <cell r="AN9">
            <v>1077.162</v>
          </cell>
          <cell r="AO9">
            <v>1084.1869999999999</v>
          </cell>
          <cell r="AP9">
            <v>1090.6420000000001</v>
          </cell>
          <cell r="AQ9">
            <v>1096.5219999999999</v>
          </cell>
          <cell r="AR9">
            <v>1101.83</v>
          </cell>
          <cell r="AS9">
            <v>1106.683</v>
          </cell>
          <cell r="AT9">
            <v>1111.384</v>
          </cell>
          <cell r="AU9">
            <v>1115.998</v>
          </cell>
          <cell r="AV9">
            <v>1120.511</v>
          </cell>
          <cell r="AW9">
            <v>1124.9100000000001</v>
          </cell>
          <cell r="AX9">
            <v>1129.1980000000001</v>
          </cell>
          <cell r="AY9">
            <v>1133.386</v>
          </cell>
          <cell r="AZ9">
            <v>1137.4849999999999</v>
          </cell>
          <cell r="BA9">
            <v>1141.509</v>
          </cell>
          <cell r="BB9">
            <v>1145.4690000000001</v>
          </cell>
          <cell r="BC9">
            <v>1149.357</v>
          </cell>
        </row>
        <row r="10">
          <cell r="B10" t="str">
            <v>Region</v>
          </cell>
          <cell r="C10" t="str">
            <v>Region (with WMT only)</v>
          </cell>
          <cell r="D10" t="str">
            <v>Trend (basecase)</v>
          </cell>
          <cell r="E10">
            <v>8541.5746899999995</v>
          </cell>
          <cell r="F10">
            <v>8602.9903699999995</v>
          </cell>
          <cell r="G10">
            <v>8698.5763000000006</v>
          </cell>
          <cell r="H10">
            <v>8844.3482899999999</v>
          </cell>
          <cell r="I10">
            <v>9022.2813200000001</v>
          </cell>
          <cell r="J10">
            <v>9258.3442299999988</v>
          </cell>
          <cell r="K10">
            <v>9487.052450000001</v>
          </cell>
          <cell r="L10">
            <v>9723.550580000001</v>
          </cell>
          <cell r="M10">
            <v>9952.5249299999996</v>
          </cell>
          <cell r="N10">
            <v>10158.827130000001</v>
          </cell>
          <cell r="O10">
            <v>10363.223989999999</v>
          </cell>
          <cell r="P10">
            <v>10548.98797</v>
          </cell>
          <cell r="Q10">
            <v>10734.256399999998</v>
          </cell>
          <cell r="R10">
            <v>10898.733969999999</v>
          </cell>
          <cell r="S10">
            <v>11039.983339999999</v>
          </cell>
          <cell r="T10">
            <v>11172.471890000001</v>
          </cell>
          <cell r="U10">
            <v>11307.32251</v>
          </cell>
          <cell r="V10">
            <v>11438.47834</v>
          </cell>
          <cell r="W10">
            <v>11556.4139</v>
          </cell>
          <cell r="X10">
            <v>11692.513080000001</v>
          </cell>
          <cell r="Y10">
            <v>11865.043399999999</v>
          </cell>
          <cell r="Z10">
            <v>12074.218219999999</v>
          </cell>
          <cell r="AA10">
            <v>12261.453230000001</v>
          </cell>
          <cell r="AB10">
            <v>12442.00815</v>
          </cell>
          <cell r="AC10">
            <v>12604.661620000001</v>
          </cell>
          <cell r="AD10">
            <v>12731.74632</v>
          </cell>
          <cell r="AE10">
            <v>12856.81595</v>
          </cell>
          <cell r="AF10">
            <v>12980.202989999998</v>
          </cell>
          <cell r="AG10">
            <v>13108.750639999998</v>
          </cell>
          <cell r="AH10">
            <v>13242.678320000001</v>
          </cell>
          <cell r="AI10">
            <v>13381.124030000001</v>
          </cell>
          <cell r="AJ10">
            <v>13520.68111</v>
          </cell>
          <cell r="AK10">
            <v>13661.840299999998</v>
          </cell>
          <cell r="AL10">
            <v>13803.691440000001</v>
          </cell>
          <cell r="AM10">
            <v>13944.276469999999</v>
          </cell>
          <cell r="AN10">
            <v>14082.801340000002</v>
          </cell>
          <cell r="AO10">
            <v>14218.715590000002</v>
          </cell>
          <cell r="AP10">
            <v>14351.918940000001</v>
          </cell>
          <cell r="AQ10">
            <v>14482.437540000003</v>
          </cell>
          <cell r="AR10">
            <v>14610.4211</v>
          </cell>
          <cell r="AS10">
            <v>14736.24631</v>
          </cell>
          <cell r="AT10">
            <v>14860.320880000001</v>
          </cell>
          <cell r="AU10">
            <v>14983.078860000001</v>
          </cell>
          <cell r="AV10">
            <v>15104.70127</v>
          </cell>
          <cell r="AW10">
            <v>15225.195700000002</v>
          </cell>
          <cell r="AX10">
            <v>15344.62486</v>
          </cell>
          <cell r="AY10">
            <v>15463.089019999998</v>
          </cell>
          <cell r="AZ10">
            <v>15580.68845</v>
          </cell>
          <cell r="BA10">
            <v>15697.50913</v>
          </cell>
          <cell r="BB10">
            <v>15813.626329999999</v>
          </cell>
          <cell r="BC10">
            <v>15929.254489999999</v>
          </cell>
        </row>
      </sheetData>
      <sheetData sheetId="2"/>
      <sheetData sheetId="3"/>
      <sheetData sheetId="4"/>
      <sheetData sheetId="5"/>
      <sheetData sheetId="6"/>
      <sheetData sheetId="7"/>
      <sheetData sheetId="8"/>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Admin"/>
      <sheetName val="Equipment Measure Inputs"/>
      <sheetName val="Retrofit Measure Inputs"/>
      <sheetName val="Qualitative Screen"/>
    </sheetNames>
    <sheetDataSet>
      <sheetData sheetId="0"/>
      <sheetData sheetId="1">
        <row r="4">
          <cell r="C4">
            <v>3.56E-2</v>
          </cell>
        </row>
      </sheetData>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Admin"/>
      <sheetName val="Equipment Measure Inputs"/>
      <sheetName val="Retrofit Measure Inputs"/>
      <sheetName val="Qualitative Screen"/>
    </sheetNames>
    <sheetDataSet>
      <sheetData sheetId="0"/>
      <sheetData sheetId="1">
        <row r="4">
          <cell r="C4">
            <v>3.56E-2</v>
          </cell>
        </row>
      </sheetData>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Update Log"/>
      <sheetName val="MLIST"/>
      <sheetName val="FILES"/>
      <sheetName val="APPLIC"/>
      <sheetName val="BASE"/>
      <sheetName val="STOCK"/>
      <sheetName val="TURN"/>
      <sheetName val="ACHIEV"/>
      <sheetName val="RAMP"/>
      <sheetName val="CODE"/>
      <sheetName val="CHAR"/>
      <sheetName val="Floor"/>
      <sheetName val="Vars"/>
      <sheetName val="Labels"/>
      <sheetName val="Lookup"/>
      <sheetName val="EUI"/>
      <sheetName val="Measure Name List"/>
      <sheetName val="CBSA Data"/>
      <sheetName val="Com_Master_7P"/>
    </sheetNames>
    <sheetDataSet>
      <sheetData sheetId="0"/>
      <sheetData sheetId="1"/>
      <sheetData sheetId="2">
        <row r="68">
          <cell r="D68" t="str">
            <v>Street and Roadway Lighting-New</v>
          </cell>
        </row>
      </sheetData>
      <sheetData sheetId="3">
        <row r="4">
          <cell r="H4">
            <v>2035</v>
          </cell>
        </row>
      </sheetData>
      <sheetData sheetId="4">
        <row r="11">
          <cell r="B11" t="str">
            <v>Measure Index Name</v>
          </cell>
        </row>
      </sheetData>
      <sheetData sheetId="5"/>
      <sheetData sheetId="6"/>
      <sheetData sheetId="7">
        <row r="12">
          <cell r="B12" t="str">
            <v>Compressed Air Controls-Retro</v>
          </cell>
        </row>
      </sheetData>
      <sheetData sheetId="8">
        <row r="12">
          <cell r="B12" t="str">
            <v>Compressed Air Controls-Retro</v>
          </cell>
        </row>
      </sheetData>
      <sheetData sheetId="9"/>
      <sheetData sheetId="10"/>
      <sheetData sheetId="11"/>
      <sheetData sheetId="12"/>
      <sheetData sheetId="13"/>
      <sheetData sheetId="14"/>
      <sheetData sheetId="15">
        <row r="4">
          <cell r="C4" t="str">
            <v>PRE2002</v>
          </cell>
          <cell r="D4" t="str">
            <v>Com_Master_7P.xlsm!_PRE2002</v>
          </cell>
        </row>
        <row r="5">
          <cell r="C5" t="str">
            <v>PRE1987</v>
          </cell>
          <cell r="D5" t="str">
            <v>Com_Master_7P.xlsm!PRE1987</v>
          </cell>
        </row>
        <row r="6">
          <cell r="C6" t="str">
            <v>POST2002</v>
          </cell>
          <cell r="D6" t="str">
            <v>Com_Master_7P.xlsm!POST2002</v>
          </cell>
        </row>
        <row r="7">
          <cell r="C7" t="str">
            <v>V1987_2001</v>
          </cell>
          <cell r="D7" t="str">
            <v>Com_Master_7P.xlsm!V1987_2001</v>
          </cell>
        </row>
        <row r="8">
          <cell r="C8" t="str">
            <v>V1987_1994</v>
          </cell>
          <cell r="D8" t="str">
            <v>Com_Master_7P.xlsm!V1987_1994</v>
          </cell>
        </row>
        <row r="9">
          <cell r="C9" t="str">
            <v>V1995_2001</v>
          </cell>
          <cell r="D9" t="str">
            <v>Com_Master_7P.xlsm!V1995_2001</v>
          </cell>
        </row>
        <row r="10">
          <cell r="C10" t="str">
            <v>V2002_2006</v>
          </cell>
          <cell r="D10" t="str">
            <v>Com_Master_7P.xlsm!V2002_2006</v>
          </cell>
        </row>
        <row r="11">
          <cell r="C11" t="str">
            <v>POST2013</v>
          </cell>
          <cell r="D11" t="str">
            <v>Com_Master_7P.xlsm!POST2013</v>
          </cell>
        </row>
        <row r="12">
          <cell r="C12" t="str">
            <v>_PRE2013</v>
          </cell>
          <cell r="D12" t="str">
            <v>Com_Master_7P.xlsm!_PRE2013</v>
          </cell>
        </row>
      </sheetData>
      <sheetData sheetId="16"/>
      <sheetData sheetId="17"/>
      <sheetData sheetId="18"/>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7P"/>
      <sheetName val="SC-New"/>
      <sheetName val="SC-NR"/>
      <sheetName val="Measure InputOutput"/>
      <sheetName val="Measure InputOutput (WT)"/>
      <sheetName val="Results WT w OM"/>
      <sheetName val="Results WT wo OM"/>
      <sheetName val="Results w OM"/>
      <sheetName val="Results wo OM"/>
      <sheetName val="7PSourceSummary"/>
      <sheetName val="MMap"/>
      <sheetName val="Luminaires 7P"/>
      <sheetName val="Pricing"/>
      <sheetName val="SatPen"/>
      <sheetName val="Outdoor Stock"/>
      <sheetName val="Performance 7P"/>
      <sheetName val="Sources Stock 6P"/>
      <sheetName val="References"/>
      <sheetName val="Sources OM"/>
      <sheetName val="Life Table"/>
      <sheetName val="PIVOTMMap"/>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T6" t="str">
            <v>Streetlight - HPS 100W - New</v>
          </cell>
          <cell r="U6">
            <v>0.55000000000000004</v>
          </cell>
        </row>
        <row r="7">
          <cell r="T7" t="str">
            <v>Streetlight - MH 200W  - New</v>
          </cell>
          <cell r="U7">
            <v>0.1</v>
          </cell>
        </row>
        <row r="8">
          <cell r="T8" t="str">
            <v>Streetlight - HPS 250W - New</v>
          </cell>
          <cell r="U8">
            <v>0.15</v>
          </cell>
        </row>
        <row r="9">
          <cell r="T9" t="str">
            <v>Streetlight - MH 400W  - New</v>
          </cell>
          <cell r="U9">
            <v>0.15</v>
          </cell>
        </row>
        <row r="10">
          <cell r="T10" t="str">
            <v>Streetlight - MH 1000W - New</v>
          </cell>
          <cell r="U10">
            <v>0.05</v>
          </cell>
        </row>
        <row r="11">
          <cell r="T11" t="str">
            <v>Streetlight - HPS 100W - NR</v>
          </cell>
          <cell r="U11">
            <v>0.55000000000000004</v>
          </cell>
        </row>
        <row r="12">
          <cell r="T12" t="str">
            <v>Streetlight - MH 200W  - NR</v>
          </cell>
          <cell r="U12">
            <v>0.1</v>
          </cell>
        </row>
        <row r="13">
          <cell r="T13" t="str">
            <v>Streetlight - HPS 250W - NR</v>
          </cell>
          <cell r="U13">
            <v>0.15</v>
          </cell>
        </row>
        <row r="14">
          <cell r="T14" t="str">
            <v>Streetlight - MH 400W  - NR</v>
          </cell>
          <cell r="U14">
            <v>0.15</v>
          </cell>
        </row>
        <row r="15">
          <cell r="T15" t="str">
            <v>Streetlight - MH 1000W - NR</v>
          </cell>
          <cell r="U15">
            <v>0.05</v>
          </cell>
        </row>
      </sheetData>
      <sheetData sheetId="15"/>
      <sheetData sheetId="16"/>
      <sheetData sheetId="17"/>
      <sheetData sheetId="18"/>
      <sheetData sheetId="19"/>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folio Plan"/>
      <sheetName val="Program Summary"/>
      <sheetName val="Company Portfolio Summary"/>
      <sheetName val="Utility Portfolio Summary"/>
      <sheetName val="LGE-KU Budgets"/>
      <sheetName val="PDA - FTE"/>
      <sheetName val="PDA Support Reference"/>
      <sheetName val="Capital Cost Table"/>
      <sheetName val="PDA"/>
      <sheetName val="WeCare V2"/>
      <sheetName val="LI Multifamily - Whole Building"/>
      <sheetName val="Appliance Recycling"/>
      <sheetName val="Residential Audit Online"/>
      <sheetName val="Small Business - Audit &amp; DI"/>
      <sheetName val="Business Rebates"/>
      <sheetName val="NonRes Midstream Lighting"/>
      <sheetName val="Residential Demand Conservation"/>
      <sheetName val="Online Marketplace"/>
      <sheetName val="BYOT &amp; BYOD"/>
      <sheetName val="Residential Managed Charging"/>
      <sheetName val="Peak Time Rebate"/>
      <sheetName val="Large Nonres Demand Con."/>
      <sheetName val="REMOVED --&gt;"/>
      <sheetName val="EE Financing"/>
      <sheetName val="----&gt;Reference Files"/>
      <sheetName val="Load Shapes"/>
      <sheetName val="Budget Type Mapping"/>
      <sheetName val="REFERENCE-HomeEnergyPerformance"/>
      <sheetName val="WeCare 2021 summary"/>
      <sheetName val="Water Reset Reference"/>
      <sheetName val="BizRebates_Costs"/>
      <sheetName val="LGE_KU_ComReb_Report_Data"/>
      <sheetName val="Custom Benchma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9">
          <cell r="B89">
            <v>1</v>
          </cell>
        </row>
        <row r="90">
          <cell r="B90">
            <v>363</v>
          </cell>
        </row>
      </sheetData>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Admin"/>
      <sheetName val="Equipment Measure Inputs"/>
      <sheetName val="Retrofit Measure Inputs"/>
      <sheetName val="Qualitative Screen"/>
    </sheetNames>
    <sheetDataSet>
      <sheetData sheetId="0"/>
      <sheetData sheetId="1">
        <row r="4">
          <cell r="C4">
            <v>3.56E-2</v>
          </cell>
        </row>
        <row r="5">
          <cell r="C5">
            <v>4.8599999999999997E-2</v>
          </cell>
        </row>
        <row r="9">
          <cell r="C9">
            <v>0</v>
          </cell>
        </row>
        <row r="10">
          <cell r="C10" t="str">
            <v>Electric</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Shapes"/>
      <sheetName val="Portfolio Plan"/>
      <sheetName val="Program Summary"/>
      <sheetName val="Company Portfolio Summary"/>
      <sheetName val="Utility Portfolio Summary"/>
      <sheetName val="LGE-KU Budgets"/>
      <sheetName val="Budget"/>
      <sheetName val="LED Lighting Distribution"/>
      <sheetName val="Home Energy Analysis"/>
      <sheetName val="LGE-KUPotential_measureDatabase"/>
      <sheetName val="ARP - Fridge-Freeze Recycle"/>
      <sheetName val="Smart Energy Profile"/>
      <sheetName val="WeCare"/>
      <sheetName val="CEPI"/>
      <sheetName val="Residential Demand Conservation"/>
      <sheetName val="Commercial Demand Conservation"/>
      <sheetName val="Commercial Energy Rebates"/>
      <sheetName val="Multifamily"/>
      <sheetName val="Sheet5"/>
      <sheetName val="Labor"/>
      <sheetName val="Program Labor"/>
      <sheetName val="LGE-KU Budget - Actuals"/>
      <sheetName val="LGE-KU Parts - Actuals"/>
      <sheetName val="SEP"/>
      <sheetName val="detail"/>
      <sheetName val="Lighting Analysis"/>
      <sheetName val="LED Prices"/>
      <sheetName val="Assumptions "/>
      <sheetName val="Secondary Fuel Savings Calc"/>
      <sheetName val="Res DLC supp"/>
      <sheetName val="WeCare_Savings_Summary_Company"/>
      <sheetName val="Commercial Energy Rebates_old"/>
      <sheetName val="Home Assessments"/>
      <sheetName val="Home Energy Rebates"/>
      <sheetName val="Sheet2"/>
      <sheetName val="Comm Rebates Supp"/>
      <sheetName val="Com Summary"/>
      <sheetName val="ADR supplement"/>
      <sheetName val="SEP supplement"/>
      <sheetName val="ResElectric Equipment"/>
      <sheetName val="ResElectric Retrofit"/>
      <sheetName val="ResGas Equipment"/>
      <sheetName val="ResGas Retrofit"/>
      <sheetName val="ComElectric Equipment Master"/>
      <sheetName val="ComGas Equipment Master"/>
      <sheetName val="Custom Benchmarking"/>
      <sheetName val="Home Energy Performance Program"/>
    </sheetNames>
    <sheetDataSet>
      <sheetData sheetId="0"/>
      <sheetData sheetId="1"/>
      <sheetData sheetId="2"/>
      <sheetData sheetId="3"/>
      <sheetData sheetId="4"/>
      <sheetData sheetId="5"/>
      <sheetData sheetId="6"/>
      <sheetData sheetId="7"/>
      <sheetData sheetId="8">
        <row r="6">
          <cell r="G6">
            <v>25</v>
          </cell>
        </row>
      </sheetData>
      <sheetData sheetId="9">
        <row r="1">
          <cell r="O1">
            <v>14</v>
          </cell>
        </row>
      </sheetData>
      <sheetData sheetId="10"/>
      <sheetData sheetId="11"/>
      <sheetData sheetId="12"/>
      <sheetData sheetId="13"/>
      <sheetData sheetId="14"/>
      <sheetData sheetId="15"/>
      <sheetData sheetId="16">
        <row r="8">
          <cell r="G8">
            <v>417.93299999999999</v>
          </cell>
        </row>
        <row r="272">
          <cell r="B272">
            <v>1.01</v>
          </cell>
        </row>
      </sheetData>
      <sheetData sheetId="17">
        <row r="64">
          <cell r="Q64">
            <v>45.551759759999996</v>
          </cell>
        </row>
      </sheetData>
      <sheetData sheetId="18"/>
      <sheetData sheetId="19"/>
      <sheetData sheetId="20"/>
      <sheetData sheetId="21"/>
      <sheetData sheetId="22">
        <row r="8">
          <cell r="E8">
            <v>1137</v>
          </cell>
        </row>
      </sheetData>
      <sheetData sheetId="23"/>
      <sheetData sheetId="24"/>
      <sheetData sheetId="25"/>
      <sheetData sheetId="26"/>
      <sheetData sheetId="27">
        <row r="5">
          <cell r="F5">
            <v>1.3333333333333333</v>
          </cell>
        </row>
        <row r="10">
          <cell r="B10">
            <v>0.08</v>
          </cell>
        </row>
        <row r="16">
          <cell r="C16">
            <v>1</v>
          </cell>
        </row>
      </sheetData>
      <sheetData sheetId="28">
        <row r="17">
          <cell r="B17" t="str">
            <v>LGEResidentialElectricSingle FamilyExistingCool CentralCeiling Insulation (KY) - CodeR-49Average Existing Insulation</v>
          </cell>
        </row>
      </sheetData>
      <sheetData sheetId="29"/>
      <sheetData sheetId="30"/>
      <sheetData sheetId="31"/>
      <sheetData sheetId="32"/>
      <sheetData sheetId="33">
        <row r="6">
          <cell r="T6">
            <v>-5.7020502129413342E-2</v>
          </cell>
        </row>
      </sheetData>
      <sheetData sheetId="34"/>
      <sheetData sheetId="35"/>
      <sheetData sheetId="36"/>
      <sheetData sheetId="37"/>
      <sheetData sheetId="38">
        <row r="6">
          <cell r="F6">
            <v>1687672</v>
          </cell>
        </row>
      </sheetData>
      <sheetData sheetId="39"/>
      <sheetData sheetId="40"/>
      <sheetData sheetId="41"/>
      <sheetData sheetId="42"/>
      <sheetData sheetId="43"/>
      <sheetData sheetId="44"/>
      <sheetData sheetId="45"/>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ta"/>
      <sheetName val="Measure_InputOutput"/>
      <sheetName val="ProCost 7th Plan Inputs"/>
      <sheetName val="ValidationLists"/>
    </sheetNames>
    <sheetDataSet>
      <sheetData sheetId="0">
        <row r="6">
          <cell r="AA6" t="str">
            <v>Electric</v>
          </cell>
          <cell r="AC6" t="str">
            <v>On</v>
          </cell>
          <cell r="AE6" t="str">
            <v>Residential</v>
          </cell>
          <cell r="AI6" t="str">
            <v>x</v>
          </cell>
          <cell r="AK6" t="str">
            <v>Header</v>
          </cell>
        </row>
        <row r="7">
          <cell r="AA7" t="str">
            <v>Gas</v>
          </cell>
          <cell r="AC7" t="str">
            <v>Off</v>
          </cell>
          <cell r="AE7" t="str">
            <v>Commercial</v>
          </cell>
          <cell r="AK7" t="str">
            <v>KEY</v>
          </cell>
        </row>
        <row r="8">
          <cell r="AE8" t="str">
            <v>Industrial</v>
          </cell>
          <cell r="AK8" t="str">
            <v>UtilityPeakHours</v>
          </cell>
        </row>
        <row r="9">
          <cell r="AE9" t="str">
            <v>Agriculture</v>
          </cell>
          <cell r="AK9" t="str">
            <v>PeakT&amp;DCredit</v>
          </cell>
        </row>
        <row r="10">
          <cell r="AE10" t="str">
            <v>Melded</v>
          </cell>
          <cell r="AK10" t="str">
            <v>7P Mid</v>
          </cell>
        </row>
        <row r="11">
          <cell r="AE11" t="str">
            <v>Utility</v>
          </cell>
          <cell r="AK11" t="str">
            <v>7P Low</v>
          </cell>
        </row>
        <row r="12">
          <cell r="AE12" t="str">
            <v>Local Government</v>
          </cell>
          <cell r="AK12" t="str">
            <v>7P High</v>
          </cell>
        </row>
        <row r="13">
          <cell r="AK13" t="str">
            <v>7P Gas</v>
          </cell>
        </row>
        <row r="14">
          <cell r="AK14" t="str">
            <v>6P_Gas_Final</v>
          </cell>
        </row>
        <row r="15">
          <cell r="AK15" t="str">
            <v>6P MidC Final</v>
          </cell>
        </row>
        <row r="16">
          <cell r="AK16" t="str">
            <v>GLSShapes</v>
          </cell>
        </row>
        <row r="17">
          <cell r="AK17" t="str">
            <v>CO2 lbs per kWh .95</v>
          </cell>
        </row>
        <row r="18">
          <cell r="AK18" t="str">
            <v>CO2 lbs per therm</v>
          </cell>
        </row>
        <row r="19">
          <cell r="AK19" t="str">
            <v>Zero Dollars per ton CO2</v>
          </cell>
        </row>
        <row r="20">
          <cell r="AK20" t="str">
            <v>LineLossShapes</v>
          </cell>
        </row>
        <row r="21">
          <cell r="AK21" t="str">
            <v>Annual &amp; Monthly Load Factors</v>
          </cell>
        </row>
        <row r="22">
          <cell r="AK22" t="str">
            <v>LoadShapeMap</v>
          </cell>
        </row>
        <row r="23">
          <cell r="AK23" t="str">
            <v>Load &amp; Coincident Factors</v>
          </cell>
        </row>
        <row r="24">
          <cell r="AK24" t="str">
            <v>Calendars</v>
          </cell>
        </row>
        <row r="25">
          <cell r="AK25" t="str">
            <v>SysLoad</v>
          </cell>
        </row>
        <row r="26">
          <cell r="AK26" t="str">
            <v>EE Finace ProCost</v>
          </cell>
        </row>
        <row r="27">
          <cell r="AK27" t="str">
            <v>Log</v>
          </cell>
        </row>
        <row r="28">
          <cell r="AK28" t="str">
            <v>Sheet1</v>
          </cell>
        </row>
      </sheetData>
      <sheetData sheetId="1"/>
      <sheetData sheetId="2">
        <row r="1">
          <cell r="A1">
            <v>0</v>
          </cell>
          <cell r="B1">
            <v>0</v>
          </cell>
          <cell r="C1">
            <v>0</v>
          </cell>
          <cell r="D1">
            <v>0</v>
          </cell>
          <cell r="E1">
            <v>0</v>
          </cell>
          <cell r="F1">
            <v>0</v>
          </cell>
          <cell r="G1" t="str">
            <v>Version D4</v>
          </cell>
          <cell r="H1">
            <v>41938</v>
          </cell>
          <cell r="I1" t="str">
            <v>Revised Sponsor Defintions back to 6P  (Retail Elec &amp; Nat Gas)</v>
          </cell>
          <cell r="J1">
            <v>0</v>
          </cell>
          <cell r="K1">
            <v>0</v>
          </cell>
          <cell r="L1">
            <v>11</v>
          </cell>
        </row>
        <row r="2">
          <cell r="A2" t="str">
            <v>Residential Sector ProCost Input Assumptions</v>
          </cell>
          <cell r="B2">
            <v>0.38074762904313819</v>
          </cell>
          <cell r="C2">
            <v>0</v>
          </cell>
          <cell r="D2">
            <v>0</v>
          </cell>
          <cell r="E2">
            <v>0</v>
          </cell>
          <cell r="F2">
            <v>0</v>
          </cell>
          <cell r="G2">
            <v>0</v>
          </cell>
          <cell r="H2">
            <v>0</v>
          </cell>
          <cell r="I2">
            <v>0</v>
          </cell>
          <cell r="J2">
            <v>0</v>
          </cell>
          <cell r="K2">
            <v>0</v>
          </cell>
        </row>
        <row r="3">
          <cell r="A3" t="str">
            <v>Sponsor Parameters</v>
          </cell>
          <cell r="B3" t="str">
            <v>Customer</v>
          </cell>
          <cell r="C3" t="str">
            <v>Wholesale / Bonneville</v>
          </cell>
          <cell r="D3" t="str">
            <v>Retail Elec</v>
          </cell>
          <cell r="E3" t="str">
            <v>Nat Gas</v>
          </cell>
          <cell r="F3">
            <v>0</v>
          </cell>
          <cell r="G3">
            <v>0</v>
          </cell>
          <cell r="H3">
            <v>0</v>
          </cell>
          <cell r="I3">
            <v>0</v>
          </cell>
          <cell r="J3" t="str">
            <v>Program Parameters</v>
          </cell>
          <cell r="K3" t="str">
            <v>Program</v>
          </cell>
        </row>
        <row r="4">
          <cell r="A4" t="str">
            <v>Real After-Tax Cost of Capital</v>
          </cell>
          <cell r="B4">
            <v>4.3096045197740109E-2</v>
          </cell>
          <cell r="C4">
            <v>4.387844424080023E-2</v>
          </cell>
          <cell r="D4">
            <v>5.3289007766645871E-2</v>
          </cell>
          <cell r="E4">
            <v>5.447903102274565E-2</v>
          </cell>
          <cell r="F4">
            <v>0</v>
          </cell>
          <cell r="G4">
            <v>0</v>
          </cell>
          <cell r="H4">
            <v>0</v>
          </cell>
          <cell r="I4">
            <v>0</v>
          </cell>
          <cell r="J4" t="str">
            <v>Program Life (yrs)</v>
          </cell>
          <cell r="K4">
            <v>20</v>
          </cell>
        </row>
        <row r="5">
          <cell r="A5" t="str">
            <v>Financial Life (years)</v>
          </cell>
          <cell r="B5">
            <v>12</v>
          </cell>
          <cell r="C5">
            <v>12</v>
          </cell>
          <cell r="D5">
            <v>1</v>
          </cell>
          <cell r="E5">
            <v>1</v>
          </cell>
          <cell r="F5">
            <v>0</v>
          </cell>
          <cell r="G5">
            <v>0</v>
          </cell>
          <cell r="H5">
            <v>0</v>
          </cell>
          <cell r="I5">
            <v>0</v>
          </cell>
          <cell r="J5" t="str">
            <v>Program Start Date</v>
          </cell>
          <cell r="K5">
            <v>2016</v>
          </cell>
        </row>
        <row r="6">
          <cell r="A6" t="str">
            <v xml:space="preserve">Sponsor Share of Initial Capital Cost </v>
          </cell>
          <cell r="B6">
            <v>0.35</v>
          </cell>
          <cell r="C6">
            <v>0.19500000000000001</v>
          </cell>
          <cell r="D6">
            <v>4.8749999999999988E-2</v>
          </cell>
          <cell r="E6">
            <v>0.40625</v>
          </cell>
          <cell r="F6">
            <v>0</v>
          </cell>
          <cell r="G6">
            <v>0</v>
          </cell>
          <cell r="H6">
            <v>0</v>
          </cell>
          <cell r="I6">
            <v>0</v>
          </cell>
          <cell r="J6" t="str">
            <v>Present Value Time Zero</v>
          </cell>
          <cell r="K6">
            <v>2016</v>
          </cell>
        </row>
        <row r="7">
          <cell r="A7" t="str">
            <v>Sponsor Share of Annual O&amp;M</v>
          </cell>
          <cell r="B7">
            <v>1</v>
          </cell>
          <cell r="C7">
            <v>0</v>
          </cell>
          <cell r="D7">
            <v>0</v>
          </cell>
          <cell r="E7">
            <v>0</v>
          </cell>
          <cell r="F7">
            <v>0</v>
          </cell>
          <cell r="G7">
            <v>0</v>
          </cell>
          <cell r="H7">
            <v>0</v>
          </cell>
          <cell r="I7">
            <v>0</v>
          </cell>
          <cell r="J7" t="str">
            <v>Input Cost Reference Year</v>
          </cell>
          <cell r="K7">
            <v>2012</v>
          </cell>
        </row>
        <row r="8">
          <cell r="A8" t="str">
            <v>Sponsor Share of Periodic Replacement Cost</v>
          </cell>
          <cell r="B8">
            <v>1</v>
          </cell>
          <cell r="C8">
            <v>0</v>
          </cell>
          <cell r="D8">
            <v>0</v>
          </cell>
          <cell r="E8">
            <v>0</v>
          </cell>
          <cell r="F8">
            <v>0</v>
          </cell>
          <cell r="G8">
            <v>0</v>
          </cell>
          <cell r="H8">
            <v>0</v>
          </cell>
          <cell r="I8">
            <v>0</v>
          </cell>
          <cell r="J8" t="str">
            <v>Real Discount Rate</v>
          </cell>
          <cell r="K8">
            <v>0.04</v>
          </cell>
        </row>
        <row r="9">
          <cell r="A9" t="str">
            <v>Sponsor Share of Administrative Cost</v>
          </cell>
          <cell r="B9">
            <v>0</v>
          </cell>
          <cell r="C9">
            <v>0.3</v>
          </cell>
          <cell r="D9">
            <v>7.4999999999999983E-2</v>
          </cell>
          <cell r="E9">
            <v>0.625</v>
          </cell>
          <cell r="F9">
            <v>0</v>
          </cell>
          <cell r="G9">
            <v>0</v>
          </cell>
          <cell r="H9">
            <v>0</v>
          </cell>
          <cell r="I9">
            <v>0</v>
          </cell>
          <cell r="J9" t="str">
            <v>Capital Real Escalation Rate</v>
          </cell>
          <cell r="K9">
            <v>0</v>
          </cell>
        </row>
        <row r="10">
          <cell r="A10" t="str">
            <v>Last Year of Non-Customer O&amp;M &amp; Period Replacement</v>
          </cell>
          <cell r="B10">
            <v>0</v>
          </cell>
          <cell r="C10">
            <v>20</v>
          </cell>
          <cell r="D10">
            <v>0</v>
          </cell>
          <cell r="E10">
            <v>0</v>
          </cell>
          <cell r="F10">
            <v>0</v>
          </cell>
          <cell r="G10">
            <v>0</v>
          </cell>
          <cell r="H10">
            <v>0</v>
          </cell>
          <cell r="I10">
            <v>0</v>
          </cell>
          <cell r="J10" t="str">
            <v>Admin Cost (As % of Initial Capital Cost)</v>
          </cell>
          <cell r="K10">
            <v>0.2</v>
          </cell>
        </row>
        <row r="11">
          <cell r="A11">
            <v>0</v>
          </cell>
          <cell r="B11">
            <v>0</v>
          </cell>
          <cell r="C11">
            <v>0</v>
          </cell>
          <cell r="D11">
            <v>0</v>
          </cell>
          <cell r="E11">
            <v>0</v>
          </cell>
          <cell r="F11">
            <v>0</v>
          </cell>
          <cell r="G11">
            <v>0</v>
          </cell>
          <cell r="H11">
            <v>0</v>
          </cell>
          <cell r="I11">
            <v>0</v>
          </cell>
          <cell r="J11" t="str">
            <v>Regional Act Conservation Credit (%)</v>
          </cell>
          <cell r="K11">
            <v>0.1</v>
          </cell>
        </row>
        <row r="12">
          <cell r="A12" t="str">
            <v>Commercial Sector ProCost Assumptions</v>
          </cell>
          <cell r="B12">
            <v>0.30962211954020102</v>
          </cell>
          <cell r="C12">
            <v>0</v>
          </cell>
          <cell r="D12">
            <v>0</v>
          </cell>
          <cell r="E12">
            <v>0</v>
          </cell>
          <cell r="F12">
            <v>0</v>
          </cell>
          <cell r="G12">
            <v>0</v>
          </cell>
          <cell r="H12">
            <v>0</v>
          </cell>
          <cell r="I12">
            <v>0</v>
          </cell>
          <cell r="J12" t="str">
            <v>Report Annual Carbon Saved for Year</v>
          </cell>
          <cell r="K12">
            <v>2018</v>
          </cell>
        </row>
        <row r="13">
          <cell r="A13" t="str">
            <v>Sponsor Parameters</v>
          </cell>
          <cell r="B13" t="str">
            <v>Customer</v>
          </cell>
          <cell r="C13" t="str">
            <v>Wholesale / Bonneville</v>
          </cell>
          <cell r="D13" t="str">
            <v>Retail Elec</v>
          </cell>
          <cell r="E13" t="str">
            <v>Nat Gas</v>
          </cell>
          <cell r="F13">
            <v>0</v>
          </cell>
          <cell r="G13">
            <v>0</v>
          </cell>
          <cell r="H13">
            <v>0</v>
          </cell>
          <cell r="I13">
            <v>0</v>
          </cell>
          <cell r="J13">
            <v>0</v>
          </cell>
          <cell r="K13">
            <v>0</v>
          </cell>
        </row>
        <row r="14">
          <cell r="A14" t="str">
            <v>Real After-Tax Cost of Capital</v>
          </cell>
          <cell r="B14">
            <v>6.8012888465852586E-2</v>
          </cell>
          <cell r="C14">
            <v>4.387844424080023E-2</v>
          </cell>
          <cell r="D14">
            <v>5.3289007766645871E-2</v>
          </cell>
          <cell r="E14">
            <v>5.447903102274565E-2</v>
          </cell>
          <cell r="F14">
            <v>0</v>
          </cell>
          <cell r="G14">
            <v>0</v>
          </cell>
          <cell r="H14">
            <v>0</v>
          </cell>
          <cell r="I14">
            <v>0</v>
          </cell>
          <cell r="J14" t="str">
            <v>Utility System Parameters</v>
          </cell>
          <cell r="K14" t="str">
            <v>Electric</v>
          </cell>
          <cell r="L14" t="str">
            <v>Gas</v>
          </cell>
        </row>
        <row r="15">
          <cell r="A15" t="str">
            <v>Financial Life (years)</v>
          </cell>
          <cell r="B15">
            <v>12</v>
          </cell>
          <cell r="C15">
            <v>12</v>
          </cell>
          <cell r="D15">
            <v>1</v>
          </cell>
          <cell r="E15">
            <v>1</v>
          </cell>
          <cell r="F15">
            <v>0</v>
          </cell>
          <cell r="G15">
            <v>0</v>
          </cell>
          <cell r="H15">
            <v>0</v>
          </cell>
          <cell r="I15">
            <v>0</v>
          </cell>
          <cell r="J15" t="str">
            <v>Bulk System T&amp;D Loss Factor</v>
          </cell>
          <cell r="K15">
            <v>0.03</v>
          </cell>
          <cell r="L15" t="str">
            <v>Flat1.0</v>
          </cell>
        </row>
        <row r="16">
          <cell r="A16" t="str">
            <v xml:space="preserve">Sponsor Share of Initial Capital Cost </v>
          </cell>
          <cell r="B16">
            <v>0.35</v>
          </cell>
          <cell r="C16">
            <v>0.19500000000000001</v>
          </cell>
          <cell r="D16">
            <v>4.8749999999999988E-2</v>
          </cell>
          <cell r="E16">
            <v>0.40625</v>
          </cell>
          <cell r="F16">
            <v>0</v>
          </cell>
          <cell r="G16">
            <v>0</v>
          </cell>
          <cell r="H16">
            <v>0</v>
          </cell>
          <cell r="I16">
            <v>0</v>
          </cell>
          <cell r="J16" t="str">
            <v>Bulk System T&amp;D Credit ($/kw-yr)($/dailytherm-yr)</v>
          </cell>
          <cell r="K16">
            <v>26</v>
          </cell>
          <cell r="L16">
            <v>0</v>
          </cell>
        </row>
        <row r="17">
          <cell r="A17" t="str">
            <v>Sponsor Share of Annual O&amp;M</v>
          </cell>
          <cell r="B17">
            <v>1</v>
          </cell>
          <cell r="C17">
            <v>0</v>
          </cell>
          <cell r="D17">
            <v>0</v>
          </cell>
          <cell r="E17">
            <v>0</v>
          </cell>
          <cell r="F17">
            <v>0</v>
          </cell>
          <cell r="G17">
            <v>0</v>
          </cell>
          <cell r="H17">
            <v>0</v>
          </cell>
          <cell r="I17">
            <v>0</v>
          </cell>
          <cell r="J17" t="str">
            <v>Bulk System T&amp;D I2R Loss Component (%)</v>
          </cell>
          <cell r="K17">
            <v>0.9</v>
          </cell>
          <cell r="L17" t="str">
            <v>N/A</v>
          </cell>
        </row>
        <row r="18">
          <cell r="A18" t="str">
            <v>Sponsor Share of Periodic Replacement Cost</v>
          </cell>
          <cell r="B18">
            <v>1</v>
          </cell>
          <cell r="C18">
            <v>0</v>
          </cell>
          <cell r="D18">
            <v>0</v>
          </cell>
          <cell r="E18">
            <v>0</v>
          </cell>
          <cell r="F18">
            <v>0</v>
          </cell>
          <cell r="G18">
            <v>0</v>
          </cell>
          <cell r="H18">
            <v>0</v>
          </cell>
          <cell r="I18">
            <v>0</v>
          </cell>
          <cell r="J18" t="str">
            <v>Local System Dist Loss Factor</v>
          </cell>
          <cell r="K18">
            <v>5.5E-2</v>
          </cell>
          <cell r="L18" t="str">
            <v>NoLoss</v>
          </cell>
        </row>
        <row r="19">
          <cell r="A19" t="str">
            <v>Sponsor Share of Admin Cost</v>
          </cell>
          <cell r="B19">
            <v>0</v>
          </cell>
          <cell r="C19">
            <v>0.3</v>
          </cell>
          <cell r="D19">
            <v>7.4999999999999983E-2</v>
          </cell>
          <cell r="E19">
            <v>0.625</v>
          </cell>
          <cell r="F19">
            <v>0</v>
          </cell>
          <cell r="G19">
            <v>0</v>
          </cell>
          <cell r="H19">
            <v>0</v>
          </cell>
          <cell r="I19">
            <v>0</v>
          </cell>
          <cell r="J19" t="str">
            <v>Local System Dist Credit ($/kw-yr)($/dailytherm-yr)</v>
          </cell>
          <cell r="K19">
            <v>31</v>
          </cell>
          <cell r="L19">
            <v>0</v>
          </cell>
        </row>
        <row r="20">
          <cell r="A20" t="str">
            <v>Last Year of Non-Customer O&amp;M &amp; Period Replacement</v>
          </cell>
          <cell r="B20">
            <v>0</v>
          </cell>
          <cell r="C20">
            <v>20</v>
          </cell>
          <cell r="D20">
            <v>0</v>
          </cell>
          <cell r="E20">
            <v>0</v>
          </cell>
          <cell r="F20">
            <v>0</v>
          </cell>
          <cell r="G20">
            <v>0</v>
          </cell>
          <cell r="H20">
            <v>0</v>
          </cell>
          <cell r="I20">
            <v>0</v>
          </cell>
          <cell r="J20" t="str">
            <v>Local System Dist I2R Loss Component (%)</v>
          </cell>
          <cell r="K20">
            <v>0.7</v>
          </cell>
          <cell r="L20" t="str">
            <v>N/A</v>
          </cell>
        </row>
        <row r="21">
          <cell r="A21">
            <v>0</v>
          </cell>
          <cell r="B21">
            <v>0</v>
          </cell>
          <cell r="C21">
            <v>0</v>
          </cell>
          <cell r="D21">
            <v>0</v>
          </cell>
          <cell r="E21">
            <v>0</v>
          </cell>
          <cell r="F21">
            <v>0</v>
          </cell>
          <cell r="G21">
            <v>0</v>
          </cell>
          <cell r="H21">
            <v>0</v>
          </cell>
          <cell r="I21">
            <v>0</v>
          </cell>
          <cell r="J21" t="str">
            <v>Risk-Mitigation Credit (mills/kWh)(mills/therm) - Retro.</v>
          </cell>
          <cell r="K21">
            <v>0</v>
          </cell>
          <cell r="L21">
            <v>0</v>
          </cell>
        </row>
        <row r="22">
          <cell r="A22" t="str">
            <v>Industrial Sector ProCost Assumptions</v>
          </cell>
          <cell r="B22">
            <v>0.26993493389498663</v>
          </cell>
          <cell r="C22">
            <v>0</v>
          </cell>
          <cell r="D22">
            <v>0</v>
          </cell>
          <cell r="E22">
            <v>0</v>
          </cell>
          <cell r="F22">
            <v>0</v>
          </cell>
          <cell r="G22">
            <v>0</v>
          </cell>
          <cell r="H22">
            <v>0</v>
          </cell>
          <cell r="I22">
            <v>0</v>
          </cell>
          <cell r="J22" t="str">
            <v>Risk-Mitigation Credit (mills/kWh)(mills/therm) - Lost Op.</v>
          </cell>
          <cell r="K22">
            <v>0</v>
          </cell>
          <cell r="L22">
            <v>0</v>
          </cell>
        </row>
        <row r="23">
          <cell r="A23" t="str">
            <v>Sponsor Parameters</v>
          </cell>
          <cell r="B23" t="str">
            <v>Customer</v>
          </cell>
          <cell r="C23" t="str">
            <v>Wholesale / Bonneville</v>
          </cell>
          <cell r="D23" t="str">
            <v>Retail Elec</v>
          </cell>
          <cell r="E23" t="str">
            <v>Nat Gas</v>
          </cell>
          <cell r="F23">
            <v>0</v>
          </cell>
          <cell r="G23">
            <v>0</v>
          </cell>
          <cell r="H23">
            <v>0</v>
          </cell>
          <cell r="I23">
            <v>0</v>
          </cell>
          <cell r="J23">
            <v>0</v>
          </cell>
          <cell r="K23">
            <v>0</v>
          </cell>
        </row>
        <row r="24">
          <cell r="A24" t="str">
            <v>Real After-Tax Cost of Capital</v>
          </cell>
          <cell r="B24">
            <v>8.4741335471886392E-2</v>
          </cell>
          <cell r="C24">
            <v>4.387844424080023E-2</v>
          </cell>
          <cell r="D24">
            <v>5.3289007766645871E-2</v>
          </cell>
          <cell r="E24">
            <v>5.447903102274565E-2</v>
          </cell>
          <cell r="F24">
            <v>0</v>
          </cell>
          <cell r="G24">
            <v>0</v>
          </cell>
          <cell r="H24">
            <v>0</v>
          </cell>
          <cell r="I24">
            <v>0</v>
          </cell>
          <cell r="J24">
            <v>0</v>
          </cell>
          <cell r="K24">
            <v>0</v>
          </cell>
        </row>
        <row r="25">
          <cell r="A25" t="str">
            <v>Financial Life (years)</v>
          </cell>
          <cell r="B25">
            <v>12</v>
          </cell>
          <cell r="C25">
            <v>12</v>
          </cell>
          <cell r="D25">
            <v>1</v>
          </cell>
          <cell r="E25">
            <v>1</v>
          </cell>
          <cell r="F25">
            <v>0</v>
          </cell>
          <cell r="G25">
            <v>0</v>
          </cell>
          <cell r="H25">
            <v>0</v>
          </cell>
          <cell r="I25">
            <v>0</v>
          </cell>
          <cell r="J25">
            <v>0</v>
          </cell>
          <cell r="K25">
            <v>0</v>
          </cell>
        </row>
        <row r="26">
          <cell r="A26" t="str">
            <v xml:space="preserve">Sponsor Share of Initial Capital Cost </v>
          </cell>
          <cell r="B26">
            <v>0.35</v>
          </cell>
          <cell r="C26">
            <v>0.19500000000000001</v>
          </cell>
          <cell r="D26">
            <v>4.8749999999999988E-2</v>
          </cell>
          <cell r="E26">
            <v>0.40625</v>
          </cell>
          <cell r="F26">
            <v>0</v>
          </cell>
          <cell r="G26">
            <v>0</v>
          </cell>
          <cell r="H26">
            <v>0</v>
          </cell>
          <cell r="I26">
            <v>0</v>
          </cell>
          <cell r="J26">
            <v>0</v>
          </cell>
          <cell r="K26">
            <v>0</v>
          </cell>
        </row>
        <row r="27">
          <cell r="A27" t="str">
            <v>Sponsor Share of Annual O&amp;M</v>
          </cell>
          <cell r="B27">
            <v>1</v>
          </cell>
          <cell r="C27">
            <v>0</v>
          </cell>
          <cell r="D27">
            <v>0</v>
          </cell>
          <cell r="E27">
            <v>0</v>
          </cell>
          <cell r="F27">
            <v>0</v>
          </cell>
          <cell r="G27">
            <v>0</v>
          </cell>
          <cell r="H27">
            <v>0</v>
          </cell>
          <cell r="I27">
            <v>0</v>
          </cell>
          <cell r="J27">
            <v>0</v>
          </cell>
          <cell r="K27">
            <v>0</v>
          </cell>
        </row>
        <row r="28">
          <cell r="A28" t="str">
            <v>Sponsor Share of Periodic Replacement Cost</v>
          </cell>
          <cell r="B28">
            <v>1</v>
          </cell>
          <cell r="C28">
            <v>0</v>
          </cell>
          <cell r="D28">
            <v>0</v>
          </cell>
          <cell r="E28">
            <v>0</v>
          </cell>
          <cell r="F28">
            <v>0</v>
          </cell>
          <cell r="G28">
            <v>0</v>
          </cell>
          <cell r="H28">
            <v>0</v>
          </cell>
          <cell r="I28">
            <v>0</v>
          </cell>
          <cell r="J28">
            <v>0</v>
          </cell>
          <cell r="K28">
            <v>0</v>
          </cell>
        </row>
        <row r="29">
          <cell r="A29" t="str">
            <v>Sponsor Share of Admin Cost</v>
          </cell>
          <cell r="B29">
            <v>0</v>
          </cell>
          <cell r="C29">
            <v>0.3</v>
          </cell>
          <cell r="D29">
            <v>7.4999999999999983E-2</v>
          </cell>
          <cell r="E29">
            <v>0.625</v>
          </cell>
          <cell r="F29">
            <v>0</v>
          </cell>
          <cell r="G29">
            <v>0</v>
          </cell>
          <cell r="H29">
            <v>0</v>
          </cell>
          <cell r="I29">
            <v>0</v>
          </cell>
          <cell r="J29">
            <v>0</v>
          </cell>
          <cell r="K29">
            <v>0</v>
          </cell>
        </row>
        <row r="30">
          <cell r="A30" t="str">
            <v>Last Year of Non-Customer O&amp;M &amp; Period Replacement</v>
          </cell>
          <cell r="B30">
            <v>0</v>
          </cell>
          <cell r="C30">
            <v>20</v>
          </cell>
          <cell r="D30">
            <v>0</v>
          </cell>
          <cell r="E30">
            <v>0</v>
          </cell>
          <cell r="F30">
            <v>0</v>
          </cell>
          <cell r="G30">
            <v>0</v>
          </cell>
          <cell r="H30">
            <v>0</v>
          </cell>
          <cell r="I30">
            <v>0</v>
          </cell>
          <cell r="J30" t="str">
            <v>Price Deflator Year 2006$ to Year 2012$</v>
          </cell>
          <cell r="K30">
            <v>0</v>
          </cell>
        </row>
        <row r="31">
          <cell r="A31">
            <v>0</v>
          </cell>
          <cell r="B31">
            <v>0</v>
          </cell>
          <cell r="C31">
            <v>0</v>
          </cell>
          <cell r="D31">
            <v>0</v>
          </cell>
          <cell r="E31">
            <v>0</v>
          </cell>
          <cell r="F31">
            <v>0</v>
          </cell>
          <cell r="G31">
            <v>0</v>
          </cell>
          <cell r="H31">
            <v>0</v>
          </cell>
          <cell r="I31">
            <v>0</v>
          </cell>
          <cell r="J31">
            <v>1.1074047883301905</v>
          </cell>
          <cell r="K31">
            <v>0</v>
          </cell>
        </row>
        <row r="32">
          <cell r="A32" t="str">
            <v>Agricultural Sector ProCost Assumptions</v>
          </cell>
          <cell r="B32">
            <v>3.9695317521674212E-2</v>
          </cell>
          <cell r="C32">
            <v>0</v>
          </cell>
          <cell r="D32">
            <v>0</v>
          </cell>
          <cell r="E32">
            <v>0</v>
          </cell>
          <cell r="F32">
            <v>0</v>
          </cell>
          <cell r="G32">
            <v>0</v>
          </cell>
          <cell r="H32">
            <v>0</v>
          </cell>
          <cell r="I32">
            <v>0</v>
          </cell>
          <cell r="J32">
            <v>0</v>
          </cell>
          <cell r="K32">
            <v>0</v>
          </cell>
        </row>
        <row r="33">
          <cell r="A33" t="str">
            <v>Sponsor Parameters</v>
          </cell>
          <cell r="B33" t="str">
            <v>Customer</v>
          </cell>
          <cell r="C33" t="str">
            <v>Wholesale / Bonneville</v>
          </cell>
          <cell r="D33" t="str">
            <v>Retail Elec</v>
          </cell>
          <cell r="E33" t="str">
            <v>Nat Gas</v>
          </cell>
          <cell r="F33">
            <v>0</v>
          </cell>
          <cell r="G33">
            <v>0</v>
          </cell>
          <cell r="H33">
            <v>0</v>
          </cell>
          <cell r="I33">
            <v>0</v>
          </cell>
          <cell r="J33" t="str">
            <v>MC_AND_LOADSHAPE_7P.xls worksheet tab names</v>
          </cell>
          <cell r="K33">
            <v>0</v>
          </cell>
        </row>
        <row r="34">
          <cell r="A34" t="str">
            <v>Real After-Tax Cost of Capital</v>
          </cell>
          <cell r="B34">
            <v>6.7943795888335753E-2</v>
          </cell>
          <cell r="C34">
            <v>4.387844424080023E-2</v>
          </cell>
          <cell r="D34">
            <v>5.3289007766645871E-2</v>
          </cell>
          <cell r="E34">
            <v>5.447903102274565E-2</v>
          </cell>
          <cell r="F34">
            <v>0</v>
          </cell>
          <cell r="G34">
            <v>0</v>
          </cell>
          <cell r="H34">
            <v>0</v>
          </cell>
          <cell r="I34">
            <v>0</v>
          </cell>
          <cell r="J34" t="str">
            <v>7P Mid</v>
          </cell>
          <cell r="K34">
            <v>0</v>
          </cell>
        </row>
        <row r="35">
          <cell r="A35" t="str">
            <v>Financial Life (years)</v>
          </cell>
          <cell r="B35">
            <v>12</v>
          </cell>
          <cell r="C35">
            <v>12</v>
          </cell>
          <cell r="D35">
            <v>1</v>
          </cell>
          <cell r="E35">
            <v>1</v>
          </cell>
          <cell r="F35">
            <v>0</v>
          </cell>
          <cell r="G35">
            <v>0</v>
          </cell>
          <cell r="H35">
            <v>0</v>
          </cell>
          <cell r="I35">
            <v>0</v>
          </cell>
          <cell r="J35" t="str">
            <v>GLSShapes</v>
          </cell>
          <cell r="K35">
            <v>0</v>
          </cell>
        </row>
        <row r="36">
          <cell r="A36" t="str">
            <v xml:space="preserve">Sponsor Share of Initial Capital Cost </v>
          </cell>
          <cell r="B36">
            <v>0.35</v>
          </cell>
          <cell r="C36">
            <v>0.19500000000000001</v>
          </cell>
          <cell r="D36">
            <v>4.8749999999999988E-2</v>
          </cell>
          <cell r="E36">
            <v>0.40625</v>
          </cell>
          <cell r="F36">
            <v>0</v>
          </cell>
          <cell r="G36">
            <v>0</v>
          </cell>
          <cell r="H36">
            <v>0</v>
          </cell>
          <cell r="I36">
            <v>0</v>
          </cell>
          <cell r="J36" t="str">
            <v>7P Gas</v>
          </cell>
          <cell r="K36">
            <v>0</v>
          </cell>
        </row>
        <row r="37">
          <cell r="A37" t="str">
            <v>Sponsor Share of Annual O&amp;M</v>
          </cell>
          <cell r="B37">
            <v>1</v>
          </cell>
          <cell r="C37">
            <v>0</v>
          </cell>
          <cell r="D37">
            <v>0</v>
          </cell>
          <cell r="E37">
            <v>0</v>
          </cell>
          <cell r="F37">
            <v>0</v>
          </cell>
          <cell r="G37">
            <v>0</v>
          </cell>
          <cell r="H37">
            <v>0</v>
          </cell>
          <cell r="I37">
            <v>0</v>
          </cell>
          <cell r="J37" t="str">
            <v>GLSShapes</v>
          </cell>
          <cell r="K37">
            <v>0</v>
          </cell>
        </row>
        <row r="38">
          <cell r="A38" t="str">
            <v>Sponsor Share of Periodic Replacement Cost</v>
          </cell>
          <cell r="B38">
            <v>1</v>
          </cell>
          <cell r="C38">
            <v>0</v>
          </cell>
          <cell r="D38">
            <v>0</v>
          </cell>
          <cell r="E38">
            <v>0</v>
          </cell>
          <cell r="F38">
            <v>0</v>
          </cell>
          <cell r="G38">
            <v>0</v>
          </cell>
          <cell r="H38">
            <v>0</v>
          </cell>
          <cell r="I38">
            <v>0</v>
          </cell>
          <cell r="J38" t="str">
            <v>CO2 lbs per kWh .95</v>
          </cell>
          <cell r="K38">
            <v>0</v>
          </cell>
        </row>
        <row r="39">
          <cell r="A39" t="str">
            <v>Sponsor Share of Admin Cost</v>
          </cell>
          <cell r="B39">
            <v>0</v>
          </cell>
          <cell r="C39">
            <v>0.3</v>
          </cell>
          <cell r="D39">
            <v>7.4999999999999983E-2</v>
          </cell>
          <cell r="E39">
            <v>0.625</v>
          </cell>
          <cell r="F39">
            <v>0</v>
          </cell>
          <cell r="G39">
            <v>0</v>
          </cell>
          <cell r="H39">
            <v>0</v>
          </cell>
          <cell r="I39">
            <v>0</v>
          </cell>
          <cell r="J39" t="str">
            <v>CO2 lbs per therm</v>
          </cell>
          <cell r="K39">
            <v>0</v>
          </cell>
        </row>
        <row r="40">
          <cell r="A40" t="str">
            <v>Last Year of Non-Customer O&amp;M &amp; Period Replacement</v>
          </cell>
          <cell r="B40">
            <v>0</v>
          </cell>
          <cell r="C40">
            <v>20</v>
          </cell>
          <cell r="D40">
            <v>0</v>
          </cell>
          <cell r="E40">
            <v>0</v>
          </cell>
          <cell r="F40">
            <v>0</v>
          </cell>
          <cell r="G40">
            <v>0</v>
          </cell>
          <cell r="H40">
            <v>0</v>
          </cell>
          <cell r="I40">
            <v>0</v>
          </cell>
          <cell r="J40" t="str">
            <v>Zero Dollars per ton CO2</v>
          </cell>
          <cell r="K40">
            <v>0</v>
          </cell>
        </row>
        <row r="41">
          <cell r="A41">
            <v>0</v>
          </cell>
          <cell r="B41">
            <v>0</v>
          </cell>
          <cell r="C41">
            <v>0</v>
          </cell>
          <cell r="D41">
            <v>0</v>
          </cell>
          <cell r="E41">
            <v>0</v>
          </cell>
          <cell r="F41">
            <v>0</v>
          </cell>
          <cell r="G41">
            <v>0</v>
          </cell>
          <cell r="H41">
            <v>0</v>
          </cell>
          <cell r="I41">
            <v>0</v>
          </cell>
          <cell r="J41" t="str">
            <v>LineLossShapes</v>
          </cell>
          <cell r="K41">
            <v>0</v>
          </cell>
        </row>
        <row r="42">
          <cell r="A42" t="str">
            <v>Melded ProCost Assumptions (weighted by savings potential)</v>
          </cell>
          <cell r="B42">
            <v>0</v>
          </cell>
          <cell r="C42">
            <v>0</v>
          </cell>
          <cell r="D42">
            <v>0</v>
          </cell>
          <cell r="E42">
            <v>0</v>
          </cell>
          <cell r="F42">
            <v>0</v>
          </cell>
          <cell r="G42">
            <v>0</v>
          </cell>
          <cell r="H42">
            <v>0</v>
          </cell>
          <cell r="I42">
            <v>0</v>
          </cell>
          <cell r="J42">
            <v>0</v>
          </cell>
          <cell r="K42">
            <v>0</v>
          </cell>
        </row>
        <row r="43">
          <cell r="A43" t="str">
            <v>Sponsor Parameters</v>
          </cell>
          <cell r="B43" t="str">
            <v>Customer</v>
          </cell>
          <cell r="C43" t="str">
            <v>Wholesale / Bonneville</v>
          </cell>
          <cell r="D43" t="str">
            <v>Retail Elec</v>
          </cell>
          <cell r="E43" t="str">
            <v>Nat Gas</v>
          </cell>
          <cell r="F43">
            <v>0</v>
          </cell>
          <cell r="G43">
            <v>0</v>
          </cell>
          <cell r="H43">
            <v>0</v>
          </cell>
          <cell r="I43">
            <v>0</v>
          </cell>
          <cell r="J43">
            <v>0</v>
          </cell>
          <cell r="K43">
            <v>0</v>
          </cell>
        </row>
        <row r="44">
          <cell r="A44" t="str">
            <v>Real After-Tax Cost of Capital</v>
          </cell>
          <cell r="B44">
            <v>6.3038709053215888E-2</v>
          </cell>
          <cell r="C44">
            <v>4.387844424080023E-2</v>
          </cell>
          <cell r="D44">
            <v>5.3289007766645871E-2</v>
          </cell>
          <cell r="E44">
            <v>5.447903102274565E-2</v>
          </cell>
          <cell r="F44">
            <v>0</v>
          </cell>
          <cell r="G44">
            <v>0</v>
          </cell>
          <cell r="H44">
            <v>0</v>
          </cell>
          <cell r="I44">
            <v>0</v>
          </cell>
          <cell r="J44">
            <v>0</v>
          </cell>
          <cell r="K44">
            <v>0</v>
          </cell>
        </row>
        <row r="45">
          <cell r="A45" t="str">
            <v>Financial Life (years)</v>
          </cell>
          <cell r="B45">
            <v>12</v>
          </cell>
          <cell r="C45">
            <v>12</v>
          </cell>
          <cell r="D45">
            <v>1</v>
          </cell>
          <cell r="E45">
            <v>1</v>
          </cell>
          <cell r="F45">
            <v>0</v>
          </cell>
          <cell r="G45">
            <v>0</v>
          </cell>
          <cell r="H45">
            <v>0</v>
          </cell>
          <cell r="I45">
            <v>0</v>
          </cell>
          <cell r="J45">
            <v>0</v>
          </cell>
          <cell r="K45">
            <v>0</v>
          </cell>
        </row>
        <row r="46">
          <cell r="A46" t="str">
            <v xml:space="preserve">Sponsor Share of Initial Capital Cost </v>
          </cell>
          <cell r="B46">
            <v>0.35</v>
          </cell>
          <cell r="C46">
            <v>0.19500000000000001</v>
          </cell>
          <cell r="D46">
            <v>4.8749999999999988E-2</v>
          </cell>
          <cell r="E46">
            <v>0.40625</v>
          </cell>
          <cell r="F46">
            <v>0</v>
          </cell>
          <cell r="G46">
            <v>0</v>
          </cell>
          <cell r="H46">
            <v>0</v>
          </cell>
          <cell r="I46">
            <v>0</v>
          </cell>
          <cell r="J46">
            <v>0</v>
          </cell>
          <cell r="K46">
            <v>0</v>
          </cell>
        </row>
        <row r="47">
          <cell r="A47" t="str">
            <v>Sponsor Share of Annual O&amp;M</v>
          </cell>
          <cell r="B47">
            <v>1</v>
          </cell>
          <cell r="C47">
            <v>0</v>
          </cell>
          <cell r="D47">
            <v>0</v>
          </cell>
          <cell r="E47">
            <v>0</v>
          </cell>
          <cell r="F47">
            <v>0</v>
          </cell>
          <cell r="G47">
            <v>0</v>
          </cell>
          <cell r="H47">
            <v>0</v>
          </cell>
          <cell r="I47">
            <v>0</v>
          </cell>
          <cell r="J47">
            <v>0</v>
          </cell>
          <cell r="K47">
            <v>0</v>
          </cell>
        </row>
        <row r="48">
          <cell r="A48" t="str">
            <v>Sponsor Share of Periodic Replacement Cost</v>
          </cell>
          <cell r="B48">
            <v>1</v>
          </cell>
          <cell r="C48">
            <v>0</v>
          </cell>
          <cell r="D48">
            <v>0</v>
          </cell>
          <cell r="E48">
            <v>0</v>
          </cell>
          <cell r="F48">
            <v>0</v>
          </cell>
          <cell r="G48">
            <v>0</v>
          </cell>
          <cell r="H48">
            <v>0</v>
          </cell>
          <cell r="I48">
            <v>0</v>
          </cell>
          <cell r="J48">
            <v>0</v>
          </cell>
          <cell r="K48">
            <v>0</v>
          </cell>
        </row>
        <row r="49">
          <cell r="A49" t="str">
            <v>Sponsor Share of Admin Cost</v>
          </cell>
          <cell r="B49">
            <v>0</v>
          </cell>
          <cell r="C49">
            <v>0.3</v>
          </cell>
          <cell r="D49">
            <v>7.4999999999999983E-2</v>
          </cell>
          <cell r="E49">
            <v>0.625</v>
          </cell>
          <cell r="F49">
            <v>0</v>
          </cell>
          <cell r="G49">
            <v>0</v>
          </cell>
          <cell r="H49">
            <v>0</v>
          </cell>
          <cell r="I49">
            <v>0</v>
          </cell>
          <cell r="J49">
            <v>0</v>
          </cell>
          <cell r="K49">
            <v>0</v>
          </cell>
        </row>
        <row r="50">
          <cell r="A50" t="str">
            <v>Last Year of Non-Customer O&amp;M &amp; Period Replacement</v>
          </cell>
          <cell r="B50">
            <v>0</v>
          </cell>
          <cell r="C50">
            <v>20</v>
          </cell>
          <cell r="D50">
            <v>0</v>
          </cell>
          <cell r="E50">
            <v>0</v>
          </cell>
          <cell r="F50">
            <v>0</v>
          </cell>
          <cell r="G50">
            <v>0</v>
          </cell>
          <cell r="H50">
            <v>0</v>
          </cell>
          <cell r="I50">
            <v>0</v>
          </cell>
          <cell r="J50">
            <v>0</v>
          </cell>
          <cell r="K50">
            <v>0</v>
          </cell>
        </row>
        <row r="51">
          <cell r="A51">
            <v>0</v>
          </cell>
          <cell r="B51">
            <v>0</v>
          </cell>
          <cell r="C51">
            <v>0</v>
          </cell>
          <cell r="D51">
            <v>0</v>
          </cell>
          <cell r="E51">
            <v>0</v>
          </cell>
          <cell r="F51">
            <v>0</v>
          </cell>
          <cell r="G51">
            <v>0</v>
          </cell>
          <cell r="H51">
            <v>0</v>
          </cell>
          <cell r="I51">
            <v>0</v>
          </cell>
          <cell r="J51">
            <v>0</v>
          </cell>
          <cell r="K51">
            <v>0</v>
          </cell>
        </row>
        <row r="52">
          <cell r="A52" t="str">
            <v>Utility System Measures</v>
          </cell>
          <cell r="B52">
            <v>0</v>
          </cell>
          <cell r="C52">
            <v>0</v>
          </cell>
          <cell r="D52">
            <v>0</v>
          </cell>
          <cell r="E52">
            <v>0</v>
          </cell>
          <cell r="F52">
            <v>0</v>
          </cell>
          <cell r="G52">
            <v>0</v>
          </cell>
          <cell r="H52">
            <v>0</v>
          </cell>
          <cell r="I52">
            <v>0</v>
          </cell>
          <cell r="J52">
            <v>0</v>
          </cell>
          <cell r="K52">
            <v>0</v>
          </cell>
        </row>
        <row r="53">
          <cell r="A53" t="str">
            <v>Sponsor Parameters</v>
          </cell>
          <cell r="B53" t="str">
            <v>Customer</v>
          </cell>
          <cell r="C53" t="str">
            <v>Wholesale / Bonneville</v>
          </cell>
          <cell r="D53" t="str">
            <v>Retail Elec</v>
          </cell>
          <cell r="E53" t="str">
            <v>Nat Gas</v>
          </cell>
          <cell r="F53">
            <v>0</v>
          </cell>
          <cell r="G53">
            <v>0</v>
          </cell>
          <cell r="H53">
            <v>0</v>
          </cell>
          <cell r="I53">
            <v>0</v>
          </cell>
          <cell r="J53">
            <v>0</v>
          </cell>
          <cell r="K53">
            <v>0</v>
          </cell>
        </row>
        <row r="54">
          <cell r="A54" t="str">
            <v>Real After-Tax Cost of Capital</v>
          </cell>
          <cell r="B54">
            <v>6.3038709053215888E-2</v>
          </cell>
          <cell r="C54">
            <v>4.387844424080023E-2</v>
          </cell>
          <cell r="D54">
            <v>5.3289007766645871E-2</v>
          </cell>
          <cell r="E54">
            <v>5.447903102274565E-2</v>
          </cell>
          <cell r="F54">
            <v>0</v>
          </cell>
          <cell r="G54">
            <v>0</v>
          </cell>
          <cell r="H54">
            <v>0</v>
          </cell>
          <cell r="I54">
            <v>0</v>
          </cell>
          <cell r="J54">
            <v>0</v>
          </cell>
          <cell r="K54">
            <v>0</v>
          </cell>
        </row>
        <row r="55">
          <cell r="A55" t="str">
            <v>Financial Life (years)</v>
          </cell>
          <cell r="B55">
            <v>12</v>
          </cell>
          <cell r="C55">
            <v>12</v>
          </cell>
          <cell r="D55">
            <v>1</v>
          </cell>
          <cell r="E55">
            <v>1</v>
          </cell>
          <cell r="F55">
            <v>0</v>
          </cell>
          <cell r="G55">
            <v>0</v>
          </cell>
          <cell r="H55">
            <v>0</v>
          </cell>
          <cell r="I55">
            <v>0</v>
          </cell>
          <cell r="J55">
            <v>0</v>
          </cell>
          <cell r="K55">
            <v>0</v>
          </cell>
        </row>
        <row r="56">
          <cell r="A56" t="str">
            <v xml:space="preserve">Sponsor Share of Initial Capital Cost </v>
          </cell>
          <cell r="B56">
            <v>0</v>
          </cell>
          <cell r="C56">
            <v>0.3</v>
          </cell>
          <cell r="D56">
            <v>7.4999999999999983E-2</v>
          </cell>
          <cell r="E56">
            <v>0.625</v>
          </cell>
          <cell r="F56">
            <v>0</v>
          </cell>
          <cell r="G56">
            <v>0</v>
          </cell>
          <cell r="H56">
            <v>0</v>
          </cell>
          <cell r="I56">
            <v>0</v>
          </cell>
          <cell r="J56">
            <v>0</v>
          </cell>
          <cell r="K56">
            <v>0</v>
          </cell>
        </row>
        <row r="57">
          <cell r="A57" t="str">
            <v>Sponsor Share of Annual O&amp;M</v>
          </cell>
          <cell r="B57">
            <v>0</v>
          </cell>
          <cell r="C57">
            <v>0.3</v>
          </cell>
          <cell r="D57">
            <v>7.4999999999999983E-2</v>
          </cell>
          <cell r="E57">
            <v>0.625</v>
          </cell>
          <cell r="F57">
            <v>0</v>
          </cell>
          <cell r="G57">
            <v>0</v>
          </cell>
          <cell r="H57">
            <v>0</v>
          </cell>
          <cell r="I57">
            <v>0</v>
          </cell>
          <cell r="J57">
            <v>0</v>
          </cell>
          <cell r="K57">
            <v>0</v>
          </cell>
        </row>
        <row r="58">
          <cell r="A58" t="str">
            <v>Sponsor Share of Periodic Replacement Cost</v>
          </cell>
          <cell r="B58">
            <v>0</v>
          </cell>
          <cell r="C58">
            <v>0.3</v>
          </cell>
          <cell r="D58">
            <v>7.4999999999999983E-2</v>
          </cell>
          <cell r="E58">
            <v>0.625</v>
          </cell>
          <cell r="F58">
            <v>0</v>
          </cell>
          <cell r="G58">
            <v>0</v>
          </cell>
          <cell r="H58">
            <v>0</v>
          </cell>
          <cell r="I58">
            <v>0</v>
          </cell>
          <cell r="J58">
            <v>0</v>
          </cell>
          <cell r="K58">
            <v>0</v>
          </cell>
        </row>
        <row r="59">
          <cell r="A59" t="str">
            <v>Sponsor Share of Admin Cost</v>
          </cell>
          <cell r="B59">
            <v>0</v>
          </cell>
          <cell r="C59">
            <v>0.3</v>
          </cell>
          <cell r="D59">
            <v>7.4999999999999983E-2</v>
          </cell>
          <cell r="E59">
            <v>0.625</v>
          </cell>
          <cell r="F59">
            <v>0</v>
          </cell>
          <cell r="G59">
            <v>0</v>
          </cell>
          <cell r="H59">
            <v>0</v>
          </cell>
          <cell r="I59">
            <v>0</v>
          </cell>
          <cell r="J59">
            <v>0</v>
          </cell>
          <cell r="K59">
            <v>0</v>
          </cell>
        </row>
        <row r="60">
          <cell r="A60" t="str">
            <v>Last Year of Non-Customer O&amp;M &amp; Period Replacement</v>
          </cell>
          <cell r="B60">
            <v>0</v>
          </cell>
          <cell r="C60">
            <v>20</v>
          </cell>
          <cell r="D60">
            <v>0</v>
          </cell>
          <cell r="E60">
            <v>0</v>
          </cell>
          <cell r="F60">
            <v>0</v>
          </cell>
          <cell r="G60">
            <v>0</v>
          </cell>
          <cell r="H60">
            <v>0</v>
          </cell>
          <cell r="I60">
            <v>0</v>
          </cell>
          <cell r="J60">
            <v>0</v>
          </cell>
          <cell r="K60">
            <v>0</v>
          </cell>
        </row>
        <row r="61">
          <cell r="A61">
            <v>0</v>
          </cell>
          <cell r="B61">
            <v>0</v>
          </cell>
          <cell r="C61">
            <v>0</v>
          </cell>
          <cell r="D61">
            <v>0</v>
          </cell>
          <cell r="E61">
            <v>0</v>
          </cell>
          <cell r="F61">
            <v>0</v>
          </cell>
          <cell r="G61">
            <v>0</v>
          </cell>
          <cell r="H61">
            <v>0</v>
          </cell>
          <cell r="I61">
            <v>0</v>
          </cell>
          <cell r="J61">
            <v>0</v>
          </cell>
          <cell r="K61">
            <v>0</v>
          </cell>
        </row>
        <row r="62">
          <cell r="A62" t="str">
            <v>Local Government Sector Measures (Municipal, County, State)</v>
          </cell>
          <cell r="B62">
            <v>0</v>
          </cell>
          <cell r="C62">
            <v>0</v>
          </cell>
          <cell r="D62">
            <v>0</v>
          </cell>
          <cell r="E62">
            <v>0</v>
          </cell>
          <cell r="F62">
            <v>0</v>
          </cell>
          <cell r="G62">
            <v>0</v>
          </cell>
          <cell r="H62">
            <v>0</v>
          </cell>
          <cell r="I62">
            <v>0</v>
          </cell>
          <cell r="J62">
            <v>0</v>
          </cell>
          <cell r="K62">
            <v>0</v>
          </cell>
        </row>
        <row r="63">
          <cell r="A63" t="str">
            <v>Sponsor Parameters</v>
          </cell>
          <cell r="B63" t="str">
            <v>Customer</v>
          </cell>
          <cell r="C63" t="str">
            <v>Wholesale / Bonneville</v>
          </cell>
          <cell r="D63" t="str">
            <v>Retail Elec</v>
          </cell>
          <cell r="E63" t="str">
            <v>Nat Gas</v>
          </cell>
          <cell r="F63">
            <v>0</v>
          </cell>
          <cell r="G63">
            <v>0</v>
          </cell>
          <cell r="H63">
            <v>0</v>
          </cell>
          <cell r="I63">
            <v>0</v>
          </cell>
          <cell r="J63">
            <v>0</v>
          </cell>
          <cell r="K63">
            <v>0</v>
          </cell>
        </row>
        <row r="64">
          <cell r="A64" t="str">
            <v>Real After-Tax Cost of Capital</v>
          </cell>
          <cell r="B64">
            <v>3.9641470504999825E-2</v>
          </cell>
          <cell r="C64">
            <v>4.387844424080023E-2</v>
          </cell>
          <cell r="D64">
            <v>5.3289007766645871E-2</v>
          </cell>
          <cell r="E64">
            <v>5.447903102274565E-2</v>
          </cell>
          <cell r="F64">
            <v>0</v>
          </cell>
          <cell r="G64">
            <v>0</v>
          </cell>
          <cell r="H64">
            <v>0</v>
          </cell>
          <cell r="I64">
            <v>0</v>
          </cell>
          <cell r="J64">
            <v>0</v>
          </cell>
          <cell r="K64">
            <v>0</v>
          </cell>
        </row>
        <row r="65">
          <cell r="A65" t="str">
            <v>Financial Life (years)</v>
          </cell>
          <cell r="B65">
            <v>12</v>
          </cell>
          <cell r="C65">
            <v>12</v>
          </cell>
          <cell r="D65">
            <v>1</v>
          </cell>
          <cell r="E65">
            <v>1</v>
          </cell>
          <cell r="F65">
            <v>0</v>
          </cell>
          <cell r="G65">
            <v>0</v>
          </cell>
          <cell r="H65">
            <v>0</v>
          </cell>
          <cell r="I65">
            <v>0</v>
          </cell>
          <cell r="J65">
            <v>0</v>
          </cell>
          <cell r="K65">
            <v>0</v>
          </cell>
        </row>
        <row r="66">
          <cell r="A66" t="str">
            <v xml:space="preserve">Sponsor Share of Initial Capital Cost </v>
          </cell>
          <cell r="B66">
            <v>0.35</v>
          </cell>
          <cell r="C66">
            <v>0.19500000000000001</v>
          </cell>
          <cell r="D66">
            <v>4.8749999999999988E-2</v>
          </cell>
          <cell r="E66">
            <v>0.40625</v>
          </cell>
          <cell r="F66">
            <v>0</v>
          </cell>
          <cell r="G66">
            <v>0</v>
          </cell>
          <cell r="H66">
            <v>0</v>
          </cell>
          <cell r="I66">
            <v>0</v>
          </cell>
          <cell r="J66">
            <v>0</v>
          </cell>
          <cell r="K66">
            <v>0</v>
          </cell>
        </row>
        <row r="67">
          <cell r="A67" t="str">
            <v>Sponsor Share of Annual O&amp;M</v>
          </cell>
          <cell r="B67">
            <v>1</v>
          </cell>
          <cell r="C67">
            <v>0</v>
          </cell>
          <cell r="D67">
            <v>0</v>
          </cell>
          <cell r="E67">
            <v>0</v>
          </cell>
          <cell r="F67">
            <v>0</v>
          </cell>
          <cell r="G67">
            <v>0</v>
          </cell>
          <cell r="H67">
            <v>0</v>
          </cell>
          <cell r="I67">
            <v>0</v>
          </cell>
          <cell r="J67">
            <v>0</v>
          </cell>
          <cell r="K67">
            <v>0</v>
          </cell>
        </row>
        <row r="68">
          <cell r="A68" t="str">
            <v>Sponsor Share of Periodic Replacement Cost</v>
          </cell>
          <cell r="B68">
            <v>1</v>
          </cell>
          <cell r="C68">
            <v>0</v>
          </cell>
          <cell r="D68">
            <v>0</v>
          </cell>
          <cell r="E68">
            <v>0</v>
          </cell>
          <cell r="F68">
            <v>0</v>
          </cell>
          <cell r="G68">
            <v>0</v>
          </cell>
          <cell r="H68">
            <v>0</v>
          </cell>
          <cell r="I68">
            <v>0</v>
          </cell>
          <cell r="J68">
            <v>0</v>
          </cell>
          <cell r="K68">
            <v>0</v>
          </cell>
        </row>
        <row r="69">
          <cell r="A69" t="str">
            <v>Sponsor Share of Admin Cost</v>
          </cell>
          <cell r="B69">
            <v>0</v>
          </cell>
          <cell r="C69">
            <v>0.3</v>
          </cell>
          <cell r="D69">
            <v>7.4999999999999983E-2</v>
          </cell>
          <cell r="E69">
            <v>0.625</v>
          </cell>
          <cell r="F69">
            <v>0</v>
          </cell>
          <cell r="G69">
            <v>0</v>
          </cell>
          <cell r="H69">
            <v>0</v>
          </cell>
          <cell r="I69">
            <v>0</v>
          </cell>
          <cell r="J69">
            <v>0</v>
          </cell>
          <cell r="K69">
            <v>0</v>
          </cell>
        </row>
        <row r="70">
          <cell r="A70" t="str">
            <v>Last Year of Non-Customer O&amp;M &amp; Period Replacement</v>
          </cell>
          <cell r="B70">
            <v>0</v>
          </cell>
          <cell r="C70">
            <v>20</v>
          </cell>
          <cell r="D70">
            <v>0</v>
          </cell>
          <cell r="E70">
            <v>0</v>
          </cell>
          <cell r="F70">
            <v>0</v>
          </cell>
          <cell r="G70">
            <v>0</v>
          </cell>
          <cell r="H70">
            <v>0</v>
          </cell>
          <cell r="I70">
            <v>0</v>
          </cell>
          <cell r="J70">
            <v>0</v>
          </cell>
          <cell r="K70">
            <v>0</v>
          </cell>
        </row>
        <row r="71">
          <cell r="A71">
            <v>0</v>
          </cell>
          <cell r="B71">
            <v>0</v>
          </cell>
          <cell r="C71">
            <v>0</v>
          </cell>
          <cell r="D71">
            <v>0</v>
          </cell>
          <cell r="E71">
            <v>0</v>
          </cell>
          <cell r="F71">
            <v>0</v>
          </cell>
          <cell r="G71">
            <v>0</v>
          </cell>
          <cell r="H71">
            <v>0</v>
          </cell>
          <cell r="I71">
            <v>0</v>
          </cell>
          <cell r="J71">
            <v>0</v>
          </cell>
          <cell r="K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82">
          <cell r="G82" t="str">
            <v>'Measure_InputOutput'!A86:DA101</v>
          </cell>
        </row>
      </sheetData>
      <sheetData sheetId="3">
        <row r="2">
          <cell r="A2" t="str">
            <v>Program Tracking Data</v>
          </cell>
          <cell r="C2" t="str">
            <v>Unit Energy Savings</v>
          </cell>
          <cell r="D2" t="str">
            <v>Proven</v>
          </cell>
          <cell r="E2" t="str">
            <v>Statistical</v>
          </cell>
          <cell r="G2" t="str">
            <v>Pre-Conditions</v>
          </cell>
        </row>
        <row r="3">
          <cell r="A3" t="str">
            <v>In-Store Retail</v>
          </cell>
          <cell r="C3" t="str">
            <v>Standard Protocol</v>
          </cell>
          <cell r="D3" t="str">
            <v>Provisional</v>
          </cell>
          <cell r="E3" t="str">
            <v>Meta-Statistical</v>
          </cell>
          <cell r="G3" t="str">
            <v>Current Practice</v>
          </cell>
        </row>
        <row r="4">
          <cell r="A4" t="str">
            <v>Contractor and Project Invoices</v>
          </cell>
          <cell r="C4" t="str">
            <v>Custom</v>
          </cell>
          <cell r="D4" t="str">
            <v>Small Saver</v>
          </cell>
          <cell r="E4" t="str">
            <v>Calibrated Engineering</v>
          </cell>
          <cell r="G4" t="str">
            <v>Pre-Conditions and Current Practice</v>
          </cell>
        </row>
        <row r="5">
          <cell r="A5" t="str">
            <v>Contractor Price Sheets</v>
          </cell>
          <cell r="C5" t="str">
            <v>Program Impact Evaluation</v>
          </cell>
          <cell r="D5" t="str">
            <v>Planning</v>
          </cell>
          <cell r="E5" t="str">
            <v>All</v>
          </cell>
        </row>
        <row r="6">
          <cell r="A6" t="str">
            <v>Online Retail</v>
          </cell>
          <cell r="C6" t="str">
            <v>All</v>
          </cell>
          <cell r="D6" t="str">
            <v>All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C Summary"/>
      <sheetName val="MeasureTable"/>
      <sheetName val="ProData"/>
      <sheetName val="WAC"/>
      <sheetName val="Window AC"/>
      <sheetName val="EER vs Price - 2005"/>
      <sheetName val="EER vs Price - 2006"/>
      <sheetName val="LookupTable"/>
      <sheetName val="Levelized Cost Note"/>
      <sheetName val="Bug Lis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eld_descr"/>
      <sheetName val="contactlog"/>
      <sheetName val="measurecost"/>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B Comments"/>
      <sheetName val="Additional Measures in eTRACK"/>
      <sheetName val="Vendor Input - Costs"/>
      <sheetName val="Questions Reminders"/>
      <sheetName val="Measures"/>
      <sheetName val="Residential Lighting"/>
      <sheetName val="Ref for LightingTRM Adjustments"/>
      <sheetName val="PJM Measure Category"/>
      <sheetName val="ALL RES TABLES"/>
      <sheetName val="ALL C&amp;I TABLES"/>
      <sheetName val="Commercial Prescritive Light"/>
      <sheetName val="Aerator-Showerhead_ProPlus QHEC"/>
      <sheetName val="Appliance Recycling"/>
      <sheetName val="CI Supplemental Tables"/>
      <sheetName val="Res Tables"/>
      <sheetName val="Res Supplememental Tables"/>
      <sheetName val="Lookup tables"/>
      <sheetName val="Residential Clothes Washer"/>
      <sheetName val="Residential_ASHP"/>
      <sheetName val="Residential_CAC"/>
      <sheetName val="Room_AC_Calculations"/>
      <sheetName val="Res Mini Ductless HP"/>
      <sheetName val="Res_CondensingFurnace_IMC"/>
      <sheetName val="Screw_Based_LEDs "/>
      <sheetName val="Refrigerator_IMC"/>
      <sheetName val="Small Biz Impact Data"/>
      <sheetName val="Small Biz Data Sources"/>
      <sheetName val="Prescriptive_COM"/>
      <sheetName val="PProPlusSmart Thermostat Lookup"/>
      <sheetName val="PPro Plus_Midstream_Impact COM"/>
      <sheetName val="PProPlus Lighting Lookup"/>
      <sheetName val="PProPlus HVAC LookUps_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C1">
            <v>0.34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s_QC"/>
      <sheetName val="InputProgram"/>
      <sheetName val="InputMeasure"/>
      <sheetName val="IndirectBenefits"/>
      <sheetName val="Input Dict."/>
      <sheetName val="Output Dict."/>
      <sheetName val="CY2020 Data"/>
      <sheetName val="Comfort NEB"/>
      <sheetName val="Water"/>
      <sheetName val="Secondary Fuel"/>
      <sheetName val="Air Emissions Benefit"/>
      <sheetName val="Lookups"/>
      <sheetName val="EISA Factors_2019"/>
      <sheetName val="Program Costs"/>
      <sheetName val="End Uses"/>
      <sheetName val="2017 Lookup"/>
      <sheetName val="Impact Export"/>
      <sheetName val="Sheet1"/>
      <sheetName val="O&amp;M"/>
      <sheetName val="Q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 Forecast"/>
      <sheetName val="Marginal Account Percents"/>
      <sheetName val="Saturations"/>
      <sheetName val="Saturations2008"/>
      <sheetName val="Fuel Shares by Vintage"/>
      <sheetName val="Fuel Shares2008"/>
      <sheetName val="EULs and UECs"/>
      <sheetName val="EULs"/>
      <sheetName val="Equipment Standards"/>
      <sheetName val="UECs"/>
      <sheetName val="Efficiency Shares Sorted"/>
      <sheetName val="Efficiency Shares"/>
      <sheetName val="eShares2008"/>
      <sheetName val="Furnace and Boiler eShares"/>
      <sheetName val="WaterHeaters_binned"/>
      <sheetName val="Boilers_Binned"/>
      <sheetName val="Heating_Binned"/>
      <sheetName val="MidAm Achievements 2008-2013"/>
      <sheetName val="Res Equipment 2009"/>
      <sheetName val="Res Equipmen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Lookup</v>
          </cell>
          <cell r="B1" t="str">
            <v>2010 End Use</v>
          </cell>
          <cell r="C1" t="str">
            <v>bName</v>
          </cell>
          <cell r="D1" t="str">
            <v>nName</v>
          </cell>
          <cell r="E1">
            <v>1</v>
          </cell>
          <cell r="F1">
            <v>2</v>
          </cell>
          <cell r="G1">
            <v>3</v>
          </cell>
          <cell r="H1">
            <v>4</v>
          </cell>
          <cell r="I1">
            <v>5</v>
          </cell>
        </row>
        <row r="2">
          <cell r="A2" t="str">
            <v>Single_FamilyHeat Central Furnace</v>
          </cell>
          <cell r="B2" t="str">
            <v>Heat Central Furnace</v>
          </cell>
          <cell r="C2" t="str">
            <v>Single_Family</v>
          </cell>
          <cell r="D2" t="str">
            <v>Central_Heat_Furnace</v>
          </cell>
          <cell r="E2">
            <v>0.26779330801990359</v>
          </cell>
          <cell r="F2">
            <v>0.28771254479279024</v>
          </cell>
          <cell r="G2">
            <v>0.26669648831238368</v>
          </cell>
          <cell r="H2">
            <v>0.13334824415619184</v>
          </cell>
          <cell r="I2">
            <v>4.4449414718730616E-2</v>
          </cell>
        </row>
        <row r="3">
          <cell r="A3" t="str">
            <v>Single_FamilyHeat Central Boiler</v>
          </cell>
          <cell r="B3" t="str">
            <v>Heat Central Boiler</v>
          </cell>
          <cell r="C3" t="str">
            <v>Single_Family</v>
          </cell>
          <cell r="D3" t="str">
            <v>Central_Heat_Boiler</v>
          </cell>
          <cell r="E3">
            <v>0.26779330801990359</v>
          </cell>
          <cell r="F3">
            <v>0.28771254479279024</v>
          </cell>
          <cell r="G3">
            <v>0.26669648831238368</v>
          </cell>
          <cell r="H3">
            <v>0.13334824415619184</v>
          </cell>
          <cell r="I3">
            <v>4.4449414718730616E-2</v>
          </cell>
        </row>
        <row r="4">
          <cell r="A4" t="str">
            <v>Single_FamilyWater Heat</v>
          </cell>
          <cell r="B4" t="str">
            <v>Water Heat</v>
          </cell>
          <cell r="C4" t="str">
            <v>Single_Family</v>
          </cell>
          <cell r="D4" t="str">
            <v>Water_Heat</v>
          </cell>
          <cell r="E4">
            <v>0.3</v>
          </cell>
          <cell r="F4">
            <v>0.5</v>
          </cell>
          <cell r="G4">
            <v>0.15</v>
          </cell>
          <cell r="H4">
            <v>0.05</v>
          </cell>
          <cell r="I4">
            <v>0</v>
          </cell>
        </row>
        <row r="5">
          <cell r="A5" t="str">
            <v>Single_FamilyCooking Oven</v>
          </cell>
          <cell r="B5" t="str">
            <v>Cooking Oven</v>
          </cell>
          <cell r="C5" t="str">
            <v>Single_Family</v>
          </cell>
          <cell r="D5" t="str">
            <v>Cooking_Oven</v>
          </cell>
          <cell r="E5">
            <v>1</v>
          </cell>
          <cell r="F5">
            <v>0</v>
          </cell>
          <cell r="G5">
            <v>0</v>
          </cell>
          <cell r="H5">
            <v>0</v>
          </cell>
          <cell r="I5">
            <v>0</v>
          </cell>
        </row>
        <row r="6">
          <cell r="A6" t="str">
            <v>Single_FamilyCooking Range</v>
          </cell>
          <cell r="B6" t="str">
            <v>Cooking Range</v>
          </cell>
          <cell r="C6" t="str">
            <v>Single_Family</v>
          </cell>
          <cell r="D6" t="str">
            <v>Cooking_Range</v>
          </cell>
          <cell r="E6">
            <v>1</v>
          </cell>
          <cell r="F6">
            <v>0</v>
          </cell>
          <cell r="G6">
            <v>0</v>
          </cell>
          <cell r="H6">
            <v>0</v>
          </cell>
          <cell r="I6">
            <v>0</v>
          </cell>
        </row>
        <row r="7">
          <cell r="A7" t="str">
            <v>Single_FamilyDryer</v>
          </cell>
          <cell r="B7" t="str">
            <v>Dryer</v>
          </cell>
          <cell r="C7" t="str">
            <v>Single_Family</v>
          </cell>
          <cell r="D7" t="str">
            <v>Dryer</v>
          </cell>
          <cell r="E7">
            <v>0.1</v>
          </cell>
          <cell r="F7">
            <v>0.4</v>
          </cell>
          <cell r="G7">
            <v>0.5</v>
          </cell>
          <cell r="H7">
            <v>0</v>
          </cell>
          <cell r="I7">
            <v>0</v>
          </cell>
        </row>
        <row r="8">
          <cell r="A8" t="str">
            <v>Single_FamilyPool Heat</v>
          </cell>
          <cell r="B8" t="str">
            <v>Pool Heat</v>
          </cell>
          <cell r="C8" t="str">
            <v>Single_Family</v>
          </cell>
          <cell r="D8" t="str">
            <v>Pool_Heat</v>
          </cell>
          <cell r="E8">
            <v>1</v>
          </cell>
          <cell r="F8">
            <v>0</v>
          </cell>
          <cell r="G8">
            <v>0</v>
          </cell>
          <cell r="H8">
            <v>0</v>
          </cell>
          <cell r="I8">
            <v>0</v>
          </cell>
        </row>
        <row r="9">
          <cell r="A9" t="str">
            <v>Single_FamilyOther</v>
          </cell>
          <cell r="B9" t="str">
            <v>Other</v>
          </cell>
          <cell r="C9" t="str">
            <v>Single_Family</v>
          </cell>
          <cell r="D9" t="str">
            <v>Other</v>
          </cell>
          <cell r="E9">
            <v>1</v>
          </cell>
          <cell r="F9">
            <v>0</v>
          </cell>
          <cell r="G9">
            <v>0</v>
          </cell>
          <cell r="H9">
            <v>0</v>
          </cell>
          <cell r="I9">
            <v>0</v>
          </cell>
        </row>
        <row r="10">
          <cell r="A10" t="str">
            <v>Multi_FamilyHeat Central Furnace</v>
          </cell>
          <cell r="B10" t="str">
            <v>Heat Central Furnace</v>
          </cell>
          <cell r="C10" t="str">
            <v>Multi_Family</v>
          </cell>
          <cell r="D10" t="str">
            <v>Central_Heat_Furnace</v>
          </cell>
          <cell r="E10">
            <v>0.26779330801990359</v>
          </cell>
          <cell r="F10">
            <v>0.28771254479279024</v>
          </cell>
          <cell r="G10">
            <v>0.26669648831238368</v>
          </cell>
          <cell r="H10">
            <v>0.13334824415619184</v>
          </cell>
          <cell r="I10">
            <v>4.4449414718730616E-2</v>
          </cell>
        </row>
        <row r="11">
          <cell r="A11" t="str">
            <v>Multi_FamilyHeat Central Boiler</v>
          </cell>
          <cell r="B11" t="str">
            <v>Heat Central Boiler</v>
          </cell>
          <cell r="C11" t="str">
            <v>Multi_Family</v>
          </cell>
          <cell r="D11" t="str">
            <v>Central_Heat_Boiler</v>
          </cell>
          <cell r="E11">
            <v>0.26779330801990359</v>
          </cell>
          <cell r="F11">
            <v>0.28771254479279024</v>
          </cell>
          <cell r="G11">
            <v>0.26669648831238368</v>
          </cell>
          <cell r="H11">
            <v>0.13334824415619184</v>
          </cell>
          <cell r="I11">
            <v>4.4449414718730616E-2</v>
          </cell>
        </row>
        <row r="12">
          <cell r="A12" t="str">
            <v>Multi_FamilyWater Heat</v>
          </cell>
          <cell r="B12" t="str">
            <v>Water Heat</v>
          </cell>
          <cell r="C12" t="str">
            <v>Multi_Family</v>
          </cell>
          <cell r="D12" t="str">
            <v>Water_Heat</v>
          </cell>
          <cell r="E12">
            <v>0.3</v>
          </cell>
          <cell r="F12">
            <v>0.5</v>
          </cell>
          <cell r="G12">
            <v>0.15</v>
          </cell>
          <cell r="H12">
            <v>0.05</v>
          </cell>
          <cell r="I12">
            <v>0</v>
          </cell>
        </row>
        <row r="13">
          <cell r="A13" t="str">
            <v>Multi_FamilyCooking Oven</v>
          </cell>
          <cell r="B13" t="str">
            <v>Cooking Oven</v>
          </cell>
          <cell r="C13" t="str">
            <v>Multi_Family</v>
          </cell>
          <cell r="D13" t="str">
            <v>Cooking_Oven</v>
          </cell>
          <cell r="E13">
            <v>1</v>
          </cell>
          <cell r="F13">
            <v>0</v>
          </cell>
          <cell r="G13">
            <v>0</v>
          </cell>
          <cell r="H13">
            <v>0</v>
          </cell>
          <cell r="I13">
            <v>0</v>
          </cell>
        </row>
        <row r="14">
          <cell r="A14" t="str">
            <v>Multi_FamilyCooking Range</v>
          </cell>
          <cell r="B14" t="str">
            <v>Cooking Range</v>
          </cell>
          <cell r="C14" t="str">
            <v>Multi_Family</v>
          </cell>
          <cell r="D14" t="str">
            <v>Cooking_Range</v>
          </cell>
          <cell r="E14">
            <v>1</v>
          </cell>
          <cell r="F14">
            <v>0</v>
          </cell>
          <cell r="G14">
            <v>0</v>
          </cell>
          <cell r="H14">
            <v>0</v>
          </cell>
          <cell r="I14">
            <v>0</v>
          </cell>
        </row>
        <row r="15">
          <cell r="A15" t="str">
            <v>Multi_FamilyDryer</v>
          </cell>
          <cell r="B15" t="str">
            <v>Dryer</v>
          </cell>
          <cell r="C15" t="str">
            <v>Multi_Family</v>
          </cell>
          <cell r="D15" t="str">
            <v>Dryer</v>
          </cell>
          <cell r="E15">
            <v>0.1</v>
          </cell>
          <cell r="F15">
            <v>0.4</v>
          </cell>
          <cell r="G15">
            <v>0.5</v>
          </cell>
          <cell r="H15">
            <v>0</v>
          </cell>
          <cell r="I15">
            <v>0</v>
          </cell>
        </row>
        <row r="16">
          <cell r="A16" t="str">
            <v>Multi_FamilyPool Heat</v>
          </cell>
          <cell r="B16" t="str">
            <v>Pool Heat</v>
          </cell>
          <cell r="C16" t="str">
            <v>Multi_Family</v>
          </cell>
          <cell r="D16" t="str">
            <v>Pool_Heat</v>
          </cell>
          <cell r="E16">
            <v>1</v>
          </cell>
          <cell r="F16">
            <v>0</v>
          </cell>
          <cell r="G16">
            <v>0</v>
          </cell>
          <cell r="H16">
            <v>0</v>
          </cell>
          <cell r="I16">
            <v>0</v>
          </cell>
        </row>
        <row r="17">
          <cell r="A17" t="str">
            <v>Multi_FamilyOther</v>
          </cell>
          <cell r="B17" t="str">
            <v>Other</v>
          </cell>
          <cell r="C17" t="str">
            <v>Multi_Family</v>
          </cell>
          <cell r="D17" t="str">
            <v>Other</v>
          </cell>
          <cell r="E17">
            <v>1</v>
          </cell>
          <cell r="F17">
            <v>0</v>
          </cell>
          <cell r="G17">
            <v>0</v>
          </cell>
          <cell r="H17">
            <v>0</v>
          </cell>
          <cell r="I17">
            <v>0</v>
          </cell>
        </row>
        <row r="18">
          <cell r="A18" t="str">
            <v>ManufacturedHeat Central Furnace</v>
          </cell>
          <cell r="B18" t="str">
            <v>Heat Central Furnace</v>
          </cell>
          <cell r="C18" t="str">
            <v>Manufactured</v>
          </cell>
          <cell r="D18" t="str">
            <v>Central_Heat_Furnace</v>
          </cell>
          <cell r="E18">
            <v>0.26779330801990359</v>
          </cell>
          <cell r="F18">
            <v>0.28771254479279024</v>
          </cell>
          <cell r="G18">
            <v>0.26669648831238368</v>
          </cell>
          <cell r="H18">
            <v>0.13334824415619184</v>
          </cell>
          <cell r="I18">
            <v>4.4449414718730616E-2</v>
          </cell>
        </row>
        <row r="19">
          <cell r="A19" t="str">
            <v>ManufacturedHeat Central Boiler</v>
          </cell>
          <cell r="B19" t="str">
            <v>Heat Central Boiler</v>
          </cell>
          <cell r="C19" t="str">
            <v>Manufactured</v>
          </cell>
          <cell r="D19" t="str">
            <v>Central_Heat_Boiler</v>
          </cell>
          <cell r="E19">
            <v>0.26779330801990359</v>
          </cell>
          <cell r="F19">
            <v>0.28771254479279024</v>
          </cell>
          <cell r="G19">
            <v>0.26669648831238368</v>
          </cell>
          <cell r="H19">
            <v>0.13334824415619184</v>
          </cell>
          <cell r="I19">
            <v>4.4449414718730616E-2</v>
          </cell>
        </row>
        <row r="20">
          <cell r="A20" t="str">
            <v>ManufacturedWater Heat</v>
          </cell>
          <cell r="B20" t="str">
            <v>Water Heat</v>
          </cell>
          <cell r="C20" t="str">
            <v>Manufactured</v>
          </cell>
          <cell r="D20" t="str">
            <v>Water_Heat</v>
          </cell>
          <cell r="E20">
            <v>0.3</v>
          </cell>
          <cell r="F20">
            <v>0.5</v>
          </cell>
          <cell r="G20">
            <v>0.15</v>
          </cell>
          <cell r="H20">
            <v>0.05</v>
          </cell>
          <cell r="I20">
            <v>0</v>
          </cell>
        </row>
        <row r="21">
          <cell r="A21" t="str">
            <v>ManufacturedCooking Oven</v>
          </cell>
          <cell r="B21" t="str">
            <v>Cooking Oven</v>
          </cell>
          <cell r="C21" t="str">
            <v>Manufactured</v>
          </cell>
          <cell r="D21" t="str">
            <v>Cooking_Oven</v>
          </cell>
          <cell r="E21">
            <v>1</v>
          </cell>
          <cell r="F21">
            <v>0</v>
          </cell>
          <cell r="G21">
            <v>0</v>
          </cell>
          <cell r="H21">
            <v>0</v>
          </cell>
          <cell r="I21">
            <v>0</v>
          </cell>
        </row>
        <row r="22">
          <cell r="A22" t="str">
            <v>ManufacturedCooking Range</v>
          </cell>
          <cell r="B22" t="str">
            <v>Cooking Range</v>
          </cell>
          <cell r="C22" t="str">
            <v>Manufactured</v>
          </cell>
          <cell r="D22" t="str">
            <v>Cooking_Range</v>
          </cell>
          <cell r="E22">
            <v>1</v>
          </cell>
          <cell r="F22">
            <v>0</v>
          </cell>
          <cell r="G22">
            <v>0</v>
          </cell>
          <cell r="H22">
            <v>0</v>
          </cell>
          <cell r="I22">
            <v>0</v>
          </cell>
        </row>
        <row r="23">
          <cell r="A23" t="str">
            <v>ManufacturedDryer</v>
          </cell>
          <cell r="B23" t="str">
            <v>Dryer</v>
          </cell>
          <cell r="C23" t="str">
            <v>Manufactured</v>
          </cell>
          <cell r="D23" t="str">
            <v>Dryer</v>
          </cell>
          <cell r="E23">
            <v>0.1</v>
          </cell>
          <cell r="F23">
            <v>0.4</v>
          </cell>
          <cell r="G23">
            <v>0.5</v>
          </cell>
          <cell r="H23">
            <v>0</v>
          </cell>
          <cell r="I23">
            <v>0</v>
          </cell>
        </row>
        <row r="24">
          <cell r="A24" t="str">
            <v>ManufacturedPool Heat</v>
          </cell>
          <cell r="B24" t="str">
            <v>Pool Heat</v>
          </cell>
          <cell r="C24" t="str">
            <v>Manufactured</v>
          </cell>
          <cell r="D24" t="str">
            <v>Pool_Heat</v>
          </cell>
          <cell r="E24">
            <v>1</v>
          </cell>
          <cell r="F24">
            <v>0</v>
          </cell>
          <cell r="G24">
            <v>0</v>
          </cell>
          <cell r="H24">
            <v>0</v>
          </cell>
          <cell r="I24">
            <v>0</v>
          </cell>
        </row>
        <row r="25">
          <cell r="A25" t="str">
            <v>ManufacturedOther</v>
          </cell>
          <cell r="B25" t="str">
            <v>Other</v>
          </cell>
          <cell r="C25" t="str">
            <v>Manufactured</v>
          </cell>
          <cell r="D25" t="str">
            <v>Other</v>
          </cell>
          <cell r="E25">
            <v>1</v>
          </cell>
          <cell r="F25">
            <v>0</v>
          </cell>
          <cell r="G25">
            <v>0</v>
          </cell>
          <cell r="H25">
            <v>0</v>
          </cell>
          <cell r="I25">
            <v>0</v>
          </cell>
        </row>
        <row r="26">
          <cell r="A26" t="str">
            <v>Low_Income_SFHeat Central Furnace</v>
          </cell>
          <cell r="B26" t="str">
            <v>Heat Central Furnace</v>
          </cell>
          <cell r="C26" t="str">
            <v>Low_Income_SF</v>
          </cell>
          <cell r="D26" t="str">
            <v>Central_Heat_Furnace</v>
          </cell>
          <cell r="E26">
            <v>0.45526800000000001</v>
          </cell>
          <cell r="F26">
            <v>0.30218699999999998</v>
          </cell>
          <cell r="G26">
            <v>6.4612000000000003E-2</v>
          </cell>
          <cell r="H26">
            <v>0.13419499999999998</v>
          </cell>
          <cell r="I26">
            <v>4.3737999999999999E-2</v>
          </cell>
        </row>
        <row r="27">
          <cell r="A27" t="str">
            <v>Low_Income_SFHeat Central Boiler</v>
          </cell>
          <cell r="B27" t="str">
            <v>Heat Central Boiler</v>
          </cell>
          <cell r="C27" t="str">
            <v>Low_Income_SF</v>
          </cell>
          <cell r="D27" t="str">
            <v>Central_Heat_Boiler</v>
          </cell>
          <cell r="E27">
            <v>0.45526800000000001</v>
          </cell>
          <cell r="F27">
            <v>0.30218699999999998</v>
          </cell>
          <cell r="G27">
            <v>6.4612000000000003E-2</v>
          </cell>
          <cell r="H27">
            <v>0.13419499999999998</v>
          </cell>
          <cell r="I27">
            <v>4.3737999999999999E-2</v>
          </cell>
        </row>
        <row r="28">
          <cell r="A28" t="str">
            <v>Low_Income_SFWater Heat</v>
          </cell>
          <cell r="B28" t="str">
            <v>Water Heat</v>
          </cell>
          <cell r="C28" t="str">
            <v>Low_Income_SF</v>
          </cell>
          <cell r="D28" t="str">
            <v>Water_Heat</v>
          </cell>
          <cell r="E28">
            <v>0.76</v>
          </cell>
          <cell r="F28">
            <v>0.14000000000000001</v>
          </cell>
          <cell r="G28">
            <v>0.09</v>
          </cell>
          <cell r="H28">
            <v>8.9999999999999993E-3</v>
          </cell>
          <cell r="I28">
            <v>1E-3</v>
          </cell>
        </row>
        <row r="29">
          <cell r="A29" t="str">
            <v>Low_Income_SFCooking Oven</v>
          </cell>
          <cell r="B29" t="str">
            <v>Cooking Oven</v>
          </cell>
          <cell r="C29" t="str">
            <v>Low_Income_SF</v>
          </cell>
          <cell r="D29" t="str">
            <v>Cooking_Oven</v>
          </cell>
          <cell r="E29">
            <v>1</v>
          </cell>
          <cell r="F29">
            <v>0</v>
          </cell>
          <cell r="G29">
            <v>0</v>
          </cell>
          <cell r="H29">
            <v>0</v>
          </cell>
          <cell r="I29">
            <v>0</v>
          </cell>
        </row>
        <row r="30">
          <cell r="A30" t="str">
            <v>Low_Income_SFCooking Range</v>
          </cell>
          <cell r="B30" t="str">
            <v>Cooking Range</v>
          </cell>
          <cell r="C30" t="str">
            <v>Low_Income_SF</v>
          </cell>
          <cell r="D30" t="str">
            <v>Cooking_Range</v>
          </cell>
          <cell r="E30">
            <v>1</v>
          </cell>
          <cell r="F30">
            <v>0</v>
          </cell>
          <cell r="G30">
            <v>0</v>
          </cell>
          <cell r="H30">
            <v>0</v>
          </cell>
          <cell r="I30">
            <v>0</v>
          </cell>
        </row>
        <row r="31">
          <cell r="A31" t="str">
            <v>Low_Income_SFDryer</v>
          </cell>
          <cell r="B31" t="str">
            <v>Dryer</v>
          </cell>
          <cell r="C31" t="str">
            <v>Low_Income_SF</v>
          </cell>
          <cell r="D31" t="str">
            <v>Dryer</v>
          </cell>
          <cell r="E31">
            <v>0.1</v>
          </cell>
          <cell r="F31">
            <v>0.4</v>
          </cell>
          <cell r="G31">
            <v>0.5</v>
          </cell>
          <cell r="H31">
            <v>0</v>
          </cell>
          <cell r="I31">
            <v>0</v>
          </cell>
        </row>
        <row r="32">
          <cell r="A32" t="str">
            <v>Low_Income_SFPool Heat</v>
          </cell>
          <cell r="B32" t="str">
            <v>Pool Heat</v>
          </cell>
          <cell r="C32" t="str">
            <v>Low_Income_SF</v>
          </cell>
          <cell r="D32" t="str">
            <v>Pool_Heat</v>
          </cell>
          <cell r="E32">
            <v>1</v>
          </cell>
          <cell r="F32">
            <v>0</v>
          </cell>
          <cell r="G32">
            <v>0</v>
          </cell>
          <cell r="H32">
            <v>0</v>
          </cell>
          <cell r="I32">
            <v>0</v>
          </cell>
        </row>
        <row r="33">
          <cell r="A33" t="str">
            <v>Low_Income_SFOther</v>
          </cell>
          <cell r="B33" t="str">
            <v>Other</v>
          </cell>
          <cell r="C33" t="str">
            <v>Low_Income_SF</v>
          </cell>
          <cell r="D33" t="str">
            <v>Other</v>
          </cell>
          <cell r="E33">
            <v>1</v>
          </cell>
          <cell r="F33">
            <v>0</v>
          </cell>
          <cell r="G33">
            <v>0</v>
          </cell>
          <cell r="H33">
            <v>0</v>
          </cell>
          <cell r="I33">
            <v>0</v>
          </cell>
        </row>
        <row r="34">
          <cell r="A34" t="str">
            <v>Low_Income_MFHeat Central Furnace</v>
          </cell>
          <cell r="B34" t="str">
            <v>Heat Central Furnace</v>
          </cell>
          <cell r="C34" t="str">
            <v>Low_Income_MF</v>
          </cell>
          <cell r="D34" t="str">
            <v>Central_Heat_Furnace</v>
          </cell>
          <cell r="E34">
            <v>0.45526800000000001</v>
          </cell>
          <cell r="F34">
            <v>0.30218699999999998</v>
          </cell>
          <cell r="G34">
            <v>6.4612000000000003E-2</v>
          </cell>
          <cell r="H34">
            <v>0.13419499999999998</v>
          </cell>
          <cell r="I34">
            <v>4.3737999999999999E-2</v>
          </cell>
        </row>
        <row r="35">
          <cell r="A35" t="str">
            <v>Low_Income_MFHeat Central Boiler</v>
          </cell>
          <cell r="B35" t="str">
            <v>Heat Central Boiler</v>
          </cell>
          <cell r="C35" t="str">
            <v>Low_Income_MF</v>
          </cell>
          <cell r="D35" t="str">
            <v>Central_Heat_Boiler</v>
          </cell>
          <cell r="E35">
            <v>0.45526800000000001</v>
          </cell>
          <cell r="F35">
            <v>0.30218699999999998</v>
          </cell>
          <cell r="G35">
            <v>6.4612000000000003E-2</v>
          </cell>
          <cell r="H35">
            <v>0.13419499999999998</v>
          </cell>
          <cell r="I35">
            <v>4.3737999999999999E-2</v>
          </cell>
        </row>
        <row r="36">
          <cell r="A36" t="str">
            <v>Low_Income_MFWater Heat</v>
          </cell>
          <cell r="B36" t="str">
            <v>Water Heat</v>
          </cell>
          <cell r="C36" t="str">
            <v>Low_Income_MF</v>
          </cell>
          <cell r="D36" t="str">
            <v>Water_Heat</v>
          </cell>
          <cell r="E36">
            <v>0.76</v>
          </cell>
          <cell r="F36">
            <v>0.14000000000000001</v>
          </cell>
          <cell r="G36">
            <v>0.09</v>
          </cell>
          <cell r="H36">
            <v>8.9999999999999993E-3</v>
          </cell>
          <cell r="I36">
            <v>1E-3</v>
          </cell>
        </row>
        <row r="37">
          <cell r="A37" t="str">
            <v>Low_Income_MFCooking Oven</v>
          </cell>
          <cell r="B37" t="str">
            <v>Cooking Oven</v>
          </cell>
          <cell r="C37" t="str">
            <v>Low_Income_MF</v>
          </cell>
          <cell r="D37" t="str">
            <v>Cooking_Oven</v>
          </cell>
          <cell r="E37">
            <v>1</v>
          </cell>
          <cell r="F37">
            <v>0</v>
          </cell>
          <cell r="G37">
            <v>0</v>
          </cell>
          <cell r="H37">
            <v>0</v>
          </cell>
          <cell r="I37">
            <v>0</v>
          </cell>
        </row>
        <row r="38">
          <cell r="A38" t="str">
            <v>Low_Income_MFCooking Range</v>
          </cell>
          <cell r="B38" t="str">
            <v>Cooking Range</v>
          </cell>
          <cell r="C38" t="str">
            <v>Low_Income_MF</v>
          </cell>
          <cell r="D38" t="str">
            <v>Cooking_Range</v>
          </cell>
          <cell r="E38">
            <v>1</v>
          </cell>
          <cell r="F38">
            <v>0</v>
          </cell>
          <cell r="G38">
            <v>0</v>
          </cell>
          <cell r="H38">
            <v>0</v>
          </cell>
          <cell r="I38">
            <v>0</v>
          </cell>
        </row>
        <row r="39">
          <cell r="A39" t="str">
            <v>Low_Income_MFDryer</v>
          </cell>
          <cell r="B39" t="str">
            <v>Dryer</v>
          </cell>
          <cell r="C39" t="str">
            <v>Low_Income_MF</v>
          </cell>
          <cell r="D39" t="str">
            <v>Dryer</v>
          </cell>
          <cell r="E39">
            <v>0.1</v>
          </cell>
          <cell r="F39">
            <v>0.4</v>
          </cell>
          <cell r="G39">
            <v>0.5</v>
          </cell>
          <cell r="H39">
            <v>0</v>
          </cell>
          <cell r="I39">
            <v>0</v>
          </cell>
        </row>
        <row r="40">
          <cell r="A40" t="str">
            <v>Low_Income_MFPool Heat</v>
          </cell>
          <cell r="B40" t="str">
            <v>Pool Heat</v>
          </cell>
          <cell r="C40" t="str">
            <v>Low_Income_MF</v>
          </cell>
          <cell r="D40" t="str">
            <v>Pool_Heat</v>
          </cell>
          <cell r="E40">
            <v>1</v>
          </cell>
          <cell r="F40">
            <v>0</v>
          </cell>
          <cell r="G40">
            <v>0</v>
          </cell>
          <cell r="H40">
            <v>0</v>
          </cell>
          <cell r="I40">
            <v>0</v>
          </cell>
        </row>
        <row r="41">
          <cell r="A41" t="str">
            <v>Low_Income_MFOther</v>
          </cell>
          <cell r="B41" t="str">
            <v>Other</v>
          </cell>
          <cell r="C41" t="str">
            <v>Low_Income_MF</v>
          </cell>
          <cell r="D41" t="str">
            <v>Other</v>
          </cell>
          <cell r="E41">
            <v>1</v>
          </cell>
          <cell r="F41">
            <v>0</v>
          </cell>
          <cell r="G41">
            <v>0</v>
          </cell>
          <cell r="H41">
            <v>0</v>
          </cell>
          <cell r="I41">
            <v>0</v>
          </cell>
        </row>
        <row r="42">
          <cell r="A42" t="str">
            <v>_END_ROW_</v>
          </cell>
          <cell r="B42"/>
          <cell r="C42" t="str">
            <v>_END_ROW_</v>
          </cell>
          <cell r="E42">
            <v>0</v>
          </cell>
          <cell r="F42">
            <v>0</v>
          </cell>
          <cell r="G42">
            <v>0</v>
          </cell>
          <cell r="H42">
            <v>0</v>
          </cell>
          <cell r="I42">
            <v>0</v>
          </cell>
        </row>
      </sheetData>
      <sheetData sheetId="13"/>
      <sheetData sheetId="14"/>
      <sheetData sheetId="15"/>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person displayName="Andy Eiden" id="{62BD0DFE-C43C-48DA-B2AC-E58A9E894C45}" userId="S::AEiden@currentenergy.group::0f6efb28-f9e5-40a1-9d96-32a21a2ba8b4" providerId="AD"/>
</personList>
</file>

<file path=xl/theme/theme1.xml><?xml version="1.0" encoding="utf-8"?>
<a:theme xmlns:a="http://schemas.openxmlformats.org/drawingml/2006/main" name="CADMUS">
  <a:themeElements>
    <a:clrScheme name="Cadmus Brand New">
      <a:dk1>
        <a:srgbClr val="000000"/>
      </a:dk1>
      <a:lt1>
        <a:sysClr val="window" lastClr="FFFFFF"/>
      </a:lt1>
      <a:dk2>
        <a:srgbClr val="5F636A"/>
      </a:dk2>
      <a:lt2>
        <a:srgbClr val="FFFFFF"/>
      </a:lt2>
      <a:accent1>
        <a:srgbClr val="0054A5"/>
      </a:accent1>
      <a:accent2>
        <a:srgbClr val="679A41"/>
      </a:accent2>
      <a:accent3>
        <a:srgbClr val="FFF35F"/>
      </a:accent3>
      <a:accent4>
        <a:srgbClr val="797E82"/>
      </a:accent4>
      <a:accent5>
        <a:srgbClr val="00B4EF"/>
      </a:accent5>
      <a:accent6>
        <a:srgbClr val="29285E"/>
      </a:accent6>
      <a:hlink>
        <a:srgbClr val="508FCC"/>
      </a:hlink>
      <a:folHlink>
        <a:srgbClr val="B2B4B5"/>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U153" dT="2025-06-09T19:50:53.41" personId="{62BD0DFE-C43C-48DA-B2AC-E58A9E894C45}" id="{27AE8D66-0E56-480F-9D59-D48E816C4729}">
    <text>Why does online marketplace have no kW?</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cee1.my.site.com/s/resources?id=a0V2R00000sUQby"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thefurnaceoutlet.com/blogs/hvac-tips/seer2-eer2-and-hspf2-2023-hvac-efficiency-standards" TargetMode="External"/><Relationship Id="rId2" Type="http://schemas.openxmlformats.org/officeDocument/2006/relationships/hyperlink" Target="https://www.build.com/product/summary/971573?uid=2408083&amp;jmtest=gg-gbav2_2408083&amp;inv2=1&amp;&amp;source=gg-gba-pla_2408083!c1707632144!a68158363098!dc!ng&amp;gclid=EAIaIQobChMIzfn6k5vs8wIVv21vBB2njAafEAQYASABEgLRWfD_BwE&amp;gclsrc=aw.ds" TargetMode="External"/><Relationship Id="rId1" Type="http://schemas.openxmlformats.org/officeDocument/2006/relationships/hyperlink" Target="https://www.build.com/product/summary/971573?uid=2408083&amp;jmtest=gg-gbav2_2408083&amp;inv2=1&amp;&amp;source=gg-gba-pla_2408083!c1707632144!a68158363098!dc!ng&amp;gclid=EAIaIQobChMIzfn6k5vs8wIVv21vBB2njAafEAQYASABEgLRWfD_BwE&amp;gclsrc=aw.ds" TargetMode="External"/><Relationship Id="rId5" Type="http://schemas.openxmlformats.org/officeDocument/2006/relationships/drawing" Target="../drawings/drawing5.xml"/><Relationship Id="rId4"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grainger.com/product/10N182?gucid=N:N:FPL:Free:MS:CSM-1946:tew63h4:20501231" TargetMode="External"/><Relationship Id="rId2" Type="http://schemas.openxmlformats.org/officeDocument/2006/relationships/hyperlink" Target="https://www.conservationmart.com/p-8231-bits-05-gpm-faucet-aerator-needle-spray-ban050.aspx" TargetMode="External"/><Relationship Id="rId1" Type="http://schemas.openxmlformats.org/officeDocument/2006/relationships/hyperlink" Target="http://www.supplyhouse.com/Wal-rich-4309500-Lo-Flo-Chrome-Plated-Male-x-Female-Faucet-Aerator-5-GPM-Lead-Free" TargetMode="External"/><Relationship Id="rId5" Type="http://schemas.openxmlformats.org/officeDocument/2006/relationships/drawing" Target="../drawings/drawing6.xm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hyperlink" Target="https://neep.org/sites/default/files/resources/Mid_Atlantic_TRM_V9_Final_clean_wUpdateSummary%20-%20CT%20FORMAT.pdf"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cadmus.sharepoint.com/:b:/r/sites/CP6923/Shared%20Documents/2021%20EE%20Plan%20Update/Data/EMV/LGE%20KU_Commercial%20Rebates%20Report_Final_13Dec2019%20V3.pdf?csf=1&amp;web=1" TargetMode="External"/><Relationship Id="rId18" Type="http://schemas.openxmlformats.org/officeDocument/2006/relationships/hyperlink" Target="https://cadmus.sharepoint.com/:b:/r/sites/CP6923/Shared%20Documents/2021%20EE%20Plan%20Update/Data/EMV/LGE%20KU_Commercial%20Rebates%20Report_Final_13Dec2019%20V3.pdf?csf=1&amp;web=1" TargetMode="External"/><Relationship Id="rId26" Type="http://schemas.openxmlformats.org/officeDocument/2006/relationships/hyperlink" Target="https://ilsag.s3.amazonaws.com/IL-TRM_Effective_010122_v10.0_Vol_2_C_and_I_09242021.pdf" TargetMode="External"/><Relationship Id="rId39" Type="http://schemas.openxmlformats.org/officeDocument/2006/relationships/printerSettings" Target="../printerSettings/printerSettings11.bin"/><Relationship Id="rId21" Type="http://schemas.openxmlformats.org/officeDocument/2006/relationships/hyperlink" Target="https://cadmus.sharepoint.com/:b:/r/sites/CP6923/Shared%20Documents/2021%20EE%20Plan%20Update/Data/EMV/LGE%20KU_Commercial%20Rebates%20Report_Final_13Dec2019%20V3.pdf?csf=1&amp;web=1" TargetMode="External"/><Relationship Id="rId34" Type="http://schemas.openxmlformats.org/officeDocument/2006/relationships/hyperlink" Target="https://neep.org/sites/default/files/resources/Mid_Atlantic_TRM_V9_Final_clean_wUpdateSummary%20-%20CT%20FORMAT.pdf" TargetMode="External"/><Relationship Id="rId42" Type="http://schemas.openxmlformats.org/officeDocument/2006/relationships/comments" Target="../comments4.xml"/><Relationship Id="rId7" Type="http://schemas.openxmlformats.org/officeDocument/2006/relationships/hyperlink" Target="https://neep.org/sites/default/files/resources/Mid_Atlantic_TRM_V9_Final_clean_wUpdateSummary%20-%20CT%20FORMAT.pdf" TargetMode="External"/><Relationship Id="rId2" Type="http://schemas.openxmlformats.org/officeDocument/2006/relationships/hyperlink" Target="https://neep.org/sites/default/files/resources/Mid_Atlantic_TRM_V9_Final_clean_wUpdateSummary%20-%20CT%20FORMAT.pdf" TargetMode="External"/><Relationship Id="rId16" Type="http://schemas.openxmlformats.org/officeDocument/2006/relationships/hyperlink" Target="https://cadmus.sharepoint.com/:b:/r/sites/CP6923/Shared%20Documents/2021%20EE%20Plan%20Update/Data/EMV/LGE%20KU_Commercial%20Rebates%20Report_Final_13Dec2019%20V3.pdf?csf=1&amp;web=1" TargetMode="External"/><Relationship Id="rId20" Type="http://schemas.openxmlformats.org/officeDocument/2006/relationships/hyperlink" Target="https://cadmus.sharepoint.com/:b:/r/sites/CP6923/Shared%20Documents/2021%20EE%20Plan%20Update/Data/EMV/LGE%20KU_Commercial%20Rebates%20Report_Final_13Dec2019%20V3.pdf?csf=1&amp;web=1" TargetMode="External"/><Relationship Id="rId29" Type="http://schemas.openxmlformats.org/officeDocument/2006/relationships/hyperlink" Target="https://ilsag.s3.amazonaws.com/IL-TRM_Effective_010122_v10.0_Vol_2_C_and_I_09242021.pdf" TargetMode="External"/><Relationship Id="rId41" Type="http://schemas.openxmlformats.org/officeDocument/2006/relationships/vmlDrawing" Target="../drawings/vmlDrawing4.vml"/><Relationship Id="rId1" Type="http://schemas.openxmlformats.org/officeDocument/2006/relationships/hyperlink" Target="https://neep.org/sites/default/files/resources/Mid_Atlantic_TRM_V9_Final_clean_wUpdateSummary%20-%20CT%20FORMAT.pdf" TargetMode="External"/><Relationship Id="rId6" Type="http://schemas.openxmlformats.org/officeDocument/2006/relationships/hyperlink" Target="https://ilsag.s3.amazonaws.com/IL-TRM_Effective_010121_v9.0_Vol_2_C_and_I_09252020_Final.pdf" TargetMode="External"/><Relationship Id="rId11" Type="http://schemas.openxmlformats.org/officeDocument/2006/relationships/hyperlink" Target="https://neep.org/sites/default/files/resources/Mid_Atlantic_TRM_V9_Final_clean_wUpdateSummary%20-%20CT%20FORMAT.pdf" TargetMode="External"/><Relationship Id="rId24" Type="http://schemas.openxmlformats.org/officeDocument/2006/relationships/hyperlink" Target="https://ilsag.s3.amazonaws.com/IL-TRM_Effective_010122_v10.0_Vol_2_C_and_I_09242021.pdf" TargetMode="External"/><Relationship Id="rId32" Type="http://schemas.openxmlformats.org/officeDocument/2006/relationships/hyperlink" Target="https://neep.org/sites/default/files/resources/Mid_Atlantic_TRM_V9_Final_clean_wUpdateSummary%20-%20CT%20FORMAT.pdf" TargetMode="External"/><Relationship Id="rId37" Type="http://schemas.openxmlformats.org/officeDocument/2006/relationships/hyperlink" Target="https://neep.org/sites/default/files/resources/Mid_Atlantic_TRM_V9_Final_clean_wUpdateSummary%20-%20CT%20FORMAT.pdf" TargetMode="External"/><Relationship Id="rId40" Type="http://schemas.openxmlformats.org/officeDocument/2006/relationships/drawing" Target="../drawings/drawing7.xml"/><Relationship Id="rId5" Type="http://schemas.openxmlformats.org/officeDocument/2006/relationships/hyperlink" Target="https://neep.org/sites/default/files/resources/Mid_Atlantic_TRM_V9_Final_clean_wUpdateSummary%20-%20CT%20FORMAT.pdf" TargetMode="External"/><Relationship Id="rId15" Type="http://schemas.openxmlformats.org/officeDocument/2006/relationships/hyperlink" Target="https://cadmus.sharepoint.com/:b:/r/sites/CP6923/Shared%20Documents/2021%20EE%20Plan%20Update/Data/EMV/LGE%20KU_Commercial%20Rebates%20Report_Final_13Dec2019%20V3.pdf?csf=1&amp;web=1" TargetMode="External"/><Relationship Id="rId23" Type="http://schemas.openxmlformats.org/officeDocument/2006/relationships/hyperlink" Target="https://nwcouncil.app.box.com/v/ComAgIndPumpsv2-2" TargetMode="External"/><Relationship Id="rId28" Type="http://schemas.openxmlformats.org/officeDocument/2006/relationships/hyperlink" Target="https://neep.org/sites/default/files/resources/Mid_Atlantic_TRM_V9_Final_clean_wUpdateSummary%20-%20CT%20FORMAT.pdf" TargetMode="External"/><Relationship Id="rId36" Type="http://schemas.openxmlformats.org/officeDocument/2006/relationships/hyperlink" Target="https://neep.org/sites/default/files/resources/Mid_Atlantic_TRM_V9_Final_clean_wUpdateSummary%20-%20CT%20FORMAT.pdf" TargetMode="External"/><Relationship Id="rId10" Type="http://schemas.openxmlformats.org/officeDocument/2006/relationships/hyperlink" Target="https://neep.org/sites/default/files/resources/Mid_Atlantic_TRM_V9_Final_clean_wUpdateSummary%20-%20CT%20FORMAT.pdf" TargetMode="External"/><Relationship Id="rId19" Type="http://schemas.openxmlformats.org/officeDocument/2006/relationships/hyperlink" Target="https://cadmus.sharepoint.com/:b:/r/sites/CP6923/Shared%20Documents/2021%20EE%20Plan%20Update/Data/EMV/LGE%20KU_Commercial%20Rebates%20Report_Final_13Dec2019%20V3.pdf?csf=1&amp;web=1" TargetMode="External"/><Relationship Id="rId31" Type="http://schemas.openxmlformats.org/officeDocument/2006/relationships/hyperlink" Target="https://neep.org/sites/default/files/resources/Mid_Atlantic_TRM_V9_Final_clean_wUpdateSummary%20-%20CT%20FORMAT.pdf" TargetMode="External"/><Relationship Id="rId4" Type="http://schemas.openxmlformats.org/officeDocument/2006/relationships/hyperlink" Target="https://focusonenergy.com/sites/default/files/Focus_on_Energy_2020_TRM.pdf" TargetMode="External"/><Relationship Id="rId9" Type="http://schemas.openxmlformats.org/officeDocument/2006/relationships/hyperlink" Target="https://neep.org/sites/default/files/resources/Mid_Atlantic_TRM_V9_Final_clean_wUpdateSummary%20-%20CT%20FORMAT.pdf" TargetMode="External"/><Relationship Id="rId14" Type="http://schemas.openxmlformats.org/officeDocument/2006/relationships/hyperlink" Target="https://cadmus.sharepoint.com/:b:/r/sites/CP6923/Shared%20Documents/2021%20EE%20Plan%20Update/Data/EMV/LGE%20KU_Commercial%20Rebates%20Report_Final_13Dec2019%20V3.pdf?csf=1&amp;web=1" TargetMode="External"/><Relationship Id="rId22" Type="http://schemas.openxmlformats.org/officeDocument/2006/relationships/hyperlink" Target="https://nwcouncil.app.box.com/v/ComAgIndPumpsv2-2" TargetMode="External"/><Relationship Id="rId27" Type="http://schemas.openxmlformats.org/officeDocument/2006/relationships/hyperlink" Target="https://neep.org/sites/default/files/resources/Mid_Atlantic_TRM_V9_Final_clean_wUpdateSummary%20-%20CT%20FORMAT.pdf" TargetMode="External"/><Relationship Id="rId30" Type="http://schemas.openxmlformats.org/officeDocument/2006/relationships/hyperlink" Target="https://ilsag.s3.amazonaws.com/IL-TRM_Effective_010122_v10.0_Vol_2_C_and_I_09242021.pdf" TargetMode="External"/><Relationship Id="rId35" Type="http://schemas.openxmlformats.org/officeDocument/2006/relationships/hyperlink" Target="https://neep.org/sites/default/files/resources/Mid_Atlantic_TRM_V9_Final_clean_wUpdateSummary%20-%20CT%20FORMAT.pdf" TargetMode="External"/><Relationship Id="rId8" Type="http://schemas.openxmlformats.org/officeDocument/2006/relationships/hyperlink" Target="https://neep.org/sites/default/files/resources/Mid_Atlantic_TRM_V9_Final_clean_wUpdateSummary%20-%20CT%20FORMAT.pdf" TargetMode="External"/><Relationship Id="rId3" Type="http://schemas.openxmlformats.org/officeDocument/2006/relationships/hyperlink" Target="https://neep.org/sites/default/files/resources/Mid_Atlantic_TRM_V9_Final_clean_wUpdateSummary%20-%20CT%20FORMAT.pdf" TargetMode="External"/><Relationship Id="rId12" Type="http://schemas.openxmlformats.org/officeDocument/2006/relationships/hyperlink" Target="https://cadmus.sharepoint.com/:b:/r/sites/CP6923/Shared%20Documents/2021%20EE%20Plan%20Update/Data/EMV/LGE%20KU_Commercial%20Rebates%20Report_Final_13Dec2019%20V3.pdf?csf=1&amp;web=1" TargetMode="External"/><Relationship Id="rId17" Type="http://schemas.openxmlformats.org/officeDocument/2006/relationships/hyperlink" Target="https://cadmus.sharepoint.com/:b:/r/sites/CP6923/Shared%20Documents/2021%20EE%20Plan%20Update/Data/EMV/LGE%20KU_Commercial%20Rebates%20Report_Final_13Dec2019%20V3.pdf?csf=1&amp;web=1" TargetMode="External"/><Relationship Id="rId25" Type="http://schemas.openxmlformats.org/officeDocument/2006/relationships/hyperlink" Target="https://ilsag.s3.amazonaws.com/IL-TRM_Effective_010122_v10.0_Vol_2_C_and_I_09242021.pdf" TargetMode="External"/><Relationship Id="rId33" Type="http://schemas.openxmlformats.org/officeDocument/2006/relationships/hyperlink" Target="https://neep.org/sites/default/files/resources/Mid_Atlantic_TRM_V9_Final_clean_wUpdateSummary%20-%20CT%20FORMAT.pdf" TargetMode="External"/><Relationship Id="rId38" Type="http://schemas.openxmlformats.org/officeDocument/2006/relationships/hyperlink" Target="https://ilsag.s3.amazonaws.com/IL-TRM_Effective_010122_v10.0_Vol_2_C_and_I_09242021.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neep.org/sites/default/files/resources/Mid_Atlantic_TRM_V9_Final_clean_wUpdateSummary%20-%20CT%20FORMAT.pdf" TargetMode="External"/><Relationship Id="rId3" Type="http://schemas.openxmlformats.org/officeDocument/2006/relationships/hyperlink" Target="https://cadmus.sharepoint.com/:b:/r/sites/CP6923/Shared%20Documents/2021%20EE%20Plan%20Update/Data/EMV/LGE%20KU_Commercial%20Rebates%20Report_Final_13Dec2019%20V3.pdf?csf=1&amp;web=1" TargetMode="External"/><Relationship Id="rId7" Type="http://schemas.openxmlformats.org/officeDocument/2006/relationships/hyperlink" Target="https://neep.org/sites/default/files/resources/Mid_Atlantic_TRM_V9_Final_clean_wUpdateSummary%20-%20CT%20FORMAT.pdf" TargetMode="External"/><Relationship Id="rId2" Type="http://schemas.openxmlformats.org/officeDocument/2006/relationships/hyperlink" Target="https://cadmus.sharepoint.com/:b:/r/sites/CP6923/Shared%20Documents/2021%20EE%20Plan%20Update/Data/EMV/LGE%20KU_Commercial%20Rebates%20Report_Final_13Dec2019%20V3.pdf?csf=1&amp;web=1" TargetMode="External"/><Relationship Id="rId1" Type="http://schemas.openxmlformats.org/officeDocument/2006/relationships/hyperlink" Target="https://cadmus.sharepoint.com/:b:/r/sites/CP6923/Shared%20Documents/2021%20EE%20Plan%20Update/Data/EMV/LGE%20KU_Commercial%20Rebates%20Report_Final_13Dec2019%20V3.pdf?csf=1&amp;web=1" TargetMode="External"/><Relationship Id="rId6" Type="http://schemas.openxmlformats.org/officeDocument/2006/relationships/hyperlink" Target="https://neep.org/sites/default/files/resources/Mid_Atlantic_TRM_V9_Final_clean_wUpdateSummary%20-%20CT%20FORMAT.pdf" TargetMode="External"/><Relationship Id="rId5" Type="http://schemas.openxmlformats.org/officeDocument/2006/relationships/hyperlink" Target="https://ilsag.s3.amazonaws.com/IL-TRM_Effective_010122_v10.0_Vol_2_C_and_I_09242021.pdf" TargetMode="External"/><Relationship Id="rId10" Type="http://schemas.openxmlformats.org/officeDocument/2006/relationships/printerSettings" Target="../printerSettings/printerSettings12.bin"/><Relationship Id="rId4" Type="http://schemas.openxmlformats.org/officeDocument/2006/relationships/hyperlink" Target="https://cadmus.sharepoint.com/:b:/r/sites/CP6923/Shared%20Documents/2021%20EE%20Plan%20Update/Data/EMV/LGE%20KU_Commercial%20Rebates%20Report_Final_13Dec2019%20V3.pdf?csf=1&amp;web=1" TargetMode="External"/><Relationship Id="rId9" Type="http://schemas.openxmlformats.org/officeDocument/2006/relationships/hyperlink" Target="https://neep.org/sites/default/files/resources/Mid_Atlantic_TRM_V9_Final_clean_wUpdateSummary%20-%20CT%20FORMAT.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hyperlink" Target="file:///\\cadmusgroup.org\projects\6936-LGEKU_2023_DR_Potential\Demand%20Response\LGE\Sources\Saturations.xls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3" Type="http://schemas.openxmlformats.org/officeDocument/2006/relationships/hyperlink" Target="file:///\\cadmusgroup.org\projects\6235-LGE\Measure%20Characterization\Residential\Measure%20Database" TargetMode="External"/><Relationship Id="rId7" Type="http://schemas.openxmlformats.org/officeDocument/2006/relationships/comments" Target="../comments6.xml"/><Relationship Id="rId2" Type="http://schemas.openxmlformats.org/officeDocument/2006/relationships/hyperlink" Target="file:///\\cadmusgroup.org\projects\6235-LGE\Reporting\Market%20Analyzer" TargetMode="External"/><Relationship Id="rId1" Type="http://schemas.openxmlformats.org/officeDocument/2006/relationships/hyperlink" Target="file:///\\cadmusgroup.org\projects\6936-LGEKU_2023_DR_Potential\Demand%20Response\LGE\Sources\Saturations.xlsx" TargetMode="External"/><Relationship Id="rId6" Type="http://schemas.openxmlformats.org/officeDocument/2006/relationships/vmlDrawing" Target="../drawings/vmlDrawing6.vml"/><Relationship Id="rId5" Type="http://schemas.openxmlformats.org/officeDocument/2006/relationships/drawing" Target="../drawings/drawing9.xml"/><Relationship Id="rId4"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8" Type="http://schemas.openxmlformats.org/officeDocument/2006/relationships/hyperlink" Target="https://mn.gov/commerce-stat/pdfs/20210201_trm_cip_vers3.2.pdf" TargetMode="External"/><Relationship Id="rId13" Type="http://schemas.openxmlformats.org/officeDocument/2006/relationships/hyperlink" Target="https://ilsag.s3.amazonaws.com/IL-TRM_Effective_010122_v10.0_Vol_2_C_and_I_09242021.pdf" TargetMode="External"/><Relationship Id="rId3" Type="http://schemas.openxmlformats.org/officeDocument/2006/relationships/hyperlink" Target="https://ilsag.s3.amazonaws.com/IL-TRM_Effective_010122_v10.0_Volumes-1-4-compiled_09242021-2.pdf" TargetMode="External"/><Relationship Id="rId7" Type="http://schemas.openxmlformats.org/officeDocument/2006/relationships/hyperlink" Target="https://neep.org/sites/default/files/resources/Mid_Atlantic_TRM_V9_Final_clean_wUpdateSummary%20-%20CT%20FORMAT.pdf" TargetMode="External"/><Relationship Id="rId12" Type="http://schemas.openxmlformats.org/officeDocument/2006/relationships/hyperlink" Target="https://ilsag.s3.amazonaws.com/IL-TRM_Effective_010122_v10.0_Vol_2_C_and_I_09242021.pdf" TargetMode="External"/><Relationship Id="rId17" Type="http://schemas.openxmlformats.org/officeDocument/2006/relationships/printerSettings" Target="../printerSettings/printerSettings22.bin"/><Relationship Id="rId2" Type="http://schemas.openxmlformats.org/officeDocument/2006/relationships/hyperlink" Target="https://ilsag.s3.amazonaws.com/IL-TRM_Effective_010122_v10.0_Volumes-1-4-compiled_09242021-2.pdf" TargetMode="External"/><Relationship Id="rId16" Type="http://schemas.openxmlformats.org/officeDocument/2006/relationships/hyperlink" Target="https://www.weather.gov/wrh/climate?wfo=lmk" TargetMode="External"/><Relationship Id="rId1" Type="http://schemas.openxmlformats.org/officeDocument/2006/relationships/hyperlink" Target="https://neep.org/sites/default/files/resources/Mid_Atlantic_TRM_V9_Final_clean_wUpdateSummary%20-%20CT%20FORMAT.pdf" TargetMode="External"/><Relationship Id="rId6" Type="http://schemas.openxmlformats.org/officeDocument/2006/relationships/hyperlink" Target="https://focusonenergy.com/sites/default/files/Focus_on_Energy_2020_TRM.pdf" TargetMode="External"/><Relationship Id="rId11" Type="http://schemas.openxmlformats.org/officeDocument/2006/relationships/hyperlink" Target="https://ilsag.s3.amazonaws.com/IL-TRM_Effective_010122_v10.0_Vol_2_C_and_I_09242021.pdf" TargetMode="External"/><Relationship Id="rId5" Type="http://schemas.openxmlformats.org/officeDocument/2006/relationships/hyperlink" Target="https://neep.org/sites/default/files/resources/Mid_Atlantic_TRM_V9_Final_clean_wUpdateSummary%20-%20CT%20FORMAT.pdf" TargetMode="External"/><Relationship Id="rId15" Type="http://schemas.openxmlformats.org/officeDocument/2006/relationships/hyperlink" Target="https://ilsag.s3.amazonaws.com/IL-TRM_Effective_010122_v10.0_Vol_2_C_and_I_09242021.pdf" TargetMode="External"/><Relationship Id="rId10" Type="http://schemas.openxmlformats.org/officeDocument/2006/relationships/hyperlink" Target="https://ilsag.s3.amazonaws.com/IL-TRM_Effective_010122_v10.0_Vol_2_C_and_I_09242021.pdf" TargetMode="External"/><Relationship Id="rId4" Type="http://schemas.openxmlformats.org/officeDocument/2006/relationships/hyperlink" Target="https://neep.org/sites/default/files/resources/Mid_Atlantic_TRM_V9_Final_clean_wUpdateSummary%20-%20CT%20FORMAT.pdf" TargetMode="External"/><Relationship Id="rId9" Type="http://schemas.openxmlformats.org/officeDocument/2006/relationships/hyperlink" Target="https://nwcouncil.app.box.com/v/ComAgIndPumpsv2-2" TargetMode="External"/><Relationship Id="rId14" Type="http://schemas.openxmlformats.org/officeDocument/2006/relationships/hyperlink" Target="https://ilsag.s3.amazonaws.com/IL-TRM_Effective_010122_v10.0_Vol_2_C_and_I_09242021.pdf"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conservationmart.com/p-8231-bits-05-gpm-faucet-aerator-needle-spray-ban050.aspx" TargetMode="External"/><Relationship Id="rId2" Type="http://schemas.openxmlformats.org/officeDocument/2006/relationships/hyperlink" Target="http://www.supplyhouse.com/Wal-rich-4309500-Lo-Flo-Chrome-Plated-Male-x-Female-Faucet-Aerator-5-GPM-Lead-Free" TargetMode="External"/><Relationship Id="rId1" Type="http://schemas.openxmlformats.org/officeDocument/2006/relationships/hyperlink" Target="https://cadmus.sharepoint.com/sites/CP6923/Shared%20Documents/2021%20EE%20Plan%20Update/Projections/LGE%20KU%20Program%20Measure%20Inputs_27OCT2017.xlsx?web=1" TargetMode="External"/><Relationship Id="rId6" Type="http://schemas.openxmlformats.org/officeDocument/2006/relationships/printerSettings" Target="../printerSettings/printerSettings5.bin"/><Relationship Id="rId5" Type="http://schemas.openxmlformats.org/officeDocument/2006/relationships/hyperlink" Target="https://www.amazon.com/Sink-Faucet-Aerators-1-5-packs/dp/B083R4X8SY/ref=asc_df_B083R4X8SY/?tag=hyprod-20&amp;linkCode=df0&amp;hvadid=459693563969&amp;hvpos=&amp;hvnetw=g&amp;hvrand=13053134597248756696&amp;hvpone=&amp;hvptwo=&amp;hvqmt=&amp;hvdev=c&amp;hvdvcmdl=&amp;hvlocint=&amp;hvlocphy=9030049&amp;hvtargid=pla-946525136297&amp;th=1" TargetMode="External"/><Relationship Id="rId4" Type="http://schemas.openxmlformats.org/officeDocument/2006/relationships/hyperlink" Target="https://www.grainger.com/product/10N182?gucid=N:N:FPL:Free:MS:CSM-1946:tew63h4:20501231"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file:///\\cadmusgroup.org\projects\6936-LGEKU_2023_DR_Potential\Demand%20Response\LGE\Sources\Saturations.xlsx" TargetMode="External"/><Relationship Id="rId7" Type="http://schemas.openxmlformats.org/officeDocument/2006/relationships/comments" Target="../comments2.xml"/><Relationship Id="rId2" Type="http://schemas.openxmlformats.org/officeDocument/2006/relationships/hyperlink" Target="file:///\\cadmusgroup.org\projects\6235-LGE\Measure%20Characterization\Residential\Measure%20Database" TargetMode="External"/><Relationship Id="rId1" Type="http://schemas.openxmlformats.org/officeDocument/2006/relationships/hyperlink" Target="file:///\\cadmusgroup.org\projects\6235-LGE\Reporting\Market%20Analyzer"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BF142"/>
  <sheetViews>
    <sheetView topLeftCell="A2" zoomScale="85" zoomScaleNormal="85" workbookViewId="0">
      <pane xSplit="8" ySplit="4" topLeftCell="I6" activePane="bottomRight" state="frozen"/>
      <selection activeCell="A2" sqref="A2"/>
      <selection pane="topRight" activeCell="I2" sqref="I2"/>
      <selection pane="bottomLeft" activeCell="A6" sqref="A6"/>
      <selection pane="bottomRight" activeCell="F46" sqref="F46:F47"/>
    </sheetView>
  </sheetViews>
  <sheetFormatPr defaultColWidth="9.1796875" defaultRowHeight="13" outlineLevelCol="1"/>
  <cols>
    <col min="1" max="1" width="2" style="99" customWidth="1"/>
    <col min="2" max="2" width="29.26953125" style="99" customWidth="1"/>
    <col min="3" max="4" width="13.54296875" style="100" customWidth="1"/>
    <col min="5" max="5" width="15" style="100" customWidth="1"/>
    <col min="6" max="6" width="13.54296875" style="100" customWidth="1"/>
    <col min="7" max="7" width="16.81640625" style="100" customWidth="1"/>
    <col min="8" max="8" width="19.26953125" style="99" customWidth="1"/>
    <col min="9" max="10" width="11.1796875" style="99" customWidth="1"/>
    <col min="11" max="15" width="11.1796875" style="99" customWidth="1" outlineLevel="1"/>
    <col min="16" max="16" width="12.81640625" style="99" customWidth="1"/>
    <col min="17" max="17" width="12.26953125" style="99" customWidth="1"/>
    <col min="18" max="22" width="12.26953125" style="99" customWidth="1" outlineLevel="1"/>
    <col min="23" max="24" width="12" style="99" bestFit="1" customWidth="1"/>
    <col min="25" max="29" width="12" style="99" bestFit="1" customWidth="1" outlineLevel="1"/>
    <col min="30" max="30" width="12.1796875" style="99" customWidth="1"/>
    <col min="31" max="31" width="11.1796875" style="99" customWidth="1"/>
    <col min="32" max="36" width="11.1796875" style="99" customWidth="1" outlineLevel="1"/>
    <col min="37" max="38" width="11.1796875" style="99" customWidth="1"/>
    <col min="39" max="43" width="11.1796875" style="99" customWidth="1" outlineLevel="1"/>
    <col min="44" max="45" width="11.1796875" style="99" customWidth="1"/>
    <col min="46" max="50" width="11.1796875" style="99" customWidth="1" outlineLevel="1"/>
    <col min="51" max="51" width="9.1796875" style="99"/>
    <col min="52" max="52" width="14.453125" style="99" customWidth="1"/>
    <col min="53" max="16384" width="9.1796875" style="99"/>
  </cols>
  <sheetData>
    <row r="1" spans="1:58" s="97" customFormat="1" ht="29.25" hidden="1" customHeight="1">
      <c r="A1" s="14"/>
      <c r="B1" s="13"/>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row>
    <row r="2" spans="1:58" s="98" customFormat="1" ht="15.5">
      <c r="A2" s="13" t="s">
        <v>6</v>
      </c>
      <c r="B2" s="1"/>
      <c r="C2" s="6"/>
      <c r="D2" s="6"/>
      <c r="E2" s="6"/>
      <c r="F2" s="6"/>
      <c r="G2" s="6"/>
      <c r="H2" s="6"/>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row>
    <row r="3" spans="1:58">
      <c r="A3" s="2"/>
      <c r="B3" s="2"/>
      <c r="C3" s="3"/>
      <c r="D3" s="3"/>
      <c r="E3" s="3"/>
      <c r="F3" s="3"/>
      <c r="G3" s="6"/>
      <c r="H3" s="6"/>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542"/>
      <c r="AR3" s="2"/>
      <c r="AS3" s="2"/>
      <c r="AT3" s="2"/>
      <c r="AU3" s="2"/>
      <c r="AV3" s="2"/>
      <c r="AW3" s="2"/>
      <c r="AX3" s="2"/>
      <c r="AY3" s="2"/>
      <c r="AZ3" s="2"/>
      <c r="BA3" s="2"/>
      <c r="BB3" s="2"/>
      <c r="BC3" s="2"/>
      <c r="BD3" s="2"/>
      <c r="BE3" s="2"/>
      <c r="BF3" s="2"/>
    </row>
    <row r="4" spans="1:58" ht="44.5" customHeight="1">
      <c r="A4" s="2"/>
      <c r="B4" s="646"/>
      <c r="C4" s="1341" t="s">
        <v>7</v>
      </c>
      <c r="D4" s="1341"/>
      <c r="E4" s="1342"/>
      <c r="F4" s="1342"/>
      <c r="G4" s="1342"/>
      <c r="H4" s="1342"/>
      <c r="I4" s="1337"/>
      <c r="J4" s="1337"/>
      <c r="K4" s="1337"/>
      <c r="L4" s="1337"/>
      <c r="M4" s="1337"/>
      <c r="N4" s="1337"/>
      <c r="O4" s="1337"/>
      <c r="P4" s="1337"/>
      <c r="Q4" s="1337"/>
      <c r="R4" s="1337"/>
      <c r="S4" s="1337"/>
      <c r="T4" s="1337"/>
      <c r="U4" s="1337"/>
      <c r="V4" s="1337"/>
      <c r="W4" s="1338"/>
      <c r="X4" s="1339"/>
      <c r="Y4" s="1339"/>
      <c r="Z4" s="1339"/>
      <c r="AA4" s="1339"/>
      <c r="AB4" s="1339"/>
      <c r="AC4" s="1340"/>
      <c r="AD4" s="1337"/>
      <c r="AE4" s="1337"/>
      <c r="AF4" s="1337"/>
      <c r="AG4" s="1337"/>
      <c r="AH4" s="1337"/>
      <c r="AI4" s="1337"/>
      <c r="AJ4" s="1337"/>
      <c r="AK4" s="1337"/>
      <c r="AL4" s="1337"/>
      <c r="AM4" s="1337"/>
      <c r="AN4" s="1337"/>
      <c r="AO4" s="1337"/>
      <c r="AP4" s="1337"/>
      <c r="AQ4" s="1337"/>
      <c r="AR4" s="1337"/>
      <c r="AS4" s="1337"/>
      <c r="AT4" s="1337"/>
      <c r="AU4" s="1337"/>
      <c r="AV4" s="1337"/>
      <c r="AW4" s="1337"/>
      <c r="AX4" s="1337"/>
      <c r="AY4" s="2"/>
      <c r="AZ4" s="2"/>
      <c r="BA4" s="2"/>
      <c r="BB4" s="2"/>
      <c r="BC4" s="2"/>
      <c r="BD4" s="2"/>
      <c r="BE4" s="2"/>
      <c r="BF4" s="2"/>
    </row>
    <row r="5" spans="1:58" s="438" customFormat="1" ht="26">
      <c r="B5" s="442" t="s">
        <v>8</v>
      </c>
      <c r="C5" s="647" t="s">
        <v>9</v>
      </c>
      <c r="D5" s="647" t="s">
        <v>10</v>
      </c>
      <c r="E5" s="647" t="s">
        <v>11</v>
      </c>
      <c r="F5" s="647" t="s">
        <v>12</v>
      </c>
      <c r="G5" s="647" t="s">
        <v>13</v>
      </c>
      <c r="H5" s="647" t="s">
        <v>14</v>
      </c>
      <c r="I5" s="648" t="s">
        <v>15</v>
      </c>
      <c r="J5" s="648" t="s">
        <v>16</v>
      </c>
      <c r="K5" s="648" t="s">
        <v>17</v>
      </c>
      <c r="L5" s="648" t="s">
        <v>18</v>
      </c>
      <c r="M5" s="648" t="s">
        <v>19</v>
      </c>
      <c r="N5" s="648" t="s">
        <v>20</v>
      </c>
      <c r="O5" s="648" t="s">
        <v>21</v>
      </c>
      <c r="P5" s="648" t="s">
        <v>22</v>
      </c>
      <c r="Q5" s="648" t="s">
        <v>23</v>
      </c>
      <c r="R5" s="648" t="s">
        <v>24</v>
      </c>
      <c r="S5" s="648" t="s">
        <v>25</v>
      </c>
      <c r="T5" s="648" t="s">
        <v>26</v>
      </c>
      <c r="U5" s="648" t="s">
        <v>27</v>
      </c>
      <c r="V5" s="648" t="s">
        <v>28</v>
      </c>
      <c r="W5" s="648" t="s">
        <v>29</v>
      </c>
      <c r="X5" s="648" t="s">
        <v>30</v>
      </c>
      <c r="Y5" s="648" t="s">
        <v>31</v>
      </c>
      <c r="Z5" s="648" t="s">
        <v>32</v>
      </c>
      <c r="AA5" s="648" t="s">
        <v>33</v>
      </c>
      <c r="AB5" s="648" t="s">
        <v>34</v>
      </c>
      <c r="AC5" s="648" t="s">
        <v>35</v>
      </c>
      <c r="AD5" s="648" t="s">
        <v>36</v>
      </c>
      <c r="AE5" s="648" t="s">
        <v>37</v>
      </c>
      <c r="AF5" s="648" t="s">
        <v>38</v>
      </c>
      <c r="AG5" s="648" t="s">
        <v>39</v>
      </c>
      <c r="AH5" s="648" t="s">
        <v>40</v>
      </c>
      <c r="AI5" s="648" t="s">
        <v>41</v>
      </c>
      <c r="AJ5" s="648" t="s">
        <v>42</v>
      </c>
      <c r="AK5" s="648" t="s">
        <v>43</v>
      </c>
      <c r="AL5" s="648" t="s">
        <v>44</v>
      </c>
      <c r="AM5" s="648" t="s">
        <v>45</v>
      </c>
      <c r="AN5" s="648" t="s">
        <v>46</v>
      </c>
      <c r="AO5" s="648" t="s">
        <v>47</v>
      </c>
      <c r="AP5" s="648" t="s">
        <v>48</v>
      </c>
      <c r="AQ5" s="648" t="s">
        <v>49</v>
      </c>
      <c r="AR5" s="648" t="s">
        <v>50</v>
      </c>
      <c r="AS5" s="648" t="s">
        <v>51</v>
      </c>
      <c r="AT5" s="648" t="s">
        <v>52</v>
      </c>
      <c r="AU5" s="648" t="s">
        <v>53</v>
      </c>
      <c r="AV5" s="648" t="s">
        <v>54</v>
      </c>
      <c r="AW5" s="648" t="s">
        <v>55</v>
      </c>
      <c r="AX5" s="648" t="s">
        <v>56</v>
      </c>
    </row>
    <row r="6" spans="1:58">
      <c r="A6" s="527" t="str">
        <f>B6&amp;"Total"</f>
        <v>WeCare V2Total</v>
      </c>
      <c r="B6" s="649" t="s">
        <v>57</v>
      </c>
      <c r="C6" s="572">
        <f ca="1">SUM(I6:O6)</f>
        <v>35784</v>
      </c>
      <c r="D6" s="650">
        <f>SUM(P6:V6)</f>
        <v>62900195.005530693</v>
      </c>
      <c r="E6" s="650">
        <f>SUM(W6:AC6)</f>
        <v>0</v>
      </c>
      <c r="F6" s="572">
        <f ca="1">SUM(AD6:AJ6)</f>
        <v>26621962.912670437</v>
      </c>
      <c r="G6" s="572">
        <f t="shared" ref="G6:G19" ca="1" si="0">MAX(AK6:AQ6)</f>
        <v>311.26966633157275</v>
      </c>
      <c r="H6" s="572">
        <f ca="1">SUM(AR6:AX6)</f>
        <v>916486.2503999999</v>
      </c>
      <c r="I6" s="572">
        <f ca="1">INDEX('Company Portfolio Summary'!$E$135:$BK$149,MATCH($B6,'Company Portfolio Summary'!$E$135:$E$149,FALSE),MATCH(I$5,'Company Portfolio Summary'!$E$135:$BK$135,FALSE))</f>
        <v>5112</v>
      </c>
      <c r="J6" s="572">
        <f ca="1">INDEX('Company Portfolio Summary'!$E$135:$BK$149,MATCH($B6,'Company Portfolio Summary'!$E$135:$E$149,FALSE),MATCH(J$5,'Company Portfolio Summary'!$E$135:$BK$135,FALSE))</f>
        <v>5112</v>
      </c>
      <c r="K6" s="572">
        <f ca="1">INDEX('Company Portfolio Summary'!$E$135:$BK$149,MATCH($B6,'Company Portfolio Summary'!$E$135:$E$149,FALSE),MATCH(K$5,'Company Portfolio Summary'!$E$135:$BK$135,FALSE))</f>
        <v>5112</v>
      </c>
      <c r="L6" s="572">
        <f ca="1">INDEX('Company Portfolio Summary'!$E$135:$BK$149,MATCH($B6,'Company Portfolio Summary'!$E$135:$E$149,FALSE),MATCH(L$5,'Company Portfolio Summary'!$E$135:$BK$135,FALSE))</f>
        <v>5112</v>
      </c>
      <c r="M6" s="572">
        <f ca="1">INDEX('Company Portfolio Summary'!$E$135:$BK$149,MATCH($B6,'Company Portfolio Summary'!$E$135:$E$149,FALSE),MATCH(M$5,'Company Portfolio Summary'!$E$135:$BK$135,FALSE))</f>
        <v>5112</v>
      </c>
      <c r="N6" s="572">
        <f ca="1">INDEX('Company Portfolio Summary'!$E$135:$BK$149,MATCH($B6,'Company Portfolio Summary'!$E$135:$E$149,FALSE),MATCH(N$5,'Company Portfolio Summary'!$E$135:$BK$135,FALSE))</f>
        <v>5112</v>
      </c>
      <c r="O6" s="572">
        <f ca="1">INDEX('Company Portfolio Summary'!$E$135:$BK$149,MATCH($B6,'Company Portfolio Summary'!$E$135:$E$149,FALSE),MATCH(O$5,'Company Portfolio Summary'!$E$135:$BK$135,FALSE))</f>
        <v>5112</v>
      </c>
      <c r="P6" s="650">
        <f>VLOOKUP($A6,'LGE-KU Budgets'!$A$6:$Y$50,'LGE-KU Budgets'!L$2,0)*1000</f>
        <v>8969142.4806129523</v>
      </c>
      <c r="Q6" s="650">
        <f>VLOOKUP($A6,'LGE-KU Budgets'!$A$6:$Y$50,'LGE-KU Budgets'!M$2,0)*1000</f>
        <v>8960616.6150313411</v>
      </c>
      <c r="R6" s="650">
        <f>VLOOKUP($A6,'LGE-KU Budgets'!$A$6:$Y$50,'LGE-KU Budgets'!N$2,0)*1000</f>
        <v>8971334.973482281</v>
      </c>
      <c r="S6" s="650">
        <f>VLOOKUP($A6,'LGE-KU Budgets'!$A$6:$Y$50,'LGE-KU Budgets'!O$2,0)*1000</f>
        <v>8982374.8826867491</v>
      </c>
      <c r="T6" s="650">
        <f>VLOOKUP($A6,'LGE-KU Budgets'!$A$6:$Y$50,'LGE-KU Budgets'!P$2,0)*1000</f>
        <v>8993745.9891673513</v>
      </c>
      <c r="U6" s="650">
        <f>VLOOKUP($A6,'LGE-KU Budgets'!$A$6:$Y$50,'LGE-KU Budgets'!Q$2,0)*1000</f>
        <v>9005458.2288423739</v>
      </c>
      <c r="V6" s="650">
        <f>VLOOKUP($A6,'LGE-KU Budgets'!$A$6:$Y$50,'LGE-KU Budgets'!R$2,0)*1000</f>
        <v>9017521.8357076421</v>
      </c>
      <c r="W6" s="650">
        <f>VLOOKUP($A6,'LGE-KU Budgets'!$A$6:$Y$50,'LGE-KU Budgets'!S$2,0)*1000</f>
        <v>0</v>
      </c>
      <c r="X6" s="650">
        <f>VLOOKUP($A6,'LGE-KU Budgets'!$A$6:$Y$50,'LGE-KU Budgets'!T$2,0)*1000</f>
        <v>0</v>
      </c>
      <c r="Y6" s="650">
        <f>VLOOKUP($A6,'LGE-KU Budgets'!$A$6:$Y$50,'LGE-KU Budgets'!U$2,0)*1000</f>
        <v>0</v>
      </c>
      <c r="Z6" s="650">
        <f>VLOOKUP($A6,'LGE-KU Budgets'!$A$6:$Y$50,'LGE-KU Budgets'!V$2,0)*1000</f>
        <v>0</v>
      </c>
      <c r="AA6" s="650">
        <f>VLOOKUP($A6,'LGE-KU Budgets'!$A$6:$Y$50,'LGE-KU Budgets'!W$2,0)*1000</f>
        <v>0</v>
      </c>
      <c r="AB6" s="650">
        <f>VLOOKUP($A6,'LGE-KU Budgets'!$A$6:$Y$50,'LGE-KU Budgets'!X$2,0)*1000</f>
        <v>0</v>
      </c>
      <c r="AC6" s="650">
        <f>VLOOKUP($A6,'LGE-KU Budgets'!$A$6:$Y$50,'LGE-KU Budgets'!Y$2,0)*1000</f>
        <v>0</v>
      </c>
      <c r="AD6" s="572">
        <f ca="1">INDEX('Company Portfolio Summary'!$E$135:$BK$149,MATCH($B6,'Company Portfolio Summary'!$E$135:$E$149,FALSE),MATCH(AD$5,'Company Portfolio Summary'!$E$135:$BK$135,FALSE))</f>
        <v>3803137.5589529192</v>
      </c>
      <c r="AE6" s="572">
        <f ca="1">INDEX('Company Portfolio Summary'!$E$135:$BK$149,MATCH($B6,'Company Portfolio Summary'!$E$135:$E$149,FALSE),MATCH(AE$5,'Company Portfolio Summary'!$E$135:$BK$135,FALSE))</f>
        <v>3803137.5589529192</v>
      </c>
      <c r="AF6" s="572">
        <f ca="1">INDEX('Company Portfolio Summary'!$E$135:$BK$149,MATCH($B6,'Company Portfolio Summary'!$E$135:$E$149,FALSE),MATCH(AF$5,'Company Portfolio Summary'!$E$135:$BK$135,FALSE))</f>
        <v>3803137.5589529192</v>
      </c>
      <c r="AG6" s="572">
        <f ca="1">INDEX('Company Portfolio Summary'!$E$135:$BK$149,MATCH($B6,'Company Portfolio Summary'!$E$135:$E$149,FALSE),MATCH(AG$5,'Company Portfolio Summary'!$E$135:$BK$135,FALSE))</f>
        <v>3803137.5589529192</v>
      </c>
      <c r="AH6" s="572">
        <f ca="1">INDEX('Company Portfolio Summary'!$E$135:$BK$149,MATCH($B6,'Company Portfolio Summary'!$E$135:$E$149,FALSE),MATCH(AH$5,'Company Portfolio Summary'!$E$135:$BK$135,FALSE))</f>
        <v>3803137.5589529192</v>
      </c>
      <c r="AI6" s="572">
        <f ca="1">INDEX('Company Portfolio Summary'!$E$135:$BK$149,MATCH($B6,'Company Portfolio Summary'!$E$135:$E$149,FALSE),MATCH(AI$5,'Company Portfolio Summary'!$E$135:$BK$135,FALSE))</f>
        <v>3803137.5589529192</v>
      </c>
      <c r="AJ6" s="572">
        <f ca="1">INDEX('Company Portfolio Summary'!$E$135:$BK$149,MATCH($B6,'Company Portfolio Summary'!$E$135:$E$149,FALSE),MATCH(AJ$5,'Company Portfolio Summary'!$E$135:$BK$135,FALSE))</f>
        <v>3803137.5589529192</v>
      </c>
      <c r="AK6" s="572">
        <f ca="1">INDEX('Company Portfolio Summary'!$E$135:$BK$149,MATCH($B6,'Company Portfolio Summary'!$E$135:$E$149,FALSE),MATCH(AK$5,'Company Portfolio Summary'!$E$135:$BK$135,FALSE))</f>
        <v>311.26966633157275</v>
      </c>
      <c r="AL6" s="572">
        <f ca="1">INDEX('Company Portfolio Summary'!$E$135:$BK$149,MATCH($B6,'Company Portfolio Summary'!$E$135:$E$149,FALSE),MATCH(AL$5,'Company Portfolio Summary'!$E$135:$BK$135,FALSE))</f>
        <v>311.26966633157275</v>
      </c>
      <c r="AM6" s="572">
        <f ca="1">INDEX('Company Portfolio Summary'!$E$135:$BK$149,MATCH($B6,'Company Portfolio Summary'!$E$135:$E$149,FALSE),MATCH(AM$5,'Company Portfolio Summary'!$E$135:$BK$135,FALSE))</f>
        <v>311.26966633157275</v>
      </c>
      <c r="AN6" s="572">
        <f ca="1">INDEX('Company Portfolio Summary'!$E$135:$BK$149,MATCH($B6,'Company Portfolio Summary'!$E$135:$E$149,FALSE),MATCH(AN$5,'Company Portfolio Summary'!$E$135:$BK$135,FALSE))</f>
        <v>311.26966633157275</v>
      </c>
      <c r="AO6" s="572">
        <f ca="1">INDEX('Company Portfolio Summary'!$E$135:$BK$149,MATCH($B6,'Company Portfolio Summary'!$E$135:$E$149,FALSE),MATCH(AO$5,'Company Portfolio Summary'!$E$135:$BK$135,FALSE))</f>
        <v>311.26966633157275</v>
      </c>
      <c r="AP6" s="572">
        <f ca="1">INDEX('Company Portfolio Summary'!$E$135:$BK$149,MATCH($B6,'Company Portfolio Summary'!$E$135:$E$149,FALSE),MATCH(AP$5,'Company Portfolio Summary'!$E$135:$BK$135,FALSE))</f>
        <v>311.26966633157275</v>
      </c>
      <c r="AQ6" s="572">
        <f ca="1">INDEX('Company Portfolio Summary'!$E$135:$BK$149,MATCH($B6,'Company Portfolio Summary'!$E$135:$E$149,FALSE),MATCH(AQ$5,'Company Portfolio Summary'!$E$135:$BK$135,FALSE))</f>
        <v>311.26966633157275</v>
      </c>
      <c r="AR6" s="572">
        <f ca="1">INDEX('Company Portfolio Summary'!$E$135:$BK$149,MATCH($B6,'Company Portfolio Summary'!$E$135:$E$149,FALSE),MATCH(AR$5,'Company Portfolio Summary'!$E$135:$BK$135,FALSE))</f>
        <v>130926.60719999998</v>
      </c>
      <c r="AS6" s="572">
        <f ca="1">INDEX('Company Portfolio Summary'!$E$135:$BK$149,MATCH($B6,'Company Portfolio Summary'!$E$135:$E$149,FALSE),MATCH(AS$5,'Company Portfolio Summary'!$E$135:$BK$135,FALSE))</f>
        <v>130926.60719999998</v>
      </c>
      <c r="AT6" s="572">
        <f ca="1">INDEX('Company Portfolio Summary'!$E$135:$BK$149,MATCH($B6,'Company Portfolio Summary'!$E$135:$E$149,FALSE),MATCH(AT$5,'Company Portfolio Summary'!$E$135:$BK$135,FALSE))</f>
        <v>130926.60719999998</v>
      </c>
      <c r="AU6" s="572">
        <f ca="1">INDEX('Company Portfolio Summary'!$E$135:$BK$149,MATCH($B6,'Company Portfolio Summary'!$E$135:$E$149,FALSE),MATCH(AU$5,'Company Portfolio Summary'!$E$135:$BK$135,FALSE))</f>
        <v>130926.60719999998</v>
      </c>
      <c r="AV6" s="572">
        <f ca="1">INDEX('Company Portfolio Summary'!$E$135:$BK$149,MATCH($B6,'Company Portfolio Summary'!$E$135:$E$149,FALSE),MATCH(AV$5,'Company Portfolio Summary'!$E$135:$BK$135,FALSE))</f>
        <v>130926.60719999998</v>
      </c>
      <c r="AW6" s="572">
        <f ca="1">INDEX('Company Portfolio Summary'!$E$135:$BK$149,MATCH($B6,'Company Portfolio Summary'!$E$135:$E$149,FALSE),MATCH(AW$5,'Company Portfolio Summary'!$E$135:$BK$135,FALSE))</f>
        <v>130926.60719999998</v>
      </c>
      <c r="AX6" s="572">
        <f ca="1">INDEX('Company Portfolio Summary'!$E$135:$BK$149,MATCH($B6,'Company Portfolio Summary'!$E$135:$E$149,FALSE),MATCH(AX$5,'Company Portfolio Summary'!$E$135:$BK$135,FALSE))</f>
        <v>130926.60719999998</v>
      </c>
      <c r="AY6" s="2"/>
      <c r="AZ6" s="568"/>
      <c r="BA6" s="569"/>
      <c r="BB6" s="84"/>
      <c r="BC6" s="569"/>
      <c r="BD6" s="2"/>
      <c r="BE6" s="84"/>
      <c r="BF6" s="569"/>
    </row>
    <row r="7" spans="1:58">
      <c r="A7" s="527" t="str">
        <f>B7&amp;"Total"</f>
        <v>LI Multifamily - Whole BuildingTotal</v>
      </c>
      <c r="B7" s="649" t="s">
        <v>58</v>
      </c>
      <c r="C7" s="572">
        <f t="shared" ref="C7:C19" ca="1" si="1">SUM(I7:O7)</f>
        <v>268100</v>
      </c>
      <c r="D7" s="650">
        <f t="shared" ref="D7:D19" si="2">SUM(P7:V7)</f>
        <v>8001404.3083501244</v>
      </c>
      <c r="E7" s="650">
        <f t="shared" ref="E7:E19" si="3">SUM(W7:AC7)</f>
        <v>0</v>
      </c>
      <c r="F7" s="572">
        <f t="shared" ref="F7:F19" ca="1" si="4">SUM(AD7:AJ7)</f>
        <v>4211132.3459744193</v>
      </c>
      <c r="G7" s="572">
        <f t="shared" ca="1" si="0"/>
        <v>58.466087145338797</v>
      </c>
      <c r="H7" s="572">
        <f t="shared" ref="H7:H19" ca="1" si="5">SUM(AR7:AX7)</f>
        <v>44886.84970322538</v>
      </c>
      <c r="I7" s="572">
        <f ca="1">INDEX('Company Portfolio Summary'!$E$135:$BK$149,MATCH($B7,'Company Portfolio Summary'!$E$135:$E$149,FALSE),MATCH(I$5,'Company Portfolio Summary'!$E$135:$BK$135,FALSE))</f>
        <v>38300</v>
      </c>
      <c r="J7" s="572">
        <f ca="1">INDEX('Company Portfolio Summary'!$E$135:$BK$149,MATCH($B7,'Company Portfolio Summary'!$E$135:$E$149,FALSE),MATCH(J$5,'Company Portfolio Summary'!$E$135:$BK$135,FALSE))</f>
        <v>38300</v>
      </c>
      <c r="K7" s="572">
        <f ca="1">INDEX('Company Portfolio Summary'!$E$135:$BK$149,MATCH($B7,'Company Portfolio Summary'!$E$135:$E$149,FALSE),MATCH(K$5,'Company Portfolio Summary'!$E$135:$BK$135,FALSE))</f>
        <v>38300</v>
      </c>
      <c r="L7" s="572">
        <f ca="1">INDEX('Company Portfolio Summary'!$E$135:$BK$149,MATCH($B7,'Company Portfolio Summary'!$E$135:$E$149,FALSE),MATCH(L$5,'Company Portfolio Summary'!$E$135:$BK$135,FALSE))</f>
        <v>38300</v>
      </c>
      <c r="M7" s="572">
        <f ca="1">INDEX('Company Portfolio Summary'!$E$135:$BK$149,MATCH($B7,'Company Portfolio Summary'!$E$135:$E$149,FALSE),MATCH(M$5,'Company Portfolio Summary'!$E$135:$BK$135,FALSE))</f>
        <v>38300</v>
      </c>
      <c r="N7" s="572">
        <f ca="1">INDEX('Company Portfolio Summary'!$E$135:$BK$149,MATCH($B7,'Company Portfolio Summary'!$E$135:$E$149,FALSE),MATCH(N$5,'Company Portfolio Summary'!$E$135:$BK$135,FALSE))</f>
        <v>38300</v>
      </c>
      <c r="O7" s="572">
        <f ca="1">INDEX('Company Portfolio Summary'!$E$135:$BK$149,MATCH($B7,'Company Portfolio Summary'!$E$135:$E$149,FALSE),MATCH(O$5,'Company Portfolio Summary'!$E$135:$BK$135,FALSE))</f>
        <v>38300</v>
      </c>
      <c r="P7" s="650">
        <f>VLOOKUP($A7,'LGE-KU Budgets'!$A$6:$Y$50,'LGE-KU Budgets'!L$2,0)*1000</f>
        <v>1091252.4677694</v>
      </c>
      <c r="Q7" s="650">
        <f>VLOOKUP($A7,'LGE-KU Budgets'!$A$6:$Y$50,'LGE-KU Budgets'!M$2,0)*1000</f>
        <v>1111487.9765597351</v>
      </c>
      <c r="R7" s="650">
        <f>VLOOKUP($A7,'LGE-KU Budgets'!$A$6:$Y$50,'LGE-KU Budgets'!N$2,0)*1000</f>
        <v>1267330.5506137803</v>
      </c>
      <c r="S7" s="650">
        <f>VLOOKUP($A7,'LGE-KU Budgets'!$A$6:$Y$50,'LGE-KU Budgets'!O$2,0)*1000</f>
        <v>1123348.4018894464</v>
      </c>
      <c r="T7" s="650">
        <f>VLOOKUP($A7,'LGE-KU Budgets'!$A$6:$Y$50,'LGE-KU Budgets'!P$2,0)*1000</f>
        <v>1129546.7887033829</v>
      </c>
      <c r="U7" s="650">
        <f>VLOOKUP($A7,'LGE-KU Budgets'!$A$6:$Y$50,'LGE-KU Budgets'!Q$2,0)*1000</f>
        <v>1135931.1271217375</v>
      </c>
      <c r="V7" s="650">
        <f>VLOOKUP($A7,'LGE-KU Budgets'!$A$6:$Y$50,'LGE-KU Budgets'!R$2,0)*1000</f>
        <v>1142506.9956926426</v>
      </c>
      <c r="W7" s="650">
        <f>VLOOKUP($A7,'LGE-KU Budgets'!$A$6:$Y$50,'LGE-KU Budgets'!S$2,0)*1000</f>
        <v>0</v>
      </c>
      <c r="X7" s="650">
        <f>VLOOKUP($A7,'LGE-KU Budgets'!$A$6:$Y$50,'LGE-KU Budgets'!T$2,0)*1000</f>
        <v>0</v>
      </c>
      <c r="Y7" s="650">
        <f>VLOOKUP($A7,'LGE-KU Budgets'!$A$6:$Y$50,'LGE-KU Budgets'!U$2,0)*1000</f>
        <v>0</v>
      </c>
      <c r="Z7" s="650">
        <f>VLOOKUP($A7,'LGE-KU Budgets'!$A$6:$Y$50,'LGE-KU Budgets'!V$2,0)*1000</f>
        <v>0</v>
      </c>
      <c r="AA7" s="650">
        <f>VLOOKUP($A7,'LGE-KU Budgets'!$A$6:$Y$50,'LGE-KU Budgets'!W$2,0)*1000</f>
        <v>0</v>
      </c>
      <c r="AB7" s="650">
        <f>VLOOKUP($A7,'LGE-KU Budgets'!$A$6:$Y$50,'LGE-KU Budgets'!X$2,0)*1000</f>
        <v>0</v>
      </c>
      <c r="AC7" s="650">
        <f>VLOOKUP($A7,'LGE-KU Budgets'!$A$6:$Y$50,'LGE-KU Budgets'!Y$2,0)*1000</f>
        <v>0</v>
      </c>
      <c r="AD7" s="572">
        <f ca="1">INDEX('Company Portfolio Summary'!$E$135:$BK$149,MATCH($B7,'Company Portfolio Summary'!$E$135:$E$149,FALSE),MATCH(AD$5,'Company Portfolio Summary'!$E$135:$BK$135,FALSE))</f>
        <v>601590.33513920265</v>
      </c>
      <c r="AE7" s="572">
        <f ca="1">INDEX('Company Portfolio Summary'!$E$135:$BK$149,MATCH($B7,'Company Portfolio Summary'!$E$135:$E$149,FALSE),MATCH(AE$5,'Company Portfolio Summary'!$E$135:$BK$135,FALSE))</f>
        <v>601590.33513920265</v>
      </c>
      <c r="AF7" s="572">
        <f ca="1">INDEX('Company Portfolio Summary'!$E$135:$BK$149,MATCH($B7,'Company Portfolio Summary'!$E$135:$E$149,FALSE),MATCH(AF$5,'Company Portfolio Summary'!$E$135:$BK$135,FALSE))</f>
        <v>601590.33513920265</v>
      </c>
      <c r="AG7" s="572">
        <f ca="1">INDEX('Company Portfolio Summary'!$E$135:$BK$149,MATCH($B7,'Company Portfolio Summary'!$E$135:$E$149,FALSE),MATCH(AG$5,'Company Portfolio Summary'!$E$135:$BK$135,FALSE))</f>
        <v>601590.33513920265</v>
      </c>
      <c r="AH7" s="572">
        <f ca="1">INDEX('Company Portfolio Summary'!$E$135:$BK$149,MATCH($B7,'Company Portfolio Summary'!$E$135:$E$149,FALSE),MATCH(AH$5,'Company Portfolio Summary'!$E$135:$BK$135,FALSE))</f>
        <v>601590.33513920265</v>
      </c>
      <c r="AI7" s="572">
        <f ca="1">INDEX('Company Portfolio Summary'!$E$135:$BK$149,MATCH($B7,'Company Portfolio Summary'!$E$135:$E$149,FALSE),MATCH(AI$5,'Company Portfolio Summary'!$E$135:$BK$135,FALSE))</f>
        <v>601590.33513920265</v>
      </c>
      <c r="AJ7" s="572">
        <f ca="1">INDEX('Company Portfolio Summary'!$E$135:$BK$149,MATCH($B7,'Company Portfolio Summary'!$E$135:$E$149,FALSE),MATCH(AJ$5,'Company Portfolio Summary'!$E$135:$BK$135,FALSE))</f>
        <v>601590.33513920265</v>
      </c>
      <c r="AK7" s="572">
        <f ca="1">INDEX('Company Portfolio Summary'!$E$135:$BK$149,MATCH($B7,'Company Portfolio Summary'!$E$135:$E$149,FALSE),MATCH(AK$5,'Company Portfolio Summary'!$E$135:$BK$135,FALSE))</f>
        <v>58.466087145338797</v>
      </c>
      <c r="AL7" s="572">
        <f ca="1">INDEX('Company Portfolio Summary'!$E$135:$BK$149,MATCH($B7,'Company Portfolio Summary'!$E$135:$E$149,FALSE),MATCH(AL$5,'Company Portfolio Summary'!$E$135:$BK$135,FALSE))</f>
        <v>58.466087145338797</v>
      </c>
      <c r="AM7" s="572">
        <f ca="1">INDEX('Company Portfolio Summary'!$E$135:$BK$149,MATCH($B7,'Company Portfolio Summary'!$E$135:$E$149,FALSE),MATCH(AM$5,'Company Portfolio Summary'!$E$135:$BK$135,FALSE))</f>
        <v>58.466087145338797</v>
      </c>
      <c r="AN7" s="572">
        <f ca="1">INDEX('Company Portfolio Summary'!$E$135:$BK$149,MATCH($B7,'Company Portfolio Summary'!$E$135:$E$149,FALSE),MATCH(AN$5,'Company Portfolio Summary'!$E$135:$BK$135,FALSE))</f>
        <v>58.466087145338797</v>
      </c>
      <c r="AO7" s="572">
        <f ca="1">INDEX('Company Portfolio Summary'!$E$135:$BK$149,MATCH($B7,'Company Portfolio Summary'!$E$135:$E$149,FALSE),MATCH(AO$5,'Company Portfolio Summary'!$E$135:$BK$135,FALSE))</f>
        <v>58.466087145338797</v>
      </c>
      <c r="AP7" s="572">
        <f ca="1">INDEX('Company Portfolio Summary'!$E$135:$BK$149,MATCH($B7,'Company Portfolio Summary'!$E$135:$E$149,FALSE),MATCH(AP$5,'Company Portfolio Summary'!$E$135:$BK$135,FALSE))</f>
        <v>58.466087145338797</v>
      </c>
      <c r="AQ7" s="572">
        <f ca="1">INDEX('Company Portfolio Summary'!$E$135:$BK$149,MATCH($B7,'Company Portfolio Summary'!$E$135:$E$149,FALSE),MATCH(AQ$5,'Company Portfolio Summary'!$E$135:$BK$135,FALSE))</f>
        <v>58.466087145338797</v>
      </c>
      <c r="AR7" s="572">
        <f ca="1">INDEX('Company Portfolio Summary'!$E$135:$BK$149,MATCH($B7,'Company Portfolio Summary'!$E$135:$E$149,FALSE),MATCH(AR$5,'Company Portfolio Summary'!$E$135:$BK$135,FALSE))</f>
        <v>6412.4071004607686</v>
      </c>
      <c r="AS7" s="572">
        <f ca="1">INDEX('Company Portfolio Summary'!$E$135:$BK$149,MATCH($B7,'Company Portfolio Summary'!$E$135:$E$149,FALSE),MATCH(AS$5,'Company Portfolio Summary'!$E$135:$BK$135,FALSE))</f>
        <v>6412.4071004607686</v>
      </c>
      <c r="AT7" s="572">
        <f ca="1">INDEX('Company Portfolio Summary'!$E$135:$BK$149,MATCH($B7,'Company Portfolio Summary'!$E$135:$E$149,FALSE),MATCH(AT$5,'Company Portfolio Summary'!$E$135:$BK$135,FALSE))</f>
        <v>6412.4071004607686</v>
      </c>
      <c r="AU7" s="572">
        <f ca="1">INDEX('Company Portfolio Summary'!$E$135:$BK$149,MATCH($B7,'Company Portfolio Summary'!$E$135:$E$149,FALSE),MATCH(AU$5,'Company Portfolio Summary'!$E$135:$BK$135,FALSE))</f>
        <v>6412.4071004607686</v>
      </c>
      <c r="AV7" s="572">
        <f ca="1">INDEX('Company Portfolio Summary'!$E$135:$BK$149,MATCH($B7,'Company Portfolio Summary'!$E$135:$E$149,FALSE),MATCH(AV$5,'Company Portfolio Summary'!$E$135:$BK$135,FALSE))</f>
        <v>6412.4071004607686</v>
      </c>
      <c r="AW7" s="572">
        <f ca="1">INDEX('Company Portfolio Summary'!$E$135:$BK$149,MATCH($B7,'Company Portfolio Summary'!$E$135:$E$149,FALSE),MATCH(AW$5,'Company Portfolio Summary'!$E$135:$BK$135,FALSE))</f>
        <v>6412.4071004607686</v>
      </c>
      <c r="AX7" s="572">
        <f ca="1">INDEX('Company Portfolio Summary'!$E$135:$BK$149,MATCH($B7,'Company Portfolio Summary'!$E$135:$E$149,FALSE),MATCH(AX$5,'Company Portfolio Summary'!$E$135:$BK$135,FALSE))</f>
        <v>6412.4071004607686</v>
      </c>
      <c r="AY7" s="2"/>
      <c r="AZ7" s="568"/>
      <c r="BA7" s="569"/>
      <c r="BB7" s="84"/>
      <c r="BC7" s="569"/>
      <c r="BD7" s="2"/>
      <c r="BE7" s="84"/>
      <c r="BF7" s="569"/>
    </row>
    <row r="8" spans="1:58">
      <c r="A8" s="527" t="str">
        <f t="shared" ref="A8:A19" si="6">B8&amp;"Total"</f>
        <v>Appliance RecyclingTotal</v>
      </c>
      <c r="B8" s="649" t="s">
        <v>59</v>
      </c>
      <c r="C8" s="572">
        <f t="shared" ca="1" si="1"/>
        <v>37555</v>
      </c>
      <c r="D8" s="650">
        <f t="shared" si="2"/>
        <v>7029758.6052810634</v>
      </c>
      <c r="E8" s="650">
        <f t="shared" si="3"/>
        <v>1850000</v>
      </c>
      <c r="F8" s="572">
        <f t="shared" ca="1" si="4"/>
        <v>28013028.469387755</v>
      </c>
      <c r="G8" s="572">
        <f t="shared" ca="1" si="0"/>
        <v>709.27020408163276</v>
      </c>
      <c r="H8" s="572">
        <f t="shared" ca="1" si="5"/>
        <v>0</v>
      </c>
      <c r="I8" s="572">
        <f ca="1">INDEX('Company Portfolio Summary'!$E$135:$BK$149,MATCH($B8,'Company Portfolio Summary'!$E$135:$E$149,FALSE),MATCH(I$5,'Company Portfolio Summary'!$E$135:$BK$135,FALSE))</f>
        <v>0</v>
      </c>
      <c r="J8" s="572">
        <f ca="1">INDEX('Company Portfolio Summary'!$E$135:$BK$149,MATCH($B8,'Company Portfolio Summary'!$E$135:$E$149,FALSE),MATCH(J$5,'Company Portfolio Summary'!$E$135:$BK$135,FALSE))</f>
        <v>0</v>
      </c>
      <c r="K8" s="572">
        <f ca="1">INDEX('Company Portfolio Summary'!$E$135:$BK$149,MATCH($B8,'Company Portfolio Summary'!$E$135:$E$149,FALSE),MATCH(K$5,'Company Portfolio Summary'!$E$135:$BK$135,FALSE))</f>
        <v>6090</v>
      </c>
      <c r="L8" s="572">
        <f ca="1">INDEX('Company Portfolio Summary'!$E$135:$BK$149,MATCH($B8,'Company Portfolio Summary'!$E$135:$E$149,FALSE),MATCH(L$5,'Company Portfolio Summary'!$E$135:$BK$135,FALSE))</f>
        <v>7105</v>
      </c>
      <c r="M8" s="572">
        <f ca="1">INDEX('Company Portfolio Summary'!$E$135:$BK$149,MATCH($B8,'Company Portfolio Summary'!$E$135:$E$149,FALSE),MATCH(M$5,'Company Portfolio Summary'!$E$135:$BK$135,FALSE))</f>
        <v>8120</v>
      </c>
      <c r="N8" s="572">
        <f ca="1">INDEX('Company Portfolio Summary'!$E$135:$BK$149,MATCH($B8,'Company Portfolio Summary'!$E$135:$E$149,FALSE),MATCH(N$5,'Company Portfolio Summary'!$E$135:$BK$135,FALSE))</f>
        <v>8120</v>
      </c>
      <c r="O8" s="572">
        <f ca="1">INDEX('Company Portfolio Summary'!$E$135:$BK$149,MATCH($B8,'Company Portfolio Summary'!$E$135:$E$149,FALSE),MATCH(O$5,'Company Portfolio Summary'!$E$135:$BK$135,FALSE))</f>
        <v>8120</v>
      </c>
      <c r="P8" s="650">
        <f>VLOOKUP($A8,'LGE-KU Budgets'!$A$6:$Y$50,'LGE-KU Budgets'!L$2,0)*1000</f>
        <v>0</v>
      </c>
      <c r="Q8" s="650">
        <f>VLOOKUP($A8,'LGE-KU Budgets'!$A$6:$Y$50,'LGE-KU Budgets'!M$2,0)*1000</f>
        <v>0</v>
      </c>
      <c r="R8" s="650">
        <f>VLOOKUP($A8,'LGE-KU Budgets'!$A$6:$Y$50,'LGE-KU Budgets'!N$2,0)*1000</f>
        <v>1371179.9064754124</v>
      </c>
      <c r="S8" s="650">
        <f>VLOOKUP($A8,'LGE-KU Budgets'!$A$6:$Y$50,'LGE-KU Budgets'!O$2,0)*1000</f>
        <v>1373495.3036696748</v>
      </c>
      <c r="T8" s="650">
        <f>VLOOKUP($A8,'LGE-KU Budgets'!$A$6:$Y$50,'LGE-KU Budgets'!P$2,0)*1000</f>
        <v>1525880.1627797652</v>
      </c>
      <c r="U8" s="650">
        <f>VLOOKUP($A8,'LGE-KU Budgets'!$A$6:$Y$50,'LGE-KU Budgets'!Q$2,0)*1000</f>
        <v>1378336.5676631578</v>
      </c>
      <c r="V8" s="650">
        <f>VLOOKUP($A8,'LGE-KU Budgets'!$A$6:$Y$50,'LGE-KU Budgets'!R$2,0)*1000</f>
        <v>1380866.6646930529</v>
      </c>
      <c r="W8" s="650">
        <f>VLOOKUP($A8,'LGE-KU Budgets'!$A$6:$Y$50,'LGE-KU Budgets'!S$2,0)*1000</f>
        <v>0</v>
      </c>
      <c r="X8" s="650">
        <f>VLOOKUP($A8,'LGE-KU Budgets'!$A$6:$Y$50,'LGE-KU Budgets'!T$2,0)*1000</f>
        <v>0</v>
      </c>
      <c r="Y8" s="650">
        <f>VLOOKUP($A8,'LGE-KU Budgets'!$A$6:$Y$50,'LGE-KU Budgets'!U$2,0)*1000</f>
        <v>300000</v>
      </c>
      <c r="Z8" s="650">
        <f>VLOOKUP($A8,'LGE-KU Budgets'!$A$6:$Y$50,'LGE-KU Budgets'!V$2,0)*1000</f>
        <v>350000.00000000006</v>
      </c>
      <c r="AA8" s="650">
        <f>VLOOKUP($A8,'LGE-KU Budgets'!$A$6:$Y$50,'LGE-KU Budgets'!W$2,0)*1000</f>
        <v>400000</v>
      </c>
      <c r="AB8" s="650">
        <f>VLOOKUP($A8,'LGE-KU Budgets'!$A$6:$Y$50,'LGE-KU Budgets'!X$2,0)*1000</f>
        <v>400000</v>
      </c>
      <c r="AC8" s="650">
        <f>VLOOKUP($A8,'LGE-KU Budgets'!$A$6:$Y$50,'LGE-KU Budgets'!Y$2,0)*1000</f>
        <v>400000</v>
      </c>
      <c r="AD8" s="572">
        <f ca="1">INDEX('Company Portfolio Summary'!$E$135:$BK$149,MATCH($B8,'Company Portfolio Summary'!$E$135:$E$149,FALSE),MATCH(AD$5,'Company Portfolio Summary'!$E$135:$BK$135,FALSE))</f>
        <v>0</v>
      </c>
      <c r="AE8" s="572">
        <f ca="1">INDEX('Company Portfolio Summary'!$E$135:$BK$149,MATCH($B8,'Company Portfolio Summary'!$E$135:$E$149,FALSE),MATCH(AE$5,'Company Portfolio Summary'!$E$135:$BK$135,FALSE))</f>
        <v>0</v>
      </c>
      <c r="AF8" s="572">
        <f ca="1">INDEX('Company Portfolio Summary'!$E$135:$BK$149,MATCH($B8,'Company Portfolio Summary'!$E$135:$E$149,FALSE),MATCH(AF$5,'Company Portfolio Summary'!$E$135:$BK$135,FALSE))</f>
        <v>4542653.2653061226</v>
      </c>
      <c r="AG8" s="572">
        <f ca="1">INDEX('Company Portfolio Summary'!$E$135:$BK$149,MATCH($B8,'Company Portfolio Summary'!$E$135:$E$149,FALSE),MATCH(AG$5,'Company Portfolio Summary'!$E$135:$BK$135,FALSE))</f>
        <v>5299762.1428571437</v>
      </c>
      <c r="AH8" s="572">
        <f ca="1">INDEX('Company Portfolio Summary'!$E$135:$BK$149,MATCH($B8,'Company Portfolio Summary'!$E$135:$E$149,FALSE),MATCH(AH$5,'Company Portfolio Summary'!$E$135:$BK$135,FALSE))</f>
        <v>6056871.0204081628</v>
      </c>
      <c r="AI8" s="572">
        <f ca="1">INDEX('Company Portfolio Summary'!$E$135:$BK$149,MATCH($B8,'Company Portfolio Summary'!$E$135:$E$149,FALSE),MATCH(AI$5,'Company Portfolio Summary'!$E$135:$BK$135,FALSE))</f>
        <v>6056871.0204081628</v>
      </c>
      <c r="AJ8" s="572">
        <f ca="1">INDEX('Company Portfolio Summary'!$E$135:$BK$149,MATCH($B8,'Company Portfolio Summary'!$E$135:$E$149,FALSE),MATCH(AJ$5,'Company Portfolio Summary'!$E$135:$BK$135,FALSE))</f>
        <v>6056871.0204081628</v>
      </c>
      <c r="AK8" s="572">
        <f ca="1">INDEX('Company Portfolio Summary'!$E$135:$BK$149,MATCH($B8,'Company Portfolio Summary'!$E$135:$E$149,FALSE),MATCH(AK$5,'Company Portfolio Summary'!$E$135:$BK$135,FALSE))</f>
        <v>0</v>
      </c>
      <c r="AL8" s="572">
        <f ca="1">INDEX('Company Portfolio Summary'!$E$135:$BK$149,MATCH($B8,'Company Portfolio Summary'!$E$135:$E$149,FALSE),MATCH(AL$5,'Company Portfolio Summary'!$E$135:$BK$135,FALSE))</f>
        <v>0</v>
      </c>
      <c r="AM8" s="572">
        <f ca="1">INDEX('Company Portfolio Summary'!$E$135:$BK$149,MATCH($B8,'Company Portfolio Summary'!$E$135:$E$149,FALSE),MATCH(AM$5,'Company Portfolio Summary'!$E$135:$BK$135,FALSE))</f>
        <v>531.95265306122451</v>
      </c>
      <c r="AN8" s="572">
        <f ca="1">INDEX('Company Portfolio Summary'!$E$135:$BK$149,MATCH($B8,'Company Portfolio Summary'!$E$135:$E$149,FALSE),MATCH(AN$5,'Company Portfolio Summary'!$E$135:$BK$135,FALSE))</f>
        <v>620.61142857142863</v>
      </c>
      <c r="AO8" s="572">
        <f ca="1">INDEX('Company Portfolio Summary'!$E$135:$BK$149,MATCH($B8,'Company Portfolio Summary'!$E$135:$E$149,FALSE),MATCH(AO$5,'Company Portfolio Summary'!$E$135:$BK$135,FALSE))</f>
        <v>709.27020408163276</v>
      </c>
      <c r="AP8" s="572">
        <f ca="1">INDEX('Company Portfolio Summary'!$E$135:$BK$149,MATCH($B8,'Company Portfolio Summary'!$E$135:$E$149,FALSE),MATCH(AP$5,'Company Portfolio Summary'!$E$135:$BK$135,FALSE))</f>
        <v>709.27020408163276</v>
      </c>
      <c r="AQ8" s="572">
        <f ca="1">INDEX('Company Portfolio Summary'!$E$135:$BK$149,MATCH($B8,'Company Portfolio Summary'!$E$135:$E$149,FALSE),MATCH(AQ$5,'Company Portfolio Summary'!$E$135:$BK$135,FALSE))</f>
        <v>709.27020408163276</v>
      </c>
      <c r="AR8" s="572">
        <f ca="1">INDEX('Company Portfolio Summary'!$E$135:$BK$149,MATCH($B8,'Company Portfolio Summary'!$E$135:$E$149,FALSE),MATCH(AR$5,'Company Portfolio Summary'!$E$135:$BK$135,FALSE))</f>
        <v>0</v>
      </c>
      <c r="AS8" s="572">
        <f ca="1">INDEX('Company Portfolio Summary'!$E$135:$BK$149,MATCH($B8,'Company Portfolio Summary'!$E$135:$E$149,FALSE),MATCH(AS$5,'Company Portfolio Summary'!$E$135:$BK$135,FALSE))</f>
        <v>0</v>
      </c>
      <c r="AT8" s="572">
        <f ca="1">INDEX('Company Portfolio Summary'!$E$135:$BK$149,MATCH($B8,'Company Portfolio Summary'!$E$135:$E$149,FALSE),MATCH(AT$5,'Company Portfolio Summary'!$E$135:$BK$135,FALSE))</f>
        <v>0</v>
      </c>
      <c r="AU8" s="572">
        <f ca="1">INDEX('Company Portfolio Summary'!$E$135:$BK$149,MATCH($B8,'Company Portfolio Summary'!$E$135:$E$149,FALSE),MATCH(AU$5,'Company Portfolio Summary'!$E$135:$BK$135,FALSE))</f>
        <v>0</v>
      </c>
      <c r="AV8" s="572">
        <f ca="1">INDEX('Company Portfolio Summary'!$E$135:$BK$149,MATCH($B8,'Company Portfolio Summary'!$E$135:$E$149,FALSE),MATCH(AV$5,'Company Portfolio Summary'!$E$135:$BK$135,FALSE))</f>
        <v>0</v>
      </c>
      <c r="AW8" s="572">
        <f ca="1">INDEX('Company Portfolio Summary'!$E$135:$BK$149,MATCH($B8,'Company Portfolio Summary'!$E$135:$E$149,FALSE),MATCH(AW$5,'Company Portfolio Summary'!$E$135:$BK$135,FALSE))</f>
        <v>0</v>
      </c>
      <c r="AX8" s="572">
        <f ca="1">INDEX('Company Portfolio Summary'!$E$135:$BK$149,MATCH($B8,'Company Portfolio Summary'!$E$135:$E$149,FALSE),MATCH(AX$5,'Company Portfolio Summary'!$E$135:$BK$135,FALSE))</f>
        <v>0</v>
      </c>
      <c r="AY8" s="2"/>
      <c r="AZ8" s="568"/>
      <c r="BA8" s="569"/>
      <c r="BB8" s="84"/>
      <c r="BC8" s="569"/>
      <c r="BD8" s="2"/>
      <c r="BE8" s="84"/>
      <c r="BF8" s="569"/>
    </row>
    <row r="9" spans="1:58">
      <c r="A9" s="527" t="str">
        <f t="shared" si="6"/>
        <v>Online MarketplaceTotal</v>
      </c>
      <c r="B9" s="649" t="s">
        <v>60</v>
      </c>
      <c r="C9" s="572">
        <f t="shared" ca="1" si="1"/>
        <v>52009.283202874991</v>
      </c>
      <c r="D9" s="650">
        <f t="shared" si="2"/>
        <v>1442000</v>
      </c>
      <c r="E9" s="650">
        <f t="shared" si="3"/>
        <v>3884172.8320287503</v>
      </c>
      <c r="F9" s="572">
        <f t="shared" ca="1" si="4"/>
        <v>16061362.532744814</v>
      </c>
      <c r="G9" s="572">
        <f t="shared" ca="1" si="0"/>
        <v>0</v>
      </c>
      <c r="H9" s="572">
        <f t="shared" ca="1" si="5"/>
        <v>709890.48</v>
      </c>
      <c r="I9" s="572">
        <f ca="1">INDEX('Company Portfolio Summary'!$E$135:$BK$149,MATCH($B9,'Company Portfolio Summary'!$E$135:$E$149,FALSE),MATCH(I$5,'Company Portfolio Summary'!$E$135:$BK$135,FALSE))</f>
        <v>1070</v>
      </c>
      <c r="J9" s="572">
        <f ca="1">INDEX('Company Portfolio Summary'!$E$135:$BK$149,MATCH($B9,'Company Portfolio Summary'!$E$135:$E$149,FALSE),MATCH(J$5,'Company Portfolio Summary'!$E$135:$BK$135,FALSE))</f>
        <v>2116.1999999999998</v>
      </c>
      <c r="K9" s="572">
        <f ca="1">INDEX('Company Portfolio Summary'!$E$135:$BK$149,MATCH($B9,'Company Portfolio Summary'!$E$135:$E$149,FALSE),MATCH(K$5,'Company Portfolio Summary'!$E$135:$BK$135,FALSE))</f>
        <v>4217.46</v>
      </c>
      <c r="L9" s="572">
        <f ca="1">INDEX('Company Portfolio Summary'!$E$135:$BK$149,MATCH($B9,'Company Portfolio Summary'!$E$135:$E$149,FALSE),MATCH(L$5,'Company Portfolio Summary'!$E$135:$BK$135,FALSE))</f>
        <v>8403.7829999999994</v>
      </c>
      <c r="M9" s="572">
        <f ca="1">INDEX('Company Portfolio Summary'!$E$135:$BK$149,MATCH($B9,'Company Portfolio Summary'!$E$135:$E$149,FALSE),MATCH(M$5,'Company Portfolio Summary'!$E$135:$BK$135,FALSE))</f>
        <v>12052.67215</v>
      </c>
      <c r="N9" s="572">
        <f ca="1">INDEX('Company Portfolio Summary'!$E$135:$BK$149,MATCH($B9,'Company Portfolio Summary'!$E$135:$E$149,FALSE),MATCH(N$5,'Company Portfolio Summary'!$E$135:$BK$135,FALSE))</f>
        <v>12065.380757499999</v>
      </c>
      <c r="O9" s="572">
        <f ca="1">INDEX('Company Portfolio Summary'!$E$135:$BK$149,MATCH($B9,'Company Portfolio Summary'!$E$135:$E$149,FALSE),MATCH(O$5,'Company Portfolio Summary'!$E$135:$BK$135,FALSE))</f>
        <v>12083.787295374999</v>
      </c>
      <c r="P9" s="650">
        <f>VLOOKUP($A9,'LGE-KU Budgets'!$A$6:$Y$50,'LGE-KU Budgets'!L$2,0)*1000</f>
        <v>156000</v>
      </c>
      <c r="Q9" s="650">
        <f>VLOOKUP($A9,'LGE-KU Budgets'!$A$6:$Y$50,'LGE-KU Budgets'!M$2,0)*1000</f>
        <v>156000</v>
      </c>
      <c r="R9" s="650">
        <f>VLOOKUP($A9,'LGE-KU Budgets'!$A$6:$Y$50,'LGE-KU Budgets'!N$2,0)*1000</f>
        <v>196000</v>
      </c>
      <c r="S9" s="650">
        <f>VLOOKUP($A9,'LGE-KU Budgets'!$A$6:$Y$50,'LGE-KU Budgets'!O$2,0)*1000</f>
        <v>346000</v>
      </c>
      <c r="T9" s="650">
        <f>VLOOKUP($A9,'LGE-KU Budgets'!$A$6:$Y$50,'LGE-KU Budgets'!P$2,0)*1000</f>
        <v>196000</v>
      </c>
      <c r="U9" s="650">
        <f>VLOOKUP($A9,'LGE-KU Budgets'!$A$6:$Y$50,'LGE-KU Budgets'!Q$2,0)*1000</f>
        <v>196000</v>
      </c>
      <c r="V9" s="650">
        <f>VLOOKUP($A9,'LGE-KU Budgets'!$A$6:$Y$50,'LGE-KU Budgets'!R$2,0)*1000</f>
        <v>196000</v>
      </c>
      <c r="W9" s="650">
        <f>VLOOKUP($A9,'LGE-KU Budgets'!$A$6:$Y$50,'LGE-KU Budgets'!S$2,0)*1000</f>
        <v>78615</v>
      </c>
      <c r="X9" s="650">
        <f>VLOOKUP($A9,'LGE-KU Budgets'!$A$6:$Y$50,'LGE-KU Budgets'!T$2,0)*1000</f>
        <v>157002</v>
      </c>
      <c r="Y9" s="650">
        <f>VLOOKUP($A9,'LGE-KU Budgets'!$A$6:$Y$50,'LGE-KU Budgets'!U$2,0)*1000</f>
        <v>314264.59999999998</v>
      </c>
      <c r="Z9" s="650">
        <f>VLOOKUP($A9,'LGE-KU Budgets'!$A$6:$Y$50,'LGE-KU Budgets'!V$2,0)*1000</f>
        <v>628027.82999999996</v>
      </c>
      <c r="AA9" s="650">
        <f>VLOOKUP($A9,'LGE-KU Budgets'!$A$6:$Y$50,'LGE-KU Budgets'!W$2,0)*1000</f>
        <v>901416.72149999999</v>
      </c>
      <c r="AB9" s="650">
        <f>VLOOKUP($A9,'LGE-KU Budgets'!$A$6:$Y$50,'LGE-KU Budgets'!X$2,0)*1000</f>
        <v>901993.80757499998</v>
      </c>
      <c r="AC9" s="650">
        <f>VLOOKUP($A9,'LGE-KU Budgets'!$A$6:$Y$50,'LGE-KU Budgets'!Y$2,0)*1000</f>
        <v>902852.87295374996</v>
      </c>
      <c r="AD9" s="572">
        <f ca="1">INDEX('Company Portfolio Summary'!$E$135:$BK$149,MATCH($B9,'Company Portfolio Summary'!$E$135:$E$149,FALSE),MATCH(AD$5,'Company Portfolio Summary'!$E$135:$BK$135,FALSE))</f>
        <v>326074.69273141853</v>
      </c>
      <c r="AE9" s="572">
        <f ca="1">INDEX('Company Portfolio Summary'!$E$135:$BK$149,MATCH($B9,'Company Portfolio Summary'!$E$135:$E$149,FALSE),MATCH(AE$5,'Company Portfolio Summary'!$E$135:$BK$135,FALSE))</f>
        <v>650701.58546283701</v>
      </c>
      <c r="AF9" s="572">
        <f ca="1">INDEX('Company Portfolio Summary'!$E$135:$BK$149,MATCH($B9,'Company Portfolio Summary'!$E$135:$E$149,FALSE),MATCH(AF$5,'Company Portfolio Summary'!$E$135:$BK$135,FALSE))</f>
        <v>1299882.9809256741</v>
      </c>
      <c r="AG9" s="572">
        <f ca="1">INDEX('Company Portfolio Summary'!$E$135:$BK$149,MATCH($B9,'Company Portfolio Summary'!$E$135:$E$149,FALSE),MATCH(AG$5,'Company Portfolio Summary'!$E$135:$BK$135,FALSE))</f>
        <v>2598169.7623513481</v>
      </c>
      <c r="AH9" s="572">
        <f ca="1">INDEX('Company Portfolio Summary'!$E$135:$BK$149,MATCH($B9,'Company Portfolio Summary'!$E$135:$E$149,FALSE),MATCH(AH$5,'Company Portfolio Summary'!$E$135:$BK$135,FALSE))</f>
        <v>3728750.338488658</v>
      </c>
      <c r="AI9" s="572">
        <f ca="1">INDEX('Company Portfolio Summary'!$E$135:$BK$149,MATCH($B9,'Company Portfolio Summary'!$E$135:$E$149,FALSE),MATCH(AI$5,'Company Portfolio Summary'!$E$135:$BK$135,FALSE))</f>
        <v>3728842.960064908</v>
      </c>
      <c r="AJ9" s="572">
        <f ca="1">INDEX('Company Portfolio Summary'!$E$135:$BK$149,MATCH($B9,'Company Portfolio Summary'!$E$135:$E$149,FALSE),MATCH(AJ$5,'Company Portfolio Summary'!$E$135:$BK$135,FALSE))</f>
        <v>3728940.2127199704</v>
      </c>
      <c r="AK9" s="572">
        <f ca="1">INDEX('Company Portfolio Summary'!$E$135:$BK$149,MATCH($B9,'Company Portfolio Summary'!$E$135:$E$149,FALSE),MATCH(AK$5,'Company Portfolio Summary'!$E$135:$BK$135,FALSE))</f>
        <v>0</v>
      </c>
      <c r="AL9" s="572">
        <f ca="1">INDEX('Company Portfolio Summary'!$E$135:$BK$149,MATCH($B9,'Company Portfolio Summary'!$E$135:$E$149,FALSE),MATCH(AL$5,'Company Portfolio Summary'!$E$135:$BK$135,FALSE))</f>
        <v>0</v>
      </c>
      <c r="AM9" s="572">
        <f ca="1">INDEX('Company Portfolio Summary'!$E$135:$BK$149,MATCH($B9,'Company Portfolio Summary'!$E$135:$E$149,FALSE),MATCH(AM$5,'Company Portfolio Summary'!$E$135:$BK$135,FALSE))</f>
        <v>0</v>
      </c>
      <c r="AN9" s="572">
        <f ca="1">INDEX('Company Portfolio Summary'!$E$135:$BK$149,MATCH($B9,'Company Portfolio Summary'!$E$135:$E$149,FALSE),MATCH(AN$5,'Company Portfolio Summary'!$E$135:$BK$135,FALSE))</f>
        <v>0</v>
      </c>
      <c r="AO9" s="572">
        <f ca="1">INDEX('Company Portfolio Summary'!$E$135:$BK$149,MATCH($B9,'Company Portfolio Summary'!$E$135:$E$149,FALSE),MATCH(AO$5,'Company Portfolio Summary'!$E$135:$BK$135,FALSE))</f>
        <v>0</v>
      </c>
      <c r="AP9" s="572">
        <f ca="1">INDEX('Company Portfolio Summary'!$E$135:$BK$149,MATCH($B9,'Company Portfolio Summary'!$E$135:$E$149,FALSE),MATCH(AP$5,'Company Portfolio Summary'!$E$135:$BK$135,FALSE))</f>
        <v>0</v>
      </c>
      <c r="AQ9" s="572">
        <f ca="1">INDEX('Company Portfolio Summary'!$E$135:$BK$149,MATCH($B9,'Company Portfolio Summary'!$E$135:$E$149,FALSE),MATCH(AQ$5,'Company Portfolio Summary'!$E$135:$BK$135,FALSE))</f>
        <v>0</v>
      </c>
      <c r="AR9" s="572">
        <f ca="1">INDEX('Company Portfolio Summary'!$E$135:$BK$149,MATCH($B9,'Company Portfolio Summary'!$E$135:$E$149,FALSE),MATCH(AR$5,'Company Portfolio Summary'!$E$135:$BK$135,FALSE))</f>
        <v>14355.792000000001</v>
      </c>
      <c r="AS9" s="572">
        <f ca="1">INDEX('Company Portfolio Summary'!$E$135:$BK$149,MATCH($B9,'Company Portfolio Summary'!$E$135:$E$149,FALSE),MATCH(AS$5,'Company Portfolio Summary'!$E$135:$BK$135,FALSE))</f>
        <v>28711.584000000003</v>
      </c>
      <c r="AT9" s="572">
        <f ca="1">INDEX('Company Portfolio Summary'!$E$135:$BK$149,MATCH($B9,'Company Portfolio Summary'!$E$135:$E$149,FALSE),MATCH(AT$5,'Company Portfolio Summary'!$E$135:$BK$135,FALSE))</f>
        <v>57423.168000000005</v>
      </c>
      <c r="AU9" s="572">
        <f ca="1">INDEX('Company Portfolio Summary'!$E$135:$BK$149,MATCH($B9,'Company Portfolio Summary'!$E$135:$E$149,FALSE),MATCH(AU$5,'Company Portfolio Summary'!$E$135:$BK$135,FALSE))</f>
        <v>114846.33600000001</v>
      </c>
      <c r="AV9" s="572">
        <f ca="1">INDEX('Company Portfolio Summary'!$E$135:$BK$149,MATCH($B9,'Company Portfolio Summary'!$E$135:$E$149,FALSE),MATCH(AV$5,'Company Portfolio Summary'!$E$135:$BK$135,FALSE))</f>
        <v>164851.20000000001</v>
      </c>
      <c r="AW9" s="572">
        <f ca="1">INDEX('Company Portfolio Summary'!$E$135:$BK$149,MATCH($B9,'Company Portfolio Summary'!$E$135:$E$149,FALSE),MATCH(AW$5,'Company Portfolio Summary'!$E$135:$BK$135,FALSE))</f>
        <v>164851.20000000001</v>
      </c>
      <c r="AX9" s="572">
        <f ca="1">INDEX('Company Portfolio Summary'!$E$135:$BK$149,MATCH($B9,'Company Portfolio Summary'!$E$135:$E$149,FALSE),MATCH(AX$5,'Company Portfolio Summary'!$E$135:$BK$135,FALSE))</f>
        <v>164851.20000000001</v>
      </c>
      <c r="AY9" s="2"/>
      <c r="AZ9" s="568"/>
      <c r="BA9" s="569"/>
      <c r="BB9" s="84"/>
      <c r="BC9" s="569"/>
      <c r="BD9" s="2"/>
      <c r="BE9" s="84"/>
      <c r="BF9" s="569"/>
    </row>
    <row r="10" spans="1:58">
      <c r="A10" s="527" t="str">
        <f t="shared" si="6"/>
        <v>Residential Audit OnlineTotal</v>
      </c>
      <c r="B10" s="649" t="s">
        <v>61</v>
      </c>
      <c r="C10" s="572">
        <f t="shared" ca="1" si="1"/>
        <v>31761.4375</v>
      </c>
      <c r="D10" s="650">
        <f t="shared" si="2"/>
        <v>3449914.2344964044</v>
      </c>
      <c r="E10" s="650">
        <f t="shared" si="3"/>
        <v>5454400</v>
      </c>
      <c r="F10" s="572">
        <f t="shared" ca="1" si="4"/>
        <v>23270194.162416764</v>
      </c>
      <c r="G10" s="572">
        <f t="shared" ca="1" si="0"/>
        <v>383.58770340715751</v>
      </c>
      <c r="H10" s="572">
        <f t="shared" ca="1" si="5"/>
        <v>65500.001238232027</v>
      </c>
      <c r="I10" s="572">
        <f ca="1">INDEX('Company Portfolio Summary'!$E$135:$BK$149,MATCH($B10,'Company Portfolio Summary'!$E$135:$E$149,FALSE),MATCH(I$5,'Company Portfolio Summary'!$E$135:$BK$135,FALSE))</f>
        <v>0</v>
      </c>
      <c r="J10" s="572">
        <f ca="1">INDEX('Company Portfolio Summary'!$E$135:$BK$149,MATCH($B10,'Company Portfolio Summary'!$E$135:$E$149,FALSE),MATCH(J$5,'Company Portfolio Summary'!$E$135:$BK$135,FALSE))</f>
        <v>4033.5</v>
      </c>
      <c r="K10" s="572">
        <f ca="1">INDEX('Company Portfolio Summary'!$E$135:$BK$149,MATCH($B10,'Company Portfolio Summary'!$E$135:$E$149,FALSE),MATCH(K$5,'Company Portfolio Summary'!$E$135:$BK$135,FALSE))</f>
        <v>4653.5</v>
      </c>
      <c r="L10" s="572">
        <f ca="1">INDEX('Company Portfolio Summary'!$E$135:$BK$149,MATCH($B10,'Company Portfolio Summary'!$E$135:$E$149,FALSE),MATCH(L$5,'Company Portfolio Summary'!$E$135:$BK$135,FALSE))</f>
        <v>5282.25</v>
      </c>
      <c r="M10" s="572">
        <f ca="1">INDEX('Company Portfolio Summary'!$E$135:$BK$149,MATCH($B10,'Company Portfolio Summary'!$E$135:$E$149,FALSE),MATCH(M$5,'Company Portfolio Summary'!$E$135:$BK$135,FALSE))</f>
        <v>6064.0625</v>
      </c>
      <c r="N10" s="572">
        <f ca="1">INDEX('Company Portfolio Summary'!$E$135:$BK$149,MATCH($B10,'Company Portfolio Summary'!$E$135:$E$149,FALSE),MATCH(N$5,'Company Portfolio Summary'!$E$135:$BK$135,FALSE))</f>
        <v>5864.0625</v>
      </c>
      <c r="O10" s="572">
        <f ca="1">INDEX('Company Portfolio Summary'!$E$135:$BK$149,MATCH($B10,'Company Portfolio Summary'!$E$135:$E$149,FALSE),MATCH(O$5,'Company Portfolio Summary'!$E$135:$BK$135,FALSE))</f>
        <v>5864.0625</v>
      </c>
      <c r="P10" s="650">
        <f>VLOOKUP($A10,'LGE-KU Budgets'!$A$6:$Y$50,'LGE-KU Budgets'!L$2,0)*1000</f>
        <v>0</v>
      </c>
      <c r="Q10" s="650">
        <f>VLOOKUP($A10,'LGE-KU Budgets'!$A$6:$Y$50,'LGE-KU Budgets'!M$2,0)*1000</f>
        <v>534926.32190499513</v>
      </c>
      <c r="R10" s="650">
        <f>VLOOKUP($A10,'LGE-KU Budgets'!$A$6:$Y$50,'LGE-KU Budgets'!N$2,0)*1000</f>
        <v>541128.11156214506</v>
      </c>
      <c r="S10" s="650">
        <f>VLOOKUP($A10,'LGE-KU Budgets'!$A$6:$Y$50,'LGE-KU Budgets'!O$2,0)*1000</f>
        <v>697557.65490900935</v>
      </c>
      <c r="T10" s="650">
        <f>VLOOKUP($A10,'LGE-KU Budgets'!$A$6:$Y$50,'LGE-KU Budgets'!P$2,0)*1000</f>
        <v>554223.86955627962</v>
      </c>
      <c r="U10" s="650">
        <f>VLOOKUP($A10,'LGE-KU Budgets'!$A$6:$Y$50,'LGE-KU Budgets'!Q$2,0)*1000</f>
        <v>558722.39676796796</v>
      </c>
      <c r="V10" s="650">
        <f>VLOOKUP($A10,'LGE-KU Budgets'!$A$6:$Y$50,'LGE-KU Budgets'!R$2,0)*1000</f>
        <v>563355.87979600695</v>
      </c>
      <c r="W10" s="650">
        <f>VLOOKUP($A10,'LGE-KU Budgets'!$A$6:$Y$50,'LGE-KU Budgets'!S$2,0)*1000</f>
        <v>0</v>
      </c>
      <c r="X10" s="650">
        <f>VLOOKUP($A10,'LGE-KU Budgets'!$A$6:$Y$50,'LGE-KU Budgets'!T$2,0)*1000</f>
        <v>550400</v>
      </c>
      <c r="Y10" s="650">
        <f>VLOOKUP($A10,'LGE-KU Budgets'!$A$6:$Y$50,'LGE-KU Budgets'!U$2,0)*1000</f>
        <v>724300</v>
      </c>
      <c r="Z10" s="650">
        <f>VLOOKUP($A10,'LGE-KU Budgets'!$A$6:$Y$50,'LGE-KU Budgets'!V$2,0)*1000</f>
        <v>899000</v>
      </c>
      <c r="AA10" s="650">
        <f>VLOOKUP($A10,'LGE-KU Budgets'!$A$6:$Y$50,'LGE-KU Budgets'!W$2,0)*1000</f>
        <v>1126900</v>
      </c>
      <c r="AB10" s="650">
        <f>VLOOKUP($A10,'LGE-KU Budgets'!$A$6:$Y$50,'LGE-KU Budgets'!X$2,0)*1000</f>
        <v>1076900</v>
      </c>
      <c r="AC10" s="650">
        <f>VLOOKUP($A10,'LGE-KU Budgets'!$A$6:$Y$50,'LGE-KU Budgets'!Y$2,0)*1000</f>
        <v>1076900</v>
      </c>
      <c r="AD10" s="572">
        <f ca="1">INDEX('Company Portfolio Summary'!$E$135:$BK$149,MATCH($B10,'Company Portfolio Summary'!$E$135:$E$149,FALSE),MATCH(AD$5,'Company Portfolio Summary'!$E$135:$BK$135,FALSE))</f>
        <v>0</v>
      </c>
      <c r="AE10" s="572">
        <f ca="1">INDEX('Company Portfolio Summary'!$E$135:$BK$149,MATCH($B10,'Company Portfolio Summary'!$E$135:$E$149,FALSE),MATCH(AE$5,'Company Portfolio Summary'!$E$135:$BK$135,FALSE))</f>
        <v>2407866.2325542364</v>
      </c>
      <c r="AF10" s="572">
        <f ca="1">INDEX('Company Portfolio Summary'!$E$135:$BK$149,MATCH($B10,'Company Portfolio Summary'!$E$135:$E$149,FALSE),MATCH(AF$5,'Company Portfolio Summary'!$E$135:$BK$135,FALSE))</f>
        <v>3085558.083627129</v>
      </c>
      <c r="AG10" s="572">
        <f ca="1">INDEX('Company Portfolio Summary'!$E$135:$BK$149,MATCH($B10,'Company Portfolio Summary'!$E$135:$E$149,FALSE),MATCH(AG$5,'Company Portfolio Summary'!$E$135:$BK$135,FALSE))</f>
        <v>3767318.7800723948</v>
      </c>
      <c r="AH10" s="572">
        <f ca="1">INDEX('Company Portfolio Summary'!$E$135:$BK$149,MATCH($B10,'Company Portfolio Summary'!$E$135:$E$149,FALSE),MATCH(AH$5,'Company Portfolio Summary'!$E$135:$BK$135,FALSE))</f>
        <v>4669817.0220543351</v>
      </c>
      <c r="AI10" s="572">
        <f ca="1">INDEX('Company Portfolio Summary'!$E$135:$BK$149,MATCH($B10,'Company Portfolio Summary'!$E$135:$E$149,FALSE),MATCH(AI$5,'Company Portfolio Summary'!$E$135:$BK$135,FALSE))</f>
        <v>4669817.0220543351</v>
      </c>
      <c r="AJ10" s="572">
        <f ca="1">INDEX('Company Portfolio Summary'!$E$135:$BK$149,MATCH($B10,'Company Portfolio Summary'!$E$135:$E$149,FALSE),MATCH(AJ$5,'Company Portfolio Summary'!$E$135:$BK$135,FALSE))</f>
        <v>4669817.0220543351</v>
      </c>
      <c r="AK10" s="572">
        <f ca="1">INDEX('Company Portfolio Summary'!$E$135:$BK$149,MATCH($B10,'Company Portfolio Summary'!$E$135:$E$149,FALSE),MATCH(AK$5,'Company Portfolio Summary'!$E$135:$BK$135,FALSE))</f>
        <v>0</v>
      </c>
      <c r="AL10" s="572">
        <f ca="1">INDEX('Company Portfolio Summary'!$E$135:$BK$149,MATCH($B10,'Company Portfolio Summary'!$E$135:$E$149,FALSE),MATCH(AL$5,'Company Portfolio Summary'!$E$135:$BK$135,FALSE))</f>
        <v>197.06342860175533</v>
      </c>
      <c r="AM10" s="572">
        <f ca="1">INDEX('Company Portfolio Summary'!$E$135:$BK$149,MATCH($B10,'Company Portfolio Summary'!$E$135:$E$149,FALSE),MATCH(AM$5,'Company Portfolio Summary'!$E$135:$BK$135,FALSE))</f>
        <v>252.96809563301613</v>
      </c>
      <c r="AN10" s="572">
        <f ca="1">INDEX('Company Portfolio Summary'!$E$135:$BK$149,MATCH($B10,'Company Portfolio Summary'!$E$135:$E$149,FALSE),MATCH(AN$5,'Company Portfolio Summary'!$E$135:$BK$135,FALSE))</f>
        <v>309.15908086492635</v>
      </c>
      <c r="AO10" s="572">
        <f ca="1">INDEX('Company Portfolio Summary'!$E$135:$BK$149,MATCH($B10,'Company Portfolio Summary'!$E$135:$E$149,FALSE),MATCH(AO$5,'Company Portfolio Summary'!$E$135:$BK$135,FALSE))</f>
        <v>383.58770340715751</v>
      </c>
      <c r="AP10" s="572">
        <f ca="1">INDEX('Company Portfolio Summary'!$E$135:$BK$149,MATCH($B10,'Company Portfolio Summary'!$E$135:$E$149,FALSE),MATCH(AP$5,'Company Portfolio Summary'!$E$135:$BK$135,FALSE))</f>
        <v>383.58770340715751</v>
      </c>
      <c r="AQ10" s="572">
        <f ca="1">INDEX('Company Portfolio Summary'!$E$135:$BK$149,MATCH($B10,'Company Portfolio Summary'!$E$135:$E$149,FALSE),MATCH(AQ$5,'Company Portfolio Summary'!$E$135:$BK$135,FALSE))</f>
        <v>383.58770340715751</v>
      </c>
      <c r="AR10" s="572">
        <f ca="1">INDEX('Company Portfolio Summary'!$E$135:$BK$149,MATCH($B10,'Company Portfolio Summary'!$E$135:$E$149,FALSE),MATCH(AR$5,'Company Portfolio Summary'!$E$135:$BK$135,FALSE))</f>
        <v>0</v>
      </c>
      <c r="AS10" s="572">
        <f ca="1">INDEX('Company Portfolio Summary'!$E$135:$BK$149,MATCH($B10,'Company Portfolio Summary'!$E$135:$E$149,FALSE),MATCH(AS$5,'Company Portfolio Summary'!$E$135:$BK$135,FALSE))</f>
        <v>7967.580807328949</v>
      </c>
      <c r="AT10" s="572">
        <f ca="1">INDEX('Company Portfolio Summary'!$E$135:$BK$149,MATCH($B10,'Company Portfolio Summary'!$E$135:$E$149,FALSE),MATCH(AT$5,'Company Portfolio Summary'!$E$135:$BK$135,FALSE))</f>
        <v>11944.491097695392</v>
      </c>
      <c r="AU10" s="572">
        <f ca="1">INDEX('Company Portfolio Summary'!$E$135:$BK$149,MATCH($B10,'Company Portfolio Summary'!$E$135:$E$149,FALSE),MATCH(AU$5,'Company Portfolio Summary'!$E$135:$BK$135,FALSE))</f>
        <v>15931.903152580158</v>
      </c>
      <c r="AV10" s="572">
        <f ca="1">INDEX('Company Portfolio Summary'!$E$135:$BK$149,MATCH($B10,'Company Portfolio Summary'!$E$135:$E$149,FALSE),MATCH(AV$5,'Company Portfolio Summary'!$E$135:$BK$135,FALSE))</f>
        <v>19930.342060209161</v>
      </c>
      <c r="AW10" s="572">
        <f ca="1">INDEX('Company Portfolio Summary'!$E$135:$BK$149,MATCH($B10,'Company Portfolio Summary'!$E$135:$E$149,FALSE),MATCH(AW$5,'Company Portfolio Summary'!$E$135:$BK$135,FALSE))</f>
        <v>4862.8420602091801</v>
      </c>
      <c r="AX10" s="572">
        <f ca="1">INDEX('Company Portfolio Summary'!$E$135:$BK$149,MATCH($B10,'Company Portfolio Summary'!$E$135:$E$149,FALSE),MATCH(AX$5,'Company Portfolio Summary'!$E$135:$BK$135,FALSE))</f>
        <v>4862.8420602091801</v>
      </c>
      <c r="AY10" s="2"/>
      <c r="AZ10" s="568"/>
      <c r="BA10" s="569"/>
      <c r="BB10" s="84"/>
      <c r="BC10" s="569"/>
      <c r="BD10" s="2"/>
      <c r="BE10" s="84"/>
      <c r="BF10" s="569"/>
    </row>
    <row r="11" spans="1:58">
      <c r="A11" s="527" t="str">
        <f t="shared" si="6"/>
        <v>BYOT &amp; BYODTotal</v>
      </c>
      <c r="B11" s="649" t="s">
        <v>62</v>
      </c>
      <c r="C11" s="572">
        <f ca="1">MAX(I11:O11)</f>
        <v>70138.850000000006</v>
      </c>
      <c r="D11" s="650">
        <f t="shared" si="2"/>
        <v>9896099.1025585234</v>
      </c>
      <c r="E11" s="650">
        <f t="shared" si="3"/>
        <v>30986555.625</v>
      </c>
      <c r="F11" s="572">
        <f t="shared" ca="1" si="4"/>
        <v>0</v>
      </c>
      <c r="G11" s="572">
        <f t="shared" ca="1" si="0"/>
        <v>36433.038646055436</v>
      </c>
      <c r="H11" s="572">
        <f t="shared" ca="1" si="5"/>
        <v>0</v>
      </c>
      <c r="I11" s="572">
        <f ca="1">INDEX('Company Portfolio Summary'!$E$135:$BK$149,MATCH($B11,'Company Portfolio Summary'!$E$135:$E$149,FALSE),MATCH(I$5,'Company Portfolio Summary'!$E$135:$BK$135,FALSE))</f>
        <v>3500</v>
      </c>
      <c r="J11" s="572">
        <f ca="1">INDEX('Company Portfolio Summary'!$E$135:$BK$149,MATCH($B11,'Company Portfolio Summary'!$E$135:$E$149,FALSE),MATCH(J$5,'Company Portfolio Summary'!$E$135:$BK$135,FALSE))</f>
        <v>7200</v>
      </c>
      <c r="K11" s="572">
        <f ca="1">INDEX('Company Portfolio Summary'!$E$135:$BK$149,MATCH($B11,'Company Portfolio Summary'!$E$135:$E$149,FALSE),MATCH(K$5,'Company Portfolio Summary'!$E$135:$BK$135,FALSE))</f>
        <v>14320</v>
      </c>
      <c r="L11" s="572">
        <f ca="1">INDEX('Company Portfolio Summary'!$E$135:$BK$149,MATCH($B11,'Company Portfolio Summary'!$E$135:$E$149,FALSE),MATCH(L$5,'Company Portfolio Summary'!$E$135:$BK$135,FALSE))</f>
        <v>24988.400000000001</v>
      </c>
      <c r="M11" s="572">
        <f ca="1">INDEX('Company Portfolio Summary'!$E$135:$BK$149,MATCH($B11,'Company Portfolio Summary'!$E$135:$E$149,FALSE),MATCH(M$5,'Company Portfolio Summary'!$E$135:$BK$135,FALSE))</f>
        <v>40029.800000000003</v>
      </c>
      <c r="N11" s="572">
        <f ca="1">INDEX('Company Portfolio Summary'!$E$135:$BK$149,MATCH($B11,'Company Portfolio Summary'!$E$135:$E$149,FALSE),MATCH(N$5,'Company Portfolio Summary'!$E$135:$BK$135,FALSE))</f>
        <v>55078.7</v>
      </c>
      <c r="O11" s="572">
        <f ca="1">INDEX('Company Portfolio Summary'!$E$135:$BK$149,MATCH($B11,'Company Portfolio Summary'!$E$135:$E$149,FALSE),MATCH(O$5,'Company Portfolio Summary'!$E$135:$BK$135,FALSE))</f>
        <v>70138.850000000006</v>
      </c>
      <c r="P11" s="650">
        <f>VLOOKUP($A11,'LGE-KU Budgets'!$A$6:$Y$50,'LGE-KU Budgets'!L$2,0)*1000</f>
        <v>993586.4491572181</v>
      </c>
      <c r="Q11" s="650">
        <f>VLOOKUP($A11,'LGE-KU Budgets'!$A$6:$Y$50,'LGE-KU Budgets'!M$2,0)*1000</f>
        <v>607190.04263193486</v>
      </c>
      <c r="R11" s="650">
        <f>VLOOKUP($A11,'LGE-KU Budgets'!$A$6:$Y$50,'LGE-KU Budgets'!N$2,0)*1000</f>
        <v>818881.74391089287</v>
      </c>
      <c r="S11" s="650">
        <f>VLOOKUP($A11,'LGE-KU Budgets'!$A$6:$Y$50,'LGE-KU Budgets'!O$2,0)*1000</f>
        <v>1144938.5962282196</v>
      </c>
      <c r="T11" s="650">
        <f>VLOOKUP($A11,'LGE-KU Budgets'!$A$6:$Y$50,'LGE-KU Budgets'!P$2,0)*1000</f>
        <v>1752393.7941150661</v>
      </c>
      <c r="U11" s="650">
        <f>VLOOKUP($A11,'LGE-KU Budgets'!$A$6:$Y$50,'LGE-KU Budgets'!Q$2,0)*1000</f>
        <v>2060302.6879385184</v>
      </c>
      <c r="V11" s="650">
        <f>VLOOKUP($A11,'LGE-KU Budgets'!$A$6:$Y$50,'LGE-KU Budgets'!R$2,0)*1000</f>
        <v>2518805.7885766737</v>
      </c>
      <c r="W11" s="650">
        <f>VLOOKUP($A11,'LGE-KU Budgets'!$A$6:$Y$50,'LGE-KU Budgets'!S$2,0)*1000</f>
        <v>588000</v>
      </c>
      <c r="X11" s="650">
        <f>VLOOKUP($A11,'LGE-KU Budgets'!$A$6:$Y$50,'LGE-KU Budgets'!T$2,0)*1000</f>
        <v>1072000</v>
      </c>
      <c r="Y11" s="650">
        <f>VLOOKUP($A11,'LGE-KU Budgets'!$A$6:$Y$50,'LGE-KU Budgets'!U$2,0)*1000</f>
        <v>2156750</v>
      </c>
      <c r="Z11" s="650">
        <f>VLOOKUP($A11,'LGE-KU Budgets'!$A$6:$Y$50,'LGE-KU Budgets'!V$2,0)*1000</f>
        <v>3721053</v>
      </c>
      <c r="AA11" s="650">
        <f>VLOOKUP($A11,'LGE-KU Budgets'!$A$6:$Y$50,'LGE-KU Budgets'!W$2,0)*1000</f>
        <v>5858503.5</v>
      </c>
      <c r="AB11" s="650">
        <f>VLOOKUP($A11,'LGE-KU Budgets'!$A$6:$Y$50,'LGE-KU Budgets'!X$2,0)*1000</f>
        <v>7815485.25</v>
      </c>
      <c r="AC11" s="650">
        <f>VLOOKUP($A11,'LGE-KU Budgets'!$A$6:$Y$50,'LGE-KU Budgets'!Y$2,0)*1000</f>
        <v>9774763.875</v>
      </c>
      <c r="AD11" s="572">
        <f ca="1">INDEX('Company Portfolio Summary'!$E$135:$BK$149,MATCH($B11,'Company Portfolio Summary'!$E$135:$E$149,FALSE),MATCH(AD$5,'Company Portfolio Summary'!$E$135:$BK$135,FALSE))</f>
        <v>0</v>
      </c>
      <c r="AE11" s="572">
        <f ca="1">INDEX('Company Portfolio Summary'!$E$135:$BK$149,MATCH($B11,'Company Portfolio Summary'!$E$135:$E$149,FALSE),MATCH(AE$5,'Company Portfolio Summary'!$E$135:$BK$135,FALSE))</f>
        <v>0</v>
      </c>
      <c r="AF11" s="572">
        <f ca="1">INDEX('Company Portfolio Summary'!$E$135:$BK$149,MATCH($B11,'Company Portfolio Summary'!$E$135:$E$149,FALSE),MATCH(AF$5,'Company Portfolio Summary'!$E$135:$BK$135,FALSE))</f>
        <v>0</v>
      </c>
      <c r="AG11" s="572">
        <f ca="1">INDEX('Company Portfolio Summary'!$E$135:$BK$149,MATCH($B11,'Company Portfolio Summary'!$E$135:$E$149,FALSE),MATCH(AG$5,'Company Portfolio Summary'!$E$135:$BK$135,FALSE))</f>
        <v>0</v>
      </c>
      <c r="AH11" s="572">
        <f ca="1">INDEX('Company Portfolio Summary'!$E$135:$BK$149,MATCH($B11,'Company Portfolio Summary'!$E$135:$E$149,FALSE),MATCH(AH$5,'Company Portfolio Summary'!$E$135:$BK$135,FALSE))</f>
        <v>0</v>
      </c>
      <c r="AI11" s="572">
        <f ca="1">INDEX('Company Portfolio Summary'!$E$135:$BK$149,MATCH($B11,'Company Portfolio Summary'!$E$135:$E$149,FALSE),MATCH(AI$5,'Company Portfolio Summary'!$E$135:$BK$135,FALSE))</f>
        <v>0</v>
      </c>
      <c r="AJ11" s="572">
        <f ca="1">INDEX('Company Portfolio Summary'!$E$135:$BK$149,MATCH($B11,'Company Portfolio Summary'!$E$135:$E$149,FALSE),MATCH(AJ$5,'Company Portfolio Summary'!$E$135:$BK$135,FALSE))</f>
        <v>0</v>
      </c>
      <c r="AK11" s="572">
        <f ca="1">INDEX('Company Portfolio Summary'!$E$135:$BK$149,MATCH($B11,'Company Portfolio Summary'!$E$135:$E$149,FALSE),MATCH(AK$5,'Company Portfolio Summary'!$E$135:$BK$135,FALSE))</f>
        <v>1763.0597014925377</v>
      </c>
      <c r="AL11" s="572">
        <f ca="1">INDEX('Company Portfolio Summary'!$E$135:$BK$149,MATCH($B11,'Company Portfolio Summary'!$E$135:$E$149,FALSE),MATCH(AL$5,'Company Portfolio Summary'!$E$135:$BK$135,FALSE))</f>
        <v>3622.0682302771856</v>
      </c>
      <c r="AM11" s="572">
        <f ca="1">INDEX('Company Portfolio Summary'!$E$135:$BK$149,MATCH($B11,'Company Portfolio Summary'!$E$135:$E$149,FALSE),MATCH(AM$5,'Company Portfolio Summary'!$E$135:$BK$135,FALSE))</f>
        <v>7539.2388059701498</v>
      </c>
      <c r="AN11" s="572">
        <f ca="1">INDEX('Company Portfolio Summary'!$E$135:$BK$149,MATCH($B11,'Company Portfolio Summary'!$E$135:$E$149,FALSE),MATCH(AN$5,'Company Portfolio Summary'!$E$135:$BK$135,FALSE))</f>
        <v>13203.674840085288</v>
      </c>
      <c r="AO11" s="572">
        <f ca="1">INDEX('Company Portfolio Summary'!$E$135:$BK$149,MATCH($B11,'Company Portfolio Summary'!$E$135:$E$149,FALSE),MATCH(AO$5,'Company Portfolio Summary'!$E$135:$BK$135,FALSE))</f>
        <v>20942.421108742004</v>
      </c>
      <c r="AP11" s="572">
        <f ca="1">INDEX('Company Portfolio Summary'!$E$135:$BK$149,MATCH($B11,'Company Portfolio Summary'!$E$135:$E$149,FALSE),MATCH(AP$5,'Company Portfolio Summary'!$E$135:$BK$135,FALSE))</f>
        <v>28684.917377398724</v>
      </c>
      <c r="AQ11" s="572">
        <f ca="1">INDEX('Company Portfolio Summary'!$E$135:$BK$149,MATCH($B11,'Company Portfolio Summary'!$E$135:$E$149,FALSE),MATCH(AQ$5,'Company Portfolio Summary'!$E$135:$BK$135,FALSE))</f>
        <v>36433.038646055436</v>
      </c>
      <c r="AR11" s="572">
        <f ca="1">INDEX('Company Portfolio Summary'!$E$135:$BK$149,MATCH($B11,'Company Portfolio Summary'!$E$135:$E$149,FALSE),MATCH(AR$5,'Company Portfolio Summary'!$E$135:$BK$135,FALSE))</f>
        <v>0</v>
      </c>
      <c r="AS11" s="572">
        <f ca="1">INDEX('Company Portfolio Summary'!$E$135:$BK$149,MATCH($B11,'Company Portfolio Summary'!$E$135:$E$149,FALSE),MATCH(AS$5,'Company Portfolio Summary'!$E$135:$BK$135,FALSE))</f>
        <v>0</v>
      </c>
      <c r="AT11" s="572">
        <f ca="1">INDEX('Company Portfolio Summary'!$E$135:$BK$149,MATCH($B11,'Company Portfolio Summary'!$E$135:$E$149,FALSE),MATCH(AT$5,'Company Portfolio Summary'!$E$135:$BK$135,FALSE))</f>
        <v>0</v>
      </c>
      <c r="AU11" s="572">
        <f ca="1">INDEX('Company Portfolio Summary'!$E$135:$BK$149,MATCH($B11,'Company Portfolio Summary'!$E$135:$E$149,FALSE),MATCH(AU$5,'Company Portfolio Summary'!$E$135:$BK$135,FALSE))</f>
        <v>0</v>
      </c>
      <c r="AV11" s="572">
        <f ca="1">INDEX('Company Portfolio Summary'!$E$135:$BK$149,MATCH($B11,'Company Portfolio Summary'!$E$135:$E$149,FALSE),MATCH(AV$5,'Company Portfolio Summary'!$E$135:$BK$135,FALSE))</f>
        <v>0</v>
      </c>
      <c r="AW11" s="572">
        <f ca="1">INDEX('Company Portfolio Summary'!$E$135:$BK$149,MATCH($B11,'Company Portfolio Summary'!$E$135:$E$149,FALSE),MATCH(AW$5,'Company Portfolio Summary'!$E$135:$BK$135,FALSE))</f>
        <v>0</v>
      </c>
      <c r="AX11" s="572">
        <f ca="1">INDEX('Company Portfolio Summary'!$E$135:$BK$149,MATCH($B11,'Company Portfolio Summary'!$E$135:$E$149,FALSE),MATCH(AX$5,'Company Portfolio Summary'!$E$135:$BK$135,FALSE))</f>
        <v>0</v>
      </c>
      <c r="AY11" s="2"/>
      <c r="AZ11" s="84"/>
      <c r="BA11" s="569"/>
      <c r="BB11" s="84"/>
      <c r="BC11" s="569"/>
      <c r="BD11" s="2"/>
      <c r="BE11" s="84"/>
      <c r="BF11" s="569"/>
    </row>
    <row r="12" spans="1:58">
      <c r="A12" s="527" t="str">
        <f t="shared" si="6"/>
        <v>Business RebatesTotal</v>
      </c>
      <c r="B12" s="649" t="s">
        <v>63</v>
      </c>
      <c r="C12" s="572">
        <f t="shared" ca="1" si="1"/>
        <v>149374360.56</v>
      </c>
      <c r="D12" s="650">
        <f t="shared" si="2"/>
        <v>10969642.018419733</v>
      </c>
      <c r="E12" s="650">
        <f t="shared" si="3"/>
        <v>18406890.599996164</v>
      </c>
      <c r="F12" s="572">
        <f t="shared" ca="1" si="4"/>
        <v>339118542.33066463</v>
      </c>
      <c r="G12" s="572">
        <f t="shared" ca="1" si="0"/>
        <v>19359.27981712047</v>
      </c>
      <c r="H12" s="572">
        <f t="shared" ca="1" si="5"/>
        <v>23645.640000000003</v>
      </c>
      <c r="I12" s="572">
        <f ca="1">INDEX('Company Portfolio Summary'!$E$135:$BK$149,MATCH($B12,'Company Portfolio Summary'!$E$135:$E$149,FALSE),MATCH(I$5,'Company Portfolio Summary'!$E$135:$BK$135,FALSE))</f>
        <v>10691212</v>
      </c>
      <c r="J12" s="572">
        <f ca="1">INDEX('Company Portfolio Summary'!$E$135:$BK$149,MATCH($B12,'Company Portfolio Summary'!$E$135:$E$149,FALSE),MATCH(J$5,'Company Portfolio Summary'!$E$135:$BK$135,FALSE))</f>
        <v>16691213</v>
      </c>
      <c r="K12" s="572">
        <f ca="1">INDEX('Company Portfolio Summary'!$E$135:$BK$149,MATCH($B12,'Company Portfolio Summary'!$E$135:$E$149,FALSE),MATCH(K$5,'Company Portfolio Summary'!$E$135:$BK$135,FALSE))</f>
        <v>24457445.559999999</v>
      </c>
      <c r="L12" s="572">
        <f ca="1">INDEX('Company Portfolio Summary'!$E$135:$BK$149,MATCH($B12,'Company Portfolio Summary'!$E$135:$E$149,FALSE),MATCH(L$5,'Company Portfolio Summary'!$E$135:$BK$135,FALSE))</f>
        <v>24383621</v>
      </c>
      <c r="M12" s="572">
        <f ca="1">INDEX('Company Portfolio Summary'!$E$135:$BK$149,MATCH($B12,'Company Portfolio Summary'!$E$135:$E$149,FALSE),MATCH(M$5,'Company Portfolio Summary'!$E$135:$BK$135,FALSE))</f>
        <v>24383624</v>
      </c>
      <c r="N12" s="572">
        <f ca="1">INDEX('Company Portfolio Summary'!$E$135:$BK$149,MATCH($B12,'Company Portfolio Summary'!$E$135:$E$149,FALSE),MATCH(N$5,'Company Portfolio Summary'!$E$135:$BK$135,FALSE))</f>
        <v>24383623</v>
      </c>
      <c r="O12" s="572">
        <f ca="1">INDEX('Company Portfolio Summary'!$E$135:$BK$149,MATCH($B12,'Company Portfolio Summary'!$E$135:$E$149,FALSE),MATCH(O$5,'Company Portfolio Summary'!$E$135:$BK$135,FALSE))</f>
        <v>24383622</v>
      </c>
      <c r="P12" s="650">
        <f>VLOOKUP($A12,'LGE-KU Budgets'!$A$6:$Y$50,'LGE-KU Budgets'!L$2,0)*1000</f>
        <v>1498484.8551844971</v>
      </c>
      <c r="Q12" s="650">
        <f>VLOOKUP($A12,'LGE-KU Budgets'!$A$6:$Y$50,'LGE-KU Budgets'!M$2,0)*1000</f>
        <v>1504383.215991989</v>
      </c>
      <c r="R12" s="650">
        <f>VLOOKUP($A12,'LGE-KU Budgets'!$A$6:$Y$50,'LGE-KU Budgets'!N$2,0)*1000</f>
        <v>1560458.5276237063</v>
      </c>
      <c r="S12" s="650">
        <f>VLOOKUP($A12,'LGE-KU Budgets'!$A$6:$Y$50,'LGE-KU Budgets'!O$2,0)*1000</f>
        <v>1566716.0986043746</v>
      </c>
      <c r="T12" s="650">
        <f>VLOOKUP($A12,'LGE-KU Budgets'!$A$6:$Y$50,'LGE-KU Budgets'!P$2,0)*1000</f>
        <v>1673161.3967144631</v>
      </c>
      <c r="U12" s="650">
        <f>VLOOKUP($A12,'LGE-KU Budgets'!$A$6:$Y$50,'LGE-KU Budgets'!Q$2,0)*1000</f>
        <v>1579800.0537678546</v>
      </c>
      <c r="V12" s="650">
        <f>VLOOKUP($A12,'LGE-KU Budgets'!$A$6:$Y$50,'LGE-KU Budgets'!R$2,0)*1000</f>
        <v>1586637.8705328472</v>
      </c>
      <c r="W12" s="650">
        <f>VLOOKUP($A12,'LGE-KU Budgets'!$A$6:$Y$50,'LGE-KU Budgets'!S$2,0)*1000</f>
        <v>3169130.2155183284</v>
      </c>
      <c r="X12" s="650">
        <f>VLOOKUP($A12,'LGE-KU Budgets'!$A$6:$Y$50,'LGE-KU Budgets'!T$2,0)*1000</f>
        <v>3673062.4232578967</v>
      </c>
      <c r="Y12" s="650">
        <f>VLOOKUP($A12,'LGE-KU Budgets'!$A$6:$Y$50,'LGE-KU Budgets'!U$2,0)*1000</f>
        <v>2733351.1402439871</v>
      </c>
      <c r="Z12" s="650">
        <f>VLOOKUP($A12,'LGE-KU Budgets'!$A$6:$Y$50,'LGE-KU Budgets'!V$2,0)*1000</f>
        <v>2201067.0702439873</v>
      </c>
      <c r="AA12" s="650">
        <f>VLOOKUP($A12,'LGE-KU Budgets'!$A$6:$Y$50,'LGE-KU Budgets'!W$2,0)*1000</f>
        <v>2209756.3402439873</v>
      </c>
      <c r="AB12" s="650">
        <f>VLOOKUP($A12,'LGE-KU Budgets'!$A$6:$Y$50,'LGE-KU Budgets'!X$2,0)*1000</f>
        <v>2214656.3402439873</v>
      </c>
      <c r="AC12" s="650">
        <f>VLOOKUP($A12,'LGE-KU Budgets'!$A$6:$Y$50,'LGE-KU Budgets'!Y$2,0)*1000</f>
        <v>2205867.0702439873</v>
      </c>
      <c r="AD12" s="572">
        <f ca="1">INDEX('Company Portfolio Summary'!$E$135:$BK$149,MATCH($B12,'Company Portfolio Summary'!$E$135:$E$149,FALSE),MATCH(AD$5,'Company Portfolio Summary'!$E$135:$BK$135,FALSE))</f>
        <v>87497146.197729841</v>
      </c>
      <c r="AE12" s="572">
        <f ca="1">INDEX('Company Portfolio Summary'!$E$135:$BK$149,MATCH($B12,'Company Portfolio Summary'!$E$135:$E$149,FALSE),MATCH(AE$5,'Company Portfolio Summary'!$E$135:$BK$135,FALSE))</f>
        <v>93511245.43083182</v>
      </c>
      <c r="AF12" s="572">
        <f ca="1">INDEX('Company Portfolio Summary'!$E$135:$BK$149,MATCH($B12,'Company Portfolio Summary'!$E$135:$E$149,FALSE),MATCH(AF$5,'Company Portfolio Summary'!$E$135:$BK$135,FALSE))</f>
        <v>45867765.984191194</v>
      </c>
      <c r="AG12" s="572">
        <f ca="1">INDEX('Company Portfolio Summary'!$E$135:$BK$149,MATCH($B12,'Company Portfolio Summary'!$E$135:$E$149,FALSE),MATCH(AG$5,'Company Portfolio Summary'!$E$135:$BK$135,FALSE))</f>
        <v>27930617.671303935</v>
      </c>
      <c r="AH12" s="572">
        <f ca="1">INDEX('Company Portfolio Summary'!$E$135:$BK$149,MATCH($B12,'Company Portfolio Summary'!$E$135:$E$149,FALSE),MATCH(AH$5,'Company Portfolio Summary'!$E$135:$BK$135,FALSE))</f>
        <v>28145278.287864756</v>
      </c>
      <c r="AI12" s="572">
        <f ca="1">INDEX('Company Portfolio Summary'!$E$135:$BK$149,MATCH($B12,'Company Portfolio Summary'!$E$135:$E$149,FALSE),MATCH(AI$5,'Company Portfolio Summary'!$E$135:$BK$135,FALSE))</f>
        <v>28135590.395709727</v>
      </c>
      <c r="AJ12" s="572">
        <f ca="1">INDEX('Company Portfolio Summary'!$E$135:$BK$149,MATCH($B12,'Company Portfolio Summary'!$E$135:$E$149,FALSE),MATCH(AJ$5,'Company Portfolio Summary'!$E$135:$BK$135,FALSE))</f>
        <v>28030898.363033358</v>
      </c>
      <c r="AK12" s="572">
        <f ca="1">INDEX('Company Portfolio Summary'!$E$135:$BK$149,MATCH($B12,'Company Portfolio Summary'!$E$135:$E$149,FALSE),MATCH(AK$5,'Company Portfolio Summary'!$E$135:$BK$135,FALSE))</f>
        <v>17748.077885969953</v>
      </c>
      <c r="AL12" s="572">
        <f ca="1">INDEX('Company Portfolio Summary'!$E$135:$BK$149,MATCH($B12,'Company Portfolio Summary'!$E$135:$E$149,FALSE),MATCH(AL$5,'Company Portfolio Summary'!$E$135:$BK$135,FALSE))</f>
        <v>19359.27981712047</v>
      </c>
      <c r="AM12" s="572">
        <f ca="1">INDEX('Company Portfolio Summary'!$E$135:$BK$149,MATCH($B12,'Company Portfolio Summary'!$E$135:$E$149,FALSE),MATCH(AM$5,'Company Portfolio Summary'!$E$135:$BK$135,FALSE))</f>
        <v>10711.021195494552</v>
      </c>
      <c r="AN12" s="572">
        <f ca="1">INDEX('Company Portfolio Summary'!$E$135:$BK$149,MATCH($B12,'Company Portfolio Summary'!$E$135:$E$149,FALSE),MATCH(AN$5,'Company Portfolio Summary'!$E$135:$BK$135,FALSE))</f>
        <v>7240.9700140801378</v>
      </c>
      <c r="AO12" s="572">
        <f ca="1">INDEX('Company Portfolio Summary'!$E$135:$BK$149,MATCH($B12,'Company Portfolio Summary'!$E$135:$E$149,FALSE),MATCH(AO$5,'Company Portfolio Summary'!$E$135:$BK$135,FALSE))</f>
        <v>7266.9603639498337</v>
      </c>
      <c r="AP12" s="572">
        <f ca="1">INDEX('Company Portfolio Summary'!$E$135:$BK$149,MATCH($B12,'Company Portfolio Summary'!$E$135:$E$149,FALSE),MATCH(AP$5,'Company Portfolio Summary'!$E$135:$BK$135,FALSE))</f>
        <v>7251.2779093091203</v>
      </c>
      <c r="AQ12" s="572">
        <f ca="1">INDEX('Company Portfolio Summary'!$E$135:$BK$149,MATCH($B12,'Company Portfolio Summary'!$E$135:$E$149,FALSE),MATCH(AQ$5,'Company Portfolio Summary'!$E$135:$BK$135,FALSE))</f>
        <v>7267.7359743980014</v>
      </c>
      <c r="AR12" s="572">
        <f ca="1">INDEX('Company Portfolio Summary'!$E$135:$BK$149,MATCH($B12,'Company Portfolio Summary'!$E$135:$E$149,FALSE),MATCH(AR$5,'Company Portfolio Summary'!$E$135:$BK$135,FALSE))</f>
        <v>2781.84</v>
      </c>
      <c r="AS12" s="572">
        <f ca="1">INDEX('Company Portfolio Summary'!$E$135:$BK$149,MATCH($B12,'Company Portfolio Summary'!$E$135:$E$149,FALSE),MATCH(AS$5,'Company Portfolio Summary'!$E$135:$BK$135,FALSE))</f>
        <v>3179.2457142857147</v>
      </c>
      <c r="AT12" s="572">
        <f ca="1">INDEX('Company Portfolio Summary'!$E$135:$BK$149,MATCH($B12,'Company Portfolio Summary'!$E$135:$E$149,FALSE),MATCH(AT$5,'Company Portfolio Summary'!$E$135:$BK$135,FALSE))</f>
        <v>4768.8685714285712</v>
      </c>
      <c r="AU12" s="572">
        <f ca="1">INDEX('Company Portfolio Summary'!$E$135:$BK$149,MATCH($B12,'Company Portfolio Summary'!$E$135:$E$149,FALSE),MATCH(AU$5,'Company Portfolio Summary'!$E$135:$BK$135,FALSE))</f>
        <v>2185.7314285714288</v>
      </c>
      <c r="AV12" s="572">
        <f ca="1">INDEX('Company Portfolio Summary'!$E$135:$BK$149,MATCH($B12,'Company Portfolio Summary'!$E$135:$E$149,FALSE),MATCH(AV$5,'Company Portfolio Summary'!$E$135:$BK$135,FALSE))</f>
        <v>3775.3542857142857</v>
      </c>
      <c r="AW12" s="572">
        <f ca="1">INDEX('Company Portfolio Summary'!$E$135:$BK$149,MATCH($B12,'Company Portfolio Summary'!$E$135:$E$149,FALSE),MATCH(AW$5,'Company Portfolio Summary'!$E$135:$BK$135,FALSE))</f>
        <v>4172.76</v>
      </c>
      <c r="AX12" s="572">
        <f ca="1">INDEX('Company Portfolio Summary'!$E$135:$BK$149,MATCH($B12,'Company Portfolio Summary'!$E$135:$E$149,FALSE),MATCH(AX$5,'Company Portfolio Summary'!$E$135:$BK$135,FALSE))</f>
        <v>2781.84</v>
      </c>
      <c r="AY12" s="2"/>
      <c r="AZ12" s="84"/>
      <c r="BA12" s="569"/>
      <c r="BB12" s="84"/>
      <c r="BC12" s="569"/>
      <c r="BD12" s="2"/>
      <c r="BE12" s="84"/>
      <c r="BF12" s="569"/>
    </row>
    <row r="13" spans="1:58">
      <c r="A13" s="527" t="str">
        <f t="shared" si="6"/>
        <v>Small Business - Audit &amp; DITotal</v>
      </c>
      <c r="B13" s="649" t="s">
        <v>64</v>
      </c>
      <c r="C13" s="572">
        <f t="shared" ca="1" si="1"/>
        <v>38096.5</v>
      </c>
      <c r="D13" s="650">
        <f t="shared" si="2"/>
        <v>4462972.5974264946</v>
      </c>
      <c r="E13" s="650">
        <f t="shared" si="3"/>
        <v>0</v>
      </c>
      <c r="F13" s="572">
        <f t="shared" ca="1" si="4"/>
        <v>2837435.8170859381</v>
      </c>
      <c r="G13" s="572">
        <f t="shared" ca="1" si="0"/>
        <v>116.48132344316969</v>
      </c>
      <c r="H13" s="572">
        <f t="shared" ca="1" si="5"/>
        <v>2162.2070770215419</v>
      </c>
      <c r="I13" s="572">
        <f ca="1">INDEX('Company Portfolio Summary'!$E$135:$BK$149,MATCH($B13,'Company Portfolio Summary'!$E$135:$E$149,FALSE),MATCH(I$5,'Company Portfolio Summary'!$E$135:$BK$135,FALSE))</f>
        <v>2930.5</v>
      </c>
      <c r="J13" s="572">
        <f ca="1">INDEX('Company Portfolio Summary'!$E$135:$BK$149,MATCH($B13,'Company Portfolio Summary'!$E$135:$E$149,FALSE),MATCH(J$5,'Company Portfolio Summary'!$E$135:$BK$135,FALSE))</f>
        <v>5861</v>
      </c>
      <c r="K13" s="572">
        <f ca="1">INDEX('Company Portfolio Summary'!$E$135:$BK$149,MATCH($B13,'Company Portfolio Summary'!$E$135:$E$149,FALSE),MATCH(K$5,'Company Portfolio Summary'!$E$135:$BK$135,FALSE))</f>
        <v>5861</v>
      </c>
      <c r="L13" s="572">
        <f ca="1">INDEX('Company Portfolio Summary'!$E$135:$BK$149,MATCH($B13,'Company Portfolio Summary'!$E$135:$E$149,FALSE),MATCH(L$5,'Company Portfolio Summary'!$E$135:$BK$135,FALSE))</f>
        <v>5861</v>
      </c>
      <c r="M13" s="572">
        <f ca="1">INDEX('Company Portfolio Summary'!$E$135:$BK$149,MATCH($B13,'Company Portfolio Summary'!$E$135:$E$149,FALSE),MATCH(M$5,'Company Portfolio Summary'!$E$135:$BK$135,FALSE))</f>
        <v>5861</v>
      </c>
      <c r="N13" s="572">
        <f ca="1">INDEX('Company Portfolio Summary'!$E$135:$BK$149,MATCH($B13,'Company Portfolio Summary'!$E$135:$E$149,FALSE),MATCH(N$5,'Company Portfolio Summary'!$E$135:$BK$135,FALSE))</f>
        <v>5861</v>
      </c>
      <c r="O13" s="572">
        <f ca="1">INDEX('Company Portfolio Summary'!$E$135:$BK$149,MATCH($B13,'Company Portfolio Summary'!$E$135:$E$149,FALSE),MATCH(O$5,'Company Portfolio Summary'!$E$135:$BK$135,FALSE))</f>
        <v>5861</v>
      </c>
      <c r="P13" s="650">
        <f>VLOOKUP($A13,'LGE-KU Budgets'!$A$6:$Y$50,'LGE-KU Budgets'!L$2,0)*1000</f>
        <v>622098.12411104946</v>
      </c>
      <c r="Q13" s="650">
        <f>VLOOKUP($A13,'LGE-KU Budgets'!$A$6:$Y$50,'LGE-KU Budgets'!M$2,0)*1000</f>
        <v>617629.26803438109</v>
      </c>
      <c r="R13" s="650">
        <f>VLOOKUP($A13,'LGE-KU Budgets'!$A$6:$Y$50,'LGE-KU Budgets'!N$2,0)*1000</f>
        <v>619877.22647541249</v>
      </c>
      <c r="S13" s="650">
        <f>VLOOKUP($A13,'LGE-KU Budgets'!$A$6:$Y$50,'LGE-KU Budgets'!O$2,0)*1000</f>
        <v>622192.62366967485</v>
      </c>
      <c r="T13" s="650">
        <f>VLOOKUP($A13,'LGE-KU Budgets'!$A$6:$Y$50,'LGE-KU Budgets'!P$2,0)*1000</f>
        <v>724577.48277976504</v>
      </c>
      <c r="U13" s="650">
        <f>VLOOKUP($A13,'LGE-KU Budgets'!$A$6:$Y$50,'LGE-KU Budgets'!Q$2,0)*1000</f>
        <v>627033.88766315801</v>
      </c>
      <c r="V13" s="650">
        <f>VLOOKUP($A13,'LGE-KU Budgets'!$A$6:$Y$50,'LGE-KU Budgets'!R$2,0)*1000</f>
        <v>629563.98469305283</v>
      </c>
      <c r="W13" s="650">
        <f>VLOOKUP($A13,'LGE-KU Budgets'!$A$6:$Y$50,'LGE-KU Budgets'!S$2,0)*1000</f>
        <v>0</v>
      </c>
      <c r="X13" s="650">
        <f>VLOOKUP($A13,'LGE-KU Budgets'!$A$6:$Y$50,'LGE-KU Budgets'!T$2,0)*1000</f>
        <v>0</v>
      </c>
      <c r="Y13" s="650">
        <f>VLOOKUP($A13,'LGE-KU Budgets'!$A$6:$Y$50,'LGE-KU Budgets'!U$2,0)*1000</f>
        <v>0</v>
      </c>
      <c r="Z13" s="650">
        <f>VLOOKUP($A13,'LGE-KU Budgets'!$A$6:$Y$50,'LGE-KU Budgets'!V$2,0)*1000</f>
        <v>0</v>
      </c>
      <c r="AA13" s="650">
        <f>VLOOKUP($A13,'LGE-KU Budgets'!$A$6:$Y$50,'LGE-KU Budgets'!W$2,0)*1000</f>
        <v>0</v>
      </c>
      <c r="AB13" s="650">
        <f>VLOOKUP($A13,'LGE-KU Budgets'!$A$6:$Y$50,'LGE-KU Budgets'!X$2,0)*1000</f>
        <v>0</v>
      </c>
      <c r="AC13" s="650">
        <f>VLOOKUP($A13,'LGE-KU Budgets'!$A$6:$Y$50,'LGE-KU Budgets'!Y$2,0)*1000</f>
        <v>0</v>
      </c>
      <c r="AD13" s="572">
        <f ca="1">INDEX('Company Portfolio Summary'!$E$135:$BK$149,MATCH($B13,'Company Portfolio Summary'!$E$135:$E$149,FALSE),MATCH(AD$5,'Company Portfolio Summary'!$E$135:$BK$135,FALSE))</f>
        <v>218264.29362199522</v>
      </c>
      <c r="AE13" s="572">
        <f ca="1">INDEX('Company Portfolio Summary'!$E$135:$BK$149,MATCH($B13,'Company Portfolio Summary'!$E$135:$E$149,FALSE),MATCH(AE$5,'Company Portfolio Summary'!$E$135:$BK$135,FALSE))</f>
        <v>436528.58724399045</v>
      </c>
      <c r="AF13" s="572">
        <f ca="1">INDEX('Company Portfolio Summary'!$E$135:$BK$149,MATCH($B13,'Company Portfolio Summary'!$E$135:$E$149,FALSE),MATCH(AF$5,'Company Portfolio Summary'!$E$135:$BK$135,FALSE))</f>
        <v>436528.58724399045</v>
      </c>
      <c r="AG13" s="572">
        <f ca="1">INDEX('Company Portfolio Summary'!$E$135:$BK$149,MATCH($B13,'Company Portfolio Summary'!$E$135:$E$149,FALSE),MATCH(AG$5,'Company Portfolio Summary'!$E$135:$BK$135,FALSE))</f>
        <v>436528.58724399045</v>
      </c>
      <c r="AH13" s="572">
        <f ca="1">INDEX('Company Portfolio Summary'!$E$135:$BK$149,MATCH($B13,'Company Portfolio Summary'!$E$135:$E$149,FALSE),MATCH(AH$5,'Company Portfolio Summary'!$E$135:$BK$135,FALSE))</f>
        <v>436528.58724399045</v>
      </c>
      <c r="AI13" s="572">
        <f ca="1">INDEX('Company Portfolio Summary'!$E$135:$BK$149,MATCH($B13,'Company Portfolio Summary'!$E$135:$E$149,FALSE),MATCH(AI$5,'Company Portfolio Summary'!$E$135:$BK$135,FALSE))</f>
        <v>436528.58724399045</v>
      </c>
      <c r="AJ13" s="572">
        <f ca="1">INDEX('Company Portfolio Summary'!$E$135:$BK$149,MATCH($B13,'Company Portfolio Summary'!$E$135:$E$149,FALSE),MATCH(AJ$5,'Company Portfolio Summary'!$E$135:$BK$135,FALSE))</f>
        <v>436528.58724399045</v>
      </c>
      <c r="AK13" s="572">
        <f ca="1">INDEX('Company Portfolio Summary'!$E$135:$BK$149,MATCH($B13,'Company Portfolio Summary'!$E$135:$E$149,FALSE),MATCH(AK$5,'Company Portfolio Summary'!$E$135:$BK$135,FALSE))</f>
        <v>58.240661721584843</v>
      </c>
      <c r="AL13" s="572">
        <f ca="1">INDEX('Company Portfolio Summary'!$E$135:$BK$149,MATCH($B13,'Company Portfolio Summary'!$E$135:$E$149,FALSE),MATCH(AL$5,'Company Portfolio Summary'!$E$135:$BK$135,FALSE))</f>
        <v>116.48132344316969</v>
      </c>
      <c r="AM13" s="572">
        <f ca="1">INDEX('Company Portfolio Summary'!$E$135:$BK$149,MATCH($B13,'Company Portfolio Summary'!$E$135:$E$149,FALSE),MATCH(AM$5,'Company Portfolio Summary'!$E$135:$BK$135,FALSE))</f>
        <v>116.48132344316969</v>
      </c>
      <c r="AN13" s="572">
        <f ca="1">INDEX('Company Portfolio Summary'!$E$135:$BK$149,MATCH($B13,'Company Portfolio Summary'!$E$135:$E$149,FALSE),MATCH(AN$5,'Company Portfolio Summary'!$E$135:$BK$135,FALSE))</f>
        <v>116.48132344316969</v>
      </c>
      <c r="AO13" s="572">
        <f ca="1">INDEX('Company Portfolio Summary'!$E$135:$BK$149,MATCH($B13,'Company Portfolio Summary'!$E$135:$E$149,FALSE),MATCH(AO$5,'Company Portfolio Summary'!$E$135:$BK$135,FALSE))</f>
        <v>116.48132344316969</v>
      </c>
      <c r="AP13" s="572">
        <f ca="1">INDEX('Company Portfolio Summary'!$E$135:$BK$149,MATCH($B13,'Company Portfolio Summary'!$E$135:$E$149,FALSE),MATCH(AP$5,'Company Portfolio Summary'!$E$135:$BK$135,FALSE))</f>
        <v>116.48132344316969</v>
      </c>
      <c r="AQ13" s="572">
        <f ca="1">INDEX('Company Portfolio Summary'!$E$135:$BK$149,MATCH($B13,'Company Portfolio Summary'!$E$135:$E$149,FALSE),MATCH(AQ$5,'Company Portfolio Summary'!$E$135:$BK$135,FALSE))</f>
        <v>116.48132344316969</v>
      </c>
      <c r="AR13" s="572">
        <f ca="1">INDEX('Company Portfolio Summary'!$E$135:$BK$149,MATCH($B13,'Company Portfolio Summary'!$E$135:$E$149,FALSE),MATCH(AR$5,'Company Portfolio Summary'!$E$135:$BK$135,FALSE))</f>
        <v>166.32362130934936</v>
      </c>
      <c r="AS13" s="572">
        <f ca="1">INDEX('Company Portfolio Summary'!$E$135:$BK$149,MATCH($B13,'Company Portfolio Summary'!$E$135:$E$149,FALSE),MATCH(AS$5,'Company Portfolio Summary'!$E$135:$BK$135,FALSE))</f>
        <v>332.64724261869873</v>
      </c>
      <c r="AT13" s="572">
        <f ca="1">INDEX('Company Portfolio Summary'!$E$135:$BK$149,MATCH($B13,'Company Portfolio Summary'!$E$135:$E$149,FALSE),MATCH(AT$5,'Company Portfolio Summary'!$E$135:$BK$135,FALSE))</f>
        <v>332.64724261869873</v>
      </c>
      <c r="AU13" s="572">
        <f ca="1">INDEX('Company Portfolio Summary'!$E$135:$BK$149,MATCH($B13,'Company Portfolio Summary'!$E$135:$E$149,FALSE),MATCH(AU$5,'Company Portfolio Summary'!$E$135:$BK$135,FALSE))</f>
        <v>332.64724261869873</v>
      </c>
      <c r="AV13" s="572">
        <f ca="1">INDEX('Company Portfolio Summary'!$E$135:$BK$149,MATCH($B13,'Company Portfolio Summary'!$E$135:$E$149,FALSE),MATCH(AV$5,'Company Portfolio Summary'!$E$135:$BK$135,FALSE))</f>
        <v>332.64724261869873</v>
      </c>
      <c r="AW13" s="572">
        <f ca="1">INDEX('Company Portfolio Summary'!$E$135:$BK$149,MATCH($B13,'Company Portfolio Summary'!$E$135:$E$149,FALSE),MATCH(AW$5,'Company Portfolio Summary'!$E$135:$BK$135,FALSE))</f>
        <v>332.64724261869873</v>
      </c>
      <c r="AX13" s="572">
        <f ca="1">INDEX('Company Portfolio Summary'!$E$135:$BK$149,MATCH($B13,'Company Portfolio Summary'!$E$135:$E$149,FALSE),MATCH(AX$5,'Company Portfolio Summary'!$E$135:$BK$135,FALSE))</f>
        <v>332.64724261869873</v>
      </c>
      <c r="AY13" s="2"/>
      <c r="AZ13" s="84"/>
      <c r="BA13" s="569"/>
      <c r="BB13" s="84"/>
      <c r="BC13" s="569"/>
      <c r="BD13" s="2"/>
      <c r="BE13" s="84"/>
      <c r="BF13" s="569"/>
    </row>
    <row r="14" spans="1:58">
      <c r="A14" s="527" t="str">
        <f t="shared" si="6"/>
        <v>Residential Demand ConservationTotal</v>
      </c>
      <c r="B14" s="649" t="s">
        <v>4</v>
      </c>
      <c r="C14" s="572">
        <f ca="1">MAX(I14:O14)</f>
        <v>177060</v>
      </c>
      <c r="D14" s="650">
        <f t="shared" si="2"/>
        <v>8212865.5357391173</v>
      </c>
      <c r="E14" s="650">
        <f t="shared" si="3"/>
        <v>39428004.247229189</v>
      </c>
      <c r="F14" s="572">
        <f t="shared" ca="1" si="4"/>
        <v>0</v>
      </c>
      <c r="G14" s="572">
        <f t="shared" ca="1" si="0"/>
        <v>124135</v>
      </c>
      <c r="H14" s="572">
        <f t="shared" ca="1" si="5"/>
        <v>0</v>
      </c>
      <c r="I14" s="572">
        <f ca="1">INDEX('Company Portfolio Summary'!$E$135:$BK$149,MATCH($B14,'Company Portfolio Summary'!$E$135:$E$149,FALSE),MATCH(I$5,'Company Portfolio Summary'!$E$135:$BK$135,FALSE))</f>
        <v>177060</v>
      </c>
      <c r="J14" s="572">
        <f ca="1">INDEX('Company Portfolio Summary'!$E$135:$BK$149,MATCH($B14,'Company Portfolio Summary'!$E$135:$E$149,FALSE),MATCH(J$5,'Company Portfolio Summary'!$E$135:$BK$135,FALSE))</f>
        <v>159228</v>
      </c>
      <c r="K14" s="572">
        <f ca="1">INDEX('Company Portfolio Summary'!$E$135:$BK$149,MATCH($B14,'Company Portfolio Summary'!$E$135:$E$149,FALSE),MATCH(K$5,'Company Portfolio Summary'!$E$135:$BK$135,FALSE))</f>
        <v>143000</v>
      </c>
      <c r="L14" s="572">
        <f ca="1">INDEX('Company Portfolio Summary'!$E$135:$BK$149,MATCH($B14,'Company Portfolio Summary'!$E$135:$E$149,FALSE),MATCH(L$5,'Company Portfolio Summary'!$E$135:$BK$135,FALSE))</f>
        <v>128400</v>
      </c>
      <c r="M14" s="572">
        <f ca="1">INDEX('Company Portfolio Summary'!$E$135:$BK$149,MATCH($B14,'Company Portfolio Summary'!$E$135:$E$149,FALSE),MATCH(M$5,'Company Portfolio Summary'!$E$135:$BK$135,FALSE))</f>
        <v>115300</v>
      </c>
      <c r="N14" s="572">
        <f ca="1">INDEX('Company Portfolio Summary'!$E$135:$BK$149,MATCH($B14,'Company Portfolio Summary'!$E$135:$E$149,FALSE),MATCH(N$5,'Company Portfolio Summary'!$E$135:$BK$135,FALSE))</f>
        <v>103600</v>
      </c>
      <c r="O14" s="572">
        <f ca="1">INDEX('Company Portfolio Summary'!$E$135:$BK$149,MATCH($B14,'Company Portfolio Summary'!$E$135:$E$149,FALSE),MATCH(O$5,'Company Portfolio Summary'!$E$135:$BK$135,FALSE))</f>
        <v>93100</v>
      </c>
      <c r="P14" s="650">
        <f>VLOOKUP($A14,'LGE-KU Budgets'!$A$6:$Y$50,'LGE-KU Budgets'!L$2,0)*1000</f>
        <v>1139229.4387427138</v>
      </c>
      <c r="Q14" s="650">
        <f>VLOOKUP($A14,'LGE-KU Budgets'!$A$6:$Y$50,'LGE-KU Budgets'!M$2,0)*1000</f>
        <v>1293226.321904995</v>
      </c>
      <c r="R14" s="650">
        <f>VLOOKUP($A14,'LGE-KU Budgets'!$A$6:$Y$50,'LGE-KU Budgets'!N$2,0)*1000</f>
        <v>1147343.1115621449</v>
      </c>
      <c r="S14" s="650">
        <f>VLOOKUP($A14,'LGE-KU Budgets'!$A$6:$Y$50,'LGE-KU Budgets'!O$2,0)*1000</f>
        <v>1151583.4049090093</v>
      </c>
      <c r="T14" s="650">
        <f>VLOOKUP($A14,'LGE-KU Budgets'!$A$6:$Y$50,'LGE-KU Budgets'!P$2,0)*1000</f>
        <v>1155950.9070562797</v>
      </c>
      <c r="U14" s="650">
        <f>VLOOKUP($A14,'LGE-KU Budgets'!$A$6:$Y$50,'LGE-KU Budgets'!Q$2,0)*1000</f>
        <v>1160449.4342679679</v>
      </c>
      <c r="V14" s="650">
        <f>VLOOKUP($A14,'LGE-KU Budgets'!$A$6:$Y$50,'LGE-KU Budgets'!R$2,0)*1000</f>
        <v>1165082.917296007</v>
      </c>
      <c r="W14" s="650">
        <f>VLOOKUP($A14,'LGE-KU Budgets'!$A$6:$Y$50,'LGE-KU Budgets'!S$2,0)*1000</f>
        <v>2335485.090203058</v>
      </c>
      <c r="X14" s="650">
        <f>VLOOKUP($A14,'LGE-KU Budgets'!$A$6:$Y$50,'LGE-KU Budgets'!T$2,0)*1000</f>
        <v>2098048.7015613625</v>
      </c>
      <c r="Y14" s="650">
        <f>VLOOKUP($A14,'LGE-KU Budgets'!$A$6:$Y$50,'LGE-KU Budgets'!U$2,0)*1000</f>
        <v>1876212.3129196668</v>
      </c>
      <c r="Z14" s="650">
        <f>VLOOKUP($A14,'LGE-KU Budgets'!$A$6:$Y$50,'LGE-KU Budgets'!V$2,0)*1000</f>
        <v>3431675.924277971</v>
      </c>
      <c r="AA14" s="650">
        <f>VLOOKUP($A14,'LGE-KU Budgets'!$A$6:$Y$50,'LGE-KU Budgets'!W$2,0)*1000</f>
        <v>10968218.331850175</v>
      </c>
      <c r="AB14" s="650">
        <f>VLOOKUP($A14,'LGE-KU Budgets'!$A$6:$Y$50,'LGE-KU Budgets'!X$2,0)*1000</f>
        <v>9856860.7394223772</v>
      </c>
      <c r="AC14" s="650">
        <f>VLOOKUP($A14,'LGE-KU Budgets'!$A$6:$Y$50,'LGE-KU Budgets'!Y$2,0)*1000</f>
        <v>8861503.1469945796</v>
      </c>
      <c r="AD14" s="572">
        <f ca="1">INDEX('Company Portfolio Summary'!$E$135:$BK$149,MATCH($B14,'Company Portfolio Summary'!$E$135:$E$149,FALSE),MATCH(AD$5,'Company Portfolio Summary'!$E$135:$BK$135,FALSE))</f>
        <v>0</v>
      </c>
      <c r="AE14" s="572">
        <f ca="1">INDEX('Company Portfolio Summary'!$E$135:$BK$149,MATCH($B14,'Company Portfolio Summary'!$E$135:$E$149,FALSE),MATCH(AE$5,'Company Portfolio Summary'!$E$135:$BK$135,FALSE))</f>
        <v>0</v>
      </c>
      <c r="AF14" s="572">
        <f ca="1">INDEX('Company Portfolio Summary'!$E$135:$BK$149,MATCH($B14,'Company Portfolio Summary'!$E$135:$E$149,FALSE),MATCH(AF$5,'Company Portfolio Summary'!$E$135:$BK$135,FALSE))</f>
        <v>0</v>
      </c>
      <c r="AG14" s="572">
        <f ca="1">INDEX('Company Portfolio Summary'!$E$135:$BK$149,MATCH($B14,'Company Portfolio Summary'!$E$135:$E$149,FALSE),MATCH(AG$5,'Company Portfolio Summary'!$E$135:$BK$135,FALSE))</f>
        <v>0</v>
      </c>
      <c r="AH14" s="572">
        <f ca="1">INDEX('Company Portfolio Summary'!$E$135:$BK$149,MATCH($B14,'Company Portfolio Summary'!$E$135:$E$149,FALSE),MATCH(AH$5,'Company Portfolio Summary'!$E$135:$BK$135,FALSE))</f>
        <v>0</v>
      </c>
      <c r="AI14" s="572">
        <f ca="1">INDEX('Company Portfolio Summary'!$E$135:$BK$149,MATCH($B14,'Company Portfolio Summary'!$E$135:$E$149,FALSE),MATCH(AI$5,'Company Portfolio Summary'!$E$135:$BK$135,FALSE))</f>
        <v>0</v>
      </c>
      <c r="AJ14" s="572">
        <f ca="1">INDEX('Company Portfolio Summary'!$E$135:$BK$149,MATCH($B14,'Company Portfolio Summary'!$E$135:$E$149,FALSE),MATCH(AJ$5,'Company Portfolio Summary'!$E$135:$BK$135,FALSE))</f>
        <v>0</v>
      </c>
      <c r="AK14" s="572">
        <f ca="1">INDEX('Company Portfolio Summary'!$E$135:$BK$149,MATCH($B14,'Company Portfolio Summary'!$E$135:$E$149,FALSE),MATCH(AK$5,'Company Portfolio Summary'!$E$135:$BK$135,FALSE))</f>
        <v>124135</v>
      </c>
      <c r="AL14" s="572">
        <f ca="1">INDEX('Company Portfolio Summary'!$E$135:$BK$149,MATCH($B14,'Company Portfolio Summary'!$E$135:$E$149,FALSE),MATCH(AL$5,'Company Portfolio Summary'!$E$135:$BK$135,FALSE))</f>
        <v>111635.2</v>
      </c>
      <c r="AM14" s="572">
        <f ca="1">INDEX('Company Portfolio Summary'!$E$135:$BK$149,MATCH($B14,'Company Portfolio Summary'!$E$135:$E$149,FALSE),MATCH(AM$5,'Company Portfolio Summary'!$E$135:$BK$135,FALSE))</f>
        <v>100257</v>
      </c>
      <c r="AN14" s="572">
        <f ca="1">INDEX('Company Portfolio Summary'!$E$135:$BK$149,MATCH($B14,'Company Portfolio Summary'!$E$135:$E$149,FALSE),MATCH(AN$5,'Company Portfolio Summary'!$E$135:$BK$135,FALSE))</f>
        <v>90010</v>
      </c>
      <c r="AO14" s="572">
        <f ca="1">INDEX('Company Portfolio Summary'!$E$135:$BK$149,MATCH($B14,'Company Portfolio Summary'!$E$135:$E$149,FALSE),MATCH(AO$5,'Company Portfolio Summary'!$E$135:$BK$135,FALSE))</f>
        <v>80872</v>
      </c>
      <c r="AP14" s="572">
        <f ca="1">INDEX('Company Portfolio Summary'!$E$135:$BK$149,MATCH($B14,'Company Portfolio Summary'!$E$135:$E$149,FALSE),MATCH(AP$5,'Company Portfolio Summary'!$E$135:$BK$135,FALSE))</f>
        <v>72654</v>
      </c>
      <c r="AQ14" s="572">
        <f ca="1">INDEX('Company Portfolio Summary'!$E$135:$BK$149,MATCH($B14,'Company Portfolio Summary'!$E$135:$E$149,FALSE),MATCH(AQ$5,'Company Portfolio Summary'!$E$135:$BK$135,FALSE))</f>
        <v>65276</v>
      </c>
      <c r="AR14" s="572">
        <f ca="1">INDEX('Company Portfolio Summary'!$E$135:$BK$149,MATCH($B14,'Company Portfolio Summary'!$E$135:$E$149,FALSE),MATCH(AR$5,'Company Portfolio Summary'!$E$135:$BK$135,FALSE))</f>
        <v>0</v>
      </c>
      <c r="AS14" s="572">
        <f ca="1">INDEX('Company Portfolio Summary'!$E$135:$BK$149,MATCH($B14,'Company Portfolio Summary'!$E$135:$E$149,FALSE),MATCH(AS$5,'Company Portfolio Summary'!$E$135:$BK$135,FALSE))</f>
        <v>0</v>
      </c>
      <c r="AT14" s="572">
        <f ca="1">INDEX('Company Portfolio Summary'!$E$135:$BK$149,MATCH($B14,'Company Portfolio Summary'!$E$135:$E$149,FALSE),MATCH(AT$5,'Company Portfolio Summary'!$E$135:$BK$135,FALSE))</f>
        <v>0</v>
      </c>
      <c r="AU14" s="572">
        <f ca="1">INDEX('Company Portfolio Summary'!$E$135:$BK$149,MATCH($B14,'Company Portfolio Summary'!$E$135:$E$149,FALSE),MATCH(AU$5,'Company Portfolio Summary'!$E$135:$BK$135,FALSE))</f>
        <v>0</v>
      </c>
      <c r="AV14" s="572">
        <f ca="1">INDEX('Company Portfolio Summary'!$E$135:$BK$149,MATCH($B14,'Company Portfolio Summary'!$E$135:$E$149,FALSE),MATCH(AV$5,'Company Portfolio Summary'!$E$135:$BK$135,FALSE))</f>
        <v>0</v>
      </c>
      <c r="AW14" s="572">
        <f ca="1">INDEX('Company Portfolio Summary'!$E$135:$BK$149,MATCH($B14,'Company Portfolio Summary'!$E$135:$E$149,FALSE),MATCH(AW$5,'Company Portfolio Summary'!$E$135:$BK$135,FALSE))</f>
        <v>0</v>
      </c>
      <c r="AX14" s="572">
        <f ca="1">INDEX('Company Portfolio Summary'!$E$135:$BK$149,MATCH($B14,'Company Portfolio Summary'!$E$135:$E$149,FALSE),MATCH(AX$5,'Company Portfolio Summary'!$E$135:$BK$135,FALSE))</f>
        <v>0</v>
      </c>
      <c r="AY14" s="2"/>
      <c r="AZ14" s="84"/>
      <c r="BA14" s="569"/>
      <c r="BB14" s="84"/>
      <c r="BC14" s="569"/>
      <c r="BD14" s="2"/>
      <c r="BE14" s="84"/>
      <c r="BF14" s="569"/>
    </row>
    <row r="15" spans="1:58">
      <c r="A15" s="527" t="str">
        <f t="shared" si="6"/>
        <v>Large Nonres Demand Con.Total</v>
      </c>
      <c r="B15" s="649" t="s">
        <v>65</v>
      </c>
      <c r="C15" s="572">
        <f ca="1">MAX(I15:O15)</f>
        <v>578.3392544518274</v>
      </c>
      <c r="D15" s="650">
        <f t="shared" si="2"/>
        <v>9251514.8565050382</v>
      </c>
      <c r="E15" s="650">
        <f t="shared" si="3"/>
        <v>29268963.135280065</v>
      </c>
      <c r="F15" s="572">
        <f t="shared" ca="1" si="4"/>
        <v>3878919.4412549548</v>
      </c>
      <c r="G15" s="572">
        <f t="shared" ca="1" si="0"/>
        <v>78687.762980707339</v>
      </c>
      <c r="H15" s="572">
        <f t="shared" ca="1" si="5"/>
        <v>0</v>
      </c>
      <c r="I15" s="572">
        <f ca="1">INDEX('Company Portfolio Summary'!$E$135:$BK$149,MATCH($B15,'Company Portfolio Summary'!$E$135:$E$149,FALSE),MATCH(I$5,'Company Portfolio Summary'!$E$135:$BK$135,FALSE))</f>
        <v>212.86515900563847</v>
      </c>
      <c r="J15" s="572">
        <f ca="1">INDEX('Company Portfolio Summary'!$E$135:$BK$149,MATCH($B15,'Company Portfolio Summary'!$E$135:$E$149,FALSE),MATCH(J$5,'Company Portfolio Summary'!$E$135:$BK$135,FALSE))</f>
        <v>267.14368414243279</v>
      </c>
      <c r="K15" s="572">
        <f ca="1">INDEX('Company Portfolio Summary'!$E$135:$BK$149,MATCH($B15,'Company Portfolio Summary'!$E$135:$E$149,FALSE),MATCH(K$5,'Company Portfolio Summary'!$E$135:$BK$135,FALSE))</f>
        <v>328.6018090020965</v>
      </c>
      <c r="L15" s="572">
        <f ca="1">INDEX('Company Portfolio Summary'!$E$135:$BK$149,MATCH($B15,'Company Portfolio Summary'!$E$135:$E$149,FALSE),MATCH(L$5,'Company Portfolio Summary'!$E$135:$BK$135,FALSE))</f>
        <v>409.60622671390894</v>
      </c>
      <c r="M15" s="572">
        <f ca="1">INDEX('Company Portfolio Summary'!$E$135:$BK$149,MATCH($B15,'Company Portfolio Summary'!$E$135:$E$149,FALSE),MATCH(M$5,'Company Portfolio Summary'!$E$135:$BK$135,FALSE))</f>
        <v>493.384622070842</v>
      </c>
      <c r="N15" s="572">
        <f ca="1">INDEX('Company Portfolio Summary'!$E$135:$BK$149,MATCH($B15,'Company Portfolio Summary'!$E$135:$E$149,FALSE),MATCH(N$5,'Company Portfolio Summary'!$E$135:$BK$135,FALSE))</f>
        <v>578.3392544518274</v>
      </c>
      <c r="O15" s="572">
        <f ca="1">INDEX('Company Portfolio Summary'!$E$135:$BK$149,MATCH($B15,'Company Portfolio Summary'!$E$135:$E$149,FALSE),MATCH(O$5,'Company Portfolio Summary'!$E$135:$BK$135,FALSE))</f>
        <v>578.3392544518274</v>
      </c>
      <c r="P15" s="650">
        <f>VLOOKUP($A15,'LGE-KU Budgets'!$A$6:$Y$50,'LGE-KU Budgets'!L$2,0)*1000</f>
        <v>1296632.2695537466</v>
      </c>
      <c r="Q15" s="650">
        <f>VLOOKUP($A15,'LGE-KU Budgets'!$A$6:$Y$50,'LGE-KU Budgets'!M$2,0)*1000</f>
        <v>1407488.2944452923</v>
      </c>
      <c r="R15" s="650">
        <f>VLOOKUP($A15,'LGE-KU Budgets'!$A$6:$Y$50,'LGE-KU Budgets'!N$2,0)*1000</f>
        <v>1297289.1631224789</v>
      </c>
      <c r="S15" s="650">
        <f>VLOOKUP($A15,'LGE-KU Budgets'!$A$6:$Y$50,'LGE-KU Budgets'!O$2,0)*1000</f>
        <v>1399040.5835479472</v>
      </c>
      <c r="T15" s="650">
        <f>VLOOKUP($A15,'LGE-KU Budgets'!$A$6:$Y$50,'LGE-KU Budgets'!P$2,0)*1000</f>
        <v>1417051.0266232169</v>
      </c>
      <c r="U15" s="650">
        <f>VLOOKUP($A15,'LGE-KU Budgets'!$A$6:$Y$50,'LGE-KU Budgets'!Q$2,0)*1000</f>
        <v>1427196.9832386354</v>
      </c>
      <c r="V15" s="650">
        <f>VLOOKUP($A15,'LGE-KU Budgets'!$A$6:$Y$50,'LGE-KU Budgets'!R$2,0)*1000</f>
        <v>1006816.5359737194</v>
      </c>
      <c r="W15" s="650">
        <f>VLOOKUP($A15,'LGE-KU Budgets'!$A$6:$Y$50,'LGE-KU Budgets'!S$2,0)*1000</f>
        <v>2172152.8129578279</v>
      </c>
      <c r="X15" s="650">
        <f>VLOOKUP($A15,'LGE-KU Budgets'!$A$6:$Y$50,'LGE-KU Budgets'!T$2,0)*1000</f>
        <v>2726030.4489685516</v>
      </c>
      <c r="Y15" s="650">
        <f>VLOOKUP($A15,'LGE-KU Budgets'!$A$6:$Y$50,'LGE-KU Budgets'!U$2,0)*1000</f>
        <v>3353171.3085466838</v>
      </c>
      <c r="Z15" s="650">
        <f>VLOOKUP($A15,'LGE-KU Budgets'!$A$6:$Y$50,'LGE-KU Budgets'!V$2,0)*1000</f>
        <v>4179769.5861448674</v>
      </c>
      <c r="AA15" s="650">
        <f>VLOOKUP($A15,'LGE-KU Budgets'!$A$6:$Y$50,'LGE-KU Budgets'!W$2,0)*1000</f>
        <v>5034674.5315560363</v>
      </c>
      <c r="AB15" s="650">
        <f>VLOOKUP($A15,'LGE-KU Budgets'!$A$6:$Y$50,'LGE-KU Budgets'!X$2,0)*1000</f>
        <v>5901582.2235530512</v>
      </c>
      <c r="AC15" s="650">
        <f>VLOOKUP($A15,'LGE-KU Budgets'!$A$6:$Y$50,'LGE-KU Budgets'!Y$2,0)*1000</f>
        <v>5901582.2235530512</v>
      </c>
      <c r="AD15" s="572">
        <f ca="1">INDEX('Company Portfolio Summary'!$E$135:$BK$149,MATCH($B15,'Company Portfolio Summary'!$E$135:$E$149,FALSE),MATCH(AD$5,'Company Portfolio Summary'!$E$135:$BK$135,FALSE))</f>
        <v>287868.26976466214</v>
      </c>
      <c r="AE15" s="572">
        <f ca="1">INDEX('Company Portfolio Summary'!$E$135:$BK$149,MATCH($B15,'Company Portfolio Summary'!$E$135:$E$149,FALSE),MATCH(AE$5,'Company Portfolio Summary'!$E$135:$BK$135,FALSE))</f>
        <v>361271.85158846271</v>
      </c>
      <c r="AF15" s="572">
        <f ca="1">INDEX('Company Portfolio Summary'!$E$135:$BK$149,MATCH($B15,'Company Portfolio Summary'!$E$135:$E$149,FALSE),MATCH(AF$5,'Company Portfolio Summary'!$E$135:$BK$135,FALSE))</f>
        <v>444384.76752536953</v>
      </c>
      <c r="AG15" s="572">
        <f ca="1">INDEX('Company Portfolio Summary'!$E$135:$BK$149,MATCH($B15,'Company Portfolio Summary'!$E$135:$E$149,FALSE),MATCH(AG$5,'Company Portfolio Summary'!$E$135:$BK$135,FALSE))</f>
        <v>553931.11921073741</v>
      </c>
      <c r="AH15" s="572">
        <f ca="1">INDEX('Company Portfolio Summary'!$E$135:$BK$149,MATCH($B15,'Company Portfolio Summary'!$E$135:$E$149,FALSE),MATCH(AH$5,'Company Portfolio Summary'!$E$135:$BK$135,FALSE))</f>
        <v>667228.86050254409</v>
      </c>
      <c r="AI15" s="572">
        <f ca="1">INDEX('Company Portfolio Summary'!$E$135:$BK$149,MATCH($B15,'Company Portfolio Summary'!$E$135:$E$149,FALSE),MATCH(AI$5,'Company Portfolio Summary'!$E$135:$BK$135,FALSE))</f>
        <v>782117.2863315891</v>
      </c>
      <c r="AJ15" s="572">
        <f ca="1">INDEX('Company Portfolio Summary'!$E$135:$BK$149,MATCH($B15,'Company Portfolio Summary'!$E$135:$E$149,FALSE),MATCH(AJ$5,'Company Portfolio Summary'!$E$135:$BK$135,FALSE))</f>
        <v>782117.2863315891</v>
      </c>
      <c r="AK15" s="572">
        <f ca="1">INDEX('Company Portfolio Summary'!$E$135:$BK$149,MATCH($B15,'Company Portfolio Summary'!$E$135:$E$149,FALSE),MATCH(AK$5,'Company Portfolio Summary'!$E$135:$BK$135,FALSE))</f>
        <v>28962.037506104367</v>
      </c>
      <c r="AL15" s="572">
        <f ca="1">INDEX('Company Portfolio Summary'!$E$135:$BK$149,MATCH($B15,'Company Portfolio Summary'!$E$135:$E$149,FALSE),MATCH(AL$5,'Company Portfolio Summary'!$E$135:$BK$135,FALSE))</f>
        <v>36347.072652914023</v>
      </c>
      <c r="AM15" s="572">
        <f ca="1">INDEX('Company Portfolio Summary'!$E$135:$BK$149,MATCH($B15,'Company Portfolio Summary'!$E$135:$E$149,FALSE),MATCH(AM$5,'Company Portfolio Summary'!$E$135:$BK$135,FALSE))</f>
        <v>44708.95078062245</v>
      </c>
      <c r="AN15" s="572">
        <f ca="1">INDEX('Company Portfolio Summary'!$E$135:$BK$149,MATCH($B15,'Company Portfolio Summary'!$E$135:$E$149,FALSE),MATCH(AN$5,'Company Portfolio Summary'!$E$135:$BK$135,FALSE))</f>
        <v>55730.261148598234</v>
      </c>
      <c r="AO15" s="572">
        <f ca="1">INDEX('Company Portfolio Summary'!$E$135:$BK$149,MATCH($B15,'Company Portfolio Summary'!$E$135:$E$149,FALSE),MATCH(AO$5,'Company Portfolio Summary'!$E$135:$BK$135,FALSE))</f>
        <v>67128.993754080482</v>
      </c>
      <c r="AP15" s="572">
        <f ca="1">INDEX('Company Portfolio Summary'!$E$135:$BK$149,MATCH($B15,'Company Portfolio Summary'!$E$135:$E$149,FALSE),MATCH(AP$5,'Company Portfolio Summary'!$E$135:$BK$135,FALSE))</f>
        <v>78687.762980707339</v>
      </c>
      <c r="AQ15" s="572">
        <f ca="1">INDEX('Company Portfolio Summary'!$E$135:$BK$149,MATCH($B15,'Company Portfolio Summary'!$E$135:$E$149,FALSE),MATCH(AQ$5,'Company Portfolio Summary'!$E$135:$BK$135,FALSE))</f>
        <v>78687.762980707339</v>
      </c>
      <c r="AR15" s="572">
        <f ca="1">INDEX('Company Portfolio Summary'!$E$135:$BK$149,MATCH($B15,'Company Portfolio Summary'!$E$135:$E$149,FALSE),MATCH(AR$5,'Company Portfolio Summary'!$E$135:$BK$135,FALSE))</f>
        <v>0</v>
      </c>
      <c r="AS15" s="572">
        <f ca="1">INDEX('Company Portfolio Summary'!$E$135:$BK$149,MATCH($B15,'Company Portfolio Summary'!$E$135:$E$149,FALSE),MATCH(AS$5,'Company Portfolio Summary'!$E$135:$BK$135,FALSE))</f>
        <v>0</v>
      </c>
      <c r="AT15" s="572">
        <f ca="1">INDEX('Company Portfolio Summary'!$E$135:$BK$149,MATCH($B15,'Company Portfolio Summary'!$E$135:$E$149,FALSE),MATCH(AT$5,'Company Portfolio Summary'!$E$135:$BK$135,FALSE))</f>
        <v>0</v>
      </c>
      <c r="AU15" s="572">
        <f ca="1">INDEX('Company Portfolio Summary'!$E$135:$BK$149,MATCH($B15,'Company Portfolio Summary'!$E$135:$E$149,FALSE),MATCH(AU$5,'Company Portfolio Summary'!$E$135:$BK$135,FALSE))</f>
        <v>0</v>
      </c>
      <c r="AV15" s="572">
        <f ca="1">INDEX('Company Portfolio Summary'!$E$135:$BK$149,MATCH($B15,'Company Portfolio Summary'!$E$135:$E$149,FALSE),MATCH(AV$5,'Company Portfolio Summary'!$E$135:$BK$135,FALSE))</f>
        <v>0</v>
      </c>
      <c r="AW15" s="572">
        <f ca="1">INDEX('Company Portfolio Summary'!$E$135:$BK$149,MATCH($B15,'Company Portfolio Summary'!$E$135:$E$149,FALSE),MATCH(AW$5,'Company Portfolio Summary'!$E$135:$BK$135,FALSE))</f>
        <v>0</v>
      </c>
      <c r="AX15" s="572">
        <f ca="1">INDEX('Company Portfolio Summary'!$E$135:$BK$149,MATCH($B15,'Company Portfolio Summary'!$E$135:$E$149,FALSE),MATCH(AX$5,'Company Portfolio Summary'!$E$135:$BK$135,FALSE))</f>
        <v>0</v>
      </c>
      <c r="AY15" s="2"/>
      <c r="AZ15" s="84"/>
      <c r="BA15" s="569"/>
      <c r="BB15" s="84"/>
      <c r="BC15" s="569"/>
      <c r="BD15" s="2"/>
      <c r="BE15" s="84"/>
      <c r="BF15" s="569"/>
    </row>
    <row r="16" spans="1:58">
      <c r="A16" s="527" t="str">
        <f t="shared" si="6"/>
        <v>Peak Time RebateTotal</v>
      </c>
      <c r="B16" s="649" t="s">
        <v>66</v>
      </c>
      <c r="C16" s="572">
        <f ca="1">MAX(I16:O16)</f>
        <v>185000</v>
      </c>
      <c r="D16" s="650">
        <f t="shared" si="2"/>
        <v>5965767.100085861</v>
      </c>
      <c r="E16" s="650">
        <f t="shared" si="3"/>
        <v>35596025.538705878</v>
      </c>
      <c r="F16" s="572">
        <f t="shared" ca="1" si="4"/>
        <v>0</v>
      </c>
      <c r="G16" s="572">
        <f t="shared" ca="1" si="0"/>
        <v>30801.15145631335</v>
      </c>
      <c r="H16" s="572">
        <f t="shared" ca="1" si="5"/>
        <v>0</v>
      </c>
      <c r="I16" s="572">
        <f ca="1">INDEX('Company Portfolio Summary'!$E$135:$BK$149,MATCH($B16,'Company Portfolio Summary'!$E$135:$E$149,FALSE),MATCH(I$5,'Company Portfolio Summary'!$E$135:$BK$135,FALSE))</f>
        <v>0</v>
      </c>
      <c r="J16" s="572">
        <f ca="1">INDEX('Company Portfolio Summary'!$E$135:$BK$149,MATCH($B16,'Company Portfolio Summary'!$E$135:$E$149,FALSE),MATCH(J$5,'Company Portfolio Summary'!$E$135:$BK$135,FALSE))</f>
        <v>26000</v>
      </c>
      <c r="K16" s="572">
        <f ca="1">INDEX('Company Portfolio Summary'!$E$135:$BK$149,MATCH($B16,'Company Portfolio Summary'!$E$135:$E$149,FALSE),MATCH(K$5,'Company Portfolio Summary'!$E$135:$BK$135,FALSE))</f>
        <v>52000</v>
      </c>
      <c r="L16" s="572">
        <f ca="1">INDEX('Company Portfolio Summary'!$E$135:$BK$149,MATCH($B16,'Company Portfolio Summary'!$E$135:$E$149,FALSE),MATCH(L$5,'Company Portfolio Summary'!$E$135:$BK$135,FALSE))</f>
        <v>104000</v>
      </c>
      <c r="M16" s="572">
        <f ca="1">INDEX('Company Portfolio Summary'!$E$135:$BK$149,MATCH($B16,'Company Portfolio Summary'!$E$135:$E$149,FALSE),MATCH(M$5,'Company Portfolio Summary'!$E$135:$BK$135,FALSE))</f>
        <v>185000</v>
      </c>
      <c r="N16" s="572">
        <f ca="1">INDEX('Company Portfolio Summary'!$E$135:$BK$149,MATCH($B16,'Company Portfolio Summary'!$E$135:$E$149,FALSE),MATCH(N$5,'Company Portfolio Summary'!$E$135:$BK$135,FALSE))</f>
        <v>185000</v>
      </c>
      <c r="O16" s="572">
        <f ca="1">INDEX('Company Portfolio Summary'!$E$135:$BK$149,MATCH($B16,'Company Portfolio Summary'!$E$135:$E$149,FALSE),MATCH(O$5,'Company Portfolio Summary'!$E$135:$BK$135,FALSE))</f>
        <v>185000</v>
      </c>
      <c r="P16" s="650">
        <f>VLOOKUP($A16,'LGE-KU Budgets'!$A$6:$Y$50,'LGE-KU Budgets'!L$2,0)*1000</f>
        <v>250000</v>
      </c>
      <c r="Q16" s="650">
        <f>VLOOKUP($A16,'LGE-KU Budgets'!$A$6:$Y$50,'LGE-KU Budgets'!M$2,0)*1000</f>
        <v>1489458.0945975538</v>
      </c>
      <c r="R16" s="650">
        <f>VLOOKUP($A16,'LGE-KU Budgets'!$A$6:$Y$50,'LGE-KU Budgets'!N$2,0)*1000</f>
        <v>446981.83743548032</v>
      </c>
      <c r="S16" s="650">
        <f>VLOOKUP($A16,'LGE-KU Budgets'!$A$6:$Y$50,'LGE-KU Budgets'!O$2,0)*1000</f>
        <v>658611.29255854478</v>
      </c>
      <c r="T16" s="650">
        <f>VLOOKUP($A16,'LGE-KU Budgets'!$A$6:$Y$50,'LGE-KU Budgets'!P$2,0)*1000</f>
        <v>986349.63133530109</v>
      </c>
      <c r="U16" s="650">
        <f>VLOOKUP($A16,'LGE-KU Budgets'!$A$6:$Y$50,'LGE-KU Budgets'!Q$2,0)*1000</f>
        <v>1140200.1202753601</v>
      </c>
      <c r="V16" s="650">
        <f>VLOOKUP($A16,'LGE-KU Budgets'!$A$6:$Y$50,'LGE-KU Budgets'!R$2,0)*1000</f>
        <v>994166.12388362095</v>
      </c>
      <c r="W16" s="650">
        <f>VLOOKUP($A16,'LGE-KU Budgets'!$A$6:$Y$50,'LGE-KU Budgets'!S$2,0)*1000</f>
        <v>0</v>
      </c>
      <c r="X16" s="650">
        <f>VLOOKUP($A16,'LGE-KU Budgets'!$A$6:$Y$50,'LGE-KU Budgets'!T$2,0)*1000</f>
        <v>1255762.0949882669</v>
      </c>
      <c r="Y16" s="650">
        <f>VLOOKUP($A16,'LGE-KU Budgets'!$A$6:$Y$50,'LGE-KU Budgets'!U$2,0)*1000</f>
        <v>2511524.1899765339</v>
      </c>
      <c r="Z16" s="650">
        <f>VLOOKUP($A16,'LGE-KU Budgets'!$A$6:$Y$50,'LGE-KU Budgets'!V$2,0)*1000</f>
        <v>5023048.3799530677</v>
      </c>
      <c r="AA16" s="650">
        <f>VLOOKUP($A16,'LGE-KU Budgets'!$A$6:$Y$50,'LGE-KU Budgets'!W$2,0)*1000</f>
        <v>8935230.2912626695</v>
      </c>
      <c r="AB16" s="650">
        <f>VLOOKUP($A16,'LGE-KU Budgets'!$A$6:$Y$50,'LGE-KU Budgets'!X$2,0)*1000</f>
        <v>8935230.2912626695</v>
      </c>
      <c r="AC16" s="650">
        <f>VLOOKUP($A16,'LGE-KU Budgets'!$A$6:$Y$50,'LGE-KU Budgets'!Y$2,0)*1000</f>
        <v>8935230.2912626695</v>
      </c>
      <c r="AD16" s="572">
        <f ca="1">INDEX('Company Portfolio Summary'!$E$135:$BK$149,MATCH($B16,'Company Portfolio Summary'!$E$135:$E$149,FALSE),MATCH(AD$5,'Company Portfolio Summary'!$E$135:$BK$135,FALSE))</f>
        <v>0</v>
      </c>
      <c r="AE16" s="572">
        <f ca="1">INDEX('Company Portfolio Summary'!$E$135:$BK$149,MATCH($B16,'Company Portfolio Summary'!$E$135:$E$149,FALSE),MATCH(AE$5,'Company Portfolio Summary'!$E$135:$BK$135,FALSE))</f>
        <v>0</v>
      </c>
      <c r="AF16" s="572">
        <f ca="1">INDEX('Company Portfolio Summary'!$E$135:$BK$149,MATCH($B16,'Company Portfolio Summary'!$E$135:$E$149,FALSE),MATCH(AF$5,'Company Portfolio Summary'!$E$135:$BK$135,FALSE))</f>
        <v>0</v>
      </c>
      <c r="AG16" s="572">
        <f ca="1">INDEX('Company Portfolio Summary'!$E$135:$BK$149,MATCH($B16,'Company Portfolio Summary'!$E$135:$E$149,FALSE),MATCH(AG$5,'Company Portfolio Summary'!$E$135:$BK$135,FALSE))</f>
        <v>0</v>
      </c>
      <c r="AH16" s="572">
        <f ca="1">INDEX('Company Portfolio Summary'!$E$135:$BK$149,MATCH($B16,'Company Portfolio Summary'!$E$135:$E$149,FALSE),MATCH(AH$5,'Company Portfolio Summary'!$E$135:$BK$135,FALSE))</f>
        <v>0</v>
      </c>
      <c r="AI16" s="572">
        <f ca="1">INDEX('Company Portfolio Summary'!$E$135:$BK$149,MATCH($B16,'Company Portfolio Summary'!$E$135:$E$149,FALSE),MATCH(AI$5,'Company Portfolio Summary'!$E$135:$BK$135,FALSE))</f>
        <v>0</v>
      </c>
      <c r="AJ16" s="572">
        <f ca="1">INDEX('Company Portfolio Summary'!$E$135:$BK$149,MATCH($B16,'Company Portfolio Summary'!$E$135:$E$149,FALSE),MATCH(AJ$5,'Company Portfolio Summary'!$E$135:$BK$135,FALSE))</f>
        <v>0</v>
      </c>
      <c r="AK16" s="572">
        <f ca="1">INDEX('Company Portfolio Summary'!$E$135:$BK$149,MATCH($B16,'Company Portfolio Summary'!$E$135:$E$149,FALSE),MATCH(AK$5,'Company Portfolio Summary'!$E$135:$BK$135,FALSE))</f>
        <v>0</v>
      </c>
      <c r="AL16" s="572">
        <f ca="1">INDEX('Company Portfolio Summary'!$E$135:$BK$149,MATCH($B16,'Company Portfolio Summary'!$E$135:$E$149,FALSE),MATCH(AL$5,'Company Portfolio Summary'!$E$135:$BK$135,FALSE))</f>
        <v>4328.8104749413351</v>
      </c>
      <c r="AM16" s="572">
        <f ca="1">INDEX('Company Portfolio Summary'!$E$135:$BK$149,MATCH($B16,'Company Portfolio Summary'!$E$135:$E$149,FALSE),MATCH(AM$5,'Company Portfolio Summary'!$E$135:$BK$135,FALSE))</f>
        <v>8657.6209498826702</v>
      </c>
      <c r="AN16" s="572">
        <f ca="1">INDEX('Company Portfolio Summary'!$E$135:$BK$149,MATCH($B16,'Company Portfolio Summary'!$E$135:$E$149,FALSE),MATCH(AN$5,'Company Portfolio Summary'!$E$135:$BK$135,FALSE))</f>
        <v>17315.24189976534</v>
      </c>
      <c r="AO16" s="572">
        <f ca="1">INDEX('Company Portfolio Summary'!$E$135:$BK$149,MATCH($B16,'Company Portfolio Summary'!$E$135:$E$149,FALSE),MATCH(AO$5,'Company Portfolio Summary'!$E$135:$BK$135,FALSE))</f>
        <v>30801.15145631335</v>
      </c>
      <c r="AP16" s="572">
        <f ca="1">INDEX('Company Portfolio Summary'!$E$135:$BK$149,MATCH($B16,'Company Portfolio Summary'!$E$135:$E$149,FALSE),MATCH(AP$5,'Company Portfolio Summary'!$E$135:$BK$135,FALSE))</f>
        <v>30801.15145631335</v>
      </c>
      <c r="AQ16" s="572">
        <f ca="1">INDEX('Company Portfolio Summary'!$E$135:$BK$149,MATCH($B16,'Company Portfolio Summary'!$E$135:$E$149,FALSE),MATCH(AQ$5,'Company Portfolio Summary'!$E$135:$BK$135,FALSE))</f>
        <v>30801.15145631335</v>
      </c>
      <c r="AR16" s="572">
        <f ca="1">INDEX('Company Portfolio Summary'!$E$135:$BK$149,MATCH($B16,'Company Portfolio Summary'!$E$135:$E$149,FALSE),MATCH(AR$5,'Company Portfolio Summary'!$E$135:$BK$135,FALSE))</f>
        <v>0</v>
      </c>
      <c r="AS16" s="572">
        <f ca="1">INDEX('Company Portfolio Summary'!$E$135:$BK$149,MATCH($B16,'Company Portfolio Summary'!$E$135:$E$149,FALSE),MATCH(AS$5,'Company Portfolio Summary'!$E$135:$BK$135,FALSE))</f>
        <v>0</v>
      </c>
      <c r="AT16" s="572">
        <f ca="1">INDEX('Company Portfolio Summary'!$E$135:$BK$149,MATCH($B16,'Company Portfolio Summary'!$E$135:$E$149,FALSE),MATCH(AT$5,'Company Portfolio Summary'!$E$135:$BK$135,FALSE))</f>
        <v>0</v>
      </c>
      <c r="AU16" s="572">
        <f ca="1">INDEX('Company Portfolio Summary'!$E$135:$BK$149,MATCH($B16,'Company Portfolio Summary'!$E$135:$E$149,FALSE),MATCH(AU$5,'Company Portfolio Summary'!$E$135:$BK$135,FALSE))</f>
        <v>0</v>
      </c>
      <c r="AV16" s="572">
        <f ca="1">INDEX('Company Portfolio Summary'!$E$135:$BK$149,MATCH($B16,'Company Portfolio Summary'!$E$135:$E$149,FALSE),MATCH(AV$5,'Company Portfolio Summary'!$E$135:$BK$135,FALSE))</f>
        <v>0</v>
      </c>
      <c r="AW16" s="572">
        <f ca="1">INDEX('Company Portfolio Summary'!$E$135:$BK$149,MATCH($B16,'Company Portfolio Summary'!$E$135:$E$149,FALSE),MATCH(AW$5,'Company Portfolio Summary'!$E$135:$BK$135,FALSE))</f>
        <v>0</v>
      </c>
      <c r="AX16" s="572">
        <f ca="1">INDEX('Company Portfolio Summary'!$E$135:$BK$149,MATCH($B16,'Company Portfolio Summary'!$E$135:$E$149,FALSE),MATCH(AX$5,'Company Portfolio Summary'!$E$135:$BK$135,FALSE))</f>
        <v>0</v>
      </c>
      <c r="AY16" s="2"/>
      <c r="AZ16" s="84"/>
      <c r="BA16" s="569"/>
      <c r="BB16" s="84"/>
      <c r="BC16" s="569"/>
      <c r="BD16" s="2"/>
      <c r="BE16" s="84"/>
      <c r="BF16" s="569"/>
    </row>
    <row r="17" spans="1:58">
      <c r="A17" s="527" t="str">
        <f t="shared" si="6"/>
        <v>Residential Managed ChargingTotal</v>
      </c>
      <c r="B17" s="649" t="s">
        <v>67</v>
      </c>
      <c r="C17" s="572">
        <f ca="1">MAX(I17:O17)</f>
        <v>7500</v>
      </c>
      <c r="D17" s="650">
        <f t="shared" si="2"/>
        <v>4984440.0174264936</v>
      </c>
      <c r="E17" s="650">
        <f t="shared" si="3"/>
        <v>1905000</v>
      </c>
      <c r="F17" s="572">
        <f t="shared" ca="1" si="4"/>
        <v>0</v>
      </c>
      <c r="G17" s="572">
        <f t="shared" ca="1" si="0"/>
        <v>3000</v>
      </c>
      <c r="H17" s="572">
        <f t="shared" ca="1" si="5"/>
        <v>0</v>
      </c>
      <c r="I17" s="572">
        <f ca="1">INDEX('Company Portfolio Summary'!$E$135:$BK$149,MATCH($B17,'Company Portfolio Summary'!$E$135:$E$149,FALSE),MATCH(I$5,'Company Portfolio Summary'!$E$135:$BK$135,FALSE))</f>
        <v>750</v>
      </c>
      <c r="J17" s="572">
        <f ca="1">INDEX('Company Portfolio Summary'!$E$135:$BK$149,MATCH($B17,'Company Portfolio Summary'!$E$135:$E$149,FALSE),MATCH(J$5,'Company Portfolio Summary'!$E$135:$BK$135,FALSE))</f>
        <v>1500</v>
      </c>
      <c r="K17" s="572">
        <f ca="1">INDEX('Company Portfolio Summary'!$E$135:$BK$149,MATCH($B17,'Company Portfolio Summary'!$E$135:$E$149,FALSE),MATCH(K$5,'Company Portfolio Summary'!$E$135:$BK$135,FALSE))</f>
        <v>2250</v>
      </c>
      <c r="L17" s="572">
        <f ca="1">INDEX('Company Portfolio Summary'!$E$135:$BK$149,MATCH($B17,'Company Portfolio Summary'!$E$135:$E$149,FALSE),MATCH(L$5,'Company Portfolio Summary'!$E$135:$BK$135,FALSE))</f>
        <v>3000</v>
      </c>
      <c r="M17" s="572">
        <f ca="1">INDEX('Company Portfolio Summary'!$E$135:$BK$149,MATCH($B17,'Company Portfolio Summary'!$E$135:$E$149,FALSE),MATCH(M$5,'Company Portfolio Summary'!$E$135:$BK$135,FALSE))</f>
        <v>4500</v>
      </c>
      <c r="N17" s="572">
        <f ca="1">INDEX('Company Portfolio Summary'!$E$135:$BK$149,MATCH($B17,'Company Portfolio Summary'!$E$135:$E$149,FALSE),MATCH(N$5,'Company Portfolio Summary'!$E$135:$BK$135,FALSE))</f>
        <v>6000</v>
      </c>
      <c r="O17" s="572">
        <f ca="1">INDEX('Company Portfolio Summary'!$E$135:$BK$149,MATCH($B17,'Company Portfolio Summary'!$E$135:$E$149,FALSE),MATCH(O$5,'Company Portfolio Summary'!$E$135:$BK$135,FALSE))</f>
        <v>7500</v>
      </c>
      <c r="P17" s="650">
        <f>VLOOKUP($A17,'LGE-KU Budgets'!$A$6:$Y$50,'LGE-KU Budgets'!L$2,0)*1000</f>
        <v>443749.46411104954</v>
      </c>
      <c r="Q17" s="650">
        <f>VLOOKUP($A17,'LGE-KU Budgets'!$A$6:$Y$50,'LGE-KU Budgets'!M$2,0)*1000</f>
        <v>410931.94803438103</v>
      </c>
      <c r="R17" s="650">
        <f>VLOOKUP($A17,'LGE-KU Budgets'!$A$6:$Y$50,'LGE-KU Budgets'!N$2,0)*1000</f>
        <v>503179.90647541243</v>
      </c>
      <c r="S17" s="650">
        <f>VLOOKUP($A17,'LGE-KU Budgets'!$A$6:$Y$50,'LGE-KU Budgets'!O$2,0)*1000</f>
        <v>595495.3036696749</v>
      </c>
      <c r="T17" s="650">
        <f>VLOOKUP($A17,'LGE-KU Budgets'!$A$6:$Y$50,'LGE-KU Budgets'!P$2,0)*1000</f>
        <v>777880.16277976509</v>
      </c>
      <c r="U17" s="650">
        <f>VLOOKUP($A17,'LGE-KU Budgets'!$A$6:$Y$50,'LGE-KU Budgets'!Q$2,0)*1000</f>
        <v>960336.56766315806</v>
      </c>
      <c r="V17" s="650">
        <f>VLOOKUP($A17,'LGE-KU Budgets'!$A$6:$Y$50,'LGE-KU Budgets'!R$2,0)*1000</f>
        <v>1292866.6646930529</v>
      </c>
      <c r="W17" s="650">
        <f>VLOOKUP($A17,'LGE-KU Budgets'!$A$6:$Y$50,'LGE-KU Budgets'!S$2,0)*1000</f>
        <v>82500</v>
      </c>
      <c r="X17" s="650">
        <f>VLOOKUP($A17,'LGE-KU Budgets'!$A$6:$Y$50,'LGE-KU Budgets'!T$2,0)*1000</f>
        <v>127500</v>
      </c>
      <c r="Y17" s="650">
        <f>VLOOKUP($A17,'LGE-KU Budgets'!$A$6:$Y$50,'LGE-KU Budgets'!U$2,0)*1000</f>
        <v>172500</v>
      </c>
      <c r="Z17" s="650">
        <f>VLOOKUP($A17,'LGE-KU Budgets'!$A$6:$Y$50,'LGE-KU Budgets'!V$2,0)*1000</f>
        <v>217500</v>
      </c>
      <c r="AA17" s="650">
        <f>VLOOKUP($A17,'LGE-KU Budgets'!$A$6:$Y$50,'LGE-KU Budgets'!W$2,0)*1000</f>
        <v>345000</v>
      </c>
      <c r="AB17" s="650">
        <f>VLOOKUP($A17,'LGE-KU Budgets'!$A$6:$Y$50,'LGE-KU Budgets'!X$2,0)*1000</f>
        <v>435000</v>
      </c>
      <c r="AC17" s="650">
        <f>VLOOKUP($A17,'LGE-KU Budgets'!$A$6:$Y$50,'LGE-KU Budgets'!Y$2,0)*1000</f>
        <v>525000</v>
      </c>
      <c r="AD17" s="572">
        <f ca="1">INDEX('Company Portfolio Summary'!$E$135:$BK$149,MATCH($B17,'Company Portfolio Summary'!$E$135:$E$149,FALSE),MATCH(AD$5,'Company Portfolio Summary'!$E$135:$BK$135,FALSE))</f>
        <v>0</v>
      </c>
      <c r="AE17" s="572">
        <f ca="1">INDEX('Company Portfolio Summary'!$E$135:$BK$149,MATCH($B17,'Company Portfolio Summary'!$E$135:$E$149,FALSE),MATCH(AE$5,'Company Portfolio Summary'!$E$135:$BK$135,FALSE))</f>
        <v>0</v>
      </c>
      <c r="AF17" s="572">
        <f ca="1">INDEX('Company Portfolio Summary'!$E$135:$BK$149,MATCH($B17,'Company Portfolio Summary'!$E$135:$E$149,FALSE),MATCH(AF$5,'Company Portfolio Summary'!$E$135:$BK$135,FALSE))</f>
        <v>0</v>
      </c>
      <c r="AG17" s="572">
        <f ca="1">INDEX('Company Portfolio Summary'!$E$135:$BK$149,MATCH($B17,'Company Portfolio Summary'!$E$135:$E$149,FALSE),MATCH(AG$5,'Company Portfolio Summary'!$E$135:$BK$135,FALSE))</f>
        <v>0</v>
      </c>
      <c r="AH17" s="572">
        <f ca="1">INDEX('Company Portfolio Summary'!$E$135:$BK$149,MATCH($B17,'Company Portfolio Summary'!$E$135:$E$149,FALSE),MATCH(AH$5,'Company Portfolio Summary'!$E$135:$BK$135,FALSE))</f>
        <v>0</v>
      </c>
      <c r="AI17" s="572">
        <f ca="1">INDEX('Company Portfolio Summary'!$E$135:$BK$149,MATCH($B17,'Company Portfolio Summary'!$E$135:$E$149,FALSE),MATCH(AI$5,'Company Portfolio Summary'!$E$135:$BK$135,FALSE))</f>
        <v>0</v>
      </c>
      <c r="AJ17" s="572">
        <f ca="1">INDEX('Company Portfolio Summary'!$E$135:$BK$149,MATCH($B17,'Company Portfolio Summary'!$E$135:$E$149,FALSE),MATCH(AJ$5,'Company Portfolio Summary'!$E$135:$BK$135,FALSE))</f>
        <v>0</v>
      </c>
      <c r="AK17" s="572">
        <f ca="1">INDEX('Company Portfolio Summary'!$E$135:$BK$149,MATCH($B17,'Company Portfolio Summary'!$E$135:$E$149,FALSE),MATCH(AK$5,'Company Portfolio Summary'!$E$135:$BK$135,FALSE))</f>
        <v>300</v>
      </c>
      <c r="AL17" s="572">
        <f ca="1">INDEX('Company Portfolio Summary'!$E$135:$BK$149,MATCH($B17,'Company Portfolio Summary'!$E$135:$E$149,FALSE),MATCH(AL$5,'Company Portfolio Summary'!$E$135:$BK$135,FALSE))</f>
        <v>600</v>
      </c>
      <c r="AM17" s="572">
        <f ca="1">INDEX('Company Portfolio Summary'!$E$135:$BK$149,MATCH($B17,'Company Portfolio Summary'!$E$135:$E$149,FALSE),MATCH(AM$5,'Company Portfolio Summary'!$E$135:$BK$135,FALSE))</f>
        <v>900</v>
      </c>
      <c r="AN17" s="572">
        <f ca="1">INDEX('Company Portfolio Summary'!$E$135:$BK$149,MATCH($B17,'Company Portfolio Summary'!$E$135:$E$149,FALSE),MATCH(AN$5,'Company Portfolio Summary'!$E$135:$BK$135,FALSE))</f>
        <v>1200</v>
      </c>
      <c r="AO17" s="572">
        <f ca="1">INDEX('Company Portfolio Summary'!$E$135:$BK$149,MATCH($B17,'Company Portfolio Summary'!$E$135:$E$149,FALSE),MATCH(AO$5,'Company Portfolio Summary'!$E$135:$BK$135,FALSE))</f>
        <v>1800</v>
      </c>
      <c r="AP17" s="572">
        <f ca="1">INDEX('Company Portfolio Summary'!$E$135:$BK$149,MATCH($B17,'Company Portfolio Summary'!$E$135:$E$149,FALSE),MATCH(AP$5,'Company Portfolio Summary'!$E$135:$BK$135,FALSE))</f>
        <v>2400</v>
      </c>
      <c r="AQ17" s="572">
        <f ca="1">INDEX('Company Portfolio Summary'!$E$135:$BK$149,MATCH($B17,'Company Portfolio Summary'!$E$135:$E$149,FALSE),MATCH(AQ$5,'Company Portfolio Summary'!$E$135:$BK$135,FALSE))</f>
        <v>3000</v>
      </c>
      <c r="AR17" s="572">
        <f ca="1">INDEX('Company Portfolio Summary'!$E$135:$BK$149,MATCH($B17,'Company Portfolio Summary'!$E$135:$E$149,FALSE),MATCH(AR$5,'Company Portfolio Summary'!$E$135:$BK$135,FALSE))</f>
        <v>0</v>
      </c>
      <c r="AS17" s="572">
        <f ca="1">INDEX('Company Portfolio Summary'!$E$135:$BK$149,MATCH($B17,'Company Portfolio Summary'!$E$135:$E$149,FALSE),MATCH(AS$5,'Company Portfolio Summary'!$E$135:$BK$135,FALSE))</f>
        <v>0</v>
      </c>
      <c r="AT17" s="572">
        <f ca="1">INDEX('Company Portfolio Summary'!$E$135:$BK$149,MATCH($B17,'Company Portfolio Summary'!$E$135:$E$149,FALSE),MATCH(AT$5,'Company Portfolio Summary'!$E$135:$BK$135,FALSE))</f>
        <v>0</v>
      </c>
      <c r="AU17" s="572">
        <f ca="1">INDEX('Company Portfolio Summary'!$E$135:$BK$149,MATCH($B17,'Company Portfolio Summary'!$E$135:$E$149,FALSE),MATCH(AU$5,'Company Portfolio Summary'!$E$135:$BK$135,FALSE))</f>
        <v>0</v>
      </c>
      <c r="AV17" s="572">
        <f ca="1">INDEX('Company Portfolio Summary'!$E$135:$BK$149,MATCH($B17,'Company Portfolio Summary'!$E$135:$E$149,FALSE),MATCH(AV$5,'Company Portfolio Summary'!$E$135:$BK$135,FALSE))</f>
        <v>0</v>
      </c>
      <c r="AW17" s="572">
        <f ca="1">INDEX('Company Portfolio Summary'!$E$135:$BK$149,MATCH($B17,'Company Portfolio Summary'!$E$135:$E$149,FALSE),MATCH(AW$5,'Company Portfolio Summary'!$E$135:$BK$135,FALSE))</f>
        <v>0</v>
      </c>
      <c r="AX17" s="572">
        <f ca="1">INDEX('Company Portfolio Summary'!$E$135:$BK$149,MATCH($B17,'Company Portfolio Summary'!$E$135:$E$149,FALSE),MATCH(AX$5,'Company Portfolio Summary'!$E$135:$BK$135,FALSE))</f>
        <v>0</v>
      </c>
      <c r="AY17" s="2"/>
      <c r="AZ17" s="84"/>
      <c r="BA17" s="569"/>
      <c r="BB17" s="84"/>
      <c r="BC17" s="569"/>
      <c r="BD17" s="2"/>
      <c r="BE17" s="84"/>
      <c r="BF17" s="569"/>
    </row>
    <row r="18" spans="1:58">
      <c r="A18" s="527" t="str">
        <f t="shared" si="6"/>
        <v>NonRes Midstream LightingTotal</v>
      </c>
      <c r="B18" s="649" t="s">
        <v>68</v>
      </c>
      <c r="C18" s="572">
        <f t="shared" ca="1" si="1"/>
        <v>1818964.0588799999</v>
      </c>
      <c r="D18" s="650">
        <f t="shared" si="2"/>
        <v>3396758.6360924495</v>
      </c>
      <c r="E18" s="650">
        <f t="shared" si="3"/>
        <v>12662376.0768</v>
      </c>
      <c r="F18" s="572">
        <f t="shared" ca="1" si="4"/>
        <v>434449984.27426314</v>
      </c>
      <c r="G18" s="572">
        <f t="shared" ca="1" si="0"/>
        <v>20597.869206323645</v>
      </c>
      <c r="H18" s="572">
        <f t="shared" ca="1" si="5"/>
        <v>0</v>
      </c>
      <c r="I18" s="572">
        <f ca="1">INDEX('Company Portfolio Summary'!$E$135:$BK$149,MATCH($B18,'Company Portfolio Summary'!$E$135:$E$149,FALSE),MATCH(I$5,'Company Portfolio Summary'!$E$135:$BK$135,FALSE))</f>
        <v>0</v>
      </c>
      <c r="J18" s="572">
        <f ca="1">INDEX('Company Portfolio Summary'!$E$135:$BK$149,MATCH($B18,'Company Portfolio Summary'!$E$135:$E$149,FALSE),MATCH(J$5,'Company Portfolio Summary'!$E$135:$BK$135,FALSE))</f>
        <v>0</v>
      </c>
      <c r="K18" s="572">
        <f ca="1">INDEX('Company Portfolio Summary'!$E$135:$BK$149,MATCH($B18,'Company Portfolio Summary'!$E$135:$E$149,FALSE),MATCH(K$5,'Company Portfolio Summary'!$E$135:$BK$135,FALSE))</f>
        <v>295286.40000000002</v>
      </c>
      <c r="L18" s="572">
        <f ca="1">INDEX('Company Portfolio Summary'!$E$135:$BK$149,MATCH($B18,'Company Portfolio Summary'!$E$135:$E$149,FALSE),MATCH(L$5,'Company Portfolio Summary'!$E$135:$BK$135,FALSE))</f>
        <v>442929.55199999997</v>
      </c>
      <c r="M18" s="572">
        <f ca="1">INDEX('Company Portfolio Summary'!$E$135:$BK$149,MATCH($B18,'Company Portfolio Summary'!$E$135:$E$149,FALSE),MATCH(M$5,'Company Portfolio Summary'!$E$135:$BK$135,FALSE))</f>
        <v>442929.55199999997</v>
      </c>
      <c r="N18" s="572">
        <f ca="1">INDEX('Company Portfolio Summary'!$E$135:$BK$149,MATCH($B18,'Company Portfolio Summary'!$E$135:$E$149,FALSE),MATCH(N$5,'Company Portfolio Summary'!$E$135:$BK$135,FALSE))</f>
        <v>354343.64159999997</v>
      </c>
      <c r="O18" s="572">
        <f ca="1">INDEX('Company Portfolio Summary'!$E$135:$BK$149,MATCH($B18,'Company Portfolio Summary'!$E$135:$E$149,FALSE),MATCH(O$5,'Company Portfolio Summary'!$E$135:$BK$135,FALSE))</f>
        <v>283474.91327999998</v>
      </c>
      <c r="P18" s="650">
        <f>VLOOKUP($A18,'LGE-KU Budgets'!$A$6:$Y$50,'LGE-KU Budgets'!L$2,0)*1000</f>
        <v>0</v>
      </c>
      <c r="Q18" s="650">
        <f>VLOOKUP($A18,'LGE-KU Budgets'!$A$6:$Y$50,'LGE-KU Budgets'!M$2,0)*1000</f>
        <v>0</v>
      </c>
      <c r="R18" s="650">
        <f>VLOOKUP($A18,'LGE-KU Budgets'!$A$6:$Y$50,'LGE-KU Budgets'!N$2,0)*1000</f>
        <v>850422.4942688836</v>
      </c>
      <c r="S18" s="650">
        <f>VLOOKUP($A18,'LGE-KU Budgets'!$A$6:$Y$50,'LGE-KU Budgets'!O$2,0)*1000</f>
        <v>604755.16909695009</v>
      </c>
      <c r="T18" s="650">
        <f>VLOOKUP($A18,'LGE-KU Budgets'!$A$6:$Y$50,'LGE-KU Budgets'!P$2,0)*1000</f>
        <v>709217.82416985871</v>
      </c>
      <c r="U18" s="650">
        <f>VLOOKUP($A18,'LGE-KU Budgets'!$A$6:$Y$50,'LGE-KU Budgets'!Q$2,0)*1000</f>
        <v>613814.35889495444</v>
      </c>
      <c r="V18" s="650">
        <f>VLOOKUP($A18,'LGE-KU Budgets'!$A$6:$Y$50,'LGE-KU Budgets'!R$2,0)*1000</f>
        <v>618548.78966180305</v>
      </c>
      <c r="W18" s="650">
        <f>VLOOKUP($A18,'LGE-KU Budgets'!$A$6:$Y$50,'LGE-KU Budgets'!S$2,0)*1000</f>
        <v>0</v>
      </c>
      <c r="X18" s="650">
        <f>VLOOKUP($A18,'LGE-KU Budgets'!$A$6:$Y$50,'LGE-KU Budgets'!T$2,0)*1000</f>
        <v>0</v>
      </c>
      <c r="Y18" s="650">
        <f>VLOOKUP($A18,'LGE-KU Budgets'!$A$6:$Y$50,'LGE-KU Budgets'!U$2,0)*1000</f>
        <v>2055580.8000000003</v>
      </c>
      <c r="Z18" s="650">
        <f>VLOOKUP($A18,'LGE-KU Budgets'!$A$6:$Y$50,'LGE-KU Budgets'!V$2,0)*1000</f>
        <v>3083370.72</v>
      </c>
      <c r="AA18" s="650">
        <f>VLOOKUP($A18,'LGE-KU Budgets'!$A$6:$Y$50,'LGE-KU Budgets'!W$2,0)*1000</f>
        <v>3083370.72</v>
      </c>
      <c r="AB18" s="650">
        <f>VLOOKUP($A18,'LGE-KU Budgets'!$A$6:$Y$50,'LGE-KU Budgets'!X$2,0)*1000</f>
        <v>2466696.5759999999</v>
      </c>
      <c r="AC18" s="650">
        <f>VLOOKUP($A18,'LGE-KU Budgets'!$A$6:$Y$50,'LGE-KU Budgets'!Y$2,0)*1000</f>
        <v>1973357.2608000003</v>
      </c>
      <c r="AD18" s="572">
        <f ca="1">INDEX('Company Portfolio Summary'!$E$135:$BK$149,MATCH($B18,'Company Portfolio Summary'!$E$135:$E$149,FALSE),MATCH(AD$5,'Company Portfolio Summary'!$E$135:$BK$135,FALSE))</f>
        <v>0</v>
      </c>
      <c r="AE18" s="572">
        <f ca="1">INDEX('Company Portfolio Summary'!$E$135:$BK$149,MATCH($B18,'Company Portfolio Summary'!$E$135:$E$149,FALSE),MATCH(AE$5,'Company Portfolio Summary'!$E$135:$BK$135,FALSE))</f>
        <v>0</v>
      </c>
      <c r="AF18" s="572">
        <f ca="1">INDEX('Company Portfolio Summary'!$E$135:$BK$149,MATCH($B18,'Company Portfolio Summary'!$E$135:$E$149,FALSE),MATCH(AF$5,'Company Portfolio Summary'!$E$135:$BK$135,FALSE))</f>
        <v>70527597.921308637</v>
      </c>
      <c r="AG18" s="572">
        <f ca="1">INDEX('Company Portfolio Summary'!$E$135:$BK$149,MATCH($B18,'Company Portfolio Summary'!$E$135:$E$149,FALSE),MATCH(AG$5,'Company Portfolio Summary'!$E$135:$BK$135,FALSE))</f>
        <v>105791391.38167283</v>
      </c>
      <c r="AH18" s="572">
        <f ca="1">INDEX('Company Portfolio Summary'!$E$135:$BK$149,MATCH($B18,'Company Portfolio Summary'!$E$135:$E$149,FALSE),MATCH(AH$5,'Company Portfolio Summary'!$E$135:$BK$135,FALSE))</f>
        <v>105791391.38167283</v>
      </c>
      <c r="AI18" s="572">
        <f ca="1">INDEX('Company Portfolio Summary'!$E$135:$BK$149,MATCH($B18,'Company Portfolio Summary'!$E$135:$E$149,FALSE),MATCH(AI$5,'Company Portfolio Summary'!$E$135:$BK$135,FALSE))</f>
        <v>84633113.105338261</v>
      </c>
      <c r="AJ18" s="572">
        <f ca="1">INDEX('Company Portfolio Summary'!$E$135:$BK$149,MATCH($B18,'Company Portfolio Summary'!$E$135:$E$149,FALSE),MATCH(AJ$5,'Company Portfolio Summary'!$E$135:$BK$135,FALSE))</f>
        <v>67706490.484270602</v>
      </c>
      <c r="AK18" s="572">
        <f ca="1">INDEX('Company Portfolio Summary'!$E$135:$BK$149,MATCH($B18,'Company Portfolio Summary'!$E$135:$E$149,FALSE),MATCH(AK$5,'Company Portfolio Summary'!$E$135:$BK$135,FALSE))</f>
        <v>0</v>
      </c>
      <c r="AL18" s="572">
        <f ca="1">INDEX('Company Portfolio Summary'!$E$135:$BK$149,MATCH($B18,'Company Portfolio Summary'!$E$135:$E$149,FALSE),MATCH(AL$5,'Company Portfolio Summary'!$E$135:$BK$135,FALSE))</f>
        <v>0</v>
      </c>
      <c r="AM18" s="572">
        <f ca="1">INDEX('Company Portfolio Summary'!$E$135:$BK$149,MATCH($B18,'Company Portfolio Summary'!$E$135:$E$149,FALSE),MATCH(AM$5,'Company Portfolio Summary'!$E$135:$BK$135,FALSE))</f>
        <v>13731.91367940214</v>
      </c>
      <c r="AN18" s="572">
        <f ca="1">INDEX('Company Portfolio Summary'!$E$135:$BK$149,MATCH($B18,'Company Portfolio Summary'!$E$135:$E$149,FALSE),MATCH(AN$5,'Company Portfolio Summary'!$E$135:$BK$135,FALSE))</f>
        <v>20597.869206323645</v>
      </c>
      <c r="AO18" s="572">
        <f ca="1">INDEX('Company Portfolio Summary'!$E$135:$BK$149,MATCH($B18,'Company Portfolio Summary'!$E$135:$E$149,FALSE),MATCH(AO$5,'Company Portfolio Summary'!$E$135:$BK$135,FALSE))</f>
        <v>20597.869206323645</v>
      </c>
      <c r="AP18" s="572">
        <f ca="1">INDEX('Company Portfolio Summary'!$E$135:$BK$149,MATCH($B18,'Company Portfolio Summary'!$E$135:$E$149,FALSE),MATCH(AP$5,'Company Portfolio Summary'!$E$135:$BK$135,FALSE))</f>
        <v>16478.295365058915</v>
      </c>
      <c r="AQ18" s="572">
        <f ca="1">INDEX('Company Portfolio Summary'!$E$135:$BK$149,MATCH($B18,'Company Portfolio Summary'!$E$135:$E$149,FALSE),MATCH(AQ$5,'Company Portfolio Summary'!$E$135:$BK$135,FALSE))</f>
        <v>13182.636292047135</v>
      </c>
      <c r="AR18" s="572">
        <f ca="1">INDEX('Company Portfolio Summary'!$E$135:$BK$149,MATCH($B18,'Company Portfolio Summary'!$E$135:$E$149,FALSE),MATCH(AR$5,'Company Portfolio Summary'!$E$135:$BK$135,FALSE))</f>
        <v>0</v>
      </c>
      <c r="AS18" s="572">
        <f ca="1">INDEX('Company Portfolio Summary'!$E$135:$BK$149,MATCH($B18,'Company Portfolio Summary'!$E$135:$E$149,FALSE),MATCH(AS$5,'Company Portfolio Summary'!$E$135:$BK$135,FALSE))</f>
        <v>0</v>
      </c>
      <c r="AT18" s="572">
        <f ca="1">INDEX('Company Portfolio Summary'!$E$135:$BK$149,MATCH($B18,'Company Portfolio Summary'!$E$135:$E$149,FALSE),MATCH(AT$5,'Company Portfolio Summary'!$E$135:$BK$135,FALSE))</f>
        <v>0</v>
      </c>
      <c r="AU18" s="572">
        <f ca="1">INDEX('Company Portfolio Summary'!$E$135:$BK$149,MATCH($B18,'Company Portfolio Summary'!$E$135:$E$149,FALSE),MATCH(AU$5,'Company Portfolio Summary'!$E$135:$BK$135,FALSE))</f>
        <v>0</v>
      </c>
      <c r="AV18" s="572">
        <f ca="1">INDEX('Company Portfolio Summary'!$E$135:$BK$149,MATCH($B18,'Company Portfolio Summary'!$E$135:$E$149,FALSE),MATCH(AV$5,'Company Portfolio Summary'!$E$135:$BK$135,FALSE))</f>
        <v>0</v>
      </c>
      <c r="AW18" s="572">
        <f ca="1">INDEX('Company Portfolio Summary'!$E$135:$BK$149,MATCH($B18,'Company Portfolio Summary'!$E$135:$E$149,FALSE),MATCH(AW$5,'Company Portfolio Summary'!$E$135:$BK$135,FALSE))</f>
        <v>0</v>
      </c>
      <c r="AX18" s="572">
        <f ca="1">INDEX('Company Portfolio Summary'!$E$135:$BK$149,MATCH($B18,'Company Portfolio Summary'!$E$135:$E$149,FALSE),MATCH(AX$5,'Company Portfolio Summary'!$E$135:$BK$135,FALSE))</f>
        <v>0</v>
      </c>
      <c r="AY18" s="2"/>
      <c r="AZ18" s="84"/>
      <c r="BA18" s="569"/>
      <c r="BB18" s="84"/>
      <c r="BC18" s="569"/>
      <c r="BD18" s="2"/>
      <c r="BE18" s="84"/>
      <c r="BF18" s="569"/>
    </row>
    <row r="19" spans="1:58">
      <c r="A19" s="527" t="str">
        <f t="shared" si="6"/>
        <v>PDATotal</v>
      </c>
      <c r="B19" s="649" t="s">
        <v>69</v>
      </c>
      <c r="C19" s="572">
        <f t="shared" si="1"/>
        <v>0</v>
      </c>
      <c r="D19" s="650">
        <f t="shared" si="2"/>
        <v>21339013.604447652</v>
      </c>
      <c r="E19" s="650">
        <f t="shared" si="3"/>
        <v>0</v>
      </c>
      <c r="F19" s="572">
        <f t="shared" si="4"/>
        <v>0</v>
      </c>
      <c r="G19" s="572">
        <f t="shared" si="0"/>
        <v>0</v>
      </c>
      <c r="H19" s="572">
        <f t="shared" si="5"/>
        <v>0</v>
      </c>
      <c r="I19" s="572">
        <f>IFERROR(INDEX('Company Portfolio Summary'!$E$135:$BK$149,MATCH($B19,'Company Portfolio Summary'!$E$135:$E$149,FALSE),MATCH(I$5,'Company Portfolio Summary'!$E$135:$BK$135,FALSE)),0)</f>
        <v>0</v>
      </c>
      <c r="J19" s="572">
        <f>IFERROR(INDEX('Company Portfolio Summary'!$E$135:$BK$149,MATCH($B19,'Company Portfolio Summary'!$E$135:$E$149,FALSE),MATCH(J$5,'Company Portfolio Summary'!$E$135:$BK$135,FALSE)),0)</f>
        <v>0</v>
      </c>
      <c r="K19" s="572">
        <f>IFERROR(INDEX('Company Portfolio Summary'!$E$135:$BK$149,MATCH($B19,'Company Portfolio Summary'!$E$135:$E$149,FALSE),MATCH(K$5,'Company Portfolio Summary'!$E$135:$BK$135,FALSE)),0)</f>
        <v>0</v>
      </c>
      <c r="L19" s="572">
        <f>IFERROR(INDEX('Company Portfolio Summary'!$E$135:$BK$149,MATCH($B19,'Company Portfolio Summary'!$E$135:$E$149,FALSE),MATCH(L$5,'Company Portfolio Summary'!$E$135:$BK$135,FALSE)),0)</f>
        <v>0</v>
      </c>
      <c r="M19" s="572">
        <f>IFERROR(INDEX('Company Portfolio Summary'!$E$135:$BK$149,MATCH($B19,'Company Portfolio Summary'!$E$135:$E$149,FALSE),MATCH(M$5,'Company Portfolio Summary'!$E$135:$BK$135,FALSE)),0)</f>
        <v>0</v>
      </c>
      <c r="N19" s="572">
        <f>IFERROR(INDEX('Company Portfolio Summary'!$E$135:$BK$149,MATCH($B19,'Company Portfolio Summary'!$E$135:$E$149,FALSE),MATCH(N$5,'Company Portfolio Summary'!$E$135:$BK$135,FALSE)),0)</f>
        <v>0</v>
      </c>
      <c r="O19" s="572">
        <f>IFERROR(INDEX('Company Portfolio Summary'!$E$135:$BK$149,MATCH($B19,'Company Portfolio Summary'!$E$135:$E$149,FALSE),MATCH(O$5,'Company Portfolio Summary'!$E$135:$BK$135,FALSE)),0)</f>
        <v>0</v>
      </c>
      <c r="P19" s="650">
        <f>VLOOKUP($A19,'LGE-KU Budgets'!$A$6:$Y$50,'LGE-KU Budgets'!L$2,0)*1000</f>
        <v>3628653.375</v>
      </c>
      <c r="Q19" s="650">
        <f>VLOOKUP($A19,'LGE-KU Budgets'!$A$6:$Y$50,'LGE-KU Budgets'!M$2,0)*1000</f>
        <v>3556433.375</v>
      </c>
      <c r="R19" s="650">
        <f>VLOOKUP($A19,'LGE-KU Budgets'!$A$6:$Y$50,'LGE-KU Budgets'!N$2,0)*1000</f>
        <v>2710046.7749999999</v>
      </c>
      <c r="S19" s="650">
        <f>VLOOKUP($A19,'LGE-KU Budgets'!$A$6:$Y$50,'LGE-KU Budgets'!O$2,0)*1000</f>
        <v>2889518.577</v>
      </c>
      <c r="T19" s="650">
        <f>VLOOKUP($A19,'LGE-KU Budgets'!$A$6:$Y$50,'LGE-KU Budgets'!P$2,0)*1000</f>
        <v>2769874.5330599998</v>
      </c>
      <c r="U19" s="650">
        <f>VLOOKUP($A19,'LGE-KU Budgets'!$A$6:$Y$50,'LGE-KU Budgets'!Q$2,0)*1000</f>
        <v>2801141.1678018002</v>
      </c>
      <c r="V19" s="650">
        <f>VLOOKUP($A19,'LGE-KU Budgets'!$A$6:$Y$50,'LGE-KU Budgets'!R$2,0)*1000</f>
        <v>2983345.801585854</v>
      </c>
      <c r="W19" s="650">
        <f>VLOOKUP($A19,'LGE-KU Budgets'!$A$6:$Y$50,'LGE-KU Budgets'!S$2,0)*1000</f>
        <v>0</v>
      </c>
      <c r="X19" s="650">
        <f>VLOOKUP($A19,'LGE-KU Budgets'!$A$6:$Y$50,'LGE-KU Budgets'!T$2,0)*1000</f>
        <v>0</v>
      </c>
      <c r="Y19" s="650">
        <f>VLOOKUP($A19,'LGE-KU Budgets'!$A$6:$Y$50,'LGE-KU Budgets'!U$2,0)*1000</f>
        <v>0</v>
      </c>
      <c r="Z19" s="650">
        <f>VLOOKUP($A19,'LGE-KU Budgets'!$A$6:$Y$50,'LGE-KU Budgets'!V$2,0)*1000</f>
        <v>0</v>
      </c>
      <c r="AA19" s="650">
        <f>VLOOKUP($A19,'LGE-KU Budgets'!$A$6:$Y$50,'LGE-KU Budgets'!W$2,0)*1000</f>
        <v>0</v>
      </c>
      <c r="AB19" s="650">
        <f>VLOOKUP($A19,'LGE-KU Budgets'!$A$6:$Y$50,'LGE-KU Budgets'!X$2,0)*1000</f>
        <v>0</v>
      </c>
      <c r="AC19" s="650">
        <f>VLOOKUP($A19,'LGE-KU Budgets'!$A$6:$Y$50,'LGE-KU Budgets'!Y$2,0)*1000</f>
        <v>0</v>
      </c>
      <c r="AD19" s="572">
        <f>IFERROR(INDEX('Company Portfolio Summary'!$E$135:$BK$149,MATCH($B19,'Company Portfolio Summary'!$E$135:$E$149,FALSE),MATCH(AD$5,'Company Portfolio Summary'!$E$135:$BK$135,FALSE)),0)</f>
        <v>0</v>
      </c>
      <c r="AE19" s="572">
        <f>IFERROR(INDEX('Company Portfolio Summary'!$E$135:$BK$149,MATCH($B19,'Company Portfolio Summary'!$E$135:$E$149,FALSE),MATCH(AE$5,'Company Portfolio Summary'!$E$135:$BK$135,FALSE)),0)</f>
        <v>0</v>
      </c>
      <c r="AF19" s="572">
        <f>IFERROR(INDEX('Company Portfolio Summary'!$E$135:$BK$149,MATCH($B19,'Company Portfolio Summary'!$E$135:$E$149,FALSE),MATCH(AF$5,'Company Portfolio Summary'!$E$135:$BK$135,FALSE)),0)</f>
        <v>0</v>
      </c>
      <c r="AG19" s="572">
        <f>IFERROR(INDEX('Company Portfolio Summary'!$E$135:$BK$149,MATCH($B19,'Company Portfolio Summary'!$E$135:$E$149,FALSE),MATCH(AG$5,'Company Portfolio Summary'!$E$135:$BK$135,FALSE)),0)</f>
        <v>0</v>
      </c>
      <c r="AH19" s="572">
        <f>IFERROR(INDEX('Company Portfolio Summary'!$E$135:$BK$149,MATCH($B19,'Company Portfolio Summary'!$E$135:$E$149,FALSE),MATCH(AH$5,'Company Portfolio Summary'!$E$135:$BK$135,FALSE)),0)</f>
        <v>0</v>
      </c>
      <c r="AI19" s="572">
        <f>IFERROR(INDEX('Company Portfolio Summary'!$E$135:$BK$149,MATCH($B19,'Company Portfolio Summary'!$E$135:$E$149,FALSE),MATCH(AI$5,'Company Portfolio Summary'!$E$135:$BK$135,FALSE)),0)</f>
        <v>0</v>
      </c>
      <c r="AJ19" s="572">
        <f>IFERROR(INDEX('Company Portfolio Summary'!$E$135:$BK$149,MATCH($B19,'Company Portfolio Summary'!$E$135:$E$149,FALSE),MATCH(AJ$5,'Company Portfolio Summary'!$E$135:$BK$135,FALSE)),0)</f>
        <v>0</v>
      </c>
      <c r="AK19" s="572">
        <f>IFERROR(INDEX('Company Portfolio Summary'!$E$135:$BK$149,MATCH($B19,'Company Portfolio Summary'!$E$135:$E$149,FALSE),MATCH(AK$5,'Company Portfolio Summary'!$E$135:$BK$135,FALSE)),0)</f>
        <v>0</v>
      </c>
      <c r="AL19" s="572">
        <f>IFERROR(INDEX('Company Portfolio Summary'!$E$135:$BK$149,MATCH($B19,'Company Portfolio Summary'!$E$135:$E$149,FALSE),MATCH(AL$5,'Company Portfolio Summary'!$E$135:$BK$135,FALSE)),0)</f>
        <v>0</v>
      </c>
      <c r="AM19" s="572">
        <f>IFERROR(INDEX('Company Portfolio Summary'!$E$135:$BK$149,MATCH($B19,'Company Portfolio Summary'!$E$135:$E$149,FALSE),MATCH(AM$5,'Company Portfolio Summary'!$E$135:$BK$135,FALSE)),0)</f>
        <v>0</v>
      </c>
      <c r="AN19" s="572">
        <f>IFERROR(INDEX('Company Portfolio Summary'!$E$135:$BK$149,MATCH($B19,'Company Portfolio Summary'!$E$135:$E$149,FALSE),MATCH(AN$5,'Company Portfolio Summary'!$E$135:$BK$135,FALSE)),0)</f>
        <v>0</v>
      </c>
      <c r="AO19" s="572">
        <f>IFERROR(INDEX('Company Portfolio Summary'!$E$135:$BK$149,MATCH($B19,'Company Portfolio Summary'!$E$135:$E$149,FALSE),MATCH(AO$5,'Company Portfolio Summary'!$E$135:$BK$135,FALSE)),0)</f>
        <v>0</v>
      </c>
      <c r="AP19" s="572">
        <f>IFERROR(INDEX('Company Portfolio Summary'!$E$135:$BK$149,MATCH($B19,'Company Portfolio Summary'!$E$135:$E$149,FALSE),MATCH(AP$5,'Company Portfolio Summary'!$E$135:$BK$135,FALSE)),0)</f>
        <v>0</v>
      </c>
      <c r="AQ19" s="572">
        <f>IFERROR(INDEX('Company Portfolio Summary'!$E$135:$BK$149,MATCH($B19,'Company Portfolio Summary'!$E$135:$E$149,FALSE),MATCH(AQ$5,'Company Portfolio Summary'!$E$135:$BK$135,FALSE)),0)</f>
        <v>0</v>
      </c>
      <c r="AR19" s="572">
        <f>IFERROR(INDEX('Company Portfolio Summary'!$E$135:$BK$149,MATCH($B19,'Company Portfolio Summary'!$E$135:$E$149,FALSE),MATCH(AR$5,'Company Portfolio Summary'!$E$135:$BK$135,FALSE)),0)</f>
        <v>0</v>
      </c>
      <c r="AS19" s="572">
        <f>IFERROR(INDEX('Company Portfolio Summary'!$E$135:$BK$149,MATCH($B19,'Company Portfolio Summary'!$E$135:$E$149,FALSE),MATCH(AS$5,'Company Portfolio Summary'!$E$135:$BK$135,FALSE)),0)</f>
        <v>0</v>
      </c>
      <c r="AT19" s="572">
        <f>IFERROR(INDEX('Company Portfolio Summary'!$E$135:$BK$149,MATCH($B19,'Company Portfolio Summary'!$E$135:$E$149,FALSE),MATCH(AT$5,'Company Portfolio Summary'!$E$135:$BK$135,FALSE)),0)</f>
        <v>0</v>
      </c>
      <c r="AU19" s="572">
        <f>IFERROR(INDEX('Company Portfolio Summary'!$E$135:$BK$149,MATCH($B19,'Company Portfolio Summary'!$E$135:$E$149,FALSE),MATCH(AU$5,'Company Portfolio Summary'!$E$135:$BK$135,FALSE)),0)</f>
        <v>0</v>
      </c>
      <c r="AV19" s="572">
        <f>IFERROR(INDEX('Company Portfolio Summary'!$E$135:$BK$149,MATCH($B19,'Company Portfolio Summary'!$E$135:$E$149,FALSE),MATCH(AV$5,'Company Portfolio Summary'!$E$135:$BK$135,FALSE)),0)</f>
        <v>0</v>
      </c>
      <c r="AW19" s="572">
        <f>IFERROR(INDEX('Company Portfolio Summary'!$E$135:$BK$149,MATCH($B19,'Company Portfolio Summary'!$E$135:$E$149,FALSE),MATCH(AW$5,'Company Portfolio Summary'!$E$135:$BK$135,FALSE)),0)</f>
        <v>0</v>
      </c>
      <c r="AX19" s="572">
        <f>IFERROR(INDEX('Company Portfolio Summary'!$E$135:$BK$149,MATCH($B19,'Company Portfolio Summary'!$E$135:$E$149,FALSE),MATCH(AX$5,'Company Portfolio Summary'!$E$135:$BK$135,FALSE)),0)</f>
        <v>0</v>
      </c>
      <c r="AY19" s="2"/>
      <c r="AZ19" s="84"/>
      <c r="BA19" s="569"/>
      <c r="BB19" s="84"/>
      <c r="BC19" s="569"/>
      <c r="BD19" s="2"/>
      <c r="BE19" s="84"/>
      <c r="BF19" s="569"/>
    </row>
    <row r="20" spans="1:58" ht="5.25" customHeight="1">
      <c r="A20" s="2"/>
      <c r="B20" s="69"/>
      <c r="C20" s="69"/>
      <c r="D20" s="439"/>
      <c r="E20" s="439"/>
      <c r="F20" s="69"/>
      <c r="G20" s="69"/>
      <c r="H20" s="69"/>
      <c r="I20" s="69"/>
      <c r="J20" s="69"/>
      <c r="K20" s="69"/>
      <c r="L20" s="69"/>
      <c r="M20" s="69"/>
      <c r="N20" s="69"/>
      <c r="O20" s="69"/>
      <c r="P20" s="439"/>
      <c r="Q20" s="439"/>
      <c r="R20" s="439"/>
      <c r="S20" s="439"/>
      <c r="T20" s="439"/>
      <c r="U20" s="439"/>
      <c r="V20" s="439"/>
      <c r="W20" s="439"/>
      <c r="X20" s="439"/>
      <c r="Y20" s="439"/>
      <c r="Z20" s="439"/>
      <c r="AA20" s="439"/>
      <c r="AB20" s="439"/>
      <c r="AC20" s="439"/>
      <c r="AD20" s="69"/>
      <c r="AE20" s="69"/>
      <c r="AF20" s="69"/>
      <c r="AG20" s="69"/>
      <c r="AH20" s="69"/>
      <c r="AI20" s="69"/>
      <c r="AJ20" s="69"/>
      <c r="AK20" s="69"/>
      <c r="AL20" s="69"/>
      <c r="AM20" s="69"/>
      <c r="AN20" s="69"/>
      <c r="AO20" s="69"/>
      <c r="AP20" s="69"/>
      <c r="AQ20" s="69"/>
      <c r="AR20" s="69"/>
      <c r="AS20" s="69"/>
      <c r="AT20" s="69"/>
      <c r="AU20" s="69"/>
      <c r="AV20" s="69"/>
      <c r="AW20" s="69"/>
      <c r="AX20" s="69"/>
      <c r="AY20" s="2"/>
      <c r="AZ20" s="2"/>
      <c r="BA20" s="2"/>
      <c r="BB20" s="2"/>
      <c r="BC20" s="2"/>
      <c r="BD20" s="2"/>
      <c r="BE20" s="2"/>
      <c r="BF20" s="2"/>
    </row>
    <row r="21" spans="1:58">
      <c r="A21" s="2"/>
      <c r="B21" s="651" t="s">
        <v>70</v>
      </c>
      <c r="C21" s="652">
        <f t="shared" ref="C21:AX21" ca="1" si="7">SUM(C6:C19)</f>
        <v>152096908.02883732</v>
      </c>
      <c r="D21" s="653">
        <f t="shared" si="7"/>
        <v>161302345.62235966</v>
      </c>
      <c r="E21" s="653">
        <f t="shared" si="7"/>
        <v>179442388.05504003</v>
      </c>
      <c r="F21" s="652">
        <f t="shared" ca="1" si="7"/>
        <v>878462562.28646278</v>
      </c>
      <c r="G21" s="652">
        <f t="shared" ca="1" si="7"/>
        <v>314593.17709092906</v>
      </c>
      <c r="H21" s="652">
        <f t="shared" ca="1" si="7"/>
        <v>1762571.4284184787</v>
      </c>
      <c r="I21" s="652">
        <f t="shared" ca="1" si="7"/>
        <v>10920147.365159005</v>
      </c>
      <c r="J21" s="652">
        <f t="shared" ca="1" si="7"/>
        <v>16940830.843684141</v>
      </c>
      <c r="K21" s="652">
        <f t="shared" ca="1" si="7"/>
        <v>25028864.521809001</v>
      </c>
      <c r="L21" s="652">
        <f t="shared" ca="1" si="7"/>
        <v>25157412.591226712</v>
      </c>
      <c r="M21" s="652">
        <f t="shared" ca="1" si="7"/>
        <v>25247386.471272074</v>
      </c>
      <c r="N21" s="652">
        <f t="shared" ca="1" si="7"/>
        <v>25163546.12411195</v>
      </c>
      <c r="O21" s="652">
        <f t="shared" ca="1" si="7"/>
        <v>25098754.952329826</v>
      </c>
      <c r="P21" s="653">
        <f t="shared" si="7"/>
        <v>20088828.924242623</v>
      </c>
      <c r="Q21" s="653">
        <f t="shared" si="7"/>
        <v>21649771.474136598</v>
      </c>
      <c r="R21" s="653">
        <f t="shared" si="7"/>
        <v>22301454.32800803</v>
      </c>
      <c r="S21" s="653">
        <f t="shared" si="7"/>
        <v>23155627.892439272</v>
      </c>
      <c r="T21" s="653">
        <f t="shared" si="7"/>
        <v>24365853.568840493</v>
      </c>
      <c r="U21" s="653">
        <f t="shared" si="7"/>
        <v>24644723.581906643</v>
      </c>
      <c r="V21" s="653">
        <f t="shared" si="7"/>
        <v>25096085.852785975</v>
      </c>
      <c r="W21" s="653">
        <f t="shared" si="7"/>
        <v>8425883.1186792143</v>
      </c>
      <c r="X21" s="653">
        <f t="shared" si="7"/>
        <v>11659805.668776076</v>
      </c>
      <c r="Y21" s="653">
        <f t="shared" si="7"/>
        <v>16197654.351686873</v>
      </c>
      <c r="Z21" s="653">
        <f t="shared" si="7"/>
        <v>23734512.510619894</v>
      </c>
      <c r="AA21" s="653">
        <f t="shared" si="7"/>
        <v>38863070.436412863</v>
      </c>
      <c r="AB21" s="653">
        <f t="shared" si="7"/>
        <v>40004405.228057079</v>
      </c>
      <c r="AC21" s="653">
        <f t="shared" si="7"/>
        <v>40557056.74080804</v>
      </c>
      <c r="AD21" s="652">
        <f t="shared" ca="1" si="7"/>
        <v>92734081.347940043</v>
      </c>
      <c r="AE21" s="652">
        <f t="shared" ca="1" si="7"/>
        <v>101772341.58177346</v>
      </c>
      <c r="AF21" s="652">
        <f t="shared" ca="1" si="7"/>
        <v>130609099.48422024</v>
      </c>
      <c r="AG21" s="652">
        <f t="shared" ca="1" si="7"/>
        <v>150782447.33880448</v>
      </c>
      <c r="AH21" s="652">
        <f t="shared" ca="1" si="7"/>
        <v>153900593.3923274</v>
      </c>
      <c r="AI21" s="652">
        <f t="shared" ca="1" si="7"/>
        <v>132847608.2712431</v>
      </c>
      <c r="AJ21" s="652">
        <f t="shared" ca="1" si="7"/>
        <v>115816390.87015411</v>
      </c>
      <c r="AK21" s="652">
        <f t="shared" ca="1" si="7"/>
        <v>173336.15150876535</v>
      </c>
      <c r="AL21" s="652">
        <f t="shared" ca="1" si="7"/>
        <v>176575.71168077487</v>
      </c>
      <c r="AM21" s="652">
        <f t="shared" ca="1" si="7"/>
        <v>187776.88323698629</v>
      </c>
      <c r="AN21" s="652">
        <f t="shared" ca="1" si="7"/>
        <v>206714.00469520906</v>
      </c>
      <c r="AO21" s="652">
        <f t="shared" ca="1" si="7"/>
        <v>230988.47087381818</v>
      </c>
      <c r="AP21" s="652">
        <f t="shared" ca="1" si="7"/>
        <v>238536.48007319632</v>
      </c>
      <c r="AQ21" s="652">
        <f t="shared" ca="1" si="7"/>
        <v>236227.40033393013</v>
      </c>
      <c r="AR21" s="652">
        <f t="shared" ca="1" si="7"/>
        <v>154642.96992177013</v>
      </c>
      <c r="AS21" s="652">
        <f t="shared" ca="1" si="7"/>
        <v>177530.0720646941</v>
      </c>
      <c r="AT21" s="652">
        <f t="shared" ca="1" si="7"/>
        <v>211808.18921220343</v>
      </c>
      <c r="AU21" s="652">
        <f t="shared" ca="1" si="7"/>
        <v>270635.63212423108</v>
      </c>
      <c r="AV21" s="652">
        <f t="shared" ca="1" si="7"/>
        <v>326228.5578890029</v>
      </c>
      <c r="AW21" s="652">
        <f t="shared" ca="1" si="7"/>
        <v>311558.46360328869</v>
      </c>
      <c r="AX21" s="652">
        <f t="shared" ca="1" si="7"/>
        <v>310167.54360328871</v>
      </c>
      <c r="AY21" s="2"/>
      <c r="AZ21" s="84"/>
      <c r="BA21" s="2"/>
      <c r="BB21" s="84"/>
      <c r="BC21" s="2"/>
      <c r="BD21" s="2"/>
      <c r="BE21" s="84"/>
      <c r="BF21" s="2"/>
    </row>
    <row r="22" spans="1:58" ht="14.5">
      <c r="A22" s="2"/>
      <c r="B22" s="69"/>
      <c r="C22" s="3"/>
      <c r="D22" s="102"/>
      <c r="E22" s="102"/>
      <c r="F22" s="103"/>
      <c r="G22" s="3"/>
      <c r="H22" s="2"/>
      <c r="I22" s="2"/>
      <c r="J22" s="2"/>
      <c r="K22" s="2"/>
      <c r="L22" s="2"/>
      <c r="M22" s="2"/>
      <c r="N22" s="2"/>
      <c r="O22" s="2"/>
      <c r="P22" s="2"/>
      <c r="Q22" s="2"/>
      <c r="R22" s="2"/>
      <c r="S22" s="2"/>
      <c r="T22" s="2"/>
      <c r="U22" s="2"/>
      <c r="V22" s="2"/>
      <c r="W22" s="2"/>
      <c r="X22" s="2"/>
      <c r="Y22" s="2"/>
      <c r="Z22" s="2"/>
      <c r="AA22" s="2"/>
      <c r="AB22" s="2"/>
      <c r="AC22" s="2"/>
      <c r="AD22" s="267">
        <f ca="1">AD21/1000</f>
        <v>92734.081347940039</v>
      </c>
      <c r="AE22" s="267">
        <f t="shared" ref="AE22:AJ22" ca="1" si="8">AE21/1000</f>
        <v>101772.34158177346</v>
      </c>
      <c r="AF22" s="267">
        <f t="shared" ca="1" si="8"/>
        <v>130609.09948422023</v>
      </c>
      <c r="AG22" s="267">
        <f t="shared" ca="1" si="8"/>
        <v>150782.44733880449</v>
      </c>
      <c r="AH22" s="267">
        <f t="shared" ca="1" si="8"/>
        <v>153900.5933923274</v>
      </c>
      <c r="AI22" s="267">
        <f t="shared" ca="1" si="8"/>
        <v>132847.60827124311</v>
      </c>
      <c r="AJ22" s="267">
        <f t="shared" ca="1" si="8"/>
        <v>115816.39087015411</v>
      </c>
      <c r="AK22" s="2"/>
      <c r="AL22" s="2"/>
      <c r="AM22" s="2"/>
      <c r="AN22" s="2"/>
      <c r="AO22" s="2"/>
      <c r="AP22" s="2"/>
      <c r="AQ22" s="2"/>
      <c r="AR22" s="2"/>
      <c r="AS22" s="2"/>
      <c r="AT22" s="2"/>
      <c r="AU22" s="2"/>
      <c r="AV22" s="2"/>
      <c r="AW22" s="2"/>
      <c r="AX22" s="2"/>
      <c r="AY22" s="2"/>
      <c r="AZ22" s="2"/>
      <c r="BA22" s="2"/>
      <c r="BB22" s="2"/>
      <c r="BC22" s="2"/>
      <c r="BD22" s="2"/>
      <c r="BE22" s="2"/>
      <c r="BF22" s="2"/>
    </row>
    <row r="23" spans="1:58" ht="15.5">
      <c r="A23" s="13" t="s">
        <v>71</v>
      </c>
      <c r="B23" s="69"/>
      <c r="C23" s="3"/>
      <c r="D23" s="3"/>
      <c r="E23" s="3"/>
      <c r="F23" s="103"/>
      <c r="G23" s="3"/>
      <c r="H23" s="2"/>
      <c r="I23" s="2"/>
      <c r="J23" s="2"/>
      <c r="K23" s="2"/>
      <c r="L23" s="2"/>
      <c r="M23" s="2"/>
      <c r="N23" s="2"/>
      <c r="O23" s="2"/>
      <c r="P23" s="2"/>
      <c r="Q23" s="2"/>
      <c r="R23" s="2"/>
      <c r="S23" s="2"/>
      <c r="T23" s="2"/>
      <c r="U23" s="2"/>
      <c r="V23" s="2"/>
      <c r="W23" s="2"/>
      <c r="X23" s="2"/>
      <c r="Y23" s="2"/>
      <c r="Z23" s="2"/>
      <c r="AA23" s="2"/>
      <c r="AB23" s="2"/>
      <c r="AC23" s="2"/>
      <c r="AD23" s="2"/>
      <c r="AE23" s="84">
        <f ca="1">AE22+AD22</f>
        <v>194506.4229297135</v>
      </c>
      <c r="AF23" s="84">
        <f ca="1">AF22+AE23</f>
        <v>325115.52241393377</v>
      </c>
      <c r="AG23" s="84">
        <f t="shared" ref="AG23:AJ23" ca="1" si="9">AG22+AF23</f>
        <v>475897.96975273825</v>
      </c>
      <c r="AH23" s="84">
        <f t="shared" ca="1" si="9"/>
        <v>629798.56314506568</v>
      </c>
      <c r="AI23" s="84">
        <f t="shared" ca="1" si="9"/>
        <v>762646.17141630873</v>
      </c>
      <c r="AJ23" s="84">
        <f t="shared" ca="1" si="9"/>
        <v>878462.56228646287</v>
      </c>
      <c r="AK23" s="2"/>
      <c r="AL23" s="2"/>
      <c r="AM23" s="2"/>
      <c r="AN23" s="2"/>
      <c r="AO23" s="2"/>
      <c r="AP23" s="2"/>
      <c r="AQ23" s="2"/>
      <c r="AR23" s="2"/>
      <c r="AS23" s="2"/>
      <c r="AT23" s="2"/>
      <c r="AU23" s="2"/>
      <c r="AV23" s="2"/>
      <c r="AW23" s="2"/>
      <c r="AX23" s="2"/>
      <c r="AY23" s="2"/>
      <c r="AZ23" s="2"/>
      <c r="BA23" s="2"/>
      <c r="BB23" s="2"/>
      <c r="BC23" s="2"/>
      <c r="BD23" s="2"/>
      <c r="BE23" s="2"/>
      <c r="BF23" s="2"/>
    </row>
    <row r="24" spans="1:58" ht="44.5" customHeight="1">
      <c r="A24" s="2"/>
      <c r="B24" s="646"/>
      <c r="C24" s="1341" t="s">
        <v>7</v>
      </c>
      <c r="D24" s="1341"/>
      <c r="E24" s="1342"/>
      <c r="F24" s="1342"/>
      <c r="G24" s="1342"/>
      <c r="H24" s="1342"/>
      <c r="I24" s="1337"/>
      <c r="J24" s="1337"/>
      <c r="K24" s="1337"/>
      <c r="L24" s="1337"/>
      <c r="M24" s="1337"/>
      <c r="N24" s="1337"/>
      <c r="O24" s="1337"/>
      <c r="P24" s="1337"/>
      <c r="Q24" s="1337"/>
      <c r="R24" s="1337"/>
      <c r="S24" s="1337"/>
      <c r="T24" s="1337"/>
      <c r="U24" s="1337"/>
      <c r="V24" s="1337"/>
      <c r="W24" s="1338"/>
      <c r="X24" s="1339"/>
      <c r="Y24" s="1339"/>
      <c r="Z24" s="1339"/>
      <c r="AA24" s="1339"/>
      <c r="AB24" s="1339"/>
      <c r="AC24" s="1340"/>
      <c r="AD24" s="1337"/>
      <c r="AE24" s="1337"/>
      <c r="AF24" s="1337"/>
      <c r="AG24" s="1337"/>
      <c r="AH24" s="1337"/>
      <c r="AI24" s="1337"/>
      <c r="AJ24" s="1337"/>
      <c r="AK24" s="1337"/>
      <c r="AL24" s="1337"/>
      <c r="AM24" s="1337"/>
      <c r="AN24" s="1337"/>
      <c r="AO24" s="1337"/>
      <c r="AP24" s="1337"/>
      <c r="AQ24" s="1337"/>
      <c r="AR24" s="1337"/>
      <c r="AS24" s="1337"/>
      <c r="AT24" s="1337"/>
      <c r="AU24" s="1337"/>
      <c r="AV24" s="1337"/>
      <c r="AW24" s="1337"/>
      <c r="AX24" s="1337"/>
      <c r="AY24" s="2"/>
      <c r="AZ24" s="2"/>
      <c r="BA24" s="2"/>
      <c r="BB24" s="2"/>
      <c r="BC24" s="2"/>
      <c r="BD24" s="2"/>
      <c r="BE24" s="2"/>
      <c r="BF24" s="2"/>
    </row>
    <row r="25" spans="1:58" s="438" customFormat="1" ht="26">
      <c r="B25" s="442" t="s">
        <v>8</v>
      </c>
      <c r="C25" s="647" t="s">
        <v>9</v>
      </c>
      <c r="D25" s="647" t="s">
        <v>10</v>
      </c>
      <c r="E25" s="647" t="s">
        <v>11</v>
      </c>
      <c r="F25" s="647" t="s">
        <v>12</v>
      </c>
      <c r="G25" s="647" t="s">
        <v>13</v>
      </c>
      <c r="H25" s="647" t="s">
        <v>14</v>
      </c>
      <c r="I25" s="648" t="s">
        <v>15</v>
      </c>
      <c r="J25" s="648" t="s">
        <v>16</v>
      </c>
      <c r="K25" s="648" t="s">
        <v>17</v>
      </c>
      <c r="L25" s="648" t="s">
        <v>18</v>
      </c>
      <c r="M25" s="648" t="s">
        <v>19</v>
      </c>
      <c r="N25" s="648" t="s">
        <v>20</v>
      </c>
      <c r="O25" s="648" t="s">
        <v>21</v>
      </c>
      <c r="P25" s="648" t="s">
        <v>22</v>
      </c>
      <c r="Q25" s="648" t="s">
        <v>23</v>
      </c>
      <c r="R25" s="648" t="s">
        <v>24</v>
      </c>
      <c r="S25" s="648" t="s">
        <v>25</v>
      </c>
      <c r="T25" s="648" t="s">
        <v>26</v>
      </c>
      <c r="U25" s="648" t="s">
        <v>27</v>
      </c>
      <c r="V25" s="648" t="s">
        <v>28</v>
      </c>
      <c r="W25" s="648" t="s">
        <v>29</v>
      </c>
      <c r="X25" s="648" t="s">
        <v>30</v>
      </c>
      <c r="Y25" s="648" t="s">
        <v>31</v>
      </c>
      <c r="Z25" s="648" t="s">
        <v>32</v>
      </c>
      <c r="AA25" s="648" t="s">
        <v>33</v>
      </c>
      <c r="AB25" s="648" t="s">
        <v>34</v>
      </c>
      <c r="AC25" s="648" t="s">
        <v>35</v>
      </c>
      <c r="AD25" s="648" t="s">
        <v>36</v>
      </c>
      <c r="AE25" s="648" t="s">
        <v>37</v>
      </c>
      <c r="AF25" s="648" t="s">
        <v>38</v>
      </c>
      <c r="AG25" s="648" t="s">
        <v>39</v>
      </c>
      <c r="AH25" s="648" t="s">
        <v>40</v>
      </c>
      <c r="AI25" s="648" t="s">
        <v>41</v>
      </c>
      <c r="AJ25" s="648" t="s">
        <v>42</v>
      </c>
      <c r="AK25" s="648" t="s">
        <v>43</v>
      </c>
      <c r="AL25" s="648" t="s">
        <v>44</v>
      </c>
      <c r="AM25" s="648" t="s">
        <v>45</v>
      </c>
      <c r="AN25" s="648" t="s">
        <v>46</v>
      </c>
      <c r="AO25" s="648" t="s">
        <v>47</v>
      </c>
      <c r="AP25" s="648" t="s">
        <v>48</v>
      </c>
      <c r="AQ25" s="648" t="s">
        <v>49</v>
      </c>
      <c r="AR25" s="648" t="s">
        <v>50</v>
      </c>
      <c r="AS25" s="648" t="s">
        <v>51</v>
      </c>
      <c r="AT25" s="648" t="s">
        <v>52</v>
      </c>
      <c r="AU25" s="648" t="s">
        <v>53</v>
      </c>
      <c r="AV25" s="648" t="s">
        <v>54</v>
      </c>
      <c r="AW25" s="648" t="s">
        <v>55</v>
      </c>
      <c r="AX25" s="648" t="s">
        <v>56</v>
      </c>
    </row>
    <row r="26" spans="1:58">
      <c r="A26" s="527" t="str">
        <f>B26&amp;"KU"</f>
        <v>WeCare V2KU</v>
      </c>
      <c r="B26" s="649" t="s">
        <v>57</v>
      </c>
      <c r="C26" s="572">
        <f ca="1">SUM(I26:O26)</f>
        <v>17892</v>
      </c>
      <c r="D26" s="650">
        <f>SUM(P26:V26)</f>
        <v>31450097.502765346</v>
      </c>
      <c r="E26" s="650">
        <f>SUM(W26:AC26)</f>
        <v>0</v>
      </c>
      <c r="F26" s="572">
        <f ca="1">SUM(AD26:AJ26)</f>
        <v>14784945.206335219</v>
      </c>
      <c r="G26" s="572">
        <f t="shared" ref="G26:G38" ca="1" si="10">MAX(AK26:AQ26)</f>
        <v>173.63608868795583</v>
      </c>
      <c r="H26" s="572">
        <f ca="1">SUM(AR26:AX26)</f>
        <v>0</v>
      </c>
      <c r="I26" s="572">
        <f ca="1">INDEX('Utility Portfolio Summary'!$F$259:$BY$273,MATCH('Program Summary'!$B26,'Utility Portfolio Summary'!$F$259:$F$273,FALSE),MATCH('Program Summary'!I$25,'Utility Portfolio Summary'!$F$259:$BY$259,FALSE))</f>
        <v>2556</v>
      </c>
      <c r="J26" s="572">
        <f ca="1">INDEX('Utility Portfolio Summary'!$F$259:$BY$273,MATCH('Program Summary'!$B26,'Utility Portfolio Summary'!$F$259:$F$273,FALSE),MATCH('Program Summary'!J$25,'Utility Portfolio Summary'!$F$259:$BY$259,FALSE))</f>
        <v>2556</v>
      </c>
      <c r="K26" s="572">
        <f ca="1">INDEX('Utility Portfolio Summary'!$F$259:$BY$273,MATCH('Program Summary'!$B26,'Utility Portfolio Summary'!$F$259:$F$273,FALSE),MATCH('Program Summary'!K$25,'Utility Portfolio Summary'!$F$259:$BY$259,FALSE))</f>
        <v>2556</v>
      </c>
      <c r="L26" s="572">
        <f ca="1">INDEX('Utility Portfolio Summary'!$F$259:$BY$273,MATCH('Program Summary'!$B26,'Utility Portfolio Summary'!$F$259:$F$273,FALSE),MATCH('Program Summary'!L$25,'Utility Portfolio Summary'!$F$259:$BY$259,FALSE))</f>
        <v>2556</v>
      </c>
      <c r="M26" s="572">
        <f ca="1">INDEX('Utility Portfolio Summary'!$F$259:$BY$273,MATCH('Program Summary'!$B26,'Utility Portfolio Summary'!$F$259:$F$273,FALSE),MATCH('Program Summary'!M$25,'Utility Portfolio Summary'!$F$259:$BY$259,FALSE))</f>
        <v>2556</v>
      </c>
      <c r="N26" s="572">
        <f ca="1">INDEX('Utility Portfolio Summary'!$F$259:$BY$273,MATCH('Program Summary'!$B26,'Utility Portfolio Summary'!$F$259:$F$273,FALSE),MATCH('Program Summary'!N$25,'Utility Portfolio Summary'!$F$259:$BY$259,FALSE))</f>
        <v>2556</v>
      </c>
      <c r="O26" s="572">
        <f ca="1">INDEX('Utility Portfolio Summary'!$F$259:$BY$273,MATCH('Program Summary'!$B26,'Utility Portfolio Summary'!$F$259:$F$273,FALSE),MATCH('Program Summary'!O$25,'Utility Portfolio Summary'!$F$259:$BY$259,FALSE))</f>
        <v>2556</v>
      </c>
      <c r="P26" s="650">
        <f>VLOOKUP($A26,'LGE-KU Budgets'!$A$6:$Y$50,'LGE-KU Budgets'!L$2,0)*1000</f>
        <v>4484571.2403064761</v>
      </c>
      <c r="Q26" s="650">
        <f>VLOOKUP($A26,'LGE-KU Budgets'!$A$6:$Y$50,'LGE-KU Budgets'!M$2,0)*1000</f>
        <v>4480308.3075156705</v>
      </c>
      <c r="R26" s="650">
        <f>VLOOKUP($A26,'LGE-KU Budgets'!$A$6:$Y$50,'LGE-KU Budgets'!N$2,0)*1000</f>
        <v>4485667.4867411405</v>
      </c>
      <c r="S26" s="650">
        <f>VLOOKUP($A26,'LGE-KU Budgets'!$A$6:$Y$50,'LGE-KU Budgets'!O$2,0)*1000</f>
        <v>4491187.4413433746</v>
      </c>
      <c r="T26" s="650">
        <f>VLOOKUP($A26,'LGE-KU Budgets'!$A$6:$Y$50,'LGE-KU Budgets'!P$2,0)*1000</f>
        <v>4496872.9945836756</v>
      </c>
      <c r="U26" s="650">
        <f>VLOOKUP($A26,'LGE-KU Budgets'!$A$6:$Y$50,'LGE-KU Budgets'!Q$2,0)*1000</f>
        <v>4502729.114421187</v>
      </c>
      <c r="V26" s="650">
        <f>VLOOKUP($A26,'LGE-KU Budgets'!$A$6:$Y$50,'LGE-KU Budgets'!R$2,0)*1000</f>
        <v>4508760.9178538211</v>
      </c>
      <c r="W26" s="650">
        <f>VLOOKUP($A26,'LGE-KU Budgets'!$A$6:$Y$50,'LGE-KU Budgets'!S$2,0)*1000</f>
        <v>0</v>
      </c>
      <c r="X26" s="650">
        <f>VLOOKUP($A26,'LGE-KU Budgets'!$A$6:$Y$50,'LGE-KU Budgets'!T$2,0)*1000</f>
        <v>0</v>
      </c>
      <c r="Y26" s="650">
        <f>VLOOKUP($A26,'LGE-KU Budgets'!$A$6:$Y$50,'LGE-KU Budgets'!U$2,0)*1000</f>
        <v>0</v>
      </c>
      <c r="Z26" s="650">
        <f>VLOOKUP($A26,'LGE-KU Budgets'!$A$6:$Y$50,'LGE-KU Budgets'!V$2,0)*1000</f>
        <v>0</v>
      </c>
      <c r="AA26" s="650">
        <f>VLOOKUP($A26,'LGE-KU Budgets'!$A$6:$Y$50,'LGE-KU Budgets'!W$2,0)*1000</f>
        <v>0</v>
      </c>
      <c r="AB26" s="650">
        <f>VLOOKUP($A26,'LGE-KU Budgets'!$A$6:$Y$50,'LGE-KU Budgets'!X$2,0)*1000</f>
        <v>0</v>
      </c>
      <c r="AC26" s="650">
        <f>VLOOKUP($A26,'LGE-KU Budgets'!$A$6:$Y$50,'LGE-KU Budgets'!Y$2,0)*1000</f>
        <v>0</v>
      </c>
      <c r="AD26" s="572">
        <f ca="1">INDEX('Utility Portfolio Summary'!$F$259:$BY$273,MATCH('Program Summary'!$B26,'Utility Portfolio Summary'!$F$259:$F$273,FALSE),MATCH('Program Summary'!AD$25,'Utility Portfolio Summary'!$F$259:$BY$259,FALSE))</f>
        <v>2112135.0294764596</v>
      </c>
      <c r="AE26" s="572">
        <f ca="1">INDEX('Utility Portfolio Summary'!$F$259:$BY$273,MATCH('Program Summary'!$B26,'Utility Portfolio Summary'!$F$259:$F$273,FALSE),MATCH('Program Summary'!AE$25,'Utility Portfolio Summary'!$F$259:$BY$259,FALSE))</f>
        <v>2112135.0294764596</v>
      </c>
      <c r="AF26" s="572">
        <f ca="1">INDEX('Utility Portfolio Summary'!$F$259:$BY$273,MATCH('Program Summary'!$B26,'Utility Portfolio Summary'!$F$259:$F$273,FALSE),MATCH('Program Summary'!AF$25,'Utility Portfolio Summary'!$F$259:$BY$259,FALSE))</f>
        <v>2112135.0294764596</v>
      </c>
      <c r="AG26" s="572">
        <f ca="1">INDEX('Utility Portfolio Summary'!$F$259:$BY$273,MATCH('Program Summary'!$B26,'Utility Portfolio Summary'!$F$259:$F$273,FALSE),MATCH('Program Summary'!AG$25,'Utility Portfolio Summary'!$F$259:$BY$259,FALSE))</f>
        <v>2112135.0294764596</v>
      </c>
      <c r="AH26" s="572">
        <f ca="1">INDEX('Utility Portfolio Summary'!$F$259:$BY$273,MATCH('Program Summary'!$B26,'Utility Portfolio Summary'!$F$259:$F$273,FALSE),MATCH('Program Summary'!AH$25,'Utility Portfolio Summary'!$F$259:$BY$259,FALSE))</f>
        <v>2112135.0294764596</v>
      </c>
      <c r="AI26" s="572">
        <f ca="1">INDEX('Utility Portfolio Summary'!$F$259:$BY$273,MATCH('Program Summary'!$B26,'Utility Portfolio Summary'!$F$259:$F$273,FALSE),MATCH('Program Summary'!AI$25,'Utility Portfolio Summary'!$F$259:$BY$259,FALSE))</f>
        <v>2112135.0294764596</v>
      </c>
      <c r="AJ26" s="572">
        <f ca="1">INDEX('Utility Portfolio Summary'!$F$259:$BY$273,MATCH('Program Summary'!$B26,'Utility Portfolio Summary'!$F$259:$F$273,FALSE),MATCH('Program Summary'!AJ$25,'Utility Portfolio Summary'!$F$259:$BY$259,FALSE))</f>
        <v>2112135.0294764596</v>
      </c>
      <c r="AK26" s="572">
        <f ca="1">INDEX('Utility Portfolio Summary'!$F$259:$BY$273,MATCH('Program Summary'!$B26,'Utility Portfolio Summary'!$F$259:$F$273,FALSE),MATCH('Program Summary'!AK$25,'Utility Portfolio Summary'!$F$259:$BY$259,FALSE))</f>
        <v>173.63608868795583</v>
      </c>
      <c r="AL26" s="572">
        <f ca="1">INDEX('Utility Portfolio Summary'!$F$259:$BY$273,MATCH('Program Summary'!$B26,'Utility Portfolio Summary'!$F$259:$F$273,FALSE),MATCH('Program Summary'!AL$25,'Utility Portfolio Summary'!$F$259:$BY$259,FALSE))</f>
        <v>173.63608868795583</v>
      </c>
      <c r="AM26" s="572">
        <f ca="1">INDEX('Utility Portfolio Summary'!$F$259:$BY$273,MATCH('Program Summary'!$B26,'Utility Portfolio Summary'!$F$259:$F$273,FALSE),MATCH('Program Summary'!AM$25,'Utility Portfolio Summary'!$F$259:$BY$259,FALSE))</f>
        <v>173.63608868795583</v>
      </c>
      <c r="AN26" s="572">
        <f ca="1">INDEX('Utility Portfolio Summary'!$F$259:$BY$273,MATCH('Program Summary'!$B26,'Utility Portfolio Summary'!$F$259:$F$273,FALSE),MATCH('Program Summary'!AN$25,'Utility Portfolio Summary'!$F$259:$BY$259,FALSE))</f>
        <v>173.63608868795583</v>
      </c>
      <c r="AO26" s="572">
        <f ca="1">INDEX('Utility Portfolio Summary'!$F$259:$BY$273,MATCH('Program Summary'!$B26,'Utility Portfolio Summary'!$F$259:$F$273,FALSE),MATCH('Program Summary'!AO$25,'Utility Portfolio Summary'!$F$259:$BY$259,FALSE))</f>
        <v>173.63608868795583</v>
      </c>
      <c r="AP26" s="572">
        <f ca="1">INDEX('Utility Portfolio Summary'!$F$259:$BY$273,MATCH('Program Summary'!$B26,'Utility Portfolio Summary'!$F$259:$F$273,FALSE),MATCH('Program Summary'!AP$25,'Utility Portfolio Summary'!$F$259:$BY$259,FALSE))</f>
        <v>173.63608868795583</v>
      </c>
      <c r="AQ26" s="572">
        <f ca="1">INDEX('Utility Portfolio Summary'!$F$259:$BY$273,MATCH('Program Summary'!$B26,'Utility Portfolio Summary'!$F$259:$F$273,FALSE),MATCH('Program Summary'!AQ$25,'Utility Portfolio Summary'!$F$259:$BY$259,FALSE))</f>
        <v>173.63608868795583</v>
      </c>
      <c r="AR26" s="572">
        <f ca="1">INDEX('Utility Portfolio Summary'!$F$259:$BY$273,MATCH('Program Summary'!$B26,'Utility Portfolio Summary'!$F$259:$F$273,FALSE),MATCH('Program Summary'!AR$25,'Utility Portfolio Summary'!$F$259:$BY$259,FALSE))</f>
        <v>0</v>
      </c>
      <c r="AS26" s="572">
        <f ca="1">INDEX('Utility Portfolio Summary'!$F$259:$BY$273,MATCH('Program Summary'!$B26,'Utility Portfolio Summary'!$F$259:$F$273,FALSE),MATCH('Program Summary'!AS$25,'Utility Portfolio Summary'!$F$259:$BY$259,FALSE))</f>
        <v>0</v>
      </c>
      <c r="AT26" s="572">
        <f ca="1">INDEX('Utility Portfolio Summary'!$F$259:$BY$273,MATCH('Program Summary'!$B26,'Utility Portfolio Summary'!$F$259:$F$273,FALSE),MATCH('Program Summary'!AT$25,'Utility Portfolio Summary'!$F$259:$BY$259,FALSE))</f>
        <v>0</v>
      </c>
      <c r="AU26" s="572">
        <f ca="1">INDEX('Utility Portfolio Summary'!$F$259:$BY$273,MATCH('Program Summary'!$B26,'Utility Portfolio Summary'!$F$259:$F$273,FALSE),MATCH('Program Summary'!AU$25,'Utility Portfolio Summary'!$F$259:$BY$259,FALSE))</f>
        <v>0</v>
      </c>
      <c r="AV26" s="572">
        <f ca="1">INDEX('Utility Portfolio Summary'!$F$259:$BY$273,MATCH('Program Summary'!$B26,'Utility Portfolio Summary'!$F$259:$F$273,FALSE),MATCH('Program Summary'!AV$25,'Utility Portfolio Summary'!$F$259:$BY$259,FALSE))</f>
        <v>0</v>
      </c>
      <c r="AW26" s="572">
        <f ca="1">INDEX('Utility Portfolio Summary'!$F$259:$BY$273,MATCH('Program Summary'!$B26,'Utility Portfolio Summary'!$F$259:$F$273,FALSE),MATCH('Program Summary'!AW$25,'Utility Portfolio Summary'!$F$259:$BY$259,FALSE))</f>
        <v>0</v>
      </c>
      <c r="AX26" s="572">
        <f ca="1">INDEX('Utility Portfolio Summary'!$F$259:$BY$273,MATCH('Program Summary'!$B26,'Utility Portfolio Summary'!$F$259:$F$273,FALSE),MATCH('Program Summary'!AX$25,'Utility Portfolio Summary'!$F$259:$BY$259,FALSE))</f>
        <v>0</v>
      </c>
      <c r="AY26" s="2"/>
      <c r="AZ26" s="2"/>
      <c r="BA26" s="2"/>
      <c r="BB26" s="2"/>
      <c r="BC26" s="2"/>
      <c r="BD26" s="2"/>
      <c r="BE26" s="2"/>
      <c r="BF26" s="2"/>
    </row>
    <row r="27" spans="1:58">
      <c r="A27" s="527" t="str">
        <f t="shared" ref="A27:A39" si="11">B27&amp;"KU"</f>
        <v>LI Multifamily - Whole BuildingKU</v>
      </c>
      <c r="B27" s="649" t="s">
        <v>58</v>
      </c>
      <c r="C27" s="572">
        <f t="shared" ref="C27:C38" ca="1" si="12">SUM(I27:O27)</f>
        <v>134050</v>
      </c>
      <c r="D27" s="650">
        <f t="shared" ref="D27:D39" si="13">SUM(P27:V27)</f>
        <v>4000702.1541750622</v>
      </c>
      <c r="E27" s="650">
        <f t="shared" ref="E27:E39" si="14">SUM(W27:AC27)</f>
        <v>0</v>
      </c>
      <c r="F27" s="572">
        <f t="shared" ref="F27:F39" ca="1" si="15">SUM(AD27:AJ27)</f>
        <v>1835322.8984549334</v>
      </c>
      <c r="G27" s="572">
        <f t="shared" ca="1" si="10"/>
        <v>25.719424060636353</v>
      </c>
      <c r="H27" s="572">
        <f t="shared" ref="H27:H39" ca="1" si="16">SUM(AR27:AX27)</f>
        <v>0</v>
      </c>
      <c r="I27" s="572">
        <f ca="1">INDEX('Utility Portfolio Summary'!$F$259:$BY$273,MATCH('Program Summary'!$B27,'Utility Portfolio Summary'!$F$259:$F$273,FALSE),MATCH('Program Summary'!I$25,'Utility Portfolio Summary'!$F$259:$BY$259,FALSE))</f>
        <v>19150</v>
      </c>
      <c r="J27" s="572">
        <f ca="1">INDEX('Utility Portfolio Summary'!$F$259:$BY$273,MATCH('Program Summary'!$B27,'Utility Portfolio Summary'!$F$259:$F$273,FALSE),MATCH('Program Summary'!J$25,'Utility Portfolio Summary'!$F$259:$BY$259,FALSE))</f>
        <v>19150</v>
      </c>
      <c r="K27" s="572">
        <f ca="1">INDEX('Utility Portfolio Summary'!$F$259:$BY$273,MATCH('Program Summary'!$B27,'Utility Portfolio Summary'!$F$259:$F$273,FALSE),MATCH('Program Summary'!K$25,'Utility Portfolio Summary'!$F$259:$BY$259,FALSE))</f>
        <v>19150</v>
      </c>
      <c r="L27" s="572">
        <f ca="1">INDEX('Utility Portfolio Summary'!$F$259:$BY$273,MATCH('Program Summary'!$B27,'Utility Portfolio Summary'!$F$259:$F$273,FALSE),MATCH('Program Summary'!L$25,'Utility Portfolio Summary'!$F$259:$BY$259,FALSE))</f>
        <v>19150</v>
      </c>
      <c r="M27" s="572">
        <f ca="1">INDEX('Utility Portfolio Summary'!$F$259:$BY$273,MATCH('Program Summary'!$B27,'Utility Portfolio Summary'!$F$259:$F$273,FALSE),MATCH('Program Summary'!M$25,'Utility Portfolio Summary'!$F$259:$BY$259,FALSE))</f>
        <v>19150</v>
      </c>
      <c r="N27" s="572">
        <f ca="1">INDEX('Utility Portfolio Summary'!$F$259:$BY$273,MATCH('Program Summary'!$B27,'Utility Portfolio Summary'!$F$259:$F$273,FALSE),MATCH('Program Summary'!N$25,'Utility Portfolio Summary'!$F$259:$BY$259,FALSE))</f>
        <v>19150</v>
      </c>
      <c r="O27" s="572">
        <f ca="1">INDEX('Utility Portfolio Summary'!$F$259:$BY$273,MATCH('Program Summary'!$B27,'Utility Portfolio Summary'!$F$259:$F$273,FALSE),MATCH('Program Summary'!O$25,'Utility Portfolio Summary'!$F$259:$BY$259,FALSE))</f>
        <v>19150</v>
      </c>
      <c r="P27" s="650">
        <f>VLOOKUP($A27,'LGE-KU Budgets'!$A$6:$Y$50,'LGE-KU Budgets'!L$2,0)*1000</f>
        <v>545626.23388469999</v>
      </c>
      <c r="Q27" s="650">
        <f>VLOOKUP($A27,'LGE-KU Budgets'!$A$6:$Y$50,'LGE-KU Budgets'!M$2,0)*1000</f>
        <v>555743.98827986757</v>
      </c>
      <c r="R27" s="650">
        <f>VLOOKUP($A27,'LGE-KU Budgets'!$A$6:$Y$50,'LGE-KU Budgets'!N$2,0)*1000</f>
        <v>633665.27530689014</v>
      </c>
      <c r="S27" s="650">
        <f>VLOOKUP($A27,'LGE-KU Budgets'!$A$6:$Y$50,'LGE-KU Budgets'!O$2,0)*1000</f>
        <v>561674.20094472321</v>
      </c>
      <c r="T27" s="650">
        <f>VLOOKUP($A27,'LGE-KU Budgets'!$A$6:$Y$50,'LGE-KU Budgets'!P$2,0)*1000</f>
        <v>564773.39435169147</v>
      </c>
      <c r="U27" s="650">
        <f>VLOOKUP($A27,'LGE-KU Budgets'!$A$6:$Y$50,'LGE-KU Budgets'!Q$2,0)*1000</f>
        <v>567965.56356086873</v>
      </c>
      <c r="V27" s="650">
        <f>VLOOKUP($A27,'LGE-KU Budgets'!$A$6:$Y$50,'LGE-KU Budgets'!R$2,0)*1000</f>
        <v>571253.49784632132</v>
      </c>
      <c r="W27" s="650">
        <f>VLOOKUP($A27,'LGE-KU Budgets'!$A$6:$Y$50,'LGE-KU Budgets'!S$2,0)*1000</f>
        <v>0</v>
      </c>
      <c r="X27" s="650">
        <f>VLOOKUP($A27,'LGE-KU Budgets'!$A$6:$Y$50,'LGE-KU Budgets'!T$2,0)*1000</f>
        <v>0</v>
      </c>
      <c r="Y27" s="650">
        <f>VLOOKUP($A27,'LGE-KU Budgets'!$A$6:$Y$50,'LGE-KU Budgets'!U$2,0)*1000</f>
        <v>0</v>
      </c>
      <c r="Z27" s="650">
        <f>VLOOKUP($A27,'LGE-KU Budgets'!$A$6:$Y$50,'LGE-KU Budgets'!V$2,0)*1000</f>
        <v>0</v>
      </c>
      <c r="AA27" s="650">
        <f>VLOOKUP($A27,'LGE-KU Budgets'!$A$6:$Y$50,'LGE-KU Budgets'!W$2,0)*1000</f>
        <v>0</v>
      </c>
      <c r="AB27" s="650">
        <f>VLOOKUP($A27,'LGE-KU Budgets'!$A$6:$Y$50,'LGE-KU Budgets'!X$2,0)*1000</f>
        <v>0</v>
      </c>
      <c r="AC27" s="650">
        <f>VLOOKUP($A27,'LGE-KU Budgets'!$A$6:$Y$50,'LGE-KU Budgets'!Y$2,0)*1000</f>
        <v>0</v>
      </c>
      <c r="AD27" s="572">
        <f ca="1">INDEX('Utility Portfolio Summary'!$F$259:$BY$273,MATCH('Program Summary'!$B27,'Utility Portfolio Summary'!$F$259:$F$273,FALSE),MATCH('Program Summary'!AD$25,'Utility Portfolio Summary'!$F$259:$BY$259,FALSE))</f>
        <v>262188.98549356189</v>
      </c>
      <c r="AE27" s="572">
        <f ca="1">INDEX('Utility Portfolio Summary'!$F$259:$BY$273,MATCH('Program Summary'!$B27,'Utility Portfolio Summary'!$F$259:$F$273,FALSE),MATCH('Program Summary'!AE$25,'Utility Portfolio Summary'!$F$259:$BY$259,FALSE))</f>
        <v>262188.98549356189</v>
      </c>
      <c r="AF27" s="572">
        <f ca="1">INDEX('Utility Portfolio Summary'!$F$259:$BY$273,MATCH('Program Summary'!$B27,'Utility Portfolio Summary'!$F$259:$F$273,FALSE),MATCH('Program Summary'!AF$25,'Utility Portfolio Summary'!$F$259:$BY$259,FALSE))</f>
        <v>262188.98549356189</v>
      </c>
      <c r="AG27" s="572">
        <f ca="1">INDEX('Utility Portfolio Summary'!$F$259:$BY$273,MATCH('Program Summary'!$B27,'Utility Portfolio Summary'!$F$259:$F$273,FALSE),MATCH('Program Summary'!AG$25,'Utility Portfolio Summary'!$F$259:$BY$259,FALSE))</f>
        <v>262188.98549356189</v>
      </c>
      <c r="AH27" s="572">
        <f ca="1">INDEX('Utility Portfolio Summary'!$F$259:$BY$273,MATCH('Program Summary'!$B27,'Utility Portfolio Summary'!$F$259:$F$273,FALSE),MATCH('Program Summary'!AH$25,'Utility Portfolio Summary'!$F$259:$BY$259,FALSE))</f>
        <v>262188.98549356189</v>
      </c>
      <c r="AI27" s="572">
        <f ca="1">INDEX('Utility Portfolio Summary'!$F$259:$BY$273,MATCH('Program Summary'!$B27,'Utility Portfolio Summary'!$F$259:$F$273,FALSE),MATCH('Program Summary'!AI$25,'Utility Portfolio Summary'!$F$259:$BY$259,FALSE))</f>
        <v>262188.98549356189</v>
      </c>
      <c r="AJ27" s="572">
        <f ca="1">INDEX('Utility Portfolio Summary'!$F$259:$BY$273,MATCH('Program Summary'!$B27,'Utility Portfolio Summary'!$F$259:$F$273,FALSE),MATCH('Program Summary'!AJ$25,'Utility Portfolio Summary'!$F$259:$BY$259,FALSE))</f>
        <v>262188.98549356189</v>
      </c>
      <c r="AK27" s="572">
        <f ca="1">INDEX('Utility Portfolio Summary'!$F$259:$BY$273,MATCH('Program Summary'!$B27,'Utility Portfolio Summary'!$F$259:$F$273,FALSE),MATCH('Program Summary'!AK$25,'Utility Portfolio Summary'!$F$259:$BY$259,FALSE))</f>
        <v>25.719424060636353</v>
      </c>
      <c r="AL27" s="572">
        <f ca="1">INDEX('Utility Portfolio Summary'!$F$259:$BY$273,MATCH('Program Summary'!$B27,'Utility Portfolio Summary'!$F$259:$F$273,FALSE),MATCH('Program Summary'!AL$25,'Utility Portfolio Summary'!$F$259:$BY$259,FALSE))</f>
        <v>25.719424060636353</v>
      </c>
      <c r="AM27" s="572">
        <f ca="1">INDEX('Utility Portfolio Summary'!$F$259:$BY$273,MATCH('Program Summary'!$B27,'Utility Portfolio Summary'!$F$259:$F$273,FALSE),MATCH('Program Summary'!AM$25,'Utility Portfolio Summary'!$F$259:$BY$259,FALSE))</f>
        <v>25.719424060636353</v>
      </c>
      <c r="AN27" s="572">
        <f ca="1">INDEX('Utility Portfolio Summary'!$F$259:$BY$273,MATCH('Program Summary'!$B27,'Utility Portfolio Summary'!$F$259:$F$273,FALSE),MATCH('Program Summary'!AN$25,'Utility Portfolio Summary'!$F$259:$BY$259,FALSE))</f>
        <v>25.719424060636353</v>
      </c>
      <c r="AO27" s="572">
        <f ca="1">INDEX('Utility Portfolio Summary'!$F$259:$BY$273,MATCH('Program Summary'!$B27,'Utility Portfolio Summary'!$F$259:$F$273,FALSE),MATCH('Program Summary'!AO$25,'Utility Portfolio Summary'!$F$259:$BY$259,FALSE))</f>
        <v>25.719424060636353</v>
      </c>
      <c r="AP27" s="572">
        <f ca="1">INDEX('Utility Portfolio Summary'!$F$259:$BY$273,MATCH('Program Summary'!$B27,'Utility Portfolio Summary'!$F$259:$F$273,FALSE),MATCH('Program Summary'!AP$25,'Utility Portfolio Summary'!$F$259:$BY$259,FALSE))</f>
        <v>25.719424060636353</v>
      </c>
      <c r="AQ27" s="572">
        <f ca="1">INDEX('Utility Portfolio Summary'!$F$259:$BY$273,MATCH('Program Summary'!$B27,'Utility Portfolio Summary'!$F$259:$F$273,FALSE),MATCH('Program Summary'!AQ$25,'Utility Portfolio Summary'!$F$259:$BY$259,FALSE))</f>
        <v>25.719424060636353</v>
      </c>
      <c r="AR27" s="572">
        <f ca="1">INDEX('Utility Portfolio Summary'!$F$259:$BY$273,MATCH('Program Summary'!$B27,'Utility Portfolio Summary'!$F$259:$F$273,FALSE),MATCH('Program Summary'!AR$25,'Utility Portfolio Summary'!$F$259:$BY$259,FALSE))</f>
        <v>0</v>
      </c>
      <c r="AS27" s="572">
        <f ca="1">INDEX('Utility Portfolio Summary'!$F$259:$BY$273,MATCH('Program Summary'!$B27,'Utility Portfolio Summary'!$F$259:$F$273,FALSE),MATCH('Program Summary'!AS$25,'Utility Portfolio Summary'!$F$259:$BY$259,FALSE))</f>
        <v>0</v>
      </c>
      <c r="AT27" s="572">
        <f ca="1">INDEX('Utility Portfolio Summary'!$F$259:$BY$273,MATCH('Program Summary'!$B27,'Utility Portfolio Summary'!$F$259:$F$273,FALSE),MATCH('Program Summary'!AT$25,'Utility Portfolio Summary'!$F$259:$BY$259,FALSE))</f>
        <v>0</v>
      </c>
      <c r="AU27" s="572">
        <f ca="1">INDEX('Utility Portfolio Summary'!$F$259:$BY$273,MATCH('Program Summary'!$B27,'Utility Portfolio Summary'!$F$259:$F$273,FALSE),MATCH('Program Summary'!AU$25,'Utility Portfolio Summary'!$F$259:$BY$259,FALSE))</f>
        <v>0</v>
      </c>
      <c r="AV27" s="572">
        <f ca="1">INDEX('Utility Portfolio Summary'!$F$259:$BY$273,MATCH('Program Summary'!$B27,'Utility Portfolio Summary'!$F$259:$F$273,FALSE),MATCH('Program Summary'!AV$25,'Utility Portfolio Summary'!$F$259:$BY$259,FALSE))</f>
        <v>0</v>
      </c>
      <c r="AW27" s="572">
        <f ca="1">INDEX('Utility Portfolio Summary'!$F$259:$BY$273,MATCH('Program Summary'!$B27,'Utility Portfolio Summary'!$F$259:$F$273,FALSE),MATCH('Program Summary'!AW$25,'Utility Portfolio Summary'!$F$259:$BY$259,FALSE))</f>
        <v>0</v>
      </c>
      <c r="AX27" s="572">
        <f ca="1">INDEX('Utility Portfolio Summary'!$F$259:$BY$273,MATCH('Program Summary'!$B27,'Utility Portfolio Summary'!$F$259:$F$273,FALSE),MATCH('Program Summary'!AX$25,'Utility Portfolio Summary'!$F$259:$BY$259,FALSE))</f>
        <v>0</v>
      </c>
      <c r="AY27" s="2"/>
      <c r="AZ27" s="2"/>
      <c r="BA27" s="2"/>
      <c r="BB27" s="2"/>
      <c r="BC27" s="2"/>
      <c r="BD27" s="2"/>
      <c r="BE27" s="2"/>
      <c r="BF27" s="2"/>
    </row>
    <row r="28" spans="1:58">
      <c r="A28" s="527" t="str">
        <f t="shared" si="11"/>
        <v>Appliance RecyclingKU</v>
      </c>
      <c r="B28" s="649" t="s">
        <v>59</v>
      </c>
      <c r="C28" s="572">
        <f t="shared" ca="1" si="12"/>
        <v>18777.5</v>
      </c>
      <c r="D28" s="650">
        <f t="shared" si="13"/>
        <v>3514879.3026405317</v>
      </c>
      <c r="E28" s="650">
        <f t="shared" si="14"/>
        <v>925000</v>
      </c>
      <c r="F28" s="572">
        <f t="shared" ca="1" si="15"/>
        <v>14006514.234693877</v>
      </c>
      <c r="G28" s="572">
        <f t="shared" ca="1" si="10"/>
        <v>354.63510204081638</v>
      </c>
      <c r="H28" s="572">
        <f t="shared" ca="1" si="16"/>
        <v>0</v>
      </c>
      <c r="I28" s="572">
        <f ca="1">INDEX('Utility Portfolio Summary'!$F$259:$BY$273,MATCH('Program Summary'!$B28,'Utility Portfolio Summary'!$F$259:$F$273,FALSE),MATCH('Program Summary'!I$25,'Utility Portfolio Summary'!$F$259:$BY$259,FALSE))</f>
        <v>0</v>
      </c>
      <c r="J28" s="572">
        <f ca="1">INDEX('Utility Portfolio Summary'!$F$259:$BY$273,MATCH('Program Summary'!$B28,'Utility Portfolio Summary'!$F$259:$F$273,FALSE),MATCH('Program Summary'!J$25,'Utility Portfolio Summary'!$F$259:$BY$259,FALSE))</f>
        <v>0</v>
      </c>
      <c r="K28" s="572">
        <f ca="1">INDEX('Utility Portfolio Summary'!$F$259:$BY$273,MATCH('Program Summary'!$B28,'Utility Portfolio Summary'!$F$259:$F$273,FALSE),MATCH('Program Summary'!K$25,'Utility Portfolio Summary'!$F$259:$BY$259,FALSE))</f>
        <v>3045</v>
      </c>
      <c r="L28" s="572">
        <f ca="1">INDEX('Utility Portfolio Summary'!$F$259:$BY$273,MATCH('Program Summary'!$B28,'Utility Portfolio Summary'!$F$259:$F$273,FALSE),MATCH('Program Summary'!L$25,'Utility Portfolio Summary'!$F$259:$BY$259,FALSE))</f>
        <v>3552.5</v>
      </c>
      <c r="M28" s="572">
        <f ca="1">INDEX('Utility Portfolio Summary'!$F$259:$BY$273,MATCH('Program Summary'!$B28,'Utility Portfolio Summary'!$F$259:$F$273,FALSE),MATCH('Program Summary'!M$25,'Utility Portfolio Summary'!$F$259:$BY$259,FALSE))</f>
        <v>4060</v>
      </c>
      <c r="N28" s="572">
        <f ca="1">INDEX('Utility Portfolio Summary'!$F$259:$BY$273,MATCH('Program Summary'!$B28,'Utility Portfolio Summary'!$F$259:$F$273,FALSE),MATCH('Program Summary'!N$25,'Utility Portfolio Summary'!$F$259:$BY$259,FALSE))</f>
        <v>4060</v>
      </c>
      <c r="O28" s="572">
        <f ca="1">INDEX('Utility Portfolio Summary'!$F$259:$BY$273,MATCH('Program Summary'!$B28,'Utility Portfolio Summary'!$F$259:$F$273,FALSE),MATCH('Program Summary'!O$25,'Utility Portfolio Summary'!$F$259:$BY$259,FALSE))</f>
        <v>4060</v>
      </c>
      <c r="P28" s="650">
        <f>VLOOKUP($A28,'LGE-KU Budgets'!$A$6:$Y$50,'LGE-KU Budgets'!L$2,0)*1000</f>
        <v>0</v>
      </c>
      <c r="Q28" s="650">
        <f>VLOOKUP($A28,'LGE-KU Budgets'!$A$6:$Y$50,'LGE-KU Budgets'!M$2,0)*1000</f>
        <v>0</v>
      </c>
      <c r="R28" s="650">
        <f>VLOOKUP($A28,'LGE-KU Budgets'!$A$6:$Y$50,'LGE-KU Budgets'!N$2,0)*1000</f>
        <v>685589.95323770621</v>
      </c>
      <c r="S28" s="650">
        <f>VLOOKUP($A28,'LGE-KU Budgets'!$A$6:$Y$50,'LGE-KU Budgets'!O$2,0)*1000</f>
        <v>686747.65183483739</v>
      </c>
      <c r="T28" s="650">
        <f>VLOOKUP($A28,'LGE-KU Budgets'!$A$6:$Y$50,'LGE-KU Budgets'!P$2,0)*1000</f>
        <v>762940.0813898826</v>
      </c>
      <c r="U28" s="650">
        <f>VLOOKUP($A28,'LGE-KU Budgets'!$A$6:$Y$50,'LGE-KU Budgets'!Q$2,0)*1000</f>
        <v>689168.28383157891</v>
      </c>
      <c r="V28" s="650">
        <f>VLOOKUP($A28,'LGE-KU Budgets'!$A$6:$Y$50,'LGE-KU Budgets'!R$2,0)*1000</f>
        <v>690433.33234652644</v>
      </c>
      <c r="W28" s="650">
        <f>VLOOKUP($A28,'LGE-KU Budgets'!$A$6:$Y$50,'LGE-KU Budgets'!S$2,0)*1000</f>
        <v>0</v>
      </c>
      <c r="X28" s="650">
        <f>VLOOKUP($A28,'LGE-KU Budgets'!$A$6:$Y$50,'LGE-KU Budgets'!T$2,0)*1000</f>
        <v>0</v>
      </c>
      <c r="Y28" s="650">
        <f>VLOOKUP($A28,'LGE-KU Budgets'!$A$6:$Y$50,'LGE-KU Budgets'!U$2,0)*1000</f>
        <v>150000</v>
      </c>
      <c r="Z28" s="650">
        <f>VLOOKUP($A28,'LGE-KU Budgets'!$A$6:$Y$50,'LGE-KU Budgets'!V$2,0)*1000</f>
        <v>175000.00000000003</v>
      </c>
      <c r="AA28" s="650">
        <f>VLOOKUP($A28,'LGE-KU Budgets'!$A$6:$Y$50,'LGE-KU Budgets'!W$2,0)*1000</f>
        <v>200000</v>
      </c>
      <c r="AB28" s="650">
        <f>VLOOKUP($A28,'LGE-KU Budgets'!$A$6:$Y$50,'LGE-KU Budgets'!X$2,0)*1000</f>
        <v>200000</v>
      </c>
      <c r="AC28" s="650">
        <f>VLOOKUP($A28,'LGE-KU Budgets'!$A$6:$Y$50,'LGE-KU Budgets'!Y$2,0)*1000</f>
        <v>200000</v>
      </c>
      <c r="AD28" s="572">
        <f ca="1">INDEX('Utility Portfolio Summary'!$F$259:$BY$273,MATCH('Program Summary'!$B28,'Utility Portfolio Summary'!$F$259:$F$273,FALSE),MATCH('Program Summary'!AD$25,'Utility Portfolio Summary'!$F$259:$BY$259,FALSE))</f>
        <v>0</v>
      </c>
      <c r="AE28" s="572">
        <f ca="1">INDEX('Utility Portfolio Summary'!$F$259:$BY$273,MATCH('Program Summary'!$B28,'Utility Portfolio Summary'!$F$259:$F$273,FALSE),MATCH('Program Summary'!AE$25,'Utility Portfolio Summary'!$F$259:$BY$259,FALSE))</f>
        <v>0</v>
      </c>
      <c r="AF28" s="572">
        <f ca="1">INDEX('Utility Portfolio Summary'!$F$259:$BY$273,MATCH('Program Summary'!$B28,'Utility Portfolio Summary'!$F$259:$F$273,FALSE),MATCH('Program Summary'!AF$25,'Utility Portfolio Summary'!$F$259:$BY$259,FALSE))</f>
        <v>2271326.6326530613</v>
      </c>
      <c r="AG28" s="572">
        <f ca="1">INDEX('Utility Portfolio Summary'!$F$259:$BY$273,MATCH('Program Summary'!$B28,'Utility Portfolio Summary'!$F$259:$F$273,FALSE),MATCH('Program Summary'!AG$25,'Utility Portfolio Summary'!$F$259:$BY$259,FALSE))</f>
        <v>2649881.0714285718</v>
      </c>
      <c r="AH28" s="572">
        <f ca="1">INDEX('Utility Portfolio Summary'!$F$259:$BY$273,MATCH('Program Summary'!$B28,'Utility Portfolio Summary'!$F$259:$F$273,FALSE),MATCH('Program Summary'!AH$25,'Utility Portfolio Summary'!$F$259:$BY$259,FALSE))</f>
        <v>3028435.5102040814</v>
      </c>
      <c r="AI28" s="572">
        <f ca="1">INDEX('Utility Portfolio Summary'!$F$259:$BY$273,MATCH('Program Summary'!$B28,'Utility Portfolio Summary'!$F$259:$F$273,FALSE),MATCH('Program Summary'!AI$25,'Utility Portfolio Summary'!$F$259:$BY$259,FALSE))</f>
        <v>3028435.5102040814</v>
      </c>
      <c r="AJ28" s="572">
        <f ca="1">INDEX('Utility Portfolio Summary'!$F$259:$BY$273,MATCH('Program Summary'!$B28,'Utility Portfolio Summary'!$F$259:$F$273,FALSE),MATCH('Program Summary'!AJ$25,'Utility Portfolio Summary'!$F$259:$BY$259,FALSE))</f>
        <v>3028435.5102040814</v>
      </c>
      <c r="AK28" s="572">
        <f ca="1">INDEX('Utility Portfolio Summary'!$F$259:$BY$273,MATCH('Program Summary'!$B28,'Utility Portfolio Summary'!$F$259:$F$273,FALSE),MATCH('Program Summary'!AK$25,'Utility Portfolio Summary'!$F$259:$BY$259,FALSE))</f>
        <v>0</v>
      </c>
      <c r="AL28" s="572">
        <f ca="1">INDEX('Utility Portfolio Summary'!$F$259:$BY$273,MATCH('Program Summary'!$B28,'Utility Portfolio Summary'!$F$259:$F$273,FALSE),MATCH('Program Summary'!AL$25,'Utility Portfolio Summary'!$F$259:$BY$259,FALSE))</f>
        <v>0</v>
      </c>
      <c r="AM28" s="572">
        <f ca="1">INDEX('Utility Portfolio Summary'!$F$259:$BY$273,MATCH('Program Summary'!$B28,'Utility Portfolio Summary'!$F$259:$F$273,FALSE),MATCH('Program Summary'!AM$25,'Utility Portfolio Summary'!$F$259:$BY$259,FALSE))</f>
        <v>265.97632653061225</v>
      </c>
      <c r="AN28" s="572">
        <f ca="1">INDEX('Utility Portfolio Summary'!$F$259:$BY$273,MATCH('Program Summary'!$B28,'Utility Portfolio Summary'!$F$259:$F$273,FALSE),MATCH('Program Summary'!AN$25,'Utility Portfolio Summary'!$F$259:$BY$259,FALSE))</f>
        <v>310.30571428571432</v>
      </c>
      <c r="AO28" s="572">
        <f ca="1">INDEX('Utility Portfolio Summary'!$F$259:$BY$273,MATCH('Program Summary'!$B28,'Utility Portfolio Summary'!$F$259:$F$273,FALSE),MATCH('Program Summary'!AO$25,'Utility Portfolio Summary'!$F$259:$BY$259,FALSE))</f>
        <v>354.63510204081638</v>
      </c>
      <c r="AP28" s="572">
        <f ca="1">INDEX('Utility Portfolio Summary'!$F$259:$BY$273,MATCH('Program Summary'!$B28,'Utility Portfolio Summary'!$F$259:$F$273,FALSE),MATCH('Program Summary'!AP$25,'Utility Portfolio Summary'!$F$259:$BY$259,FALSE))</f>
        <v>354.63510204081638</v>
      </c>
      <c r="AQ28" s="572">
        <f ca="1">INDEX('Utility Portfolio Summary'!$F$259:$BY$273,MATCH('Program Summary'!$B28,'Utility Portfolio Summary'!$F$259:$F$273,FALSE),MATCH('Program Summary'!AQ$25,'Utility Portfolio Summary'!$F$259:$BY$259,FALSE))</f>
        <v>354.63510204081638</v>
      </c>
      <c r="AR28" s="572">
        <f ca="1">INDEX('Utility Portfolio Summary'!$F$259:$BY$273,MATCH('Program Summary'!$B28,'Utility Portfolio Summary'!$F$259:$F$273,FALSE),MATCH('Program Summary'!AR$25,'Utility Portfolio Summary'!$F$259:$BY$259,FALSE))</f>
        <v>0</v>
      </c>
      <c r="AS28" s="572">
        <f ca="1">INDEX('Utility Portfolio Summary'!$F$259:$BY$273,MATCH('Program Summary'!$B28,'Utility Portfolio Summary'!$F$259:$F$273,FALSE),MATCH('Program Summary'!AS$25,'Utility Portfolio Summary'!$F$259:$BY$259,FALSE))</f>
        <v>0</v>
      </c>
      <c r="AT28" s="572">
        <f ca="1">INDEX('Utility Portfolio Summary'!$F$259:$BY$273,MATCH('Program Summary'!$B28,'Utility Portfolio Summary'!$F$259:$F$273,FALSE),MATCH('Program Summary'!AT$25,'Utility Portfolio Summary'!$F$259:$BY$259,FALSE))</f>
        <v>0</v>
      </c>
      <c r="AU28" s="572">
        <f ca="1">INDEX('Utility Portfolio Summary'!$F$259:$BY$273,MATCH('Program Summary'!$B28,'Utility Portfolio Summary'!$F$259:$F$273,FALSE),MATCH('Program Summary'!AU$25,'Utility Portfolio Summary'!$F$259:$BY$259,FALSE))</f>
        <v>0</v>
      </c>
      <c r="AV28" s="572">
        <f ca="1">INDEX('Utility Portfolio Summary'!$F$259:$BY$273,MATCH('Program Summary'!$B28,'Utility Portfolio Summary'!$F$259:$F$273,FALSE),MATCH('Program Summary'!AV$25,'Utility Portfolio Summary'!$F$259:$BY$259,FALSE))</f>
        <v>0</v>
      </c>
      <c r="AW28" s="572">
        <f ca="1">INDEX('Utility Portfolio Summary'!$F$259:$BY$273,MATCH('Program Summary'!$B28,'Utility Portfolio Summary'!$F$259:$F$273,FALSE),MATCH('Program Summary'!AW$25,'Utility Portfolio Summary'!$F$259:$BY$259,FALSE))</f>
        <v>0</v>
      </c>
      <c r="AX28" s="572">
        <f ca="1">INDEX('Utility Portfolio Summary'!$F$259:$BY$273,MATCH('Program Summary'!$B28,'Utility Portfolio Summary'!$F$259:$F$273,FALSE),MATCH('Program Summary'!AX$25,'Utility Portfolio Summary'!$F$259:$BY$259,FALSE))</f>
        <v>0</v>
      </c>
      <c r="AY28" s="2"/>
      <c r="AZ28" s="2"/>
      <c r="BA28" s="2"/>
      <c r="BB28" s="2"/>
      <c r="BC28" s="2"/>
      <c r="BD28" s="2"/>
      <c r="BE28" s="2"/>
      <c r="BF28" s="2"/>
    </row>
    <row r="29" spans="1:58">
      <c r="A29" s="527" t="str">
        <f t="shared" si="11"/>
        <v>Online MarketplaceKU</v>
      </c>
      <c r="B29" s="649" t="s">
        <v>60</v>
      </c>
      <c r="C29" s="572">
        <f t="shared" ca="1" si="12"/>
        <v>26004.641601437495</v>
      </c>
      <c r="D29" s="650">
        <f t="shared" si="13"/>
        <v>721000</v>
      </c>
      <c r="E29" s="650">
        <f t="shared" si="14"/>
        <v>1942086.4160143752</v>
      </c>
      <c r="F29" s="572">
        <f t="shared" ca="1" si="15"/>
        <v>8030681.2663724069</v>
      </c>
      <c r="G29" s="572">
        <f t="shared" ca="1" si="10"/>
        <v>0</v>
      </c>
      <c r="H29" s="572">
        <f t="shared" ca="1" si="16"/>
        <v>0</v>
      </c>
      <c r="I29" s="572">
        <f ca="1">INDEX('Utility Portfolio Summary'!$F$259:$BY$273,MATCH('Program Summary'!$B29,'Utility Portfolio Summary'!$F$259:$F$273,FALSE),MATCH('Program Summary'!I$25,'Utility Portfolio Summary'!$F$259:$BY$259,FALSE))</f>
        <v>535</v>
      </c>
      <c r="J29" s="572">
        <f ca="1">INDEX('Utility Portfolio Summary'!$F$259:$BY$273,MATCH('Program Summary'!$B29,'Utility Portfolio Summary'!$F$259:$F$273,FALSE),MATCH('Program Summary'!J$25,'Utility Portfolio Summary'!$F$259:$BY$259,FALSE))</f>
        <v>1058.0999999999999</v>
      </c>
      <c r="K29" s="572">
        <f ca="1">INDEX('Utility Portfolio Summary'!$F$259:$BY$273,MATCH('Program Summary'!$B29,'Utility Portfolio Summary'!$F$259:$F$273,FALSE),MATCH('Program Summary'!K$25,'Utility Portfolio Summary'!$F$259:$BY$259,FALSE))</f>
        <v>2108.73</v>
      </c>
      <c r="L29" s="572">
        <f ca="1">INDEX('Utility Portfolio Summary'!$F$259:$BY$273,MATCH('Program Summary'!$B29,'Utility Portfolio Summary'!$F$259:$F$273,FALSE),MATCH('Program Summary'!L$25,'Utility Portfolio Summary'!$F$259:$BY$259,FALSE))</f>
        <v>4201.8914999999997</v>
      </c>
      <c r="M29" s="572">
        <f ca="1">INDEX('Utility Portfolio Summary'!$F$259:$BY$273,MATCH('Program Summary'!$B29,'Utility Portfolio Summary'!$F$259:$F$273,FALSE),MATCH('Program Summary'!M$25,'Utility Portfolio Summary'!$F$259:$BY$259,FALSE))</f>
        <v>6026.3360750000002</v>
      </c>
      <c r="N29" s="572">
        <f ca="1">INDEX('Utility Portfolio Summary'!$F$259:$BY$273,MATCH('Program Summary'!$B29,'Utility Portfolio Summary'!$F$259:$F$273,FALSE),MATCH('Program Summary'!N$25,'Utility Portfolio Summary'!$F$259:$BY$259,FALSE))</f>
        <v>6032.6903787499996</v>
      </c>
      <c r="O29" s="572">
        <f ca="1">INDEX('Utility Portfolio Summary'!$F$259:$BY$273,MATCH('Program Summary'!$B29,'Utility Portfolio Summary'!$F$259:$F$273,FALSE),MATCH('Program Summary'!O$25,'Utility Portfolio Summary'!$F$259:$BY$259,FALSE))</f>
        <v>6041.8936476874997</v>
      </c>
      <c r="P29" s="650">
        <f>VLOOKUP($A29,'LGE-KU Budgets'!$A$6:$Y$50,'LGE-KU Budgets'!L$2,0)*1000</f>
        <v>78000</v>
      </c>
      <c r="Q29" s="650">
        <f>VLOOKUP($A29,'LGE-KU Budgets'!$A$6:$Y$50,'LGE-KU Budgets'!M$2,0)*1000</f>
        <v>78000</v>
      </c>
      <c r="R29" s="650">
        <f>VLOOKUP($A29,'LGE-KU Budgets'!$A$6:$Y$50,'LGE-KU Budgets'!N$2,0)*1000</f>
        <v>98000</v>
      </c>
      <c r="S29" s="650">
        <f>VLOOKUP($A29,'LGE-KU Budgets'!$A$6:$Y$50,'LGE-KU Budgets'!O$2,0)*1000</f>
        <v>173000</v>
      </c>
      <c r="T29" s="650">
        <f>VLOOKUP($A29,'LGE-KU Budgets'!$A$6:$Y$50,'LGE-KU Budgets'!P$2,0)*1000</f>
        <v>98000</v>
      </c>
      <c r="U29" s="650">
        <f>VLOOKUP($A29,'LGE-KU Budgets'!$A$6:$Y$50,'LGE-KU Budgets'!Q$2,0)*1000</f>
        <v>98000</v>
      </c>
      <c r="V29" s="650">
        <f>VLOOKUP($A29,'LGE-KU Budgets'!$A$6:$Y$50,'LGE-KU Budgets'!R$2,0)*1000</f>
        <v>98000</v>
      </c>
      <c r="W29" s="650">
        <f>VLOOKUP($A29,'LGE-KU Budgets'!$A$6:$Y$50,'LGE-KU Budgets'!S$2,0)*1000</f>
        <v>39307.5</v>
      </c>
      <c r="X29" s="650">
        <f>VLOOKUP($A29,'LGE-KU Budgets'!$A$6:$Y$50,'LGE-KU Budgets'!T$2,0)*1000</f>
        <v>78501</v>
      </c>
      <c r="Y29" s="650">
        <f>VLOOKUP($A29,'LGE-KU Budgets'!$A$6:$Y$50,'LGE-KU Budgets'!U$2,0)*1000</f>
        <v>157132.29999999999</v>
      </c>
      <c r="Z29" s="650">
        <f>VLOOKUP($A29,'LGE-KU Budgets'!$A$6:$Y$50,'LGE-KU Budgets'!V$2,0)*1000</f>
        <v>314013.91499999998</v>
      </c>
      <c r="AA29" s="650">
        <f>VLOOKUP($A29,'LGE-KU Budgets'!$A$6:$Y$50,'LGE-KU Budgets'!W$2,0)*1000</f>
        <v>450708.36074999999</v>
      </c>
      <c r="AB29" s="650">
        <f>VLOOKUP($A29,'LGE-KU Budgets'!$A$6:$Y$50,'LGE-KU Budgets'!X$2,0)*1000</f>
        <v>450996.90378749999</v>
      </c>
      <c r="AC29" s="650">
        <f>VLOOKUP($A29,'LGE-KU Budgets'!$A$6:$Y$50,'LGE-KU Budgets'!Y$2,0)*1000</f>
        <v>451426.43647687498</v>
      </c>
      <c r="AD29" s="572">
        <f ca="1">INDEX('Utility Portfolio Summary'!$F$259:$BY$273,MATCH('Program Summary'!$B29,'Utility Portfolio Summary'!$F$259:$F$273,FALSE),MATCH('Program Summary'!AD$25,'Utility Portfolio Summary'!$F$259:$BY$259,FALSE))</f>
        <v>163037.34636570927</v>
      </c>
      <c r="AE29" s="572">
        <f ca="1">INDEX('Utility Portfolio Summary'!$F$259:$BY$273,MATCH('Program Summary'!$B29,'Utility Portfolio Summary'!$F$259:$F$273,FALSE),MATCH('Program Summary'!AE$25,'Utility Portfolio Summary'!$F$259:$BY$259,FALSE))</f>
        <v>325350.79273141851</v>
      </c>
      <c r="AF29" s="572">
        <f ca="1">INDEX('Utility Portfolio Summary'!$F$259:$BY$273,MATCH('Program Summary'!$B29,'Utility Portfolio Summary'!$F$259:$F$273,FALSE),MATCH('Program Summary'!AF$25,'Utility Portfolio Summary'!$F$259:$BY$259,FALSE))</f>
        <v>649941.49046283704</v>
      </c>
      <c r="AG29" s="572">
        <f ca="1">INDEX('Utility Portfolio Summary'!$F$259:$BY$273,MATCH('Program Summary'!$B29,'Utility Portfolio Summary'!$F$259:$F$273,FALSE),MATCH('Program Summary'!AG$25,'Utility Portfolio Summary'!$F$259:$BY$259,FALSE))</f>
        <v>1299084.881175674</v>
      </c>
      <c r="AH29" s="572">
        <f ca="1">INDEX('Utility Portfolio Summary'!$F$259:$BY$273,MATCH('Program Summary'!$B29,'Utility Portfolio Summary'!$F$259:$F$273,FALSE),MATCH('Program Summary'!AH$25,'Utility Portfolio Summary'!$F$259:$BY$259,FALSE))</f>
        <v>1864375.169244329</v>
      </c>
      <c r="AI29" s="572">
        <f ca="1">INDEX('Utility Portfolio Summary'!$F$259:$BY$273,MATCH('Program Summary'!$B29,'Utility Portfolio Summary'!$F$259:$F$273,FALSE),MATCH('Program Summary'!AI$25,'Utility Portfolio Summary'!$F$259:$BY$259,FALSE))</f>
        <v>1864421.480032454</v>
      </c>
      <c r="AJ29" s="572">
        <f ca="1">INDEX('Utility Portfolio Summary'!$F$259:$BY$273,MATCH('Program Summary'!$B29,'Utility Portfolio Summary'!$F$259:$F$273,FALSE),MATCH('Program Summary'!AJ$25,'Utility Portfolio Summary'!$F$259:$BY$259,FALSE))</f>
        <v>1864470.1063599852</v>
      </c>
      <c r="AK29" s="572">
        <f ca="1">INDEX('Utility Portfolio Summary'!$F$259:$BY$273,MATCH('Program Summary'!$B29,'Utility Portfolio Summary'!$F$259:$F$273,FALSE),MATCH('Program Summary'!AK$25,'Utility Portfolio Summary'!$F$259:$BY$259,FALSE))</f>
        <v>0</v>
      </c>
      <c r="AL29" s="572">
        <f ca="1">INDEX('Utility Portfolio Summary'!$F$259:$BY$273,MATCH('Program Summary'!$B29,'Utility Portfolio Summary'!$F$259:$F$273,FALSE),MATCH('Program Summary'!AL$25,'Utility Portfolio Summary'!$F$259:$BY$259,FALSE))</f>
        <v>0</v>
      </c>
      <c r="AM29" s="572">
        <f ca="1">INDEX('Utility Portfolio Summary'!$F$259:$BY$273,MATCH('Program Summary'!$B29,'Utility Portfolio Summary'!$F$259:$F$273,FALSE),MATCH('Program Summary'!AM$25,'Utility Portfolio Summary'!$F$259:$BY$259,FALSE))</f>
        <v>0</v>
      </c>
      <c r="AN29" s="572">
        <f ca="1">INDEX('Utility Portfolio Summary'!$F$259:$BY$273,MATCH('Program Summary'!$B29,'Utility Portfolio Summary'!$F$259:$F$273,FALSE),MATCH('Program Summary'!AN$25,'Utility Portfolio Summary'!$F$259:$BY$259,FALSE))</f>
        <v>0</v>
      </c>
      <c r="AO29" s="572">
        <f ca="1">INDEX('Utility Portfolio Summary'!$F$259:$BY$273,MATCH('Program Summary'!$B29,'Utility Portfolio Summary'!$F$259:$F$273,FALSE),MATCH('Program Summary'!AO$25,'Utility Portfolio Summary'!$F$259:$BY$259,FALSE))</f>
        <v>0</v>
      </c>
      <c r="AP29" s="572">
        <f ca="1">INDEX('Utility Portfolio Summary'!$F$259:$BY$273,MATCH('Program Summary'!$B29,'Utility Portfolio Summary'!$F$259:$F$273,FALSE),MATCH('Program Summary'!AP$25,'Utility Portfolio Summary'!$F$259:$BY$259,FALSE))</f>
        <v>0</v>
      </c>
      <c r="AQ29" s="572">
        <f ca="1">INDEX('Utility Portfolio Summary'!$F$259:$BY$273,MATCH('Program Summary'!$B29,'Utility Portfolio Summary'!$F$259:$F$273,FALSE),MATCH('Program Summary'!AQ$25,'Utility Portfolio Summary'!$F$259:$BY$259,FALSE))</f>
        <v>0</v>
      </c>
      <c r="AR29" s="572">
        <f ca="1">INDEX('Utility Portfolio Summary'!$F$259:$BY$273,MATCH('Program Summary'!$B29,'Utility Portfolio Summary'!$F$259:$F$273,FALSE),MATCH('Program Summary'!AR$25,'Utility Portfolio Summary'!$F$259:$BY$259,FALSE))</f>
        <v>0</v>
      </c>
      <c r="AS29" s="572">
        <f ca="1">INDEX('Utility Portfolio Summary'!$F$259:$BY$273,MATCH('Program Summary'!$B29,'Utility Portfolio Summary'!$F$259:$F$273,FALSE),MATCH('Program Summary'!AS$25,'Utility Portfolio Summary'!$F$259:$BY$259,FALSE))</f>
        <v>0</v>
      </c>
      <c r="AT29" s="572">
        <f ca="1">INDEX('Utility Portfolio Summary'!$F$259:$BY$273,MATCH('Program Summary'!$B29,'Utility Portfolio Summary'!$F$259:$F$273,FALSE),MATCH('Program Summary'!AT$25,'Utility Portfolio Summary'!$F$259:$BY$259,FALSE))</f>
        <v>0</v>
      </c>
      <c r="AU29" s="572">
        <f ca="1">INDEX('Utility Portfolio Summary'!$F$259:$BY$273,MATCH('Program Summary'!$B29,'Utility Portfolio Summary'!$F$259:$F$273,FALSE),MATCH('Program Summary'!AU$25,'Utility Portfolio Summary'!$F$259:$BY$259,FALSE))</f>
        <v>0</v>
      </c>
      <c r="AV29" s="572">
        <f ca="1">INDEX('Utility Portfolio Summary'!$F$259:$BY$273,MATCH('Program Summary'!$B29,'Utility Portfolio Summary'!$F$259:$F$273,FALSE),MATCH('Program Summary'!AV$25,'Utility Portfolio Summary'!$F$259:$BY$259,FALSE))</f>
        <v>0</v>
      </c>
      <c r="AW29" s="572">
        <f ca="1">INDEX('Utility Portfolio Summary'!$F$259:$BY$273,MATCH('Program Summary'!$B29,'Utility Portfolio Summary'!$F$259:$F$273,FALSE),MATCH('Program Summary'!AW$25,'Utility Portfolio Summary'!$F$259:$BY$259,FALSE))</f>
        <v>0</v>
      </c>
      <c r="AX29" s="572">
        <f ca="1">INDEX('Utility Portfolio Summary'!$F$259:$BY$273,MATCH('Program Summary'!$B29,'Utility Portfolio Summary'!$F$259:$F$273,FALSE),MATCH('Program Summary'!AX$25,'Utility Portfolio Summary'!$F$259:$BY$259,FALSE))</f>
        <v>0</v>
      </c>
      <c r="AY29" s="2"/>
      <c r="AZ29" s="2"/>
      <c r="BA29" s="2"/>
      <c r="BB29" s="2"/>
      <c r="BC29" s="2"/>
      <c r="BD29" s="2"/>
      <c r="BE29" s="2"/>
      <c r="BF29" s="2"/>
    </row>
    <row r="30" spans="1:58">
      <c r="A30" s="527" t="str">
        <f t="shared" si="11"/>
        <v>Residential Audit OnlineKU</v>
      </c>
      <c r="B30" s="649" t="s">
        <v>61</v>
      </c>
      <c r="C30" s="572">
        <f t="shared" ca="1" si="12"/>
        <v>15630.71875</v>
      </c>
      <c r="D30" s="650">
        <f t="shared" si="13"/>
        <v>1724957.1172482022</v>
      </c>
      <c r="E30" s="650">
        <f>SUM(W30:AC30)</f>
        <v>2727200</v>
      </c>
      <c r="F30" s="572">
        <f t="shared" ca="1" si="15"/>
        <v>11635097.081208382</v>
      </c>
      <c r="G30" s="572">
        <f t="shared" ca="1" si="10"/>
        <v>191.79385170357875</v>
      </c>
      <c r="H30" s="572">
        <f t="shared" ca="1" si="16"/>
        <v>0</v>
      </c>
      <c r="I30" s="572">
        <f ca="1">INDEX('Utility Portfolio Summary'!$F$259:$BY$273,MATCH('Program Summary'!$B30,'Utility Portfolio Summary'!$F$259:$F$273,FALSE),MATCH('Program Summary'!I$25,'Utility Portfolio Summary'!$F$259:$BY$259,FALSE))</f>
        <v>0</v>
      </c>
      <c r="J30" s="572">
        <f ca="1">INDEX('Utility Portfolio Summary'!$F$259:$BY$273,MATCH('Program Summary'!$B30,'Utility Portfolio Summary'!$F$259:$F$273,FALSE),MATCH('Program Summary'!J$25,'Utility Portfolio Summary'!$F$259:$BY$259,FALSE))</f>
        <v>1991.75</v>
      </c>
      <c r="K30" s="572">
        <f ca="1">INDEX('Utility Portfolio Summary'!$F$259:$BY$273,MATCH('Program Summary'!$B30,'Utility Portfolio Summary'!$F$259:$F$273,FALSE),MATCH('Program Summary'!K$25,'Utility Portfolio Summary'!$F$259:$BY$259,FALSE))</f>
        <v>2276.75</v>
      </c>
      <c r="L30" s="572">
        <f ca="1">INDEX('Utility Portfolio Summary'!$F$259:$BY$273,MATCH('Program Summary'!$B30,'Utility Portfolio Summary'!$F$259:$F$273,FALSE),MATCH('Program Summary'!L$25,'Utility Portfolio Summary'!$F$259:$BY$259,FALSE))</f>
        <v>2566.125</v>
      </c>
      <c r="M30" s="572">
        <f ca="1">INDEX('Utility Portfolio Summary'!$F$259:$BY$273,MATCH('Program Summary'!$B30,'Utility Portfolio Summary'!$F$259:$F$273,FALSE),MATCH('Program Summary'!M$25,'Utility Portfolio Summary'!$F$259:$BY$259,FALSE))</f>
        <v>2932.03125</v>
      </c>
      <c r="N30" s="572">
        <f ca="1">INDEX('Utility Portfolio Summary'!$F$259:$BY$273,MATCH('Program Summary'!$B30,'Utility Portfolio Summary'!$F$259:$F$273,FALSE),MATCH('Program Summary'!N$25,'Utility Portfolio Summary'!$F$259:$BY$259,FALSE))</f>
        <v>2932.03125</v>
      </c>
      <c r="O30" s="572">
        <f ca="1">INDEX('Utility Portfolio Summary'!$F$259:$BY$273,MATCH('Program Summary'!$B30,'Utility Portfolio Summary'!$F$259:$F$273,FALSE),MATCH('Program Summary'!O$25,'Utility Portfolio Summary'!$F$259:$BY$259,FALSE))</f>
        <v>2932.03125</v>
      </c>
      <c r="P30" s="650">
        <f>VLOOKUP($A30,'LGE-KU Budgets'!$A$6:$Y$50,'LGE-KU Budgets'!L$2,0)*1000</f>
        <v>0</v>
      </c>
      <c r="Q30" s="650">
        <f>VLOOKUP($A30,'LGE-KU Budgets'!$A$6:$Y$50,'LGE-KU Budgets'!M$2,0)*1000</f>
        <v>267463.16095249756</v>
      </c>
      <c r="R30" s="650">
        <f>VLOOKUP($A30,'LGE-KU Budgets'!$A$6:$Y$50,'LGE-KU Budgets'!N$2,0)*1000</f>
        <v>270564.05578107253</v>
      </c>
      <c r="S30" s="650">
        <f>VLOOKUP($A30,'LGE-KU Budgets'!$A$6:$Y$50,'LGE-KU Budgets'!O$2,0)*1000</f>
        <v>348778.82745450467</v>
      </c>
      <c r="T30" s="650">
        <f>VLOOKUP($A30,'LGE-KU Budgets'!$A$6:$Y$50,'LGE-KU Budgets'!P$2,0)*1000</f>
        <v>277111.93477813981</v>
      </c>
      <c r="U30" s="650">
        <f>VLOOKUP($A30,'LGE-KU Budgets'!$A$6:$Y$50,'LGE-KU Budgets'!Q$2,0)*1000</f>
        <v>279361.19838398398</v>
      </c>
      <c r="V30" s="650">
        <f>VLOOKUP($A30,'LGE-KU Budgets'!$A$6:$Y$50,'LGE-KU Budgets'!R$2,0)*1000</f>
        <v>281677.93989800347</v>
      </c>
      <c r="W30" s="650">
        <f>VLOOKUP($A30,'LGE-KU Budgets'!$A$6:$Y$50,'LGE-KU Budgets'!S$2,0)*1000</f>
        <v>0</v>
      </c>
      <c r="X30" s="650">
        <f>VLOOKUP($A30,'LGE-KU Budgets'!$A$6:$Y$50,'LGE-KU Budgets'!T$2,0)*1000</f>
        <v>275200</v>
      </c>
      <c r="Y30" s="650">
        <f>VLOOKUP($A30,'LGE-KU Budgets'!$A$6:$Y$50,'LGE-KU Budgets'!U$2,0)*1000</f>
        <v>362150</v>
      </c>
      <c r="Z30" s="650">
        <f>VLOOKUP($A30,'LGE-KU Budgets'!$A$6:$Y$50,'LGE-KU Budgets'!V$2,0)*1000</f>
        <v>449500</v>
      </c>
      <c r="AA30" s="650">
        <f>VLOOKUP($A30,'LGE-KU Budgets'!$A$6:$Y$50,'LGE-KU Budgets'!W$2,0)*1000</f>
        <v>563450</v>
      </c>
      <c r="AB30" s="650">
        <f>VLOOKUP($A30,'LGE-KU Budgets'!$A$6:$Y$50,'LGE-KU Budgets'!X$2,0)*1000</f>
        <v>538450</v>
      </c>
      <c r="AC30" s="650">
        <f>VLOOKUP($A30,'LGE-KU Budgets'!$A$6:$Y$50,'LGE-KU Budgets'!Y$2,0)*1000</f>
        <v>538450</v>
      </c>
      <c r="AD30" s="572">
        <f ca="1">INDEX('Utility Portfolio Summary'!$F$259:$BY$273,MATCH('Program Summary'!$B30,'Utility Portfolio Summary'!$F$259:$F$273,FALSE),MATCH('Program Summary'!AD$25,'Utility Portfolio Summary'!$F$259:$BY$259,FALSE))</f>
        <v>0</v>
      </c>
      <c r="AE30" s="572">
        <f ca="1">INDEX('Utility Portfolio Summary'!$F$259:$BY$273,MATCH('Program Summary'!$B30,'Utility Portfolio Summary'!$F$259:$F$273,FALSE),MATCH('Program Summary'!AE$25,'Utility Portfolio Summary'!$F$259:$BY$259,FALSE))</f>
        <v>1203933.1162771182</v>
      </c>
      <c r="AF30" s="572">
        <f ca="1">INDEX('Utility Portfolio Summary'!$F$259:$BY$273,MATCH('Program Summary'!$B30,'Utility Portfolio Summary'!$F$259:$F$273,FALSE),MATCH('Program Summary'!AF$25,'Utility Portfolio Summary'!$F$259:$BY$259,FALSE))</f>
        <v>1542779.0418135645</v>
      </c>
      <c r="AG30" s="572">
        <f ca="1">INDEX('Utility Portfolio Summary'!$F$259:$BY$273,MATCH('Program Summary'!$B30,'Utility Portfolio Summary'!$F$259:$F$273,FALSE),MATCH('Program Summary'!AG$25,'Utility Portfolio Summary'!$F$259:$BY$259,FALSE))</f>
        <v>1883659.3900361974</v>
      </c>
      <c r="AH30" s="572">
        <f ca="1">INDEX('Utility Portfolio Summary'!$F$259:$BY$273,MATCH('Program Summary'!$B30,'Utility Portfolio Summary'!$F$259:$F$273,FALSE),MATCH('Program Summary'!AH$25,'Utility Portfolio Summary'!$F$259:$BY$259,FALSE))</f>
        <v>2334908.5110271676</v>
      </c>
      <c r="AI30" s="572">
        <f ca="1">INDEX('Utility Portfolio Summary'!$F$259:$BY$273,MATCH('Program Summary'!$B30,'Utility Portfolio Summary'!$F$259:$F$273,FALSE),MATCH('Program Summary'!AI$25,'Utility Portfolio Summary'!$F$259:$BY$259,FALSE))</f>
        <v>2334908.5110271676</v>
      </c>
      <c r="AJ30" s="572">
        <f ca="1">INDEX('Utility Portfolio Summary'!$F$259:$BY$273,MATCH('Program Summary'!$B30,'Utility Portfolio Summary'!$F$259:$F$273,FALSE),MATCH('Program Summary'!AJ$25,'Utility Portfolio Summary'!$F$259:$BY$259,FALSE))</f>
        <v>2334908.5110271676</v>
      </c>
      <c r="AK30" s="572">
        <f ca="1">INDEX('Utility Portfolio Summary'!$F$259:$BY$273,MATCH('Program Summary'!$B30,'Utility Portfolio Summary'!$F$259:$F$273,FALSE),MATCH('Program Summary'!AK$25,'Utility Portfolio Summary'!$F$259:$BY$259,FALSE))</f>
        <v>0</v>
      </c>
      <c r="AL30" s="572">
        <f ca="1">INDEX('Utility Portfolio Summary'!$F$259:$BY$273,MATCH('Program Summary'!$B30,'Utility Portfolio Summary'!$F$259:$F$273,FALSE),MATCH('Program Summary'!AL$25,'Utility Portfolio Summary'!$F$259:$BY$259,FALSE))</f>
        <v>98.531714300877667</v>
      </c>
      <c r="AM30" s="572">
        <f ca="1">INDEX('Utility Portfolio Summary'!$F$259:$BY$273,MATCH('Program Summary'!$B30,'Utility Portfolio Summary'!$F$259:$F$273,FALSE),MATCH('Program Summary'!AM$25,'Utility Portfolio Summary'!$F$259:$BY$259,FALSE))</f>
        <v>126.48404781650807</v>
      </c>
      <c r="AN30" s="572">
        <f ca="1">INDEX('Utility Portfolio Summary'!$F$259:$BY$273,MATCH('Program Summary'!$B30,'Utility Portfolio Summary'!$F$259:$F$273,FALSE),MATCH('Program Summary'!AN$25,'Utility Portfolio Summary'!$F$259:$BY$259,FALSE))</f>
        <v>154.57954043246318</v>
      </c>
      <c r="AO30" s="572">
        <f ca="1">INDEX('Utility Portfolio Summary'!$F$259:$BY$273,MATCH('Program Summary'!$B30,'Utility Portfolio Summary'!$F$259:$F$273,FALSE),MATCH('Program Summary'!AO$25,'Utility Portfolio Summary'!$F$259:$BY$259,FALSE))</f>
        <v>191.79385170357875</v>
      </c>
      <c r="AP30" s="572">
        <f ca="1">INDEX('Utility Portfolio Summary'!$F$259:$BY$273,MATCH('Program Summary'!$B30,'Utility Portfolio Summary'!$F$259:$F$273,FALSE),MATCH('Program Summary'!AP$25,'Utility Portfolio Summary'!$F$259:$BY$259,FALSE))</f>
        <v>191.79385170357875</v>
      </c>
      <c r="AQ30" s="572">
        <f ca="1">INDEX('Utility Portfolio Summary'!$F$259:$BY$273,MATCH('Program Summary'!$B30,'Utility Portfolio Summary'!$F$259:$F$273,FALSE),MATCH('Program Summary'!AQ$25,'Utility Portfolio Summary'!$F$259:$BY$259,FALSE))</f>
        <v>191.79385170357875</v>
      </c>
      <c r="AR30" s="572">
        <f ca="1">INDEX('Utility Portfolio Summary'!$F$259:$BY$273,MATCH('Program Summary'!$B30,'Utility Portfolio Summary'!$F$259:$F$273,FALSE),MATCH('Program Summary'!AR$25,'Utility Portfolio Summary'!$F$259:$BY$259,FALSE))</f>
        <v>0</v>
      </c>
      <c r="AS30" s="572">
        <f ca="1">INDEX('Utility Portfolio Summary'!$F$259:$BY$273,MATCH('Program Summary'!$B30,'Utility Portfolio Summary'!$F$259:$F$273,FALSE),MATCH('Program Summary'!AS$25,'Utility Portfolio Summary'!$F$259:$BY$259,FALSE))</f>
        <v>0</v>
      </c>
      <c r="AT30" s="572">
        <f ca="1">INDEX('Utility Portfolio Summary'!$F$259:$BY$273,MATCH('Program Summary'!$B30,'Utility Portfolio Summary'!$F$259:$F$273,FALSE),MATCH('Program Summary'!AT$25,'Utility Portfolio Summary'!$F$259:$BY$259,FALSE))</f>
        <v>0</v>
      </c>
      <c r="AU30" s="572">
        <f ca="1">INDEX('Utility Portfolio Summary'!$F$259:$BY$273,MATCH('Program Summary'!$B30,'Utility Portfolio Summary'!$F$259:$F$273,FALSE),MATCH('Program Summary'!AU$25,'Utility Portfolio Summary'!$F$259:$BY$259,FALSE))</f>
        <v>0</v>
      </c>
      <c r="AV30" s="572">
        <f ca="1">INDEX('Utility Portfolio Summary'!$F$259:$BY$273,MATCH('Program Summary'!$B30,'Utility Portfolio Summary'!$F$259:$F$273,FALSE),MATCH('Program Summary'!AV$25,'Utility Portfolio Summary'!$F$259:$BY$259,FALSE))</f>
        <v>0</v>
      </c>
      <c r="AW30" s="572">
        <f ca="1">INDEX('Utility Portfolio Summary'!$F$259:$BY$273,MATCH('Program Summary'!$B30,'Utility Portfolio Summary'!$F$259:$F$273,FALSE),MATCH('Program Summary'!AW$25,'Utility Portfolio Summary'!$F$259:$BY$259,FALSE))</f>
        <v>0</v>
      </c>
      <c r="AX30" s="572">
        <f ca="1">INDEX('Utility Portfolio Summary'!$F$259:$BY$273,MATCH('Program Summary'!$B30,'Utility Portfolio Summary'!$F$259:$F$273,FALSE),MATCH('Program Summary'!AX$25,'Utility Portfolio Summary'!$F$259:$BY$259,FALSE))</f>
        <v>0</v>
      </c>
      <c r="AY30" s="2"/>
      <c r="AZ30" s="2"/>
      <c r="BA30" s="2"/>
      <c r="BB30" s="2"/>
      <c r="BC30" s="2"/>
      <c r="BD30" s="2"/>
      <c r="BE30" s="2"/>
      <c r="BF30" s="2"/>
    </row>
    <row r="31" spans="1:58">
      <c r="A31" s="527" t="str">
        <f t="shared" si="11"/>
        <v>BYOT &amp; BYODKU</v>
      </c>
      <c r="B31" s="649" t="s">
        <v>62</v>
      </c>
      <c r="C31" s="572">
        <f ca="1">MAX(I31:O31)</f>
        <v>35069.425000000003</v>
      </c>
      <c r="D31" s="650">
        <f t="shared" si="13"/>
        <v>4948049.5512792617</v>
      </c>
      <c r="E31" s="650">
        <f t="shared" si="14"/>
        <v>15493277.8125</v>
      </c>
      <c r="F31" s="572">
        <f t="shared" ca="1" si="15"/>
        <v>0</v>
      </c>
      <c r="G31" s="572">
        <f t="shared" ca="1" si="10"/>
        <v>18216.519323027718</v>
      </c>
      <c r="H31" s="572">
        <f t="shared" ca="1" si="16"/>
        <v>0</v>
      </c>
      <c r="I31" s="572">
        <f ca="1">INDEX('Utility Portfolio Summary'!$F$259:$BY$273,MATCH('Program Summary'!$B31,'Utility Portfolio Summary'!$F$259:$F$273,FALSE),MATCH('Program Summary'!I$25,'Utility Portfolio Summary'!$F$259:$BY$259,FALSE))</f>
        <v>1750</v>
      </c>
      <c r="J31" s="572">
        <f ca="1">INDEX('Utility Portfolio Summary'!$F$259:$BY$273,MATCH('Program Summary'!$B31,'Utility Portfolio Summary'!$F$259:$F$273,FALSE),MATCH('Program Summary'!J$25,'Utility Portfolio Summary'!$F$259:$BY$259,FALSE))</f>
        <v>3600</v>
      </c>
      <c r="K31" s="572">
        <f ca="1">INDEX('Utility Portfolio Summary'!$F$259:$BY$273,MATCH('Program Summary'!$B31,'Utility Portfolio Summary'!$F$259:$F$273,FALSE),MATCH('Program Summary'!K$25,'Utility Portfolio Summary'!$F$259:$BY$259,FALSE))</f>
        <v>7160</v>
      </c>
      <c r="L31" s="572">
        <f ca="1">INDEX('Utility Portfolio Summary'!$F$259:$BY$273,MATCH('Program Summary'!$B31,'Utility Portfolio Summary'!$F$259:$F$273,FALSE),MATCH('Program Summary'!L$25,'Utility Portfolio Summary'!$F$259:$BY$259,FALSE))</f>
        <v>12494.2</v>
      </c>
      <c r="M31" s="572">
        <f ca="1">INDEX('Utility Portfolio Summary'!$F$259:$BY$273,MATCH('Program Summary'!$B31,'Utility Portfolio Summary'!$F$259:$F$273,FALSE),MATCH('Program Summary'!M$25,'Utility Portfolio Summary'!$F$259:$BY$259,FALSE))</f>
        <v>20014.900000000001</v>
      </c>
      <c r="N31" s="572">
        <f ca="1">INDEX('Utility Portfolio Summary'!$F$259:$BY$273,MATCH('Program Summary'!$B31,'Utility Portfolio Summary'!$F$259:$F$273,FALSE),MATCH('Program Summary'!N$25,'Utility Portfolio Summary'!$F$259:$BY$259,FALSE))</f>
        <v>27539.35</v>
      </c>
      <c r="O31" s="572">
        <f ca="1">INDEX('Utility Portfolio Summary'!$F$259:$BY$273,MATCH('Program Summary'!$B31,'Utility Portfolio Summary'!$F$259:$F$273,FALSE),MATCH('Program Summary'!O$25,'Utility Portfolio Summary'!$F$259:$BY$259,FALSE))</f>
        <v>35069.425000000003</v>
      </c>
      <c r="P31" s="650">
        <f>VLOOKUP($A31,'LGE-KU Budgets'!$A$6:$Y$50,'LGE-KU Budgets'!L$2,0)*1000</f>
        <v>496793.22457860905</v>
      </c>
      <c r="Q31" s="650">
        <f>VLOOKUP($A31,'LGE-KU Budgets'!$A$6:$Y$50,'LGE-KU Budgets'!M$2,0)*1000</f>
        <v>303595.02131596743</v>
      </c>
      <c r="R31" s="650">
        <f>VLOOKUP($A31,'LGE-KU Budgets'!$A$6:$Y$50,'LGE-KU Budgets'!N$2,0)*1000</f>
        <v>409440.87195544643</v>
      </c>
      <c r="S31" s="650">
        <f>VLOOKUP($A31,'LGE-KU Budgets'!$A$6:$Y$50,'LGE-KU Budgets'!O$2,0)*1000</f>
        <v>572469.29811410978</v>
      </c>
      <c r="T31" s="650">
        <f>VLOOKUP($A31,'LGE-KU Budgets'!$A$6:$Y$50,'LGE-KU Budgets'!P$2,0)*1000</f>
        <v>876196.89705753303</v>
      </c>
      <c r="U31" s="650">
        <f>VLOOKUP($A31,'LGE-KU Budgets'!$A$6:$Y$50,'LGE-KU Budgets'!Q$2,0)*1000</f>
        <v>1030151.3439692592</v>
      </c>
      <c r="V31" s="650">
        <f>VLOOKUP($A31,'LGE-KU Budgets'!$A$6:$Y$50,'LGE-KU Budgets'!R$2,0)*1000</f>
        <v>1259402.8942883369</v>
      </c>
      <c r="W31" s="650">
        <f>VLOOKUP($A31,'LGE-KU Budgets'!$A$6:$Y$50,'LGE-KU Budgets'!S$2,0)*1000</f>
        <v>294000</v>
      </c>
      <c r="X31" s="650">
        <f>VLOOKUP($A31,'LGE-KU Budgets'!$A$6:$Y$50,'LGE-KU Budgets'!T$2,0)*1000</f>
        <v>536000</v>
      </c>
      <c r="Y31" s="650">
        <f>VLOOKUP($A31,'LGE-KU Budgets'!$A$6:$Y$50,'LGE-KU Budgets'!U$2,0)*1000</f>
        <v>1078375</v>
      </c>
      <c r="Z31" s="650">
        <f>VLOOKUP($A31,'LGE-KU Budgets'!$A$6:$Y$50,'LGE-KU Budgets'!V$2,0)*1000</f>
        <v>1860526.5</v>
      </c>
      <c r="AA31" s="650">
        <f>VLOOKUP($A31,'LGE-KU Budgets'!$A$6:$Y$50,'LGE-KU Budgets'!W$2,0)*1000</f>
        <v>2929251.75</v>
      </c>
      <c r="AB31" s="650">
        <f>VLOOKUP($A31,'LGE-KU Budgets'!$A$6:$Y$50,'LGE-KU Budgets'!X$2,0)*1000</f>
        <v>3907742.625</v>
      </c>
      <c r="AC31" s="650">
        <f>VLOOKUP($A31,'LGE-KU Budgets'!$A$6:$Y$50,'LGE-KU Budgets'!Y$2,0)*1000</f>
        <v>4887381.9375</v>
      </c>
      <c r="AD31" s="572">
        <f ca="1">INDEX('Utility Portfolio Summary'!$F$259:$BY$273,MATCH('Program Summary'!$B31,'Utility Portfolio Summary'!$F$259:$F$273,FALSE),MATCH('Program Summary'!AD$25,'Utility Portfolio Summary'!$F$259:$BY$259,FALSE))</f>
        <v>0</v>
      </c>
      <c r="AE31" s="572">
        <f ca="1">INDEX('Utility Portfolio Summary'!$F$259:$BY$273,MATCH('Program Summary'!$B31,'Utility Portfolio Summary'!$F$259:$F$273,FALSE),MATCH('Program Summary'!AE$25,'Utility Portfolio Summary'!$F$259:$BY$259,FALSE))</f>
        <v>0</v>
      </c>
      <c r="AF31" s="572">
        <f ca="1">INDEX('Utility Portfolio Summary'!$F$259:$BY$273,MATCH('Program Summary'!$B31,'Utility Portfolio Summary'!$F$259:$F$273,FALSE),MATCH('Program Summary'!AF$25,'Utility Portfolio Summary'!$F$259:$BY$259,FALSE))</f>
        <v>0</v>
      </c>
      <c r="AG31" s="572">
        <f ca="1">INDEX('Utility Portfolio Summary'!$F$259:$BY$273,MATCH('Program Summary'!$B31,'Utility Portfolio Summary'!$F$259:$F$273,FALSE),MATCH('Program Summary'!AG$25,'Utility Portfolio Summary'!$F$259:$BY$259,FALSE))</f>
        <v>0</v>
      </c>
      <c r="AH31" s="572">
        <f ca="1">INDEX('Utility Portfolio Summary'!$F$259:$BY$273,MATCH('Program Summary'!$B31,'Utility Portfolio Summary'!$F$259:$F$273,FALSE),MATCH('Program Summary'!AH$25,'Utility Portfolio Summary'!$F$259:$BY$259,FALSE))</f>
        <v>0</v>
      </c>
      <c r="AI31" s="572">
        <f ca="1">INDEX('Utility Portfolio Summary'!$F$259:$BY$273,MATCH('Program Summary'!$B31,'Utility Portfolio Summary'!$F$259:$F$273,FALSE),MATCH('Program Summary'!AI$25,'Utility Portfolio Summary'!$F$259:$BY$259,FALSE))</f>
        <v>0</v>
      </c>
      <c r="AJ31" s="572">
        <f ca="1">INDEX('Utility Portfolio Summary'!$F$259:$BY$273,MATCH('Program Summary'!$B31,'Utility Portfolio Summary'!$F$259:$F$273,FALSE),MATCH('Program Summary'!AJ$25,'Utility Portfolio Summary'!$F$259:$BY$259,FALSE))</f>
        <v>0</v>
      </c>
      <c r="AK31" s="572">
        <f ca="1">INDEX('Utility Portfolio Summary'!$F$259:$BY$273,MATCH('Program Summary'!$B31,'Utility Portfolio Summary'!$F$259:$F$273,FALSE),MATCH('Program Summary'!AK$25,'Utility Portfolio Summary'!$F$259:$BY$259,FALSE))</f>
        <v>881.52985074626883</v>
      </c>
      <c r="AL31" s="572">
        <f ca="1">INDEX('Utility Portfolio Summary'!$F$259:$BY$273,MATCH('Program Summary'!$B31,'Utility Portfolio Summary'!$F$259:$F$273,FALSE),MATCH('Program Summary'!AL$25,'Utility Portfolio Summary'!$F$259:$BY$259,FALSE))</f>
        <v>1811.0341151385928</v>
      </c>
      <c r="AM31" s="572">
        <f ca="1">INDEX('Utility Portfolio Summary'!$F$259:$BY$273,MATCH('Program Summary'!$B31,'Utility Portfolio Summary'!$F$259:$F$273,FALSE),MATCH('Program Summary'!AM$25,'Utility Portfolio Summary'!$F$259:$BY$259,FALSE))</f>
        <v>3769.6194029850749</v>
      </c>
      <c r="AN31" s="572">
        <f ca="1">INDEX('Utility Portfolio Summary'!$F$259:$BY$273,MATCH('Program Summary'!$B31,'Utility Portfolio Summary'!$F$259:$F$273,FALSE),MATCH('Program Summary'!AN$25,'Utility Portfolio Summary'!$F$259:$BY$259,FALSE))</f>
        <v>6601.8374200426442</v>
      </c>
      <c r="AO31" s="572">
        <f ca="1">INDEX('Utility Portfolio Summary'!$F$259:$BY$273,MATCH('Program Summary'!$B31,'Utility Portfolio Summary'!$F$259:$F$273,FALSE),MATCH('Program Summary'!AO$25,'Utility Portfolio Summary'!$F$259:$BY$259,FALSE))</f>
        <v>10471.210554371002</v>
      </c>
      <c r="AP31" s="572">
        <f ca="1">INDEX('Utility Portfolio Summary'!$F$259:$BY$273,MATCH('Program Summary'!$B31,'Utility Portfolio Summary'!$F$259:$F$273,FALSE),MATCH('Program Summary'!AP$25,'Utility Portfolio Summary'!$F$259:$BY$259,FALSE))</f>
        <v>14342.458688699362</v>
      </c>
      <c r="AQ31" s="572">
        <f ca="1">INDEX('Utility Portfolio Summary'!$F$259:$BY$273,MATCH('Program Summary'!$B31,'Utility Portfolio Summary'!$F$259:$F$273,FALSE),MATCH('Program Summary'!AQ$25,'Utility Portfolio Summary'!$F$259:$BY$259,FALSE))</f>
        <v>18216.519323027718</v>
      </c>
      <c r="AR31" s="572">
        <f ca="1">INDEX('Utility Portfolio Summary'!$F$259:$BY$273,MATCH('Program Summary'!$B31,'Utility Portfolio Summary'!$F$259:$F$273,FALSE),MATCH('Program Summary'!AR$25,'Utility Portfolio Summary'!$F$259:$BY$259,FALSE))</f>
        <v>0</v>
      </c>
      <c r="AS31" s="572">
        <f ca="1">INDEX('Utility Portfolio Summary'!$F$259:$BY$273,MATCH('Program Summary'!$B31,'Utility Portfolio Summary'!$F$259:$F$273,FALSE),MATCH('Program Summary'!AS$25,'Utility Portfolio Summary'!$F$259:$BY$259,FALSE))</f>
        <v>0</v>
      </c>
      <c r="AT31" s="572">
        <f ca="1">INDEX('Utility Portfolio Summary'!$F$259:$BY$273,MATCH('Program Summary'!$B31,'Utility Portfolio Summary'!$F$259:$F$273,FALSE),MATCH('Program Summary'!AT$25,'Utility Portfolio Summary'!$F$259:$BY$259,FALSE))</f>
        <v>0</v>
      </c>
      <c r="AU31" s="572">
        <f ca="1">INDEX('Utility Portfolio Summary'!$F$259:$BY$273,MATCH('Program Summary'!$B31,'Utility Portfolio Summary'!$F$259:$F$273,FALSE),MATCH('Program Summary'!AU$25,'Utility Portfolio Summary'!$F$259:$BY$259,FALSE))</f>
        <v>0</v>
      </c>
      <c r="AV31" s="572">
        <f ca="1">INDEX('Utility Portfolio Summary'!$F$259:$BY$273,MATCH('Program Summary'!$B31,'Utility Portfolio Summary'!$F$259:$F$273,FALSE),MATCH('Program Summary'!AV$25,'Utility Portfolio Summary'!$F$259:$BY$259,FALSE))</f>
        <v>0</v>
      </c>
      <c r="AW31" s="572">
        <f ca="1">INDEX('Utility Portfolio Summary'!$F$259:$BY$273,MATCH('Program Summary'!$B31,'Utility Portfolio Summary'!$F$259:$F$273,FALSE),MATCH('Program Summary'!AW$25,'Utility Portfolio Summary'!$F$259:$BY$259,FALSE))</f>
        <v>0</v>
      </c>
      <c r="AX31" s="572">
        <f ca="1">INDEX('Utility Portfolio Summary'!$F$259:$BY$273,MATCH('Program Summary'!$B31,'Utility Portfolio Summary'!$F$259:$F$273,FALSE),MATCH('Program Summary'!AX$25,'Utility Portfolio Summary'!$F$259:$BY$259,FALSE))</f>
        <v>0</v>
      </c>
      <c r="AY31" s="2"/>
      <c r="AZ31" s="2"/>
      <c r="BA31" s="2"/>
      <c r="BB31" s="2"/>
      <c r="BC31" s="2"/>
      <c r="BD31" s="2"/>
      <c r="BE31" s="2"/>
      <c r="BF31" s="2"/>
    </row>
    <row r="32" spans="1:58">
      <c r="A32" s="527" t="str">
        <f t="shared" si="11"/>
        <v>Business RebatesKU</v>
      </c>
      <c r="B32" s="649" t="s">
        <v>63</v>
      </c>
      <c r="C32" s="572">
        <f t="shared" ca="1" si="12"/>
        <v>74687180.280000001</v>
      </c>
      <c r="D32" s="650">
        <f t="shared" si="13"/>
        <v>5484821.0092098666</v>
      </c>
      <c r="E32" s="650">
        <f t="shared" si="14"/>
        <v>9203445.2999980822</v>
      </c>
      <c r="F32" s="572">
        <f t="shared" ca="1" si="15"/>
        <v>169559271.16533232</v>
      </c>
      <c r="G32" s="572">
        <f t="shared" ca="1" si="10"/>
        <v>9679.6399085602352</v>
      </c>
      <c r="H32" s="572">
        <f t="shared" ca="1" si="16"/>
        <v>0</v>
      </c>
      <c r="I32" s="572">
        <f ca="1">INDEX('Utility Portfolio Summary'!$F$259:$BY$273,MATCH('Program Summary'!$B32,'Utility Portfolio Summary'!$F$259:$F$273,FALSE),MATCH('Program Summary'!I$25,'Utility Portfolio Summary'!$F$259:$BY$259,FALSE))</f>
        <v>5345606</v>
      </c>
      <c r="J32" s="572">
        <f ca="1">INDEX('Utility Portfolio Summary'!$F$259:$BY$273,MATCH('Program Summary'!$B32,'Utility Portfolio Summary'!$F$259:$F$273,FALSE),MATCH('Program Summary'!J$25,'Utility Portfolio Summary'!$F$259:$BY$259,FALSE))</f>
        <v>8345606.5</v>
      </c>
      <c r="K32" s="572">
        <f ca="1">INDEX('Utility Portfolio Summary'!$F$259:$BY$273,MATCH('Program Summary'!$B32,'Utility Portfolio Summary'!$F$259:$F$273,FALSE),MATCH('Program Summary'!K$25,'Utility Portfolio Summary'!$F$259:$BY$259,FALSE))</f>
        <v>12228722.779999999</v>
      </c>
      <c r="L32" s="572">
        <f ca="1">INDEX('Utility Portfolio Summary'!$F$259:$BY$273,MATCH('Program Summary'!$B32,'Utility Portfolio Summary'!$F$259:$F$273,FALSE),MATCH('Program Summary'!L$25,'Utility Portfolio Summary'!$F$259:$BY$259,FALSE))</f>
        <v>12191810.5</v>
      </c>
      <c r="M32" s="572">
        <f ca="1">INDEX('Utility Portfolio Summary'!$F$259:$BY$273,MATCH('Program Summary'!$B32,'Utility Portfolio Summary'!$F$259:$F$273,FALSE),MATCH('Program Summary'!M$25,'Utility Portfolio Summary'!$F$259:$BY$259,FALSE))</f>
        <v>12191812</v>
      </c>
      <c r="N32" s="572">
        <f ca="1">INDEX('Utility Portfolio Summary'!$F$259:$BY$273,MATCH('Program Summary'!$B32,'Utility Portfolio Summary'!$F$259:$F$273,FALSE),MATCH('Program Summary'!N$25,'Utility Portfolio Summary'!$F$259:$BY$259,FALSE))</f>
        <v>12191811.5</v>
      </c>
      <c r="O32" s="572">
        <f ca="1">INDEX('Utility Portfolio Summary'!$F$259:$BY$273,MATCH('Program Summary'!$B32,'Utility Portfolio Summary'!$F$259:$F$273,FALSE),MATCH('Program Summary'!O$25,'Utility Portfolio Summary'!$F$259:$BY$259,FALSE))</f>
        <v>12191811</v>
      </c>
      <c r="P32" s="650">
        <f>VLOOKUP($A32,'LGE-KU Budgets'!$A$6:$Y$50,'LGE-KU Budgets'!L$2,0)*1000</f>
        <v>749242.42759224854</v>
      </c>
      <c r="Q32" s="650">
        <f>VLOOKUP($A32,'LGE-KU Budgets'!$A$6:$Y$50,'LGE-KU Budgets'!M$2,0)*1000</f>
        <v>752191.60799599451</v>
      </c>
      <c r="R32" s="650">
        <f>VLOOKUP($A32,'LGE-KU Budgets'!$A$6:$Y$50,'LGE-KU Budgets'!N$2,0)*1000</f>
        <v>780229.26381185313</v>
      </c>
      <c r="S32" s="650">
        <f>VLOOKUP($A32,'LGE-KU Budgets'!$A$6:$Y$50,'LGE-KU Budgets'!O$2,0)*1000</f>
        <v>783358.04930218728</v>
      </c>
      <c r="T32" s="650">
        <f>VLOOKUP($A32,'LGE-KU Budgets'!$A$6:$Y$50,'LGE-KU Budgets'!P$2,0)*1000</f>
        <v>836580.69835723157</v>
      </c>
      <c r="U32" s="650">
        <f>VLOOKUP($A32,'LGE-KU Budgets'!$A$6:$Y$50,'LGE-KU Budgets'!Q$2,0)*1000</f>
        <v>789900.02688392729</v>
      </c>
      <c r="V32" s="650">
        <f>VLOOKUP($A32,'LGE-KU Budgets'!$A$6:$Y$50,'LGE-KU Budgets'!R$2,0)*1000</f>
        <v>793318.93526642362</v>
      </c>
      <c r="W32" s="650">
        <f>VLOOKUP($A32,'LGE-KU Budgets'!$A$6:$Y$50,'LGE-KU Budgets'!S$2,0)*1000</f>
        <v>1584565.1077591642</v>
      </c>
      <c r="X32" s="650">
        <f>VLOOKUP($A32,'LGE-KU Budgets'!$A$6:$Y$50,'LGE-KU Budgets'!T$2,0)*1000</f>
        <v>1836531.2116289483</v>
      </c>
      <c r="Y32" s="650">
        <f>VLOOKUP($A32,'LGE-KU Budgets'!$A$6:$Y$50,'LGE-KU Budgets'!U$2,0)*1000</f>
        <v>1366675.5701219935</v>
      </c>
      <c r="Z32" s="650">
        <f>VLOOKUP($A32,'LGE-KU Budgets'!$A$6:$Y$50,'LGE-KU Budgets'!V$2,0)*1000</f>
        <v>1100533.5351219936</v>
      </c>
      <c r="AA32" s="650">
        <f>VLOOKUP($A32,'LGE-KU Budgets'!$A$6:$Y$50,'LGE-KU Budgets'!W$2,0)*1000</f>
        <v>1104878.1701219936</v>
      </c>
      <c r="AB32" s="650">
        <f>VLOOKUP($A32,'LGE-KU Budgets'!$A$6:$Y$50,'LGE-KU Budgets'!X$2,0)*1000</f>
        <v>1107328.1701219936</v>
      </c>
      <c r="AC32" s="650">
        <f>VLOOKUP($A32,'LGE-KU Budgets'!$A$6:$Y$50,'LGE-KU Budgets'!Y$2,0)*1000</f>
        <v>1102933.5351219936</v>
      </c>
      <c r="AD32" s="572">
        <f ca="1">INDEX('Utility Portfolio Summary'!$F$259:$BY$273,MATCH('Program Summary'!$B32,'Utility Portfolio Summary'!$F$259:$F$273,FALSE),MATCH('Program Summary'!AD$25,'Utility Portfolio Summary'!$F$259:$BY$259,FALSE))</f>
        <v>43748573.09886492</v>
      </c>
      <c r="AE32" s="572">
        <f ca="1">INDEX('Utility Portfolio Summary'!$F$259:$BY$273,MATCH('Program Summary'!$B32,'Utility Portfolio Summary'!$F$259:$F$273,FALSE),MATCH('Program Summary'!AE$25,'Utility Portfolio Summary'!$F$259:$BY$259,FALSE))</f>
        <v>46755622.71541591</v>
      </c>
      <c r="AF32" s="572">
        <f ca="1">INDEX('Utility Portfolio Summary'!$F$259:$BY$273,MATCH('Program Summary'!$B32,'Utility Portfolio Summary'!$F$259:$F$273,FALSE),MATCH('Program Summary'!AF$25,'Utility Portfolio Summary'!$F$259:$BY$259,FALSE))</f>
        <v>22933882.992095597</v>
      </c>
      <c r="AG32" s="572">
        <f ca="1">INDEX('Utility Portfolio Summary'!$F$259:$BY$273,MATCH('Program Summary'!$B32,'Utility Portfolio Summary'!$F$259:$F$273,FALSE),MATCH('Program Summary'!AG$25,'Utility Portfolio Summary'!$F$259:$BY$259,FALSE))</f>
        <v>13965308.835651968</v>
      </c>
      <c r="AH32" s="572">
        <f ca="1">INDEX('Utility Portfolio Summary'!$F$259:$BY$273,MATCH('Program Summary'!$B32,'Utility Portfolio Summary'!$F$259:$F$273,FALSE),MATCH('Program Summary'!AH$25,'Utility Portfolio Summary'!$F$259:$BY$259,FALSE))</f>
        <v>14072639.143932378</v>
      </c>
      <c r="AI32" s="572">
        <f ca="1">INDEX('Utility Portfolio Summary'!$F$259:$BY$273,MATCH('Program Summary'!$B32,'Utility Portfolio Summary'!$F$259:$F$273,FALSE),MATCH('Program Summary'!AI$25,'Utility Portfolio Summary'!$F$259:$BY$259,FALSE))</f>
        <v>14067795.197854863</v>
      </c>
      <c r="AJ32" s="572">
        <f ca="1">INDEX('Utility Portfolio Summary'!$F$259:$BY$273,MATCH('Program Summary'!$B32,'Utility Portfolio Summary'!$F$259:$F$273,FALSE),MATCH('Program Summary'!AJ$25,'Utility Portfolio Summary'!$F$259:$BY$259,FALSE))</f>
        <v>14015449.181516679</v>
      </c>
      <c r="AK32" s="572">
        <f ca="1">INDEX('Utility Portfolio Summary'!$F$259:$BY$273,MATCH('Program Summary'!$B32,'Utility Portfolio Summary'!$F$259:$F$273,FALSE),MATCH('Program Summary'!AK$25,'Utility Portfolio Summary'!$F$259:$BY$259,FALSE))</f>
        <v>8874.0389429849765</v>
      </c>
      <c r="AL32" s="572">
        <f ca="1">INDEX('Utility Portfolio Summary'!$F$259:$BY$273,MATCH('Program Summary'!$B32,'Utility Portfolio Summary'!$F$259:$F$273,FALSE),MATCH('Program Summary'!AL$25,'Utility Portfolio Summary'!$F$259:$BY$259,FALSE))</f>
        <v>9679.6399085602352</v>
      </c>
      <c r="AM32" s="572">
        <f ca="1">INDEX('Utility Portfolio Summary'!$F$259:$BY$273,MATCH('Program Summary'!$B32,'Utility Portfolio Summary'!$F$259:$F$273,FALSE),MATCH('Program Summary'!AM$25,'Utility Portfolio Summary'!$F$259:$BY$259,FALSE))</f>
        <v>5355.5105977472758</v>
      </c>
      <c r="AN32" s="572">
        <f ca="1">INDEX('Utility Portfolio Summary'!$F$259:$BY$273,MATCH('Program Summary'!$B32,'Utility Portfolio Summary'!$F$259:$F$273,FALSE),MATCH('Program Summary'!AN$25,'Utility Portfolio Summary'!$F$259:$BY$259,FALSE))</f>
        <v>3620.4850070400689</v>
      </c>
      <c r="AO32" s="572">
        <f ca="1">INDEX('Utility Portfolio Summary'!$F$259:$BY$273,MATCH('Program Summary'!$B32,'Utility Portfolio Summary'!$F$259:$F$273,FALSE),MATCH('Program Summary'!AO$25,'Utility Portfolio Summary'!$F$259:$BY$259,FALSE))</f>
        <v>3633.4801819749168</v>
      </c>
      <c r="AP32" s="572">
        <f ca="1">INDEX('Utility Portfolio Summary'!$F$259:$BY$273,MATCH('Program Summary'!$B32,'Utility Portfolio Summary'!$F$259:$F$273,FALSE),MATCH('Program Summary'!AP$25,'Utility Portfolio Summary'!$F$259:$BY$259,FALSE))</f>
        <v>3625.6389546545602</v>
      </c>
      <c r="AQ32" s="572">
        <f ca="1">INDEX('Utility Portfolio Summary'!$F$259:$BY$273,MATCH('Program Summary'!$B32,'Utility Portfolio Summary'!$F$259:$F$273,FALSE),MATCH('Program Summary'!AQ$25,'Utility Portfolio Summary'!$F$259:$BY$259,FALSE))</f>
        <v>3633.8679871990007</v>
      </c>
      <c r="AR32" s="572">
        <f ca="1">INDEX('Utility Portfolio Summary'!$F$259:$BY$273,MATCH('Program Summary'!$B32,'Utility Portfolio Summary'!$F$259:$F$273,FALSE),MATCH('Program Summary'!AR$25,'Utility Portfolio Summary'!$F$259:$BY$259,FALSE))</f>
        <v>0</v>
      </c>
      <c r="AS32" s="572">
        <f ca="1">INDEX('Utility Portfolio Summary'!$F$259:$BY$273,MATCH('Program Summary'!$B32,'Utility Portfolio Summary'!$F$259:$F$273,FALSE),MATCH('Program Summary'!AS$25,'Utility Portfolio Summary'!$F$259:$BY$259,FALSE))</f>
        <v>0</v>
      </c>
      <c r="AT32" s="572">
        <f ca="1">INDEX('Utility Portfolio Summary'!$F$259:$BY$273,MATCH('Program Summary'!$B32,'Utility Portfolio Summary'!$F$259:$F$273,FALSE),MATCH('Program Summary'!AT$25,'Utility Portfolio Summary'!$F$259:$BY$259,FALSE))</f>
        <v>0</v>
      </c>
      <c r="AU32" s="572">
        <f ca="1">INDEX('Utility Portfolio Summary'!$F$259:$BY$273,MATCH('Program Summary'!$B32,'Utility Portfolio Summary'!$F$259:$F$273,FALSE),MATCH('Program Summary'!AU$25,'Utility Portfolio Summary'!$F$259:$BY$259,FALSE))</f>
        <v>0</v>
      </c>
      <c r="AV32" s="572">
        <f ca="1">INDEX('Utility Portfolio Summary'!$F$259:$BY$273,MATCH('Program Summary'!$B32,'Utility Portfolio Summary'!$F$259:$F$273,FALSE),MATCH('Program Summary'!AV$25,'Utility Portfolio Summary'!$F$259:$BY$259,FALSE))</f>
        <v>0</v>
      </c>
      <c r="AW32" s="572">
        <f ca="1">INDEX('Utility Portfolio Summary'!$F$259:$BY$273,MATCH('Program Summary'!$B32,'Utility Portfolio Summary'!$F$259:$F$273,FALSE),MATCH('Program Summary'!AW$25,'Utility Portfolio Summary'!$F$259:$BY$259,FALSE))</f>
        <v>0</v>
      </c>
      <c r="AX32" s="572">
        <f ca="1">INDEX('Utility Portfolio Summary'!$F$259:$BY$273,MATCH('Program Summary'!$B32,'Utility Portfolio Summary'!$F$259:$F$273,FALSE),MATCH('Program Summary'!AX$25,'Utility Portfolio Summary'!$F$259:$BY$259,FALSE))</f>
        <v>0</v>
      </c>
      <c r="AY32" s="2"/>
      <c r="AZ32" s="2"/>
      <c r="BA32" s="2"/>
      <c r="BB32" s="2"/>
      <c r="BC32" s="2"/>
      <c r="BD32" s="2"/>
      <c r="BE32" s="2"/>
      <c r="BF32" s="2"/>
    </row>
    <row r="33" spans="1:58">
      <c r="A33" s="527" t="str">
        <f t="shared" si="11"/>
        <v>Small Business - Audit &amp; DIKU</v>
      </c>
      <c r="B33" s="649" t="s">
        <v>64</v>
      </c>
      <c r="C33" s="572">
        <f t="shared" ca="1" si="12"/>
        <v>19048.25</v>
      </c>
      <c r="D33" s="650">
        <f t="shared" si="13"/>
        <v>2231486.2987132473</v>
      </c>
      <c r="E33" s="650">
        <f t="shared" si="14"/>
        <v>0</v>
      </c>
      <c r="F33" s="572">
        <f t="shared" ca="1" si="15"/>
        <v>1418717.908542969</v>
      </c>
      <c r="G33" s="572">
        <f t="shared" ca="1" si="10"/>
        <v>58.240661721584843</v>
      </c>
      <c r="H33" s="572">
        <f t="shared" ca="1" si="16"/>
        <v>0</v>
      </c>
      <c r="I33" s="572">
        <f ca="1">INDEX('Utility Portfolio Summary'!$F$259:$BY$273,MATCH('Program Summary'!$B33,'Utility Portfolio Summary'!$F$259:$F$273,FALSE),MATCH('Program Summary'!I$25,'Utility Portfolio Summary'!$F$259:$BY$259,FALSE))</f>
        <v>1465.25</v>
      </c>
      <c r="J33" s="572">
        <f ca="1">INDEX('Utility Portfolio Summary'!$F$259:$BY$273,MATCH('Program Summary'!$B33,'Utility Portfolio Summary'!$F$259:$F$273,FALSE),MATCH('Program Summary'!J$25,'Utility Portfolio Summary'!$F$259:$BY$259,FALSE))</f>
        <v>2930.5</v>
      </c>
      <c r="K33" s="572">
        <f ca="1">INDEX('Utility Portfolio Summary'!$F$259:$BY$273,MATCH('Program Summary'!$B33,'Utility Portfolio Summary'!$F$259:$F$273,FALSE),MATCH('Program Summary'!K$25,'Utility Portfolio Summary'!$F$259:$BY$259,FALSE))</f>
        <v>2930.5</v>
      </c>
      <c r="L33" s="572">
        <f ca="1">INDEX('Utility Portfolio Summary'!$F$259:$BY$273,MATCH('Program Summary'!$B33,'Utility Portfolio Summary'!$F$259:$F$273,FALSE),MATCH('Program Summary'!L$25,'Utility Portfolio Summary'!$F$259:$BY$259,FALSE))</f>
        <v>2930.5</v>
      </c>
      <c r="M33" s="572">
        <f ca="1">INDEX('Utility Portfolio Summary'!$F$259:$BY$273,MATCH('Program Summary'!$B33,'Utility Portfolio Summary'!$F$259:$F$273,FALSE),MATCH('Program Summary'!M$25,'Utility Portfolio Summary'!$F$259:$BY$259,FALSE))</f>
        <v>2930.5</v>
      </c>
      <c r="N33" s="572">
        <f ca="1">INDEX('Utility Portfolio Summary'!$F$259:$BY$273,MATCH('Program Summary'!$B33,'Utility Portfolio Summary'!$F$259:$F$273,FALSE),MATCH('Program Summary'!N$25,'Utility Portfolio Summary'!$F$259:$BY$259,FALSE))</f>
        <v>2930.5</v>
      </c>
      <c r="O33" s="572">
        <f ca="1">INDEX('Utility Portfolio Summary'!$F$259:$BY$273,MATCH('Program Summary'!$B33,'Utility Portfolio Summary'!$F$259:$F$273,FALSE),MATCH('Program Summary'!O$25,'Utility Portfolio Summary'!$F$259:$BY$259,FALSE))</f>
        <v>2930.5</v>
      </c>
      <c r="P33" s="650">
        <f>VLOOKUP($A33,'LGE-KU Budgets'!$A$6:$Y$50,'LGE-KU Budgets'!L$2,0)*1000</f>
        <v>311049.06205552473</v>
      </c>
      <c r="Q33" s="650">
        <f>VLOOKUP($A33,'LGE-KU Budgets'!$A$6:$Y$50,'LGE-KU Budgets'!M$2,0)*1000</f>
        <v>308814.63401719055</v>
      </c>
      <c r="R33" s="650">
        <f>VLOOKUP($A33,'LGE-KU Budgets'!$A$6:$Y$50,'LGE-KU Budgets'!N$2,0)*1000</f>
        <v>309938.61323770625</v>
      </c>
      <c r="S33" s="650">
        <f>VLOOKUP($A33,'LGE-KU Budgets'!$A$6:$Y$50,'LGE-KU Budgets'!O$2,0)*1000</f>
        <v>311096.31183483743</v>
      </c>
      <c r="T33" s="650">
        <f>VLOOKUP($A33,'LGE-KU Budgets'!$A$6:$Y$50,'LGE-KU Budgets'!P$2,0)*1000</f>
        <v>362288.74138988252</v>
      </c>
      <c r="U33" s="650">
        <f>VLOOKUP($A33,'LGE-KU Budgets'!$A$6:$Y$50,'LGE-KU Budgets'!Q$2,0)*1000</f>
        <v>313516.943831579</v>
      </c>
      <c r="V33" s="650">
        <f>VLOOKUP($A33,'LGE-KU Budgets'!$A$6:$Y$50,'LGE-KU Budgets'!R$2,0)*1000</f>
        <v>314781.99234652641</v>
      </c>
      <c r="W33" s="650">
        <f>VLOOKUP($A33,'LGE-KU Budgets'!$A$6:$Y$50,'LGE-KU Budgets'!S$2,0)*1000</f>
        <v>0</v>
      </c>
      <c r="X33" s="650">
        <f>VLOOKUP($A33,'LGE-KU Budgets'!$A$6:$Y$50,'LGE-KU Budgets'!T$2,0)*1000</f>
        <v>0</v>
      </c>
      <c r="Y33" s="650">
        <f>VLOOKUP($A33,'LGE-KU Budgets'!$A$6:$Y$50,'LGE-KU Budgets'!U$2,0)*1000</f>
        <v>0</v>
      </c>
      <c r="Z33" s="650">
        <f>VLOOKUP($A33,'LGE-KU Budgets'!$A$6:$Y$50,'LGE-KU Budgets'!V$2,0)*1000</f>
        <v>0</v>
      </c>
      <c r="AA33" s="650">
        <f>VLOOKUP($A33,'LGE-KU Budgets'!$A$6:$Y$50,'LGE-KU Budgets'!W$2,0)*1000</f>
        <v>0</v>
      </c>
      <c r="AB33" s="650">
        <f>VLOOKUP($A33,'LGE-KU Budgets'!$A$6:$Y$50,'LGE-KU Budgets'!X$2,0)*1000</f>
        <v>0</v>
      </c>
      <c r="AC33" s="650">
        <f>VLOOKUP($A33,'LGE-KU Budgets'!$A$6:$Y$50,'LGE-KU Budgets'!Y$2,0)*1000</f>
        <v>0</v>
      </c>
      <c r="AD33" s="572">
        <f ca="1">INDEX('Utility Portfolio Summary'!$F$259:$BY$273,MATCH('Program Summary'!$B33,'Utility Portfolio Summary'!$F$259:$F$273,FALSE),MATCH('Program Summary'!AD$25,'Utility Portfolio Summary'!$F$259:$BY$259,FALSE))</f>
        <v>109132.14681099761</v>
      </c>
      <c r="AE33" s="572">
        <f ca="1">INDEX('Utility Portfolio Summary'!$F$259:$BY$273,MATCH('Program Summary'!$B33,'Utility Portfolio Summary'!$F$259:$F$273,FALSE),MATCH('Program Summary'!AE$25,'Utility Portfolio Summary'!$F$259:$BY$259,FALSE))</f>
        <v>218264.29362199522</v>
      </c>
      <c r="AF33" s="572">
        <f ca="1">INDEX('Utility Portfolio Summary'!$F$259:$BY$273,MATCH('Program Summary'!$B33,'Utility Portfolio Summary'!$F$259:$F$273,FALSE),MATCH('Program Summary'!AF$25,'Utility Portfolio Summary'!$F$259:$BY$259,FALSE))</f>
        <v>218264.29362199522</v>
      </c>
      <c r="AG33" s="572">
        <f ca="1">INDEX('Utility Portfolio Summary'!$F$259:$BY$273,MATCH('Program Summary'!$B33,'Utility Portfolio Summary'!$F$259:$F$273,FALSE),MATCH('Program Summary'!AG$25,'Utility Portfolio Summary'!$F$259:$BY$259,FALSE))</f>
        <v>218264.29362199522</v>
      </c>
      <c r="AH33" s="572">
        <f ca="1">INDEX('Utility Portfolio Summary'!$F$259:$BY$273,MATCH('Program Summary'!$B33,'Utility Portfolio Summary'!$F$259:$F$273,FALSE),MATCH('Program Summary'!AH$25,'Utility Portfolio Summary'!$F$259:$BY$259,FALSE))</f>
        <v>218264.29362199522</v>
      </c>
      <c r="AI33" s="572">
        <f ca="1">INDEX('Utility Portfolio Summary'!$F$259:$BY$273,MATCH('Program Summary'!$B33,'Utility Portfolio Summary'!$F$259:$F$273,FALSE),MATCH('Program Summary'!AI$25,'Utility Portfolio Summary'!$F$259:$BY$259,FALSE))</f>
        <v>218264.29362199522</v>
      </c>
      <c r="AJ33" s="572">
        <f ca="1">INDEX('Utility Portfolio Summary'!$F$259:$BY$273,MATCH('Program Summary'!$B33,'Utility Portfolio Summary'!$F$259:$F$273,FALSE),MATCH('Program Summary'!AJ$25,'Utility Portfolio Summary'!$F$259:$BY$259,FALSE))</f>
        <v>218264.29362199522</v>
      </c>
      <c r="AK33" s="572">
        <f ca="1">INDEX('Utility Portfolio Summary'!$F$259:$BY$273,MATCH('Program Summary'!$B33,'Utility Portfolio Summary'!$F$259:$F$273,FALSE),MATCH('Program Summary'!AK$25,'Utility Portfolio Summary'!$F$259:$BY$259,FALSE))</f>
        <v>29.120330860792421</v>
      </c>
      <c r="AL33" s="572">
        <f ca="1">INDEX('Utility Portfolio Summary'!$F$259:$BY$273,MATCH('Program Summary'!$B33,'Utility Portfolio Summary'!$F$259:$F$273,FALSE),MATCH('Program Summary'!AL$25,'Utility Portfolio Summary'!$F$259:$BY$259,FALSE))</f>
        <v>58.240661721584843</v>
      </c>
      <c r="AM33" s="572">
        <f ca="1">INDEX('Utility Portfolio Summary'!$F$259:$BY$273,MATCH('Program Summary'!$B33,'Utility Portfolio Summary'!$F$259:$F$273,FALSE),MATCH('Program Summary'!AM$25,'Utility Portfolio Summary'!$F$259:$BY$259,FALSE))</f>
        <v>58.240661721584843</v>
      </c>
      <c r="AN33" s="572">
        <f ca="1">INDEX('Utility Portfolio Summary'!$F$259:$BY$273,MATCH('Program Summary'!$B33,'Utility Portfolio Summary'!$F$259:$F$273,FALSE),MATCH('Program Summary'!AN$25,'Utility Portfolio Summary'!$F$259:$BY$259,FALSE))</f>
        <v>58.240661721584843</v>
      </c>
      <c r="AO33" s="572">
        <f ca="1">INDEX('Utility Portfolio Summary'!$F$259:$BY$273,MATCH('Program Summary'!$B33,'Utility Portfolio Summary'!$F$259:$F$273,FALSE),MATCH('Program Summary'!AO$25,'Utility Portfolio Summary'!$F$259:$BY$259,FALSE))</f>
        <v>58.240661721584843</v>
      </c>
      <c r="AP33" s="572">
        <f ca="1">INDEX('Utility Portfolio Summary'!$F$259:$BY$273,MATCH('Program Summary'!$B33,'Utility Portfolio Summary'!$F$259:$F$273,FALSE),MATCH('Program Summary'!AP$25,'Utility Portfolio Summary'!$F$259:$BY$259,FALSE))</f>
        <v>58.240661721584843</v>
      </c>
      <c r="AQ33" s="572">
        <f ca="1">INDEX('Utility Portfolio Summary'!$F$259:$BY$273,MATCH('Program Summary'!$B33,'Utility Portfolio Summary'!$F$259:$F$273,FALSE),MATCH('Program Summary'!AQ$25,'Utility Portfolio Summary'!$F$259:$BY$259,FALSE))</f>
        <v>58.240661721584843</v>
      </c>
      <c r="AR33" s="572">
        <f ca="1">INDEX('Utility Portfolio Summary'!$F$259:$BY$273,MATCH('Program Summary'!$B33,'Utility Portfolio Summary'!$F$259:$F$273,FALSE),MATCH('Program Summary'!AR$25,'Utility Portfolio Summary'!$F$259:$BY$259,FALSE))</f>
        <v>0</v>
      </c>
      <c r="AS33" s="572">
        <f ca="1">INDEX('Utility Portfolio Summary'!$F$259:$BY$273,MATCH('Program Summary'!$B33,'Utility Portfolio Summary'!$F$259:$F$273,FALSE),MATCH('Program Summary'!AS$25,'Utility Portfolio Summary'!$F$259:$BY$259,FALSE))</f>
        <v>0</v>
      </c>
      <c r="AT33" s="572">
        <f ca="1">INDEX('Utility Portfolio Summary'!$F$259:$BY$273,MATCH('Program Summary'!$B33,'Utility Portfolio Summary'!$F$259:$F$273,FALSE),MATCH('Program Summary'!AT$25,'Utility Portfolio Summary'!$F$259:$BY$259,FALSE))</f>
        <v>0</v>
      </c>
      <c r="AU33" s="572">
        <f ca="1">INDEX('Utility Portfolio Summary'!$F$259:$BY$273,MATCH('Program Summary'!$B33,'Utility Portfolio Summary'!$F$259:$F$273,FALSE),MATCH('Program Summary'!AU$25,'Utility Portfolio Summary'!$F$259:$BY$259,FALSE))</f>
        <v>0</v>
      </c>
      <c r="AV33" s="572">
        <f ca="1">INDEX('Utility Portfolio Summary'!$F$259:$BY$273,MATCH('Program Summary'!$B33,'Utility Portfolio Summary'!$F$259:$F$273,FALSE),MATCH('Program Summary'!AV$25,'Utility Portfolio Summary'!$F$259:$BY$259,FALSE))</f>
        <v>0</v>
      </c>
      <c r="AW33" s="572">
        <f ca="1">INDEX('Utility Portfolio Summary'!$F$259:$BY$273,MATCH('Program Summary'!$B33,'Utility Portfolio Summary'!$F$259:$F$273,FALSE),MATCH('Program Summary'!AW$25,'Utility Portfolio Summary'!$F$259:$BY$259,FALSE))</f>
        <v>0</v>
      </c>
      <c r="AX33" s="572">
        <f ca="1">INDEX('Utility Portfolio Summary'!$F$259:$BY$273,MATCH('Program Summary'!$B33,'Utility Portfolio Summary'!$F$259:$F$273,FALSE),MATCH('Program Summary'!AX$25,'Utility Portfolio Summary'!$F$259:$BY$259,FALSE))</f>
        <v>0</v>
      </c>
      <c r="AY33" s="2"/>
      <c r="AZ33" s="2"/>
      <c r="BA33" s="2"/>
      <c r="BB33" s="2"/>
      <c r="BC33" s="2"/>
      <c r="BD33" s="2"/>
      <c r="BE33" s="2"/>
      <c r="BF33" s="2"/>
    </row>
    <row r="34" spans="1:58">
      <c r="A34" s="527" t="str">
        <f t="shared" si="11"/>
        <v>Residential Demand ConservationKU</v>
      </c>
      <c r="B34" s="649" t="s">
        <v>4</v>
      </c>
      <c r="C34" s="572">
        <f ca="1">MAX(I34:O34)</f>
        <v>88530</v>
      </c>
      <c r="D34" s="650">
        <f t="shared" si="13"/>
        <v>4106432.7678695587</v>
      </c>
      <c r="E34" s="650">
        <f t="shared" si="14"/>
        <v>19714002.123614594</v>
      </c>
      <c r="F34" s="572">
        <f t="shared" ca="1" si="15"/>
        <v>0</v>
      </c>
      <c r="G34" s="572">
        <f t="shared" ca="1" si="10"/>
        <v>62067.5</v>
      </c>
      <c r="H34" s="572">
        <f t="shared" ca="1" si="16"/>
        <v>0</v>
      </c>
      <c r="I34" s="572">
        <f ca="1">INDEX('Utility Portfolio Summary'!$F$259:$BY$273,MATCH('Program Summary'!$B34,'Utility Portfolio Summary'!$F$259:$F$273,FALSE),MATCH('Program Summary'!I$25,'Utility Portfolio Summary'!$F$259:$BY$259,FALSE))</f>
        <v>88530</v>
      </c>
      <c r="J34" s="572">
        <f ca="1">INDEX('Utility Portfolio Summary'!$F$259:$BY$273,MATCH('Program Summary'!$B34,'Utility Portfolio Summary'!$F$259:$F$273,FALSE),MATCH('Program Summary'!J$25,'Utility Portfolio Summary'!$F$259:$BY$259,FALSE))</f>
        <v>79614</v>
      </c>
      <c r="K34" s="572">
        <f ca="1">INDEX('Utility Portfolio Summary'!$F$259:$BY$273,MATCH('Program Summary'!$B34,'Utility Portfolio Summary'!$F$259:$F$273,FALSE),MATCH('Program Summary'!K$25,'Utility Portfolio Summary'!$F$259:$BY$259,FALSE))</f>
        <v>71500</v>
      </c>
      <c r="L34" s="572">
        <f ca="1">INDEX('Utility Portfolio Summary'!$F$259:$BY$273,MATCH('Program Summary'!$B34,'Utility Portfolio Summary'!$F$259:$F$273,FALSE),MATCH('Program Summary'!L$25,'Utility Portfolio Summary'!$F$259:$BY$259,FALSE))</f>
        <v>64200</v>
      </c>
      <c r="M34" s="572">
        <f ca="1">INDEX('Utility Portfolio Summary'!$F$259:$BY$273,MATCH('Program Summary'!$B34,'Utility Portfolio Summary'!$F$259:$F$273,FALSE),MATCH('Program Summary'!M$25,'Utility Portfolio Summary'!$F$259:$BY$259,FALSE))</f>
        <v>57650</v>
      </c>
      <c r="N34" s="572">
        <f ca="1">INDEX('Utility Portfolio Summary'!$F$259:$BY$273,MATCH('Program Summary'!$B34,'Utility Portfolio Summary'!$F$259:$F$273,FALSE),MATCH('Program Summary'!N$25,'Utility Portfolio Summary'!$F$259:$BY$259,FALSE))</f>
        <v>51800</v>
      </c>
      <c r="O34" s="572">
        <f ca="1">INDEX('Utility Portfolio Summary'!$F$259:$BY$273,MATCH('Program Summary'!$B34,'Utility Portfolio Summary'!$F$259:$F$273,FALSE),MATCH('Program Summary'!O$25,'Utility Portfolio Summary'!$F$259:$BY$259,FALSE))</f>
        <v>46550</v>
      </c>
      <c r="P34" s="650">
        <f>VLOOKUP($A34,'LGE-KU Budgets'!$A$6:$Y$50,'LGE-KU Budgets'!L$2,0)*1000</f>
        <v>569614.71937135688</v>
      </c>
      <c r="Q34" s="650">
        <f>VLOOKUP($A34,'LGE-KU Budgets'!$A$6:$Y$50,'LGE-KU Budgets'!M$2,0)*1000</f>
        <v>646613.16095249751</v>
      </c>
      <c r="R34" s="650">
        <f>VLOOKUP($A34,'LGE-KU Budgets'!$A$6:$Y$50,'LGE-KU Budgets'!N$2,0)*1000</f>
        <v>573671.55578107247</v>
      </c>
      <c r="S34" s="650">
        <f>VLOOKUP($A34,'LGE-KU Budgets'!$A$6:$Y$50,'LGE-KU Budgets'!O$2,0)*1000</f>
        <v>575791.70245450467</v>
      </c>
      <c r="T34" s="650">
        <f>VLOOKUP($A34,'LGE-KU Budgets'!$A$6:$Y$50,'LGE-KU Budgets'!P$2,0)*1000</f>
        <v>577975.45352813986</v>
      </c>
      <c r="U34" s="650">
        <f>VLOOKUP($A34,'LGE-KU Budgets'!$A$6:$Y$50,'LGE-KU Budgets'!Q$2,0)*1000</f>
        <v>580224.71713398397</v>
      </c>
      <c r="V34" s="650">
        <f>VLOOKUP($A34,'LGE-KU Budgets'!$A$6:$Y$50,'LGE-KU Budgets'!R$2,0)*1000</f>
        <v>582541.45864800352</v>
      </c>
      <c r="W34" s="650">
        <f>VLOOKUP($A34,'LGE-KU Budgets'!$A$6:$Y$50,'LGE-KU Budgets'!S$2,0)*1000</f>
        <v>1167742.545101529</v>
      </c>
      <c r="X34" s="650">
        <f>VLOOKUP($A34,'LGE-KU Budgets'!$A$6:$Y$50,'LGE-KU Budgets'!T$2,0)*1000</f>
        <v>1049024.3507806812</v>
      </c>
      <c r="Y34" s="650">
        <f>VLOOKUP($A34,'LGE-KU Budgets'!$A$6:$Y$50,'LGE-KU Budgets'!U$2,0)*1000</f>
        <v>938106.15645983338</v>
      </c>
      <c r="Z34" s="650">
        <f>VLOOKUP($A34,'LGE-KU Budgets'!$A$6:$Y$50,'LGE-KU Budgets'!V$2,0)*1000</f>
        <v>1715837.9621389855</v>
      </c>
      <c r="AA34" s="650">
        <f>VLOOKUP($A34,'LGE-KU Budgets'!$A$6:$Y$50,'LGE-KU Budgets'!W$2,0)*1000</f>
        <v>5484109.1659250874</v>
      </c>
      <c r="AB34" s="650">
        <f>VLOOKUP($A34,'LGE-KU Budgets'!$A$6:$Y$50,'LGE-KU Budgets'!X$2,0)*1000</f>
        <v>4928430.3697111886</v>
      </c>
      <c r="AC34" s="650">
        <f>VLOOKUP($A34,'LGE-KU Budgets'!$A$6:$Y$50,'LGE-KU Budgets'!Y$2,0)*1000</f>
        <v>4430751.5734972898</v>
      </c>
      <c r="AD34" s="572">
        <f ca="1">INDEX('Utility Portfolio Summary'!$F$259:$BY$273,MATCH('Program Summary'!$B34,'Utility Portfolio Summary'!$F$259:$F$273,FALSE),MATCH('Program Summary'!AD$25,'Utility Portfolio Summary'!$F$259:$BY$259,FALSE))</f>
        <v>0</v>
      </c>
      <c r="AE34" s="572">
        <f ca="1">INDEX('Utility Portfolio Summary'!$F$259:$BY$273,MATCH('Program Summary'!$B34,'Utility Portfolio Summary'!$F$259:$F$273,FALSE),MATCH('Program Summary'!AE$25,'Utility Portfolio Summary'!$F$259:$BY$259,FALSE))</f>
        <v>0</v>
      </c>
      <c r="AF34" s="572">
        <f ca="1">INDEX('Utility Portfolio Summary'!$F$259:$BY$273,MATCH('Program Summary'!$B34,'Utility Portfolio Summary'!$F$259:$F$273,FALSE),MATCH('Program Summary'!AF$25,'Utility Portfolio Summary'!$F$259:$BY$259,FALSE))</f>
        <v>0</v>
      </c>
      <c r="AG34" s="572">
        <f ca="1">INDEX('Utility Portfolio Summary'!$F$259:$BY$273,MATCH('Program Summary'!$B34,'Utility Portfolio Summary'!$F$259:$F$273,FALSE),MATCH('Program Summary'!AG$25,'Utility Portfolio Summary'!$F$259:$BY$259,FALSE))</f>
        <v>0</v>
      </c>
      <c r="AH34" s="572">
        <f ca="1">INDEX('Utility Portfolio Summary'!$F$259:$BY$273,MATCH('Program Summary'!$B34,'Utility Portfolio Summary'!$F$259:$F$273,FALSE),MATCH('Program Summary'!AH$25,'Utility Portfolio Summary'!$F$259:$BY$259,FALSE))</f>
        <v>0</v>
      </c>
      <c r="AI34" s="572">
        <f ca="1">INDEX('Utility Portfolio Summary'!$F$259:$BY$273,MATCH('Program Summary'!$B34,'Utility Portfolio Summary'!$F$259:$F$273,FALSE),MATCH('Program Summary'!AI$25,'Utility Portfolio Summary'!$F$259:$BY$259,FALSE))</f>
        <v>0</v>
      </c>
      <c r="AJ34" s="572">
        <f ca="1">INDEX('Utility Portfolio Summary'!$F$259:$BY$273,MATCH('Program Summary'!$B34,'Utility Portfolio Summary'!$F$259:$F$273,FALSE),MATCH('Program Summary'!AJ$25,'Utility Portfolio Summary'!$F$259:$BY$259,FALSE))</f>
        <v>0</v>
      </c>
      <c r="AK34" s="572">
        <f ca="1">INDEX('Utility Portfolio Summary'!$F$259:$BY$273,MATCH('Program Summary'!$B34,'Utility Portfolio Summary'!$F$259:$F$273,FALSE),MATCH('Program Summary'!AK$25,'Utility Portfolio Summary'!$F$259:$BY$259,FALSE))</f>
        <v>62067.5</v>
      </c>
      <c r="AL34" s="572">
        <f ca="1">INDEX('Utility Portfolio Summary'!$F$259:$BY$273,MATCH('Program Summary'!$B34,'Utility Portfolio Summary'!$F$259:$F$273,FALSE),MATCH('Program Summary'!AL$25,'Utility Portfolio Summary'!$F$259:$BY$259,FALSE))</f>
        <v>55817.599999999999</v>
      </c>
      <c r="AM34" s="572">
        <f ca="1">INDEX('Utility Portfolio Summary'!$F$259:$BY$273,MATCH('Program Summary'!$B34,'Utility Portfolio Summary'!$F$259:$F$273,FALSE),MATCH('Program Summary'!AM$25,'Utility Portfolio Summary'!$F$259:$BY$259,FALSE))</f>
        <v>50128.5</v>
      </c>
      <c r="AN34" s="572">
        <f ca="1">INDEX('Utility Portfolio Summary'!$F$259:$BY$273,MATCH('Program Summary'!$B34,'Utility Portfolio Summary'!$F$259:$F$273,FALSE),MATCH('Program Summary'!AN$25,'Utility Portfolio Summary'!$F$259:$BY$259,FALSE))</f>
        <v>45005</v>
      </c>
      <c r="AO34" s="572">
        <f ca="1">INDEX('Utility Portfolio Summary'!$F$259:$BY$273,MATCH('Program Summary'!$B34,'Utility Portfolio Summary'!$F$259:$F$273,FALSE),MATCH('Program Summary'!AO$25,'Utility Portfolio Summary'!$F$259:$BY$259,FALSE))</f>
        <v>40436</v>
      </c>
      <c r="AP34" s="572">
        <f ca="1">INDEX('Utility Portfolio Summary'!$F$259:$BY$273,MATCH('Program Summary'!$B34,'Utility Portfolio Summary'!$F$259:$F$273,FALSE),MATCH('Program Summary'!AP$25,'Utility Portfolio Summary'!$F$259:$BY$259,FALSE))</f>
        <v>36327</v>
      </c>
      <c r="AQ34" s="572">
        <f ca="1">INDEX('Utility Portfolio Summary'!$F$259:$BY$273,MATCH('Program Summary'!$B34,'Utility Portfolio Summary'!$F$259:$F$273,FALSE),MATCH('Program Summary'!AQ$25,'Utility Portfolio Summary'!$F$259:$BY$259,FALSE))</f>
        <v>32638</v>
      </c>
      <c r="AR34" s="572">
        <f ca="1">INDEX('Utility Portfolio Summary'!$F$259:$BY$273,MATCH('Program Summary'!$B34,'Utility Portfolio Summary'!$F$259:$F$273,FALSE),MATCH('Program Summary'!AR$25,'Utility Portfolio Summary'!$F$259:$BY$259,FALSE))</f>
        <v>0</v>
      </c>
      <c r="AS34" s="572">
        <f ca="1">INDEX('Utility Portfolio Summary'!$F$259:$BY$273,MATCH('Program Summary'!$B34,'Utility Portfolio Summary'!$F$259:$F$273,FALSE),MATCH('Program Summary'!AS$25,'Utility Portfolio Summary'!$F$259:$BY$259,FALSE))</f>
        <v>0</v>
      </c>
      <c r="AT34" s="572">
        <f ca="1">INDEX('Utility Portfolio Summary'!$F$259:$BY$273,MATCH('Program Summary'!$B34,'Utility Portfolio Summary'!$F$259:$F$273,FALSE),MATCH('Program Summary'!AT$25,'Utility Portfolio Summary'!$F$259:$BY$259,FALSE))</f>
        <v>0</v>
      </c>
      <c r="AU34" s="572">
        <f ca="1">INDEX('Utility Portfolio Summary'!$F$259:$BY$273,MATCH('Program Summary'!$B34,'Utility Portfolio Summary'!$F$259:$F$273,FALSE),MATCH('Program Summary'!AU$25,'Utility Portfolio Summary'!$F$259:$BY$259,FALSE))</f>
        <v>0</v>
      </c>
      <c r="AV34" s="572">
        <f ca="1">INDEX('Utility Portfolio Summary'!$F$259:$BY$273,MATCH('Program Summary'!$B34,'Utility Portfolio Summary'!$F$259:$F$273,FALSE),MATCH('Program Summary'!AV$25,'Utility Portfolio Summary'!$F$259:$BY$259,FALSE))</f>
        <v>0</v>
      </c>
      <c r="AW34" s="572">
        <f ca="1">INDEX('Utility Portfolio Summary'!$F$259:$BY$273,MATCH('Program Summary'!$B34,'Utility Portfolio Summary'!$F$259:$F$273,FALSE),MATCH('Program Summary'!AW$25,'Utility Portfolio Summary'!$F$259:$BY$259,FALSE))</f>
        <v>0</v>
      </c>
      <c r="AX34" s="572">
        <f ca="1">INDEX('Utility Portfolio Summary'!$F$259:$BY$273,MATCH('Program Summary'!$B34,'Utility Portfolio Summary'!$F$259:$F$273,FALSE),MATCH('Program Summary'!AX$25,'Utility Portfolio Summary'!$F$259:$BY$259,FALSE))</f>
        <v>0</v>
      </c>
      <c r="AY34" s="2"/>
      <c r="AZ34" s="2"/>
      <c r="BA34" s="2"/>
      <c r="BB34" s="2"/>
      <c r="BC34" s="2"/>
      <c r="BD34" s="2"/>
      <c r="BE34" s="2"/>
      <c r="BF34" s="2"/>
    </row>
    <row r="35" spans="1:58">
      <c r="A35" s="527" t="str">
        <f t="shared" si="11"/>
        <v>Large Nonres Demand Con.KU</v>
      </c>
      <c r="B35" s="649" t="s">
        <v>65</v>
      </c>
      <c r="C35" s="572">
        <f ca="1">MAX(I35:O35)</f>
        <v>289.1696272259137</v>
      </c>
      <c r="D35" s="650">
        <f t="shared" si="13"/>
        <v>4625757.4282525191</v>
      </c>
      <c r="E35" s="650">
        <f t="shared" si="14"/>
        <v>14634481.567640033</v>
      </c>
      <c r="F35" s="572">
        <f t="shared" ca="1" si="15"/>
        <v>1939459.7206274774</v>
      </c>
      <c r="G35" s="572">
        <f t="shared" ca="1" si="10"/>
        <v>39343.88149035367</v>
      </c>
      <c r="H35" s="572">
        <f t="shared" ca="1" si="16"/>
        <v>0</v>
      </c>
      <c r="I35" s="572">
        <f ca="1">INDEX('Utility Portfolio Summary'!$F$259:$BY$273,MATCH('Program Summary'!$B35,'Utility Portfolio Summary'!$F$259:$F$273,FALSE),MATCH('Program Summary'!I$25,'Utility Portfolio Summary'!$F$259:$BY$259,FALSE))</f>
        <v>106.43257950281924</v>
      </c>
      <c r="J35" s="572">
        <f ca="1">INDEX('Utility Portfolio Summary'!$F$259:$BY$273,MATCH('Program Summary'!$B35,'Utility Portfolio Summary'!$F$259:$F$273,FALSE),MATCH('Program Summary'!J$25,'Utility Portfolio Summary'!$F$259:$BY$259,FALSE))</f>
        <v>133.57184207121639</v>
      </c>
      <c r="K35" s="572">
        <f ca="1">INDEX('Utility Portfolio Summary'!$F$259:$BY$273,MATCH('Program Summary'!$B35,'Utility Portfolio Summary'!$F$259:$F$273,FALSE),MATCH('Program Summary'!K$25,'Utility Portfolio Summary'!$F$259:$BY$259,FALSE))</f>
        <v>164.30090450104825</v>
      </c>
      <c r="L35" s="572">
        <f ca="1">INDEX('Utility Portfolio Summary'!$F$259:$BY$273,MATCH('Program Summary'!$B35,'Utility Portfolio Summary'!$F$259:$F$273,FALSE),MATCH('Program Summary'!L$25,'Utility Portfolio Summary'!$F$259:$BY$259,FALSE))</f>
        <v>204.80311335695447</v>
      </c>
      <c r="M35" s="572">
        <f ca="1">INDEX('Utility Portfolio Summary'!$F$259:$BY$273,MATCH('Program Summary'!$B35,'Utility Portfolio Summary'!$F$259:$F$273,FALSE),MATCH('Program Summary'!M$25,'Utility Portfolio Summary'!$F$259:$BY$259,FALSE))</f>
        <v>246.692311035421</v>
      </c>
      <c r="N35" s="572">
        <f ca="1">INDEX('Utility Portfolio Summary'!$F$259:$BY$273,MATCH('Program Summary'!$B35,'Utility Portfolio Summary'!$F$259:$F$273,FALSE),MATCH('Program Summary'!N$25,'Utility Portfolio Summary'!$F$259:$BY$259,FALSE))</f>
        <v>289.1696272259137</v>
      </c>
      <c r="O35" s="572">
        <f ca="1">INDEX('Utility Portfolio Summary'!$F$259:$BY$273,MATCH('Program Summary'!$B35,'Utility Portfolio Summary'!$F$259:$F$273,FALSE),MATCH('Program Summary'!O$25,'Utility Portfolio Summary'!$F$259:$BY$259,FALSE))</f>
        <v>289.1696272259137</v>
      </c>
      <c r="P35" s="650">
        <f>VLOOKUP($A35,'LGE-KU Budgets'!$A$6:$Y$50,'LGE-KU Budgets'!L$2,0)*1000</f>
        <v>648316.13477687328</v>
      </c>
      <c r="Q35" s="650">
        <f>VLOOKUP($A35,'LGE-KU Budgets'!$A$6:$Y$50,'LGE-KU Budgets'!M$2,0)*1000</f>
        <v>703744.14722264616</v>
      </c>
      <c r="R35" s="650">
        <f>VLOOKUP($A35,'LGE-KU Budgets'!$A$6:$Y$50,'LGE-KU Budgets'!N$2,0)*1000</f>
        <v>648644.58156123944</v>
      </c>
      <c r="S35" s="650">
        <f>VLOOKUP($A35,'LGE-KU Budgets'!$A$6:$Y$50,'LGE-KU Budgets'!O$2,0)*1000</f>
        <v>699520.29177397361</v>
      </c>
      <c r="T35" s="650">
        <f>VLOOKUP($A35,'LGE-KU Budgets'!$A$6:$Y$50,'LGE-KU Budgets'!P$2,0)*1000</f>
        <v>708525.51331160846</v>
      </c>
      <c r="U35" s="650">
        <f>VLOOKUP($A35,'LGE-KU Budgets'!$A$6:$Y$50,'LGE-KU Budgets'!Q$2,0)*1000</f>
        <v>713598.49161931768</v>
      </c>
      <c r="V35" s="650">
        <f>VLOOKUP($A35,'LGE-KU Budgets'!$A$6:$Y$50,'LGE-KU Budgets'!R$2,0)*1000</f>
        <v>503408.26798685972</v>
      </c>
      <c r="W35" s="650">
        <f>VLOOKUP($A35,'LGE-KU Budgets'!$A$6:$Y$50,'LGE-KU Budgets'!S$2,0)*1000</f>
        <v>1086076.406478914</v>
      </c>
      <c r="X35" s="650">
        <f>VLOOKUP($A35,'LGE-KU Budgets'!$A$6:$Y$50,'LGE-KU Budgets'!T$2,0)*1000</f>
        <v>1363015.2244842758</v>
      </c>
      <c r="Y35" s="650">
        <f>VLOOKUP($A35,'LGE-KU Budgets'!$A$6:$Y$50,'LGE-KU Budgets'!U$2,0)*1000</f>
        <v>1676585.6542733419</v>
      </c>
      <c r="Z35" s="650">
        <f>VLOOKUP($A35,'LGE-KU Budgets'!$A$6:$Y$50,'LGE-KU Budgets'!V$2,0)*1000</f>
        <v>2089884.7930724337</v>
      </c>
      <c r="AA35" s="650">
        <f>VLOOKUP($A35,'LGE-KU Budgets'!$A$6:$Y$50,'LGE-KU Budgets'!W$2,0)*1000</f>
        <v>2517337.2657780182</v>
      </c>
      <c r="AB35" s="650">
        <f>VLOOKUP($A35,'LGE-KU Budgets'!$A$6:$Y$50,'LGE-KU Budgets'!X$2,0)*1000</f>
        <v>2950791.1117765256</v>
      </c>
      <c r="AC35" s="650">
        <f>VLOOKUP($A35,'LGE-KU Budgets'!$A$6:$Y$50,'LGE-KU Budgets'!Y$2,0)*1000</f>
        <v>2950791.1117765256</v>
      </c>
      <c r="AD35" s="572">
        <f ca="1">INDEX('Utility Portfolio Summary'!$F$259:$BY$273,MATCH('Program Summary'!$B35,'Utility Portfolio Summary'!$F$259:$F$273,FALSE),MATCH('Program Summary'!AD$25,'Utility Portfolio Summary'!$F$259:$BY$259,FALSE))</f>
        <v>143934.13488233107</v>
      </c>
      <c r="AE35" s="572">
        <f ca="1">INDEX('Utility Portfolio Summary'!$F$259:$BY$273,MATCH('Program Summary'!$B35,'Utility Portfolio Summary'!$F$259:$F$273,FALSE),MATCH('Program Summary'!AE$25,'Utility Portfolio Summary'!$F$259:$BY$259,FALSE))</f>
        <v>180635.92579423136</v>
      </c>
      <c r="AF35" s="572">
        <f ca="1">INDEX('Utility Portfolio Summary'!$F$259:$BY$273,MATCH('Program Summary'!$B35,'Utility Portfolio Summary'!$F$259:$F$273,FALSE),MATCH('Program Summary'!AF$25,'Utility Portfolio Summary'!$F$259:$BY$259,FALSE))</f>
        <v>222192.38376268477</v>
      </c>
      <c r="AG35" s="572">
        <f ca="1">INDEX('Utility Portfolio Summary'!$F$259:$BY$273,MATCH('Program Summary'!$B35,'Utility Portfolio Summary'!$F$259:$F$273,FALSE),MATCH('Program Summary'!AG$25,'Utility Portfolio Summary'!$F$259:$BY$259,FALSE))</f>
        <v>276965.5596053687</v>
      </c>
      <c r="AH35" s="572">
        <f ca="1">INDEX('Utility Portfolio Summary'!$F$259:$BY$273,MATCH('Program Summary'!$B35,'Utility Portfolio Summary'!$F$259:$F$273,FALSE),MATCH('Program Summary'!AH$25,'Utility Portfolio Summary'!$F$259:$BY$259,FALSE))</f>
        <v>333614.43025127205</v>
      </c>
      <c r="AI35" s="572">
        <f ca="1">INDEX('Utility Portfolio Summary'!$F$259:$BY$273,MATCH('Program Summary'!$B35,'Utility Portfolio Summary'!$F$259:$F$273,FALSE),MATCH('Program Summary'!AI$25,'Utility Portfolio Summary'!$F$259:$BY$259,FALSE))</f>
        <v>391058.64316579455</v>
      </c>
      <c r="AJ35" s="572">
        <f ca="1">INDEX('Utility Portfolio Summary'!$F$259:$BY$273,MATCH('Program Summary'!$B35,'Utility Portfolio Summary'!$F$259:$F$273,FALSE),MATCH('Program Summary'!AJ$25,'Utility Portfolio Summary'!$F$259:$BY$259,FALSE))</f>
        <v>391058.64316579455</v>
      </c>
      <c r="AK35" s="572">
        <f ca="1">INDEX('Utility Portfolio Summary'!$F$259:$BY$273,MATCH('Program Summary'!$B35,'Utility Portfolio Summary'!$F$259:$F$273,FALSE),MATCH('Program Summary'!AK$25,'Utility Portfolio Summary'!$F$259:$BY$259,FALSE))</f>
        <v>14481.018753052183</v>
      </c>
      <c r="AL35" s="572">
        <f ca="1">INDEX('Utility Portfolio Summary'!$F$259:$BY$273,MATCH('Program Summary'!$B35,'Utility Portfolio Summary'!$F$259:$F$273,FALSE),MATCH('Program Summary'!AL$25,'Utility Portfolio Summary'!$F$259:$BY$259,FALSE))</f>
        <v>18173.536326457011</v>
      </c>
      <c r="AM35" s="572">
        <f ca="1">INDEX('Utility Portfolio Summary'!$F$259:$BY$273,MATCH('Program Summary'!$B35,'Utility Portfolio Summary'!$F$259:$F$273,FALSE),MATCH('Program Summary'!AM$25,'Utility Portfolio Summary'!$F$259:$BY$259,FALSE))</f>
        <v>22354.475390311225</v>
      </c>
      <c r="AN35" s="572">
        <f ca="1">INDEX('Utility Portfolio Summary'!$F$259:$BY$273,MATCH('Program Summary'!$B35,'Utility Portfolio Summary'!$F$259:$F$273,FALSE),MATCH('Program Summary'!AN$25,'Utility Portfolio Summary'!$F$259:$BY$259,FALSE))</f>
        <v>27865.130574299117</v>
      </c>
      <c r="AO35" s="572">
        <f ca="1">INDEX('Utility Portfolio Summary'!$F$259:$BY$273,MATCH('Program Summary'!$B35,'Utility Portfolio Summary'!$F$259:$F$273,FALSE),MATCH('Program Summary'!AO$25,'Utility Portfolio Summary'!$F$259:$BY$259,FALSE))</f>
        <v>33564.496877040241</v>
      </c>
      <c r="AP35" s="572">
        <f ca="1">INDEX('Utility Portfolio Summary'!$F$259:$BY$273,MATCH('Program Summary'!$B35,'Utility Portfolio Summary'!$F$259:$F$273,FALSE),MATCH('Program Summary'!AP$25,'Utility Portfolio Summary'!$F$259:$BY$259,FALSE))</f>
        <v>39343.88149035367</v>
      </c>
      <c r="AQ35" s="572">
        <f ca="1">INDEX('Utility Portfolio Summary'!$F$259:$BY$273,MATCH('Program Summary'!$B35,'Utility Portfolio Summary'!$F$259:$F$273,FALSE),MATCH('Program Summary'!AQ$25,'Utility Portfolio Summary'!$F$259:$BY$259,FALSE))</f>
        <v>39343.88149035367</v>
      </c>
      <c r="AR35" s="572">
        <f ca="1">INDEX('Utility Portfolio Summary'!$F$259:$BY$273,MATCH('Program Summary'!$B35,'Utility Portfolio Summary'!$F$259:$F$273,FALSE),MATCH('Program Summary'!AR$25,'Utility Portfolio Summary'!$F$259:$BY$259,FALSE))</f>
        <v>0</v>
      </c>
      <c r="AS35" s="572">
        <f ca="1">INDEX('Utility Portfolio Summary'!$F$259:$BY$273,MATCH('Program Summary'!$B35,'Utility Portfolio Summary'!$F$259:$F$273,FALSE),MATCH('Program Summary'!AS$25,'Utility Portfolio Summary'!$F$259:$BY$259,FALSE))</f>
        <v>0</v>
      </c>
      <c r="AT35" s="572">
        <f ca="1">INDEX('Utility Portfolio Summary'!$F$259:$BY$273,MATCH('Program Summary'!$B35,'Utility Portfolio Summary'!$F$259:$F$273,FALSE),MATCH('Program Summary'!AT$25,'Utility Portfolio Summary'!$F$259:$BY$259,FALSE))</f>
        <v>0</v>
      </c>
      <c r="AU35" s="572">
        <f ca="1">INDEX('Utility Portfolio Summary'!$F$259:$BY$273,MATCH('Program Summary'!$B35,'Utility Portfolio Summary'!$F$259:$F$273,FALSE),MATCH('Program Summary'!AU$25,'Utility Portfolio Summary'!$F$259:$BY$259,FALSE))</f>
        <v>0</v>
      </c>
      <c r="AV35" s="572">
        <f ca="1">INDEX('Utility Portfolio Summary'!$F$259:$BY$273,MATCH('Program Summary'!$B35,'Utility Portfolio Summary'!$F$259:$F$273,FALSE),MATCH('Program Summary'!AV$25,'Utility Portfolio Summary'!$F$259:$BY$259,FALSE))</f>
        <v>0</v>
      </c>
      <c r="AW35" s="572">
        <f ca="1">INDEX('Utility Portfolio Summary'!$F$259:$BY$273,MATCH('Program Summary'!$B35,'Utility Portfolio Summary'!$F$259:$F$273,FALSE),MATCH('Program Summary'!AW$25,'Utility Portfolio Summary'!$F$259:$BY$259,FALSE))</f>
        <v>0</v>
      </c>
      <c r="AX35" s="572">
        <f ca="1">INDEX('Utility Portfolio Summary'!$F$259:$BY$273,MATCH('Program Summary'!$B35,'Utility Portfolio Summary'!$F$259:$F$273,FALSE),MATCH('Program Summary'!AX$25,'Utility Portfolio Summary'!$F$259:$BY$259,FALSE))</f>
        <v>0</v>
      </c>
      <c r="AY35" s="2"/>
      <c r="AZ35" s="2"/>
      <c r="BA35" s="2"/>
      <c r="BB35" s="2"/>
      <c r="BC35" s="2"/>
      <c r="BD35" s="2"/>
      <c r="BE35" s="2"/>
      <c r="BF35" s="2"/>
    </row>
    <row r="36" spans="1:58">
      <c r="A36" s="527" t="str">
        <f t="shared" si="11"/>
        <v>Peak Time RebateKU</v>
      </c>
      <c r="B36" s="649" t="s">
        <v>66</v>
      </c>
      <c r="C36" s="572">
        <f ca="1">MAX(I36:O36)</f>
        <v>92500</v>
      </c>
      <c r="D36" s="650">
        <f t="shared" si="13"/>
        <v>2982883.5500429305</v>
      </c>
      <c r="E36" s="650">
        <f t="shared" si="14"/>
        <v>17798012.769352939</v>
      </c>
      <c r="F36" s="572">
        <f t="shared" ca="1" si="15"/>
        <v>0</v>
      </c>
      <c r="G36" s="572">
        <f t="shared" ca="1" si="10"/>
        <v>15400.575728156675</v>
      </c>
      <c r="H36" s="572">
        <f t="shared" ca="1" si="16"/>
        <v>0</v>
      </c>
      <c r="I36" s="572">
        <f ca="1">INDEX('Utility Portfolio Summary'!$F$259:$BY$273,MATCH('Program Summary'!$B36,'Utility Portfolio Summary'!$F$259:$F$273,FALSE),MATCH('Program Summary'!I$25,'Utility Portfolio Summary'!$F$259:$BY$259,FALSE))</f>
        <v>0</v>
      </c>
      <c r="J36" s="572">
        <f ca="1">INDEX('Utility Portfolio Summary'!$F$259:$BY$273,MATCH('Program Summary'!$B36,'Utility Portfolio Summary'!$F$259:$F$273,FALSE),MATCH('Program Summary'!J$25,'Utility Portfolio Summary'!$F$259:$BY$259,FALSE))</f>
        <v>13000</v>
      </c>
      <c r="K36" s="572">
        <f ca="1">INDEX('Utility Portfolio Summary'!$F$259:$BY$273,MATCH('Program Summary'!$B36,'Utility Portfolio Summary'!$F$259:$F$273,FALSE),MATCH('Program Summary'!K$25,'Utility Portfolio Summary'!$F$259:$BY$259,FALSE))</f>
        <v>26000</v>
      </c>
      <c r="L36" s="572">
        <f ca="1">INDEX('Utility Portfolio Summary'!$F$259:$BY$273,MATCH('Program Summary'!$B36,'Utility Portfolio Summary'!$F$259:$F$273,FALSE),MATCH('Program Summary'!L$25,'Utility Portfolio Summary'!$F$259:$BY$259,FALSE))</f>
        <v>52000</v>
      </c>
      <c r="M36" s="572">
        <f ca="1">INDEX('Utility Portfolio Summary'!$F$259:$BY$273,MATCH('Program Summary'!$B36,'Utility Portfolio Summary'!$F$259:$F$273,FALSE),MATCH('Program Summary'!M$25,'Utility Portfolio Summary'!$F$259:$BY$259,FALSE))</f>
        <v>92500</v>
      </c>
      <c r="N36" s="572">
        <f ca="1">INDEX('Utility Portfolio Summary'!$F$259:$BY$273,MATCH('Program Summary'!$B36,'Utility Portfolio Summary'!$F$259:$F$273,FALSE),MATCH('Program Summary'!N$25,'Utility Portfolio Summary'!$F$259:$BY$259,FALSE))</f>
        <v>92500</v>
      </c>
      <c r="O36" s="572">
        <f ca="1">INDEX('Utility Portfolio Summary'!$F$259:$BY$273,MATCH('Program Summary'!$B36,'Utility Portfolio Summary'!$F$259:$F$273,FALSE),MATCH('Program Summary'!O$25,'Utility Portfolio Summary'!$F$259:$BY$259,FALSE))</f>
        <v>92500</v>
      </c>
      <c r="P36" s="650">
        <f>VLOOKUP($A36,'LGE-KU Budgets'!$A$6:$Y$50,'LGE-KU Budgets'!L$2,0)*1000</f>
        <v>125000</v>
      </c>
      <c r="Q36" s="650">
        <f>VLOOKUP($A36,'LGE-KU Budgets'!$A$6:$Y$50,'LGE-KU Budgets'!M$2,0)*1000</f>
        <v>744729.04729877692</v>
      </c>
      <c r="R36" s="650">
        <f>VLOOKUP($A36,'LGE-KU Budgets'!$A$6:$Y$50,'LGE-KU Budgets'!N$2,0)*1000</f>
        <v>223490.91871774016</v>
      </c>
      <c r="S36" s="650">
        <f>VLOOKUP($A36,'LGE-KU Budgets'!$A$6:$Y$50,'LGE-KU Budgets'!O$2,0)*1000</f>
        <v>329305.64627927239</v>
      </c>
      <c r="T36" s="650">
        <f>VLOOKUP($A36,'LGE-KU Budgets'!$A$6:$Y$50,'LGE-KU Budgets'!P$2,0)*1000</f>
        <v>493174.81566765055</v>
      </c>
      <c r="U36" s="650">
        <f>VLOOKUP($A36,'LGE-KU Budgets'!$A$6:$Y$50,'LGE-KU Budgets'!Q$2,0)*1000</f>
        <v>570100.06013768003</v>
      </c>
      <c r="V36" s="650">
        <f>VLOOKUP($A36,'LGE-KU Budgets'!$A$6:$Y$50,'LGE-KU Budgets'!R$2,0)*1000</f>
        <v>497083.06194181048</v>
      </c>
      <c r="W36" s="650">
        <f>VLOOKUP($A36,'LGE-KU Budgets'!$A$6:$Y$50,'LGE-KU Budgets'!S$2,0)*1000</f>
        <v>0</v>
      </c>
      <c r="X36" s="650">
        <f>VLOOKUP($A36,'LGE-KU Budgets'!$A$6:$Y$50,'LGE-KU Budgets'!T$2,0)*1000</f>
        <v>627881.04749413347</v>
      </c>
      <c r="Y36" s="650">
        <f>VLOOKUP($A36,'LGE-KU Budgets'!$A$6:$Y$50,'LGE-KU Budgets'!U$2,0)*1000</f>
        <v>1255762.0949882669</v>
      </c>
      <c r="Z36" s="650">
        <f>VLOOKUP($A36,'LGE-KU Budgets'!$A$6:$Y$50,'LGE-KU Budgets'!V$2,0)*1000</f>
        <v>2511524.1899765339</v>
      </c>
      <c r="AA36" s="650">
        <f>VLOOKUP($A36,'LGE-KU Budgets'!$A$6:$Y$50,'LGE-KU Budgets'!W$2,0)*1000</f>
        <v>4467615.1456313347</v>
      </c>
      <c r="AB36" s="650">
        <f>VLOOKUP($A36,'LGE-KU Budgets'!$A$6:$Y$50,'LGE-KU Budgets'!X$2,0)*1000</f>
        <v>4467615.1456313347</v>
      </c>
      <c r="AC36" s="650">
        <f>VLOOKUP($A36,'LGE-KU Budgets'!$A$6:$Y$50,'LGE-KU Budgets'!Y$2,0)*1000</f>
        <v>4467615.1456313347</v>
      </c>
      <c r="AD36" s="572">
        <f ca="1">INDEX('Utility Portfolio Summary'!$F$259:$BY$273,MATCH('Program Summary'!$B36,'Utility Portfolio Summary'!$F$259:$F$273,FALSE),MATCH('Program Summary'!AD$25,'Utility Portfolio Summary'!$F$259:$BY$259,FALSE))</f>
        <v>0</v>
      </c>
      <c r="AE36" s="572">
        <f ca="1">INDEX('Utility Portfolio Summary'!$F$259:$BY$273,MATCH('Program Summary'!$B36,'Utility Portfolio Summary'!$F$259:$F$273,FALSE),MATCH('Program Summary'!AE$25,'Utility Portfolio Summary'!$F$259:$BY$259,FALSE))</f>
        <v>0</v>
      </c>
      <c r="AF36" s="572">
        <f ca="1">INDEX('Utility Portfolio Summary'!$F$259:$BY$273,MATCH('Program Summary'!$B36,'Utility Portfolio Summary'!$F$259:$F$273,FALSE),MATCH('Program Summary'!AF$25,'Utility Portfolio Summary'!$F$259:$BY$259,FALSE))</f>
        <v>0</v>
      </c>
      <c r="AG36" s="572">
        <f ca="1">INDEX('Utility Portfolio Summary'!$F$259:$BY$273,MATCH('Program Summary'!$B36,'Utility Portfolio Summary'!$F$259:$F$273,FALSE),MATCH('Program Summary'!AG$25,'Utility Portfolio Summary'!$F$259:$BY$259,FALSE))</f>
        <v>0</v>
      </c>
      <c r="AH36" s="572">
        <f ca="1">INDEX('Utility Portfolio Summary'!$F$259:$BY$273,MATCH('Program Summary'!$B36,'Utility Portfolio Summary'!$F$259:$F$273,FALSE),MATCH('Program Summary'!AH$25,'Utility Portfolio Summary'!$F$259:$BY$259,FALSE))</f>
        <v>0</v>
      </c>
      <c r="AI36" s="572">
        <f ca="1">INDEX('Utility Portfolio Summary'!$F$259:$BY$273,MATCH('Program Summary'!$B36,'Utility Portfolio Summary'!$F$259:$F$273,FALSE),MATCH('Program Summary'!AI$25,'Utility Portfolio Summary'!$F$259:$BY$259,FALSE))</f>
        <v>0</v>
      </c>
      <c r="AJ36" s="572">
        <f ca="1">INDEX('Utility Portfolio Summary'!$F$259:$BY$273,MATCH('Program Summary'!$B36,'Utility Portfolio Summary'!$F$259:$F$273,FALSE),MATCH('Program Summary'!AJ$25,'Utility Portfolio Summary'!$F$259:$BY$259,FALSE))</f>
        <v>0</v>
      </c>
      <c r="AK36" s="572">
        <f ca="1">INDEX('Utility Portfolio Summary'!$F$259:$BY$273,MATCH('Program Summary'!$B36,'Utility Portfolio Summary'!$F$259:$F$273,FALSE),MATCH('Program Summary'!AK$25,'Utility Portfolio Summary'!$F$259:$BY$259,FALSE))</f>
        <v>0</v>
      </c>
      <c r="AL36" s="572">
        <f ca="1">INDEX('Utility Portfolio Summary'!$F$259:$BY$273,MATCH('Program Summary'!$B36,'Utility Portfolio Summary'!$F$259:$F$273,FALSE),MATCH('Program Summary'!AL$25,'Utility Portfolio Summary'!$F$259:$BY$259,FALSE))</f>
        <v>2164.4052374706675</v>
      </c>
      <c r="AM36" s="572">
        <f ca="1">INDEX('Utility Portfolio Summary'!$F$259:$BY$273,MATCH('Program Summary'!$B36,'Utility Portfolio Summary'!$F$259:$F$273,FALSE),MATCH('Program Summary'!AM$25,'Utility Portfolio Summary'!$F$259:$BY$259,FALSE))</f>
        <v>4328.8104749413351</v>
      </c>
      <c r="AN36" s="572">
        <f ca="1">INDEX('Utility Portfolio Summary'!$F$259:$BY$273,MATCH('Program Summary'!$B36,'Utility Portfolio Summary'!$F$259:$F$273,FALSE),MATCH('Program Summary'!AN$25,'Utility Portfolio Summary'!$F$259:$BY$259,FALSE))</f>
        <v>8657.6209498826702</v>
      </c>
      <c r="AO36" s="572">
        <f ca="1">INDEX('Utility Portfolio Summary'!$F$259:$BY$273,MATCH('Program Summary'!$B36,'Utility Portfolio Summary'!$F$259:$F$273,FALSE),MATCH('Program Summary'!AO$25,'Utility Portfolio Summary'!$F$259:$BY$259,FALSE))</f>
        <v>15400.575728156675</v>
      </c>
      <c r="AP36" s="572">
        <f ca="1">INDEX('Utility Portfolio Summary'!$F$259:$BY$273,MATCH('Program Summary'!$B36,'Utility Portfolio Summary'!$F$259:$F$273,FALSE),MATCH('Program Summary'!AP$25,'Utility Portfolio Summary'!$F$259:$BY$259,FALSE))</f>
        <v>15400.575728156675</v>
      </c>
      <c r="AQ36" s="572">
        <f ca="1">INDEX('Utility Portfolio Summary'!$F$259:$BY$273,MATCH('Program Summary'!$B36,'Utility Portfolio Summary'!$F$259:$F$273,FALSE),MATCH('Program Summary'!AQ$25,'Utility Portfolio Summary'!$F$259:$BY$259,FALSE))</f>
        <v>15400.575728156675</v>
      </c>
      <c r="AR36" s="572">
        <f ca="1">INDEX('Utility Portfolio Summary'!$F$259:$BY$273,MATCH('Program Summary'!$B36,'Utility Portfolio Summary'!$F$259:$F$273,FALSE),MATCH('Program Summary'!AR$25,'Utility Portfolio Summary'!$F$259:$BY$259,FALSE))</f>
        <v>0</v>
      </c>
      <c r="AS36" s="572">
        <f ca="1">INDEX('Utility Portfolio Summary'!$F$259:$BY$273,MATCH('Program Summary'!$B36,'Utility Portfolio Summary'!$F$259:$F$273,FALSE),MATCH('Program Summary'!AS$25,'Utility Portfolio Summary'!$F$259:$BY$259,FALSE))</f>
        <v>0</v>
      </c>
      <c r="AT36" s="572">
        <f ca="1">INDEX('Utility Portfolio Summary'!$F$259:$BY$273,MATCH('Program Summary'!$B36,'Utility Portfolio Summary'!$F$259:$F$273,FALSE),MATCH('Program Summary'!AT$25,'Utility Portfolio Summary'!$F$259:$BY$259,FALSE))</f>
        <v>0</v>
      </c>
      <c r="AU36" s="572">
        <f ca="1">INDEX('Utility Portfolio Summary'!$F$259:$BY$273,MATCH('Program Summary'!$B36,'Utility Portfolio Summary'!$F$259:$F$273,FALSE),MATCH('Program Summary'!AU$25,'Utility Portfolio Summary'!$F$259:$BY$259,FALSE))</f>
        <v>0</v>
      </c>
      <c r="AV36" s="572">
        <f ca="1">INDEX('Utility Portfolio Summary'!$F$259:$BY$273,MATCH('Program Summary'!$B36,'Utility Portfolio Summary'!$F$259:$F$273,FALSE),MATCH('Program Summary'!AV$25,'Utility Portfolio Summary'!$F$259:$BY$259,FALSE))</f>
        <v>0</v>
      </c>
      <c r="AW36" s="572">
        <f ca="1">INDEX('Utility Portfolio Summary'!$F$259:$BY$273,MATCH('Program Summary'!$B36,'Utility Portfolio Summary'!$F$259:$F$273,FALSE),MATCH('Program Summary'!AW$25,'Utility Portfolio Summary'!$F$259:$BY$259,FALSE))</f>
        <v>0</v>
      </c>
      <c r="AX36" s="572">
        <f ca="1">INDEX('Utility Portfolio Summary'!$F$259:$BY$273,MATCH('Program Summary'!$B36,'Utility Portfolio Summary'!$F$259:$F$273,FALSE),MATCH('Program Summary'!AX$25,'Utility Portfolio Summary'!$F$259:$BY$259,FALSE))</f>
        <v>0</v>
      </c>
      <c r="AY36" s="2"/>
      <c r="AZ36" s="2"/>
      <c r="BA36" s="2"/>
      <c r="BB36" s="2"/>
      <c r="BC36" s="2"/>
      <c r="BD36" s="2"/>
      <c r="BE36" s="2"/>
      <c r="BF36" s="2"/>
    </row>
    <row r="37" spans="1:58">
      <c r="A37" s="527" t="str">
        <f t="shared" si="11"/>
        <v>Residential Managed ChargingKU</v>
      </c>
      <c r="B37" s="649" t="s">
        <v>67</v>
      </c>
      <c r="C37" s="572">
        <f ca="1">MAX(I37:O37)</f>
        <v>3750</v>
      </c>
      <c r="D37" s="650">
        <f t="shared" si="13"/>
        <v>2492220.0087132468</v>
      </c>
      <c r="E37" s="650">
        <f t="shared" si="14"/>
        <v>952500</v>
      </c>
      <c r="F37" s="572">
        <f t="shared" ca="1" si="15"/>
        <v>0</v>
      </c>
      <c r="G37" s="572">
        <f t="shared" ca="1" si="10"/>
        <v>1500</v>
      </c>
      <c r="H37" s="572">
        <f t="shared" ca="1" si="16"/>
        <v>0</v>
      </c>
      <c r="I37" s="572">
        <f ca="1">INDEX('Utility Portfolio Summary'!$F$259:$BY$273,MATCH('Program Summary'!$B37,'Utility Portfolio Summary'!$F$259:$F$273,FALSE),MATCH('Program Summary'!I$25,'Utility Portfolio Summary'!$F$259:$BY$259,FALSE))</f>
        <v>375</v>
      </c>
      <c r="J37" s="572">
        <f ca="1">INDEX('Utility Portfolio Summary'!$F$259:$BY$273,MATCH('Program Summary'!$B37,'Utility Portfolio Summary'!$F$259:$F$273,FALSE),MATCH('Program Summary'!J$25,'Utility Portfolio Summary'!$F$259:$BY$259,FALSE))</f>
        <v>750</v>
      </c>
      <c r="K37" s="572">
        <f ca="1">INDEX('Utility Portfolio Summary'!$F$259:$BY$273,MATCH('Program Summary'!$B37,'Utility Portfolio Summary'!$F$259:$F$273,FALSE),MATCH('Program Summary'!K$25,'Utility Portfolio Summary'!$F$259:$BY$259,FALSE))</f>
        <v>1125</v>
      </c>
      <c r="L37" s="572">
        <f ca="1">INDEX('Utility Portfolio Summary'!$F$259:$BY$273,MATCH('Program Summary'!$B37,'Utility Portfolio Summary'!$F$259:$F$273,FALSE),MATCH('Program Summary'!L$25,'Utility Portfolio Summary'!$F$259:$BY$259,FALSE))</f>
        <v>1500</v>
      </c>
      <c r="M37" s="572">
        <f ca="1">INDEX('Utility Portfolio Summary'!$F$259:$BY$273,MATCH('Program Summary'!$B37,'Utility Portfolio Summary'!$F$259:$F$273,FALSE),MATCH('Program Summary'!M$25,'Utility Portfolio Summary'!$F$259:$BY$259,FALSE))</f>
        <v>2250</v>
      </c>
      <c r="N37" s="572">
        <f ca="1">INDEX('Utility Portfolio Summary'!$F$259:$BY$273,MATCH('Program Summary'!$B37,'Utility Portfolio Summary'!$F$259:$F$273,FALSE),MATCH('Program Summary'!N$25,'Utility Portfolio Summary'!$F$259:$BY$259,FALSE))</f>
        <v>3000</v>
      </c>
      <c r="O37" s="572">
        <f ca="1">INDEX('Utility Portfolio Summary'!$F$259:$BY$273,MATCH('Program Summary'!$B37,'Utility Portfolio Summary'!$F$259:$F$273,FALSE),MATCH('Program Summary'!O$25,'Utility Portfolio Summary'!$F$259:$BY$259,FALSE))</f>
        <v>3750</v>
      </c>
      <c r="P37" s="650">
        <f>VLOOKUP($A37,'LGE-KU Budgets'!$A$6:$Y$50,'LGE-KU Budgets'!L$2,0)*1000</f>
        <v>221874.73205552477</v>
      </c>
      <c r="Q37" s="650">
        <f>VLOOKUP($A37,'LGE-KU Budgets'!$A$6:$Y$50,'LGE-KU Budgets'!M$2,0)*1000</f>
        <v>205465.97401719051</v>
      </c>
      <c r="R37" s="650">
        <f>VLOOKUP($A37,'LGE-KU Budgets'!$A$6:$Y$50,'LGE-KU Budgets'!N$2,0)*1000</f>
        <v>251589.95323770621</v>
      </c>
      <c r="S37" s="650">
        <f>VLOOKUP($A37,'LGE-KU Budgets'!$A$6:$Y$50,'LGE-KU Budgets'!O$2,0)*1000</f>
        <v>297747.65183483745</v>
      </c>
      <c r="T37" s="650">
        <f>VLOOKUP($A37,'LGE-KU Budgets'!$A$6:$Y$50,'LGE-KU Budgets'!P$2,0)*1000</f>
        <v>388940.08138988254</v>
      </c>
      <c r="U37" s="650">
        <f>VLOOKUP($A37,'LGE-KU Budgets'!$A$6:$Y$50,'LGE-KU Budgets'!Q$2,0)*1000</f>
        <v>480168.28383157903</v>
      </c>
      <c r="V37" s="650">
        <f>VLOOKUP($A37,'LGE-KU Budgets'!$A$6:$Y$50,'LGE-KU Budgets'!R$2,0)*1000</f>
        <v>646433.33234652644</v>
      </c>
      <c r="W37" s="650">
        <f>VLOOKUP($A37,'LGE-KU Budgets'!$A$6:$Y$50,'LGE-KU Budgets'!S$2,0)*1000</f>
        <v>41250</v>
      </c>
      <c r="X37" s="650">
        <f>VLOOKUP($A37,'LGE-KU Budgets'!$A$6:$Y$50,'LGE-KU Budgets'!T$2,0)*1000</f>
        <v>63750</v>
      </c>
      <c r="Y37" s="650">
        <f>VLOOKUP($A37,'LGE-KU Budgets'!$A$6:$Y$50,'LGE-KU Budgets'!U$2,0)*1000</f>
        <v>86250</v>
      </c>
      <c r="Z37" s="650">
        <f>VLOOKUP($A37,'LGE-KU Budgets'!$A$6:$Y$50,'LGE-KU Budgets'!V$2,0)*1000</f>
        <v>108750</v>
      </c>
      <c r="AA37" s="650">
        <f>VLOOKUP($A37,'LGE-KU Budgets'!$A$6:$Y$50,'LGE-KU Budgets'!W$2,0)*1000</f>
        <v>172500</v>
      </c>
      <c r="AB37" s="650">
        <f>VLOOKUP($A37,'LGE-KU Budgets'!$A$6:$Y$50,'LGE-KU Budgets'!X$2,0)*1000</f>
        <v>217500</v>
      </c>
      <c r="AC37" s="650">
        <f>VLOOKUP($A37,'LGE-KU Budgets'!$A$6:$Y$50,'LGE-KU Budgets'!Y$2,0)*1000</f>
        <v>262500</v>
      </c>
      <c r="AD37" s="572">
        <f ca="1">INDEX('Utility Portfolio Summary'!$F$259:$BY$273,MATCH('Program Summary'!$B37,'Utility Portfolio Summary'!$F$259:$F$273,FALSE),MATCH('Program Summary'!AD$25,'Utility Portfolio Summary'!$F$259:$BY$259,FALSE))</f>
        <v>0</v>
      </c>
      <c r="AE37" s="572">
        <f ca="1">INDEX('Utility Portfolio Summary'!$F$259:$BY$273,MATCH('Program Summary'!$B37,'Utility Portfolio Summary'!$F$259:$F$273,FALSE),MATCH('Program Summary'!AE$25,'Utility Portfolio Summary'!$F$259:$BY$259,FALSE))</f>
        <v>0</v>
      </c>
      <c r="AF37" s="572">
        <f ca="1">INDEX('Utility Portfolio Summary'!$F$259:$BY$273,MATCH('Program Summary'!$B37,'Utility Portfolio Summary'!$F$259:$F$273,FALSE),MATCH('Program Summary'!AF$25,'Utility Portfolio Summary'!$F$259:$BY$259,FALSE))</f>
        <v>0</v>
      </c>
      <c r="AG37" s="572">
        <f ca="1">INDEX('Utility Portfolio Summary'!$F$259:$BY$273,MATCH('Program Summary'!$B37,'Utility Portfolio Summary'!$F$259:$F$273,FALSE),MATCH('Program Summary'!AG$25,'Utility Portfolio Summary'!$F$259:$BY$259,FALSE))</f>
        <v>0</v>
      </c>
      <c r="AH37" s="572">
        <f ca="1">INDEX('Utility Portfolio Summary'!$F$259:$BY$273,MATCH('Program Summary'!$B37,'Utility Portfolio Summary'!$F$259:$F$273,FALSE),MATCH('Program Summary'!AH$25,'Utility Portfolio Summary'!$F$259:$BY$259,FALSE))</f>
        <v>0</v>
      </c>
      <c r="AI37" s="572">
        <f ca="1">INDEX('Utility Portfolio Summary'!$F$259:$BY$273,MATCH('Program Summary'!$B37,'Utility Portfolio Summary'!$F$259:$F$273,FALSE),MATCH('Program Summary'!AI$25,'Utility Portfolio Summary'!$F$259:$BY$259,FALSE))</f>
        <v>0</v>
      </c>
      <c r="AJ37" s="572">
        <f ca="1">INDEX('Utility Portfolio Summary'!$F$259:$BY$273,MATCH('Program Summary'!$B37,'Utility Portfolio Summary'!$F$259:$F$273,FALSE),MATCH('Program Summary'!AJ$25,'Utility Portfolio Summary'!$F$259:$BY$259,FALSE))</f>
        <v>0</v>
      </c>
      <c r="AK37" s="572">
        <f ca="1">INDEX('Utility Portfolio Summary'!$F$259:$BY$273,MATCH('Program Summary'!$B37,'Utility Portfolio Summary'!$F$259:$F$273,FALSE),MATCH('Program Summary'!AK$25,'Utility Portfolio Summary'!$F$259:$BY$259,FALSE))</f>
        <v>150</v>
      </c>
      <c r="AL37" s="572">
        <f ca="1">INDEX('Utility Portfolio Summary'!$F$259:$BY$273,MATCH('Program Summary'!$B37,'Utility Portfolio Summary'!$F$259:$F$273,FALSE),MATCH('Program Summary'!AL$25,'Utility Portfolio Summary'!$F$259:$BY$259,FALSE))</f>
        <v>300</v>
      </c>
      <c r="AM37" s="572">
        <f ca="1">INDEX('Utility Portfolio Summary'!$F$259:$BY$273,MATCH('Program Summary'!$B37,'Utility Portfolio Summary'!$F$259:$F$273,FALSE),MATCH('Program Summary'!AM$25,'Utility Portfolio Summary'!$F$259:$BY$259,FALSE))</f>
        <v>450</v>
      </c>
      <c r="AN37" s="572">
        <f ca="1">INDEX('Utility Portfolio Summary'!$F$259:$BY$273,MATCH('Program Summary'!$B37,'Utility Portfolio Summary'!$F$259:$F$273,FALSE),MATCH('Program Summary'!AN$25,'Utility Portfolio Summary'!$F$259:$BY$259,FALSE))</f>
        <v>600</v>
      </c>
      <c r="AO37" s="572">
        <f ca="1">INDEX('Utility Portfolio Summary'!$F$259:$BY$273,MATCH('Program Summary'!$B37,'Utility Portfolio Summary'!$F$259:$F$273,FALSE),MATCH('Program Summary'!AO$25,'Utility Portfolio Summary'!$F$259:$BY$259,FALSE))</f>
        <v>900</v>
      </c>
      <c r="AP37" s="572">
        <f ca="1">INDEX('Utility Portfolio Summary'!$F$259:$BY$273,MATCH('Program Summary'!$B37,'Utility Portfolio Summary'!$F$259:$F$273,FALSE),MATCH('Program Summary'!AP$25,'Utility Portfolio Summary'!$F$259:$BY$259,FALSE))</f>
        <v>1200</v>
      </c>
      <c r="AQ37" s="572">
        <f ca="1">INDEX('Utility Portfolio Summary'!$F$259:$BY$273,MATCH('Program Summary'!$B37,'Utility Portfolio Summary'!$F$259:$F$273,FALSE),MATCH('Program Summary'!AQ$25,'Utility Portfolio Summary'!$F$259:$BY$259,FALSE))</f>
        <v>1500</v>
      </c>
      <c r="AR37" s="572">
        <f ca="1">INDEX('Utility Portfolio Summary'!$F$259:$BY$273,MATCH('Program Summary'!$B37,'Utility Portfolio Summary'!$F$259:$F$273,FALSE),MATCH('Program Summary'!AR$25,'Utility Portfolio Summary'!$F$259:$BY$259,FALSE))</f>
        <v>0</v>
      </c>
      <c r="AS37" s="572">
        <f ca="1">INDEX('Utility Portfolio Summary'!$F$259:$BY$273,MATCH('Program Summary'!$B37,'Utility Portfolio Summary'!$F$259:$F$273,FALSE),MATCH('Program Summary'!AS$25,'Utility Portfolio Summary'!$F$259:$BY$259,FALSE))</f>
        <v>0</v>
      </c>
      <c r="AT37" s="572">
        <f ca="1">INDEX('Utility Portfolio Summary'!$F$259:$BY$273,MATCH('Program Summary'!$B37,'Utility Portfolio Summary'!$F$259:$F$273,FALSE),MATCH('Program Summary'!AT$25,'Utility Portfolio Summary'!$F$259:$BY$259,FALSE))</f>
        <v>0</v>
      </c>
      <c r="AU37" s="572">
        <f ca="1">INDEX('Utility Portfolio Summary'!$F$259:$BY$273,MATCH('Program Summary'!$B37,'Utility Portfolio Summary'!$F$259:$F$273,FALSE),MATCH('Program Summary'!AU$25,'Utility Portfolio Summary'!$F$259:$BY$259,FALSE))</f>
        <v>0</v>
      </c>
      <c r="AV37" s="572">
        <f ca="1">INDEX('Utility Portfolio Summary'!$F$259:$BY$273,MATCH('Program Summary'!$B37,'Utility Portfolio Summary'!$F$259:$F$273,FALSE),MATCH('Program Summary'!AV$25,'Utility Portfolio Summary'!$F$259:$BY$259,FALSE))</f>
        <v>0</v>
      </c>
      <c r="AW37" s="572">
        <f ca="1">INDEX('Utility Portfolio Summary'!$F$259:$BY$273,MATCH('Program Summary'!$B37,'Utility Portfolio Summary'!$F$259:$F$273,FALSE),MATCH('Program Summary'!AW$25,'Utility Portfolio Summary'!$F$259:$BY$259,FALSE))</f>
        <v>0</v>
      </c>
      <c r="AX37" s="572">
        <f ca="1">INDEX('Utility Portfolio Summary'!$F$259:$BY$273,MATCH('Program Summary'!$B37,'Utility Portfolio Summary'!$F$259:$F$273,FALSE),MATCH('Program Summary'!AX$25,'Utility Portfolio Summary'!$F$259:$BY$259,FALSE))</f>
        <v>0</v>
      </c>
      <c r="AY37" s="2"/>
      <c r="AZ37" s="2"/>
      <c r="BA37" s="2"/>
      <c r="BB37" s="2"/>
      <c r="BC37" s="2"/>
      <c r="BD37" s="2"/>
      <c r="BE37" s="2"/>
      <c r="BF37" s="2"/>
    </row>
    <row r="38" spans="1:58">
      <c r="A38" s="527" t="str">
        <f t="shared" si="11"/>
        <v>NonRes Midstream LightingKU</v>
      </c>
      <c r="B38" s="649" t="s">
        <v>68</v>
      </c>
      <c r="C38" s="572">
        <f t="shared" ca="1" si="12"/>
        <v>909482.02943999995</v>
      </c>
      <c r="D38" s="650">
        <f t="shared" si="13"/>
        <v>1698379.3180462248</v>
      </c>
      <c r="E38" s="650">
        <f t="shared" si="14"/>
        <v>6331188.0384</v>
      </c>
      <c r="F38" s="572">
        <f t="shared" ca="1" si="15"/>
        <v>217224992.13713157</v>
      </c>
      <c r="G38" s="572">
        <f t="shared" ca="1" si="10"/>
        <v>10298.934603161822</v>
      </c>
      <c r="H38" s="572">
        <f t="shared" ca="1" si="16"/>
        <v>0</v>
      </c>
      <c r="I38" s="572">
        <f ca="1">INDEX('Utility Portfolio Summary'!$F$259:$BY$273,MATCH('Program Summary'!$B38,'Utility Portfolio Summary'!$F$259:$F$273,FALSE),MATCH('Program Summary'!I$25,'Utility Portfolio Summary'!$F$259:$BY$259,FALSE))</f>
        <v>0</v>
      </c>
      <c r="J38" s="572">
        <f ca="1">INDEX('Utility Portfolio Summary'!$F$259:$BY$273,MATCH('Program Summary'!$B38,'Utility Portfolio Summary'!$F$259:$F$273,FALSE),MATCH('Program Summary'!J$25,'Utility Portfolio Summary'!$F$259:$BY$259,FALSE))</f>
        <v>0</v>
      </c>
      <c r="K38" s="572">
        <f ca="1">INDEX('Utility Portfolio Summary'!$F$259:$BY$273,MATCH('Program Summary'!$B38,'Utility Portfolio Summary'!$F$259:$F$273,FALSE),MATCH('Program Summary'!K$25,'Utility Portfolio Summary'!$F$259:$BY$259,FALSE))</f>
        <v>147643.20000000001</v>
      </c>
      <c r="L38" s="572">
        <f ca="1">INDEX('Utility Portfolio Summary'!$F$259:$BY$273,MATCH('Program Summary'!$B38,'Utility Portfolio Summary'!$F$259:$F$273,FALSE),MATCH('Program Summary'!L$25,'Utility Portfolio Summary'!$F$259:$BY$259,FALSE))</f>
        <v>221464.77599999998</v>
      </c>
      <c r="M38" s="572">
        <f ca="1">INDEX('Utility Portfolio Summary'!$F$259:$BY$273,MATCH('Program Summary'!$B38,'Utility Portfolio Summary'!$F$259:$F$273,FALSE),MATCH('Program Summary'!M$25,'Utility Portfolio Summary'!$F$259:$BY$259,FALSE))</f>
        <v>221464.77599999998</v>
      </c>
      <c r="N38" s="572">
        <f ca="1">INDEX('Utility Portfolio Summary'!$F$259:$BY$273,MATCH('Program Summary'!$B38,'Utility Portfolio Summary'!$F$259:$F$273,FALSE),MATCH('Program Summary'!N$25,'Utility Portfolio Summary'!$F$259:$BY$259,FALSE))</f>
        <v>177171.82079999999</v>
      </c>
      <c r="O38" s="572">
        <f ca="1">INDEX('Utility Portfolio Summary'!$F$259:$BY$273,MATCH('Program Summary'!$B38,'Utility Portfolio Summary'!$F$259:$F$273,FALSE),MATCH('Program Summary'!O$25,'Utility Portfolio Summary'!$F$259:$BY$259,FALSE))</f>
        <v>141737.45663999999</v>
      </c>
      <c r="P38" s="650">
        <f>VLOOKUP($A38,'LGE-KU Budgets'!$A$6:$Y$50,'LGE-KU Budgets'!L$2,0)*1000</f>
        <v>0</v>
      </c>
      <c r="Q38" s="650">
        <f>VLOOKUP($A38,'LGE-KU Budgets'!$A$6:$Y$50,'LGE-KU Budgets'!M$2,0)*1000</f>
        <v>0</v>
      </c>
      <c r="R38" s="650">
        <f>VLOOKUP($A38,'LGE-KU Budgets'!$A$6:$Y$50,'LGE-KU Budgets'!N$2,0)*1000</f>
        <v>425211.2471344418</v>
      </c>
      <c r="S38" s="650">
        <f>VLOOKUP($A38,'LGE-KU Budgets'!$A$6:$Y$50,'LGE-KU Budgets'!O$2,0)*1000</f>
        <v>302377.58454847505</v>
      </c>
      <c r="T38" s="650">
        <f>VLOOKUP($A38,'LGE-KU Budgets'!$A$6:$Y$50,'LGE-KU Budgets'!P$2,0)*1000</f>
        <v>354608.91208492935</v>
      </c>
      <c r="U38" s="650">
        <f>VLOOKUP($A38,'LGE-KU Budgets'!$A$6:$Y$50,'LGE-KU Budgets'!Q$2,0)*1000</f>
        <v>306907.17944747722</v>
      </c>
      <c r="V38" s="650">
        <f>VLOOKUP($A38,'LGE-KU Budgets'!$A$6:$Y$50,'LGE-KU Budgets'!R$2,0)*1000</f>
        <v>309274.39483090152</v>
      </c>
      <c r="W38" s="650">
        <f>VLOOKUP($A38,'LGE-KU Budgets'!$A$6:$Y$50,'LGE-KU Budgets'!S$2,0)*1000</f>
        <v>0</v>
      </c>
      <c r="X38" s="650">
        <f>VLOOKUP($A38,'LGE-KU Budgets'!$A$6:$Y$50,'LGE-KU Budgets'!T$2,0)*1000</f>
        <v>0</v>
      </c>
      <c r="Y38" s="650">
        <f>VLOOKUP($A38,'LGE-KU Budgets'!$A$6:$Y$50,'LGE-KU Budgets'!U$2,0)*1000</f>
        <v>1027790.4000000001</v>
      </c>
      <c r="Z38" s="650">
        <f>VLOOKUP($A38,'LGE-KU Budgets'!$A$6:$Y$50,'LGE-KU Budgets'!V$2,0)*1000</f>
        <v>1541685.36</v>
      </c>
      <c r="AA38" s="650">
        <f>VLOOKUP($A38,'LGE-KU Budgets'!$A$6:$Y$50,'LGE-KU Budgets'!W$2,0)*1000</f>
        <v>1541685.36</v>
      </c>
      <c r="AB38" s="650">
        <f>VLOOKUP($A38,'LGE-KU Budgets'!$A$6:$Y$50,'LGE-KU Budgets'!X$2,0)*1000</f>
        <v>1233348.2879999999</v>
      </c>
      <c r="AC38" s="650">
        <f>VLOOKUP($A38,'LGE-KU Budgets'!$A$6:$Y$50,'LGE-KU Budgets'!Y$2,0)*1000</f>
        <v>986678.63040000014</v>
      </c>
      <c r="AD38" s="572">
        <f ca="1">INDEX('Utility Portfolio Summary'!$F$259:$BY$273,MATCH('Program Summary'!$B38,'Utility Portfolio Summary'!$F$259:$F$273,FALSE),MATCH('Program Summary'!AD$25,'Utility Portfolio Summary'!$F$259:$BY$259,FALSE))</f>
        <v>0</v>
      </c>
      <c r="AE38" s="572">
        <f ca="1">INDEX('Utility Portfolio Summary'!$F$259:$BY$273,MATCH('Program Summary'!$B38,'Utility Portfolio Summary'!$F$259:$F$273,FALSE),MATCH('Program Summary'!AE$25,'Utility Portfolio Summary'!$F$259:$BY$259,FALSE))</f>
        <v>0</v>
      </c>
      <c r="AF38" s="572">
        <f ca="1">INDEX('Utility Portfolio Summary'!$F$259:$BY$273,MATCH('Program Summary'!$B38,'Utility Portfolio Summary'!$F$259:$F$273,FALSE),MATCH('Program Summary'!AF$25,'Utility Portfolio Summary'!$F$259:$BY$259,FALSE))</f>
        <v>35263798.960654318</v>
      </c>
      <c r="AG38" s="572">
        <f ca="1">INDEX('Utility Portfolio Summary'!$F$259:$BY$273,MATCH('Program Summary'!$B38,'Utility Portfolio Summary'!$F$259:$F$273,FALSE),MATCH('Program Summary'!AG$25,'Utility Portfolio Summary'!$F$259:$BY$259,FALSE))</f>
        <v>52895695.690836415</v>
      </c>
      <c r="AH38" s="572">
        <f ca="1">INDEX('Utility Portfolio Summary'!$F$259:$BY$273,MATCH('Program Summary'!$B38,'Utility Portfolio Summary'!$F$259:$F$273,FALSE),MATCH('Program Summary'!AH$25,'Utility Portfolio Summary'!$F$259:$BY$259,FALSE))</f>
        <v>52895695.690836415</v>
      </c>
      <c r="AI38" s="572">
        <f ca="1">INDEX('Utility Portfolio Summary'!$F$259:$BY$273,MATCH('Program Summary'!$B38,'Utility Portfolio Summary'!$F$259:$F$273,FALSE),MATCH('Program Summary'!AI$25,'Utility Portfolio Summary'!$F$259:$BY$259,FALSE))</f>
        <v>42316556.55266913</v>
      </c>
      <c r="AJ38" s="572">
        <f ca="1">INDEX('Utility Portfolio Summary'!$F$259:$BY$273,MATCH('Program Summary'!$B38,'Utility Portfolio Summary'!$F$259:$F$273,FALSE),MATCH('Program Summary'!AJ$25,'Utility Portfolio Summary'!$F$259:$BY$259,FALSE))</f>
        <v>33853245.242135301</v>
      </c>
      <c r="AK38" s="572">
        <f ca="1">INDEX('Utility Portfolio Summary'!$F$259:$BY$273,MATCH('Program Summary'!$B38,'Utility Portfolio Summary'!$F$259:$F$273,FALSE),MATCH('Program Summary'!AK$25,'Utility Portfolio Summary'!$F$259:$BY$259,FALSE))</f>
        <v>0</v>
      </c>
      <c r="AL38" s="572">
        <f ca="1">INDEX('Utility Portfolio Summary'!$F$259:$BY$273,MATCH('Program Summary'!$B38,'Utility Portfolio Summary'!$F$259:$F$273,FALSE),MATCH('Program Summary'!AL$25,'Utility Portfolio Summary'!$F$259:$BY$259,FALSE))</f>
        <v>0</v>
      </c>
      <c r="AM38" s="572">
        <f ca="1">INDEX('Utility Portfolio Summary'!$F$259:$BY$273,MATCH('Program Summary'!$B38,'Utility Portfolio Summary'!$F$259:$F$273,FALSE),MATCH('Program Summary'!AM$25,'Utility Portfolio Summary'!$F$259:$BY$259,FALSE))</f>
        <v>6865.9568397010698</v>
      </c>
      <c r="AN38" s="572">
        <f ca="1">INDEX('Utility Portfolio Summary'!$F$259:$BY$273,MATCH('Program Summary'!$B38,'Utility Portfolio Summary'!$F$259:$F$273,FALSE),MATCH('Program Summary'!AN$25,'Utility Portfolio Summary'!$F$259:$BY$259,FALSE))</f>
        <v>10298.934603161822</v>
      </c>
      <c r="AO38" s="572">
        <f ca="1">INDEX('Utility Portfolio Summary'!$F$259:$BY$273,MATCH('Program Summary'!$B38,'Utility Portfolio Summary'!$F$259:$F$273,FALSE),MATCH('Program Summary'!AO$25,'Utility Portfolio Summary'!$F$259:$BY$259,FALSE))</f>
        <v>10298.934603161822</v>
      </c>
      <c r="AP38" s="572">
        <f ca="1">INDEX('Utility Portfolio Summary'!$F$259:$BY$273,MATCH('Program Summary'!$B38,'Utility Portfolio Summary'!$F$259:$F$273,FALSE),MATCH('Program Summary'!AP$25,'Utility Portfolio Summary'!$F$259:$BY$259,FALSE))</f>
        <v>8239.1476825294576</v>
      </c>
      <c r="AQ38" s="572">
        <f ca="1">INDEX('Utility Portfolio Summary'!$F$259:$BY$273,MATCH('Program Summary'!$B38,'Utility Portfolio Summary'!$F$259:$F$273,FALSE),MATCH('Program Summary'!AQ$25,'Utility Portfolio Summary'!$F$259:$BY$259,FALSE))</f>
        <v>6591.3181460235674</v>
      </c>
      <c r="AR38" s="572">
        <f ca="1">INDEX('Utility Portfolio Summary'!$F$259:$BY$273,MATCH('Program Summary'!$B38,'Utility Portfolio Summary'!$F$259:$F$273,FALSE),MATCH('Program Summary'!AR$25,'Utility Portfolio Summary'!$F$259:$BY$259,FALSE))</f>
        <v>0</v>
      </c>
      <c r="AS38" s="572">
        <f ca="1">INDEX('Utility Portfolio Summary'!$F$259:$BY$273,MATCH('Program Summary'!$B38,'Utility Portfolio Summary'!$F$259:$F$273,FALSE),MATCH('Program Summary'!AS$25,'Utility Portfolio Summary'!$F$259:$BY$259,FALSE))</f>
        <v>0</v>
      </c>
      <c r="AT38" s="572">
        <f ca="1">INDEX('Utility Portfolio Summary'!$F$259:$BY$273,MATCH('Program Summary'!$B38,'Utility Portfolio Summary'!$F$259:$F$273,FALSE),MATCH('Program Summary'!AT$25,'Utility Portfolio Summary'!$F$259:$BY$259,FALSE))</f>
        <v>0</v>
      </c>
      <c r="AU38" s="572">
        <f ca="1">INDEX('Utility Portfolio Summary'!$F$259:$BY$273,MATCH('Program Summary'!$B38,'Utility Portfolio Summary'!$F$259:$F$273,FALSE),MATCH('Program Summary'!AU$25,'Utility Portfolio Summary'!$F$259:$BY$259,FALSE))</f>
        <v>0</v>
      </c>
      <c r="AV38" s="572">
        <f ca="1">INDEX('Utility Portfolio Summary'!$F$259:$BY$273,MATCH('Program Summary'!$B38,'Utility Portfolio Summary'!$F$259:$F$273,FALSE),MATCH('Program Summary'!AV$25,'Utility Portfolio Summary'!$F$259:$BY$259,FALSE))</f>
        <v>0</v>
      </c>
      <c r="AW38" s="572">
        <f ca="1">INDEX('Utility Portfolio Summary'!$F$259:$BY$273,MATCH('Program Summary'!$B38,'Utility Portfolio Summary'!$F$259:$F$273,FALSE),MATCH('Program Summary'!AW$25,'Utility Portfolio Summary'!$F$259:$BY$259,FALSE))</f>
        <v>0</v>
      </c>
      <c r="AX38" s="572">
        <f ca="1">INDEX('Utility Portfolio Summary'!$F$259:$BY$273,MATCH('Program Summary'!$B38,'Utility Portfolio Summary'!$F$259:$F$273,FALSE),MATCH('Program Summary'!AX$25,'Utility Portfolio Summary'!$F$259:$BY$259,FALSE))</f>
        <v>0</v>
      </c>
      <c r="AY38" s="2"/>
      <c r="AZ38" s="2"/>
      <c r="BA38" s="2"/>
      <c r="BB38" s="2"/>
      <c r="BC38" s="2"/>
      <c r="BD38" s="2"/>
      <c r="BE38" s="2"/>
      <c r="BF38" s="2"/>
    </row>
    <row r="39" spans="1:58">
      <c r="A39" s="527" t="str">
        <f t="shared" si="11"/>
        <v>PDAKU</v>
      </c>
      <c r="B39" s="649" t="s">
        <v>69</v>
      </c>
      <c r="C39" s="572">
        <f t="shared" ref="C39" si="17">SUM(I39:O39)</f>
        <v>0</v>
      </c>
      <c r="D39" s="650">
        <f t="shared" si="13"/>
        <v>10669506.802223826</v>
      </c>
      <c r="E39" s="650">
        <f t="shared" si="14"/>
        <v>0</v>
      </c>
      <c r="F39" s="572">
        <f t="shared" si="15"/>
        <v>0</v>
      </c>
      <c r="G39" s="572">
        <f t="shared" ref="G39" si="18">MAX(AK39:AQ39)</f>
        <v>0</v>
      </c>
      <c r="H39" s="572">
        <f t="shared" si="16"/>
        <v>0</v>
      </c>
      <c r="I39" s="572">
        <f>IFERROR(INDEX('Utility Portfolio Summary'!$F$259:$BY$273,MATCH('Program Summary'!$B39,'Utility Portfolio Summary'!$F$259:$F$273,FALSE),MATCH('Program Summary'!I$25,'Utility Portfolio Summary'!$F$259:$BY$259,FALSE)),0)</f>
        <v>0</v>
      </c>
      <c r="J39" s="572">
        <f>IFERROR(INDEX('Utility Portfolio Summary'!$F$259:$BY$273,MATCH('Program Summary'!$B39,'Utility Portfolio Summary'!$F$259:$F$273,FALSE),MATCH('Program Summary'!J$25,'Utility Portfolio Summary'!$F$259:$BY$259,FALSE)),0)</f>
        <v>0</v>
      </c>
      <c r="K39" s="572">
        <f>IFERROR(INDEX('Utility Portfolio Summary'!$F$259:$BY$273,MATCH('Program Summary'!$B39,'Utility Portfolio Summary'!$F$259:$F$273,FALSE),MATCH('Program Summary'!K$25,'Utility Portfolio Summary'!$F$259:$BY$259,FALSE)),0)</f>
        <v>0</v>
      </c>
      <c r="L39" s="572">
        <f>IFERROR(INDEX('Utility Portfolio Summary'!$F$259:$BY$273,MATCH('Program Summary'!$B39,'Utility Portfolio Summary'!$F$259:$F$273,FALSE),MATCH('Program Summary'!L$25,'Utility Portfolio Summary'!$F$259:$BY$259,FALSE)),0)</f>
        <v>0</v>
      </c>
      <c r="M39" s="572">
        <f>IFERROR(INDEX('Utility Portfolio Summary'!$F$259:$BY$273,MATCH('Program Summary'!$B39,'Utility Portfolio Summary'!$F$259:$F$273,FALSE),MATCH('Program Summary'!M$25,'Utility Portfolio Summary'!$F$259:$BY$259,FALSE)),0)</f>
        <v>0</v>
      </c>
      <c r="N39" s="572">
        <f>IFERROR(INDEX('Utility Portfolio Summary'!$F$259:$BY$273,MATCH('Program Summary'!$B39,'Utility Portfolio Summary'!$F$259:$F$273,FALSE),MATCH('Program Summary'!N$25,'Utility Portfolio Summary'!$F$259:$BY$259,FALSE)),0)</f>
        <v>0</v>
      </c>
      <c r="O39" s="572">
        <f>IFERROR(INDEX('Utility Portfolio Summary'!$F$259:$BY$273,MATCH('Program Summary'!$B39,'Utility Portfolio Summary'!$F$259:$F$273,FALSE),MATCH('Program Summary'!O$25,'Utility Portfolio Summary'!$F$259:$BY$259,FALSE)),0)</f>
        <v>0</v>
      </c>
      <c r="P39" s="650">
        <f>VLOOKUP($A39,'LGE-KU Budgets'!$A$6:$Y$50,'LGE-KU Budgets'!L$2,0)*1000</f>
        <v>1814326.6875</v>
      </c>
      <c r="Q39" s="650">
        <f>VLOOKUP($A39,'LGE-KU Budgets'!$A$6:$Y$50,'LGE-KU Budgets'!M$2,0)*1000</f>
        <v>1778216.6875</v>
      </c>
      <c r="R39" s="650">
        <f>VLOOKUP($A39,'LGE-KU Budgets'!$A$6:$Y$50,'LGE-KU Budgets'!N$2,0)*1000</f>
        <v>1355023.3875</v>
      </c>
      <c r="S39" s="650">
        <f>VLOOKUP($A39,'LGE-KU Budgets'!$A$6:$Y$50,'LGE-KU Budgets'!O$2,0)*1000</f>
        <v>1444759.2885</v>
      </c>
      <c r="T39" s="650">
        <f>VLOOKUP($A39,'LGE-KU Budgets'!$A$6:$Y$50,'LGE-KU Budgets'!P$2,0)*1000</f>
        <v>1384937.2665299999</v>
      </c>
      <c r="U39" s="650">
        <f>VLOOKUP($A39,'LGE-KU Budgets'!$A$6:$Y$50,'LGE-KU Budgets'!Q$2,0)*1000</f>
        <v>1400570.5839009001</v>
      </c>
      <c r="V39" s="650">
        <f>VLOOKUP($A39,'LGE-KU Budgets'!$A$6:$Y$50,'LGE-KU Budgets'!R$2,0)*1000</f>
        <v>1491672.900792927</v>
      </c>
      <c r="W39" s="650">
        <f>VLOOKUP($A39,'LGE-KU Budgets'!$A$6:$Y$50,'LGE-KU Budgets'!S$2,0)*1000</f>
        <v>0</v>
      </c>
      <c r="X39" s="650">
        <f>VLOOKUP($A39,'LGE-KU Budgets'!$A$6:$Y$50,'LGE-KU Budgets'!T$2,0)*1000</f>
        <v>0</v>
      </c>
      <c r="Y39" s="650">
        <f>VLOOKUP($A39,'LGE-KU Budgets'!$A$6:$Y$50,'LGE-KU Budgets'!U$2,0)*1000</f>
        <v>0</v>
      </c>
      <c r="Z39" s="650">
        <f>VLOOKUP($A39,'LGE-KU Budgets'!$A$6:$Y$50,'LGE-KU Budgets'!V$2,0)*1000</f>
        <v>0</v>
      </c>
      <c r="AA39" s="650">
        <f>VLOOKUP($A39,'LGE-KU Budgets'!$A$6:$Y$50,'LGE-KU Budgets'!W$2,0)*1000</f>
        <v>0</v>
      </c>
      <c r="AB39" s="650">
        <f>VLOOKUP($A39,'LGE-KU Budgets'!$A$6:$Y$50,'LGE-KU Budgets'!X$2,0)*1000</f>
        <v>0</v>
      </c>
      <c r="AC39" s="650">
        <f>VLOOKUP($A39,'LGE-KU Budgets'!$A$6:$Y$50,'LGE-KU Budgets'!Y$2,0)*1000</f>
        <v>0</v>
      </c>
      <c r="AD39" s="572">
        <f>IFERROR(INDEX('Utility Portfolio Summary'!$F$259:$BY$273,MATCH('Program Summary'!$B39,'Utility Portfolio Summary'!$F$259:$F$273,FALSE),MATCH('Program Summary'!AD$25,'Utility Portfolio Summary'!$F$259:$BY$259,FALSE)),0)</f>
        <v>0</v>
      </c>
      <c r="AE39" s="572">
        <f>IFERROR(INDEX('Utility Portfolio Summary'!$F$259:$BY$273,MATCH('Program Summary'!$B39,'Utility Portfolio Summary'!$F$259:$F$273,FALSE),MATCH('Program Summary'!AE$25,'Utility Portfolio Summary'!$F$259:$BY$259,FALSE)),0)</f>
        <v>0</v>
      </c>
      <c r="AF39" s="572">
        <f>IFERROR(INDEX('Utility Portfolio Summary'!$F$259:$BY$273,MATCH('Program Summary'!$B39,'Utility Portfolio Summary'!$F$259:$F$273,FALSE),MATCH('Program Summary'!AF$25,'Utility Portfolio Summary'!$F$259:$BY$259,FALSE)),0)</f>
        <v>0</v>
      </c>
      <c r="AG39" s="572">
        <f>IFERROR(INDEX('Utility Portfolio Summary'!$F$259:$BY$273,MATCH('Program Summary'!$B39,'Utility Portfolio Summary'!$F$259:$F$273,FALSE),MATCH('Program Summary'!AG$25,'Utility Portfolio Summary'!$F$259:$BY$259,FALSE)),0)</f>
        <v>0</v>
      </c>
      <c r="AH39" s="572">
        <f>IFERROR(INDEX('Utility Portfolio Summary'!$F$259:$BY$273,MATCH('Program Summary'!$B39,'Utility Portfolio Summary'!$F$259:$F$273,FALSE),MATCH('Program Summary'!AH$25,'Utility Portfolio Summary'!$F$259:$BY$259,FALSE)),0)</f>
        <v>0</v>
      </c>
      <c r="AI39" s="572">
        <f>IFERROR(INDEX('Utility Portfolio Summary'!$F$259:$BY$273,MATCH('Program Summary'!$B39,'Utility Portfolio Summary'!$F$259:$F$273,FALSE),MATCH('Program Summary'!AI$25,'Utility Portfolio Summary'!$F$259:$BY$259,FALSE)),0)</f>
        <v>0</v>
      </c>
      <c r="AJ39" s="572">
        <f>IFERROR(INDEX('Utility Portfolio Summary'!$F$259:$BY$273,MATCH('Program Summary'!$B39,'Utility Portfolio Summary'!$F$259:$F$273,FALSE),MATCH('Program Summary'!AJ$25,'Utility Portfolio Summary'!$F$259:$BY$259,FALSE)),0)</f>
        <v>0</v>
      </c>
      <c r="AK39" s="572">
        <f>IFERROR(INDEX('Utility Portfolio Summary'!$F$259:$BY$273,MATCH('Program Summary'!$B39,'Utility Portfolio Summary'!$F$259:$F$273,FALSE),MATCH('Program Summary'!AK$25,'Utility Portfolio Summary'!$F$259:$BY$259,FALSE)),0)</f>
        <v>0</v>
      </c>
      <c r="AL39" s="572">
        <f>IFERROR(INDEX('Utility Portfolio Summary'!$F$259:$BY$273,MATCH('Program Summary'!$B39,'Utility Portfolio Summary'!$F$259:$F$273,FALSE),MATCH('Program Summary'!AL$25,'Utility Portfolio Summary'!$F$259:$BY$259,FALSE)),0)</f>
        <v>0</v>
      </c>
      <c r="AM39" s="572">
        <f>IFERROR(INDEX('Utility Portfolio Summary'!$F$259:$BY$273,MATCH('Program Summary'!$B39,'Utility Portfolio Summary'!$F$259:$F$273,FALSE),MATCH('Program Summary'!AM$25,'Utility Portfolio Summary'!$F$259:$BY$259,FALSE)),0)</f>
        <v>0</v>
      </c>
      <c r="AN39" s="572">
        <f>IFERROR(INDEX('Utility Portfolio Summary'!$F$259:$BY$273,MATCH('Program Summary'!$B39,'Utility Portfolio Summary'!$F$259:$F$273,FALSE),MATCH('Program Summary'!AN$25,'Utility Portfolio Summary'!$F$259:$BY$259,FALSE)),0)</f>
        <v>0</v>
      </c>
      <c r="AO39" s="572">
        <f>IFERROR(INDEX('Utility Portfolio Summary'!$F$259:$BY$273,MATCH('Program Summary'!$B39,'Utility Portfolio Summary'!$F$259:$F$273,FALSE),MATCH('Program Summary'!AO$25,'Utility Portfolio Summary'!$F$259:$BY$259,FALSE)),0)</f>
        <v>0</v>
      </c>
      <c r="AP39" s="572">
        <f>IFERROR(INDEX('Utility Portfolio Summary'!$F$259:$BY$273,MATCH('Program Summary'!$B39,'Utility Portfolio Summary'!$F$259:$F$273,FALSE),MATCH('Program Summary'!AP$25,'Utility Portfolio Summary'!$F$259:$BY$259,FALSE)),0)</f>
        <v>0</v>
      </c>
      <c r="AQ39" s="572">
        <f>IFERROR(INDEX('Utility Portfolio Summary'!$F$259:$BY$273,MATCH('Program Summary'!$B39,'Utility Portfolio Summary'!$F$259:$F$273,FALSE),MATCH('Program Summary'!AQ$25,'Utility Portfolio Summary'!$F$259:$BY$259,FALSE)),0)</f>
        <v>0</v>
      </c>
      <c r="AR39" s="572">
        <f>IFERROR(INDEX('Utility Portfolio Summary'!$F$259:$BY$273,MATCH('Program Summary'!$B39,'Utility Portfolio Summary'!$F$259:$F$273,FALSE),MATCH('Program Summary'!AR$25,'Utility Portfolio Summary'!$F$259:$BY$259,FALSE)),0)</f>
        <v>0</v>
      </c>
      <c r="AS39" s="572">
        <f>IFERROR(INDEX('Utility Portfolio Summary'!$F$259:$BY$273,MATCH('Program Summary'!$B39,'Utility Portfolio Summary'!$F$259:$F$273,FALSE),MATCH('Program Summary'!AS$25,'Utility Portfolio Summary'!$F$259:$BY$259,FALSE)),0)</f>
        <v>0</v>
      </c>
      <c r="AT39" s="572">
        <f>IFERROR(INDEX('Utility Portfolio Summary'!$F$259:$BY$273,MATCH('Program Summary'!$B39,'Utility Portfolio Summary'!$F$259:$F$273,FALSE),MATCH('Program Summary'!AT$25,'Utility Portfolio Summary'!$F$259:$BY$259,FALSE)),0)</f>
        <v>0</v>
      </c>
      <c r="AU39" s="572">
        <f>IFERROR(INDEX('Utility Portfolio Summary'!$F$259:$BY$273,MATCH('Program Summary'!$B39,'Utility Portfolio Summary'!$F$259:$F$273,FALSE),MATCH('Program Summary'!AU$25,'Utility Portfolio Summary'!$F$259:$BY$259,FALSE)),0)</f>
        <v>0</v>
      </c>
      <c r="AV39" s="572">
        <f>IFERROR(INDEX('Utility Portfolio Summary'!$F$259:$BY$273,MATCH('Program Summary'!$B39,'Utility Portfolio Summary'!$F$259:$F$273,FALSE),MATCH('Program Summary'!AV$25,'Utility Portfolio Summary'!$F$259:$BY$259,FALSE)),0)</f>
        <v>0</v>
      </c>
      <c r="AW39" s="572">
        <f>IFERROR(INDEX('Utility Portfolio Summary'!$F$259:$BY$273,MATCH('Program Summary'!$B39,'Utility Portfolio Summary'!$F$259:$F$273,FALSE),MATCH('Program Summary'!AW$25,'Utility Portfolio Summary'!$F$259:$BY$259,FALSE)),0)</f>
        <v>0</v>
      </c>
      <c r="AX39" s="572">
        <f>IFERROR(INDEX('Utility Portfolio Summary'!$F$259:$BY$273,MATCH('Program Summary'!$B39,'Utility Portfolio Summary'!$F$259:$F$273,FALSE),MATCH('Program Summary'!AX$25,'Utility Portfolio Summary'!$F$259:$BY$259,FALSE)),0)</f>
        <v>0</v>
      </c>
      <c r="AY39" s="2"/>
      <c r="AZ39" s="2"/>
      <c r="BA39" s="2"/>
      <c r="BB39" s="2"/>
      <c r="BC39" s="2"/>
      <c r="BD39" s="2"/>
      <c r="BE39" s="2"/>
      <c r="BF39" s="2"/>
    </row>
    <row r="40" spans="1:58" ht="5.25" customHeight="1">
      <c r="A40" s="2"/>
      <c r="B40" s="69"/>
      <c r="C40" s="69"/>
      <c r="D40" s="439"/>
      <c r="E40" s="439"/>
      <c r="F40" s="69"/>
      <c r="G40" s="69"/>
      <c r="H40" s="69"/>
      <c r="I40" s="69"/>
      <c r="J40" s="69"/>
      <c r="K40" s="69"/>
      <c r="L40" s="69"/>
      <c r="M40" s="69"/>
      <c r="N40" s="69"/>
      <c r="O40" s="69"/>
      <c r="P40" s="439"/>
      <c r="Q40" s="439"/>
      <c r="R40" s="439"/>
      <c r="S40" s="439"/>
      <c r="T40" s="439"/>
      <c r="U40" s="439"/>
      <c r="V40" s="439"/>
      <c r="W40" s="439"/>
      <c r="X40" s="439"/>
      <c r="Y40" s="439"/>
      <c r="Z40" s="439"/>
      <c r="AA40" s="439"/>
      <c r="AB40" s="439"/>
      <c r="AC40" s="439"/>
      <c r="AD40" s="69"/>
      <c r="AE40" s="69"/>
      <c r="AF40" s="69"/>
      <c r="AG40" s="69"/>
      <c r="AH40" s="69"/>
      <c r="AI40" s="69"/>
      <c r="AJ40" s="69"/>
      <c r="AK40" s="69"/>
      <c r="AL40" s="69"/>
      <c r="AM40" s="69"/>
      <c r="AN40" s="69"/>
      <c r="AO40" s="69"/>
      <c r="AP40" s="69"/>
      <c r="AQ40" s="69"/>
      <c r="AR40" s="69"/>
      <c r="AS40" s="69"/>
      <c r="AT40" s="69"/>
      <c r="AU40" s="69"/>
      <c r="AV40" s="69"/>
      <c r="AW40" s="69"/>
      <c r="AX40" s="69"/>
      <c r="AY40" s="2"/>
      <c r="AZ40" s="2"/>
      <c r="BA40" s="2"/>
      <c r="BB40" s="2"/>
      <c r="BC40" s="2"/>
      <c r="BD40" s="2"/>
      <c r="BE40" s="2"/>
      <c r="BF40" s="2"/>
    </row>
    <row r="41" spans="1:58">
      <c r="A41" s="2"/>
      <c r="B41" s="651" t="s">
        <v>72</v>
      </c>
      <c r="C41" s="652">
        <f t="shared" ref="C41:AX41" ca="1" si="19">SUM(C26:C39)</f>
        <v>76048204.014418662</v>
      </c>
      <c r="D41" s="653">
        <f t="shared" si="19"/>
        <v>80651172.811179832</v>
      </c>
      <c r="E41" s="653">
        <f t="shared" si="19"/>
        <v>89721194.027520016</v>
      </c>
      <c r="F41" s="652">
        <f t="shared" ca="1" si="19"/>
        <v>440435001.61869919</v>
      </c>
      <c r="G41" s="652">
        <f t="shared" ca="1" si="19"/>
        <v>157311.07618147469</v>
      </c>
      <c r="H41" s="652">
        <f t="shared" ca="1" si="19"/>
        <v>0</v>
      </c>
      <c r="I41" s="652">
        <f t="shared" ca="1" si="19"/>
        <v>5460073.6825795025</v>
      </c>
      <c r="J41" s="652">
        <f t="shared" ca="1" si="19"/>
        <v>8470390.4218420703</v>
      </c>
      <c r="K41" s="652">
        <f t="shared" ca="1" si="19"/>
        <v>12514382.2609045</v>
      </c>
      <c r="L41" s="652">
        <f t="shared" ca="1" si="19"/>
        <v>12578631.295613356</v>
      </c>
      <c r="M41" s="652">
        <f t="shared" ca="1" si="19"/>
        <v>12623593.235636037</v>
      </c>
      <c r="N41" s="652">
        <f t="shared" ca="1" si="19"/>
        <v>12581773.062055975</v>
      </c>
      <c r="O41" s="652">
        <f t="shared" ca="1" si="19"/>
        <v>12549377.476164913</v>
      </c>
      <c r="P41" s="653">
        <f t="shared" si="19"/>
        <v>10044414.462121312</v>
      </c>
      <c r="Q41" s="653">
        <f t="shared" si="19"/>
        <v>10824885.737068299</v>
      </c>
      <c r="R41" s="653">
        <f t="shared" si="19"/>
        <v>11150727.164004015</v>
      </c>
      <c r="S41" s="653">
        <f t="shared" si="19"/>
        <v>11577813.946219636</v>
      </c>
      <c r="T41" s="653">
        <f t="shared" si="19"/>
        <v>12182926.784420246</v>
      </c>
      <c r="U41" s="653">
        <f t="shared" si="19"/>
        <v>12322361.790953321</v>
      </c>
      <c r="V41" s="653">
        <f t="shared" si="19"/>
        <v>12548042.926392987</v>
      </c>
      <c r="W41" s="653">
        <f t="shared" si="19"/>
        <v>4212941.5593396071</v>
      </c>
      <c r="X41" s="653">
        <f t="shared" si="19"/>
        <v>5829902.8343880381</v>
      </c>
      <c r="Y41" s="653">
        <f t="shared" si="19"/>
        <v>8098827.1758434363</v>
      </c>
      <c r="Z41" s="653">
        <f t="shared" si="19"/>
        <v>11867256.255309947</v>
      </c>
      <c r="AA41" s="653">
        <f t="shared" si="19"/>
        <v>19431535.218206432</v>
      </c>
      <c r="AB41" s="653">
        <f t="shared" si="19"/>
        <v>20002202.61402854</v>
      </c>
      <c r="AC41" s="653">
        <f t="shared" si="19"/>
        <v>20278528.37040402</v>
      </c>
      <c r="AD41" s="652">
        <f t="shared" ca="1" si="19"/>
        <v>46539000.741893984</v>
      </c>
      <c r="AE41" s="652">
        <f t="shared" ca="1" si="19"/>
        <v>51058130.858810693</v>
      </c>
      <c r="AF41" s="652">
        <f t="shared" ca="1" si="19"/>
        <v>65476509.810034081</v>
      </c>
      <c r="AG41" s="652">
        <f t="shared" ca="1" si="19"/>
        <v>75563183.737326205</v>
      </c>
      <c r="AH41" s="652">
        <f t="shared" ca="1" si="19"/>
        <v>77122256.764087647</v>
      </c>
      <c r="AI41" s="652">
        <f t="shared" ca="1" si="19"/>
        <v>66595764.203545511</v>
      </c>
      <c r="AJ41" s="652">
        <f t="shared" ca="1" si="19"/>
        <v>58080155.503001019</v>
      </c>
      <c r="AK41" s="652">
        <f t="shared" ca="1" si="19"/>
        <v>86682.56339039281</v>
      </c>
      <c r="AL41" s="652">
        <f t="shared" ca="1" si="19"/>
        <v>88302.343476397567</v>
      </c>
      <c r="AM41" s="652">
        <f t="shared" ca="1" si="19"/>
        <v>93902.92925450328</v>
      </c>
      <c r="AN41" s="652">
        <f t="shared" ca="1" si="19"/>
        <v>103371.48998361468</v>
      </c>
      <c r="AO41" s="652">
        <f t="shared" ca="1" si="19"/>
        <v>115508.72307291922</v>
      </c>
      <c r="AP41" s="652">
        <f t="shared" ca="1" si="19"/>
        <v>119282.72767260829</v>
      </c>
      <c r="AQ41" s="652">
        <f t="shared" ca="1" si="19"/>
        <v>118128.1878029752</v>
      </c>
      <c r="AR41" s="652">
        <f t="shared" ca="1" si="19"/>
        <v>0</v>
      </c>
      <c r="AS41" s="652">
        <f t="shared" ca="1" si="19"/>
        <v>0</v>
      </c>
      <c r="AT41" s="652">
        <f t="shared" ca="1" si="19"/>
        <v>0</v>
      </c>
      <c r="AU41" s="652">
        <f t="shared" ca="1" si="19"/>
        <v>0</v>
      </c>
      <c r="AV41" s="652">
        <f t="shared" ca="1" si="19"/>
        <v>0</v>
      </c>
      <c r="AW41" s="652">
        <f t="shared" ca="1" si="19"/>
        <v>0</v>
      </c>
      <c r="AX41" s="652">
        <f t="shared" ca="1" si="19"/>
        <v>0</v>
      </c>
      <c r="AY41" s="2"/>
      <c r="AZ41" s="2"/>
      <c r="BA41" s="2"/>
      <c r="BB41" s="2"/>
      <c r="BC41" s="2"/>
      <c r="BD41" s="2"/>
      <c r="BE41" s="2"/>
      <c r="BF41" s="2"/>
    </row>
    <row r="42" spans="1:58">
      <c r="A42" s="2"/>
      <c r="B42" s="2"/>
      <c r="C42" s="3"/>
      <c r="D42" s="3"/>
      <c r="E42" s="3"/>
      <c r="F42" s="3"/>
      <c r="G42" s="3"/>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row>
    <row r="43" spans="1:58" ht="15.5">
      <c r="A43" s="13" t="s">
        <v>73</v>
      </c>
      <c r="B43" s="2"/>
      <c r="C43" s="3"/>
      <c r="D43" s="3"/>
      <c r="E43" s="3"/>
      <c r="F43" s="3"/>
      <c r="G43" s="3"/>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row>
    <row r="44" spans="1:58" ht="44.5" customHeight="1">
      <c r="A44" s="2"/>
      <c r="B44" s="646"/>
      <c r="C44" s="1341" t="s">
        <v>7</v>
      </c>
      <c r="D44" s="1341"/>
      <c r="E44" s="1342"/>
      <c r="F44" s="1342"/>
      <c r="G44" s="1342"/>
      <c r="H44" s="1342"/>
      <c r="I44" s="1337"/>
      <c r="J44" s="1337"/>
      <c r="K44" s="1337"/>
      <c r="L44" s="1337"/>
      <c r="M44" s="1337"/>
      <c r="N44" s="1337"/>
      <c r="O44" s="1337"/>
      <c r="P44" s="1337"/>
      <c r="Q44" s="1337"/>
      <c r="R44" s="1337"/>
      <c r="S44" s="1337"/>
      <c r="T44" s="1337"/>
      <c r="U44" s="1337"/>
      <c r="V44" s="1337"/>
      <c r="W44" s="1338"/>
      <c r="X44" s="1339"/>
      <c r="Y44" s="1339"/>
      <c r="Z44" s="1339"/>
      <c r="AA44" s="1339"/>
      <c r="AB44" s="1339"/>
      <c r="AC44" s="1340"/>
      <c r="AD44" s="1337"/>
      <c r="AE44" s="1337"/>
      <c r="AF44" s="1337"/>
      <c r="AG44" s="1337"/>
      <c r="AH44" s="1337"/>
      <c r="AI44" s="1337"/>
      <c r="AJ44" s="1337"/>
      <c r="AK44" s="1337"/>
      <c r="AL44" s="1337"/>
      <c r="AM44" s="1337"/>
      <c r="AN44" s="1337"/>
      <c r="AO44" s="1337"/>
      <c r="AP44" s="1337"/>
      <c r="AQ44" s="1337"/>
      <c r="AR44" s="1337"/>
      <c r="AS44" s="1337"/>
      <c r="AT44" s="1337"/>
      <c r="AU44" s="1337"/>
      <c r="AV44" s="1337"/>
      <c r="AW44" s="1337"/>
      <c r="AX44" s="1337"/>
      <c r="AY44" s="2"/>
      <c r="AZ44" s="2"/>
      <c r="BA44" s="2"/>
      <c r="BB44" s="2"/>
      <c r="BC44" s="2"/>
      <c r="BD44" s="2"/>
      <c r="BE44" s="2"/>
      <c r="BF44" s="2"/>
    </row>
    <row r="45" spans="1:58" s="438" customFormat="1" ht="26">
      <c r="B45" s="442" t="s">
        <v>8</v>
      </c>
      <c r="C45" s="647" t="s">
        <v>9</v>
      </c>
      <c r="D45" s="647" t="s">
        <v>10</v>
      </c>
      <c r="E45" s="647" t="s">
        <v>11</v>
      </c>
      <c r="F45" s="647" t="s">
        <v>12</v>
      </c>
      <c r="G45" s="647" t="s">
        <v>13</v>
      </c>
      <c r="H45" s="647" t="s">
        <v>14</v>
      </c>
      <c r="I45" s="648" t="s">
        <v>15</v>
      </c>
      <c r="J45" s="648" t="s">
        <v>16</v>
      </c>
      <c r="K45" s="648" t="s">
        <v>17</v>
      </c>
      <c r="L45" s="648" t="s">
        <v>18</v>
      </c>
      <c r="M45" s="648" t="s">
        <v>19</v>
      </c>
      <c r="N45" s="648" t="s">
        <v>20</v>
      </c>
      <c r="O45" s="648" t="s">
        <v>21</v>
      </c>
      <c r="P45" s="648" t="s">
        <v>22</v>
      </c>
      <c r="Q45" s="648" t="s">
        <v>23</v>
      </c>
      <c r="R45" s="648" t="s">
        <v>24</v>
      </c>
      <c r="S45" s="648" t="s">
        <v>25</v>
      </c>
      <c r="T45" s="648" t="s">
        <v>26</v>
      </c>
      <c r="U45" s="648" t="s">
        <v>27</v>
      </c>
      <c r="V45" s="648" t="s">
        <v>28</v>
      </c>
      <c r="W45" s="648" t="s">
        <v>29</v>
      </c>
      <c r="X45" s="648" t="s">
        <v>30</v>
      </c>
      <c r="Y45" s="648" t="s">
        <v>31</v>
      </c>
      <c r="Z45" s="648" t="s">
        <v>32</v>
      </c>
      <c r="AA45" s="648" t="s">
        <v>33</v>
      </c>
      <c r="AB45" s="648" t="s">
        <v>34</v>
      </c>
      <c r="AC45" s="648" t="s">
        <v>35</v>
      </c>
      <c r="AD45" s="648" t="s">
        <v>36</v>
      </c>
      <c r="AE45" s="648" t="s">
        <v>37</v>
      </c>
      <c r="AF45" s="648" t="s">
        <v>38</v>
      </c>
      <c r="AG45" s="648" t="s">
        <v>39</v>
      </c>
      <c r="AH45" s="648" t="s">
        <v>40</v>
      </c>
      <c r="AI45" s="648" t="s">
        <v>41</v>
      </c>
      <c r="AJ45" s="648" t="s">
        <v>42</v>
      </c>
      <c r="AK45" s="648" t="s">
        <v>43</v>
      </c>
      <c r="AL45" s="648" t="s">
        <v>44</v>
      </c>
      <c r="AM45" s="648" t="s">
        <v>45</v>
      </c>
      <c r="AN45" s="648" t="s">
        <v>46</v>
      </c>
      <c r="AO45" s="648" t="s">
        <v>47</v>
      </c>
      <c r="AP45" s="648" t="s">
        <v>48</v>
      </c>
      <c r="AQ45" s="648" t="s">
        <v>49</v>
      </c>
      <c r="AR45" s="648" t="s">
        <v>50</v>
      </c>
      <c r="AS45" s="648" t="s">
        <v>51</v>
      </c>
      <c r="AT45" s="648" t="s">
        <v>52</v>
      </c>
      <c r="AU45" s="648" t="s">
        <v>53</v>
      </c>
      <c r="AV45" s="648" t="s">
        <v>54</v>
      </c>
      <c r="AW45" s="648" t="s">
        <v>55</v>
      </c>
      <c r="AX45" s="648" t="s">
        <v>56</v>
      </c>
    </row>
    <row r="46" spans="1:58">
      <c r="A46" s="527" t="str">
        <f>B46&amp;"LG&amp;E"</f>
        <v>WeCare V2LG&amp;E</v>
      </c>
      <c r="B46" s="649" t="s">
        <v>57</v>
      </c>
      <c r="C46" s="572">
        <f ca="1">SUM(I46:O46)</f>
        <v>17892</v>
      </c>
      <c r="D46" s="650">
        <f>SUM(P46:V46)</f>
        <v>31450097.502765346</v>
      </c>
      <c r="E46" s="650">
        <f>SUM(W46:AC46)</f>
        <v>0</v>
      </c>
      <c r="F46" s="572">
        <f ca="1">SUM(AD46:AJ46)</f>
        <v>11837017.706335219</v>
      </c>
      <c r="G46" s="572">
        <f t="shared" ref="G46:G58" ca="1" si="20">MAX(AK46:AQ46)</f>
        <v>137.63357764361695</v>
      </c>
      <c r="H46" s="572">
        <f ca="1">SUM(AR46:AX46)</f>
        <v>916486.2503999999</v>
      </c>
      <c r="I46" s="572">
        <f ca="1">INDEX('Utility Portfolio Summary'!$F$275:$BY$289,MATCH('Program Summary'!$B46,'Utility Portfolio Summary'!$F$275:$F$289,FALSE),MATCH('Program Summary'!I$45,'Utility Portfolio Summary'!$F$275:$BY$275,FALSE))</f>
        <v>2556</v>
      </c>
      <c r="J46" s="572">
        <f ca="1">INDEX('Utility Portfolio Summary'!$F$275:$BY$289,MATCH('Program Summary'!$B46,'Utility Portfolio Summary'!$F$275:$F$289,FALSE),MATCH('Program Summary'!J$45,'Utility Portfolio Summary'!$F$275:$BY$275,FALSE))</f>
        <v>2556</v>
      </c>
      <c r="K46" s="572">
        <f ca="1">INDEX('Utility Portfolio Summary'!$F$275:$BY$289,MATCH('Program Summary'!$B46,'Utility Portfolio Summary'!$F$275:$F$289,FALSE),MATCH('Program Summary'!K$45,'Utility Portfolio Summary'!$F$275:$BY$275,FALSE))</f>
        <v>2556</v>
      </c>
      <c r="L46" s="572">
        <f ca="1">INDEX('Utility Portfolio Summary'!$F$275:$BY$289,MATCH('Program Summary'!$B46,'Utility Portfolio Summary'!$F$275:$F$289,FALSE),MATCH('Program Summary'!L$45,'Utility Portfolio Summary'!$F$275:$BY$275,FALSE))</f>
        <v>2556</v>
      </c>
      <c r="M46" s="572">
        <f ca="1">INDEX('Utility Portfolio Summary'!$F$275:$BY$289,MATCH('Program Summary'!$B46,'Utility Portfolio Summary'!$F$275:$F$289,FALSE),MATCH('Program Summary'!M$45,'Utility Portfolio Summary'!$F$275:$BY$275,FALSE))</f>
        <v>2556</v>
      </c>
      <c r="N46" s="572">
        <f ca="1">INDEX('Utility Portfolio Summary'!$F$275:$BY$289,MATCH('Program Summary'!$B46,'Utility Portfolio Summary'!$F$275:$F$289,FALSE),MATCH('Program Summary'!N$45,'Utility Portfolio Summary'!$F$275:$BY$275,FALSE))</f>
        <v>2556</v>
      </c>
      <c r="O46" s="572">
        <f ca="1">INDEX('Utility Portfolio Summary'!$F$275:$BY$289,MATCH('Program Summary'!$B46,'Utility Portfolio Summary'!$F$275:$F$289,FALSE),MATCH('Program Summary'!O$45,'Utility Portfolio Summary'!$F$275:$BY$275,FALSE))</f>
        <v>2556</v>
      </c>
      <c r="P46" s="650">
        <f>VLOOKUP($A46,'LGE-KU Budgets'!$A$6:$Y$50,'LGE-KU Budgets'!L$2,0)*1000</f>
        <v>4484571.2403064761</v>
      </c>
      <c r="Q46" s="650">
        <f>VLOOKUP($A46,'LGE-KU Budgets'!$A$6:$Y$50,'LGE-KU Budgets'!M$2,0)*1000</f>
        <v>4480308.3075156705</v>
      </c>
      <c r="R46" s="650">
        <f>VLOOKUP($A46,'LGE-KU Budgets'!$A$6:$Y$50,'LGE-KU Budgets'!N$2,0)*1000</f>
        <v>4485667.4867411405</v>
      </c>
      <c r="S46" s="650">
        <f>VLOOKUP($A46,'LGE-KU Budgets'!$A$6:$Y$50,'LGE-KU Budgets'!O$2,0)*1000</f>
        <v>4491187.4413433746</v>
      </c>
      <c r="T46" s="650">
        <f>VLOOKUP($A46,'LGE-KU Budgets'!$A$6:$Y$50,'LGE-KU Budgets'!P$2,0)*1000</f>
        <v>4496872.9945836756</v>
      </c>
      <c r="U46" s="650">
        <f>VLOOKUP($A46,'LGE-KU Budgets'!$A$6:$Y$50,'LGE-KU Budgets'!Q$2,0)*1000</f>
        <v>4502729.114421187</v>
      </c>
      <c r="V46" s="650">
        <f>VLOOKUP($A46,'LGE-KU Budgets'!$A$6:$Y$50,'LGE-KU Budgets'!R$2,0)*1000</f>
        <v>4508760.9178538211</v>
      </c>
      <c r="W46" s="650">
        <f>VLOOKUP($A46,'LGE-KU Budgets'!$A$6:$Y$50,'LGE-KU Budgets'!S$2,0)*1000</f>
        <v>0</v>
      </c>
      <c r="X46" s="650">
        <f>VLOOKUP($A46,'LGE-KU Budgets'!$A$6:$Y$50,'LGE-KU Budgets'!T$2,0)*1000</f>
        <v>0</v>
      </c>
      <c r="Y46" s="650">
        <f>VLOOKUP($A46,'LGE-KU Budgets'!$A$6:$Y$50,'LGE-KU Budgets'!U$2,0)*1000</f>
        <v>0</v>
      </c>
      <c r="Z46" s="650">
        <f>VLOOKUP($A46,'LGE-KU Budgets'!$A$6:$Y$50,'LGE-KU Budgets'!V$2,0)*1000</f>
        <v>0</v>
      </c>
      <c r="AA46" s="650">
        <f>VLOOKUP($A46,'LGE-KU Budgets'!$A$6:$Y$50,'LGE-KU Budgets'!W$2,0)*1000</f>
        <v>0</v>
      </c>
      <c r="AB46" s="650">
        <f>VLOOKUP($A46,'LGE-KU Budgets'!$A$6:$Y$50,'LGE-KU Budgets'!X$2,0)*1000</f>
        <v>0</v>
      </c>
      <c r="AC46" s="650">
        <f>VLOOKUP($A46,'LGE-KU Budgets'!$A$6:$Y$50,'LGE-KU Budgets'!Y$2,0)*1000</f>
        <v>0</v>
      </c>
      <c r="AD46" s="572">
        <f ca="1">INDEX('Utility Portfolio Summary'!$F$275:$BY$289,MATCH('Program Summary'!$B46,'Utility Portfolio Summary'!$F$275:$F$289,FALSE),MATCH('Program Summary'!AD$45,'Utility Portfolio Summary'!$F$275:$BY$275,FALSE))</f>
        <v>1691002.5294764596</v>
      </c>
      <c r="AE46" s="572">
        <f ca="1">INDEX('Utility Portfolio Summary'!$F$275:$BY$289,MATCH('Program Summary'!$B46,'Utility Portfolio Summary'!$F$275:$F$289,FALSE),MATCH('Program Summary'!AE$45,'Utility Portfolio Summary'!$F$275:$BY$275,FALSE))</f>
        <v>1691002.5294764596</v>
      </c>
      <c r="AF46" s="572">
        <f ca="1">INDEX('Utility Portfolio Summary'!$F$275:$BY$289,MATCH('Program Summary'!$B46,'Utility Portfolio Summary'!$F$275:$F$289,FALSE),MATCH('Program Summary'!AF$45,'Utility Portfolio Summary'!$F$275:$BY$275,FALSE))</f>
        <v>1691002.5294764596</v>
      </c>
      <c r="AG46" s="572">
        <f ca="1">INDEX('Utility Portfolio Summary'!$F$275:$BY$289,MATCH('Program Summary'!$B46,'Utility Portfolio Summary'!$F$275:$F$289,FALSE),MATCH('Program Summary'!AG$45,'Utility Portfolio Summary'!$F$275:$BY$275,FALSE))</f>
        <v>1691002.5294764596</v>
      </c>
      <c r="AH46" s="572">
        <f ca="1">INDEX('Utility Portfolio Summary'!$F$275:$BY$289,MATCH('Program Summary'!$B46,'Utility Portfolio Summary'!$F$275:$F$289,FALSE),MATCH('Program Summary'!AH$45,'Utility Portfolio Summary'!$F$275:$BY$275,FALSE))</f>
        <v>1691002.5294764596</v>
      </c>
      <c r="AI46" s="572">
        <f ca="1">INDEX('Utility Portfolio Summary'!$F$275:$BY$289,MATCH('Program Summary'!$B46,'Utility Portfolio Summary'!$F$275:$F$289,FALSE),MATCH('Program Summary'!AI$45,'Utility Portfolio Summary'!$F$275:$BY$275,FALSE))</f>
        <v>1691002.5294764596</v>
      </c>
      <c r="AJ46" s="572">
        <f ca="1">INDEX('Utility Portfolio Summary'!$F$275:$BY$289,MATCH('Program Summary'!$B46,'Utility Portfolio Summary'!$F$275:$F$289,FALSE),MATCH('Program Summary'!AJ$45,'Utility Portfolio Summary'!$F$275:$BY$275,FALSE))</f>
        <v>1691002.5294764596</v>
      </c>
      <c r="AK46" s="572">
        <f ca="1">INDEX('Utility Portfolio Summary'!$F$275:$BY$289,MATCH('Program Summary'!$B46,'Utility Portfolio Summary'!$F$275:$F$289,FALSE),MATCH('Program Summary'!AK$45,'Utility Portfolio Summary'!$F$275:$BY$275,FALSE))</f>
        <v>137.63357764361695</v>
      </c>
      <c r="AL46" s="572">
        <f ca="1">INDEX('Utility Portfolio Summary'!$F$275:$BY$289,MATCH('Program Summary'!$B46,'Utility Portfolio Summary'!$F$275:$F$289,FALSE),MATCH('Program Summary'!AL$45,'Utility Portfolio Summary'!$F$275:$BY$275,FALSE))</f>
        <v>137.63357764361695</v>
      </c>
      <c r="AM46" s="572">
        <f ca="1">INDEX('Utility Portfolio Summary'!$F$275:$BY$289,MATCH('Program Summary'!$B46,'Utility Portfolio Summary'!$F$275:$F$289,FALSE),MATCH('Program Summary'!AM$45,'Utility Portfolio Summary'!$F$275:$BY$275,FALSE))</f>
        <v>137.63357764361695</v>
      </c>
      <c r="AN46" s="572">
        <f ca="1">INDEX('Utility Portfolio Summary'!$F$275:$BY$289,MATCH('Program Summary'!$B46,'Utility Portfolio Summary'!$F$275:$F$289,FALSE),MATCH('Program Summary'!AN$45,'Utility Portfolio Summary'!$F$275:$BY$275,FALSE))</f>
        <v>137.63357764361695</v>
      </c>
      <c r="AO46" s="572">
        <f ca="1">INDEX('Utility Portfolio Summary'!$F$275:$BY$289,MATCH('Program Summary'!$B46,'Utility Portfolio Summary'!$F$275:$F$289,FALSE),MATCH('Program Summary'!AO$45,'Utility Portfolio Summary'!$F$275:$BY$275,FALSE))</f>
        <v>137.63357764361695</v>
      </c>
      <c r="AP46" s="572">
        <f ca="1">INDEX('Utility Portfolio Summary'!$F$275:$BY$289,MATCH('Program Summary'!$B46,'Utility Portfolio Summary'!$F$275:$F$289,FALSE),MATCH('Program Summary'!AP$45,'Utility Portfolio Summary'!$F$275:$BY$275,FALSE))</f>
        <v>137.63357764361695</v>
      </c>
      <c r="AQ46" s="572">
        <f ca="1">INDEX('Utility Portfolio Summary'!$F$275:$BY$289,MATCH('Program Summary'!$B46,'Utility Portfolio Summary'!$F$275:$F$289,FALSE),MATCH('Program Summary'!AQ$45,'Utility Portfolio Summary'!$F$275:$BY$275,FALSE))</f>
        <v>137.63357764361695</v>
      </c>
      <c r="AR46" s="572">
        <f ca="1">INDEX('Utility Portfolio Summary'!$F$275:$BY$289,MATCH('Program Summary'!$B46,'Utility Portfolio Summary'!$F$275:$F$289,FALSE),MATCH('Program Summary'!AR$45,'Utility Portfolio Summary'!$F$275:$BY$275,FALSE))</f>
        <v>130926.60719999998</v>
      </c>
      <c r="AS46" s="572">
        <f ca="1">INDEX('Utility Portfolio Summary'!$F$275:$BY$289,MATCH('Program Summary'!$B46,'Utility Portfolio Summary'!$F$275:$F$289,FALSE),MATCH('Program Summary'!AS$45,'Utility Portfolio Summary'!$F$275:$BY$275,FALSE))</f>
        <v>130926.60719999998</v>
      </c>
      <c r="AT46" s="572">
        <f ca="1">INDEX('Utility Portfolio Summary'!$F$275:$BY$289,MATCH('Program Summary'!$B46,'Utility Portfolio Summary'!$F$275:$F$289,FALSE),MATCH('Program Summary'!AT$45,'Utility Portfolio Summary'!$F$275:$BY$275,FALSE))</f>
        <v>130926.60719999998</v>
      </c>
      <c r="AU46" s="572">
        <f ca="1">INDEX('Utility Portfolio Summary'!$F$275:$BY$289,MATCH('Program Summary'!$B46,'Utility Portfolio Summary'!$F$275:$F$289,FALSE),MATCH('Program Summary'!AU$45,'Utility Portfolio Summary'!$F$275:$BY$275,FALSE))</f>
        <v>130926.60719999998</v>
      </c>
      <c r="AV46" s="572">
        <f ca="1">INDEX('Utility Portfolio Summary'!$F$275:$BY$289,MATCH('Program Summary'!$B46,'Utility Portfolio Summary'!$F$275:$F$289,FALSE),MATCH('Program Summary'!AV$45,'Utility Portfolio Summary'!$F$275:$BY$275,FALSE))</f>
        <v>130926.60719999998</v>
      </c>
      <c r="AW46" s="572">
        <f ca="1">INDEX('Utility Portfolio Summary'!$F$275:$BY$289,MATCH('Program Summary'!$B46,'Utility Portfolio Summary'!$F$275:$F$289,FALSE),MATCH('Program Summary'!AW$45,'Utility Portfolio Summary'!$F$275:$BY$275,FALSE))</f>
        <v>130926.60719999998</v>
      </c>
      <c r="AX46" s="572">
        <f ca="1">INDEX('Utility Portfolio Summary'!$F$275:$BY$289,MATCH('Program Summary'!$B46,'Utility Portfolio Summary'!$F$275:$F$289,FALSE),MATCH('Program Summary'!AX$45,'Utility Portfolio Summary'!$F$275:$BY$275,FALSE))</f>
        <v>130926.60719999998</v>
      </c>
      <c r="AY46" s="2"/>
      <c r="AZ46" s="2"/>
      <c r="BA46" s="2"/>
      <c r="BB46" s="2"/>
      <c r="BC46" s="2"/>
      <c r="BD46" s="2"/>
      <c r="BE46" s="2"/>
      <c r="BF46" s="2"/>
    </row>
    <row r="47" spans="1:58">
      <c r="A47" s="527" t="str">
        <f t="shared" ref="A47:A59" si="21">B47&amp;"LG&amp;E"</f>
        <v>LI Multifamily - Whole BuildingLG&amp;E</v>
      </c>
      <c r="B47" s="649" t="s">
        <v>58</v>
      </c>
      <c r="C47" s="572">
        <f t="shared" ref="C47:C58" ca="1" si="22">SUM(I47:O47)</f>
        <v>134050</v>
      </c>
      <c r="D47" s="650">
        <f t="shared" ref="D47:D59" si="23">SUM(P47:V47)</f>
        <v>4000702.1541750622</v>
      </c>
      <c r="E47" s="650">
        <f t="shared" ref="E47:E59" si="24">SUM(W47:AC47)</f>
        <v>0</v>
      </c>
      <c r="F47" s="572">
        <f t="shared" ref="F47:F59" ca="1" si="25">SUM(AD47:AJ47)</f>
        <v>2375809.4475194849</v>
      </c>
      <c r="G47" s="572">
        <f t="shared" ca="1" si="20"/>
        <v>32.746663084702448</v>
      </c>
      <c r="H47" s="572">
        <f t="shared" ref="H47:H59" ca="1" si="26">SUM(AR47:AX47)</f>
        <v>44886.849703225387</v>
      </c>
      <c r="I47" s="572">
        <f ca="1">INDEX('Utility Portfolio Summary'!$F$275:$BY$289,MATCH('Program Summary'!$B47,'Utility Portfolio Summary'!$F$275:$F$289,FALSE),MATCH('Program Summary'!I$45,'Utility Portfolio Summary'!$F$275:$BY$275,FALSE))</f>
        <v>19150</v>
      </c>
      <c r="J47" s="572">
        <f ca="1">INDEX('Utility Portfolio Summary'!$F$275:$BY$289,MATCH('Program Summary'!$B47,'Utility Portfolio Summary'!$F$275:$F$289,FALSE),MATCH('Program Summary'!J$45,'Utility Portfolio Summary'!$F$275:$BY$275,FALSE))</f>
        <v>19150</v>
      </c>
      <c r="K47" s="572">
        <f ca="1">INDEX('Utility Portfolio Summary'!$F$275:$BY$289,MATCH('Program Summary'!$B47,'Utility Portfolio Summary'!$F$275:$F$289,FALSE),MATCH('Program Summary'!K$45,'Utility Portfolio Summary'!$F$275:$BY$275,FALSE))</f>
        <v>19150</v>
      </c>
      <c r="L47" s="572">
        <f ca="1">INDEX('Utility Portfolio Summary'!$F$275:$BY$289,MATCH('Program Summary'!$B47,'Utility Portfolio Summary'!$F$275:$F$289,FALSE),MATCH('Program Summary'!L$45,'Utility Portfolio Summary'!$F$275:$BY$275,FALSE))</f>
        <v>19150</v>
      </c>
      <c r="M47" s="572">
        <f ca="1">INDEX('Utility Portfolio Summary'!$F$275:$BY$289,MATCH('Program Summary'!$B47,'Utility Portfolio Summary'!$F$275:$F$289,FALSE),MATCH('Program Summary'!M$45,'Utility Portfolio Summary'!$F$275:$BY$275,FALSE))</f>
        <v>19150</v>
      </c>
      <c r="N47" s="572">
        <f ca="1">INDEX('Utility Portfolio Summary'!$F$275:$BY$289,MATCH('Program Summary'!$B47,'Utility Portfolio Summary'!$F$275:$F$289,FALSE),MATCH('Program Summary'!N$45,'Utility Portfolio Summary'!$F$275:$BY$275,FALSE))</f>
        <v>19150</v>
      </c>
      <c r="O47" s="572">
        <f ca="1">INDEX('Utility Portfolio Summary'!$F$275:$BY$289,MATCH('Program Summary'!$B47,'Utility Portfolio Summary'!$F$275:$F$289,FALSE),MATCH('Program Summary'!O$45,'Utility Portfolio Summary'!$F$275:$BY$275,FALSE))</f>
        <v>19150</v>
      </c>
      <c r="P47" s="650">
        <f>VLOOKUP($A47,'LGE-KU Budgets'!$A$6:$Y$50,'LGE-KU Budgets'!L$2,0)*1000</f>
        <v>545626.23388469999</v>
      </c>
      <c r="Q47" s="650">
        <f>VLOOKUP($A47,'LGE-KU Budgets'!$A$6:$Y$50,'LGE-KU Budgets'!M$2,0)*1000</f>
        <v>555743.98827986757</v>
      </c>
      <c r="R47" s="650">
        <f>VLOOKUP($A47,'LGE-KU Budgets'!$A$6:$Y$50,'LGE-KU Budgets'!N$2,0)*1000</f>
        <v>633665.27530689014</v>
      </c>
      <c r="S47" s="650">
        <f>VLOOKUP($A47,'LGE-KU Budgets'!$A$6:$Y$50,'LGE-KU Budgets'!O$2,0)*1000</f>
        <v>561674.20094472321</v>
      </c>
      <c r="T47" s="650">
        <f>VLOOKUP($A47,'LGE-KU Budgets'!$A$6:$Y$50,'LGE-KU Budgets'!P$2,0)*1000</f>
        <v>564773.39435169147</v>
      </c>
      <c r="U47" s="650">
        <f>VLOOKUP($A47,'LGE-KU Budgets'!$A$6:$Y$50,'LGE-KU Budgets'!Q$2,0)*1000</f>
        <v>567965.56356086873</v>
      </c>
      <c r="V47" s="650">
        <f>VLOOKUP($A47,'LGE-KU Budgets'!$A$6:$Y$50,'LGE-KU Budgets'!R$2,0)*1000</f>
        <v>571253.49784632132</v>
      </c>
      <c r="W47" s="650">
        <f>VLOOKUP($A47,'LGE-KU Budgets'!$A$6:$Y$50,'LGE-KU Budgets'!S$2,0)*1000</f>
        <v>0</v>
      </c>
      <c r="X47" s="650">
        <f>VLOOKUP($A47,'LGE-KU Budgets'!$A$6:$Y$50,'LGE-KU Budgets'!T$2,0)*1000</f>
        <v>0</v>
      </c>
      <c r="Y47" s="650">
        <f>VLOOKUP($A47,'LGE-KU Budgets'!$A$6:$Y$50,'LGE-KU Budgets'!U$2,0)*1000</f>
        <v>0</v>
      </c>
      <c r="Z47" s="650">
        <f>VLOOKUP($A47,'LGE-KU Budgets'!$A$6:$Y$50,'LGE-KU Budgets'!V$2,0)*1000</f>
        <v>0</v>
      </c>
      <c r="AA47" s="650">
        <f>VLOOKUP($A47,'LGE-KU Budgets'!$A$6:$Y$50,'LGE-KU Budgets'!W$2,0)*1000</f>
        <v>0</v>
      </c>
      <c r="AB47" s="650">
        <f>VLOOKUP($A47,'LGE-KU Budgets'!$A$6:$Y$50,'LGE-KU Budgets'!X$2,0)*1000</f>
        <v>0</v>
      </c>
      <c r="AC47" s="650">
        <f>VLOOKUP($A47,'LGE-KU Budgets'!$A$6:$Y$50,'LGE-KU Budgets'!Y$2,0)*1000</f>
        <v>0</v>
      </c>
      <c r="AD47" s="572">
        <f ca="1">INDEX('Utility Portfolio Summary'!$F$275:$BY$289,MATCH('Program Summary'!$B47,'Utility Portfolio Summary'!$F$275:$F$289,FALSE),MATCH('Program Summary'!AD$45,'Utility Portfolio Summary'!$F$275:$BY$275,FALSE))</f>
        <v>339401.3496456407</v>
      </c>
      <c r="AE47" s="572">
        <f ca="1">INDEX('Utility Portfolio Summary'!$F$275:$BY$289,MATCH('Program Summary'!$B47,'Utility Portfolio Summary'!$F$275:$F$289,FALSE),MATCH('Program Summary'!AE$45,'Utility Portfolio Summary'!$F$275:$BY$275,FALSE))</f>
        <v>339401.3496456407</v>
      </c>
      <c r="AF47" s="572">
        <f ca="1">INDEX('Utility Portfolio Summary'!$F$275:$BY$289,MATCH('Program Summary'!$B47,'Utility Portfolio Summary'!$F$275:$F$289,FALSE),MATCH('Program Summary'!AF$45,'Utility Portfolio Summary'!$F$275:$BY$275,FALSE))</f>
        <v>339401.3496456407</v>
      </c>
      <c r="AG47" s="572">
        <f ca="1">INDEX('Utility Portfolio Summary'!$F$275:$BY$289,MATCH('Program Summary'!$B47,'Utility Portfolio Summary'!$F$275:$F$289,FALSE),MATCH('Program Summary'!AG$45,'Utility Portfolio Summary'!$F$275:$BY$275,FALSE))</f>
        <v>339401.3496456407</v>
      </c>
      <c r="AH47" s="572">
        <f ca="1">INDEX('Utility Portfolio Summary'!$F$275:$BY$289,MATCH('Program Summary'!$B47,'Utility Portfolio Summary'!$F$275:$F$289,FALSE),MATCH('Program Summary'!AH$45,'Utility Portfolio Summary'!$F$275:$BY$275,FALSE))</f>
        <v>339401.3496456407</v>
      </c>
      <c r="AI47" s="572">
        <f ca="1">INDEX('Utility Portfolio Summary'!$F$275:$BY$289,MATCH('Program Summary'!$B47,'Utility Portfolio Summary'!$F$275:$F$289,FALSE),MATCH('Program Summary'!AI$45,'Utility Portfolio Summary'!$F$275:$BY$275,FALSE))</f>
        <v>339401.3496456407</v>
      </c>
      <c r="AJ47" s="572">
        <f ca="1">INDEX('Utility Portfolio Summary'!$F$275:$BY$289,MATCH('Program Summary'!$B47,'Utility Portfolio Summary'!$F$275:$F$289,FALSE),MATCH('Program Summary'!AJ$45,'Utility Portfolio Summary'!$F$275:$BY$275,FALSE))</f>
        <v>339401.3496456407</v>
      </c>
      <c r="AK47" s="572">
        <f ca="1">INDEX('Utility Portfolio Summary'!$F$275:$BY$289,MATCH('Program Summary'!$B47,'Utility Portfolio Summary'!$F$275:$F$289,FALSE),MATCH('Program Summary'!AK$45,'Utility Portfolio Summary'!$F$275:$BY$275,FALSE))</f>
        <v>32.746663084702448</v>
      </c>
      <c r="AL47" s="572">
        <f ca="1">INDEX('Utility Portfolio Summary'!$F$275:$BY$289,MATCH('Program Summary'!$B47,'Utility Portfolio Summary'!$F$275:$F$289,FALSE),MATCH('Program Summary'!AL$45,'Utility Portfolio Summary'!$F$275:$BY$275,FALSE))</f>
        <v>32.746663084702448</v>
      </c>
      <c r="AM47" s="572">
        <f ca="1">INDEX('Utility Portfolio Summary'!$F$275:$BY$289,MATCH('Program Summary'!$B47,'Utility Portfolio Summary'!$F$275:$F$289,FALSE),MATCH('Program Summary'!AM$45,'Utility Portfolio Summary'!$F$275:$BY$275,FALSE))</f>
        <v>32.746663084702448</v>
      </c>
      <c r="AN47" s="572">
        <f ca="1">INDEX('Utility Portfolio Summary'!$F$275:$BY$289,MATCH('Program Summary'!$B47,'Utility Portfolio Summary'!$F$275:$F$289,FALSE),MATCH('Program Summary'!AN$45,'Utility Portfolio Summary'!$F$275:$BY$275,FALSE))</f>
        <v>32.746663084702448</v>
      </c>
      <c r="AO47" s="572">
        <f ca="1">INDEX('Utility Portfolio Summary'!$F$275:$BY$289,MATCH('Program Summary'!$B47,'Utility Portfolio Summary'!$F$275:$F$289,FALSE),MATCH('Program Summary'!AO$45,'Utility Portfolio Summary'!$F$275:$BY$275,FALSE))</f>
        <v>32.746663084702448</v>
      </c>
      <c r="AP47" s="572">
        <f ca="1">INDEX('Utility Portfolio Summary'!$F$275:$BY$289,MATCH('Program Summary'!$B47,'Utility Portfolio Summary'!$F$275:$F$289,FALSE),MATCH('Program Summary'!AP$45,'Utility Portfolio Summary'!$F$275:$BY$275,FALSE))</f>
        <v>32.746663084702448</v>
      </c>
      <c r="AQ47" s="572">
        <f ca="1">INDEX('Utility Portfolio Summary'!$F$275:$BY$289,MATCH('Program Summary'!$B47,'Utility Portfolio Summary'!$F$275:$F$289,FALSE),MATCH('Program Summary'!AQ$45,'Utility Portfolio Summary'!$F$275:$BY$275,FALSE))</f>
        <v>32.746663084702448</v>
      </c>
      <c r="AR47" s="572">
        <f ca="1">INDEX('Utility Portfolio Summary'!$F$275:$BY$289,MATCH('Program Summary'!$B47,'Utility Portfolio Summary'!$F$275:$F$289,FALSE),MATCH('Program Summary'!AR$45,'Utility Portfolio Summary'!$F$275:$BY$275,FALSE))</f>
        <v>6412.4071004607695</v>
      </c>
      <c r="AS47" s="572">
        <f ca="1">INDEX('Utility Portfolio Summary'!$F$275:$BY$289,MATCH('Program Summary'!$B47,'Utility Portfolio Summary'!$F$275:$F$289,FALSE),MATCH('Program Summary'!AS$45,'Utility Portfolio Summary'!$F$275:$BY$275,FALSE))</f>
        <v>6412.4071004607695</v>
      </c>
      <c r="AT47" s="572">
        <f ca="1">INDEX('Utility Portfolio Summary'!$F$275:$BY$289,MATCH('Program Summary'!$B47,'Utility Portfolio Summary'!$F$275:$F$289,FALSE),MATCH('Program Summary'!AT$45,'Utility Portfolio Summary'!$F$275:$BY$275,FALSE))</f>
        <v>6412.4071004607695</v>
      </c>
      <c r="AU47" s="572">
        <f ca="1">INDEX('Utility Portfolio Summary'!$F$275:$BY$289,MATCH('Program Summary'!$B47,'Utility Portfolio Summary'!$F$275:$F$289,FALSE),MATCH('Program Summary'!AU$45,'Utility Portfolio Summary'!$F$275:$BY$275,FALSE))</f>
        <v>6412.4071004607695</v>
      </c>
      <c r="AV47" s="572">
        <f ca="1">INDEX('Utility Portfolio Summary'!$F$275:$BY$289,MATCH('Program Summary'!$B47,'Utility Portfolio Summary'!$F$275:$F$289,FALSE),MATCH('Program Summary'!AV$45,'Utility Portfolio Summary'!$F$275:$BY$275,FALSE))</f>
        <v>6412.4071004607695</v>
      </c>
      <c r="AW47" s="572">
        <f ca="1">INDEX('Utility Portfolio Summary'!$F$275:$BY$289,MATCH('Program Summary'!$B47,'Utility Portfolio Summary'!$F$275:$F$289,FALSE),MATCH('Program Summary'!AW$45,'Utility Portfolio Summary'!$F$275:$BY$275,FALSE))</f>
        <v>6412.4071004607695</v>
      </c>
      <c r="AX47" s="572">
        <f ca="1">INDEX('Utility Portfolio Summary'!$F$275:$BY$289,MATCH('Program Summary'!$B47,'Utility Portfolio Summary'!$F$275:$F$289,FALSE),MATCH('Program Summary'!AX$45,'Utility Portfolio Summary'!$F$275:$BY$275,FALSE))</f>
        <v>6412.4071004607695</v>
      </c>
      <c r="AY47" s="2"/>
      <c r="AZ47" s="2"/>
      <c r="BA47" s="2"/>
      <c r="BB47" s="2"/>
      <c r="BC47" s="2"/>
      <c r="BD47" s="2"/>
      <c r="BE47" s="2"/>
      <c r="BF47" s="2"/>
    </row>
    <row r="48" spans="1:58">
      <c r="A48" s="527" t="str">
        <f t="shared" si="21"/>
        <v>Appliance RecyclingLG&amp;E</v>
      </c>
      <c r="B48" s="649" t="s">
        <v>59</v>
      </c>
      <c r="C48" s="572">
        <f t="shared" ca="1" si="22"/>
        <v>18777.5</v>
      </c>
      <c r="D48" s="650">
        <f t="shared" si="23"/>
        <v>3514879.3026405317</v>
      </c>
      <c r="E48" s="650">
        <f t="shared" si="24"/>
        <v>925000</v>
      </c>
      <c r="F48" s="572">
        <f t="shared" ca="1" si="25"/>
        <v>14006514.234693877</v>
      </c>
      <c r="G48" s="572">
        <f t="shared" ca="1" si="20"/>
        <v>354.63510204081638</v>
      </c>
      <c r="H48" s="572">
        <f t="shared" ca="1" si="26"/>
        <v>0</v>
      </c>
      <c r="I48" s="572">
        <f ca="1">INDEX('Utility Portfolio Summary'!$F$275:$BY$289,MATCH('Program Summary'!$B48,'Utility Portfolio Summary'!$F$275:$F$289,FALSE),MATCH('Program Summary'!I$45,'Utility Portfolio Summary'!$F$275:$BY$275,FALSE))</f>
        <v>0</v>
      </c>
      <c r="J48" s="572">
        <f ca="1">INDEX('Utility Portfolio Summary'!$F$275:$BY$289,MATCH('Program Summary'!$B48,'Utility Portfolio Summary'!$F$275:$F$289,FALSE),MATCH('Program Summary'!J$45,'Utility Portfolio Summary'!$F$275:$BY$275,FALSE))</f>
        <v>0</v>
      </c>
      <c r="K48" s="572">
        <f ca="1">INDEX('Utility Portfolio Summary'!$F$275:$BY$289,MATCH('Program Summary'!$B48,'Utility Portfolio Summary'!$F$275:$F$289,FALSE),MATCH('Program Summary'!K$45,'Utility Portfolio Summary'!$F$275:$BY$275,FALSE))</f>
        <v>3045</v>
      </c>
      <c r="L48" s="572">
        <f ca="1">INDEX('Utility Portfolio Summary'!$F$275:$BY$289,MATCH('Program Summary'!$B48,'Utility Portfolio Summary'!$F$275:$F$289,FALSE),MATCH('Program Summary'!L$45,'Utility Portfolio Summary'!$F$275:$BY$275,FALSE))</f>
        <v>3552.5</v>
      </c>
      <c r="M48" s="572">
        <f ca="1">INDEX('Utility Portfolio Summary'!$F$275:$BY$289,MATCH('Program Summary'!$B48,'Utility Portfolio Summary'!$F$275:$F$289,FALSE),MATCH('Program Summary'!M$45,'Utility Portfolio Summary'!$F$275:$BY$275,FALSE))</f>
        <v>4060</v>
      </c>
      <c r="N48" s="572">
        <f ca="1">INDEX('Utility Portfolio Summary'!$F$275:$BY$289,MATCH('Program Summary'!$B48,'Utility Portfolio Summary'!$F$275:$F$289,FALSE),MATCH('Program Summary'!N$45,'Utility Portfolio Summary'!$F$275:$BY$275,FALSE))</f>
        <v>4060</v>
      </c>
      <c r="O48" s="572">
        <f ca="1">INDEX('Utility Portfolio Summary'!$F$275:$BY$289,MATCH('Program Summary'!$B48,'Utility Portfolio Summary'!$F$275:$F$289,FALSE),MATCH('Program Summary'!O$45,'Utility Portfolio Summary'!$F$275:$BY$275,FALSE))</f>
        <v>4060</v>
      </c>
      <c r="P48" s="650">
        <f>VLOOKUP($A48,'LGE-KU Budgets'!$A$6:$Y$50,'LGE-KU Budgets'!L$2,0)*1000</f>
        <v>0</v>
      </c>
      <c r="Q48" s="650">
        <f>VLOOKUP($A48,'LGE-KU Budgets'!$A$6:$Y$50,'LGE-KU Budgets'!M$2,0)*1000</f>
        <v>0</v>
      </c>
      <c r="R48" s="650">
        <f>VLOOKUP($A48,'LGE-KU Budgets'!$A$6:$Y$50,'LGE-KU Budgets'!N$2,0)*1000</f>
        <v>685589.95323770621</v>
      </c>
      <c r="S48" s="650">
        <f>VLOOKUP($A48,'LGE-KU Budgets'!$A$6:$Y$50,'LGE-KU Budgets'!O$2,0)*1000</f>
        <v>686747.65183483739</v>
      </c>
      <c r="T48" s="650">
        <f>VLOOKUP($A48,'LGE-KU Budgets'!$A$6:$Y$50,'LGE-KU Budgets'!P$2,0)*1000</f>
        <v>762940.0813898826</v>
      </c>
      <c r="U48" s="650">
        <f>VLOOKUP($A48,'LGE-KU Budgets'!$A$6:$Y$50,'LGE-KU Budgets'!Q$2,0)*1000</f>
        <v>689168.28383157891</v>
      </c>
      <c r="V48" s="650">
        <f>VLOOKUP($A48,'LGE-KU Budgets'!$A$6:$Y$50,'LGE-KU Budgets'!R$2,0)*1000</f>
        <v>690433.33234652644</v>
      </c>
      <c r="W48" s="650">
        <f>VLOOKUP($A48,'LGE-KU Budgets'!$A$6:$Y$50,'LGE-KU Budgets'!S$2,0)*1000</f>
        <v>0</v>
      </c>
      <c r="X48" s="650">
        <f>VLOOKUP($A48,'LGE-KU Budgets'!$A$6:$Y$50,'LGE-KU Budgets'!T$2,0)*1000</f>
        <v>0</v>
      </c>
      <c r="Y48" s="650">
        <f>VLOOKUP($A48,'LGE-KU Budgets'!$A$6:$Y$50,'LGE-KU Budgets'!U$2,0)*1000</f>
        <v>150000</v>
      </c>
      <c r="Z48" s="650">
        <f>VLOOKUP($A48,'LGE-KU Budgets'!$A$6:$Y$50,'LGE-KU Budgets'!V$2,0)*1000</f>
        <v>175000.00000000003</v>
      </c>
      <c r="AA48" s="650">
        <f>VLOOKUP($A48,'LGE-KU Budgets'!$A$6:$Y$50,'LGE-KU Budgets'!W$2,0)*1000</f>
        <v>200000</v>
      </c>
      <c r="AB48" s="650">
        <f>VLOOKUP($A48,'LGE-KU Budgets'!$A$6:$Y$50,'LGE-KU Budgets'!X$2,0)*1000</f>
        <v>200000</v>
      </c>
      <c r="AC48" s="650">
        <f>VLOOKUP($A48,'LGE-KU Budgets'!$A$6:$Y$50,'LGE-KU Budgets'!Y$2,0)*1000</f>
        <v>200000</v>
      </c>
      <c r="AD48" s="572">
        <f ca="1">INDEX('Utility Portfolio Summary'!$F$275:$BY$289,MATCH('Program Summary'!$B48,'Utility Portfolio Summary'!$F$275:$F$289,FALSE),MATCH('Program Summary'!AD$45,'Utility Portfolio Summary'!$F$275:$BY$275,FALSE))</f>
        <v>0</v>
      </c>
      <c r="AE48" s="572">
        <f ca="1">INDEX('Utility Portfolio Summary'!$F$275:$BY$289,MATCH('Program Summary'!$B48,'Utility Portfolio Summary'!$F$275:$F$289,FALSE),MATCH('Program Summary'!AE$45,'Utility Portfolio Summary'!$F$275:$BY$275,FALSE))</f>
        <v>0</v>
      </c>
      <c r="AF48" s="572">
        <f ca="1">INDEX('Utility Portfolio Summary'!$F$275:$BY$289,MATCH('Program Summary'!$B48,'Utility Portfolio Summary'!$F$275:$F$289,FALSE),MATCH('Program Summary'!AF$45,'Utility Portfolio Summary'!$F$275:$BY$275,FALSE))</f>
        <v>2271326.6326530613</v>
      </c>
      <c r="AG48" s="572">
        <f ca="1">INDEX('Utility Portfolio Summary'!$F$275:$BY$289,MATCH('Program Summary'!$B48,'Utility Portfolio Summary'!$F$275:$F$289,FALSE),MATCH('Program Summary'!AG$45,'Utility Portfolio Summary'!$F$275:$BY$275,FALSE))</f>
        <v>2649881.0714285718</v>
      </c>
      <c r="AH48" s="572">
        <f ca="1">INDEX('Utility Portfolio Summary'!$F$275:$BY$289,MATCH('Program Summary'!$B48,'Utility Portfolio Summary'!$F$275:$F$289,FALSE),MATCH('Program Summary'!AH$45,'Utility Portfolio Summary'!$F$275:$BY$275,FALSE))</f>
        <v>3028435.5102040814</v>
      </c>
      <c r="AI48" s="572">
        <f ca="1">INDEX('Utility Portfolio Summary'!$F$275:$BY$289,MATCH('Program Summary'!$B48,'Utility Portfolio Summary'!$F$275:$F$289,FALSE),MATCH('Program Summary'!AI$45,'Utility Portfolio Summary'!$F$275:$BY$275,FALSE))</f>
        <v>3028435.5102040814</v>
      </c>
      <c r="AJ48" s="572">
        <f ca="1">INDEX('Utility Portfolio Summary'!$F$275:$BY$289,MATCH('Program Summary'!$B48,'Utility Portfolio Summary'!$F$275:$F$289,FALSE),MATCH('Program Summary'!AJ$45,'Utility Portfolio Summary'!$F$275:$BY$275,FALSE))</f>
        <v>3028435.5102040814</v>
      </c>
      <c r="AK48" s="572">
        <f ca="1">INDEX('Utility Portfolio Summary'!$F$275:$BY$289,MATCH('Program Summary'!$B48,'Utility Portfolio Summary'!$F$275:$F$289,FALSE),MATCH('Program Summary'!AK$45,'Utility Portfolio Summary'!$F$275:$BY$275,FALSE))</f>
        <v>0</v>
      </c>
      <c r="AL48" s="572">
        <f ca="1">INDEX('Utility Portfolio Summary'!$F$275:$BY$289,MATCH('Program Summary'!$B48,'Utility Portfolio Summary'!$F$275:$F$289,FALSE),MATCH('Program Summary'!AL$45,'Utility Portfolio Summary'!$F$275:$BY$275,FALSE))</f>
        <v>0</v>
      </c>
      <c r="AM48" s="572">
        <f ca="1">INDEX('Utility Portfolio Summary'!$F$275:$BY$289,MATCH('Program Summary'!$B48,'Utility Portfolio Summary'!$F$275:$F$289,FALSE),MATCH('Program Summary'!AM$45,'Utility Portfolio Summary'!$F$275:$BY$275,FALSE))</f>
        <v>265.97632653061225</v>
      </c>
      <c r="AN48" s="572">
        <f ca="1">INDEX('Utility Portfolio Summary'!$F$275:$BY$289,MATCH('Program Summary'!$B48,'Utility Portfolio Summary'!$F$275:$F$289,FALSE),MATCH('Program Summary'!AN$45,'Utility Portfolio Summary'!$F$275:$BY$275,FALSE))</f>
        <v>310.30571428571432</v>
      </c>
      <c r="AO48" s="572">
        <f ca="1">INDEX('Utility Portfolio Summary'!$F$275:$BY$289,MATCH('Program Summary'!$B48,'Utility Portfolio Summary'!$F$275:$F$289,FALSE),MATCH('Program Summary'!AO$45,'Utility Portfolio Summary'!$F$275:$BY$275,FALSE))</f>
        <v>354.63510204081638</v>
      </c>
      <c r="AP48" s="572">
        <f ca="1">INDEX('Utility Portfolio Summary'!$F$275:$BY$289,MATCH('Program Summary'!$B48,'Utility Portfolio Summary'!$F$275:$F$289,FALSE),MATCH('Program Summary'!AP$45,'Utility Portfolio Summary'!$F$275:$BY$275,FALSE))</f>
        <v>354.63510204081638</v>
      </c>
      <c r="AQ48" s="572">
        <f ca="1">INDEX('Utility Portfolio Summary'!$F$275:$BY$289,MATCH('Program Summary'!$B48,'Utility Portfolio Summary'!$F$275:$F$289,FALSE),MATCH('Program Summary'!AQ$45,'Utility Portfolio Summary'!$F$275:$BY$275,FALSE))</f>
        <v>354.63510204081638</v>
      </c>
      <c r="AR48" s="572">
        <f ca="1">INDEX('Utility Portfolio Summary'!$F$275:$BY$289,MATCH('Program Summary'!$B48,'Utility Portfolio Summary'!$F$275:$F$289,FALSE),MATCH('Program Summary'!AR$45,'Utility Portfolio Summary'!$F$275:$BY$275,FALSE))</f>
        <v>0</v>
      </c>
      <c r="AS48" s="572">
        <f ca="1">INDEX('Utility Portfolio Summary'!$F$275:$BY$289,MATCH('Program Summary'!$B48,'Utility Portfolio Summary'!$F$275:$F$289,FALSE),MATCH('Program Summary'!AS$45,'Utility Portfolio Summary'!$F$275:$BY$275,FALSE))</f>
        <v>0</v>
      </c>
      <c r="AT48" s="572">
        <f ca="1">INDEX('Utility Portfolio Summary'!$F$275:$BY$289,MATCH('Program Summary'!$B48,'Utility Portfolio Summary'!$F$275:$F$289,FALSE),MATCH('Program Summary'!AT$45,'Utility Portfolio Summary'!$F$275:$BY$275,FALSE))</f>
        <v>0</v>
      </c>
      <c r="AU48" s="572">
        <f ca="1">INDEX('Utility Portfolio Summary'!$F$275:$BY$289,MATCH('Program Summary'!$B48,'Utility Portfolio Summary'!$F$275:$F$289,FALSE),MATCH('Program Summary'!AU$45,'Utility Portfolio Summary'!$F$275:$BY$275,FALSE))</f>
        <v>0</v>
      </c>
      <c r="AV48" s="572">
        <f ca="1">INDEX('Utility Portfolio Summary'!$F$275:$BY$289,MATCH('Program Summary'!$B48,'Utility Portfolio Summary'!$F$275:$F$289,FALSE),MATCH('Program Summary'!AV$45,'Utility Portfolio Summary'!$F$275:$BY$275,FALSE))</f>
        <v>0</v>
      </c>
      <c r="AW48" s="572">
        <f ca="1">INDEX('Utility Portfolio Summary'!$F$275:$BY$289,MATCH('Program Summary'!$B48,'Utility Portfolio Summary'!$F$275:$F$289,FALSE),MATCH('Program Summary'!AW$45,'Utility Portfolio Summary'!$F$275:$BY$275,FALSE))</f>
        <v>0</v>
      </c>
      <c r="AX48" s="572">
        <f ca="1">INDEX('Utility Portfolio Summary'!$F$275:$BY$289,MATCH('Program Summary'!$B48,'Utility Portfolio Summary'!$F$275:$F$289,FALSE),MATCH('Program Summary'!AX$45,'Utility Portfolio Summary'!$F$275:$BY$275,FALSE))</f>
        <v>0</v>
      </c>
      <c r="AY48" s="2"/>
      <c r="AZ48" s="2"/>
      <c r="BA48" s="2"/>
      <c r="BB48" s="2"/>
      <c r="BC48" s="2"/>
      <c r="BD48" s="2"/>
      <c r="BE48" s="2"/>
      <c r="BF48" s="2"/>
    </row>
    <row r="49" spans="1:50">
      <c r="A49" s="527" t="str">
        <f t="shared" si="21"/>
        <v>Online MarketplaceLG&amp;E</v>
      </c>
      <c r="B49" s="649" t="s">
        <v>60</v>
      </c>
      <c r="C49" s="572">
        <f t="shared" ca="1" si="22"/>
        <v>26004.641601437495</v>
      </c>
      <c r="D49" s="650">
        <f t="shared" si="23"/>
        <v>721000</v>
      </c>
      <c r="E49" s="650">
        <f t="shared" si="24"/>
        <v>1942086.4160143752</v>
      </c>
      <c r="F49" s="572">
        <f t="shared" ca="1" si="25"/>
        <v>8030681.2663724069</v>
      </c>
      <c r="G49" s="572">
        <f t="shared" ca="1" si="20"/>
        <v>0</v>
      </c>
      <c r="H49" s="572">
        <f t="shared" ca="1" si="26"/>
        <v>709890.48</v>
      </c>
      <c r="I49" s="572">
        <f ca="1">INDEX('Utility Portfolio Summary'!$F$275:$BY$289,MATCH('Program Summary'!$B49,'Utility Portfolio Summary'!$F$275:$F$289,FALSE),MATCH('Program Summary'!I$45,'Utility Portfolio Summary'!$F$275:$BY$275,FALSE))</f>
        <v>535</v>
      </c>
      <c r="J49" s="572">
        <f ca="1">INDEX('Utility Portfolio Summary'!$F$275:$BY$289,MATCH('Program Summary'!$B49,'Utility Portfolio Summary'!$F$275:$F$289,FALSE),MATCH('Program Summary'!J$45,'Utility Portfolio Summary'!$F$275:$BY$275,FALSE))</f>
        <v>1058.0999999999999</v>
      </c>
      <c r="K49" s="572">
        <f ca="1">INDEX('Utility Portfolio Summary'!$F$275:$BY$289,MATCH('Program Summary'!$B49,'Utility Portfolio Summary'!$F$275:$F$289,FALSE),MATCH('Program Summary'!K$45,'Utility Portfolio Summary'!$F$275:$BY$275,FALSE))</f>
        <v>2108.73</v>
      </c>
      <c r="L49" s="572">
        <f ca="1">INDEX('Utility Portfolio Summary'!$F$275:$BY$289,MATCH('Program Summary'!$B49,'Utility Portfolio Summary'!$F$275:$F$289,FALSE),MATCH('Program Summary'!L$45,'Utility Portfolio Summary'!$F$275:$BY$275,FALSE))</f>
        <v>4201.8914999999997</v>
      </c>
      <c r="M49" s="572">
        <f ca="1">INDEX('Utility Portfolio Summary'!$F$275:$BY$289,MATCH('Program Summary'!$B49,'Utility Portfolio Summary'!$F$275:$F$289,FALSE),MATCH('Program Summary'!M$45,'Utility Portfolio Summary'!$F$275:$BY$275,FALSE))</f>
        <v>6026.3360750000002</v>
      </c>
      <c r="N49" s="572">
        <f ca="1">INDEX('Utility Portfolio Summary'!$F$275:$BY$289,MATCH('Program Summary'!$B49,'Utility Portfolio Summary'!$F$275:$F$289,FALSE),MATCH('Program Summary'!N$45,'Utility Portfolio Summary'!$F$275:$BY$275,FALSE))</f>
        <v>6032.6903787499996</v>
      </c>
      <c r="O49" s="572">
        <f ca="1">INDEX('Utility Portfolio Summary'!$F$275:$BY$289,MATCH('Program Summary'!$B49,'Utility Portfolio Summary'!$F$275:$F$289,FALSE),MATCH('Program Summary'!O$45,'Utility Portfolio Summary'!$F$275:$BY$275,FALSE))</f>
        <v>6041.8936476874997</v>
      </c>
      <c r="P49" s="650">
        <f>VLOOKUP($A49,'LGE-KU Budgets'!$A$6:$Y$50,'LGE-KU Budgets'!L$2,0)*1000</f>
        <v>78000</v>
      </c>
      <c r="Q49" s="650">
        <f>VLOOKUP($A49,'LGE-KU Budgets'!$A$6:$Y$50,'LGE-KU Budgets'!M$2,0)*1000</f>
        <v>78000</v>
      </c>
      <c r="R49" s="650">
        <f>VLOOKUP($A49,'LGE-KU Budgets'!$A$6:$Y$50,'LGE-KU Budgets'!N$2,0)*1000</f>
        <v>98000</v>
      </c>
      <c r="S49" s="650">
        <f>VLOOKUP($A49,'LGE-KU Budgets'!$A$6:$Y$50,'LGE-KU Budgets'!O$2,0)*1000</f>
        <v>173000</v>
      </c>
      <c r="T49" s="650">
        <f>VLOOKUP($A49,'LGE-KU Budgets'!$A$6:$Y$50,'LGE-KU Budgets'!P$2,0)*1000</f>
        <v>98000</v>
      </c>
      <c r="U49" s="650">
        <f>VLOOKUP($A49,'LGE-KU Budgets'!$A$6:$Y$50,'LGE-KU Budgets'!Q$2,0)*1000</f>
        <v>98000</v>
      </c>
      <c r="V49" s="650">
        <f>VLOOKUP($A49,'LGE-KU Budgets'!$A$6:$Y$50,'LGE-KU Budgets'!R$2,0)*1000</f>
        <v>98000</v>
      </c>
      <c r="W49" s="650">
        <f>VLOOKUP($A49,'LGE-KU Budgets'!$A$6:$Y$50,'LGE-KU Budgets'!S$2,0)*1000</f>
        <v>39307.5</v>
      </c>
      <c r="X49" s="650">
        <f>VLOOKUP($A49,'LGE-KU Budgets'!$A$6:$Y$50,'LGE-KU Budgets'!T$2,0)*1000</f>
        <v>78501</v>
      </c>
      <c r="Y49" s="650">
        <f>VLOOKUP($A49,'LGE-KU Budgets'!$A$6:$Y$50,'LGE-KU Budgets'!U$2,0)*1000</f>
        <v>157132.29999999999</v>
      </c>
      <c r="Z49" s="650">
        <f>VLOOKUP($A49,'LGE-KU Budgets'!$A$6:$Y$50,'LGE-KU Budgets'!V$2,0)*1000</f>
        <v>314013.91499999998</v>
      </c>
      <c r="AA49" s="650">
        <f>VLOOKUP($A49,'LGE-KU Budgets'!$A$6:$Y$50,'LGE-KU Budgets'!W$2,0)*1000</f>
        <v>450708.36074999999</v>
      </c>
      <c r="AB49" s="650">
        <f>VLOOKUP($A49,'LGE-KU Budgets'!$A$6:$Y$50,'LGE-KU Budgets'!X$2,0)*1000</f>
        <v>450996.90378749999</v>
      </c>
      <c r="AC49" s="650">
        <f>VLOOKUP($A49,'LGE-KU Budgets'!$A$6:$Y$50,'LGE-KU Budgets'!Y$2,0)*1000</f>
        <v>451426.43647687498</v>
      </c>
      <c r="AD49" s="572">
        <f ca="1">INDEX('Utility Portfolio Summary'!$F$275:$BY$289,MATCH('Program Summary'!$B49,'Utility Portfolio Summary'!$F$275:$F$289,FALSE),MATCH('Program Summary'!AD$45,'Utility Portfolio Summary'!$F$275:$BY$275,FALSE))</f>
        <v>163037.34636570927</v>
      </c>
      <c r="AE49" s="572">
        <f ca="1">INDEX('Utility Portfolio Summary'!$F$275:$BY$289,MATCH('Program Summary'!$B49,'Utility Portfolio Summary'!$F$275:$F$289,FALSE),MATCH('Program Summary'!AE$45,'Utility Portfolio Summary'!$F$275:$BY$275,FALSE))</f>
        <v>325350.79273141851</v>
      </c>
      <c r="AF49" s="572">
        <f ca="1">INDEX('Utility Portfolio Summary'!$F$275:$BY$289,MATCH('Program Summary'!$B49,'Utility Portfolio Summary'!$F$275:$F$289,FALSE),MATCH('Program Summary'!AF$45,'Utility Portfolio Summary'!$F$275:$BY$275,FALSE))</f>
        <v>649941.49046283704</v>
      </c>
      <c r="AG49" s="572">
        <f ca="1">INDEX('Utility Portfolio Summary'!$F$275:$BY$289,MATCH('Program Summary'!$B49,'Utility Portfolio Summary'!$F$275:$F$289,FALSE),MATCH('Program Summary'!AG$45,'Utility Portfolio Summary'!$F$275:$BY$275,FALSE))</f>
        <v>1299084.881175674</v>
      </c>
      <c r="AH49" s="572">
        <f ca="1">INDEX('Utility Portfolio Summary'!$F$275:$BY$289,MATCH('Program Summary'!$B49,'Utility Portfolio Summary'!$F$275:$F$289,FALSE),MATCH('Program Summary'!AH$45,'Utility Portfolio Summary'!$F$275:$BY$275,FALSE))</f>
        <v>1864375.169244329</v>
      </c>
      <c r="AI49" s="572">
        <f ca="1">INDEX('Utility Portfolio Summary'!$F$275:$BY$289,MATCH('Program Summary'!$B49,'Utility Portfolio Summary'!$F$275:$F$289,FALSE),MATCH('Program Summary'!AI$45,'Utility Portfolio Summary'!$F$275:$BY$275,FALSE))</f>
        <v>1864421.480032454</v>
      </c>
      <c r="AJ49" s="572">
        <f ca="1">INDEX('Utility Portfolio Summary'!$F$275:$BY$289,MATCH('Program Summary'!$B49,'Utility Portfolio Summary'!$F$275:$F$289,FALSE),MATCH('Program Summary'!AJ$45,'Utility Portfolio Summary'!$F$275:$BY$275,FALSE))</f>
        <v>1864470.1063599852</v>
      </c>
      <c r="AK49" s="572">
        <f ca="1">INDEX('Utility Portfolio Summary'!$F$275:$BY$289,MATCH('Program Summary'!$B49,'Utility Portfolio Summary'!$F$275:$F$289,FALSE),MATCH('Program Summary'!AK$45,'Utility Portfolio Summary'!$F$275:$BY$275,FALSE))</f>
        <v>0</v>
      </c>
      <c r="AL49" s="572">
        <f ca="1">INDEX('Utility Portfolio Summary'!$F$275:$BY$289,MATCH('Program Summary'!$B49,'Utility Portfolio Summary'!$F$275:$F$289,FALSE),MATCH('Program Summary'!AL$45,'Utility Portfolio Summary'!$F$275:$BY$275,FALSE))</f>
        <v>0</v>
      </c>
      <c r="AM49" s="572">
        <f ca="1">INDEX('Utility Portfolio Summary'!$F$275:$BY$289,MATCH('Program Summary'!$B49,'Utility Portfolio Summary'!$F$275:$F$289,FALSE),MATCH('Program Summary'!AM$45,'Utility Portfolio Summary'!$F$275:$BY$275,FALSE))</f>
        <v>0</v>
      </c>
      <c r="AN49" s="572">
        <f ca="1">INDEX('Utility Portfolio Summary'!$F$275:$BY$289,MATCH('Program Summary'!$B49,'Utility Portfolio Summary'!$F$275:$F$289,FALSE),MATCH('Program Summary'!AN$45,'Utility Portfolio Summary'!$F$275:$BY$275,FALSE))</f>
        <v>0</v>
      </c>
      <c r="AO49" s="572">
        <f ca="1">INDEX('Utility Portfolio Summary'!$F$275:$BY$289,MATCH('Program Summary'!$B49,'Utility Portfolio Summary'!$F$275:$F$289,FALSE),MATCH('Program Summary'!AO$45,'Utility Portfolio Summary'!$F$275:$BY$275,FALSE))</f>
        <v>0</v>
      </c>
      <c r="AP49" s="572">
        <f ca="1">INDEX('Utility Portfolio Summary'!$F$275:$BY$289,MATCH('Program Summary'!$B49,'Utility Portfolio Summary'!$F$275:$F$289,FALSE),MATCH('Program Summary'!AP$45,'Utility Portfolio Summary'!$F$275:$BY$275,FALSE))</f>
        <v>0</v>
      </c>
      <c r="AQ49" s="572">
        <f ca="1">INDEX('Utility Portfolio Summary'!$F$275:$BY$289,MATCH('Program Summary'!$B49,'Utility Portfolio Summary'!$F$275:$F$289,FALSE),MATCH('Program Summary'!AQ$45,'Utility Portfolio Summary'!$F$275:$BY$275,FALSE))</f>
        <v>0</v>
      </c>
      <c r="AR49" s="572">
        <f ca="1">INDEX('Utility Portfolio Summary'!$F$275:$BY$289,MATCH('Program Summary'!$B49,'Utility Portfolio Summary'!$F$275:$F$289,FALSE),MATCH('Program Summary'!AR$45,'Utility Portfolio Summary'!$F$275:$BY$275,FALSE))</f>
        <v>14355.792000000001</v>
      </c>
      <c r="AS49" s="572">
        <f ca="1">INDEX('Utility Portfolio Summary'!$F$275:$BY$289,MATCH('Program Summary'!$B49,'Utility Portfolio Summary'!$F$275:$F$289,FALSE),MATCH('Program Summary'!AS$45,'Utility Portfolio Summary'!$F$275:$BY$275,FALSE))</f>
        <v>28711.584000000003</v>
      </c>
      <c r="AT49" s="572">
        <f ca="1">INDEX('Utility Portfolio Summary'!$F$275:$BY$289,MATCH('Program Summary'!$B49,'Utility Portfolio Summary'!$F$275:$F$289,FALSE),MATCH('Program Summary'!AT$45,'Utility Portfolio Summary'!$F$275:$BY$275,FALSE))</f>
        <v>57423.168000000005</v>
      </c>
      <c r="AU49" s="572">
        <f ca="1">INDEX('Utility Portfolio Summary'!$F$275:$BY$289,MATCH('Program Summary'!$B49,'Utility Portfolio Summary'!$F$275:$F$289,FALSE),MATCH('Program Summary'!AU$45,'Utility Portfolio Summary'!$F$275:$BY$275,FALSE))</f>
        <v>114846.33600000001</v>
      </c>
      <c r="AV49" s="572">
        <f ca="1">INDEX('Utility Portfolio Summary'!$F$275:$BY$289,MATCH('Program Summary'!$B49,'Utility Portfolio Summary'!$F$275:$F$289,FALSE),MATCH('Program Summary'!AV$45,'Utility Portfolio Summary'!$F$275:$BY$275,FALSE))</f>
        <v>164851.20000000001</v>
      </c>
      <c r="AW49" s="572">
        <f ca="1">INDEX('Utility Portfolio Summary'!$F$275:$BY$289,MATCH('Program Summary'!$B49,'Utility Portfolio Summary'!$F$275:$F$289,FALSE),MATCH('Program Summary'!AW$45,'Utility Portfolio Summary'!$F$275:$BY$275,FALSE))</f>
        <v>164851.20000000001</v>
      </c>
      <c r="AX49" s="572">
        <f ca="1">INDEX('Utility Portfolio Summary'!$F$275:$BY$289,MATCH('Program Summary'!$B49,'Utility Portfolio Summary'!$F$275:$F$289,FALSE),MATCH('Program Summary'!AX$45,'Utility Portfolio Summary'!$F$275:$BY$275,FALSE))</f>
        <v>164851.20000000001</v>
      </c>
    </row>
    <row r="50" spans="1:50">
      <c r="A50" s="527" t="str">
        <f t="shared" si="21"/>
        <v>Residential Audit OnlineLG&amp;E</v>
      </c>
      <c r="B50" s="649" t="s">
        <v>61</v>
      </c>
      <c r="C50" s="572">
        <f t="shared" ca="1" si="22"/>
        <v>16130.71875</v>
      </c>
      <c r="D50" s="650">
        <f t="shared" si="23"/>
        <v>1724957.1172482022</v>
      </c>
      <c r="E50" s="650">
        <f t="shared" si="24"/>
        <v>2727200</v>
      </c>
      <c r="F50" s="572">
        <f t="shared" ca="1" si="25"/>
        <v>11635097.081208382</v>
      </c>
      <c r="G50" s="572">
        <f t="shared" ca="1" si="20"/>
        <v>191.79385170357875</v>
      </c>
      <c r="H50" s="572">
        <f t="shared" ca="1" si="26"/>
        <v>65500.001238232027</v>
      </c>
      <c r="I50" s="572">
        <f ca="1">INDEX('Utility Portfolio Summary'!$F$275:$BY$289,MATCH('Program Summary'!$B50,'Utility Portfolio Summary'!$F$275:$F$289,FALSE),MATCH('Program Summary'!I$45,'Utility Portfolio Summary'!$F$275:$BY$275,FALSE))</f>
        <v>0</v>
      </c>
      <c r="J50" s="572">
        <f ca="1">INDEX('Utility Portfolio Summary'!$F$275:$BY$289,MATCH('Program Summary'!$B50,'Utility Portfolio Summary'!$F$275:$F$289,FALSE),MATCH('Program Summary'!J$45,'Utility Portfolio Summary'!$F$275:$BY$275,FALSE))</f>
        <v>2041.75</v>
      </c>
      <c r="K50" s="572">
        <f ca="1">INDEX('Utility Portfolio Summary'!$F$275:$BY$289,MATCH('Program Summary'!$B50,'Utility Portfolio Summary'!$F$275:$F$289,FALSE),MATCH('Program Summary'!K$45,'Utility Portfolio Summary'!$F$275:$BY$275,FALSE))</f>
        <v>2376.75</v>
      </c>
      <c r="L50" s="572">
        <f ca="1">INDEX('Utility Portfolio Summary'!$F$275:$BY$289,MATCH('Program Summary'!$B50,'Utility Portfolio Summary'!$F$275:$F$289,FALSE),MATCH('Program Summary'!L$45,'Utility Portfolio Summary'!$F$275:$BY$275,FALSE))</f>
        <v>2716.125</v>
      </c>
      <c r="M50" s="572">
        <f ca="1">INDEX('Utility Portfolio Summary'!$F$275:$BY$289,MATCH('Program Summary'!$B50,'Utility Portfolio Summary'!$F$275:$F$289,FALSE),MATCH('Program Summary'!M$45,'Utility Portfolio Summary'!$F$275:$BY$275,FALSE))</f>
        <v>3132.03125</v>
      </c>
      <c r="N50" s="572">
        <f ca="1">INDEX('Utility Portfolio Summary'!$F$275:$BY$289,MATCH('Program Summary'!$B50,'Utility Portfolio Summary'!$F$275:$F$289,FALSE),MATCH('Program Summary'!N$45,'Utility Portfolio Summary'!$F$275:$BY$275,FALSE))</f>
        <v>2932.03125</v>
      </c>
      <c r="O50" s="572">
        <f ca="1">INDEX('Utility Portfolio Summary'!$F$275:$BY$289,MATCH('Program Summary'!$B50,'Utility Portfolio Summary'!$F$275:$F$289,FALSE),MATCH('Program Summary'!O$45,'Utility Portfolio Summary'!$F$275:$BY$275,FALSE))</f>
        <v>2932.03125</v>
      </c>
      <c r="P50" s="650">
        <f>VLOOKUP($A50,'LGE-KU Budgets'!$A$6:$Y$50,'LGE-KU Budgets'!L$2,0)*1000</f>
        <v>0</v>
      </c>
      <c r="Q50" s="650">
        <f>VLOOKUP($A50,'LGE-KU Budgets'!$A$6:$Y$50,'LGE-KU Budgets'!M$2,0)*1000</f>
        <v>267463.16095249756</v>
      </c>
      <c r="R50" s="650">
        <f>VLOOKUP($A50,'LGE-KU Budgets'!$A$6:$Y$50,'LGE-KU Budgets'!N$2,0)*1000</f>
        <v>270564.05578107253</v>
      </c>
      <c r="S50" s="650">
        <f>VLOOKUP($A50,'LGE-KU Budgets'!$A$6:$Y$50,'LGE-KU Budgets'!O$2,0)*1000</f>
        <v>348778.82745450467</v>
      </c>
      <c r="T50" s="650">
        <f>VLOOKUP($A50,'LGE-KU Budgets'!$A$6:$Y$50,'LGE-KU Budgets'!P$2,0)*1000</f>
        <v>277111.93477813981</v>
      </c>
      <c r="U50" s="650">
        <f>VLOOKUP($A50,'LGE-KU Budgets'!$A$6:$Y$50,'LGE-KU Budgets'!Q$2,0)*1000</f>
        <v>279361.19838398398</v>
      </c>
      <c r="V50" s="650">
        <f>VLOOKUP($A50,'LGE-KU Budgets'!$A$6:$Y$50,'LGE-KU Budgets'!R$2,0)*1000</f>
        <v>281677.93989800347</v>
      </c>
      <c r="W50" s="650">
        <f>VLOOKUP($A50,'LGE-KU Budgets'!$A$6:$Y$50,'LGE-KU Budgets'!S$2,0)*1000</f>
        <v>0</v>
      </c>
      <c r="X50" s="650">
        <f>VLOOKUP($A50,'LGE-KU Budgets'!$A$6:$Y$50,'LGE-KU Budgets'!T$2,0)*1000</f>
        <v>275200</v>
      </c>
      <c r="Y50" s="650">
        <f>VLOOKUP($A50,'LGE-KU Budgets'!$A$6:$Y$50,'LGE-KU Budgets'!U$2,0)*1000</f>
        <v>362150</v>
      </c>
      <c r="Z50" s="650">
        <f>VLOOKUP($A50,'LGE-KU Budgets'!$A$6:$Y$50,'LGE-KU Budgets'!V$2,0)*1000</f>
        <v>449500</v>
      </c>
      <c r="AA50" s="650">
        <f>VLOOKUP($A50,'LGE-KU Budgets'!$A$6:$Y$50,'LGE-KU Budgets'!W$2,0)*1000</f>
        <v>563450</v>
      </c>
      <c r="AB50" s="650">
        <f>VLOOKUP($A50,'LGE-KU Budgets'!$A$6:$Y$50,'LGE-KU Budgets'!X$2,0)*1000</f>
        <v>538450</v>
      </c>
      <c r="AC50" s="650">
        <f>VLOOKUP($A50,'LGE-KU Budgets'!$A$6:$Y$50,'LGE-KU Budgets'!Y$2,0)*1000</f>
        <v>538450</v>
      </c>
      <c r="AD50" s="572">
        <f ca="1">INDEX('Utility Portfolio Summary'!$F$275:$BY$289,MATCH('Program Summary'!$B50,'Utility Portfolio Summary'!$F$275:$F$289,FALSE),MATCH('Program Summary'!AD$45,'Utility Portfolio Summary'!$F$275:$BY$275,FALSE))</f>
        <v>0</v>
      </c>
      <c r="AE50" s="572">
        <f ca="1">INDEX('Utility Portfolio Summary'!$F$275:$BY$289,MATCH('Program Summary'!$B50,'Utility Portfolio Summary'!$F$275:$F$289,FALSE),MATCH('Program Summary'!AE$45,'Utility Portfolio Summary'!$F$275:$BY$275,FALSE))</f>
        <v>1203933.1162771182</v>
      </c>
      <c r="AF50" s="572">
        <f ca="1">INDEX('Utility Portfolio Summary'!$F$275:$BY$289,MATCH('Program Summary'!$B50,'Utility Portfolio Summary'!$F$275:$F$289,FALSE),MATCH('Program Summary'!AF$45,'Utility Portfolio Summary'!$F$275:$BY$275,FALSE))</f>
        <v>1542779.0418135645</v>
      </c>
      <c r="AG50" s="572">
        <f ca="1">INDEX('Utility Portfolio Summary'!$F$275:$BY$289,MATCH('Program Summary'!$B50,'Utility Portfolio Summary'!$F$275:$F$289,FALSE),MATCH('Program Summary'!AG$45,'Utility Portfolio Summary'!$F$275:$BY$275,FALSE))</f>
        <v>1883659.3900361974</v>
      </c>
      <c r="AH50" s="572">
        <f ca="1">INDEX('Utility Portfolio Summary'!$F$275:$BY$289,MATCH('Program Summary'!$B50,'Utility Portfolio Summary'!$F$275:$F$289,FALSE),MATCH('Program Summary'!AH$45,'Utility Portfolio Summary'!$F$275:$BY$275,FALSE))</f>
        <v>2334908.5110271676</v>
      </c>
      <c r="AI50" s="572">
        <f ca="1">INDEX('Utility Portfolio Summary'!$F$275:$BY$289,MATCH('Program Summary'!$B50,'Utility Portfolio Summary'!$F$275:$F$289,FALSE),MATCH('Program Summary'!AI$45,'Utility Portfolio Summary'!$F$275:$BY$275,FALSE))</f>
        <v>2334908.5110271676</v>
      </c>
      <c r="AJ50" s="572">
        <f ca="1">INDEX('Utility Portfolio Summary'!$F$275:$BY$289,MATCH('Program Summary'!$B50,'Utility Portfolio Summary'!$F$275:$F$289,FALSE),MATCH('Program Summary'!AJ$45,'Utility Portfolio Summary'!$F$275:$BY$275,FALSE))</f>
        <v>2334908.5110271676</v>
      </c>
      <c r="AK50" s="572">
        <f ca="1">INDEX('Utility Portfolio Summary'!$F$275:$BY$289,MATCH('Program Summary'!$B50,'Utility Portfolio Summary'!$F$275:$F$289,FALSE),MATCH('Program Summary'!AK$45,'Utility Portfolio Summary'!$F$275:$BY$275,FALSE))</f>
        <v>0</v>
      </c>
      <c r="AL50" s="572">
        <f ca="1">INDEX('Utility Portfolio Summary'!$F$275:$BY$289,MATCH('Program Summary'!$B50,'Utility Portfolio Summary'!$F$275:$F$289,FALSE),MATCH('Program Summary'!AL$45,'Utility Portfolio Summary'!$F$275:$BY$275,FALSE))</f>
        <v>98.531714300877667</v>
      </c>
      <c r="AM50" s="572">
        <f ca="1">INDEX('Utility Portfolio Summary'!$F$275:$BY$289,MATCH('Program Summary'!$B50,'Utility Portfolio Summary'!$F$275:$F$289,FALSE),MATCH('Program Summary'!AM$45,'Utility Portfolio Summary'!$F$275:$BY$275,FALSE))</f>
        <v>126.48404781650807</v>
      </c>
      <c r="AN50" s="572">
        <f ca="1">INDEX('Utility Portfolio Summary'!$F$275:$BY$289,MATCH('Program Summary'!$B50,'Utility Portfolio Summary'!$F$275:$F$289,FALSE),MATCH('Program Summary'!AN$45,'Utility Portfolio Summary'!$F$275:$BY$275,FALSE))</f>
        <v>154.57954043246318</v>
      </c>
      <c r="AO50" s="572">
        <f ca="1">INDEX('Utility Portfolio Summary'!$F$275:$BY$289,MATCH('Program Summary'!$B50,'Utility Portfolio Summary'!$F$275:$F$289,FALSE),MATCH('Program Summary'!AO$45,'Utility Portfolio Summary'!$F$275:$BY$275,FALSE))</f>
        <v>191.79385170357875</v>
      </c>
      <c r="AP50" s="572">
        <f ca="1">INDEX('Utility Portfolio Summary'!$F$275:$BY$289,MATCH('Program Summary'!$B50,'Utility Portfolio Summary'!$F$275:$F$289,FALSE),MATCH('Program Summary'!AP$45,'Utility Portfolio Summary'!$F$275:$BY$275,FALSE))</f>
        <v>191.79385170357875</v>
      </c>
      <c r="AQ50" s="572">
        <f ca="1">INDEX('Utility Portfolio Summary'!$F$275:$BY$289,MATCH('Program Summary'!$B50,'Utility Portfolio Summary'!$F$275:$F$289,FALSE),MATCH('Program Summary'!AQ$45,'Utility Portfolio Summary'!$F$275:$BY$275,FALSE))</f>
        <v>191.79385170357875</v>
      </c>
      <c r="AR50" s="572">
        <f ca="1">INDEX('Utility Portfolio Summary'!$F$275:$BY$289,MATCH('Program Summary'!$B50,'Utility Portfolio Summary'!$F$275:$F$289,FALSE),MATCH('Program Summary'!AR$45,'Utility Portfolio Summary'!$F$275:$BY$275,FALSE))</f>
        <v>0</v>
      </c>
      <c r="AS50" s="572">
        <f ca="1">INDEX('Utility Portfolio Summary'!$F$275:$BY$289,MATCH('Program Summary'!$B50,'Utility Portfolio Summary'!$F$275:$F$289,FALSE),MATCH('Program Summary'!AS$45,'Utility Portfolio Summary'!$F$275:$BY$275,FALSE))</f>
        <v>7967.580807328949</v>
      </c>
      <c r="AT50" s="572">
        <f ca="1">INDEX('Utility Portfolio Summary'!$F$275:$BY$289,MATCH('Program Summary'!$B50,'Utility Portfolio Summary'!$F$275:$F$289,FALSE),MATCH('Program Summary'!AT$45,'Utility Portfolio Summary'!$F$275:$BY$275,FALSE))</f>
        <v>11944.491097695392</v>
      </c>
      <c r="AU50" s="572">
        <f ca="1">INDEX('Utility Portfolio Summary'!$F$275:$BY$289,MATCH('Program Summary'!$B50,'Utility Portfolio Summary'!$F$275:$F$289,FALSE),MATCH('Program Summary'!AU$45,'Utility Portfolio Summary'!$F$275:$BY$275,FALSE))</f>
        <v>15931.903152580158</v>
      </c>
      <c r="AV50" s="572">
        <f ca="1">INDEX('Utility Portfolio Summary'!$F$275:$BY$289,MATCH('Program Summary'!$B50,'Utility Portfolio Summary'!$F$275:$F$289,FALSE),MATCH('Program Summary'!AV$45,'Utility Portfolio Summary'!$F$275:$BY$275,FALSE))</f>
        <v>19930.342060209161</v>
      </c>
      <c r="AW50" s="572">
        <f ca="1">INDEX('Utility Portfolio Summary'!$F$275:$BY$289,MATCH('Program Summary'!$B50,'Utility Portfolio Summary'!$F$275:$F$289,FALSE),MATCH('Program Summary'!AW$45,'Utility Portfolio Summary'!$F$275:$BY$275,FALSE))</f>
        <v>4862.8420602091801</v>
      </c>
      <c r="AX50" s="572">
        <f ca="1">INDEX('Utility Portfolio Summary'!$F$275:$BY$289,MATCH('Program Summary'!$B50,'Utility Portfolio Summary'!$F$275:$F$289,FALSE),MATCH('Program Summary'!AX$45,'Utility Portfolio Summary'!$F$275:$BY$275,FALSE))</f>
        <v>4862.8420602091801</v>
      </c>
    </row>
    <row r="51" spans="1:50">
      <c r="A51" s="527" t="str">
        <f t="shared" si="21"/>
        <v>BYOT &amp; BYODLG&amp;E</v>
      </c>
      <c r="B51" s="649" t="s">
        <v>62</v>
      </c>
      <c r="C51" s="572">
        <f ca="1">MAX(I51:O51)</f>
        <v>35069.425000000003</v>
      </c>
      <c r="D51" s="650">
        <f t="shared" si="23"/>
        <v>4948049.5512792617</v>
      </c>
      <c r="E51" s="650">
        <f t="shared" si="24"/>
        <v>15493277.8125</v>
      </c>
      <c r="F51" s="572">
        <f t="shared" ca="1" si="25"/>
        <v>0</v>
      </c>
      <c r="G51" s="572">
        <f t="shared" ca="1" si="20"/>
        <v>18216.519323027718</v>
      </c>
      <c r="H51" s="572">
        <f t="shared" ca="1" si="26"/>
        <v>0</v>
      </c>
      <c r="I51" s="572">
        <f ca="1">INDEX('Utility Portfolio Summary'!$F$275:$BY$289,MATCH('Program Summary'!$B51,'Utility Portfolio Summary'!$F$275:$F$289,FALSE),MATCH('Program Summary'!I$45,'Utility Portfolio Summary'!$F$275:$BY$275,FALSE))</f>
        <v>1750</v>
      </c>
      <c r="J51" s="572">
        <f ca="1">INDEX('Utility Portfolio Summary'!$F$275:$BY$289,MATCH('Program Summary'!$B51,'Utility Portfolio Summary'!$F$275:$F$289,FALSE),MATCH('Program Summary'!J$45,'Utility Portfolio Summary'!$F$275:$BY$275,FALSE))</f>
        <v>3600</v>
      </c>
      <c r="K51" s="572">
        <f ca="1">INDEX('Utility Portfolio Summary'!$F$275:$BY$289,MATCH('Program Summary'!$B51,'Utility Portfolio Summary'!$F$275:$F$289,FALSE),MATCH('Program Summary'!K$45,'Utility Portfolio Summary'!$F$275:$BY$275,FALSE))</f>
        <v>7160</v>
      </c>
      <c r="L51" s="572">
        <f ca="1">INDEX('Utility Portfolio Summary'!$F$275:$BY$289,MATCH('Program Summary'!$B51,'Utility Portfolio Summary'!$F$275:$F$289,FALSE),MATCH('Program Summary'!L$45,'Utility Portfolio Summary'!$F$275:$BY$275,FALSE))</f>
        <v>12494.2</v>
      </c>
      <c r="M51" s="572">
        <f ca="1">INDEX('Utility Portfolio Summary'!$F$275:$BY$289,MATCH('Program Summary'!$B51,'Utility Portfolio Summary'!$F$275:$F$289,FALSE),MATCH('Program Summary'!M$45,'Utility Portfolio Summary'!$F$275:$BY$275,FALSE))</f>
        <v>20014.900000000001</v>
      </c>
      <c r="N51" s="572">
        <f ca="1">INDEX('Utility Portfolio Summary'!$F$275:$BY$289,MATCH('Program Summary'!$B51,'Utility Portfolio Summary'!$F$275:$F$289,FALSE),MATCH('Program Summary'!N$45,'Utility Portfolio Summary'!$F$275:$BY$275,FALSE))</f>
        <v>27539.35</v>
      </c>
      <c r="O51" s="572">
        <f ca="1">INDEX('Utility Portfolio Summary'!$F$275:$BY$289,MATCH('Program Summary'!$B51,'Utility Portfolio Summary'!$F$275:$F$289,FALSE),MATCH('Program Summary'!O$45,'Utility Portfolio Summary'!$F$275:$BY$275,FALSE))</f>
        <v>35069.425000000003</v>
      </c>
      <c r="P51" s="650">
        <f>VLOOKUP($A51,'LGE-KU Budgets'!$A$6:$Y$50,'LGE-KU Budgets'!L$2,0)*1000</f>
        <v>496793.22457860905</v>
      </c>
      <c r="Q51" s="650">
        <f>VLOOKUP($A51,'LGE-KU Budgets'!$A$6:$Y$50,'LGE-KU Budgets'!M$2,0)*1000</f>
        <v>303595.02131596743</v>
      </c>
      <c r="R51" s="650">
        <f>VLOOKUP($A51,'LGE-KU Budgets'!$A$6:$Y$50,'LGE-KU Budgets'!N$2,0)*1000</f>
        <v>409440.87195544643</v>
      </c>
      <c r="S51" s="650">
        <f>VLOOKUP($A51,'LGE-KU Budgets'!$A$6:$Y$50,'LGE-KU Budgets'!O$2,0)*1000</f>
        <v>572469.29811410978</v>
      </c>
      <c r="T51" s="650">
        <f>VLOOKUP($A51,'LGE-KU Budgets'!$A$6:$Y$50,'LGE-KU Budgets'!P$2,0)*1000</f>
        <v>876196.89705753303</v>
      </c>
      <c r="U51" s="650">
        <f>VLOOKUP($A51,'LGE-KU Budgets'!$A$6:$Y$50,'LGE-KU Budgets'!Q$2,0)*1000</f>
        <v>1030151.3439692592</v>
      </c>
      <c r="V51" s="650">
        <f>VLOOKUP($A51,'LGE-KU Budgets'!$A$6:$Y$50,'LGE-KU Budgets'!R$2,0)*1000</f>
        <v>1259402.8942883369</v>
      </c>
      <c r="W51" s="650">
        <f>VLOOKUP($A51,'LGE-KU Budgets'!$A$6:$Y$50,'LGE-KU Budgets'!S$2,0)*1000</f>
        <v>294000</v>
      </c>
      <c r="X51" s="650">
        <f>VLOOKUP($A51,'LGE-KU Budgets'!$A$6:$Y$50,'LGE-KU Budgets'!T$2,0)*1000</f>
        <v>536000</v>
      </c>
      <c r="Y51" s="650">
        <f>VLOOKUP($A51,'LGE-KU Budgets'!$A$6:$Y$50,'LGE-KU Budgets'!U$2,0)*1000</f>
        <v>1078375</v>
      </c>
      <c r="Z51" s="650">
        <f>VLOOKUP($A51,'LGE-KU Budgets'!$A$6:$Y$50,'LGE-KU Budgets'!V$2,0)*1000</f>
        <v>1860526.5</v>
      </c>
      <c r="AA51" s="650">
        <f>VLOOKUP($A51,'LGE-KU Budgets'!$A$6:$Y$50,'LGE-KU Budgets'!W$2,0)*1000</f>
        <v>2929251.75</v>
      </c>
      <c r="AB51" s="650">
        <f>VLOOKUP($A51,'LGE-KU Budgets'!$A$6:$Y$50,'LGE-KU Budgets'!X$2,0)*1000</f>
        <v>3907742.625</v>
      </c>
      <c r="AC51" s="650">
        <f>VLOOKUP($A51,'LGE-KU Budgets'!$A$6:$Y$50,'LGE-KU Budgets'!Y$2,0)*1000</f>
        <v>4887381.9375</v>
      </c>
      <c r="AD51" s="572">
        <f ca="1">INDEX('Utility Portfolio Summary'!$F$275:$BY$289,MATCH('Program Summary'!$B51,'Utility Portfolio Summary'!$F$275:$F$289,FALSE),MATCH('Program Summary'!AD$45,'Utility Portfolio Summary'!$F$275:$BY$275,FALSE))</f>
        <v>0</v>
      </c>
      <c r="AE51" s="572">
        <f ca="1">INDEX('Utility Portfolio Summary'!$F$275:$BY$289,MATCH('Program Summary'!$B51,'Utility Portfolio Summary'!$F$275:$F$289,FALSE),MATCH('Program Summary'!AE$45,'Utility Portfolio Summary'!$F$275:$BY$275,FALSE))</f>
        <v>0</v>
      </c>
      <c r="AF51" s="572">
        <f ca="1">INDEX('Utility Portfolio Summary'!$F$275:$BY$289,MATCH('Program Summary'!$B51,'Utility Portfolio Summary'!$F$275:$F$289,FALSE),MATCH('Program Summary'!AF$45,'Utility Portfolio Summary'!$F$275:$BY$275,FALSE))</f>
        <v>0</v>
      </c>
      <c r="AG51" s="572">
        <f ca="1">INDEX('Utility Portfolio Summary'!$F$275:$BY$289,MATCH('Program Summary'!$B51,'Utility Portfolio Summary'!$F$275:$F$289,FALSE),MATCH('Program Summary'!AG$45,'Utility Portfolio Summary'!$F$275:$BY$275,FALSE))</f>
        <v>0</v>
      </c>
      <c r="AH51" s="572">
        <f ca="1">INDEX('Utility Portfolio Summary'!$F$275:$BY$289,MATCH('Program Summary'!$B51,'Utility Portfolio Summary'!$F$275:$F$289,FALSE),MATCH('Program Summary'!AH$45,'Utility Portfolio Summary'!$F$275:$BY$275,FALSE))</f>
        <v>0</v>
      </c>
      <c r="AI51" s="572">
        <f ca="1">INDEX('Utility Portfolio Summary'!$F$275:$BY$289,MATCH('Program Summary'!$B51,'Utility Portfolio Summary'!$F$275:$F$289,FALSE),MATCH('Program Summary'!AI$45,'Utility Portfolio Summary'!$F$275:$BY$275,FALSE))</f>
        <v>0</v>
      </c>
      <c r="AJ51" s="572">
        <f ca="1">INDEX('Utility Portfolio Summary'!$F$275:$BY$289,MATCH('Program Summary'!$B51,'Utility Portfolio Summary'!$F$275:$F$289,FALSE),MATCH('Program Summary'!AJ$45,'Utility Portfolio Summary'!$F$275:$BY$275,FALSE))</f>
        <v>0</v>
      </c>
      <c r="AK51" s="572">
        <f ca="1">INDEX('Utility Portfolio Summary'!$F$275:$BY$289,MATCH('Program Summary'!$B51,'Utility Portfolio Summary'!$F$275:$F$289,FALSE),MATCH('Program Summary'!AK$45,'Utility Portfolio Summary'!$F$275:$BY$275,FALSE))</f>
        <v>881.52985074626883</v>
      </c>
      <c r="AL51" s="572">
        <f ca="1">INDEX('Utility Portfolio Summary'!$F$275:$BY$289,MATCH('Program Summary'!$B51,'Utility Portfolio Summary'!$F$275:$F$289,FALSE),MATCH('Program Summary'!AL$45,'Utility Portfolio Summary'!$F$275:$BY$275,FALSE))</f>
        <v>1811.0341151385928</v>
      </c>
      <c r="AM51" s="572">
        <f ca="1">INDEX('Utility Portfolio Summary'!$F$275:$BY$289,MATCH('Program Summary'!$B51,'Utility Portfolio Summary'!$F$275:$F$289,FALSE),MATCH('Program Summary'!AM$45,'Utility Portfolio Summary'!$F$275:$BY$275,FALSE))</f>
        <v>3769.6194029850749</v>
      </c>
      <c r="AN51" s="572">
        <f ca="1">INDEX('Utility Portfolio Summary'!$F$275:$BY$289,MATCH('Program Summary'!$B51,'Utility Portfolio Summary'!$F$275:$F$289,FALSE),MATCH('Program Summary'!AN$45,'Utility Portfolio Summary'!$F$275:$BY$275,FALSE))</f>
        <v>6601.8374200426442</v>
      </c>
      <c r="AO51" s="572">
        <f ca="1">INDEX('Utility Portfolio Summary'!$F$275:$BY$289,MATCH('Program Summary'!$B51,'Utility Portfolio Summary'!$F$275:$F$289,FALSE),MATCH('Program Summary'!AO$45,'Utility Portfolio Summary'!$F$275:$BY$275,FALSE))</f>
        <v>10471.210554371002</v>
      </c>
      <c r="AP51" s="572">
        <f ca="1">INDEX('Utility Portfolio Summary'!$F$275:$BY$289,MATCH('Program Summary'!$B51,'Utility Portfolio Summary'!$F$275:$F$289,FALSE),MATCH('Program Summary'!AP$45,'Utility Portfolio Summary'!$F$275:$BY$275,FALSE))</f>
        <v>14342.458688699362</v>
      </c>
      <c r="AQ51" s="572">
        <f ca="1">INDEX('Utility Portfolio Summary'!$F$275:$BY$289,MATCH('Program Summary'!$B51,'Utility Portfolio Summary'!$F$275:$F$289,FALSE),MATCH('Program Summary'!AQ$45,'Utility Portfolio Summary'!$F$275:$BY$275,FALSE))</f>
        <v>18216.519323027718</v>
      </c>
      <c r="AR51" s="572">
        <f ca="1">INDEX('Utility Portfolio Summary'!$F$275:$BY$289,MATCH('Program Summary'!$B51,'Utility Portfolio Summary'!$F$275:$F$289,FALSE),MATCH('Program Summary'!AR$45,'Utility Portfolio Summary'!$F$275:$BY$275,FALSE))</f>
        <v>0</v>
      </c>
      <c r="AS51" s="572">
        <f ca="1">INDEX('Utility Portfolio Summary'!$F$275:$BY$289,MATCH('Program Summary'!$B51,'Utility Portfolio Summary'!$F$275:$F$289,FALSE),MATCH('Program Summary'!AS$45,'Utility Portfolio Summary'!$F$275:$BY$275,FALSE))</f>
        <v>0</v>
      </c>
      <c r="AT51" s="572">
        <f ca="1">INDEX('Utility Portfolio Summary'!$F$275:$BY$289,MATCH('Program Summary'!$B51,'Utility Portfolio Summary'!$F$275:$F$289,FALSE),MATCH('Program Summary'!AT$45,'Utility Portfolio Summary'!$F$275:$BY$275,FALSE))</f>
        <v>0</v>
      </c>
      <c r="AU51" s="572">
        <f ca="1">INDEX('Utility Portfolio Summary'!$F$275:$BY$289,MATCH('Program Summary'!$B51,'Utility Portfolio Summary'!$F$275:$F$289,FALSE),MATCH('Program Summary'!AU$45,'Utility Portfolio Summary'!$F$275:$BY$275,FALSE))</f>
        <v>0</v>
      </c>
      <c r="AV51" s="572">
        <f ca="1">INDEX('Utility Portfolio Summary'!$F$275:$BY$289,MATCH('Program Summary'!$B51,'Utility Portfolio Summary'!$F$275:$F$289,FALSE),MATCH('Program Summary'!AV$45,'Utility Portfolio Summary'!$F$275:$BY$275,FALSE))</f>
        <v>0</v>
      </c>
      <c r="AW51" s="572">
        <f ca="1">INDEX('Utility Portfolio Summary'!$F$275:$BY$289,MATCH('Program Summary'!$B51,'Utility Portfolio Summary'!$F$275:$F$289,FALSE),MATCH('Program Summary'!AW$45,'Utility Portfolio Summary'!$F$275:$BY$275,FALSE))</f>
        <v>0</v>
      </c>
      <c r="AX51" s="572">
        <f ca="1">INDEX('Utility Portfolio Summary'!$F$275:$BY$289,MATCH('Program Summary'!$B51,'Utility Portfolio Summary'!$F$275:$F$289,FALSE),MATCH('Program Summary'!AX$45,'Utility Portfolio Summary'!$F$275:$BY$275,FALSE))</f>
        <v>0</v>
      </c>
    </row>
    <row r="52" spans="1:50">
      <c r="A52" s="527" t="str">
        <f t="shared" si="21"/>
        <v>Business RebatesLG&amp;E</v>
      </c>
      <c r="B52" s="649" t="s">
        <v>63</v>
      </c>
      <c r="C52" s="572">
        <f t="shared" ca="1" si="22"/>
        <v>74687180.280000001</v>
      </c>
      <c r="D52" s="650">
        <f t="shared" si="23"/>
        <v>5484821.0092098666</v>
      </c>
      <c r="E52" s="650">
        <f t="shared" si="24"/>
        <v>9203445.2999980822</v>
      </c>
      <c r="F52" s="572">
        <f t="shared" ca="1" si="25"/>
        <v>169559271.16533232</v>
      </c>
      <c r="G52" s="572">
        <f t="shared" ca="1" si="20"/>
        <v>9679.6399085602352</v>
      </c>
      <c r="H52" s="572">
        <f t="shared" ca="1" si="26"/>
        <v>23645.640000000003</v>
      </c>
      <c r="I52" s="572">
        <f ca="1">INDEX('Utility Portfolio Summary'!$F$275:$BY$289,MATCH('Program Summary'!$B52,'Utility Portfolio Summary'!$F$275:$F$289,FALSE),MATCH('Program Summary'!I$45,'Utility Portfolio Summary'!$F$275:$BY$275,FALSE))</f>
        <v>5345606</v>
      </c>
      <c r="J52" s="572">
        <f ca="1">INDEX('Utility Portfolio Summary'!$F$275:$BY$289,MATCH('Program Summary'!$B52,'Utility Portfolio Summary'!$F$275:$F$289,FALSE),MATCH('Program Summary'!J$45,'Utility Portfolio Summary'!$F$275:$BY$275,FALSE))</f>
        <v>8345606.5</v>
      </c>
      <c r="K52" s="572">
        <f ca="1">INDEX('Utility Portfolio Summary'!$F$275:$BY$289,MATCH('Program Summary'!$B52,'Utility Portfolio Summary'!$F$275:$F$289,FALSE),MATCH('Program Summary'!K$45,'Utility Portfolio Summary'!$F$275:$BY$275,FALSE))</f>
        <v>12228722.779999999</v>
      </c>
      <c r="L52" s="572">
        <f ca="1">INDEX('Utility Portfolio Summary'!$F$275:$BY$289,MATCH('Program Summary'!$B52,'Utility Portfolio Summary'!$F$275:$F$289,FALSE),MATCH('Program Summary'!L$45,'Utility Portfolio Summary'!$F$275:$BY$275,FALSE))</f>
        <v>12191810.5</v>
      </c>
      <c r="M52" s="572">
        <f ca="1">INDEX('Utility Portfolio Summary'!$F$275:$BY$289,MATCH('Program Summary'!$B52,'Utility Portfolio Summary'!$F$275:$F$289,FALSE),MATCH('Program Summary'!M$45,'Utility Portfolio Summary'!$F$275:$BY$275,FALSE))</f>
        <v>12191812</v>
      </c>
      <c r="N52" s="572">
        <f ca="1">INDEX('Utility Portfolio Summary'!$F$275:$BY$289,MATCH('Program Summary'!$B52,'Utility Portfolio Summary'!$F$275:$F$289,FALSE),MATCH('Program Summary'!N$45,'Utility Portfolio Summary'!$F$275:$BY$275,FALSE))</f>
        <v>12191811.5</v>
      </c>
      <c r="O52" s="572">
        <f ca="1">INDEX('Utility Portfolio Summary'!$F$275:$BY$289,MATCH('Program Summary'!$B52,'Utility Portfolio Summary'!$F$275:$F$289,FALSE),MATCH('Program Summary'!O$45,'Utility Portfolio Summary'!$F$275:$BY$275,FALSE))</f>
        <v>12191811</v>
      </c>
      <c r="P52" s="650">
        <f>VLOOKUP($A52,'LGE-KU Budgets'!$A$6:$Y$50,'LGE-KU Budgets'!L$2,0)*1000</f>
        <v>749242.42759224854</v>
      </c>
      <c r="Q52" s="650">
        <f>VLOOKUP($A52,'LGE-KU Budgets'!$A$6:$Y$50,'LGE-KU Budgets'!M$2,0)*1000</f>
        <v>752191.60799599451</v>
      </c>
      <c r="R52" s="650">
        <f>VLOOKUP($A52,'LGE-KU Budgets'!$A$6:$Y$50,'LGE-KU Budgets'!N$2,0)*1000</f>
        <v>780229.26381185313</v>
      </c>
      <c r="S52" s="650">
        <f>VLOOKUP($A52,'LGE-KU Budgets'!$A$6:$Y$50,'LGE-KU Budgets'!O$2,0)*1000</f>
        <v>783358.04930218728</v>
      </c>
      <c r="T52" s="650">
        <f>VLOOKUP($A52,'LGE-KU Budgets'!$A$6:$Y$50,'LGE-KU Budgets'!P$2,0)*1000</f>
        <v>836580.69835723157</v>
      </c>
      <c r="U52" s="650">
        <f>VLOOKUP($A52,'LGE-KU Budgets'!$A$6:$Y$50,'LGE-KU Budgets'!Q$2,0)*1000</f>
        <v>789900.02688392729</v>
      </c>
      <c r="V52" s="650">
        <f>VLOOKUP($A52,'LGE-KU Budgets'!$A$6:$Y$50,'LGE-KU Budgets'!R$2,0)*1000</f>
        <v>793318.93526642362</v>
      </c>
      <c r="W52" s="650">
        <f>VLOOKUP($A52,'LGE-KU Budgets'!$A$6:$Y$50,'LGE-KU Budgets'!S$2,0)*1000</f>
        <v>1584565.1077591642</v>
      </c>
      <c r="X52" s="650">
        <f>VLOOKUP($A52,'LGE-KU Budgets'!$A$6:$Y$50,'LGE-KU Budgets'!T$2,0)*1000</f>
        <v>1836531.2116289483</v>
      </c>
      <c r="Y52" s="650">
        <f>VLOOKUP($A52,'LGE-KU Budgets'!$A$6:$Y$50,'LGE-KU Budgets'!U$2,0)*1000</f>
        <v>1366675.5701219935</v>
      </c>
      <c r="Z52" s="650">
        <f>VLOOKUP($A52,'LGE-KU Budgets'!$A$6:$Y$50,'LGE-KU Budgets'!V$2,0)*1000</f>
        <v>1100533.5351219936</v>
      </c>
      <c r="AA52" s="650">
        <f>VLOOKUP($A52,'LGE-KU Budgets'!$A$6:$Y$50,'LGE-KU Budgets'!W$2,0)*1000</f>
        <v>1104878.1701219936</v>
      </c>
      <c r="AB52" s="650">
        <f>VLOOKUP($A52,'LGE-KU Budgets'!$A$6:$Y$50,'LGE-KU Budgets'!X$2,0)*1000</f>
        <v>1107328.1701219936</v>
      </c>
      <c r="AC52" s="650">
        <f>VLOOKUP($A52,'LGE-KU Budgets'!$A$6:$Y$50,'LGE-KU Budgets'!Y$2,0)*1000</f>
        <v>1102933.5351219936</v>
      </c>
      <c r="AD52" s="572">
        <f ca="1">INDEX('Utility Portfolio Summary'!$F$275:$BY$289,MATCH('Program Summary'!$B52,'Utility Portfolio Summary'!$F$275:$F$289,FALSE),MATCH('Program Summary'!AD$45,'Utility Portfolio Summary'!$F$275:$BY$275,FALSE))</f>
        <v>43748573.09886492</v>
      </c>
      <c r="AE52" s="572">
        <f ca="1">INDEX('Utility Portfolio Summary'!$F$275:$BY$289,MATCH('Program Summary'!$B52,'Utility Portfolio Summary'!$F$275:$F$289,FALSE),MATCH('Program Summary'!AE$45,'Utility Portfolio Summary'!$F$275:$BY$275,FALSE))</f>
        <v>46755622.71541591</v>
      </c>
      <c r="AF52" s="572">
        <f ca="1">INDEX('Utility Portfolio Summary'!$F$275:$BY$289,MATCH('Program Summary'!$B52,'Utility Portfolio Summary'!$F$275:$F$289,FALSE),MATCH('Program Summary'!AF$45,'Utility Portfolio Summary'!$F$275:$BY$275,FALSE))</f>
        <v>22933882.992095597</v>
      </c>
      <c r="AG52" s="572">
        <f ca="1">INDEX('Utility Portfolio Summary'!$F$275:$BY$289,MATCH('Program Summary'!$B52,'Utility Portfolio Summary'!$F$275:$F$289,FALSE),MATCH('Program Summary'!AG$45,'Utility Portfolio Summary'!$F$275:$BY$275,FALSE))</f>
        <v>13965308.835651968</v>
      </c>
      <c r="AH52" s="572">
        <f ca="1">INDEX('Utility Portfolio Summary'!$F$275:$BY$289,MATCH('Program Summary'!$B52,'Utility Portfolio Summary'!$F$275:$F$289,FALSE),MATCH('Program Summary'!AH$45,'Utility Portfolio Summary'!$F$275:$BY$275,FALSE))</f>
        <v>14072639.143932378</v>
      </c>
      <c r="AI52" s="572">
        <f ca="1">INDEX('Utility Portfolio Summary'!$F$275:$BY$289,MATCH('Program Summary'!$B52,'Utility Portfolio Summary'!$F$275:$F$289,FALSE),MATCH('Program Summary'!AI$45,'Utility Portfolio Summary'!$F$275:$BY$275,FALSE))</f>
        <v>14067795.197854863</v>
      </c>
      <c r="AJ52" s="572">
        <f ca="1">INDEX('Utility Portfolio Summary'!$F$275:$BY$289,MATCH('Program Summary'!$B52,'Utility Portfolio Summary'!$F$275:$F$289,FALSE),MATCH('Program Summary'!AJ$45,'Utility Portfolio Summary'!$F$275:$BY$275,FALSE))</f>
        <v>14015449.181516679</v>
      </c>
      <c r="AK52" s="572">
        <f ca="1">INDEX('Utility Portfolio Summary'!$F$275:$BY$289,MATCH('Program Summary'!$B52,'Utility Portfolio Summary'!$F$275:$F$289,FALSE),MATCH('Program Summary'!AK$45,'Utility Portfolio Summary'!$F$275:$BY$275,FALSE))</f>
        <v>8874.0389429849765</v>
      </c>
      <c r="AL52" s="572">
        <f ca="1">INDEX('Utility Portfolio Summary'!$F$275:$BY$289,MATCH('Program Summary'!$B52,'Utility Portfolio Summary'!$F$275:$F$289,FALSE),MATCH('Program Summary'!AL$45,'Utility Portfolio Summary'!$F$275:$BY$275,FALSE))</f>
        <v>9679.6399085602352</v>
      </c>
      <c r="AM52" s="572">
        <f ca="1">INDEX('Utility Portfolio Summary'!$F$275:$BY$289,MATCH('Program Summary'!$B52,'Utility Portfolio Summary'!$F$275:$F$289,FALSE),MATCH('Program Summary'!AM$45,'Utility Portfolio Summary'!$F$275:$BY$275,FALSE))</f>
        <v>5355.5105977472758</v>
      </c>
      <c r="AN52" s="572">
        <f ca="1">INDEX('Utility Portfolio Summary'!$F$275:$BY$289,MATCH('Program Summary'!$B52,'Utility Portfolio Summary'!$F$275:$F$289,FALSE),MATCH('Program Summary'!AN$45,'Utility Portfolio Summary'!$F$275:$BY$275,FALSE))</f>
        <v>3620.4850070400689</v>
      </c>
      <c r="AO52" s="572">
        <f ca="1">INDEX('Utility Portfolio Summary'!$F$275:$BY$289,MATCH('Program Summary'!$B52,'Utility Portfolio Summary'!$F$275:$F$289,FALSE),MATCH('Program Summary'!AO$45,'Utility Portfolio Summary'!$F$275:$BY$275,FALSE))</f>
        <v>3633.4801819749168</v>
      </c>
      <c r="AP52" s="572">
        <f ca="1">INDEX('Utility Portfolio Summary'!$F$275:$BY$289,MATCH('Program Summary'!$B52,'Utility Portfolio Summary'!$F$275:$F$289,FALSE),MATCH('Program Summary'!AP$45,'Utility Portfolio Summary'!$F$275:$BY$275,FALSE))</f>
        <v>3625.6389546545602</v>
      </c>
      <c r="AQ52" s="572">
        <f ca="1">INDEX('Utility Portfolio Summary'!$F$275:$BY$289,MATCH('Program Summary'!$B52,'Utility Portfolio Summary'!$F$275:$F$289,FALSE),MATCH('Program Summary'!AQ$45,'Utility Portfolio Summary'!$F$275:$BY$275,FALSE))</f>
        <v>3633.8679871990007</v>
      </c>
      <c r="AR52" s="572">
        <f ca="1">INDEX('Utility Portfolio Summary'!$F$275:$BY$289,MATCH('Program Summary'!$B52,'Utility Portfolio Summary'!$F$275:$F$289,FALSE),MATCH('Program Summary'!AR$45,'Utility Portfolio Summary'!$F$275:$BY$275,FALSE))</f>
        <v>2781.84</v>
      </c>
      <c r="AS52" s="572">
        <f ca="1">INDEX('Utility Portfolio Summary'!$F$275:$BY$289,MATCH('Program Summary'!$B52,'Utility Portfolio Summary'!$F$275:$F$289,FALSE),MATCH('Program Summary'!AS$45,'Utility Portfolio Summary'!$F$275:$BY$275,FALSE))</f>
        <v>3179.2449999999999</v>
      </c>
      <c r="AT52" s="572">
        <f ca="1">INDEX('Utility Portfolio Summary'!$F$275:$BY$289,MATCH('Program Summary'!$B52,'Utility Portfolio Summary'!$F$275:$F$289,FALSE),MATCH('Program Summary'!AT$45,'Utility Portfolio Summary'!$F$275:$BY$275,FALSE))</f>
        <v>4768.87</v>
      </c>
      <c r="AU52" s="572">
        <f ca="1">INDEX('Utility Portfolio Summary'!$F$275:$BY$289,MATCH('Program Summary'!$B52,'Utility Portfolio Summary'!$F$275:$F$289,FALSE),MATCH('Program Summary'!AU$45,'Utility Portfolio Summary'!$F$275:$BY$275,FALSE))</f>
        <v>2185.73</v>
      </c>
      <c r="AV52" s="572">
        <f ca="1">INDEX('Utility Portfolio Summary'!$F$275:$BY$289,MATCH('Program Summary'!$B52,'Utility Portfolio Summary'!$F$275:$F$289,FALSE),MATCH('Program Summary'!AV$45,'Utility Portfolio Summary'!$F$275:$BY$275,FALSE))</f>
        <v>3775.355</v>
      </c>
      <c r="AW52" s="572">
        <f ca="1">INDEX('Utility Portfolio Summary'!$F$275:$BY$289,MATCH('Program Summary'!$B52,'Utility Portfolio Summary'!$F$275:$F$289,FALSE),MATCH('Program Summary'!AW$45,'Utility Portfolio Summary'!$F$275:$BY$275,FALSE))</f>
        <v>4172.76</v>
      </c>
      <c r="AX52" s="572">
        <f ca="1">INDEX('Utility Portfolio Summary'!$F$275:$BY$289,MATCH('Program Summary'!$B52,'Utility Portfolio Summary'!$F$275:$F$289,FALSE),MATCH('Program Summary'!AX$45,'Utility Portfolio Summary'!$F$275:$BY$275,FALSE))</f>
        <v>2781.84</v>
      </c>
    </row>
    <row r="53" spans="1:50">
      <c r="A53" s="527" t="str">
        <f t="shared" si="21"/>
        <v>Small Business - Audit &amp; DILG&amp;E</v>
      </c>
      <c r="B53" s="649" t="s">
        <v>64</v>
      </c>
      <c r="C53" s="572">
        <f t="shared" ca="1" si="22"/>
        <v>19048.25</v>
      </c>
      <c r="D53" s="650">
        <f t="shared" si="23"/>
        <v>2231486.2987132473</v>
      </c>
      <c r="E53" s="650">
        <f t="shared" si="24"/>
        <v>0</v>
      </c>
      <c r="F53" s="572">
        <f t="shared" ca="1" si="25"/>
        <v>1418717.908542969</v>
      </c>
      <c r="G53" s="572">
        <f t="shared" ca="1" si="20"/>
        <v>58.240661721584843</v>
      </c>
      <c r="H53" s="572">
        <f t="shared" ca="1" si="26"/>
        <v>2162.2070770215419</v>
      </c>
      <c r="I53" s="572">
        <f ca="1">INDEX('Utility Portfolio Summary'!$F$275:$BY$289,MATCH('Program Summary'!$B53,'Utility Portfolio Summary'!$F$275:$F$289,FALSE),MATCH('Program Summary'!I$45,'Utility Portfolio Summary'!$F$275:$BY$275,FALSE))</f>
        <v>1465.25</v>
      </c>
      <c r="J53" s="572">
        <f ca="1">INDEX('Utility Portfolio Summary'!$F$275:$BY$289,MATCH('Program Summary'!$B53,'Utility Portfolio Summary'!$F$275:$F$289,FALSE),MATCH('Program Summary'!J$45,'Utility Portfolio Summary'!$F$275:$BY$275,FALSE))</f>
        <v>2930.5</v>
      </c>
      <c r="K53" s="572">
        <f ca="1">INDEX('Utility Portfolio Summary'!$F$275:$BY$289,MATCH('Program Summary'!$B53,'Utility Portfolio Summary'!$F$275:$F$289,FALSE),MATCH('Program Summary'!K$45,'Utility Portfolio Summary'!$F$275:$BY$275,FALSE))</f>
        <v>2930.5</v>
      </c>
      <c r="L53" s="572">
        <f ca="1">INDEX('Utility Portfolio Summary'!$F$275:$BY$289,MATCH('Program Summary'!$B53,'Utility Portfolio Summary'!$F$275:$F$289,FALSE),MATCH('Program Summary'!L$45,'Utility Portfolio Summary'!$F$275:$BY$275,FALSE))</f>
        <v>2930.5</v>
      </c>
      <c r="M53" s="572">
        <f ca="1">INDEX('Utility Portfolio Summary'!$F$275:$BY$289,MATCH('Program Summary'!$B53,'Utility Portfolio Summary'!$F$275:$F$289,FALSE),MATCH('Program Summary'!M$45,'Utility Portfolio Summary'!$F$275:$BY$275,FALSE))</f>
        <v>2930.5</v>
      </c>
      <c r="N53" s="572">
        <f ca="1">INDEX('Utility Portfolio Summary'!$F$275:$BY$289,MATCH('Program Summary'!$B53,'Utility Portfolio Summary'!$F$275:$F$289,FALSE),MATCH('Program Summary'!N$45,'Utility Portfolio Summary'!$F$275:$BY$275,FALSE))</f>
        <v>2930.5</v>
      </c>
      <c r="O53" s="572">
        <f ca="1">INDEX('Utility Portfolio Summary'!$F$275:$BY$289,MATCH('Program Summary'!$B53,'Utility Portfolio Summary'!$F$275:$F$289,FALSE),MATCH('Program Summary'!O$45,'Utility Portfolio Summary'!$F$275:$BY$275,FALSE))</f>
        <v>2930.5</v>
      </c>
      <c r="P53" s="650">
        <f>VLOOKUP($A53,'LGE-KU Budgets'!$A$6:$Y$50,'LGE-KU Budgets'!L$2,0)*1000</f>
        <v>311049.06205552473</v>
      </c>
      <c r="Q53" s="650">
        <f>VLOOKUP($A53,'LGE-KU Budgets'!$A$6:$Y$50,'LGE-KU Budgets'!M$2,0)*1000</f>
        <v>308814.63401719055</v>
      </c>
      <c r="R53" s="650">
        <f>VLOOKUP($A53,'LGE-KU Budgets'!$A$6:$Y$50,'LGE-KU Budgets'!N$2,0)*1000</f>
        <v>309938.61323770625</v>
      </c>
      <c r="S53" s="650">
        <f>VLOOKUP($A53,'LGE-KU Budgets'!$A$6:$Y$50,'LGE-KU Budgets'!O$2,0)*1000</f>
        <v>311096.31183483743</v>
      </c>
      <c r="T53" s="650">
        <f>VLOOKUP($A53,'LGE-KU Budgets'!$A$6:$Y$50,'LGE-KU Budgets'!P$2,0)*1000</f>
        <v>362288.74138988252</v>
      </c>
      <c r="U53" s="650">
        <f>VLOOKUP($A53,'LGE-KU Budgets'!$A$6:$Y$50,'LGE-KU Budgets'!Q$2,0)*1000</f>
        <v>313516.943831579</v>
      </c>
      <c r="V53" s="650">
        <f>VLOOKUP($A53,'LGE-KU Budgets'!$A$6:$Y$50,'LGE-KU Budgets'!R$2,0)*1000</f>
        <v>314781.99234652641</v>
      </c>
      <c r="W53" s="650">
        <f>VLOOKUP($A53,'LGE-KU Budgets'!$A$6:$Y$50,'LGE-KU Budgets'!S$2,0)*1000</f>
        <v>0</v>
      </c>
      <c r="X53" s="650">
        <f>VLOOKUP($A53,'LGE-KU Budgets'!$A$6:$Y$50,'LGE-KU Budgets'!T$2,0)*1000</f>
        <v>0</v>
      </c>
      <c r="Y53" s="650">
        <f>VLOOKUP($A53,'LGE-KU Budgets'!$A$6:$Y$50,'LGE-KU Budgets'!U$2,0)*1000</f>
        <v>0</v>
      </c>
      <c r="Z53" s="650">
        <f>VLOOKUP($A53,'LGE-KU Budgets'!$A$6:$Y$50,'LGE-KU Budgets'!V$2,0)*1000</f>
        <v>0</v>
      </c>
      <c r="AA53" s="650">
        <f>VLOOKUP($A53,'LGE-KU Budgets'!$A$6:$Y$50,'LGE-KU Budgets'!W$2,0)*1000</f>
        <v>0</v>
      </c>
      <c r="AB53" s="650">
        <f>VLOOKUP($A53,'LGE-KU Budgets'!$A$6:$Y$50,'LGE-KU Budgets'!X$2,0)*1000</f>
        <v>0</v>
      </c>
      <c r="AC53" s="650">
        <f>VLOOKUP($A53,'LGE-KU Budgets'!$A$6:$Y$50,'LGE-KU Budgets'!Y$2,0)*1000</f>
        <v>0</v>
      </c>
      <c r="AD53" s="572">
        <f ca="1">INDEX('Utility Portfolio Summary'!$F$275:$BY$289,MATCH('Program Summary'!$B53,'Utility Portfolio Summary'!$F$275:$F$289,FALSE),MATCH('Program Summary'!AD$45,'Utility Portfolio Summary'!$F$275:$BY$275,FALSE))</f>
        <v>109132.14681099761</v>
      </c>
      <c r="AE53" s="572">
        <f ca="1">INDEX('Utility Portfolio Summary'!$F$275:$BY$289,MATCH('Program Summary'!$B53,'Utility Portfolio Summary'!$F$275:$F$289,FALSE),MATCH('Program Summary'!AE$45,'Utility Portfolio Summary'!$F$275:$BY$275,FALSE))</f>
        <v>218264.29362199522</v>
      </c>
      <c r="AF53" s="572">
        <f ca="1">INDEX('Utility Portfolio Summary'!$F$275:$BY$289,MATCH('Program Summary'!$B53,'Utility Portfolio Summary'!$F$275:$F$289,FALSE),MATCH('Program Summary'!AF$45,'Utility Portfolio Summary'!$F$275:$BY$275,FALSE))</f>
        <v>218264.29362199522</v>
      </c>
      <c r="AG53" s="572">
        <f ca="1">INDEX('Utility Portfolio Summary'!$F$275:$BY$289,MATCH('Program Summary'!$B53,'Utility Portfolio Summary'!$F$275:$F$289,FALSE),MATCH('Program Summary'!AG$45,'Utility Portfolio Summary'!$F$275:$BY$275,FALSE))</f>
        <v>218264.29362199522</v>
      </c>
      <c r="AH53" s="572">
        <f ca="1">INDEX('Utility Portfolio Summary'!$F$275:$BY$289,MATCH('Program Summary'!$B53,'Utility Portfolio Summary'!$F$275:$F$289,FALSE),MATCH('Program Summary'!AH$45,'Utility Portfolio Summary'!$F$275:$BY$275,FALSE))</f>
        <v>218264.29362199522</v>
      </c>
      <c r="AI53" s="572">
        <f ca="1">INDEX('Utility Portfolio Summary'!$F$275:$BY$289,MATCH('Program Summary'!$B53,'Utility Portfolio Summary'!$F$275:$F$289,FALSE),MATCH('Program Summary'!AI$45,'Utility Portfolio Summary'!$F$275:$BY$275,FALSE))</f>
        <v>218264.29362199522</v>
      </c>
      <c r="AJ53" s="572">
        <f ca="1">INDEX('Utility Portfolio Summary'!$F$275:$BY$289,MATCH('Program Summary'!$B53,'Utility Portfolio Summary'!$F$275:$F$289,FALSE),MATCH('Program Summary'!AJ$45,'Utility Portfolio Summary'!$F$275:$BY$275,FALSE))</f>
        <v>218264.29362199522</v>
      </c>
      <c r="AK53" s="572">
        <f ca="1">INDEX('Utility Portfolio Summary'!$F$275:$BY$289,MATCH('Program Summary'!$B53,'Utility Portfolio Summary'!$F$275:$F$289,FALSE),MATCH('Program Summary'!AK$45,'Utility Portfolio Summary'!$F$275:$BY$275,FALSE))</f>
        <v>29.120330860792421</v>
      </c>
      <c r="AL53" s="572">
        <f ca="1">INDEX('Utility Portfolio Summary'!$F$275:$BY$289,MATCH('Program Summary'!$B53,'Utility Portfolio Summary'!$F$275:$F$289,FALSE),MATCH('Program Summary'!AL$45,'Utility Portfolio Summary'!$F$275:$BY$275,FALSE))</f>
        <v>58.240661721584843</v>
      </c>
      <c r="AM53" s="572">
        <f ca="1">INDEX('Utility Portfolio Summary'!$F$275:$BY$289,MATCH('Program Summary'!$B53,'Utility Portfolio Summary'!$F$275:$F$289,FALSE),MATCH('Program Summary'!AM$45,'Utility Portfolio Summary'!$F$275:$BY$275,FALSE))</f>
        <v>58.240661721584843</v>
      </c>
      <c r="AN53" s="572">
        <f ca="1">INDEX('Utility Portfolio Summary'!$F$275:$BY$289,MATCH('Program Summary'!$B53,'Utility Portfolio Summary'!$F$275:$F$289,FALSE),MATCH('Program Summary'!AN$45,'Utility Portfolio Summary'!$F$275:$BY$275,FALSE))</f>
        <v>58.240661721584843</v>
      </c>
      <c r="AO53" s="572">
        <f ca="1">INDEX('Utility Portfolio Summary'!$F$275:$BY$289,MATCH('Program Summary'!$B53,'Utility Portfolio Summary'!$F$275:$F$289,FALSE),MATCH('Program Summary'!AO$45,'Utility Portfolio Summary'!$F$275:$BY$275,FALSE))</f>
        <v>58.240661721584843</v>
      </c>
      <c r="AP53" s="572">
        <f ca="1">INDEX('Utility Portfolio Summary'!$F$275:$BY$289,MATCH('Program Summary'!$B53,'Utility Portfolio Summary'!$F$275:$F$289,FALSE),MATCH('Program Summary'!AP$45,'Utility Portfolio Summary'!$F$275:$BY$275,FALSE))</f>
        <v>58.240661721584843</v>
      </c>
      <c r="AQ53" s="572">
        <f ca="1">INDEX('Utility Portfolio Summary'!$F$275:$BY$289,MATCH('Program Summary'!$B53,'Utility Portfolio Summary'!$F$275:$F$289,FALSE),MATCH('Program Summary'!AQ$45,'Utility Portfolio Summary'!$F$275:$BY$275,FALSE))</f>
        <v>58.240661721584843</v>
      </c>
      <c r="AR53" s="572">
        <f ca="1">INDEX('Utility Portfolio Summary'!$F$275:$BY$289,MATCH('Program Summary'!$B53,'Utility Portfolio Summary'!$F$275:$F$289,FALSE),MATCH('Program Summary'!AR$45,'Utility Portfolio Summary'!$F$275:$BY$275,FALSE))</f>
        <v>166.32362130934936</v>
      </c>
      <c r="AS53" s="572">
        <f ca="1">INDEX('Utility Portfolio Summary'!$F$275:$BY$289,MATCH('Program Summary'!$B53,'Utility Portfolio Summary'!$F$275:$F$289,FALSE),MATCH('Program Summary'!AS$45,'Utility Portfolio Summary'!$F$275:$BY$275,FALSE))</f>
        <v>332.64724261869873</v>
      </c>
      <c r="AT53" s="572">
        <f ca="1">INDEX('Utility Portfolio Summary'!$F$275:$BY$289,MATCH('Program Summary'!$B53,'Utility Portfolio Summary'!$F$275:$F$289,FALSE),MATCH('Program Summary'!AT$45,'Utility Portfolio Summary'!$F$275:$BY$275,FALSE))</f>
        <v>332.64724261869873</v>
      </c>
      <c r="AU53" s="572">
        <f ca="1">INDEX('Utility Portfolio Summary'!$F$275:$BY$289,MATCH('Program Summary'!$B53,'Utility Portfolio Summary'!$F$275:$F$289,FALSE),MATCH('Program Summary'!AU$45,'Utility Portfolio Summary'!$F$275:$BY$275,FALSE))</f>
        <v>332.64724261869873</v>
      </c>
      <c r="AV53" s="572">
        <f ca="1">INDEX('Utility Portfolio Summary'!$F$275:$BY$289,MATCH('Program Summary'!$B53,'Utility Portfolio Summary'!$F$275:$F$289,FALSE),MATCH('Program Summary'!AV$45,'Utility Portfolio Summary'!$F$275:$BY$275,FALSE))</f>
        <v>332.64724261869873</v>
      </c>
      <c r="AW53" s="572">
        <f ca="1">INDEX('Utility Portfolio Summary'!$F$275:$BY$289,MATCH('Program Summary'!$B53,'Utility Portfolio Summary'!$F$275:$F$289,FALSE),MATCH('Program Summary'!AW$45,'Utility Portfolio Summary'!$F$275:$BY$275,FALSE))</f>
        <v>332.64724261869873</v>
      </c>
      <c r="AX53" s="572">
        <f ca="1">INDEX('Utility Portfolio Summary'!$F$275:$BY$289,MATCH('Program Summary'!$B53,'Utility Portfolio Summary'!$F$275:$F$289,FALSE),MATCH('Program Summary'!AX$45,'Utility Portfolio Summary'!$F$275:$BY$275,FALSE))</f>
        <v>332.64724261869873</v>
      </c>
    </row>
    <row r="54" spans="1:50">
      <c r="A54" s="527" t="str">
        <f t="shared" si="21"/>
        <v>Residential Demand ConservationLG&amp;E</v>
      </c>
      <c r="B54" s="649" t="s">
        <v>4</v>
      </c>
      <c r="C54" s="572">
        <f ca="1">MAX(I54:O54)</f>
        <v>88530</v>
      </c>
      <c r="D54" s="650">
        <f t="shared" si="23"/>
        <v>4106432.7678695587</v>
      </c>
      <c r="E54" s="650">
        <f t="shared" si="24"/>
        <v>19714002.123614594</v>
      </c>
      <c r="F54" s="572">
        <f t="shared" ca="1" si="25"/>
        <v>0</v>
      </c>
      <c r="G54" s="572">
        <f t="shared" ca="1" si="20"/>
        <v>62067.5</v>
      </c>
      <c r="H54" s="572">
        <f t="shared" ca="1" si="26"/>
        <v>0</v>
      </c>
      <c r="I54" s="572">
        <f ca="1">INDEX('Utility Portfolio Summary'!$F$275:$BY$289,MATCH('Program Summary'!$B54,'Utility Portfolio Summary'!$F$275:$F$289,FALSE),MATCH('Program Summary'!I$45,'Utility Portfolio Summary'!$F$275:$BY$275,FALSE))</f>
        <v>88530</v>
      </c>
      <c r="J54" s="572">
        <f ca="1">INDEX('Utility Portfolio Summary'!$F$275:$BY$289,MATCH('Program Summary'!$B54,'Utility Portfolio Summary'!$F$275:$F$289,FALSE),MATCH('Program Summary'!J$45,'Utility Portfolio Summary'!$F$275:$BY$275,FALSE))</f>
        <v>79614</v>
      </c>
      <c r="K54" s="572">
        <f ca="1">INDEX('Utility Portfolio Summary'!$F$275:$BY$289,MATCH('Program Summary'!$B54,'Utility Portfolio Summary'!$F$275:$F$289,FALSE),MATCH('Program Summary'!K$45,'Utility Portfolio Summary'!$F$275:$BY$275,FALSE))</f>
        <v>71500</v>
      </c>
      <c r="L54" s="572">
        <f ca="1">INDEX('Utility Portfolio Summary'!$F$275:$BY$289,MATCH('Program Summary'!$B54,'Utility Portfolio Summary'!$F$275:$F$289,FALSE),MATCH('Program Summary'!L$45,'Utility Portfolio Summary'!$F$275:$BY$275,FALSE))</f>
        <v>64200</v>
      </c>
      <c r="M54" s="572">
        <f ca="1">INDEX('Utility Portfolio Summary'!$F$275:$BY$289,MATCH('Program Summary'!$B54,'Utility Portfolio Summary'!$F$275:$F$289,FALSE),MATCH('Program Summary'!M$45,'Utility Portfolio Summary'!$F$275:$BY$275,FALSE))</f>
        <v>57650</v>
      </c>
      <c r="N54" s="572">
        <f ca="1">INDEX('Utility Portfolio Summary'!$F$275:$BY$289,MATCH('Program Summary'!$B54,'Utility Portfolio Summary'!$F$275:$F$289,FALSE),MATCH('Program Summary'!N$45,'Utility Portfolio Summary'!$F$275:$BY$275,FALSE))</f>
        <v>51800</v>
      </c>
      <c r="O54" s="572">
        <f ca="1">INDEX('Utility Portfolio Summary'!$F$275:$BY$289,MATCH('Program Summary'!$B54,'Utility Portfolio Summary'!$F$275:$F$289,FALSE),MATCH('Program Summary'!O$45,'Utility Portfolio Summary'!$F$275:$BY$275,FALSE))</f>
        <v>46550</v>
      </c>
      <c r="P54" s="650">
        <f>VLOOKUP($A54,'LGE-KU Budgets'!$A$6:$Y$50,'LGE-KU Budgets'!L$2,0)*1000</f>
        <v>569614.71937135688</v>
      </c>
      <c r="Q54" s="650">
        <f>VLOOKUP($A54,'LGE-KU Budgets'!$A$6:$Y$50,'LGE-KU Budgets'!M$2,0)*1000</f>
        <v>646613.16095249751</v>
      </c>
      <c r="R54" s="650">
        <f>VLOOKUP($A54,'LGE-KU Budgets'!$A$6:$Y$50,'LGE-KU Budgets'!N$2,0)*1000</f>
        <v>573671.55578107247</v>
      </c>
      <c r="S54" s="650">
        <f>VLOOKUP($A54,'LGE-KU Budgets'!$A$6:$Y$50,'LGE-KU Budgets'!O$2,0)*1000</f>
        <v>575791.70245450467</v>
      </c>
      <c r="T54" s="650">
        <f>VLOOKUP($A54,'LGE-KU Budgets'!$A$6:$Y$50,'LGE-KU Budgets'!P$2,0)*1000</f>
        <v>577975.45352813986</v>
      </c>
      <c r="U54" s="650">
        <f>VLOOKUP($A54,'LGE-KU Budgets'!$A$6:$Y$50,'LGE-KU Budgets'!Q$2,0)*1000</f>
        <v>580224.71713398397</v>
      </c>
      <c r="V54" s="650">
        <f>VLOOKUP($A54,'LGE-KU Budgets'!$A$6:$Y$50,'LGE-KU Budgets'!R$2,0)*1000</f>
        <v>582541.45864800352</v>
      </c>
      <c r="W54" s="650">
        <f>VLOOKUP($A54,'LGE-KU Budgets'!$A$6:$Y$50,'LGE-KU Budgets'!S$2,0)*1000</f>
        <v>1167742.545101529</v>
      </c>
      <c r="X54" s="650">
        <f>VLOOKUP($A54,'LGE-KU Budgets'!$A$6:$Y$50,'LGE-KU Budgets'!T$2,0)*1000</f>
        <v>1049024.3507806812</v>
      </c>
      <c r="Y54" s="650">
        <f>VLOOKUP($A54,'LGE-KU Budgets'!$A$6:$Y$50,'LGE-KU Budgets'!U$2,0)*1000</f>
        <v>938106.15645983338</v>
      </c>
      <c r="Z54" s="650">
        <f>VLOOKUP($A54,'LGE-KU Budgets'!$A$6:$Y$50,'LGE-KU Budgets'!V$2,0)*1000</f>
        <v>1715837.9621389855</v>
      </c>
      <c r="AA54" s="650">
        <f>VLOOKUP($A54,'LGE-KU Budgets'!$A$6:$Y$50,'LGE-KU Budgets'!W$2,0)*1000</f>
        <v>5484109.1659250874</v>
      </c>
      <c r="AB54" s="650">
        <f>VLOOKUP($A54,'LGE-KU Budgets'!$A$6:$Y$50,'LGE-KU Budgets'!X$2,0)*1000</f>
        <v>4928430.3697111886</v>
      </c>
      <c r="AC54" s="650">
        <f>VLOOKUP($A54,'LGE-KU Budgets'!$A$6:$Y$50,'LGE-KU Budgets'!Y$2,0)*1000</f>
        <v>4430751.5734972898</v>
      </c>
      <c r="AD54" s="572">
        <f ca="1">INDEX('Utility Portfolio Summary'!$F$275:$BY$289,MATCH('Program Summary'!$B54,'Utility Portfolio Summary'!$F$275:$F$289,FALSE),MATCH('Program Summary'!AD$45,'Utility Portfolio Summary'!$F$275:$BY$275,FALSE))</f>
        <v>0</v>
      </c>
      <c r="AE54" s="572">
        <f ca="1">INDEX('Utility Portfolio Summary'!$F$275:$BY$289,MATCH('Program Summary'!$B54,'Utility Portfolio Summary'!$F$275:$F$289,FALSE),MATCH('Program Summary'!AE$45,'Utility Portfolio Summary'!$F$275:$BY$275,FALSE))</f>
        <v>0</v>
      </c>
      <c r="AF54" s="572">
        <f ca="1">INDEX('Utility Portfolio Summary'!$F$275:$BY$289,MATCH('Program Summary'!$B54,'Utility Portfolio Summary'!$F$275:$F$289,FALSE),MATCH('Program Summary'!AF$45,'Utility Portfolio Summary'!$F$275:$BY$275,FALSE))</f>
        <v>0</v>
      </c>
      <c r="AG54" s="572">
        <f ca="1">INDEX('Utility Portfolio Summary'!$F$275:$BY$289,MATCH('Program Summary'!$B54,'Utility Portfolio Summary'!$F$275:$F$289,FALSE),MATCH('Program Summary'!AG$45,'Utility Portfolio Summary'!$F$275:$BY$275,FALSE))</f>
        <v>0</v>
      </c>
      <c r="AH54" s="572">
        <f ca="1">INDEX('Utility Portfolio Summary'!$F$275:$BY$289,MATCH('Program Summary'!$B54,'Utility Portfolio Summary'!$F$275:$F$289,FALSE),MATCH('Program Summary'!AH$45,'Utility Portfolio Summary'!$F$275:$BY$275,FALSE))</f>
        <v>0</v>
      </c>
      <c r="AI54" s="572">
        <f ca="1">INDEX('Utility Portfolio Summary'!$F$275:$BY$289,MATCH('Program Summary'!$B54,'Utility Portfolio Summary'!$F$275:$F$289,FALSE),MATCH('Program Summary'!AI$45,'Utility Portfolio Summary'!$F$275:$BY$275,FALSE))</f>
        <v>0</v>
      </c>
      <c r="AJ54" s="572">
        <f ca="1">INDEX('Utility Portfolio Summary'!$F$275:$BY$289,MATCH('Program Summary'!$B54,'Utility Portfolio Summary'!$F$275:$F$289,FALSE),MATCH('Program Summary'!AJ$45,'Utility Portfolio Summary'!$F$275:$BY$275,FALSE))</f>
        <v>0</v>
      </c>
      <c r="AK54" s="572">
        <f ca="1">INDEX('Utility Portfolio Summary'!$F$275:$BY$289,MATCH('Program Summary'!$B54,'Utility Portfolio Summary'!$F$275:$F$289,FALSE),MATCH('Program Summary'!AK$45,'Utility Portfolio Summary'!$F$275:$BY$275,FALSE))</f>
        <v>62067.5</v>
      </c>
      <c r="AL54" s="572">
        <f ca="1">INDEX('Utility Portfolio Summary'!$F$275:$BY$289,MATCH('Program Summary'!$B54,'Utility Portfolio Summary'!$F$275:$F$289,FALSE),MATCH('Program Summary'!AL$45,'Utility Portfolio Summary'!$F$275:$BY$275,FALSE))</f>
        <v>55817.599999999999</v>
      </c>
      <c r="AM54" s="572">
        <f ca="1">INDEX('Utility Portfolio Summary'!$F$275:$BY$289,MATCH('Program Summary'!$B54,'Utility Portfolio Summary'!$F$275:$F$289,FALSE),MATCH('Program Summary'!AM$45,'Utility Portfolio Summary'!$F$275:$BY$275,FALSE))</f>
        <v>50128.5</v>
      </c>
      <c r="AN54" s="572">
        <f ca="1">INDEX('Utility Portfolio Summary'!$F$275:$BY$289,MATCH('Program Summary'!$B54,'Utility Portfolio Summary'!$F$275:$F$289,FALSE),MATCH('Program Summary'!AN$45,'Utility Portfolio Summary'!$F$275:$BY$275,FALSE))</f>
        <v>45005</v>
      </c>
      <c r="AO54" s="572">
        <f ca="1">INDEX('Utility Portfolio Summary'!$F$275:$BY$289,MATCH('Program Summary'!$B54,'Utility Portfolio Summary'!$F$275:$F$289,FALSE),MATCH('Program Summary'!AO$45,'Utility Portfolio Summary'!$F$275:$BY$275,FALSE))</f>
        <v>40436</v>
      </c>
      <c r="AP54" s="572">
        <f ca="1">INDEX('Utility Portfolio Summary'!$F$275:$BY$289,MATCH('Program Summary'!$B54,'Utility Portfolio Summary'!$F$275:$F$289,FALSE),MATCH('Program Summary'!AP$45,'Utility Portfolio Summary'!$F$275:$BY$275,FALSE))</f>
        <v>36327</v>
      </c>
      <c r="AQ54" s="572">
        <f ca="1">INDEX('Utility Portfolio Summary'!$F$275:$BY$289,MATCH('Program Summary'!$B54,'Utility Portfolio Summary'!$F$275:$F$289,FALSE),MATCH('Program Summary'!AQ$45,'Utility Portfolio Summary'!$F$275:$BY$275,FALSE))</f>
        <v>32638</v>
      </c>
      <c r="AR54" s="572">
        <f ca="1">INDEX('Utility Portfolio Summary'!$F$275:$BY$289,MATCH('Program Summary'!$B54,'Utility Portfolio Summary'!$F$275:$F$289,FALSE),MATCH('Program Summary'!AR$45,'Utility Portfolio Summary'!$F$275:$BY$275,FALSE))</f>
        <v>0</v>
      </c>
      <c r="AS54" s="572">
        <f ca="1">INDEX('Utility Portfolio Summary'!$F$275:$BY$289,MATCH('Program Summary'!$B54,'Utility Portfolio Summary'!$F$275:$F$289,FALSE),MATCH('Program Summary'!AS$45,'Utility Portfolio Summary'!$F$275:$BY$275,FALSE))</f>
        <v>0</v>
      </c>
      <c r="AT54" s="572">
        <f ca="1">INDEX('Utility Portfolio Summary'!$F$275:$BY$289,MATCH('Program Summary'!$B54,'Utility Portfolio Summary'!$F$275:$F$289,FALSE),MATCH('Program Summary'!AT$45,'Utility Portfolio Summary'!$F$275:$BY$275,FALSE))</f>
        <v>0</v>
      </c>
      <c r="AU54" s="572">
        <f ca="1">INDEX('Utility Portfolio Summary'!$F$275:$BY$289,MATCH('Program Summary'!$B54,'Utility Portfolio Summary'!$F$275:$F$289,FALSE),MATCH('Program Summary'!AU$45,'Utility Portfolio Summary'!$F$275:$BY$275,FALSE))</f>
        <v>0</v>
      </c>
      <c r="AV54" s="572">
        <f ca="1">INDEX('Utility Portfolio Summary'!$F$275:$BY$289,MATCH('Program Summary'!$B54,'Utility Portfolio Summary'!$F$275:$F$289,FALSE),MATCH('Program Summary'!AV$45,'Utility Portfolio Summary'!$F$275:$BY$275,FALSE))</f>
        <v>0</v>
      </c>
      <c r="AW54" s="572">
        <f ca="1">INDEX('Utility Portfolio Summary'!$F$275:$BY$289,MATCH('Program Summary'!$B54,'Utility Portfolio Summary'!$F$275:$F$289,FALSE),MATCH('Program Summary'!AW$45,'Utility Portfolio Summary'!$F$275:$BY$275,FALSE))</f>
        <v>0</v>
      </c>
      <c r="AX54" s="572">
        <f ca="1">INDEX('Utility Portfolio Summary'!$F$275:$BY$289,MATCH('Program Summary'!$B54,'Utility Portfolio Summary'!$F$275:$F$289,FALSE),MATCH('Program Summary'!AX$45,'Utility Portfolio Summary'!$F$275:$BY$275,FALSE))</f>
        <v>0</v>
      </c>
    </row>
    <row r="55" spans="1:50">
      <c r="A55" s="527" t="str">
        <f t="shared" si="21"/>
        <v>Large Nonres Demand Con.LG&amp;E</v>
      </c>
      <c r="B55" s="649" t="s">
        <v>65</v>
      </c>
      <c r="C55" s="572">
        <f ca="1">MAX(I55:O55)</f>
        <v>289.1696272259137</v>
      </c>
      <c r="D55" s="650">
        <f t="shared" si="23"/>
        <v>4625757.4282525191</v>
      </c>
      <c r="E55" s="650">
        <f t="shared" si="24"/>
        <v>14634481.567640033</v>
      </c>
      <c r="F55" s="572">
        <f t="shared" ca="1" si="25"/>
        <v>1939459.7206274774</v>
      </c>
      <c r="G55" s="572">
        <f t="shared" ca="1" si="20"/>
        <v>39343.88149035367</v>
      </c>
      <c r="H55" s="572">
        <f t="shared" ca="1" si="26"/>
        <v>0</v>
      </c>
      <c r="I55" s="572">
        <f ca="1">INDEX('Utility Portfolio Summary'!$F$275:$BY$289,MATCH('Program Summary'!$B55,'Utility Portfolio Summary'!$F$275:$F$289,FALSE),MATCH('Program Summary'!I$45,'Utility Portfolio Summary'!$F$275:$BY$275,FALSE))</f>
        <v>106.43257950281924</v>
      </c>
      <c r="J55" s="572">
        <f ca="1">INDEX('Utility Portfolio Summary'!$F$275:$BY$289,MATCH('Program Summary'!$B55,'Utility Portfolio Summary'!$F$275:$F$289,FALSE),MATCH('Program Summary'!J$45,'Utility Portfolio Summary'!$F$275:$BY$275,FALSE))</f>
        <v>133.57184207121639</v>
      </c>
      <c r="K55" s="572">
        <f ca="1">INDEX('Utility Portfolio Summary'!$F$275:$BY$289,MATCH('Program Summary'!$B55,'Utility Portfolio Summary'!$F$275:$F$289,FALSE),MATCH('Program Summary'!K$45,'Utility Portfolio Summary'!$F$275:$BY$275,FALSE))</f>
        <v>164.30090450104825</v>
      </c>
      <c r="L55" s="572">
        <f ca="1">INDEX('Utility Portfolio Summary'!$F$275:$BY$289,MATCH('Program Summary'!$B55,'Utility Portfolio Summary'!$F$275:$F$289,FALSE),MATCH('Program Summary'!L$45,'Utility Portfolio Summary'!$F$275:$BY$275,FALSE))</f>
        <v>204.80311335695447</v>
      </c>
      <c r="M55" s="572">
        <f ca="1">INDEX('Utility Portfolio Summary'!$F$275:$BY$289,MATCH('Program Summary'!$B55,'Utility Portfolio Summary'!$F$275:$F$289,FALSE),MATCH('Program Summary'!M$45,'Utility Portfolio Summary'!$F$275:$BY$275,FALSE))</f>
        <v>246.692311035421</v>
      </c>
      <c r="N55" s="572">
        <f ca="1">INDEX('Utility Portfolio Summary'!$F$275:$BY$289,MATCH('Program Summary'!$B55,'Utility Portfolio Summary'!$F$275:$F$289,FALSE),MATCH('Program Summary'!N$45,'Utility Portfolio Summary'!$F$275:$BY$275,FALSE))</f>
        <v>289.1696272259137</v>
      </c>
      <c r="O55" s="572">
        <f ca="1">INDEX('Utility Portfolio Summary'!$F$275:$BY$289,MATCH('Program Summary'!$B55,'Utility Portfolio Summary'!$F$275:$F$289,FALSE),MATCH('Program Summary'!O$45,'Utility Portfolio Summary'!$F$275:$BY$275,FALSE))</f>
        <v>289.1696272259137</v>
      </c>
      <c r="P55" s="650">
        <f>VLOOKUP($A55,'LGE-KU Budgets'!$A$6:$Y$50,'LGE-KU Budgets'!L$2,0)*1000</f>
        <v>648316.13477687328</v>
      </c>
      <c r="Q55" s="650">
        <f>VLOOKUP($A55,'LGE-KU Budgets'!$A$6:$Y$50,'LGE-KU Budgets'!M$2,0)*1000</f>
        <v>703744.14722264616</v>
      </c>
      <c r="R55" s="650">
        <f>VLOOKUP($A55,'LGE-KU Budgets'!$A$6:$Y$50,'LGE-KU Budgets'!N$2,0)*1000</f>
        <v>648644.58156123944</v>
      </c>
      <c r="S55" s="650">
        <f>VLOOKUP($A55,'LGE-KU Budgets'!$A$6:$Y$50,'LGE-KU Budgets'!O$2,0)*1000</f>
        <v>699520.29177397361</v>
      </c>
      <c r="T55" s="650">
        <f>VLOOKUP($A55,'LGE-KU Budgets'!$A$6:$Y$50,'LGE-KU Budgets'!P$2,0)*1000</f>
        <v>708525.51331160846</v>
      </c>
      <c r="U55" s="650">
        <f>VLOOKUP($A55,'LGE-KU Budgets'!$A$6:$Y$50,'LGE-KU Budgets'!Q$2,0)*1000</f>
        <v>713598.49161931768</v>
      </c>
      <c r="V55" s="650">
        <f>VLOOKUP($A55,'LGE-KU Budgets'!$A$6:$Y$50,'LGE-KU Budgets'!R$2,0)*1000</f>
        <v>503408.26798685972</v>
      </c>
      <c r="W55" s="650">
        <f>VLOOKUP($A55,'LGE-KU Budgets'!$A$6:$Y$50,'LGE-KU Budgets'!S$2,0)*1000</f>
        <v>1086076.406478914</v>
      </c>
      <c r="X55" s="650">
        <f>VLOOKUP($A55,'LGE-KU Budgets'!$A$6:$Y$50,'LGE-KU Budgets'!T$2,0)*1000</f>
        <v>1363015.2244842758</v>
      </c>
      <c r="Y55" s="650">
        <f>VLOOKUP($A55,'LGE-KU Budgets'!$A$6:$Y$50,'LGE-KU Budgets'!U$2,0)*1000</f>
        <v>1676585.6542733419</v>
      </c>
      <c r="Z55" s="650">
        <f>VLOOKUP($A55,'LGE-KU Budgets'!$A$6:$Y$50,'LGE-KU Budgets'!V$2,0)*1000</f>
        <v>2089884.7930724337</v>
      </c>
      <c r="AA55" s="650">
        <f>VLOOKUP($A55,'LGE-KU Budgets'!$A$6:$Y$50,'LGE-KU Budgets'!W$2,0)*1000</f>
        <v>2517337.2657780182</v>
      </c>
      <c r="AB55" s="650">
        <f>VLOOKUP($A55,'LGE-KU Budgets'!$A$6:$Y$50,'LGE-KU Budgets'!X$2,0)*1000</f>
        <v>2950791.1117765256</v>
      </c>
      <c r="AC55" s="650">
        <f>VLOOKUP($A55,'LGE-KU Budgets'!$A$6:$Y$50,'LGE-KU Budgets'!Y$2,0)*1000</f>
        <v>2950791.1117765256</v>
      </c>
      <c r="AD55" s="572">
        <f ca="1">INDEX('Utility Portfolio Summary'!$F$275:$BY$289,MATCH('Program Summary'!$B55,'Utility Portfolio Summary'!$F$275:$F$289,FALSE),MATCH('Program Summary'!AD$45,'Utility Portfolio Summary'!$F$275:$BY$275,FALSE))</f>
        <v>143934.13488233107</v>
      </c>
      <c r="AE55" s="572">
        <f ca="1">INDEX('Utility Portfolio Summary'!$F$275:$BY$289,MATCH('Program Summary'!$B55,'Utility Portfolio Summary'!$F$275:$F$289,FALSE),MATCH('Program Summary'!AE$45,'Utility Portfolio Summary'!$F$275:$BY$275,FALSE))</f>
        <v>180635.92579423136</v>
      </c>
      <c r="AF55" s="572">
        <f ca="1">INDEX('Utility Portfolio Summary'!$F$275:$BY$289,MATCH('Program Summary'!$B55,'Utility Portfolio Summary'!$F$275:$F$289,FALSE),MATCH('Program Summary'!AF$45,'Utility Portfolio Summary'!$F$275:$BY$275,FALSE))</f>
        <v>222192.38376268477</v>
      </c>
      <c r="AG55" s="572">
        <f ca="1">INDEX('Utility Portfolio Summary'!$F$275:$BY$289,MATCH('Program Summary'!$B55,'Utility Portfolio Summary'!$F$275:$F$289,FALSE),MATCH('Program Summary'!AG$45,'Utility Portfolio Summary'!$F$275:$BY$275,FALSE))</f>
        <v>276965.5596053687</v>
      </c>
      <c r="AH55" s="572">
        <f ca="1">INDEX('Utility Portfolio Summary'!$F$275:$BY$289,MATCH('Program Summary'!$B55,'Utility Portfolio Summary'!$F$275:$F$289,FALSE),MATCH('Program Summary'!AH$45,'Utility Portfolio Summary'!$F$275:$BY$275,FALSE))</f>
        <v>333614.43025127205</v>
      </c>
      <c r="AI55" s="572">
        <f ca="1">INDEX('Utility Portfolio Summary'!$F$275:$BY$289,MATCH('Program Summary'!$B55,'Utility Portfolio Summary'!$F$275:$F$289,FALSE),MATCH('Program Summary'!AI$45,'Utility Portfolio Summary'!$F$275:$BY$275,FALSE))</f>
        <v>391058.64316579455</v>
      </c>
      <c r="AJ55" s="572">
        <f ca="1">INDEX('Utility Portfolio Summary'!$F$275:$BY$289,MATCH('Program Summary'!$B55,'Utility Portfolio Summary'!$F$275:$F$289,FALSE),MATCH('Program Summary'!AJ$45,'Utility Portfolio Summary'!$F$275:$BY$275,FALSE))</f>
        <v>391058.64316579455</v>
      </c>
      <c r="AK55" s="572">
        <f ca="1">INDEX('Utility Portfolio Summary'!$F$275:$BY$289,MATCH('Program Summary'!$B55,'Utility Portfolio Summary'!$F$275:$F$289,FALSE),MATCH('Program Summary'!AK$45,'Utility Portfolio Summary'!$F$275:$BY$275,FALSE))</f>
        <v>14481.018753052183</v>
      </c>
      <c r="AL55" s="572">
        <f ca="1">INDEX('Utility Portfolio Summary'!$F$275:$BY$289,MATCH('Program Summary'!$B55,'Utility Portfolio Summary'!$F$275:$F$289,FALSE),MATCH('Program Summary'!AL$45,'Utility Portfolio Summary'!$F$275:$BY$275,FALSE))</f>
        <v>18173.536326457011</v>
      </c>
      <c r="AM55" s="572">
        <f ca="1">INDEX('Utility Portfolio Summary'!$F$275:$BY$289,MATCH('Program Summary'!$B55,'Utility Portfolio Summary'!$F$275:$F$289,FALSE),MATCH('Program Summary'!AM$45,'Utility Portfolio Summary'!$F$275:$BY$275,FALSE))</f>
        <v>22354.475390311225</v>
      </c>
      <c r="AN55" s="572">
        <f ca="1">INDEX('Utility Portfolio Summary'!$F$275:$BY$289,MATCH('Program Summary'!$B55,'Utility Portfolio Summary'!$F$275:$F$289,FALSE),MATCH('Program Summary'!AN$45,'Utility Portfolio Summary'!$F$275:$BY$275,FALSE))</f>
        <v>27865.130574299117</v>
      </c>
      <c r="AO55" s="572">
        <f ca="1">INDEX('Utility Portfolio Summary'!$F$275:$BY$289,MATCH('Program Summary'!$B55,'Utility Portfolio Summary'!$F$275:$F$289,FALSE),MATCH('Program Summary'!AO$45,'Utility Portfolio Summary'!$F$275:$BY$275,FALSE))</f>
        <v>33564.496877040241</v>
      </c>
      <c r="AP55" s="572">
        <f ca="1">INDEX('Utility Portfolio Summary'!$F$275:$BY$289,MATCH('Program Summary'!$B55,'Utility Portfolio Summary'!$F$275:$F$289,FALSE),MATCH('Program Summary'!AP$45,'Utility Portfolio Summary'!$F$275:$BY$275,FALSE))</f>
        <v>39343.88149035367</v>
      </c>
      <c r="AQ55" s="572">
        <f ca="1">INDEX('Utility Portfolio Summary'!$F$275:$BY$289,MATCH('Program Summary'!$B55,'Utility Portfolio Summary'!$F$275:$F$289,FALSE),MATCH('Program Summary'!AQ$45,'Utility Portfolio Summary'!$F$275:$BY$275,FALSE))</f>
        <v>39343.88149035367</v>
      </c>
      <c r="AR55" s="572">
        <f ca="1">INDEX('Utility Portfolio Summary'!$F$275:$BY$289,MATCH('Program Summary'!$B55,'Utility Portfolio Summary'!$F$275:$F$289,FALSE),MATCH('Program Summary'!AR$45,'Utility Portfolio Summary'!$F$275:$BY$275,FALSE))</f>
        <v>0</v>
      </c>
      <c r="AS55" s="572">
        <f ca="1">INDEX('Utility Portfolio Summary'!$F$275:$BY$289,MATCH('Program Summary'!$B55,'Utility Portfolio Summary'!$F$275:$F$289,FALSE),MATCH('Program Summary'!AS$45,'Utility Portfolio Summary'!$F$275:$BY$275,FALSE))</f>
        <v>0</v>
      </c>
      <c r="AT55" s="572">
        <f ca="1">INDEX('Utility Portfolio Summary'!$F$275:$BY$289,MATCH('Program Summary'!$B55,'Utility Portfolio Summary'!$F$275:$F$289,FALSE),MATCH('Program Summary'!AT$45,'Utility Portfolio Summary'!$F$275:$BY$275,FALSE))</f>
        <v>0</v>
      </c>
      <c r="AU55" s="572">
        <f ca="1">INDEX('Utility Portfolio Summary'!$F$275:$BY$289,MATCH('Program Summary'!$B55,'Utility Portfolio Summary'!$F$275:$F$289,FALSE),MATCH('Program Summary'!AU$45,'Utility Portfolio Summary'!$F$275:$BY$275,FALSE))</f>
        <v>0</v>
      </c>
      <c r="AV55" s="572">
        <f ca="1">INDEX('Utility Portfolio Summary'!$F$275:$BY$289,MATCH('Program Summary'!$B55,'Utility Portfolio Summary'!$F$275:$F$289,FALSE),MATCH('Program Summary'!AV$45,'Utility Portfolio Summary'!$F$275:$BY$275,FALSE))</f>
        <v>0</v>
      </c>
      <c r="AW55" s="572">
        <f ca="1">INDEX('Utility Portfolio Summary'!$F$275:$BY$289,MATCH('Program Summary'!$B55,'Utility Portfolio Summary'!$F$275:$F$289,FALSE),MATCH('Program Summary'!AW$45,'Utility Portfolio Summary'!$F$275:$BY$275,FALSE))</f>
        <v>0</v>
      </c>
      <c r="AX55" s="572">
        <f ca="1">INDEX('Utility Portfolio Summary'!$F$275:$BY$289,MATCH('Program Summary'!$B55,'Utility Portfolio Summary'!$F$275:$F$289,FALSE),MATCH('Program Summary'!AX$45,'Utility Portfolio Summary'!$F$275:$BY$275,FALSE))</f>
        <v>0</v>
      </c>
    </row>
    <row r="56" spans="1:50">
      <c r="A56" s="527" t="str">
        <f t="shared" si="21"/>
        <v>Peak Time RebateLG&amp;E</v>
      </c>
      <c r="B56" s="649" t="s">
        <v>66</v>
      </c>
      <c r="C56" s="572">
        <f ca="1">MAX(I56:O56)</f>
        <v>92500</v>
      </c>
      <c r="D56" s="650">
        <f t="shared" si="23"/>
        <v>2982883.5500429305</v>
      </c>
      <c r="E56" s="650">
        <f t="shared" si="24"/>
        <v>17798012.769352939</v>
      </c>
      <c r="F56" s="572">
        <f t="shared" ca="1" si="25"/>
        <v>0</v>
      </c>
      <c r="G56" s="572">
        <f t="shared" ca="1" si="20"/>
        <v>15400.575728156675</v>
      </c>
      <c r="H56" s="572">
        <f t="shared" ca="1" si="26"/>
        <v>0</v>
      </c>
      <c r="I56" s="572">
        <f ca="1">INDEX('Utility Portfolio Summary'!$F$275:$BY$289,MATCH('Program Summary'!$B56,'Utility Portfolio Summary'!$F$275:$F$289,FALSE),MATCH('Program Summary'!I$45,'Utility Portfolio Summary'!$F$275:$BY$275,FALSE))</f>
        <v>0</v>
      </c>
      <c r="J56" s="572">
        <f ca="1">INDEX('Utility Portfolio Summary'!$F$275:$BY$289,MATCH('Program Summary'!$B56,'Utility Portfolio Summary'!$F$275:$F$289,FALSE),MATCH('Program Summary'!J$45,'Utility Portfolio Summary'!$F$275:$BY$275,FALSE))</f>
        <v>13000</v>
      </c>
      <c r="K56" s="572">
        <f ca="1">INDEX('Utility Portfolio Summary'!$F$275:$BY$289,MATCH('Program Summary'!$B56,'Utility Portfolio Summary'!$F$275:$F$289,FALSE),MATCH('Program Summary'!K$45,'Utility Portfolio Summary'!$F$275:$BY$275,FALSE))</f>
        <v>26000</v>
      </c>
      <c r="L56" s="572">
        <f ca="1">INDEX('Utility Portfolio Summary'!$F$275:$BY$289,MATCH('Program Summary'!$B56,'Utility Portfolio Summary'!$F$275:$F$289,FALSE),MATCH('Program Summary'!L$45,'Utility Portfolio Summary'!$F$275:$BY$275,FALSE))</f>
        <v>52000</v>
      </c>
      <c r="M56" s="572">
        <f ca="1">INDEX('Utility Portfolio Summary'!$F$275:$BY$289,MATCH('Program Summary'!$B56,'Utility Portfolio Summary'!$F$275:$F$289,FALSE),MATCH('Program Summary'!M$45,'Utility Portfolio Summary'!$F$275:$BY$275,FALSE))</f>
        <v>92500</v>
      </c>
      <c r="N56" s="572">
        <f ca="1">INDEX('Utility Portfolio Summary'!$F$275:$BY$289,MATCH('Program Summary'!$B56,'Utility Portfolio Summary'!$F$275:$F$289,FALSE),MATCH('Program Summary'!N$45,'Utility Portfolio Summary'!$F$275:$BY$275,FALSE))</f>
        <v>92500</v>
      </c>
      <c r="O56" s="572">
        <f ca="1">INDEX('Utility Portfolio Summary'!$F$275:$BY$289,MATCH('Program Summary'!$B56,'Utility Portfolio Summary'!$F$275:$F$289,FALSE),MATCH('Program Summary'!O$45,'Utility Portfolio Summary'!$F$275:$BY$275,FALSE))</f>
        <v>92500</v>
      </c>
      <c r="P56" s="650">
        <f>VLOOKUP($A56,'LGE-KU Budgets'!$A$6:$Y$50,'LGE-KU Budgets'!L$2,0)*1000</f>
        <v>125000</v>
      </c>
      <c r="Q56" s="650">
        <f>VLOOKUP($A56,'LGE-KU Budgets'!$A$6:$Y$50,'LGE-KU Budgets'!M$2,0)*1000</f>
        <v>744729.04729877692</v>
      </c>
      <c r="R56" s="650">
        <f>VLOOKUP($A56,'LGE-KU Budgets'!$A$6:$Y$50,'LGE-KU Budgets'!N$2,0)*1000</f>
        <v>223490.91871774016</v>
      </c>
      <c r="S56" s="650">
        <f>VLOOKUP($A56,'LGE-KU Budgets'!$A$6:$Y$50,'LGE-KU Budgets'!O$2,0)*1000</f>
        <v>329305.64627927239</v>
      </c>
      <c r="T56" s="650">
        <f>VLOOKUP($A56,'LGE-KU Budgets'!$A$6:$Y$50,'LGE-KU Budgets'!P$2,0)*1000</f>
        <v>493174.81566765055</v>
      </c>
      <c r="U56" s="650">
        <f>VLOOKUP($A56,'LGE-KU Budgets'!$A$6:$Y$50,'LGE-KU Budgets'!Q$2,0)*1000</f>
        <v>570100.06013768003</v>
      </c>
      <c r="V56" s="650">
        <f>VLOOKUP($A56,'LGE-KU Budgets'!$A$6:$Y$50,'LGE-KU Budgets'!R$2,0)*1000</f>
        <v>497083.06194181048</v>
      </c>
      <c r="W56" s="650">
        <f>VLOOKUP($A56,'LGE-KU Budgets'!$A$6:$Y$50,'LGE-KU Budgets'!S$2,0)*1000</f>
        <v>0</v>
      </c>
      <c r="X56" s="650">
        <f>VLOOKUP($A56,'LGE-KU Budgets'!$A$6:$Y$50,'LGE-KU Budgets'!T$2,0)*1000</f>
        <v>627881.04749413347</v>
      </c>
      <c r="Y56" s="650">
        <f>VLOOKUP($A56,'LGE-KU Budgets'!$A$6:$Y$50,'LGE-KU Budgets'!U$2,0)*1000</f>
        <v>1255762.0949882669</v>
      </c>
      <c r="Z56" s="650">
        <f>VLOOKUP($A56,'LGE-KU Budgets'!$A$6:$Y$50,'LGE-KU Budgets'!V$2,0)*1000</f>
        <v>2511524.1899765339</v>
      </c>
      <c r="AA56" s="650">
        <f>VLOOKUP($A56,'LGE-KU Budgets'!$A$6:$Y$50,'LGE-KU Budgets'!W$2,0)*1000</f>
        <v>4467615.1456313347</v>
      </c>
      <c r="AB56" s="650">
        <f>VLOOKUP($A56,'LGE-KU Budgets'!$A$6:$Y$50,'LGE-KU Budgets'!X$2,0)*1000</f>
        <v>4467615.1456313347</v>
      </c>
      <c r="AC56" s="650">
        <f>VLOOKUP($A56,'LGE-KU Budgets'!$A$6:$Y$50,'LGE-KU Budgets'!Y$2,0)*1000</f>
        <v>4467615.1456313347</v>
      </c>
      <c r="AD56" s="572">
        <f ca="1">INDEX('Utility Portfolio Summary'!$F$275:$BY$289,MATCH('Program Summary'!$B56,'Utility Portfolio Summary'!$F$275:$F$289,FALSE),MATCH('Program Summary'!AD$45,'Utility Portfolio Summary'!$F$275:$BY$275,FALSE))</f>
        <v>0</v>
      </c>
      <c r="AE56" s="572">
        <f ca="1">INDEX('Utility Portfolio Summary'!$F$275:$BY$289,MATCH('Program Summary'!$B56,'Utility Portfolio Summary'!$F$275:$F$289,FALSE),MATCH('Program Summary'!AE$45,'Utility Portfolio Summary'!$F$275:$BY$275,FALSE))</f>
        <v>0</v>
      </c>
      <c r="AF56" s="572">
        <f ca="1">INDEX('Utility Portfolio Summary'!$F$275:$BY$289,MATCH('Program Summary'!$B56,'Utility Portfolio Summary'!$F$275:$F$289,FALSE),MATCH('Program Summary'!AF$45,'Utility Portfolio Summary'!$F$275:$BY$275,FALSE))</f>
        <v>0</v>
      </c>
      <c r="AG56" s="572">
        <f ca="1">INDEX('Utility Portfolio Summary'!$F$275:$BY$289,MATCH('Program Summary'!$B56,'Utility Portfolio Summary'!$F$275:$F$289,FALSE),MATCH('Program Summary'!AG$45,'Utility Portfolio Summary'!$F$275:$BY$275,FALSE))</f>
        <v>0</v>
      </c>
      <c r="AH56" s="572">
        <f ca="1">INDEX('Utility Portfolio Summary'!$F$275:$BY$289,MATCH('Program Summary'!$B56,'Utility Portfolio Summary'!$F$275:$F$289,FALSE),MATCH('Program Summary'!AH$45,'Utility Portfolio Summary'!$F$275:$BY$275,FALSE))</f>
        <v>0</v>
      </c>
      <c r="AI56" s="572">
        <f ca="1">INDEX('Utility Portfolio Summary'!$F$275:$BY$289,MATCH('Program Summary'!$B56,'Utility Portfolio Summary'!$F$275:$F$289,FALSE),MATCH('Program Summary'!AI$45,'Utility Portfolio Summary'!$F$275:$BY$275,FALSE))</f>
        <v>0</v>
      </c>
      <c r="AJ56" s="572">
        <f ca="1">INDEX('Utility Portfolio Summary'!$F$275:$BY$289,MATCH('Program Summary'!$B56,'Utility Portfolio Summary'!$F$275:$F$289,FALSE),MATCH('Program Summary'!AJ$45,'Utility Portfolio Summary'!$F$275:$BY$275,FALSE))</f>
        <v>0</v>
      </c>
      <c r="AK56" s="572">
        <f ca="1">INDEX('Utility Portfolio Summary'!$F$275:$BY$289,MATCH('Program Summary'!$B56,'Utility Portfolio Summary'!$F$275:$F$289,FALSE),MATCH('Program Summary'!AK$45,'Utility Portfolio Summary'!$F$275:$BY$275,FALSE))</f>
        <v>0</v>
      </c>
      <c r="AL56" s="572">
        <f ca="1">INDEX('Utility Portfolio Summary'!$F$275:$BY$289,MATCH('Program Summary'!$B56,'Utility Portfolio Summary'!$F$275:$F$289,FALSE),MATCH('Program Summary'!AL$45,'Utility Portfolio Summary'!$F$275:$BY$275,FALSE))</f>
        <v>2164.4052374706675</v>
      </c>
      <c r="AM56" s="572">
        <f ca="1">INDEX('Utility Portfolio Summary'!$F$275:$BY$289,MATCH('Program Summary'!$B56,'Utility Portfolio Summary'!$F$275:$F$289,FALSE),MATCH('Program Summary'!AM$45,'Utility Portfolio Summary'!$F$275:$BY$275,FALSE))</f>
        <v>4328.8104749413351</v>
      </c>
      <c r="AN56" s="572">
        <f ca="1">INDEX('Utility Portfolio Summary'!$F$275:$BY$289,MATCH('Program Summary'!$B56,'Utility Portfolio Summary'!$F$275:$F$289,FALSE),MATCH('Program Summary'!AN$45,'Utility Portfolio Summary'!$F$275:$BY$275,FALSE))</f>
        <v>8657.6209498826702</v>
      </c>
      <c r="AO56" s="572">
        <f ca="1">INDEX('Utility Portfolio Summary'!$F$275:$BY$289,MATCH('Program Summary'!$B56,'Utility Portfolio Summary'!$F$275:$F$289,FALSE),MATCH('Program Summary'!AO$45,'Utility Portfolio Summary'!$F$275:$BY$275,FALSE))</f>
        <v>15400.575728156675</v>
      </c>
      <c r="AP56" s="572">
        <f ca="1">INDEX('Utility Portfolio Summary'!$F$275:$BY$289,MATCH('Program Summary'!$B56,'Utility Portfolio Summary'!$F$275:$F$289,FALSE),MATCH('Program Summary'!AP$45,'Utility Portfolio Summary'!$F$275:$BY$275,FALSE))</f>
        <v>15400.575728156675</v>
      </c>
      <c r="AQ56" s="572">
        <f ca="1">INDEX('Utility Portfolio Summary'!$F$275:$BY$289,MATCH('Program Summary'!$B56,'Utility Portfolio Summary'!$F$275:$F$289,FALSE),MATCH('Program Summary'!AQ$45,'Utility Portfolio Summary'!$F$275:$BY$275,FALSE))</f>
        <v>15400.575728156675</v>
      </c>
      <c r="AR56" s="572">
        <f ca="1">INDEX('Utility Portfolio Summary'!$F$275:$BY$289,MATCH('Program Summary'!$B56,'Utility Portfolio Summary'!$F$275:$F$289,FALSE),MATCH('Program Summary'!AR$45,'Utility Portfolio Summary'!$F$275:$BY$275,FALSE))</f>
        <v>0</v>
      </c>
      <c r="AS56" s="572">
        <f ca="1">INDEX('Utility Portfolio Summary'!$F$275:$BY$289,MATCH('Program Summary'!$B56,'Utility Portfolio Summary'!$F$275:$F$289,FALSE),MATCH('Program Summary'!AS$45,'Utility Portfolio Summary'!$F$275:$BY$275,FALSE))</f>
        <v>0</v>
      </c>
      <c r="AT56" s="572">
        <f ca="1">INDEX('Utility Portfolio Summary'!$F$275:$BY$289,MATCH('Program Summary'!$B56,'Utility Portfolio Summary'!$F$275:$F$289,FALSE),MATCH('Program Summary'!AT$45,'Utility Portfolio Summary'!$F$275:$BY$275,FALSE))</f>
        <v>0</v>
      </c>
      <c r="AU56" s="572">
        <f ca="1">INDEX('Utility Portfolio Summary'!$F$275:$BY$289,MATCH('Program Summary'!$B56,'Utility Portfolio Summary'!$F$275:$F$289,FALSE),MATCH('Program Summary'!AU$45,'Utility Portfolio Summary'!$F$275:$BY$275,FALSE))</f>
        <v>0</v>
      </c>
      <c r="AV56" s="572">
        <f ca="1">INDEX('Utility Portfolio Summary'!$F$275:$BY$289,MATCH('Program Summary'!$B56,'Utility Portfolio Summary'!$F$275:$F$289,FALSE),MATCH('Program Summary'!AV$45,'Utility Portfolio Summary'!$F$275:$BY$275,FALSE))</f>
        <v>0</v>
      </c>
      <c r="AW56" s="572">
        <f ca="1">INDEX('Utility Portfolio Summary'!$F$275:$BY$289,MATCH('Program Summary'!$B56,'Utility Portfolio Summary'!$F$275:$F$289,FALSE),MATCH('Program Summary'!AW$45,'Utility Portfolio Summary'!$F$275:$BY$275,FALSE))</f>
        <v>0</v>
      </c>
      <c r="AX56" s="572">
        <f ca="1">INDEX('Utility Portfolio Summary'!$F$275:$BY$289,MATCH('Program Summary'!$B56,'Utility Portfolio Summary'!$F$275:$F$289,FALSE),MATCH('Program Summary'!AX$45,'Utility Portfolio Summary'!$F$275:$BY$275,FALSE))</f>
        <v>0</v>
      </c>
    </row>
    <row r="57" spans="1:50">
      <c r="A57" s="527" t="str">
        <f t="shared" si="21"/>
        <v>Residential Managed ChargingLG&amp;E</v>
      </c>
      <c r="B57" s="649" t="s">
        <v>67</v>
      </c>
      <c r="C57" s="572">
        <f ca="1">MAX(I57:O57)</f>
        <v>3750</v>
      </c>
      <c r="D57" s="650">
        <f t="shared" si="23"/>
        <v>2492220.0087132468</v>
      </c>
      <c r="E57" s="650">
        <f t="shared" si="24"/>
        <v>952500</v>
      </c>
      <c r="F57" s="572">
        <f t="shared" ca="1" si="25"/>
        <v>0</v>
      </c>
      <c r="G57" s="572">
        <f t="shared" ca="1" si="20"/>
        <v>1500</v>
      </c>
      <c r="H57" s="572">
        <f t="shared" ca="1" si="26"/>
        <v>0</v>
      </c>
      <c r="I57" s="572">
        <f ca="1">INDEX('Utility Portfolio Summary'!$F$275:$BY$289,MATCH('Program Summary'!$B57,'Utility Portfolio Summary'!$F$275:$F$289,FALSE),MATCH('Program Summary'!I$45,'Utility Portfolio Summary'!$F$275:$BY$275,FALSE))</f>
        <v>375</v>
      </c>
      <c r="J57" s="572">
        <f ca="1">INDEX('Utility Portfolio Summary'!$F$275:$BY$289,MATCH('Program Summary'!$B57,'Utility Portfolio Summary'!$F$275:$F$289,FALSE),MATCH('Program Summary'!J$45,'Utility Portfolio Summary'!$F$275:$BY$275,FALSE))</f>
        <v>750</v>
      </c>
      <c r="K57" s="572">
        <f ca="1">INDEX('Utility Portfolio Summary'!$F$275:$BY$289,MATCH('Program Summary'!$B57,'Utility Portfolio Summary'!$F$275:$F$289,FALSE),MATCH('Program Summary'!K$45,'Utility Portfolio Summary'!$F$275:$BY$275,FALSE))</f>
        <v>1125</v>
      </c>
      <c r="L57" s="572">
        <f ca="1">INDEX('Utility Portfolio Summary'!$F$275:$BY$289,MATCH('Program Summary'!$B57,'Utility Portfolio Summary'!$F$275:$F$289,FALSE),MATCH('Program Summary'!L$45,'Utility Portfolio Summary'!$F$275:$BY$275,FALSE))</f>
        <v>1500</v>
      </c>
      <c r="M57" s="572">
        <f ca="1">INDEX('Utility Portfolio Summary'!$F$275:$BY$289,MATCH('Program Summary'!$B57,'Utility Portfolio Summary'!$F$275:$F$289,FALSE),MATCH('Program Summary'!M$45,'Utility Portfolio Summary'!$F$275:$BY$275,FALSE))</f>
        <v>2250</v>
      </c>
      <c r="N57" s="572">
        <f ca="1">INDEX('Utility Portfolio Summary'!$F$275:$BY$289,MATCH('Program Summary'!$B57,'Utility Portfolio Summary'!$F$275:$F$289,FALSE),MATCH('Program Summary'!N$45,'Utility Portfolio Summary'!$F$275:$BY$275,FALSE))</f>
        <v>3000</v>
      </c>
      <c r="O57" s="572">
        <f ca="1">INDEX('Utility Portfolio Summary'!$F$275:$BY$289,MATCH('Program Summary'!$B57,'Utility Portfolio Summary'!$F$275:$F$289,FALSE),MATCH('Program Summary'!O$45,'Utility Portfolio Summary'!$F$275:$BY$275,FALSE))</f>
        <v>3750</v>
      </c>
      <c r="P57" s="650">
        <f>VLOOKUP($A57,'LGE-KU Budgets'!$A$6:$Y$50,'LGE-KU Budgets'!L$2,0)*1000</f>
        <v>221874.73205552477</v>
      </c>
      <c r="Q57" s="650">
        <f>VLOOKUP($A57,'LGE-KU Budgets'!$A$6:$Y$50,'LGE-KU Budgets'!M$2,0)*1000</f>
        <v>205465.97401719051</v>
      </c>
      <c r="R57" s="650">
        <f>VLOOKUP($A57,'LGE-KU Budgets'!$A$6:$Y$50,'LGE-KU Budgets'!N$2,0)*1000</f>
        <v>251589.95323770621</v>
      </c>
      <c r="S57" s="650">
        <f>VLOOKUP($A57,'LGE-KU Budgets'!$A$6:$Y$50,'LGE-KU Budgets'!O$2,0)*1000</f>
        <v>297747.65183483745</v>
      </c>
      <c r="T57" s="650">
        <f>VLOOKUP($A57,'LGE-KU Budgets'!$A$6:$Y$50,'LGE-KU Budgets'!P$2,0)*1000</f>
        <v>388940.08138988254</v>
      </c>
      <c r="U57" s="650">
        <f>VLOOKUP($A57,'LGE-KU Budgets'!$A$6:$Y$50,'LGE-KU Budgets'!Q$2,0)*1000</f>
        <v>480168.28383157903</v>
      </c>
      <c r="V57" s="650">
        <f>VLOOKUP($A57,'LGE-KU Budgets'!$A$6:$Y$50,'LGE-KU Budgets'!R$2,0)*1000</f>
        <v>646433.33234652644</v>
      </c>
      <c r="W57" s="650">
        <f>VLOOKUP($A57,'LGE-KU Budgets'!$A$6:$Y$50,'LGE-KU Budgets'!S$2,0)*1000</f>
        <v>41250</v>
      </c>
      <c r="X57" s="650">
        <f>VLOOKUP($A57,'LGE-KU Budgets'!$A$6:$Y$50,'LGE-KU Budgets'!T$2,0)*1000</f>
        <v>63750</v>
      </c>
      <c r="Y57" s="650">
        <f>VLOOKUP($A57,'LGE-KU Budgets'!$A$6:$Y$50,'LGE-KU Budgets'!U$2,0)*1000</f>
        <v>86250</v>
      </c>
      <c r="Z57" s="650">
        <f>VLOOKUP($A57,'LGE-KU Budgets'!$A$6:$Y$50,'LGE-KU Budgets'!V$2,0)*1000</f>
        <v>108750</v>
      </c>
      <c r="AA57" s="650">
        <f>VLOOKUP($A57,'LGE-KU Budgets'!$A$6:$Y$50,'LGE-KU Budgets'!W$2,0)*1000</f>
        <v>172500</v>
      </c>
      <c r="AB57" s="650">
        <f>VLOOKUP($A57,'LGE-KU Budgets'!$A$6:$Y$50,'LGE-KU Budgets'!X$2,0)*1000</f>
        <v>217500</v>
      </c>
      <c r="AC57" s="650">
        <f>VLOOKUP($A57,'LGE-KU Budgets'!$A$6:$Y$50,'LGE-KU Budgets'!Y$2,0)*1000</f>
        <v>262500</v>
      </c>
      <c r="AD57" s="572">
        <f ca="1">INDEX('Utility Portfolio Summary'!$F$275:$BY$289,MATCH('Program Summary'!$B57,'Utility Portfolio Summary'!$F$275:$F$289,FALSE),MATCH('Program Summary'!AD$45,'Utility Portfolio Summary'!$F$275:$BY$275,FALSE))</f>
        <v>0</v>
      </c>
      <c r="AE57" s="572">
        <f ca="1">INDEX('Utility Portfolio Summary'!$F$275:$BY$289,MATCH('Program Summary'!$B57,'Utility Portfolio Summary'!$F$275:$F$289,FALSE),MATCH('Program Summary'!AE$45,'Utility Portfolio Summary'!$F$275:$BY$275,FALSE))</f>
        <v>0</v>
      </c>
      <c r="AF57" s="572">
        <f ca="1">INDEX('Utility Portfolio Summary'!$F$275:$BY$289,MATCH('Program Summary'!$B57,'Utility Portfolio Summary'!$F$275:$F$289,FALSE),MATCH('Program Summary'!AF$45,'Utility Portfolio Summary'!$F$275:$BY$275,FALSE))</f>
        <v>0</v>
      </c>
      <c r="AG57" s="572">
        <f ca="1">INDEX('Utility Portfolio Summary'!$F$275:$BY$289,MATCH('Program Summary'!$B57,'Utility Portfolio Summary'!$F$275:$F$289,FALSE),MATCH('Program Summary'!AG$45,'Utility Portfolio Summary'!$F$275:$BY$275,FALSE))</f>
        <v>0</v>
      </c>
      <c r="AH57" s="572">
        <f ca="1">INDEX('Utility Portfolio Summary'!$F$275:$BY$289,MATCH('Program Summary'!$B57,'Utility Portfolio Summary'!$F$275:$F$289,FALSE),MATCH('Program Summary'!AH$45,'Utility Portfolio Summary'!$F$275:$BY$275,FALSE))</f>
        <v>0</v>
      </c>
      <c r="AI57" s="572">
        <f ca="1">INDEX('Utility Portfolio Summary'!$F$275:$BY$289,MATCH('Program Summary'!$B57,'Utility Portfolio Summary'!$F$275:$F$289,FALSE),MATCH('Program Summary'!AI$45,'Utility Portfolio Summary'!$F$275:$BY$275,FALSE))</f>
        <v>0</v>
      </c>
      <c r="AJ57" s="572">
        <f ca="1">INDEX('Utility Portfolio Summary'!$F$275:$BY$289,MATCH('Program Summary'!$B57,'Utility Portfolio Summary'!$F$275:$F$289,FALSE),MATCH('Program Summary'!AJ$45,'Utility Portfolio Summary'!$F$275:$BY$275,FALSE))</f>
        <v>0</v>
      </c>
      <c r="AK57" s="572">
        <f ca="1">INDEX('Utility Portfolio Summary'!$F$275:$BY$289,MATCH('Program Summary'!$B57,'Utility Portfolio Summary'!$F$275:$F$289,FALSE),MATCH('Program Summary'!AK$45,'Utility Portfolio Summary'!$F$275:$BY$275,FALSE))</f>
        <v>150</v>
      </c>
      <c r="AL57" s="572">
        <f ca="1">INDEX('Utility Portfolio Summary'!$F$275:$BY$289,MATCH('Program Summary'!$B57,'Utility Portfolio Summary'!$F$275:$F$289,FALSE),MATCH('Program Summary'!AL$45,'Utility Portfolio Summary'!$F$275:$BY$275,FALSE))</f>
        <v>300</v>
      </c>
      <c r="AM57" s="572">
        <f ca="1">INDEX('Utility Portfolio Summary'!$F$275:$BY$289,MATCH('Program Summary'!$B57,'Utility Portfolio Summary'!$F$275:$F$289,FALSE),MATCH('Program Summary'!AM$45,'Utility Portfolio Summary'!$F$275:$BY$275,FALSE))</f>
        <v>450</v>
      </c>
      <c r="AN57" s="572">
        <f ca="1">INDEX('Utility Portfolio Summary'!$F$275:$BY$289,MATCH('Program Summary'!$B57,'Utility Portfolio Summary'!$F$275:$F$289,FALSE),MATCH('Program Summary'!AN$45,'Utility Portfolio Summary'!$F$275:$BY$275,FALSE))</f>
        <v>600</v>
      </c>
      <c r="AO57" s="572">
        <f ca="1">INDEX('Utility Portfolio Summary'!$F$275:$BY$289,MATCH('Program Summary'!$B57,'Utility Portfolio Summary'!$F$275:$F$289,FALSE),MATCH('Program Summary'!AO$45,'Utility Portfolio Summary'!$F$275:$BY$275,FALSE))</f>
        <v>900</v>
      </c>
      <c r="AP57" s="572">
        <f ca="1">INDEX('Utility Portfolio Summary'!$F$275:$BY$289,MATCH('Program Summary'!$B57,'Utility Portfolio Summary'!$F$275:$F$289,FALSE),MATCH('Program Summary'!AP$45,'Utility Portfolio Summary'!$F$275:$BY$275,FALSE))</f>
        <v>1200</v>
      </c>
      <c r="AQ57" s="572">
        <f ca="1">INDEX('Utility Portfolio Summary'!$F$275:$BY$289,MATCH('Program Summary'!$B57,'Utility Portfolio Summary'!$F$275:$F$289,FALSE),MATCH('Program Summary'!AQ$45,'Utility Portfolio Summary'!$F$275:$BY$275,FALSE))</f>
        <v>1500</v>
      </c>
      <c r="AR57" s="572">
        <f ca="1">INDEX('Utility Portfolio Summary'!$F$275:$BY$289,MATCH('Program Summary'!$B57,'Utility Portfolio Summary'!$F$275:$F$289,FALSE),MATCH('Program Summary'!AR$45,'Utility Portfolio Summary'!$F$275:$BY$275,FALSE))</f>
        <v>0</v>
      </c>
      <c r="AS57" s="572">
        <f ca="1">INDEX('Utility Portfolio Summary'!$F$275:$BY$289,MATCH('Program Summary'!$B57,'Utility Portfolio Summary'!$F$275:$F$289,FALSE),MATCH('Program Summary'!AS$45,'Utility Portfolio Summary'!$F$275:$BY$275,FALSE))</f>
        <v>0</v>
      </c>
      <c r="AT57" s="572">
        <f ca="1">INDEX('Utility Portfolio Summary'!$F$275:$BY$289,MATCH('Program Summary'!$B57,'Utility Portfolio Summary'!$F$275:$F$289,FALSE),MATCH('Program Summary'!AT$45,'Utility Portfolio Summary'!$F$275:$BY$275,FALSE))</f>
        <v>0</v>
      </c>
      <c r="AU57" s="572">
        <f ca="1">INDEX('Utility Portfolio Summary'!$F$275:$BY$289,MATCH('Program Summary'!$B57,'Utility Portfolio Summary'!$F$275:$F$289,FALSE),MATCH('Program Summary'!AU$45,'Utility Portfolio Summary'!$F$275:$BY$275,FALSE))</f>
        <v>0</v>
      </c>
      <c r="AV57" s="572">
        <f ca="1">INDEX('Utility Portfolio Summary'!$F$275:$BY$289,MATCH('Program Summary'!$B57,'Utility Portfolio Summary'!$F$275:$F$289,FALSE),MATCH('Program Summary'!AV$45,'Utility Portfolio Summary'!$F$275:$BY$275,FALSE))</f>
        <v>0</v>
      </c>
      <c r="AW57" s="572">
        <f ca="1">INDEX('Utility Portfolio Summary'!$F$275:$BY$289,MATCH('Program Summary'!$B57,'Utility Portfolio Summary'!$F$275:$F$289,FALSE),MATCH('Program Summary'!AW$45,'Utility Portfolio Summary'!$F$275:$BY$275,FALSE))</f>
        <v>0</v>
      </c>
      <c r="AX57" s="572">
        <f ca="1">INDEX('Utility Portfolio Summary'!$F$275:$BY$289,MATCH('Program Summary'!$B57,'Utility Portfolio Summary'!$F$275:$F$289,FALSE),MATCH('Program Summary'!AX$45,'Utility Portfolio Summary'!$F$275:$BY$275,FALSE))</f>
        <v>0</v>
      </c>
    </row>
    <row r="58" spans="1:50">
      <c r="A58" s="527" t="str">
        <f t="shared" si="21"/>
        <v>NonRes Midstream LightingLG&amp;E</v>
      </c>
      <c r="B58" s="649" t="s">
        <v>68</v>
      </c>
      <c r="C58" s="572">
        <f t="shared" ca="1" si="22"/>
        <v>909482.02943999995</v>
      </c>
      <c r="D58" s="650">
        <f t="shared" si="23"/>
        <v>1698379.3180462248</v>
      </c>
      <c r="E58" s="650">
        <f t="shared" si="24"/>
        <v>6331188.0384</v>
      </c>
      <c r="F58" s="572">
        <f t="shared" ca="1" si="25"/>
        <v>217224992.13713157</v>
      </c>
      <c r="G58" s="572">
        <f t="shared" ca="1" si="20"/>
        <v>10298.934603161822</v>
      </c>
      <c r="H58" s="572">
        <f t="shared" ca="1" si="26"/>
        <v>0</v>
      </c>
      <c r="I58" s="572">
        <f ca="1">INDEX('Utility Portfolio Summary'!$F$275:$BY$289,MATCH('Program Summary'!$B58,'Utility Portfolio Summary'!$F$275:$F$289,FALSE),MATCH('Program Summary'!I$45,'Utility Portfolio Summary'!$F$275:$BY$275,FALSE))</f>
        <v>0</v>
      </c>
      <c r="J58" s="572">
        <f ca="1">INDEX('Utility Portfolio Summary'!$F$275:$BY$289,MATCH('Program Summary'!$B58,'Utility Portfolio Summary'!$F$275:$F$289,FALSE),MATCH('Program Summary'!J$45,'Utility Portfolio Summary'!$F$275:$BY$275,FALSE))</f>
        <v>0</v>
      </c>
      <c r="K58" s="572">
        <f ca="1">INDEX('Utility Portfolio Summary'!$F$275:$BY$289,MATCH('Program Summary'!$B58,'Utility Portfolio Summary'!$F$275:$F$289,FALSE),MATCH('Program Summary'!K$45,'Utility Portfolio Summary'!$F$275:$BY$275,FALSE))</f>
        <v>147643.20000000001</v>
      </c>
      <c r="L58" s="572">
        <f ca="1">INDEX('Utility Portfolio Summary'!$F$275:$BY$289,MATCH('Program Summary'!$B58,'Utility Portfolio Summary'!$F$275:$F$289,FALSE),MATCH('Program Summary'!L$45,'Utility Portfolio Summary'!$F$275:$BY$275,FALSE))</f>
        <v>221464.77599999998</v>
      </c>
      <c r="M58" s="572">
        <f ca="1">INDEX('Utility Portfolio Summary'!$F$275:$BY$289,MATCH('Program Summary'!$B58,'Utility Portfolio Summary'!$F$275:$F$289,FALSE),MATCH('Program Summary'!M$45,'Utility Portfolio Summary'!$F$275:$BY$275,FALSE))</f>
        <v>221464.77599999998</v>
      </c>
      <c r="N58" s="572">
        <f ca="1">INDEX('Utility Portfolio Summary'!$F$275:$BY$289,MATCH('Program Summary'!$B58,'Utility Portfolio Summary'!$F$275:$F$289,FALSE),MATCH('Program Summary'!N$45,'Utility Portfolio Summary'!$F$275:$BY$275,FALSE))</f>
        <v>177171.82079999999</v>
      </c>
      <c r="O58" s="572">
        <f ca="1">INDEX('Utility Portfolio Summary'!$F$275:$BY$289,MATCH('Program Summary'!$B58,'Utility Portfolio Summary'!$F$275:$F$289,FALSE),MATCH('Program Summary'!O$45,'Utility Portfolio Summary'!$F$275:$BY$275,FALSE))</f>
        <v>141737.45663999999</v>
      </c>
      <c r="P58" s="650">
        <f>VLOOKUP($A58,'LGE-KU Budgets'!$A$6:$Y$50,'LGE-KU Budgets'!L$2,0)*1000</f>
        <v>0</v>
      </c>
      <c r="Q58" s="650">
        <f>VLOOKUP($A58,'LGE-KU Budgets'!$A$6:$Y$50,'LGE-KU Budgets'!M$2,0)*1000</f>
        <v>0</v>
      </c>
      <c r="R58" s="650">
        <f>VLOOKUP($A58,'LGE-KU Budgets'!$A$6:$Y$50,'LGE-KU Budgets'!N$2,0)*1000</f>
        <v>425211.2471344418</v>
      </c>
      <c r="S58" s="650">
        <f>VLOOKUP($A58,'LGE-KU Budgets'!$A$6:$Y$50,'LGE-KU Budgets'!O$2,0)*1000</f>
        <v>302377.58454847505</v>
      </c>
      <c r="T58" s="650">
        <f>VLOOKUP($A58,'LGE-KU Budgets'!$A$6:$Y$50,'LGE-KU Budgets'!P$2,0)*1000</f>
        <v>354608.91208492935</v>
      </c>
      <c r="U58" s="650">
        <f>VLOOKUP($A58,'LGE-KU Budgets'!$A$6:$Y$50,'LGE-KU Budgets'!Q$2,0)*1000</f>
        <v>306907.17944747722</v>
      </c>
      <c r="V58" s="650">
        <f>VLOOKUP($A58,'LGE-KU Budgets'!$A$6:$Y$50,'LGE-KU Budgets'!R$2,0)*1000</f>
        <v>309274.39483090152</v>
      </c>
      <c r="W58" s="650">
        <f>VLOOKUP($A58,'LGE-KU Budgets'!$A$6:$Y$50,'LGE-KU Budgets'!S$2,0)*1000</f>
        <v>0</v>
      </c>
      <c r="X58" s="650">
        <f>VLOOKUP($A58,'LGE-KU Budgets'!$A$6:$Y$50,'LGE-KU Budgets'!T$2,0)*1000</f>
        <v>0</v>
      </c>
      <c r="Y58" s="650">
        <f>VLOOKUP($A58,'LGE-KU Budgets'!$A$6:$Y$50,'LGE-KU Budgets'!U$2,0)*1000</f>
        <v>1027790.4000000001</v>
      </c>
      <c r="Z58" s="650">
        <f>VLOOKUP($A58,'LGE-KU Budgets'!$A$6:$Y$50,'LGE-KU Budgets'!V$2,0)*1000</f>
        <v>1541685.36</v>
      </c>
      <c r="AA58" s="650">
        <f>VLOOKUP($A58,'LGE-KU Budgets'!$A$6:$Y$50,'LGE-KU Budgets'!W$2,0)*1000</f>
        <v>1541685.36</v>
      </c>
      <c r="AB58" s="650">
        <f>VLOOKUP($A58,'LGE-KU Budgets'!$A$6:$Y$50,'LGE-KU Budgets'!X$2,0)*1000</f>
        <v>1233348.2879999999</v>
      </c>
      <c r="AC58" s="650">
        <f>VLOOKUP($A58,'LGE-KU Budgets'!$A$6:$Y$50,'LGE-KU Budgets'!Y$2,0)*1000</f>
        <v>986678.63040000014</v>
      </c>
      <c r="AD58" s="572">
        <f ca="1">INDEX('Utility Portfolio Summary'!$F$275:$BY$289,MATCH('Program Summary'!$B58,'Utility Portfolio Summary'!$F$275:$F$289,FALSE),MATCH('Program Summary'!AD$45,'Utility Portfolio Summary'!$F$275:$BY$275,FALSE))</f>
        <v>0</v>
      </c>
      <c r="AE58" s="572">
        <f ca="1">INDEX('Utility Portfolio Summary'!$F$275:$BY$289,MATCH('Program Summary'!$B58,'Utility Portfolio Summary'!$F$275:$F$289,FALSE),MATCH('Program Summary'!AE$45,'Utility Portfolio Summary'!$F$275:$BY$275,FALSE))</f>
        <v>0</v>
      </c>
      <c r="AF58" s="572">
        <f ca="1">INDEX('Utility Portfolio Summary'!$F$275:$BY$289,MATCH('Program Summary'!$B58,'Utility Portfolio Summary'!$F$275:$F$289,FALSE),MATCH('Program Summary'!AF$45,'Utility Portfolio Summary'!$F$275:$BY$275,FALSE))</f>
        <v>35263798.960654318</v>
      </c>
      <c r="AG58" s="572">
        <f ca="1">INDEX('Utility Portfolio Summary'!$F$275:$BY$289,MATCH('Program Summary'!$B58,'Utility Portfolio Summary'!$F$275:$F$289,FALSE),MATCH('Program Summary'!AG$45,'Utility Portfolio Summary'!$F$275:$BY$275,FALSE))</f>
        <v>52895695.690836415</v>
      </c>
      <c r="AH58" s="572">
        <f ca="1">INDEX('Utility Portfolio Summary'!$F$275:$BY$289,MATCH('Program Summary'!$B58,'Utility Portfolio Summary'!$F$275:$F$289,FALSE),MATCH('Program Summary'!AH$45,'Utility Portfolio Summary'!$F$275:$BY$275,FALSE))</f>
        <v>52895695.690836415</v>
      </c>
      <c r="AI58" s="572">
        <f ca="1">INDEX('Utility Portfolio Summary'!$F$275:$BY$289,MATCH('Program Summary'!$B58,'Utility Portfolio Summary'!$F$275:$F$289,FALSE),MATCH('Program Summary'!AI$45,'Utility Portfolio Summary'!$F$275:$BY$275,FALSE))</f>
        <v>42316556.55266913</v>
      </c>
      <c r="AJ58" s="572">
        <f ca="1">INDEX('Utility Portfolio Summary'!$F$275:$BY$289,MATCH('Program Summary'!$B58,'Utility Portfolio Summary'!$F$275:$F$289,FALSE),MATCH('Program Summary'!AJ$45,'Utility Portfolio Summary'!$F$275:$BY$275,FALSE))</f>
        <v>33853245.242135301</v>
      </c>
      <c r="AK58" s="572">
        <f ca="1">INDEX('Utility Portfolio Summary'!$F$275:$BY$289,MATCH('Program Summary'!$B58,'Utility Portfolio Summary'!$F$275:$F$289,FALSE),MATCH('Program Summary'!AK$45,'Utility Portfolio Summary'!$F$275:$BY$275,FALSE))</f>
        <v>0</v>
      </c>
      <c r="AL58" s="572">
        <f ca="1">INDEX('Utility Portfolio Summary'!$F$275:$BY$289,MATCH('Program Summary'!$B58,'Utility Portfolio Summary'!$F$275:$F$289,FALSE),MATCH('Program Summary'!AL$45,'Utility Portfolio Summary'!$F$275:$BY$275,FALSE))</f>
        <v>0</v>
      </c>
      <c r="AM58" s="572">
        <f ca="1">INDEX('Utility Portfolio Summary'!$F$275:$BY$289,MATCH('Program Summary'!$B58,'Utility Portfolio Summary'!$F$275:$F$289,FALSE),MATCH('Program Summary'!AM$45,'Utility Portfolio Summary'!$F$275:$BY$275,FALSE))</f>
        <v>6865.9568397010698</v>
      </c>
      <c r="AN58" s="572">
        <f ca="1">INDEX('Utility Portfolio Summary'!$F$275:$BY$289,MATCH('Program Summary'!$B58,'Utility Portfolio Summary'!$F$275:$F$289,FALSE),MATCH('Program Summary'!AN$45,'Utility Portfolio Summary'!$F$275:$BY$275,FALSE))</f>
        <v>10298.934603161822</v>
      </c>
      <c r="AO58" s="572">
        <f ca="1">INDEX('Utility Portfolio Summary'!$F$275:$BY$289,MATCH('Program Summary'!$B58,'Utility Portfolio Summary'!$F$275:$F$289,FALSE),MATCH('Program Summary'!AO$45,'Utility Portfolio Summary'!$F$275:$BY$275,FALSE))</f>
        <v>10298.934603161822</v>
      </c>
      <c r="AP58" s="572">
        <f ca="1">INDEX('Utility Portfolio Summary'!$F$275:$BY$289,MATCH('Program Summary'!$B58,'Utility Portfolio Summary'!$F$275:$F$289,FALSE),MATCH('Program Summary'!AP$45,'Utility Portfolio Summary'!$F$275:$BY$275,FALSE))</f>
        <v>8239.1476825294576</v>
      </c>
      <c r="AQ58" s="572">
        <f ca="1">INDEX('Utility Portfolio Summary'!$F$275:$BY$289,MATCH('Program Summary'!$B58,'Utility Portfolio Summary'!$F$275:$F$289,FALSE),MATCH('Program Summary'!AQ$45,'Utility Portfolio Summary'!$F$275:$BY$275,FALSE))</f>
        <v>6591.3181460235674</v>
      </c>
      <c r="AR58" s="572">
        <f ca="1">INDEX('Utility Portfolio Summary'!$F$275:$BY$289,MATCH('Program Summary'!$B58,'Utility Portfolio Summary'!$F$275:$F$289,FALSE),MATCH('Program Summary'!AR$45,'Utility Portfolio Summary'!$F$275:$BY$275,FALSE))</f>
        <v>0</v>
      </c>
      <c r="AS58" s="572">
        <f ca="1">INDEX('Utility Portfolio Summary'!$F$275:$BY$289,MATCH('Program Summary'!$B58,'Utility Portfolio Summary'!$F$275:$F$289,FALSE),MATCH('Program Summary'!AS$45,'Utility Portfolio Summary'!$F$275:$BY$275,FALSE))</f>
        <v>0</v>
      </c>
      <c r="AT58" s="572">
        <f ca="1">INDEX('Utility Portfolio Summary'!$F$275:$BY$289,MATCH('Program Summary'!$B58,'Utility Portfolio Summary'!$F$275:$F$289,FALSE),MATCH('Program Summary'!AT$45,'Utility Portfolio Summary'!$F$275:$BY$275,FALSE))</f>
        <v>0</v>
      </c>
      <c r="AU58" s="572">
        <f ca="1">INDEX('Utility Portfolio Summary'!$F$275:$BY$289,MATCH('Program Summary'!$B58,'Utility Portfolio Summary'!$F$275:$F$289,FALSE),MATCH('Program Summary'!AU$45,'Utility Portfolio Summary'!$F$275:$BY$275,FALSE))</f>
        <v>0</v>
      </c>
      <c r="AV58" s="572">
        <f ca="1">INDEX('Utility Portfolio Summary'!$F$275:$BY$289,MATCH('Program Summary'!$B58,'Utility Portfolio Summary'!$F$275:$F$289,FALSE),MATCH('Program Summary'!AV$45,'Utility Portfolio Summary'!$F$275:$BY$275,FALSE))</f>
        <v>0</v>
      </c>
      <c r="AW58" s="572">
        <f ca="1">INDEX('Utility Portfolio Summary'!$F$275:$BY$289,MATCH('Program Summary'!$B58,'Utility Portfolio Summary'!$F$275:$F$289,FALSE),MATCH('Program Summary'!AW$45,'Utility Portfolio Summary'!$F$275:$BY$275,FALSE))</f>
        <v>0</v>
      </c>
      <c r="AX58" s="572">
        <f ca="1">INDEX('Utility Portfolio Summary'!$F$275:$BY$289,MATCH('Program Summary'!$B58,'Utility Portfolio Summary'!$F$275:$F$289,FALSE),MATCH('Program Summary'!AX$45,'Utility Portfolio Summary'!$F$275:$BY$275,FALSE))</f>
        <v>0</v>
      </c>
    </row>
    <row r="59" spans="1:50">
      <c r="A59" s="527" t="str">
        <f t="shared" si="21"/>
        <v>PDALG&amp;E</v>
      </c>
      <c r="B59" s="649" t="s">
        <v>69</v>
      </c>
      <c r="C59" s="572">
        <f t="shared" ref="C59" si="27">SUM(I59:O59)</f>
        <v>0</v>
      </c>
      <c r="D59" s="650">
        <f t="shared" si="23"/>
        <v>10669506.802223826</v>
      </c>
      <c r="E59" s="650">
        <f t="shared" si="24"/>
        <v>0</v>
      </c>
      <c r="F59" s="572">
        <f t="shared" si="25"/>
        <v>0</v>
      </c>
      <c r="G59" s="572">
        <f t="shared" ref="G59" si="28">MAX(AK59:AQ59)</f>
        <v>0</v>
      </c>
      <c r="H59" s="572">
        <f t="shared" si="26"/>
        <v>0</v>
      </c>
      <c r="I59" s="572">
        <f>IFERROR(INDEX('Utility Portfolio Summary'!$F$275:$BY$289,MATCH('Program Summary'!$B59,'Utility Portfolio Summary'!$F$275:$F$289,FALSE),MATCH('Program Summary'!I$45,'Utility Portfolio Summary'!$F$275:$BY$275,FALSE)),0)</f>
        <v>0</v>
      </c>
      <c r="J59" s="572">
        <f>IFERROR(INDEX('Utility Portfolio Summary'!$F$275:$BY$289,MATCH('Program Summary'!$B59,'Utility Portfolio Summary'!$F$275:$F$289,FALSE),MATCH('Program Summary'!J$45,'Utility Portfolio Summary'!$F$275:$BY$275,FALSE)),0)</f>
        <v>0</v>
      </c>
      <c r="K59" s="572">
        <f>IFERROR(INDEX('Utility Portfolio Summary'!$F$275:$BY$289,MATCH('Program Summary'!$B59,'Utility Portfolio Summary'!$F$275:$F$289,FALSE),MATCH('Program Summary'!K$45,'Utility Portfolio Summary'!$F$275:$BY$275,FALSE)),0)</f>
        <v>0</v>
      </c>
      <c r="L59" s="572">
        <f>IFERROR(INDEX('Utility Portfolio Summary'!$F$275:$BY$289,MATCH('Program Summary'!$B59,'Utility Portfolio Summary'!$F$275:$F$289,FALSE),MATCH('Program Summary'!L$45,'Utility Portfolio Summary'!$F$275:$BY$275,FALSE)),0)</f>
        <v>0</v>
      </c>
      <c r="M59" s="572">
        <f>IFERROR(INDEX('Utility Portfolio Summary'!$F$275:$BY$289,MATCH('Program Summary'!$B59,'Utility Portfolio Summary'!$F$275:$F$289,FALSE),MATCH('Program Summary'!M$45,'Utility Portfolio Summary'!$F$275:$BY$275,FALSE)),0)</f>
        <v>0</v>
      </c>
      <c r="N59" s="572">
        <f>IFERROR(INDEX('Utility Portfolio Summary'!$F$275:$BY$289,MATCH('Program Summary'!$B59,'Utility Portfolio Summary'!$F$275:$F$289,FALSE),MATCH('Program Summary'!N$45,'Utility Portfolio Summary'!$F$275:$BY$275,FALSE)),0)</f>
        <v>0</v>
      </c>
      <c r="O59" s="572">
        <f>IFERROR(INDEX('Utility Portfolio Summary'!$F$275:$BY$289,MATCH('Program Summary'!$B59,'Utility Portfolio Summary'!$F$275:$F$289,FALSE),MATCH('Program Summary'!O$45,'Utility Portfolio Summary'!$F$275:$BY$275,FALSE)),0)</f>
        <v>0</v>
      </c>
      <c r="P59" s="650">
        <f>VLOOKUP($A59,'LGE-KU Budgets'!$A$6:$Y$50,'LGE-KU Budgets'!L$2,0)*1000</f>
        <v>1814326.6875</v>
      </c>
      <c r="Q59" s="650">
        <f>VLOOKUP($A59,'LGE-KU Budgets'!$A$6:$Y$50,'LGE-KU Budgets'!M$2,0)*1000</f>
        <v>1778216.6875</v>
      </c>
      <c r="R59" s="650">
        <f>VLOOKUP($A59,'LGE-KU Budgets'!$A$6:$Y$50,'LGE-KU Budgets'!N$2,0)*1000</f>
        <v>1355023.3875</v>
      </c>
      <c r="S59" s="650">
        <f>VLOOKUP($A59,'LGE-KU Budgets'!$A$6:$Y$50,'LGE-KU Budgets'!O$2,0)*1000</f>
        <v>1444759.2885</v>
      </c>
      <c r="T59" s="650">
        <f>VLOOKUP($A59,'LGE-KU Budgets'!$A$6:$Y$50,'LGE-KU Budgets'!P$2,0)*1000</f>
        <v>1384937.2665299999</v>
      </c>
      <c r="U59" s="650">
        <f>VLOOKUP($A59,'LGE-KU Budgets'!$A$6:$Y$50,'LGE-KU Budgets'!Q$2,0)*1000</f>
        <v>1400570.5839009001</v>
      </c>
      <c r="V59" s="650">
        <f>VLOOKUP($A59,'LGE-KU Budgets'!$A$6:$Y$50,'LGE-KU Budgets'!R$2,0)*1000</f>
        <v>1491672.900792927</v>
      </c>
      <c r="W59" s="650">
        <f>VLOOKUP($A59,'LGE-KU Budgets'!$A$6:$Y$50,'LGE-KU Budgets'!S$2,0)*1000</f>
        <v>0</v>
      </c>
      <c r="X59" s="650">
        <f>VLOOKUP($A59,'LGE-KU Budgets'!$A$6:$Y$50,'LGE-KU Budgets'!T$2,0)*1000</f>
        <v>0</v>
      </c>
      <c r="Y59" s="650">
        <f>VLOOKUP($A59,'LGE-KU Budgets'!$A$6:$Y$50,'LGE-KU Budgets'!U$2,0)*1000</f>
        <v>0</v>
      </c>
      <c r="Z59" s="650">
        <f>VLOOKUP($A59,'LGE-KU Budgets'!$A$6:$Y$50,'LGE-KU Budgets'!V$2,0)*1000</f>
        <v>0</v>
      </c>
      <c r="AA59" s="650">
        <f>VLOOKUP($A59,'LGE-KU Budgets'!$A$6:$Y$50,'LGE-KU Budgets'!W$2,0)*1000</f>
        <v>0</v>
      </c>
      <c r="AB59" s="650">
        <f>VLOOKUP($A59,'LGE-KU Budgets'!$A$6:$Y$50,'LGE-KU Budgets'!X$2,0)*1000</f>
        <v>0</v>
      </c>
      <c r="AC59" s="650">
        <f>VLOOKUP($A59,'LGE-KU Budgets'!$A$6:$Y$50,'LGE-KU Budgets'!Y$2,0)*1000</f>
        <v>0</v>
      </c>
      <c r="AD59" s="572">
        <f>IFERROR(INDEX('Utility Portfolio Summary'!$F$275:$BY$289,MATCH('Program Summary'!$B59,'Utility Portfolio Summary'!$F$275:$F$289,FALSE),MATCH('Program Summary'!AD$45,'Utility Portfolio Summary'!$F$275:$BY$275,FALSE)),0)</f>
        <v>0</v>
      </c>
      <c r="AE59" s="572">
        <f>IFERROR(INDEX('Utility Portfolio Summary'!$F$275:$BY$289,MATCH('Program Summary'!$B59,'Utility Portfolio Summary'!$F$275:$F$289,FALSE),MATCH('Program Summary'!AE$45,'Utility Portfolio Summary'!$F$275:$BY$275,FALSE)),0)</f>
        <v>0</v>
      </c>
      <c r="AF59" s="572">
        <f>IFERROR(INDEX('Utility Portfolio Summary'!$F$275:$BY$289,MATCH('Program Summary'!$B59,'Utility Portfolio Summary'!$F$275:$F$289,FALSE),MATCH('Program Summary'!AF$45,'Utility Portfolio Summary'!$F$275:$BY$275,FALSE)),0)</f>
        <v>0</v>
      </c>
      <c r="AG59" s="572">
        <f>IFERROR(INDEX('Utility Portfolio Summary'!$F$275:$BY$289,MATCH('Program Summary'!$B59,'Utility Portfolio Summary'!$F$275:$F$289,FALSE),MATCH('Program Summary'!AG$45,'Utility Portfolio Summary'!$F$275:$BY$275,FALSE)),0)</f>
        <v>0</v>
      </c>
      <c r="AH59" s="572">
        <f>IFERROR(INDEX('Utility Portfolio Summary'!$F$275:$BY$289,MATCH('Program Summary'!$B59,'Utility Portfolio Summary'!$F$275:$F$289,FALSE),MATCH('Program Summary'!AH$45,'Utility Portfolio Summary'!$F$275:$BY$275,FALSE)),0)</f>
        <v>0</v>
      </c>
      <c r="AI59" s="572">
        <f>IFERROR(INDEX('Utility Portfolio Summary'!$F$275:$BY$289,MATCH('Program Summary'!$B59,'Utility Portfolio Summary'!$F$275:$F$289,FALSE),MATCH('Program Summary'!AI$45,'Utility Portfolio Summary'!$F$275:$BY$275,FALSE)),0)</f>
        <v>0</v>
      </c>
      <c r="AJ59" s="572">
        <f>IFERROR(INDEX('Utility Portfolio Summary'!$F$275:$BY$289,MATCH('Program Summary'!$B59,'Utility Portfolio Summary'!$F$275:$F$289,FALSE),MATCH('Program Summary'!AJ$45,'Utility Portfolio Summary'!$F$275:$BY$275,FALSE)),0)</f>
        <v>0</v>
      </c>
      <c r="AK59" s="572">
        <f>IFERROR(INDEX('Utility Portfolio Summary'!$F$275:$BY$289,MATCH('Program Summary'!$B59,'Utility Portfolio Summary'!$F$275:$F$289,FALSE),MATCH('Program Summary'!AK$45,'Utility Portfolio Summary'!$F$275:$BY$275,FALSE)),0)</f>
        <v>0</v>
      </c>
      <c r="AL59" s="572">
        <f>IFERROR(INDEX('Utility Portfolio Summary'!$F$275:$BY$289,MATCH('Program Summary'!$B59,'Utility Portfolio Summary'!$F$275:$F$289,FALSE),MATCH('Program Summary'!AL$45,'Utility Portfolio Summary'!$F$275:$BY$275,FALSE)),0)</f>
        <v>0</v>
      </c>
      <c r="AM59" s="572">
        <f>IFERROR(INDEX('Utility Portfolio Summary'!$F$275:$BY$289,MATCH('Program Summary'!$B59,'Utility Portfolio Summary'!$F$275:$F$289,FALSE),MATCH('Program Summary'!AM$45,'Utility Portfolio Summary'!$F$275:$BY$275,FALSE)),0)</f>
        <v>0</v>
      </c>
      <c r="AN59" s="572">
        <f>IFERROR(INDEX('Utility Portfolio Summary'!$F$275:$BY$289,MATCH('Program Summary'!$B59,'Utility Portfolio Summary'!$F$275:$F$289,FALSE),MATCH('Program Summary'!AN$45,'Utility Portfolio Summary'!$F$275:$BY$275,FALSE)),0)</f>
        <v>0</v>
      </c>
      <c r="AO59" s="572">
        <f>IFERROR(INDEX('Utility Portfolio Summary'!$F$275:$BY$289,MATCH('Program Summary'!$B59,'Utility Portfolio Summary'!$F$275:$F$289,FALSE),MATCH('Program Summary'!AO$45,'Utility Portfolio Summary'!$F$275:$BY$275,FALSE)),0)</f>
        <v>0</v>
      </c>
      <c r="AP59" s="572">
        <f>IFERROR(INDEX('Utility Portfolio Summary'!$F$275:$BY$289,MATCH('Program Summary'!$B59,'Utility Portfolio Summary'!$F$275:$F$289,FALSE),MATCH('Program Summary'!AP$45,'Utility Portfolio Summary'!$F$275:$BY$275,FALSE)),0)</f>
        <v>0</v>
      </c>
      <c r="AQ59" s="572">
        <f>IFERROR(INDEX('Utility Portfolio Summary'!$F$275:$BY$289,MATCH('Program Summary'!$B59,'Utility Portfolio Summary'!$F$275:$F$289,FALSE),MATCH('Program Summary'!AQ$45,'Utility Portfolio Summary'!$F$275:$BY$275,FALSE)),0)</f>
        <v>0</v>
      </c>
      <c r="AR59" s="572">
        <f>IFERROR(INDEX('Utility Portfolio Summary'!$F$275:$BY$289,MATCH('Program Summary'!$B59,'Utility Portfolio Summary'!$F$275:$F$289,FALSE),MATCH('Program Summary'!AR$45,'Utility Portfolio Summary'!$F$275:$BY$275,FALSE)),0)</f>
        <v>0</v>
      </c>
      <c r="AS59" s="572">
        <f>IFERROR(INDEX('Utility Portfolio Summary'!$F$275:$BY$289,MATCH('Program Summary'!$B59,'Utility Portfolio Summary'!$F$275:$F$289,FALSE),MATCH('Program Summary'!AS$45,'Utility Portfolio Summary'!$F$275:$BY$275,FALSE)),0)</f>
        <v>0</v>
      </c>
      <c r="AT59" s="572">
        <f>IFERROR(INDEX('Utility Portfolio Summary'!$F$275:$BY$289,MATCH('Program Summary'!$B59,'Utility Portfolio Summary'!$F$275:$F$289,FALSE),MATCH('Program Summary'!AT$45,'Utility Portfolio Summary'!$F$275:$BY$275,FALSE)),0)</f>
        <v>0</v>
      </c>
      <c r="AU59" s="572">
        <f>IFERROR(INDEX('Utility Portfolio Summary'!$F$275:$BY$289,MATCH('Program Summary'!$B59,'Utility Portfolio Summary'!$F$275:$F$289,FALSE),MATCH('Program Summary'!AU$45,'Utility Portfolio Summary'!$F$275:$BY$275,FALSE)),0)</f>
        <v>0</v>
      </c>
      <c r="AV59" s="572">
        <f>IFERROR(INDEX('Utility Portfolio Summary'!$F$275:$BY$289,MATCH('Program Summary'!$B59,'Utility Portfolio Summary'!$F$275:$F$289,FALSE),MATCH('Program Summary'!AV$45,'Utility Portfolio Summary'!$F$275:$BY$275,FALSE)),0)</f>
        <v>0</v>
      </c>
      <c r="AW59" s="572">
        <f>IFERROR(INDEX('Utility Portfolio Summary'!$F$275:$BY$289,MATCH('Program Summary'!$B59,'Utility Portfolio Summary'!$F$275:$F$289,FALSE),MATCH('Program Summary'!AW$45,'Utility Portfolio Summary'!$F$275:$BY$275,FALSE)),0)</f>
        <v>0</v>
      </c>
      <c r="AX59" s="572">
        <f>IFERROR(INDEX('Utility Portfolio Summary'!$F$275:$BY$289,MATCH('Program Summary'!$B59,'Utility Portfolio Summary'!$F$275:$F$289,FALSE),MATCH('Program Summary'!AX$45,'Utility Portfolio Summary'!$F$275:$BY$275,FALSE)),0)</f>
        <v>0</v>
      </c>
    </row>
    <row r="60" spans="1:50" ht="5.25" customHeight="1">
      <c r="A60" s="2"/>
      <c r="B60" s="69"/>
      <c r="C60" s="69"/>
      <c r="D60" s="439"/>
      <c r="E60" s="439"/>
      <c r="F60" s="69"/>
      <c r="G60" s="69"/>
      <c r="H60" s="69"/>
      <c r="I60" s="69"/>
      <c r="J60" s="69"/>
      <c r="K60" s="69"/>
      <c r="L60" s="69"/>
      <c r="M60" s="69"/>
      <c r="N60" s="69"/>
      <c r="O60" s="69"/>
      <c r="P60" s="439"/>
      <c r="Q60" s="439"/>
      <c r="R60" s="439"/>
      <c r="S60" s="439"/>
      <c r="T60" s="439"/>
      <c r="U60" s="439"/>
      <c r="V60" s="439"/>
      <c r="W60" s="439"/>
      <c r="X60" s="439"/>
      <c r="Y60" s="439"/>
      <c r="Z60" s="439"/>
      <c r="AA60" s="439"/>
      <c r="AB60" s="439"/>
      <c r="AC60" s="439"/>
      <c r="AD60" s="69"/>
      <c r="AE60" s="69"/>
      <c r="AF60" s="69"/>
      <c r="AG60" s="69"/>
      <c r="AH60" s="69"/>
      <c r="AI60" s="69"/>
      <c r="AJ60" s="69"/>
      <c r="AK60" s="69"/>
      <c r="AL60" s="69"/>
      <c r="AM60" s="69"/>
      <c r="AN60" s="69"/>
      <c r="AO60" s="69"/>
      <c r="AP60" s="69"/>
      <c r="AQ60" s="69"/>
      <c r="AR60" s="69"/>
      <c r="AS60" s="69"/>
      <c r="AT60" s="69"/>
      <c r="AU60" s="69"/>
      <c r="AV60" s="69"/>
      <c r="AW60" s="69"/>
      <c r="AX60" s="69"/>
    </row>
    <row r="61" spans="1:50">
      <c r="A61" s="2"/>
      <c r="B61" s="651" t="s">
        <v>74</v>
      </c>
      <c r="C61" s="652">
        <f t="shared" ref="C61:AW61" ca="1" si="29">SUM(C46:C59)</f>
        <v>76048704.014418662</v>
      </c>
      <c r="D61" s="653">
        <f t="shared" si="29"/>
        <v>80651172.811179832</v>
      </c>
      <c r="E61" s="653">
        <f t="shared" si="29"/>
        <v>89721194.027520016</v>
      </c>
      <c r="F61" s="652">
        <f t="shared" ca="1" si="29"/>
        <v>438027560.66776371</v>
      </c>
      <c r="G61" s="652">
        <f t="shared" ca="1" si="29"/>
        <v>157282.1009094544</v>
      </c>
      <c r="H61" s="652">
        <f t="shared" ca="1" si="29"/>
        <v>1762571.4284184787</v>
      </c>
      <c r="I61" s="652">
        <f t="shared" ca="1" si="29"/>
        <v>5460073.6825795025</v>
      </c>
      <c r="J61" s="652">
        <f t="shared" ca="1" si="29"/>
        <v>8470440.4218420703</v>
      </c>
      <c r="K61" s="652">
        <f t="shared" ca="1" si="29"/>
        <v>12514482.2609045</v>
      </c>
      <c r="L61" s="652">
        <f t="shared" ca="1" si="29"/>
        <v>12578781.295613356</v>
      </c>
      <c r="M61" s="652">
        <f t="shared" ca="1" si="29"/>
        <v>12623793.235636037</v>
      </c>
      <c r="N61" s="652">
        <f t="shared" ca="1" si="29"/>
        <v>12581773.062055975</v>
      </c>
      <c r="O61" s="652">
        <f t="shared" ca="1" si="29"/>
        <v>12549377.476164913</v>
      </c>
      <c r="P61" s="653">
        <f t="shared" si="29"/>
        <v>10044414.462121312</v>
      </c>
      <c r="Q61" s="653">
        <f t="shared" si="29"/>
        <v>10824885.737068299</v>
      </c>
      <c r="R61" s="653">
        <f t="shared" si="29"/>
        <v>11150727.164004015</v>
      </c>
      <c r="S61" s="653">
        <f t="shared" si="29"/>
        <v>11577813.946219636</v>
      </c>
      <c r="T61" s="653">
        <f t="shared" si="29"/>
        <v>12182926.784420246</v>
      </c>
      <c r="U61" s="653">
        <f t="shared" si="29"/>
        <v>12322361.790953321</v>
      </c>
      <c r="V61" s="653">
        <f t="shared" si="29"/>
        <v>12548042.926392987</v>
      </c>
      <c r="W61" s="653">
        <f t="shared" si="29"/>
        <v>4212941.5593396071</v>
      </c>
      <c r="X61" s="653">
        <f t="shared" si="29"/>
        <v>5829902.8343880381</v>
      </c>
      <c r="Y61" s="653">
        <f t="shared" si="29"/>
        <v>8098827.1758434363</v>
      </c>
      <c r="Z61" s="653">
        <f t="shared" si="29"/>
        <v>11867256.255309947</v>
      </c>
      <c r="AA61" s="653">
        <f t="shared" si="29"/>
        <v>19431535.218206432</v>
      </c>
      <c r="AB61" s="653">
        <f t="shared" si="29"/>
        <v>20002202.61402854</v>
      </c>
      <c r="AC61" s="653">
        <f t="shared" si="29"/>
        <v>20278528.37040402</v>
      </c>
      <c r="AD61" s="652">
        <f t="shared" ca="1" si="29"/>
        <v>46195080.606046058</v>
      </c>
      <c r="AE61" s="652">
        <f t="shared" ca="1" si="29"/>
        <v>50714210.722962774</v>
      </c>
      <c r="AF61" s="652">
        <f t="shared" ca="1" si="29"/>
        <v>65132589.674186155</v>
      </c>
      <c r="AG61" s="652">
        <f t="shared" ca="1" si="29"/>
        <v>75219263.601478279</v>
      </c>
      <c r="AH61" s="652">
        <f t="shared" ca="1" si="29"/>
        <v>76778336.628239736</v>
      </c>
      <c r="AI61" s="652">
        <f t="shared" ca="1" si="29"/>
        <v>66251844.067697585</v>
      </c>
      <c r="AJ61" s="652">
        <f t="shared" ca="1" si="29"/>
        <v>57736235.367153108</v>
      </c>
      <c r="AK61" s="652">
        <f t="shared" ca="1" si="29"/>
        <v>86653.588118372543</v>
      </c>
      <c r="AL61" s="652">
        <f t="shared" ca="1" si="29"/>
        <v>88273.368204377301</v>
      </c>
      <c r="AM61" s="652">
        <f t="shared" ca="1" si="29"/>
        <v>93873.953982483014</v>
      </c>
      <c r="AN61" s="652">
        <f t="shared" ca="1" si="29"/>
        <v>103342.5147115944</v>
      </c>
      <c r="AO61" s="652">
        <f t="shared" ca="1" si="29"/>
        <v>115479.74780089896</v>
      </c>
      <c r="AP61" s="652">
        <f t="shared" ca="1" si="29"/>
        <v>119253.75240058803</v>
      </c>
      <c r="AQ61" s="652">
        <f t="shared" ca="1" si="29"/>
        <v>118099.21253095493</v>
      </c>
      <c r="AR61" s="652">
        <f t="shared" ca="1" si="29"/>
        <v>154642.96992177013</v>
      </c>
      <c r="AS61" s="652">
        <f t="shared" ca="1" si="29"/>
        <v>177530.0713504084</v>
      </c>
      <c r="AT61" s="652">
        <f t="shared" ca="1" si="29"/>
        <v>211808.19064077485</v>
      </c>
      <c r="AU61" s="652">
        <f t="shared" ca="1" si="29"/>
        <v>270635.63069565961</v>
      </c>
      <c r="AV61" s="652">
        <f t="shared" ca="1" si="29"/>
        <v>326228.55860328861</v>
      </c>
      <c r="AW61" s="652">
        <f t="shared" ca="1" si="29"/>
        <v>311558.46360328869</v>
      </c>
      <c r="AX61" s="652">
        <f t="shared" ref="AX61" ca="1" si="30">SUM(AX46:AX59)</f>
        <v>310167.54360328871</v>
      </c>
    </row>
    <row r="62" spans="1:50">
      <c r="A62" s="2"/>
      <c r="B62" s="2"/>
      <c r="C62" s="3"/>
      <c r="D62" s="3"/>
      <c r="E62" s="3"/>
      <c r="F62" s="3"/>
      <c r="G62" s="3"/>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row>
    <row r="63" spans="1:50">
      <c r="A63" s="2"/>
      <c r="B63" s="2"/>
      <c r="C63" s="3"/>
      <c r="D63" s="3"/>
      <c r="E63" s="3"/>
      <c r="F63" s="3"/>
      <c r="G63" s="3"/>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row>
    <row r="64" spans="1:50">
      <c r="E64" s="1300"/>
    </row>
    <row r="72" spans="2:2" ht="14.5">
      <c r="B72"/>
    </row>
    <row r="73" spans="2:2" ht="14.5">
      <c r="B73"/>
    </row>
    <row r="74" spans="2:2" ht="14.5">
      <c r="B74"/>
    </row>
    <row r="75" spans="2:2" ht="14.5">
      <c r="B75"/>
    </row>
    <row r="76" spans="2:2" ht="14.5">
      <c r="B76"/>
    </row>
    <row r="77" spans="2:2" ht="14.5">
      <c r="B77"/>
    </row>
    <row r="78" spans="2:2" ht="14.5">
      <c r="B78"/>
    </row>
    <row r="79" spans="2:2" ht="14.5">
      <c r="B79"/>
    </row>
    <row r="80" spans="2:2" ht="14.5">
      <c r="B80"/>
    </row>
    <row r="81" spans="2:2" ht="14.5">
      <c r="B81"/>
    </row>
    <row r="82" spans="2:2" ht="14.5">
      <c r="B82"/>
    </row>
    <row r="83" spans="2:2" ht="14.5">
      <c r="B83"/>
    </row>
    <row r="84" spans="2:2" ht="14.5">
      <c r="B84"/>
    </row>
    <row r="85" spans="2:2" ht="14.5">
      <c r="B85"/>
    </row>
    <row r="86" spans="2:2" ht="14.5">
      <c r="B86"/>
    </row>
    <row r="87" spans="2:2" ht="14.5">
      <c r="B87"/>
    </row>
    <row r="88" spans="2:2" ht="14.5">
      <c r="B88"/>
    </row>
    <row r="89" spans="2:2" ht="14.5">
      <c r="B89"/>
    </row>
    <row r="90" spans="2:2" ht="14.5">
      <c r="B90"/>
    </row>
    <row r="91" spans="2:2" ht="14.5">
      <c r="B91"/>
    </row>
    <row r="92" spans="2:2" ht="14.5">
      <c r="B92"/>
    </row>
    <row r="93" spans="2:2" ht="14.5">
      <c r="B93"/>
    </row>
    <row r="94" spans="2:2" ht="14.5">
      <c r="B94"/>
    </row>
    <row r="95" spans="2:2" ht="14.5">
      <c r="B95"/>
    </row>
    <row r="96" spans="2:2" ht="14.5">
      <c r="B96"/>
    </row>
    <row r="97" spans="2:2" ht="14.5">
      <c r="B97"/>
    </row>
    <row r="98" spans="2:2" ht="14.5">
      <c r="B98"/>
    </row>
    <row r="99" spans="2:2" ht="14.5">
      <c r="B99"/>
    </row>
    <row r="100" spans="2:2" ht="14.5">
      <c r="B100"/>
    </row>
    <row r="101" spans="2:2" ht="14.5">
      <c r="B101"/>
    </row>
    <row r="102" spans="2:2" ht="14.5">
      <c r="B102"/>
    </row>
    <row r="103" spans="2:2" ht="14.5">
      <c r="B103"/>
    </row>
    <row r="104" spans="2:2" ht="14.5">
      <c r="B104"/>
    </row>
    <row r="105" spans="2:2" ht="14.5">
      <c r="B105"/>
    </row>
    <row r="106" spans="2:2" ht="14.5">
      <c r="B106"/>
    </row>
    <row r="107" spans="2:2" ht="14.5">
      <c r="B107"/>
    </row>
    <row r="108" spans="2:2" ht="14.5">
      <c r="B108"/>
    </row>
    <row r="109" spans="2:2" ht="14.5">
      <c r="B109"/>
    </row>
    <row r="110" spans="2:2" ht="14.5">
      <c r="B110"/>
    </row>
    <row r="111" spans="2:2" ht="14.5">
      <c r="B111"/>
    </row>
    <row r="112" spans="2:2" ht="14.5">
      <c r="B112"/>
    </row>
    <row r="113" spans="2:2" ht="14.5">
      <c r="B113"/>
    </row>
    <row r="114" spans="2:2" ht="14.5">
      <c r="B114"/>
    </row>
    <row r="115" spans="2:2" ht="14.5">
      <c r="B115"/>
    </row>
    <row r="116" spans="2:2" ht="14.5">
      <c r="B116"/>
    </row>
    <row r="117" spans="2:2" ht="14.5">
      <c r="B117"/>
    </row>
    <row r="118" spans="2:2" ht="14.5">
      <c r="B118"/>
    </row>
    <row r="119" spans="2:2" ht="14.5">
      <c r="B119"/>
    </row>
    <row r="120" spans="2:2" ht="14.5">
      <c r="B120"/>
    </row>
    <row r="121" spans="2:2" ht="14.5">
      <c r="B121"/>
    </row>
    <row r="122" spans="2:2" ht="14.5">
      <c r="B122"/>
    </row>
    <row r="123" spans="2:2" ht="14.5">
      <c r="B123"/>
    </row>
    <row r="124" spans="2:2" ht="14.5">
      <c r="B124"/>
    </row>
    <row r="125" spans="2:2" ht="14.5">
      <c r="B125"/>
    </row>
    <row r="126" spans="2:2" ht="14.5">
      <c r="B126"/>
    </row>
    <row r="127" spans="2:2" ht="14.5">
      <c r="B127"/>
    </row>
    <row r="128" spans="2:2" ht="14.5">
      <c r="B128"/>
    </row>
    <row r="129" spans="2:2" ht="14.5">
      <c r="B129"/>
    </row>
    <row r="130" spans="2:2" ht="14.5">
      <c r="B130"/>
    </row>
    <row r="131" spans="2:2" ht="14.5">
      <c r="B131"/>
    </row>
    <row r="132" spans="2:2" ht="14.5">
      <c r="B132"/>
    </row>
    <row r="133" spans="2:2" ht="14.5">
      <c r="B133"/>
    </row>
    <row r="134" spans="2:2" ht="14.5">
      <c r="B134"/>
    </row>
    <row r="135" spans="2:2" ht="14.5">
      <c r="B135"/>
    </row>
    <row r="136" spans="2:2" ht="14.5">
      <c r="B136"/>
    </row>
    <row r="137" spans="2:2" ht="14.5">
      <c r="B137"/>
    </row>
    <row r="138" spans="2:2" ht="14.5">
      <c r="B138"/>
    </row>
    <row r="139" spans="2:2" ht="14.5">
      <c r="B139"/>
    </row>
    <row r="140" spans="2:2" ht="14.5">
      <c r="B140"/>
    </row>
    <row r="141" spans="2:2" ht="14.5">
      <c r="B141"/>
    </row>
    <row r="142" spans="2:2" ht="14.5">
      <c r="B142"/>
    </row>
  </sheetData>
  <autoFilter ref="B5:H21" xr:uid="{00000000-0009-0000-0000-000004000000}"/>
  <mergeCells count="21">
    <mergeCell ref="AR4:AX4"/>
    <mergeCell ref="AD24:AJ24"/>
    <mergeCell ref="AK24:AQ24"/>
    <mergeCell ref="AR24:AX24"/>
    <mergeCell ref="AD44:AJ44"/>
    <mergeCell ref="AK44:AQ44"/>
    <mergeCell ref="AR44:AX44"/>
    <mergeCell ref="AD4:AJ4"/>
    <mergeCell ref="AK4:AQ4"/>
    <mergeCell ref="C44:H44"/>
    <mergeCell ref="C24:H24"/>
    <mergeCell ref="C4:H4"/>
    <mergeCell ref="I4:O4"/>
    <mergeCell ref="I24:O24"/>
    <mergeCell ref="I44:O44"/>
    <mergeCell ref="P4:V4"/>
    <mergeCell ref="W4:AC4"/>
    <mergeCell ref="P24:V24"/>
    <mergeCell ref="W24:AC24"/>
    <mergeCell ref="P44:V44"/>
    <mergeCell ref="W44:AC44"/>
  </mergeCells>
  <phoneticPr fontId="78" type="noConversion"/>
  <pageMargins left="0.7" right="0.7" top="0.75" bottom="0.75" header="0.3" footer="0.3"/>
  <pageSetup orientation="portrait" r:id="rId1"/>
  <headerFooter>
    <oddFooter>&amp;L&amp;1#&amp;"Calibri"&amp;14&amp;K000000Business Use</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BD6A-8F51-4C4E-916F-6D197877CF84}">
  <sheetPr>
    <tabColor rgb="FFFFC000"/>
  </sheetPr>
  <dimension ref="A2:I12"/>
  <sheetViews>
    <sheetView workbookViewId="0">
      <selection activeCell="H11" sqref="H11"/>
    </sheetView>
  </sheetViews>
  <sheetFormatPr defaultRowHeight="14.5"/>
  <cols>
    <col min="7" max="7" width="11.1796875" customWidth="1"/>
  </cols>
  <sheetData>
    <row r="2" spans="1:9">
      <c r="A2" s="2" t="s">
        <v>2726</v>
      </c>
      <c r="B2" s="2"/>
      <c r="C2" s="2"/>
      <c r="D2" s="2"/>
      <c r="E2" s="2"/>
      <c r="F2" s="2"/>
      <c r="G2" s="2"/>
    </row>
    <row r="3" spans="1:9">
      <c r="A3" s="156" t="s">
        <v>2725</v>
      </c>
      <c r="B3" s="2"/>
      <c r="C3" s="2"/>
      <c r="D3" s="2"/>
      <c r="E3" s="2"/>
      <c r="F3" s="2"/>
      <c r="G3" s="2"/>
    </row>
    <row r="4" spans="1:9">
      <c r="A4" s="2"/>
      <c r="B4" s="2"/>
      <c r="C4" s="2"/>
      <c r="D4" s="2"/>
      <c r="E4" s="2"/>
      <c r="F4" s="2"/>
      <c r="G4" s="2"/>
    </row>
    <row r="5" spans="1:9">
      <c r="A5" s="2"/>
      <c r="B5" s="2"/>
      <c r="C5" s="2"/>
      <c r="D5" s="2"/>
      <c r="E5" s="2"/>
      <c r="F5" s="2"/>
      <c r="G5" s="2"/>
    </row>
    <row r="6" spans="1:9">
      <c r="A6" s="2"/>
      <c r="B6" s="2" t="s">
        <v>2720</v>
      </c>
      <c r="C6" s="2"/>
      <c r="D6" s="2" t="s">
        <v>2721</v>
      </c>
      <c r="E6" s="2"/>
    </row>
    <row r="7" spans="1:9">
      <c r="A7" s="2"/>
      <c r="B7" s="2" t="s">
        <v>1479</v>
      </c>
      <c r="C7" s="2" t="s">
        <v>132</v>
      </c>
      <c r="D7" s="2" t="s">
        <v>1479</v>
      </c>
      <c r="E7" s="2" t="s">
        <v>132</v>
      </c>
      <c r="F7" s="2" t="s">
        <v>2722</v>
      </c>
      <c r="G7" s="2" t="s">
        <v>2727</v>
      </c>
      <c r="I7" t="s">
        <v>2737</v>
      </c>
    </row>
    <row r="8" spans="1:9">
      <c r="A8" s="2" t="s">
        <v>1018</v>
      </c>
      <c r="B8" s="85">
        <f>'Residential Audit Online'!AC77</f>
        <v>80.791313949208472</v>
      </c>
      <c r="C8" s="85">
        <v>0.1958399999999999</v>
      </c>
      <c r="D8" s="85">
        <v>216.71081859317152</v>
      </c>
      <c r="E8" s="85"/>
      <c r="F8" s="268">
        <f>SUM('Residential Audit Online'!AE14:AJ14)</f>
        <v>4756</v>
      </c>
      <c r="G8" s="267">
        <f>(D8-B8)*F8</f>
        <v>646433.16408668831</v>
      </c>
      <c r="I8" t="s">
        <v>2765</v>
      </c>
    </row>
    <row r="9" spans="1:9">
      <c r="A9" s="2" t="s">
        <v>2064</v>
      </c>
      <c r="B9" s="85">
        <f>'Residential Audit Online'!AU68</f>
        <v>266.71000368052984</v>
      </c>
      <c r="C9" s="85">
        <v>0.18679720279720283</v>
      </c>
      <c r="D9" s="85">
        <v>354.83895104895112</v>
      </c>
      <c r="E9" s="85"/>
      <c r="F9" s="268">
        <f>SUM('Residential Audit Online'!AE15:AJ15)</f>
        <v>4548</v>
      </c>
      <c r="G9" s="267">
        <f>(D9-B9)*F9</f>
        <v>400810.45263158</v>
      </c>
      <c r="I9" t="s">
        <v>2764</v>
      </c>
    </row>
    <row r="10" spans="1:9">
      <c r="A10" s="2" t="s">
        <v>2723</v>
      </c>
      <c r="B10" s="85"/>
      <c r="C10" s="85">
        <v>0</v>
      </c>
      <c r="D10" s="85"/>
      <c r="E10" s="85"/>
      <c r="F10" s="268">
        <f>SUM('Residential Audit Online'!AE16:AJ16)</f>
        <v>4652</v>
      </c>
      <c r="G10" s="2"/>
    </row>
    <row r="11" spans="1:9">
      <c r="A11" s="2" t="s">
        <v>148</v>
      </c>
      <c r="B11" s="2"/>
      <c r="C11" s="2"/>
      <c r="D11" s="2"/>
      <c r="E11" s="2"/>
      <c r="F11" s="2"/>
      <c r="G11" s="84">
        <f>SUM(G8:G9)</f>
        <v>1047243.6167182683</v>
      </c>
      <c r="H11" s="1335"/>
    </row>
    <row r="12" spans="1:9">
      <c r="A12" s="2"/>
      <c r="B12" s="2"/>
      <c r="C12" s="2"/>
      <c r="D12" s="2"/>
      <c r="E12" s="2"/>
      <c r="F12" s="2"/>
      <c r="G12" s="101">
        <f ca="1">G11/SUM('Program Summary'!AD10:AJ10)</f>
        <v>4.5003647559144606E-2</v>
      </c>
    </row>
  </sheetData>
  <hyperlinks>
    <hyperlink ref="A3" r:id="rId1" xr:uid="{0E6D0158-2666-4582-8CB4-BC0EB851F728}"/>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4C51-EBF2-4EB0-BD0D-0C588FF78099}">
  <sheetPr>
    <tabColor theme="5"/>
  </sheetPr>
  <dimension ref="A1:FL172"/>
  <sheetViews>
    <sheetView topLeftCell="Q71" zoomScale="55" zoomScaleNormal="55" workbookViewId="0">
      <selection activeCell="AC82" sqref="AC82"/>
    </sheetView>
  </sheetViews>
  <sheetFormatPr defaultColWidth="9.1796875" defaultRowHeight="13"/>
  <cols>
    <col min="1" max="1" width="9.1796875" style="2" customWidth="1"/>
    <col min="2" max="2" width="54.1796875" style="2" customWidth="1"/>
    <col min="3" max="3" width="52.453125" style="2" customWidth="1"/>
    <col min="4" max="4" width="60.1796875" style="2" customWidth="1"/>
    <col min="5" max="5" width="24.453125" style="2" customWidth="1"/>
    <col min="6" max="6" width="41.7265625" style="2" customWidth="1"/>
    <col min="7" max="7" width="17.26953125" style="2" customWidth="1"/>
    <col min="8" max="8" width="14.54296875" style="2" customWidth="1"/>
    <col min="9" max="9" width="18" style="2" customWidth="1"/>
    <col min="10" max="10" width="27.7265625" style="2" customWidth="1"/>
    <col min="11" max="11" width="15.453125" style="2" customWidth="1"/>
    <col min="12" max="12" width="28.453125" style="2" customWidth="1"/>
    <col min="13" max="13" width="18.26953125" style="2" customWidth="1"/>
    <col min="14" max="14" width="17.7265625" style="2" customWidth="1"/>
    <col min="15" max="15" width="10.7265625" style="2" customWidth="1"/>
    <col min="16" max="16" width="16.81640625" style="2" customWidth="1"/>
    <col min="17" max="17" width="13.453125" style="2" customWidth="1"/>
    <col min="18" max="18" width="15.54296875" style="2" customWidth="1"/>
    <col min="19" max="19" width="12.1796875" style="2" customWidth="1"/>
    <col min="20" max="20" width="15.7265625" style="3" customWidth="1"/>
    <col min="21" max="26" width="10.81640625" style="3" customWidth="1"/>
    <col min="27" max="27" width="19.26953125" style="3" customWidth="1"/>
    <col min="28" max="36" width="10.1796875" style="3" customWidth="1"/>
    <col min="37" max="44" width="14.453125" style="2" customWidth="1"/>
    <col min="45" max="45" width="20.81640625" style="2" customWidth="1"/>
    <col min="46" max="46" width="14.453125" style="2" customWidth="1"/>
    <col min="47" max="47" width="16.453125" style="2" customWidth="1"/>
    <col min="48" max="53" width="12" style="2" customWidth="1"/>
    <col min="54" max="56" width="17.81640625" style="2" customWidth="1"/>
    <col min="57" max="60" width="15.7265625" style="2" customWidth="1"/>
    <col min="61" max="67" width="12" style="2" customWidth="1"/>
    <col min="68" max="81" width="11.7265625" style="2" customWidth="1"/>
    <col min="82" max="159" width="15.54296875" style="2" customWidth="1"/>
    <col min="160" max="16384" width="9.1796875" style="2"/>
  </cols>
  <sheetData>
    <row r="1" spans="1:168" ht="14.5">
      <c r="A1" t="str">
        <f t="shared" ref="A1:AI1" si="0">A3&amp;"_"&amp;A4&amp;"_"&amp;A5</f>
        <v>_Measure Details_Measure ID</v>
      </c>
      <c r="B1" t="str">
        <f t="shared" si="0"/>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t="str">
        <f t="shared" si="0"/>
        <v>__Number of Unit Per Participant</v>
      </c>
      <c r="W1" t="str">
        <f t="shared" si="0"/>
        <v>1__2017</v>
      </c>
      <c r="X1" t="str">
        <f t="shared" si="0"/>
        <v>2__2018</v>
      </c>
      <c r="Y1" t="str">
        <f t="shared" si="0"/>
        <v>3__2019</v>
      </c>
      <c r="Z1" t="str">
        <f t="shared" si="0"/>
        <v>4__2020</v>
      </c>
      <c r="AA1" t="str">
        <f t="shared" si="0"/>
        <v>__Projected 2021</v>
      </c>
      <c r="AB1" t="str">
        <f t="shared" si="0"/>
        <v>__Projected 2022</v>
      </c>
      <c r="AC1" t="str">
        <f t="shared" si="0"/>
        <v>__Projected 2023</v>
      </c>
      <c r="AD1" t="str">
        <f t="shared" si="0"/>
        <v>__Participation 2024</v>
      </c>
      <c r="AE1" t="str">
        <f t="shared" si="0"/>
        <v>__Participation 2025</v>
      </c>
      <c r="AF1" t="str">
        <f t="shared" si="0"/>
        <v>__Participation 2026</v>
      </c>
      <c r="AG1" t="str">
        <f t="shared" si="0"/>
        <v>__Participation 2027</v>
      </c>
      <c r="AH1" t="str">
        <f t="shared" si="0"/>
        <v>__Participation 2028</v>
      </c>
      <c r="AI1" t="str">
        <f t="shared" si="0"/>
        <v>__Participation 2029</v>
      </c>
      <c r="AJ1" t="str">
        <f t="shared" ref="AJ1" si="1">AJ3&amp;"_"&amp;AJ4&amp;"_"&amp;AJ5</f>
        <v>__Participation 2030</v>
      </c>
      <c r="AK1" t="str">
        <f t="shared" ref="AK1:BG1" si="2">AK3&amp;"_"&amp;AK4&amp;"_"&amp;AK5</f>
        <v>_Modeling Measure-level Inputs_Fuel Type</v>
      </c>
      <c r="AL1" t="str">
        <f t="shared" si="2"/>
        <v>__Sector</v>
      </c>
      <c r="AM1" t="str">
        <f t="shared" si="2"/>
        <v>__Segment</v>
      </c>
      <c r="AN1" t="str">
        <f t="shared" si="2"/>
        <v>__Enduse</v>
      </c>
      <c r="AO1" t="str">
        <f t="shared" si="2"/>
        <v>__Construction Type</v>
      </c>
      <c r="AP1" t="str">
        <f t="shared" si="2"/>
        <v>__Potential Study Measure Name</v>
      </c>
      <c r="AQ1" t="str">
        <f t="shared" si="2"/>
        <v>__Potential Study Measure Description</v>
      </c>
      <c r="AR1" t="str">
        <f t="shared" si="2"/>
        <v>__Potential Study Baseline Description</v>
      </c>
      <c r="AS1" t="str">
        <f t="shared" si="2"/>
        <v>__Electric Load Shape</v>
      </c>
      <c r="AT1" t="str">
        <f t="shared" si="2"/>
        <v>__Natural Gas Load Shape</v>
      </c>
      <c r="AU1" t="str">
        <f t="shared" si="2"/>
        <v>__Customer Rate Class</v>
      </c>
      <c r="AV1" t="str">
        <f t="shared" si="2"/>
        <v>__Measure Life</v>
      </c>
      <c r="AW1" t="str">
        <f t="shared" si="2"/>
        <v>__Baseline Life</v>
      </c>
      <c r="AX1" t="str">
        <f t="shared" si="2"/>
        <v>__Life Source</v>
      </c>
      <c r="AY1" t="str">
        <f t="shared" si="2"/>
        <v>_Measure Tier Share_Tier Share</v>
      </c>
      <c r="AZ1" t="str">
        <f t="shared" si="2"/>
        <v>_Measure Fuel Weights_Electric Share</v>
      </c>
      <c r="BA1" t="str">
        <f t="shared" si="2"/>
        <v>__Natural Gas Share</v>
      </c>
      <c r="BB1" t="str">
        <f t="shared" si="2"/>
        <v>Per Unit_Incremental Costs_2024</v>
      </c>
      <c r="BC1" t="str">
        <f t="shared" si="2"/>
        <v>Per Unit_Incremental Costs_2025</v>
      </c>
      <c r="BD1" t="str">
        <f t="shared" si="2"/>
        <v>Per Unit_Incremental Costs_2026</v>
      </c>
      <c r="BE1" t="str">
        <f t="shared" si="2"/>
        <v>Per Unit_Incremental Costs_2027</v>
      </c>
      <c r="BF1" t="str">
        <f t="shared" si="2"/>
        <v>Per Unit_Incremental Costs_2028</v>
      </c>
      <c r="BG1" t="str">
        <f t="shared" si="2"/>
        <v>Per Unit_Incremental Costs_2029</v>
      </c>
      <c r="BH1" t="str">
        <f t="shared" ref="BH1" si="3">BH3&amp;"_"&amp;BH4&amp;"_"&amp;BH5</f>
        <v>Per Unit_Incremental Costs_2030</v>
      </c>
      <c r="BI1" t="str">
        <f t="shared" ref="BI1:BN1" si="4">BI3&amp;"_"&amp;BI4&amp;"_"&amp;BI5</f>
        <v>Per Unit_Incremental Annual O&amp;M_2024</v>
      </c>
      <c r="BJ1" t="str">
        <f t="shared" si="4"/>
        <v>Per Unit_Incremental Annual O&amp;M_2025</v>
      </c>
      <c r="BK1" t="str">
        <f t="shared" si="4"/>
        <v>Per Unit_Incremental Annual O&amp;M_2026</v>
      </c>
      <c r="BL1" t="str">
        <f t="shared" si="4"/>
        <v>Per Unit_Incremental Annual O&amp;M_2027</v>
      </c>
      <c r="BM1" t="str">
        <f t="shared" si="4"/>
        <v>Per Unit_Incremental Annual O&amp;M_2028</v>
      </c>
      <c r="BN1" t="str">
        <f t="shared" si="4"/>
        <v>Per Unit_Incremental Annual O&amp;M_2029</v>
      </c>
      <c r="BO1" t="str">
        <f t="shared" ref="BO1" si="5">BO3&amp;"_"&amp;BO4&amp;"_"&amp;BO5</f>
        <v>Per Unit_Incremental Annual O&amp;M_2030</v>
      </c>
      <c r="BP1" t="str">
        <f t="shared" ref="BP1:BU1" si="6">BP3&amp;"_"&amp;BP4&amp;"_"&amp;BP5</f>
        <v>Per Unit_Customer &amp; Dealer Incentives_2024</v>
      </c>
      <c r="BQ1" t="str">
        <f t="shared" si="6"/>
        <v>Per Unit_Customer &amp; Dealer Incentives_2025</v>
      </c>
      <c r="BR1" t="str">
        <f t="shared" si="6"/>
        <v>Per Unit_Customer &amp; Dealer Incentives_2026</v>
      </c>
      <c r="BS1" t="str">
        <f t="shared" si="6"/>
        <v>Per Unit_Customer &amp; Dealer Incentives_2027</v>
      </c>
      <c r="BT1" t="str">
        <f t="shared" si="6"/>
        <v>Per Unit_Customer &amp; Dealer Incentives_2028</v>
      </c>
      <c r="BU1" t="str">
        <f t="shared" si="6"/>
        <v>Per Unit_Customer &amp; Dealer Incentives_2029</v>
      </c>
      <c r="BV1" t="str">
        <f t="shared" ref="BV1" si="7">BV3&amp;"_"&amp;BV4&amp;"_"&amp;BV5</f>
        <v>Per Unit_Customer &amp; Dealer Incentives_2030</v>
      </c>
      <c r="BW1" t="str">
        <f t="shared" ref="BW1:CB1" si="8">BW3&amp;"_"&amp;BW4&amp;"_"&amp;BW5</f>
        <v>Per Unit_Implementation Cost_2024</v>
      </c>
      <c r="BX1" t="str">
        <f t="shared" si="8"/>
        <v>Per Unit_Implementation Cost_2025</v>
      </c>
      <c r="BY1" t="str">
        <f t="shared" si="8"/>
        <v>Per Unit_Implementation Cost_2026</v>
      </c>
      <c r="BZ1" t="str">
        <f t="shared" si="8"/>
        <v>Per Unit_Implementation Cost_2027</v>
      </c>
      <c r="CA1" t="str">
        <f t="shared" si="8"/>
        <v>Per Unit_Implementation Cost_2028</v>
      </c>
      <c r="CB1" t="str">
        <f t="shared" si="8"/>
        <v>Per Unit_Implementation Cost_2029</v>
      </c>
      <c r="CC1" t="str">
        <f t="shared" ref="CC1" si="9">CC3&amp;"_"&amp;CC4&amp;"_"&amp;CC5</f>
        <v>Per Unit_Implementation Cost_2030</v>
      </c>
      <c r="CD1" t="str">
        <f t="shared" ref="CD1:FC1" si="10">CD3&amp;"_"&amp;CD4&amp;"_"&amp;CD5</f>
        <v>Per Unit_kWh _2024</v>
      </c>
      <c r="CE1" t="str">
        <f t="shared" si="10"/>
        <v>Per Unit_kWh _2025</v>
      </c>
      <c r="CF1" t="str">
        <f t="shared" si="10"/>
        <v>Per Unit_kWh _2026</v>
      </c>
      <c r="CG1" t="str">
        <f t="shared" si="10"/>
        <v>Per Unit_kWh _2027</v>
      </c>
      <c r="CH1" t="str">
        <f t="shared" si="10"/>
        <v>Per Unit_kWh _2028</v>
      </c>
      <c r="CI1" t="str">
        <f t="shared" si="10"/>
        <v>Per Unit_kWh _2029</v>
      </c>
      <c r="CJ1" t="str">
        <f t="shared" ref="CJ1" si="11">CJ3&amp;"_"&amp;CJ4&amp;"_"&amp;CJ5</f>
        <v>Per Unit_kWh _2030</v>
      </c>
      <c r="CK1" t="str">
        <f t="shared" si="10"/>
        <v>Per Unit_kW_2024</v>
      </c>
      <c r="CL1" t="str">
        <f t="shared" si="10"/>
        <v>Per Unit_kW_2025</v>
      </c>
      <c r="CM1" t="str">
        <f t="shared" si="10"/>
        <v>Per Unit_kW_2026</v>
      </c>
      <c r="CN1" t="str">
        <f t="shared" si="10"/>
        <v>Per Unit_kW_2027</v>
      </c>
      <c r="CO1" t="str">
        <f t="shared" si="10"/>
        <v>Per Unit_kW_2028</v>
      </c>
      <c r="CP1" t="str">
        <f t="shared" si="10"/>
        <v>Per Unit_kW_2029</v>
      </c>
      <c r="CQ1" t="str">
        <f t="shared" ref="CQ1" si="12">CQ3&amp;"_"&amp;CQ4&amp;"_"&amp;CQ5</f>
        <v>Per Unit_kW_2030</v>
      </c>
      <c r="CR1" t="str">
        <f t="shared" si="10"/>
        <v>Per Unit_Therms_2024</v>
      </c>
      <c r="CS1" t="str">
        <f t="shared" si="10"/>
        <v>Per Unit_Therms_2025</v>
      </c>
      <c r="CT1" t="str">
        <f t="shared" si="10"/>
        <v>Per Unit_Therms_2026</v>
      </c>
      <c r="CU1" t="str">
        <f t="shared" si="10"/>
        <v>Per Unit_Therms_2027</v>
      </c>
      <c r="CV1" t="str">
        <f t="shared" si="10"/>
        <v>Per Unit_Therms_2028</v>
      </c>
      <c r="CW1" t="str">
        <f t="shared" si="10"/>
        <v>Per Unit_Therms_2029</v>
      </c>
      <c r="CX1" t="str">
        <f t="shared" ref="CX1" si="13">CX3&amp;"_"&amp;CX4&amp;"_"&amp;CX5</f>
        <v>Per Unit_Therms_2030</v>
      </c>
      <c r="CY1" t="str">
        <f t="shared" si="10"/>
        <v>Program_Incremental Costs_2024</v>
      </c>
      <c r="CZ1" t="str">
        <f t="shared" si="10"/>
        <v>Program_Incremental Costs_2025</v>
      </c>
      <c r="DA1" t="str">
        <f t="shared" si="10"/>
        <v>Program_Incremental Costs_2026</v>
      </c>
      <c r="DB1" t="str">
        <f t="shared" si="10"/>
        <v>Program_Incremental Costs_2027</v>
      </c>
      <c r="DC1" t="str">
        <f t="shared" si="10"/>
        <v>Program_Incremental Costs_2028</v>
      </c>
      <c r="DD1" t="str">
        <f t="shared" si="10"/>
        <v>Program_Incremental Costs_2029</v>
      </c>
      <c r="DE1" t="str">
        <f t="shared" ref="DE1" si="14">DE3&amp;"_"&amp;DE4&amp;"_"&amp;DE5</f>
        <v>Program_Incremental Costs_2030</v>
      </c>
      <c r="DF1" t="str">
        <f t="shared" si="10"/>
        <v>Program_Incremental Annual O&amp;M_2024</v>
      </c>
      <c r="DG1" t="str">
        <f t="shared" si="10"/>
        <v>Program_Incremental Annual O&amp;M_2025</v>
      </c>
      <c r="DH1" t="str">
        <f t="shared" si="10"/>
        <v>Program_Incremental Annual O&amp;M_2026</v>
      </c>
      <c r="DI1" t="str">
        <f t="shared" si="10"/>
        <v>Program_Incremental Annual O&amp;M_2027</v>
      </c>
      <c r="DJ1" t="str">
        <f t="shared" si="10"/>
        <v>Program_Incremental Annual O&amp;M_2028</v>
      </c>
      <c r="DK1" t="str">
        <f t="shared" si="10"/>
        <v>Program_Incremental Annual O&amp;M_2029</v>
      </c>
      <c r="DL1" t="str">
        <f t="shared" ref="DL1" si="15">DL3&amp;"_"&amp;DL4&amp;"_"&amp;DL5</f>
        <v>Program_Incremental Annual O&amp;M_2030</v>
      </c>
      <c r="DM1" t="str">
        <f t="shared" si="10"/>
        <v>Program_Customer &amp; Dealer Incentives_2024</v>
      </c>
      <c r="DN1" t="str">
        <f t="shared" si="10"/>
        <v>Program_Customer &amp; Dealer Incentives_2025</v>
      </c>
      <c r="DO1" t="str">
        <f t="shared" si="10"/>
        <v>Program_Customer &amp; Dealer Incentives_2026</v>
      </c>
      <c r="DP1" t="str">
        <f t="shared" si="10"/>
        <v>Program_Customer &amp; Dealer Incentives_2027</v>
      </c>
      <c r="DQ1" t="str">
        <f t="shared" si="10"/>
        <v>Program_Customer &amp; Dealer Incentives_2028</v>
      </c>
      <c r="DR1" t="str">
        <f t="shared" si="10"/>
        <v>Program_Customer &amp; Dealer Incentives_2029</v>
      </c>
      <c r="DS1" t="str">
        <f t="shared" ref="DS1" si="16">DS3&amp;"_"&amp;DS4&amp;"_"&amp;DS5</f>
        <v>Program_Customer &amp; Dealer Incentives_2030</v>
      </c>
      <c r="DT1" t="str">
        <f t="shared" si="10"/>
        <v>Program_Implementation Costs_2024</v>
      </c>
      <c r="DU1" t="str">
        <f t="shared" si="10"/>
        <v>Program_Implementation Costs_2025</v>
      </c>
      <c r="DV1" t="str">
        <f t="shared" si="10"/>
        <v>Program_Implementation Costs_2026</v>
      </c>
      <c r="DW1" t="str">
        <f t="shared" si="10"/>
        <v>Program_Implementation Costs_2027</v>
      </c>
      <c r="DX1" t="str">
        <f t="shared" si="10"/>
        <v>Program_Implementation Costs_2028</v>
      </c>
      <c r="DY1" t="str">
        <f t="shared" si="10"/>
        <v>Program_Implementation Costs_2029</v>
      </c>
      <c r="DZ1" t="str">
        <f t="shared" ref="DZ1" si="17">DZ3&amp;"_"&amp;DZ4&amp;"_"&amp;DZ5</f>
        <v>Program_Implementation Costs_2030</v>
      </c>
      <c r="EA1" t="str">
        <f t="shared" si="10"/>
        <v>Program_kWh _2024</v>
      </c>
      <c r="EB1" t="str">
        <f t="shared" si="10"/>
        <v>Program_kWh _2025</v>
      </c>
      <c r="EC1" t="str">
        <f t="shared" si="10"/>
        <v>Program_kWh _2026</v>
      </c>
      <c r="ED1" t="str">
        <f t="shared" si="10"/>
        <v>Program_kWh _2027</v>
      </c>
      <c r="EE1" t="str">
        <f t="shared" si="10"/>
        <v>Program_kWh _2028</v>
      </c>
      <c r="EF1" t="str">
        <f t="shared" si="10"/>
        <v>Program_kWh _2029</v>
      </c>
      <c r="EG1" t="str">
        <f t="shared" ref="EG1" si="18">EG3&amp;"_"&amp;EG4&amp;"_"&amp;EG5</f>
        <v>Program_kWh _2030</v>
      </c>
      <c r="EH1" t="str">
        <f t="shared" si="10"/>
        <v>Program_kW_2024</v>
      </c>
      <c r="EI1" t="str">
        <f t="shared" si="10"/>
        <v>Program_kW_2025</v>
      </c>
      <c r="EJ1" t="str">
        <f t="shared" si="10"/>
        <v>Program_kW_2026</v>
      </c>
      <c r="EK1" t="str">
        <f t="shared" si="10"/>
        <v>Program_kW_2027</v>
      </c>
      <c r="EL1" t="str">
        <f t="shared" si="10"/>
        <v>Program_kW_2028</v>
      </c>
      <c r="EM1" t="str">
        <f t="shared" si="10"/>
        <v>Program_kW_2029</v>
      </c>
      <c r="EN1" t="str">
        <f t="shared" ref="EN1" si="19">EN3&amp;"_"&amp;EN4&amp;"_"&amp;EN5</f>
        <v>Program_kW_2030</v>
      </c>
      <c r="EO1" t="str">
        <f t="shared" si="10"/>
        <v>Program_Therms_2024</v>
      </c>
      <c r="EP1" t="str">
        <f t="shared" si="10"/>
        <v>Program_Therms_2025</v>
      </c>
      <c r="EQ1" t="str">
        <f t="shared" si="10"/>
        <v>Program_Therms_2026</v>
      </c>
      <c r="ER1" t="str">
        <f t="shared" si="10"/>
        <v>Program_Therms_2027</v>
      </c>
      <c r="ES1" t="str">
        <f t="shared" si="10"/>
        <v>Program_Therms_2028</v>
      </c>
      <c r="ET1" t="str">
        <f t="shared" si="10"/>
        <v>Program_Therms_2029</v>
      </c>
      <c r="EU1" t="str">
        <f t="shared" ref="EU1" si="20">EU3&amp;"_"&amp;EU4&amp;"_"&amp;EU5</f>
        <v>Program_Therms_2030</v>
      </c>
      <c r="EV1" t="str">
        <f>EV3&amp;"_"&amp;EV4&amp;"_"&amp;EV5</f>
        <v>_Total Plan Summary 2024-2030_Participation</v>
      </c>
      <c r="EW1" t="str">
        <f>EW3&amp;"_"&amp;EW4&amp;"_"&amp;EW5</f>
        <v>__Incremental Costs ($)</v>
      </c>
      <c r="EX1" t="str">
        <f t="shared" si="10"/>
        <v>__Incremental Annual O&amp;M ($)</v>
      </c>
      <c r="EY1" t="str">
        <f t="shared" si="10"/>
        <v>__Customer &amp; Dealer Incentives ($)</v>
      </c>
      <c r="EZ1" t="str">
        <f t="shared" si="10"/>
        <v>__Implementation Costs ($)</v>
      </c>
      <c r="FA1" t="str">
        <f t="shared" si="10"/>
        <v>__Electric kWh  Benefits</v>
      </c>
      <c r="FB1" t="str">
        <f t="shared" si="10"/>
        <v>__Electric kW Peak Demand Benefits</v>
      </c>
      <c r="FC1" t="str">
        <f t="shared" si="10"/>
        <v>__Natural Gas Therms Benefits</v>
      </c>
    </row>
    <row r="2" spans="1:168" s="5" customFormat="1" ht="16" thickBot="1">
      <c r="A2" s="1" t="s">
        <v>61</v>
      </c>
      <c r="B2" s="4"/>
      <c r="C2" s="4"/>
      <c r="U2" s="6"/>
      <c r="V2" s="6"/>
      <c r="W2" s="6"/>
      <c r="X2" s="6"/>
      <c r="Y2" s="6"/>
      <c r="Z2" s="6"/>
      <c r="AA2" s="6"/>
      <c r="AB2" s="6"/>
      <c r="AC2" s="6"/>
      <c r="AD2" s="6"/>
      <c r="AE2" s="6"/>
      <c r="AF2" s="6"/>
      <c r="AG2" s="6"/>
      <c r="AH2" s="6"/>
      <c r="AI2" s="6"/>
      <c r="AJ2" s="6"/>
      <c r="AK2" s="6"/>
      <c r="AL2" s="6"/>
      <c r="AM2" s="6"/>
      <c r="AN2" s="7"/>
      <c r="AO2" s="7"/>
      <c r="AP2" s="7"/>
      <c r="AQ2" s="7"/>
      <c r="AR2" s="7"/>
      <c r="AS2" s="7"/>
      <c r="AT2" s="7"/>
      <c r="AU2" s="7"/>
      <c r="BB2" s="1380"/>
      <c r="BC2" s="1380"/>
      <c r="BD2" s="1380"/>
      <c r="BE2" s="1380"/>
      <c r="BF2" s="1380"/>
      <c r="BG2" s="1380"/>
      <c r="BH2" s="1380"/>
      <c r="BI2" s="1380"/>
      <c r="BJ2" s="1380"/>
      <c r="BK2" s="1380"/>
      <c r="BL2" s="1380"/>
      <c r="BM2" s="1380"/>
      <c r="BN2" s="1380"/>
      <c r="BO2" s="1380"/>
      <c r="BP2" s="1380"/>
      <c r="BQ2" s="1380"/>
      <c r="BR2" s="1380"/>
      <c r="BS2" s="1380"/>
      <c r="BT2" s="323"/>
      <c r="BU2" s="323"/>
      <c r="BV2" s="323"/>
      <c r="BW2" s="323"/>
      <c r="BX2" s="323"/>
      <c r="BY2" s="323"/>
      <c r="BZ2" s="323"/>
      <c r="CA2" s="323"/>
      <c r="CB2" s="323"/>
      <c r="CC2" s="323"/>
      <c r="CD2" s="1390"/>
      <c r="CE2" s="1390"/>
      <c r="CF2" s="1390"/>
      <c r="CG2" s="1390"/>
      <c r="CH2" s="1390"/>
      <c r="CI2" s="1390"/>
      <c r="CJ2" s="1403"/>
      <c r="CK2" s="1390"/>
      <c r="CL2" s="1390"/>
      <c r="CM2" s="1390"/>
      <c r="CN2" s="1390"/>
      <c r="CO2" s="1390"/>
      <c r="CP2" s="1390"/>
      <c r="CQ2" s="1403"/>
      <c r="CR2" s="1367"/>
      <c r="CS2" s="1367"/>
      <c r="CT2" s="1367"/>
      <c r="CU2" s="1367"/>
      <c r="CV2" s="335"/>
      <c r="CW2" s="335"/>
      <c r="CX2" s="335"/>
      <c r="CY2" s="1380"/>
      <c r="CZ2" s="1380"/>
      <c r="DA2" s="1380"/>
      <c r="DB2" s="1380"/>
      <c r="DC2" s="1380"/>
      <c r="DD2" s="1380"/>
      <c r="DE2" s="1380"/>
      <c r="DF2" s="1380"/>
      <c r="DG2" s="1380"/>
      <c r="DH2" s="1380"/>
      <c r="DI2" s="1380"/>
      <c r="DJ2" s="1380"/>
      <c r="DK2" s="1380"/>
      <c r="DL2" s="1380"/>
      <c r="DM2" s="1380"/>
      <c r="DN2" s="1380"/>
      <c r="DO2" s="1380"/>
      <c r="DP2" s="1380"/>
      <c r="DQ2" s="323"/>
      <c r="DR2" s="323"/>
      <c r="DS2" s="323"/>
      <c r="DT2" s="323"/>
      <c r="DU2" s="323"/>
      <c r="DV2" s="323"/>
      <c r="DW2" s="323"/>
      <c r="DX2" s="323"/>
      <c r="DY2" s="323"/>
      <c r="DZ2" s="323"/>
      <c r="EA2" s="1367"/>
      <c r="EB2" s="1367"/>
      <c r="EC2" s="1367"/>
      <c r="ED2" s="1367"/>
      <c r="EE2" s="334"/>
      <c r="EF2" s="334"/>
      <c r="EG2" s="334"/>
      <c r="EH2" s="1367"/>
      <c r="EI2" s="1367"/>
      <c r="EJ2" s="1367"/>
      <c r="EK2" s="1367"/>
      <c r="EL2" s="334"/>
      <c r="EM2" s="334"/>
      <c r="EN2" s="334"/>
      <c r="EO2" s="1404"/>
      <c r="EP2" s="1404"/>
      <c r="EQ2" s="1404"/>
      <c r="ER2" s="1404"/>
      <c r="ES2" s="1404"/>
      <c r="ET2" s="1404"/>
      <c r="EU2" s="1404"/>
    </row>
    <row r="3" spans="1:168">
      <c r="B3" s="8"/>
      <c r="C3" s="8"/>
      <c r="T3" s="2"/>
      <c r="W3" s="3">
        <v>1</v>
      </c>
      <c r="X3" s="3">
        <v>2</v>
      </c>
      <c r="Y3" s="3">
        <v>3</v>
      </c>
      <c r="Z3" s="3">
        <v>4</v>
      </c>
      <c r="AK3" s="3"/>
      <c r="AL3" s="3"/>
      <c r="AM3" s="3"/>
      <c r="AN3" s="9"/>
      <c r="AO3" s="9"/>
      <c r="AP3" s="9"/>
      <c r="AQ3" s="9"/>
      <c r="AR3" s="9"/>
      <c r="AS3" s="9"/>
      <c r="AT3" s="9"/>
      <c r="AU3" s="9"/>
      <c r="BB3" s="110" t="s">
        <v>331</v>
      </c>
      <c r="BC3" s="110" t="s">
        <v>331</v>
      </c>
      <c r="BD3" s="110" t="s">
        <v>331</v>
      </c>
      <c r="BE3" s="110" t="s">
        <v>331</v>
      </c>
      <c r="BF3" s="110" t="s">
        <v>331</v>
      </c>
      <c r="BG3" s="110" t="s">
        <v>331</v>
      </c>
      <c r="BH3" s="282" t="s">
        <v>331</v>
      </c>
      <c r="BI3" s="110" t="s">
        <v>331</v>
      </c>
      <c r="BJ3" s="110" t="s">
        <v>331</v>
      </c>
      <c r="BK3" s="110" t="s">
        <v>331</v>
      </c>
      <c r="BL3" s="110" t="s">
        <v>331</v>
      </c>
      <c r="BM3" s="110" t="s">
        <v>331</v>
      </c>
      <c r="BN3" s="110" t="s">
        <v>331</v>
      </c>
      <c r="BO3" s="282" t="s">
        <v>331</v>
      </c>
      <c r="BP3" s="110" t="s">
        <v>331</v>
      </c>
      <c r="BQ3" s="110" t="s">
        <v>331</v>
      </c>
      <c r="BR3" s="110" t="s">
        <v>331</v>
      </c>
      <c r="BS3" s="110" t="s">
        <v>331</v>
      </c>
      <c r="BT3" s="110" t="s">
        <v>331</v>
      </c>
      <c r="BU3" s="110" t="s">
        <v>331</v>
      </c>
      <c r="BV3" s="282" t="s">
        <v>331</v>
      </c>
      <c r="BW3" s="110" t="s">
        <v>331</v>
      </c>
      <c r="BX3" s="110" t="s">
        <v>331</v>
      </c>
      <c r="BY3" s="110" t="s">
        <v>331</v>
      </c>
      <c r="BZ3" s="110" t="s">
        <v>331</v>
      </c>
      <c r="CA3" s="110" t="s">
        <v>331</v>
      </c>
      <c r="CB3" s="110" t="s">
        <v>331</v>
      </c>
      <c r="CC3" s="111" t="s">
        <v>331</v>
      </c>
      <c r="CD3" s="113" t="s">
        <v>331</v>
      </c>
      <c r="CE3" s="113" t="s">
        <v>331</v>
      </c>
      <c r="CF3" s="113" t="s">
        <v>331</v>
      </c>
      <c r="CG3" s="113" t="s">
        <v>331</v>
      </c>
      <c r="CH3" s="113" t="s">
        <v>331</v>
      </c>
      <c r="CI3" s="113" t="s">
        <v>331</v>
      </c>
      <c r="CJ3" s="283" t="s">
        <v>331</v>
      </c>
      <c r="CK3" s="113" t="s">
        <v>331</v>
      </c>
      <c r="CL3" s="113" t="s">
        <v>331</v>
      </c>
      <c r="CM3" s="113" t="s">
        <v>331</v>
      </c>
      <c r="CN3" s="113" t="s">
        <v>331</v>
      </c>
      <c r="CO3" s="113" t="s">
        <v>331</v>
      </c>
      <c r="CP3" s="113" t="s">
        <v>331</v>
      </c>
      <c r="CQ3" s="283" t="s">
        <v>331</v>
      </c>
      <c r="CR3" s="113" t="s">
        <v>331</v>
      </c>
      <c r="CS3" s="113" t="s">
        <v>331</v>
      </c>
      <c r="CT3" s="113" t="s">
        <v>331</v>
      </c>
      <c r="CU3" s="113" t="s">
        <v>331</v>
      </c>
      <c r="CV3" s="113" t="s">
        <v>331</v>
      </c>
      <c r="CW3" s="113" t="s">
        <v>331</v>
      </c>
      <c r="CX3" s="283" t="s">
        <v>331</v>
      </c>
      <c r="CY3" s="110" t="s">
        <v>0</v>
      </c>
      <c r="CZ3" s="110" t="s">
        <v>0</v>
      </c>
      <c r="DA3" s="110" t="s">
        <v>0</v>
      </c>
      <c r="DB3" s="110" t="s">
        <v>0</v>
      </c>
      <c r="DC3" s="110" t="s">
        <v>0</v>
      </c>
      <c r="DD3" s="110" t="s">
        <v>0</v>
      </c>
      <c r="DE3" s="282" t="s">
        <v>0</v>
      </c>
      <c r="DF3" s="109" t="s">
        <v>0</v>
      </c>
      <c r="DG3" s="110" t="s">
        <v>0</v>
      </c>
      <c r="DH3" s="110" t="s">
        <v>0</v>
      </c>
      <c r="DI3" s="110" t="s">
        <v>0</v>
      </c>
      <c r="DJ3" s="110" t="s">
        <v>0</v>
      </c>
      <c r="DK3" s="110" t="s">
        <v>0</v>
      </c>
      <c r="DL3" s="111" t="s">
        <v>0</v>
      </c>
      <c r="DM3" s="109" t="s">
        <v>0</v>
      </c>
      <c r="DN3" s="288" t="s">
        <v>0</v>
      </c>
      <c r="DO3" s="110" t="s">
        <v>0</v>
      </c>
      <c r="DP3" s="110" t="s">
        <v>0</v>
      </c>
      <c r="DQ3" s="110" t="s">
        <v>0</v>
      </c>
      <c r="DR3" s="110" t="s">
        <v>0</v>
      </c>
      <c r="DS3" s="111" t="s">
        <v>0</v>
      </c>
      <c r="DT3" s="109" t="s">
        <v>0</v>
      </c>
      <c r="DU3" s="110" t="s">
        <v>0</v>
      </c>
      <c r="DV3" s="110" t="s">
        <v>0</v>
      </c>
      <c r="DW3" s="110" t="s">
        <v>0</v>
      </c>
      <c r="DX3" s="110" t="s">
        <v>0</v>
      </c>
      <c r="DY3" s="110" t="s">
        <v>0</v>
      </c>
      <c r="DZ3" s="111" t="s">
        <v>0</v>
      </c>
      <c r="EA3" s="115" t="s">
        <v>0</v>
      </c>
      <c r="EB3" s="116" t="s">
        <v>0</v>
      </c>
      <c r="EC3" s="116" t="s">
        <v>0</v>
      </c>
      <c r="ED3" s="116" t="s">
        <v>0</v>
      </c>
      <c r="EE3" s="116" t="s">
        <v>0</v>
      </c>
      <c r="EF3" s="116" t="s">
        <v>0</v>
      </c>
      <c r="EG3" s="117" t="s">
        <v>0</v>
      </c>
      <c r="EH3" s="115" t="s">
        <v>0</v>
      </c>
      <c r="EI3" s="116" t="s">
        <v>0</v>
      </c>
      <c r="EJ3" s="116" t="s">
        <v>0</v>
      </c>
      <c r="EK3" s="116" t="s">
        <v>0</v>
      </c>
      <c r="EL3" s="116" t="s">
        <v>0</v>
      </c>
      <c r="EM3" s="116" t="s">
        <v>0</v>
      </c>
      <c r="EN3" s="117" t="s">
        <v>0</v>
      </c>
      <c r="EO3" s="321" t="s">
        <v>0</v>
      </c>
      <c r="EP3" s="116" t="s">
        <v>0</v>
      </c>
      <c r="EQ3" s="116" t="s">
        <v>0</v>
      </c>
      <c r="ER3" s="116" t="s">
        <v>0</v>
      </c>
      <c r="ES3" s="116" t="s">
        <v>0</v>
      </c>
      <c r="ET3" s="116" t="s">
        <v>0</v>
      </c>
      <c r="EU3" s="117" t="s">
        <v>0</v>
      </c>
    </row>
    <row r="4" spans="1:168"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1375"/>
      <c r="AC4" s="1375"/>
      <c r="AD4" s="1375"/>
      <c r="AE4" s="1375"/>
      <c r="AF4" s="1375"/>
      <c r="AG4" s="1375"/>
      <c r="AH4" s="440"/>
      <c r="AI4" s="440"/>
      <c r="AJ4" s="440"/>
      <c r="AK4" s="1376" t="s">
        <v>335</v>
      </c>
      <c r="AL4" s="1377"/>
      <c r="AM4" s="1377"/>
      <c r="AN4" s="1377"/>
      <c r="AO4" s="1377"/>
      <c r="AP4" s="1377"/>
      <c r="AQ4" s="1377"/>
      <c r="AR4" s="1377"/>
      <c r="AS4" s="1377"/>
      <c r="AT4" s="1377"/>
      <c r="AU4" s="1377"/>
      <c r="AV4" s="1377"/>
      <c r="AW4" s="1377"/>
      <c r="AX4" s="1378"/>
      <c r="AY4" s="687" t="s">
        <v>336</v>
      </c>
      <c r="AZ4" s="1376" t="s">
        <v>337</v>
      </c>
      <c r="BA4" s="1377"/>
      <c r="BB4" s="476" t="s">
        <v>128</v>
      </c>
      <c r="BC4" s="476" t="s">
        <v>128</v>
      </c>
      <c r="BD4" s="476" t="s">
        <v>128</v>
      </c>
      <c r="BE4" s="476" t="s">
        <v>128</v>
      </c>
      <c r="BF4" s="476" t="s">
        <v>128</v>
      </c>
      <c r="BG4" s="476" t="s">
        <v>128</v>
      </c>
      <c r="BH4" s="502" t="s">
        <v>128</v>
      </c>
      <c r="BI4" s="476" t="s">
        <v>129</v>
      </c>
      <c r="BJ4" s="476" t="s">
        <v>129</v>
      </c>
      <c r="BK4" s="476" t="s">
        <v>129</v>
      </c>
      <c r="BL4" s="476" t="s">
        <v>129</v>
      </c>
      <c r="BM4" s="476" t="s">
        <v>129</v>
      </c>
      <c r="BN4" s="476" t="s">
        <v>129</v>
      </c>
      <c r="BO4" s="502" t="s">
        <v>129</v>
      </c>
      <c r="BP4" s="476" t="s">
        <v>130</v>
      </c>
      <c r="BQ4" s="476" t="s">
        <v>130</v>
      </c>
      <c r="BR4" s="476" t="s">
        <v>130</v>
      </c>
      <c r="BS4" s="476" t="s">
        <v>130</v>
      </c>
      <c r="BT4" s="476" t="s">
        <v>130</v>
      </c>
      <c r="BU4" s="476" t="s">
        <v>130</v>
      </c>
      <c r="BV4" s="502" t="s">
        <v>130</v>
      </c>
      <c r="BW4" s="476" t="s">
        <v>338</v>
      </c>
      <c r="BX4" s="476" t="s">
        <v>338</v>
      </c>
      <c r="BY4" s="476" t="s">
        <v>338</v>
      </c>
      <c r="BZ4" s="476" t="s">
        <v>338</v>
      </c>
      <c r="CA4" s="476" t="s">
        <v>338</v>
      </c>
      <c r="CB4" s="476" t="s">
        <v>338</v>
      </c>
      <c r="CC4" s="689" t="s">
        <v>338</v>
      </c>
      <c r="CD4" s="477" t="s">
        <v>131</v>
      </c>
      <c r="CE4" s="477" t="s">
        <v>131</v>
      </c>
      <c r="CF4" s="477" t="s">
        <v>131</v>
      </c>
      <c r="CG4" s="477" t="s">
        <v>131</v>
      </c>
      <c r="CH4" s="477" t="s">
        <v>131</v>
      </c>
      <c r="CI4" s="477" t="s">
        <v>131</v>
      </c>
      <c r="CJ4" s="512" t="s">
        <v>131</v>
      </c>
      <c r="CK4" s="477" t="s">
        <v>132</v>
      </c>
      <c r="CL4" s="477" t="s">
        <v>132</v>
      </c>
      <c r="CM4" s="477" t="s">
        <v>132</v>
      </c>
      <c r="CN4" s="477" t="s">
        <v>132</v>
      </c>
      <c r="CO4" s="477" t="s">
        <v>132</v>
      </c>
      <c r="CP4" s="477" t="s">
        <v>132</v>
      </c>
      <c r="CQ4" s="512" t="s">
        <v>132</v>
      </c>
      <c r="CR4" s="477" t="s">
        <v>133</v>
      </c>
      <c r="CS4" s="477" t="s">
        <v>133</v>
      </c>
      <c r="CT4" s="477" t="s">
        <v>133</v>
      </c>
      <c r="CU4" s="477" t="s">
        <v>133</v>
      </c>
      <c r="CV4" s="477" t="s">
        <v>133</v>
      </c>
      <c r="CW4" s="477" t="s">
        <v>133</v>
      </c>
      <c r="CX4" s="512" t="s">
        <v>133</v>
      </c>
      <c r="CY4" s="476" t="s">
        <v>128</v>
      </c>
      <c r="CZ4" s="476" t="s">
        <v>128</v>
      </c>
      <c r="DA4" s="476" t="s">
        <v>128</v>
      </c>
      <c r="DB4" s="476" t="s">
        <v>128</v>
      </c>
      <c r="DC4" s="476" t="s">
        <v>128</v>
      </c>
      <c r="DD4" s="476" t="s">
        <v>128</v>
      </c>
      <c r="DE4" s="502" t="s">
        <v>128</v>
      </c>
      <c r="DF4" s="688" t="s">
        <v>129</v>
      </c>
      <c r="DG4" s="476" t="s">
        <v>129</v>
      </c>
      <c r="DH4" s="476" t="s">
        <v>129</v>
      </c>
      <c r="DI4" s="476" t="s">
        <v>129</v>
      </c>
      <c r="DJ4" s="476" t="s">
        <v>129</v>
      </c>
      <c r="DK4" s="476" t="s">
        <v>129</v>
      </c>
      <c r="DL4" s="689" t="s">
        <v>129</v>
      </c>
      <c r="DM4" s="688" t="s">
        <v>130</v>
      </c>
      <c r="DN4" s="490" t="s">
        <v>130</v>
      </c>
      <c r="DO4" s="476" t="s">
        <v>130</v>
      </c>
      <c r="DP4" s="476" t="s">
        <v>130</v>
      </c>
      <c r="DQ4" s="476" t="s">
        <v>130</v>
      </c>
      <c r="DR4" s="476" t="s">
        <v>130</v>
      </c>
      <c r="DS4" s="689" t="s">
        <v>130</v>
      </c>
      <c r="DT4" s="688" t="s">
        <v>165</v>
      </c>
      <c r="DU4" s="476" t="s">
        <v>165</v>
      </c>
      <c r="DV4" s="476" t="s">
        <v>165</v>
      </c>
      <c r="DW4" s="476" t="s">
        <v>165</v>
      </c>
      <c r="DX4" s="476" t="s">
        <v>165</v>
      </c>
      <c r="DY4" s="476" t="s">
        <v>165</v>
      </c>
      <c r="DZ4" s="689" t="s">
        <v>165</v>
      </c>
      <c r="EA4" s="690" t="s">
        <v>131</v>
      </c>
      <c r="EB4" s="477" t="s">
        <v>131</v>
      </c>
      <c r="EC4" s="477" t="s">
        <v>131</v>
      </c>
      <c r="ED4" s="477" t="s">
        <v>131</v>
      </c>
      <c r="EE4" s="477" t="s">
        <v>131</v>
      </c>
      <c r="EF4" s="477" t="s">
        <v>131</v>
      </c>
      <c r="EG4" s="691" t="s">
        <v>131</v>
      </c>
      <c r="EH4" s="690" t="s">
        <v>132</v>
      </c>
      <c r="EI4" s="477" t="s">
        <v>132</v>
      </c>
      <c r="EJ4" s="477" t="s">
        <v>132</v>
      </c>
      <c r="EK4" s="477" t="s">
        <v>132</v>
      </c>
      <c r="EL4" s="477" t="s">
        <v>132</v>
      </c>
      <c r="EM4" s="477" t="s">
        <v>132</v>
      </c>
      <c r="EN4" s="691" t="s">
        <v>132</v>
      </c>
      <c r="EO4" s="505" t="s">
        <v>133</v>
      </c>
      <c r="EP4" s="477" t="s">
        <v>133</v>
      </c>
      <c r="EQ4" s="477" t="s">
        <v>133</v>
      </c>
      <c r="ER4" s="477" t="s">
        <v>133</v>
      </c>
      <c r="ES4" s="477" t="s">
        <v>133</v>
      </c>
      <c r="ET4" s="477" t="s">
        <v>133</v>
      </c>
      <c r="EU4" s="691" t="s">
        <v>133</v>
      </c>
      <c r="EV4" s="1345" t="s">
        <v>134</v>
      </c>
      <c r="EW4" s="1342"/>
      <c r="EX4" s="1342"/>
      <c r="EY4" s="1342"/>
      <c r="EZ4" s="1342"/>
      <c r="FA4" s="1342"/>
      <c r="FB4" s="1342"/>
      <c r="FC4" s="1342"/>
    </row>
    <row r="5" spans="1:168"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4">
        <v>2017</v>
      </c>
      <c r="X5" s="694">
        <v>2018</v>
      </c>
      <c r="Y5" s="694">
        <v>2019</v>
      </c>
      <c r="Z5" s="694">
        <v>2020</v>
      </c>
      <c r="AA5" s="694" t="s">
        <v>356</v>
      </c>
      <c r="AB5" s="694" t="s">
        <v>357</v>
      </c>
      <c r="AC5" s="695" t="s">
        <v>390</v>
      </c>
      <c r="AD5" s="695" t="s">
        <v>15</v>
      </c>
      <c r="AE5" s="695" t="s">
        <v>16</v>
      </c>
      <c r="AF5" s="695" t="s">
        <v>17</v>
      </c>
      <c r="AG5" s="695" t="s">
        <v>18</v>
      </c>
      <c r="AH5" s="695" t="s">
        <v>19</v>
      </c>
      <c r="AI5" s="695" t="s">
        <v>20</v>
      </c>
      <c r="AJ5" s="696" t="s">
        <v>21</v>
      </c>
      <c r="AK5" s="697" t="s">
        <v>359</v>
      </c>
      <c r="AL5" s="697" t="s">
        <v>166</v>
      </c>
      <c r="AM5" s="697" t="s">
        <v>360</v>
      </c>
      <c r="AN5" s="697" t="s">
        <v>361</v>
      </c>
      <c r="AO5" s="697" t="s">
        <v>362</v>
      </c>
      <c r="AP5" s="697" t="s">
        <v>363</v>
      </c>
      <c r="AQ5" s="697" t="s">
        <v>364</v>
      </c>
      <c r="AR5" s="697" t="s">
        <v>365</v>
      </c>
      <c r="AS5" s="698" t="s">
        <v>167</v>
      </c>
      <c r="AT5" s="698" t="s">
        <v>168</v>
      </c>
      <c r="AU5" s="698" t="s">
        <v>169</v>
      </c>
      <c r="AV5" s="697" t="s">
        <v>170</v>
      </c>
      <c r="AW5" s="697" t="s">
        <v>366</v>
      </c>
      <c r="AX5" s="699" t="s">
        <v>367</v>
      </c>
      <c r="AY5" s="699" t="s">
        <v>368</v>
      </c>
      <c r="AZ5" s="699" t="s">
        <v>369</v>
      </c>
      <c r="BA5" s="699" t="s">
        <v>370</v>
      </c>
      <c r="BB5" s="486">
        <v>2024</v>
      </c>
      <c r="BC5" s="486">
        <v>2025</v>
      </c>
      <c r="BD5" s="486">
        <v>2026</v>
      </c>
      <c r="BE5" s="486">
        <v>2027</v>
      </c>
      <c r="BF5" s="486">
        <v>2028</v>
      </c>
      <c r="BG5" s="486">
        <v>2029</v>
      </c>
      <c r="BH5" s="702">
        <v>2030</v>
      </c>
      <c r="BI5" s="486">
        <v>2024</v>
      </c>
      <c r="BJ5" s="486">
        <v>2025</v>
      </c>
      <c r="BK5" s="486">
        <v>2026</v>
      </c>
      <c r="BL5" s="486">
        <v>2027</v>
      </c>
      <c r="BM5" s="486">
        <v>2028</v>
      </c>
      <c r="BN5" s="486">
        <v>2029</v>
      </c>
      <c r="BO5" s="702">
        <v>2030</v>
      </c>
      <c r="BP5" s="486">
        <v>2024</v>
      </c>
      <c r="BQ5" s="486">
        <v>2025</v>
      </c>
      <c r="BR5" s="486">
        <v>2026</v>
      </c>
      <c r="BS5" s="486">
        <v>2027</v>
      </c>
      <c r="BT5" s="486">
        <v>2028</v>
      </c>
      <c r="BU5" s="486">
        <v>2029</v>
      </c>
      <c r="BV5" s="702">
        <v>2030</v>
      </c>
      <c r="BW5" s="486">
        <v>2024</v>
      </c>
      <c r="BX5" s="486">
        <v>2025</v>
      </c>
      <c r="BY5" s="486">
        <v>2026</v>
      </c>
      <c r="BZ5" s="486">
        <v>2027</v>
      </c>
      <c r="CA5" s="486">
        <v>2028</v>
      </c>
      <c r="CB5" s="486">
        <v>2029</v>
      </c>
      <c r="CC5" s="701">
        <v>2030</v>
      </c>
      <c r="CD5" s="486">
        <v>2024</v>
      </c>
      <c r="CE5" s="486">
        <v>2025</v>
      </c>
      <c r="CF5" s="486">
        <v>2026</v>
      </c>
      <c r="CG5" s="486">
        <v>2027</v>
      </c>
      <c r="CH5" s="486">
        <v>2028</v>
      </c>
      <c r="CI5" s="486">
        <v>2029</v>
      </c>
      <c r="CJ5" s="702">
        <v>2030</v>
      </c>
      <c r="CK5" s="486">
        <v>2024</v>
      </c>
      <c r="CL5" s="486">
        <v>2025</v>
      </c>
      <c r="CM5" s="486">
        <v>2026</v>
      </c>
      <c r="CN5" s="486">
        <v>2027</v>
      </c>
      <c r="CO5" s="486">
        <v>2028</v>
      </c>
      <c r="CP5" s="486">
        <v>2029</v>
      </c>
      <c r="CQ5" s="702">
        <v>2030</v>
      </c>
      <c r="CR5" s="486">
        <v>2024</v>
      </c>
      <c r="CS5" s="486">
        <v>2025</v>
      </c>
      <c r="CT5" s="486">
        <v>2026</v>
      </c>
      <c r="CU5" s="486">
        <v>2027</v>
      </c>
      <c r="CV5" s="486">
        <v>2028</v>
      </c>
      <c r="CW5" s="486">
        <v>2029</v>
      </c>
      <c r="CX5" s="702">
        <v>2030</v>
      </c>
      <c r="CY5" s="486">
        <v>2024</v>
      </c>
      <c r="CZ5" s="486">
        <v>2025</v>
      </c>
      <c r="DA5" s="486">
        <v>2026</v>
      </c>
      <c r="DB5" s="486">
        <v>2027</v>
      </c>
      <c r="DC5" s="486">
        <v>2028</v>
      </c>
      <c r="DD5" s="486">
        <v>2029</v>
      </c>
      <c r="DE5" s="702">
        <v>2030</v>
      </c>
      <c r="DF5" s="700">
        <v>2024</v>
      </c>
      <c r="DG5" s="486">
        <v>2025</v>
      </c>
      <c r="DH5" s="486">
        <v>2026</v>
      </c>
      <c r="DI5" s="486">
        <v>2027</v>
      </c>
      <c r="DJ5" s="486">
        <v>2028</v>
      </c>
      <c r="DK5" s="486">
        <v>2029</v>
      </c>
      <c r="DL5" s="701">
        <v>2030</v>
      </c>
      <c r="DM5" s="700">
        <v>2024</v>
      </c>
      <c r="DN5" s="485">
        <v>2025</v>
      </c>
      <c r="DO5" s="486">
        <v>2026</v>
      </c>
      <c r="DP5" s="486">
        <v>2027</v>
      </c>
      <c r="DQ5" s="486">
        <v>2028</v>
      </c>
      <c r="DR5" s="486">
        <v>2029</v>
      </c>
      <c r="DS5" s="701">
        <v>2030</v>
      </c>
      <c r="DT5" s="700">
        <v>2024</v>
      </c>
      <c r="DU5" s="486">
        <v>2025</v>
      </c>
      <c r="DV5" s="486">
        <v>2026</v>
      </c>
      <c r="DW5" s="486">
        <v>2027</v>
      </c>
      <c r="DX5" s="486">
        <v>2028</v>
      </c>
      <c r="DY5" s="486">
        <v>2029</v>
      </c>
      <c r="DZ5" s="701">
        <v>2030</v>
      </c>
      <c r="EA5" s="700">
        <v>2024</v>
      </c>
      <c r="EB5" s="486">
        <v>2025</v>
      </c>
      <c r="EC5" s="486">
        <v>2026</v>
      </c>
      <c r="ED5" s="486">
        <v>2027</v>
      </c>
      <c r="EE5" s="486">
        <v>2028</v>
      </c>
      <c r="EF5" s="486">
        <v>2029</v>
      </c>
      <c r="EG5" s="701">
        <v>2030</v>
      </c>
      <c r="EH5" s="700">
        <v>2024</v>
      </c>
      <c r="EI5" s="486">
        <v>2025</v>
      </c>
      <c r="EJ5" s="486">
        <v>2026</v>
      </c>
      <c r="EK5" s="486">
        <v>2027</v>
      </c>
      <c r="EL5" s="486">
        <v>2028</v>
      </c>
      <c r="EM5" s="486">
        <v>2029</v>
      </c>
      <c r="EN5" s="701">
        <v>2030</v>
      </c>
      <c r="EO5" s="485">
        <v>2024</v>
      </c>
      <c r="EP5" s="486">
        <v>2025</v>
      </c>
      <c r="EQ5" s="486">
        <v>2026</v>
      </c>
      <c r="ER5" s="486">
        <v>2027</v>
      </c>
      <c r="ES5" s="486">
        <v>2028</v>
      </c>
      <c r="ET5" s="486">
        <v>2029</v>
      </c>
      <c r="EU5" s="701">
        <v>2030</v>
      </c>
      <c r="EV5" s="514" t="s">
        <v>9</v>
      </c>
      <c r="EW5" s="659" t="s">
        <v>139</v>
      </c>
      <c r="EX5" s="659" t="s">
        <v>140</v>
      </c>
      <c r="EY5" s="659" t="s">
        <v>141</v>
      </c>
      <c r="EZ5" s="659" t="s">
        <v>142</v>
      </c>
      <c r="FA5" s="659" t="s">
        <v>12</v>
      </c>
      <c r="FB5" s="659" t="s">
        <v>13</v>
      </c>
      <c r="FC5" s="659" t="s">
        <v>14</v>
      </c>
    </row>
    <row r="6" spans="1:168" s="10" customFormat="1" ht="12.75" customHeight="1">
      <c r="A6" s="662">
        <v>1</v>
      </c>
      <c r="B6" s="703" t="s">
        <v>912</v>
      </c>
      <c r="C6" s="703" t="s">
        <v>913</v>
      </c>
      <c r="D6" s="703" t="s">
        <v>393</v>
      </c>
      <c r="E6" s="703" t="s">
        <v>394</v>
      </c>
      <c r="F6" s="704" t="s">
        <v>914</v>
      </c>
      <c r="G6" s="704">
        <v>0</v>
      </c>
      <c r="H6" s="704">
        <v>0</v>
      </c>
      <c r="I6" s="706">
        <f>G6+H6</f>
        <v>0</v>
      </c>
      <c r="J6" s="704">
        <v>0</v>
      </c>
      <c r="K6" s="704" t="s">
        <v>378</v>
      </c>
      <c r="L6" s="711" t="s">
        <v>915</v>
      </c>
      <c r="M6" s="707">
        <v>0</v>
      </c>
      <c r="N6" s="707">
        <v>0</v>
      </c>
      <c r="O6" s="707">
        <v>0</v>
      </c>
      <c r="P6" s="934">
        <v>0</v>
      </c>
      <c r="Q6" s="935">
        <v>0</v>
      </c>
      <c r="R6" s="935">
        <v>0</v>
      </c>
      <c r="S6" s="936">
        <v>0</v>
      </c>
      <c r="T6" s="711" t="s">
        <v>916</v>
      </c>
      <c r="U6" s="712">
        <v>0.05</v>
      </c>
      <c r="V6" s="713">
        <v>1</v>
      </c>
      <c r="W6" s="661">
        <f>W21+W36</f>
        <v>1487</v>
      </c>
      <c r="X6" s="661">
        <f>X21+X36</f>
        <v>577</v>
      </c>
      <c r="Y6" s="661">
        <v>0</v>
      </c>
      <c r="Z6" s="661">
        <v>0</v>
      </c>
      <c r="AA6" s="661">
        <v>0</v>
      </c>
      <c r="AB6" s="661">
        <v>0</v>
      </c>
      <c r="AC6" s="661">
        <v>0</v>
      </c>
      <c r="AD6" s="661">
        <v>0</v>
      </c>
      <c r="AE6" s="661">
        <v>1250</v>
      </c>
      <c r="AF6" s="714">
        <f>(AE6+($U6*AE6))</f>
        <v>1312.5</v>
      </c>
      <c r="AG6" s="714">
        <f t="shared" ref="AG6" si="21">(AF6+($U6*AF6))</f>
        <v>1378.125</v>
      </c>
      <c r="AH6" s="714">
        <f t="shared" ref="AH6" si="22">(AG6+($U6*AG6))</f>
        <v>1447.03125</v>
      </c>
      <c r="AI6" s="714">
        <f>AH6</f>
        <v>1447.03125</v>
      </c>
      <c r="AJ6" s="714">
        <f>AI6</f>
        <v>1447.03125</v>
      </c>
      <c r="AK6" s="715" t="s">
        <v>374</v>
      </c>
      <c r="AL6" s="711" t="s">
        <v>375</v>
      </c>
      <c r="AM6" s="711" t="s">
        <v>377</v>
      </c>
      <c r="AN6" s="711" t="s">
        <v>377</v>
      </c>
      <c r="AO6" s="711" t="s">
        <v>1</v>
      </c>
      <c r="AP6" s="711" t="s">
        <v>378</v>
      </c>
      <c r="AQ6" s="711" t="s">
        <v>378</v>
      </c>
      <c r="AR6" s="711" t="s">
        <v>378</v>
      </c>
      <c r="AS6" s="715" t="s">
        <v>379</v>
      </c>
      <c r="AT6" s="715" t="s">
        <v>380</v>
      </c>
      <c r="AU6" s="715" t="s">
        <v>381</v>
      </c>
      <c r="AV6" s="661">
        <v>1</v>
      </c>
      <c r="AW6" s="661">
        <v>1</v>
      </c>
      <c r="AX6" s="711" t="s">
        <v>917</v>
      </c>
      <c r="AY6" s="716">
        <v>1</v>
      </c>
      <c r="AZ6" s="716">
        <v>1</v>
      </c>
      <c r="BA6" s="717">
        <v>1</v>
      </c>
      <c r="BB6" s="721">
        <f t="shared" ref="BB6:BB19" si="23">I6</f>
        <v>0</v>
      </c>
      <c r="BC6" s="499">
        <f>BB6</f>
        <v>0</v>
      </c>
      <c r="BD6" s="499">
        <f t="shared" ref="BD6:BH6" si="24">BC6</f>
        <v>0</v>
      </c>
      <c r="BE6" s="499">
        <f t="shared" si="24"/>
        <v>0</v>
      </c>
      <c r="BF6" s="499">
        <f t="shared" si="24"/>
        <v>0</v>
      </c>
      <c r="BG6" s="499">
        <f t="shared" si="24"/>
        <v>0</v>
      </c>
      <c r="BH6" s="499">
        <f t="shared" si="24"/>
        <v>0</v>
      </c>
      <c r="BI6" s="721">
        <f t="shared" ref="BI6:BI19" si="25">J6</f>
        <v>0</v>
      </c>
      <c r="BJ6" s="499">
        <f>BI6</f>
        <v>0</v>
      </c>
      <c r="BK6" s="499">
        <f t="shared" ref="BK6:BO6" si="26">BJ6</f>
        <v>0</v>
      </c>
      <c r="BL6" s="499">
        <f t="shared" si="26"/>
        <v>0</v>
      </c>
      <c r="BM6" s="499">
        <f t="shared" si="26"/>
        <v>0</v>
      </c>
      <c r="BN6" s="499">
        <f t="shared" si="26"/>
        <v>0</v>
      </c>
      <c r="BO6" s="499">
        <f t="shared" si="26"/>
        <v>0</v>
      </c>
      <c r="BP6" s="721">
        <f t="shared" ref="BP6:BP19" si="27">N6+O6</f>
        <v>0</v>
      </c>
      <c r="BQ6" s="499">
        <f>BP6</f>
        <v>0</v>
      </c>
      <c r="BR6" s="499">
        <f t="shared" ref="BR6:BV6" si="28">BQ6</f>
        <v>0</v>
      </c>
      <c r="BS6" s="499">
        <f t="shared" si="28"/>
        <v>0</v>
      </c>
      <c r="BT6" s="499">
        <f t="shared" si="28"/>
        <v>0</v>
      </c>
      <c r="BU6" s="499">
        <f t="shared" si="28"/>
        <v>0</v>
      </c>
      <c r="BV6" s="499">
        <f t="shared" si="28"/>
        <v>0</v>
      </c>
      <c r="BW6" s="503">
        <f t="shared" ref="BW6:BW19" si="29">$P6</f>
        <v>0</v>
      </c>
      <c r="BX6" s="503">
        <f t="shared" ref="BX6:BX19" si="30">$P6</f>
        <v>0</v>
      </c>
      <c r="BY6" s="503">
        <f t="shared" ref="BY6:CC19" si="31">$P6</f>
        <v>0</v>
      </c>
      <c r="BZ6" s="503">
        <f t="shared" si="31"/>
        <v>0</v>
      </c>
      <c r="CA6" s="503">
        <f t="shared" si="31"/>
        <v>0</v>
      </c>
      <c r="CB6" s="503">
        <f t="shared" si="31"/>
        <v>0</v>
      </c>
      <c r="CC6" s="776">
        <f t="shared" si="31"/>
        <v>0</v>
      </c>
      <c r="CD6" s="507">
        <f t="shared" ref="CD6:CD19" si="32">Q6*AZ6</f>
        <v>0</v>
      </c>
      <c r="CE6" s="511">
        <f>CD6</f>
        <v>0</v>
      </c>
      <c r="CF6" s="511">
        <f t="shared" ref="CF6:CJ6" si="33">CE6</f>
        <v>0</v>
      </c>
      <c r="CG6" s="511">
        <f t="shared" si="33"/>
        <v>0</v>
      </c>
      <c r="CH6" s="511">
        <f t="shared" si="33"/>
        <v>0</v>
      </c>
      <c r="CI6" s="511">
        <f t="shared" si="33"/>
        <v>0</v>
      </c>
      <c r="CJ6" s="511">
        <f t="shared" si="33"/>
        <v>0</v>
      </c>
      <c r="CK6" s="722">
        <f t="shared" ref="CK6:CK19" si="34">R6*AZ6</f>
        <v>0</v>
      </c>
      <c r="CL6" s="511">
        <f>CK6</f>
        <v>0</v>
      </c>
      <c r="CM6" s="511">
        <f t="shared" ref="CM6:CQ6" si="35">CL6</f>
        <v>0</v>
      </c>
      <c r="CN6" s="511">
        <f t="shared" si="35"/>
        <v>0</v>
      </c>
      <c r="CO6" s="511">
        <f t="shared" si="35"/>
        <v>0</v>
      </c>
      <c r="CP6" s="511">
        <f t="shared" si="35"/>
        <v>0</v>
      </c>
      <c r="CQ6" s="511">
        <f t="shared" si="35"/>
        <v>0</v>
      </c>
      <c r="CR6" s="722">
        <f t="shared" ref="CR6:CR19" si="36">S6*BA6</f>
        <v>0</v>
      </c>
      <c r="CS6" s="511">
        <f>CR6</f>
        <v>0</v>
      </c>
      <c r="CT6" s="511">
        <f t="shared" ref="CT6:CX6" si="37">CS6</f>
        <v>0</v>
      </c>
      <c r="CU6" s="511">
        <f t="shared" si="37"/>
        <v>0</v>
      </c>
      <c r="CV6" s="511">
        <f t="shared" si="37"/>
        <v>0</v>
      </c>
      <c r="CW6" s="511">
        <f t="shared" si="37"/>
        <v>0</v>
      </c>
      <c r="CX6" s="511">
        <f t="shared" si="37"/>
        <v>0</v>
      </c>
      <c r="CY6" s="724">
        <f t="shared" ref="CY6:CY19" si="38">AC6*BB6</f>
        <v>0</v>
      </c>
      <c r="CZ6" s="508">
        <f t="shared" ref="CZ6:CZ19" si="39">AE6*BC6</f>
        <v>0</v>
      </c>
      <c r="DA6" s="508">
        <f t="shared" ref="DA6:DA19" si="40">AF6*BD6</f>
        <v>0</v>
      </c>
      <c r="DB6" s="508">
        <f t="shared" ref="DB6:DB19" si="41">AG6*BE6</f>
        <v>0</v>
      </c>
      <c r="DC6" s="508">
        <f t="shared" ref="DC6:DC19" si="42">AH6*BF6</f>
        <v>0</v>
      </c>
      <c r="DD6" s="508">
        <f t="shared" ref="DD6:DD19" si="43">AI6*BG6</f>
        <v>0</v>
      </c>
      <c r="DE6" s="726">
        <f t="shared" ref="DE6:DE19" si="44">AJ6*BH6</f>
        <v>0</v>
      </c>
      <c r="DF6" s="724">
        <f>AD6*BI6</f>
        <v>0</v>
      </c>
      <c r="DG6" s="508">
        <f t="shared" ref="DG6:DG19" si="45">AE6*BJ6</f>
        <v>0</v>
      </c>
      <c r="DH6" s="508">
        <f t="shared" ref="DH6:DH19" si="46">AF6*BK6</f>
        <v>0</v>
      </c>
      <c r="DI6" s="508">
        <f t="shared" ref="DI6:DI19" si="47">AG6*BL6</f>
        <v>0</v>
      </c>
      <c r="DJ6" s="508">
        <f t="shared" ref="DJ6:DJ19" si="48">AH6*BM6</f>
        <v>0</v>
      </c>
      <c r="DK6" s="508">
        <f t="shared" ref="DK6:DK19" si="49">AI6*BN6</f>
        <v>0</v>
      </c>
      <c r="DL6" s="725">
        <f t="shared" ref="DL6:DL19" si="50">AJ6*BO6</f>
        <v>0</v>
      </c>
      <c r="DM6" s="724">
        <f>AD6*BP6</f>
        <v>0</v>
      </c>
      <c r="DN6" s="509">
        <f t="shared" ref="DN6:DN19" si="51">AE6*BQ6</f>
        <v>0</v>
      </c>
      <c r="DO6" s="508">
        <f t="shared" ref="DO6:DO19" si="52">AF6*BR6</f>
        <v>0</v>
      </c>
      <c r="DP6" s="508">
        <f t="shared" ref="DP6:DP19" si="53">AG6*BS6</f>
        <v>0</v>
      </c>
      <c r="DQ6" s="508">
        <f t="shared" ref="DQ6:DQ19" si="54">AH6*BT6</f>
        <v>0</v>
      </c>
      <c r="DR6" s="508">
        <f t="shared" ref="DR6:DR19" si="55">AI6*BU6</f>
        <v>0</v>
      </c>
      <c r="DS6" s="725">
        <f t="shared" ref="DS6:DS19" si="56">AJ6*BV6</f>
        <v>0</v>
      </c>
      <c r="DT6" s="724">
        <f t="shared" ref="DT6:DT19" si="57">BW6*AD6</f>
        <v>0</v>
      </c>
      <c r="DU6" s="508">
        <f t="shared" ref="DU6:DU19" si="58">BX6*AE6</f>
        <v>0</v>
      </c>
      <c r="DV6" s="508">
        <f t="shared" ref="DV6:DV19" si="59">BY6*AF6</f>
        <v>0</v>
      </c>
      <c r="DW6" s="508">
        <f t="shared" ref="DW6:DW19" si="60">BZ6*AG6</f>
        <v>0</v>
      </c>
      <c r="DX6" s="508">
        <f t="shared" ref="DX6:DX19" si="61">CA6*AH6</f>
        <v>0</v>
      </c>
      <c r="DY6" s="508">
        <f t="shared" ref="DY6:DY19" si="62">CB6*AI6</f>
        <v>0</v>
      </c>
      <c r="DZ6" s="725">
        <f t="shared" ref="DZ6:DZ19" si="63">CC6*AJ6</f>
        <v>0</v>
      </c>
      <c r="EA6" s="722">
        <f t="shared" ref="EA6:EG6" si="64">AD6*CD6</f>
        <v>0</v>
      </c>
      <c r="EB6" s="511">
        <f t="shared" si="64"/>
        <v>0</v>
      </c>
      <c r="EC6" s="511">
        <f t="shared" si="64"/>
        <v>0</v>
      </c>
      <c r="ED6" s="511">
        <f t="shared" si="64"/>
        <v>0</v>
      </c>
      <c r="EE6" s="511">
        <f t="shared" si="64"/>
        <v>0</v>
      </c>
      <c r="EF6" s="511">
        <f t="shared" si="64"/>
        <v>0</v>
      </c>
      <c r="EG6" s="723">
        <f t="shared" si="64"/>
        <v>0</v>
      </c>
      <c r="EH6" s="722">
        <f t="shared" ref="EH6:EH49" si="65">AD6*CK6</f>
        <v>0</v>
      </c>
      <c r="EI6" s="511">
        <f t="shared" ref="EI6:EI19" si="66">AE6*CL6</f>
        <v>0</v>
      </c>
      <c r="EJ6" s="511">
        <f t="shared" ref="EJ6:EJ19" si="67">AF6*CM6</f>
        <v>0</v>
      </c>
      <c r="EK6" s="511">
        <f t="shared" ref="EK6:EK19" si="68">AG6*CN6</f>
        <v>0</v>
      </c>
      <c r="EL6" s="511">
        <f t="shared" ref="EL6:EL19" si="69">AH6*CO6</f>
        <v>0</v>
      </c>
      <c r="EM6" s="511">
        <f t="shared" ref="EM6:EM19" si="70">AI6*CP6</f>
        <v>0</v>
      </c>
      <c r="EN6" s="723">
        <f t="shared" ref="EN6:EN19" si="71">AJ6*CQ6</f>
        <v>0</v>
      </c>
      <c r="EO6" s="507">
        <f t="shared" ref="EO6:EO19" si="72">AD6*CR6</f>
        <v>0</v>
      </c>
      <c r="EP6" s="511">
        <f t="shared" ref="EP6:EP19" si="73">AE6*CS6</f>
        <v>0</v>
      </c>
      <c r="EQ6" s="511">
        <f t="shared" ref="EQ6:EQ19" si="74">AF6*CT6</f>
        <v>0</v>
      </c>
      <c r="ER6" s="511">
        <f t="shared" ref="ER6:ER19" si="75">AG6*CU6</f>
        <v>0</v>
      </c>
      <c r="ES6" s="511">
        <f t="shared" ref="ES6:ES19" si="76">AH6*CV6</f>
        <v>0</v>
      </c>
      <c r="ET6" s="511">
        <f t="shared" ref="ET6:ET19" si="77">AI6*CW6</f>
        <v>0</v>
      </c>
      <c r="EU6" s="723">
        <f t="shared" ref="EU6:EU19" si="78">AJ6*CX6</f>
        <v>0</v>
      </c>
      <c r="EV6" s="727">
        <f>SUM(AD6:AJ6)</f>
        <v>8281.71875</v>
      </c>
      <c r="EW6" s="728">
        <f>SUM(CY6:DE6)</f>
        <v>0</v>
      </c>
      <c r="EX6" s="728">
        <f>SUM(DF6:DL6)</f>
        <v>0</v>
      </c>
      <c r="EY6" s="728">
        <f>SUM(DM6:DS6)</f>
        <v>0</v>
      </c>
      <c r="EZ6" s="728">
        <f>SUM(DT6:DZ6)</f>
        <v>0</v>
      </c>
      <c r="FA6" s="777">
        <f>SUM(EA6:EG6)</f>
        <v>0</v>
      </c>
      <c r="FB6" s="777">
        <f>SUM(EH6:EN6)</f>
        <v>0</v>
      </c>
      <c r="FC6" s="778">
        <f>SUM(EO6:EU6)</f>
        <v>0</v>
      </c>
      <c r="FE6" s="10" t="b">
        <f t="shared" ref="FE6:FL7" si="79">EV6=SUM(EV21,EV36)</f>
        <v>1</v>
      </c>
      <c r="FF6" s="10" t="b">
        <f t="shared" si="79"/>
        <v>1</v>
      </c>
      <c r="FG6" s="10" t="b">
        <f t="shared" si="79"/>
        <v>1</v>
      </c>
      <c r="FH6" s="10" t="b">
        <f t="shared" si="79"/>
        <v>1</v>
      </c>
      <c r="FI6" s="10" t="b">
        <f t="shared" si="79"/>
        <v>1</v>
      </c>
      <c r="FJ6" s="10" t="b">
        <f t="shared" si="79"/>
        <v>1</v>
      </c>
      <c r="FK6" s="10" t="b">
        <f t="shared" si="79"/>
        <v>1</v>
      </c>
      <c r="FL6" s="10" t="b">
        <f t="shared" si="79"/>
        <v>1</v>
      </c>
    </row>
    <row r="7" spans="1:168" s="10" customFormat="1" ht="12.75" customHeight="1">
      <c r="A7" s="662">
        <v>2</v>
      </c>
      <c r="B7" s="703" t="s">
        <v>918</v>
      </c>
      <c r="C7" s="703" t="s">
        <v>919</v>
      </c>
      <c r="D7" s="703" t="s">
        <v>393</v>
      </c>
      <c r="E7" s="703" t="s">
        <v>394</v>
      </c>
      <c r="F7" s="704" t="s">
        <v>914</v>
      </c>
      <c r="G7" s="704">
        <v>0</v>
      </c>
      <c r="H7" s="869">
        <v>0</v>
      </c>
      <c r="I7" s="706">
        <f>G7+H7</f>
        <v>0</v>
      </c>
      <c r="J7" s="704">
        <v>0</v>
      </c>
      <c r="K7" s="704" t="s">
        <v>378</v>
      </c>
      <c r="L7" s="711" t="s">
        <v>920</v>
      </c>
      <c r="M7" s="707">
        <v>0</v>
      </c>
      <c r="N7" s="707">
        <v>0</v>
      </c>
      <c r="O7" s="707">
        <v>0</v>
      </c>
      <c r="P7" s="937">
        <f>$G$72</f>
        <v>33.36</v>
      </c>
      <c r="Q7" s="935">
        <f>AVERAGE($N$86,$N$99)</f>
        <v>142.86778306971763</v>
      </c>
      <c r="R7" s="935">
        <f>AVERAGE($O$86,$O$99)</f>
        <v>1.0372379046529497E-2</v>
      </c>
      <c r="S7" s="935">
        <f>AVERAGE(S22,S37)</f>
        <v>3.3605646458631631</v>
      </c>
      <c r="T7" s="711" t="s">
        <v>921</v>
      </c>
      <c r="U7" s="712">
        <v>0.05</v>
      </c>
      <c r="V7" s="713">
        <v>1</v>
      </c>
      <c r="W7" s="938"/>
      <c r="X7" s="938"/>
      <c r="Y7" s="938"/>
      <c r="Z7" s="938"/>
      <c r="AA7" s="939"/>
      <c r="AB7" s="939"/>
      <c r="AC7" s="939"/>
      <c r="AD7" s="773">
        <f t="shared" ref="AD7:AH7" si="80">AD6</f>
        <v>0</v>
      </c>
      <c r="AE7" s="773">
        <f t="shared" ref="AE7" si="81">AE6</f>
        <v>1250</v>
      </c>
      <c r="AF7" s="773">
        <f t="shared" si="80"/>
        <v>1312.5</v>
      </c>
      <c r="AG7" s="773">
        <f t="shared" si="80"/>
        <v>1378.125</v>
      </c>
      <c r="AH7" s="773">
        <f t="shared" si="80"/>
        <v>1447.03125</v>
      </c>
      <c r="AI7" s="714">
        <f t="shared" ref="AI7:AJ16" si="82">AH7</f>
        <v>1447.03125</v>
      </c>
      <c r="AJ7" s="714">
        <f t="shared" si="82"/>
        <v>1447.03125</v>
      </c>
      <c r="AK7" s="715" t="s">
        <v>374</v>
      </c>
      <c r="AL7" s="711" t="s">
        <v>375</v>
      </c>
      <c r="AM7" s="711" t="s">
        <v>377</v>
      </c>
      <c r="AN7" s="711" t="s">
        <v>377</v>
      </c>
      <c r="AO7" s="711" t="s">
        <v>1</v>
      </c>
      <c r="AP7" s="711" t="s">
        <v>378</v>
      </c>
      <c r="AQ7" s="711" t="s">
        <v>378</v>
      </c>
      <c r="AR7" s="711" t="s">
        <v>378</v>
      </c>
      <c r="AS7" s="715" t="s">
        <v>379</v>
      </c>
      <c r="AT7" s="715" t="s">
        <v>407</v>
      </c>
      <c r="AU7" s="715" t="s">
        <v>381</v>
      </c>
      <c r="AV7" s="940">
        <f>$S$99</f>
        <v>9</v>
      </c>
      <c r="AW7" s="940">
        <f>AV7</f>
        <v>9</v>
      </c>
      <c r="AX7" s="711" t="s">
        <v>922</v>
      </c>
      <c r="AY7" s="716">
        <v>1</v>
      </c>
      <c r="AZ7" s="716">
        <v>1</v>
      </c>
      <c r="BA7" s="717">
        <v>1</v>
      </c>
      <c r="BB7" s="721">
        <f t="shared" si="23"/>
        <v>0</v>
      </c>
      <c r="BC7" s="499">
        <f t="shared" ref="BC7:BH7" si="83">BB7</f>
        <v>0</v>
      </c>
      <c r="BD7" s="499">
        <f t="shared" si="83"/>
        <v>0</v>
      </c>
      <c r="BE7" s="499">
        <f t="shared" si="83"/>
        <v>0</v>
      </c>
      <c r="BF7" s="499">
        <f t="shared" si="83"/>
        <v>0</v>
      </c>
      <c r="BG7" s="499">
        <f t="shared" si="83"/>
        <v>0</v>
      </c>
      <c r="BH7" s="499">
        <f t="shared" si="83"/>
        <v>0</v>
      </c>
      <c r="BI7" s="721">
        <f t="shared" si="25"/>
        <v>0</v>
      </c>
      <c r="BJ7" s="499">
        <f t="shared" ref="BJ7:BO7" si="84">BI7</f>
        <v>0</v>
      </c>
      <c r="BK7" s="499">
        <f t="shared" si="84"/>
        <v>0</v>
      </c>
      <c r="BL7" s="499">
        <f t="shared" si="84"/>
        <v>0</v>
      </c>
      <c r="BM7" s="499">
        <f t="shared" si="84"/>
        <v>0</v>
      </c>
      <c r="BN7" s="499">
        <f t="shared" si="84"/>
        <v>0</v>
      </c>
      <c r="BO7" s="499">
        <f t="shared" si="84"/>
        <v>0</v>
      </c>
      <c r="BP7" s="721">
        <f t="shared" si="27"/>
        <v>0</v>
      </c>
      <c r="BQ7" s="499">
        <f t="shared" ref="BQ7:BV7" si="85">BP7</f>
        <v>0</v>
      </c>
      <c r="BR7" s="499">
        <f t="shared" si="85"/>
        <v>0</v>
      </c>
      <c r="BS7" s="499">
        <f t="shared" si="85"/>
        <v>0</v>
      </c>
      <c r="BT7" s="499">
        <f t="shared" si="85"/>
        <v>0</v>
      </c>
      <c r="BU7" s="499">
        <f t="shared" si="85"/>
        <v>0</v>
      </c>
      <c r="BV7" s="499">
        <f t="shared" si="85"/>
        <v>0</v>
      </c>
      <c r="BW7" s="503">
        <f t="shared" si="29"/>
        <v>33.36</v>
      </c>
      <c r="BX7" s="503">
        <f t="shared" si="30"/>
        <v>33.36</v>
      </c>
      <c r="BY7" s="503">
        <f t="shared" si="31"/>
        <v>33.36</v>
      </c>
      <c r="BZ7" s="503">
        <f t="shared" si="31"/>
        <v>33.36</v>
      </c>
      <c r="CA7" s="503">
        <f t="shared" si="31"/>
        <v>33.36</v>
      </c>
      <c r="CB7" s="503">
        <f t="shared" si="31"/>
        <v>33.36</v>
      </c>
      <c r="CC7" s="776">
        <f t="shared" si="31"/>
        <v>33.36</v>
      </c>
      <c r="CD7" s="507">
        <f t="shared" si="32"/>
        <v>142.86778306971763</v>
      </c>
      <c r="CE7" s="511">
        <f t="shared" ref="CE7:CJ7" si="86">CD7</f>
        <v>142.86778306971763</v>
      </c>
      <c r="CF7" s="511">
        <f t="shared" si="86"/>
        <v>142.86778306971763</v>
      </c>
      <c r="CG7" s="511">
        <f t="shared" si="86"/>
        <v>142.86778306971763</v>
      </c>
      <c r="CH7" s="511">
        <f t="shared" si="86"/>
        <v>142.86778306971763</v>
      </c>
      <c r="CI7" s="511">
        <f t="shared" si="86"/>
        <v>142.86778306971763</v>
      </c>
      <c r="CJ7" s="511">
        <f t="shared" si="86"/>
        <v>142.86778306971763</v>
      </c>
      <c r="CK7" s="722">
        <f t="shared" si="34"/>
        <v>1.0372379046529497E-2</v>
      </c>
      <c r="CL7" s="511">
        <f t="shared" ref="CL7:CQ7" si="87">CK7</f>
        <v>1.0372379046529497E-2</v>
      </c>
      <c r="CM7" s="511">
        <f t="shared" si="87"/>
        <v>1.0372379046529497E-2</v>
      </c>
      <c r="CN7" s="511">
        <f t="shared" si="87"/>
        <v>1.0372379046529497E-2</v>
      </c>
      <c r="CO7" s="511">
        <f t="shared" si="87"/>
        <v>1.0372379046529497E-2</v>
      </c>
      <c r="CP7" s="511">
        <f t="shared" si="87"/>
        <v>1.0372379046529497E-2</v>
      </c>
      <c r="CQ7" s="511">
        <f t="shared" si="87"/>
        <v>1.0372379046529497E-2</v>
      </c>
      <c r="CR7" s="722">
        <f t="shared" si="36"/>
        <v>3.3605646458631631</v>
      </c>
      <c r="CS7" s="511">
        <f t="shared" ref="CS7:CX7" si="88">CR7</f>
        <v>3.3605646458631631</v>
      </c>
      <c r="CT7" s="511">
        <f t="shared" si="88"/>
        <v>3.3605646458631631</v>
      </c>
      <c r="CU7" s="511">
        <f t="shared" si="88"/>
        <v>3.3605646458631631</v>
      </c>
      <c r="CV7" s="511">
        <f t="shared" si="88"/>
        <v>3.3605646458631631</v>
      </c>
      <c r="CW7" s="511">
        <f t="shared" si="88"/>
        <v>3.3605646458631631</v>
      </c>
      <c r="CX7" s="511">
        <f t="shared" si="88"/>
        <v>3.3605646458631631</v>
      </c>
      <c r="CY7" s="724">
        <f t="shared" si="38"/>
        <v>0</v>
      </c>
      <c r="CZ7" s="508">
        <f t="shared" si="39"/>
        <v>0</v>
      </c>
      <c r="DA7" s="508">
        <f t="shared" si="40"/>
        <v>0</v>
      </c>
      <c r="DB7" s="508">
        <f t="shared" si="41"/>
        <v>0</v>
      </c>
      <c r="DC7" s="508">
        <f t="shared" si="42"/>
        <v>0</v>
      </c>
      <c r="DD7" s="508">
        <f t="shared" si="43"/>
        <v>0</v>
      </c>
      <c r="DE7" s="726">
        <f t="shared" si="44"/>
        <v>0</v>
      </c>
      <c r="DF7" s="724">
        <f t="shared" ref="DF7:DF19" si="89">AD7*BI7</f>
        <v>0</v>
      </c>
      <c r="DG7" s="508">
        <f t="shared" si="45"/>
        <v>0</v>
      </c>
      <c r="DH7" s="508">
        <f t="shared" si="46"/>
        <v>0</v>
      </c>
      <c r="DI7" s="508">
        <f t="shared" si="47"/>
        <v>0</v>
      </c>
      <c r="DJ7" s="508">
        <f t="shared" si="48"/>
        <v>0</v>
      </c>
      <c r="DK7" s="508">
        <f t="shared" si="49"/>
        <v>0</v>
      </c>
      <c r="DL7" s="725">
        <f t="shared" si="50"/>
        <v>0</v>
      </c>
      <c r="DM7" s="724">
        <f t="shared" ref="DM7:DM19" si="90">AD7*BP7</f>
        <v>0</v>
      </c>
      <c r="DN7" s="509">
        <f t="shared" si="51"/>
        <v>0</v>
      </c>
      <c r="DO7" s="508">
        <f t="shared" si="52"/>
        <v>0</v>
      </c>
      <c r="DP7" s="508">
        <f t="shared" si="53"/>
        <v>0</v>
      </c>
      <c r="DQ7" s="508">
        <f t="shared" si="54"/>
        <v>0</v>
      </c>
      <c r="DR7" s="508">
        <f t="shared" si="55"/>
        <v>0</v>
      </c>
      <c r="DS7" s="725">
        <f t="shared" si="56"/>
        <v>0</v>
      </c>
      <c r="DT7" s="724">
        <f>BW7*AD7</f>
        <v>0</v>
      </c>
      <c r="DU7" s="508">
        <f t="shared" si="58"/>
        <v>41700</v>
      </c>
      <c r="DV7" s="508">
        <f t="shared" si="59"/>
        <v>43785</v>
      </c>
      <c r="DW7" s="508">
        <f t="shared" si="60"/>
        <v>45974.25</v>
      </c>
      <c r="DX7" s="508">
        <f t="shared" si="61"/>
        <v>48272.962500000001</v>
      </c>
      <c r="DY7" s="508">
        <f t="shared" si="62"/>
        <v>48272.962500000001</v>
      </c>
      <c r="DZ7" s="725">
        <f t="shared" si="63"/>
        <v>48272.962500000001</v>
      </c>
      <c r="EA7" s="722">
        <f t="shared" ref="EA7:EA49" si="91">AD7*CD7</f>
        <v>0</v>
      </c>
      <c r="EB7" s="511">
        <f t="shared" ref="EB7:EB19" si="92">AE7*CE7</f>
        <v>178584.72883714703</v>
      </c>
      <c r="EC7" s="511">
        <f t="shared" ref="EC7:EC19" si="93">AF7*CF7</f>
        <v>187513.96527900439</v>
      </c>
      <c r="ED7" s="511">
        <f t="shared" ref="ED7:ED19" si="94">AG7*CG7</f>
        <v>196889.6635429546</v>
      </c>
      <c r="EE7" s="511">
        <f t="shared" ref="EE7:EE19" si="95">AH7*CH7</f>
        <v>206734.14672010235</v>
      </c>
      <c r="EF7" s="511">
        <f t="shared" ref="EF7:EF19" si="96">AI7*CI7</f>
        <v>206734.14672010235</v>
      </c>
      <c r="EG7" s="723">
        <f t="shared" ref="EG7:EG19" si="97">AJ7*CJ7</f>
        <v>206734.14672010235</v>
      </c>
      <c r="EH7" s="722">
        <f t="shared" si="65"/>
        <v>0</v>
      </c>
      <c r="EI7" s="511">
        <f t="shared" si="66"/>
        <v>12.965473808161871</v>
      </c>
      <c r="EJ7" s="511">
        <f t="shared" si="67"/>
        <v>13.613747498569964</v>
      </c>
      <c r="EK7" s="511">
        <f t="shared" si="68"/>
        <v>14.294434873498462</v>
      </c>
      <c r="EL7" s="511">
        <f t="shared" si="69"/>
        <v>15.009156617173385</v>
      </c>
      <c r="EM7" s="511">
        <f t="shared" si="70"/>
        <v>15.009156617173385</v>
      </c>
      <c r="EN7" s="723">
        <f t="shared" si="71"/>
        <v>15.009156617173385</v>
      </c>
      <c r="EO7" s="507">
        <f t="shared" si="72"/>
        <v>0</v>
      </c>
      <c r="EP7" s="511">
        <f t="shared" si="73"/>
        <v>4200.7058073289536</v>
      </c>
      <c r="EQ7" s="511">
        <f t="shared" si="74"/>
        <v>4410.7410976954015</v>
      </c>
      <c r="ER7" s="511">
        <f t="shared" si="75"/>
        <v>4631.278152580172</v>
      </c>
      <c r="ES7" s="511">
        <f t="shared" si="76"/>
        <v>4862.8420602091801</v>
      </c>
      <c r="ET7" s="511">
        <f t="shared" si="77"/>
        <v>4862.8420602091801</v>
      </c>
      <c r="EU7" s="723">
        <f t="shared" si="78"/>
        <v>4862.8420602091801</v>
      </c>
      <c r="EV7" s="727">
        <f t="shared" ref="EV7:EV19" si="98">SUM(AD7:AJ7)</f>
        <v>8281.71875</v>
      </c>
      <c r="EW7" s="728">
        <f t="shared" ref="EW7:EW19" si="99">SUM(CY7:DE7)</f>
        <v>0</v>
      </c>
      <c r="EX7" s="728">
        <f t="shared" ref="EX7:EX19" si="100">SUM(DF7:DL7)</f>
        <v>0</v>
      </c>
      <c r="EY7" s="728">
        <f t="shared" ref="EY7:EY19" si="101">SUM(DM7:DS7)</f>
        <v>0</v>
      </c>
      <c r="EZ7" s="728">
        <f t="shared" ref="EZ7:EZ19" si="102">SUM(DT7:DZ7)</f>
        <v>276278.13750000001</v>
      </c>
      <c r="FA7" s="777">
        <f t="shared" ref="FA7:FA19" si="103">SUM(EA7:EG7)</f>
        <v>1183190.797819413</v>
      </c>
      <c r="FB7" s="777">
        <f t="shared" ref="FB7:FB19" si="104">SUM(EH7:EN7)</f>
        <v>85.901126031750465</v>
      </c>
      <c r="FC7" s="778">
        <f t="shared" ref="FC7:FC19" si="105">SUM(EO7:EU7)</f>
        <v>27831.251238232064</v>
      </c>
      <c r="FE7" s="10" t="b">
        <f t="shared" si="79"/>
        <v>1</v>
      </c>
      <c r="FF7" s="10" t="b">
        <f t="shared" si="79"/>
        <v>1</v>
      </c>
      <c r="FG7" s="10" t="b">
        <f t="shared" si="79"/>
        <v>1</v>
      </c>
      <c r="FH7" s="10" t="b">
        <f t="shared" si="79"/>
        <v>1</v>
      </c>
      <c r="FI7" s="10" t="b">
        <f t="shared" si="79"/>
        <v>1</v>
      </c>
      <c r="FJ7" s="10" t="b">
        <f t="shared" si="79"/>
        <v>1</v>
      </c>
      <c r="FK7" s="10" t="b">
        <f t="shared" si="79"/>
        <v>1</v>
      </c>
      <c r="FL7" s="10" t="b">
        <f t="shared" si="79"/>
        <v>1</v>
      </c>
    </row>
    <row r="8" spans="1:168" s="536" customFormat="1" ht="12.75" hidden="1" customHeight="1">
      <c r="A8" s="941">
        <v>3</v>
      </c>
      <c r="B8" s="942" t="str">
        <f>'REFERENCE-HomeEnergyPerformance'!B44</f>
        <v>Weatherization-Ceiling Insulation (KY) - Code</v>
      </c>
      <c r="C8" s="942" t="str">
        <f>'REFERENCE-HomeEnergyPerformance'!C44</f>
        <v>R-49</v>
      </c>
      <c r="D8" s="942" t="str">
        <f>'REFERENCE-HomeEnergyPerformance'!D44</f>
        <v>Average Existing Insulation</v>
      </c>
      <c r="E8" s="942" t="str">
        <f>'REFERENCE-HomeEnergyPerformance'!E23</f>
        <v>Per Unit</v>
      </c>
      <c r="F8" s="942" t="str">
        <f>INDEX('REFERENCE-HomeEnergyPerformance'!$B$6:$FB$148,MATCH('Residential Audit Online'!$B8,'REFERENCE-HomeEnergyPerformance'!$B$6:$B$148,0),MATCH('Residential Audit Online'!F$5,'REFERENCE-HomeEnergyPerformance'!$B$5:$FB$5,0))</f>
        <v>Incremental Cost</v>
      </c>
      <c r="G8" s="943">
        <f>INDEX('REFERENCE-HomeEnergyPerformance'!$B$6:$FB$148,MATCH('Residential Audit Online'!$B8,'REFERENCE-HomeEnergyPerformance'!$B$6:$B$148,0),MATCH('Residential Audit Online'!G$5,'REFERENCE-HomeEnergyPerformance'!$B$5:$FB$5,0))*125%</f>
        <v>1778.5342499999999</v>
      </c>
      <c r="H8" s="942">
        <f>INDEX('REFERENCE-HomeEnergyPerformance'!$B$6:$FB$148,MATCH('Residential Audit Online'!$B8,'REFERENCE-HomeEnergyPerformance'!$B$6:$B$148,0),MATCH('Residential Audit Online'!H$5,'REFERENCE-HomeEnergyPerformance'!$B$5:$FB$5,0))</f>
        <v>0</v>
      </c>
      <c r="I8" s="545">
        <f t="shared" ref="I8:I19" si="106">G8</f>
        <v>1778.5342499999999</v>
      </c>
      <c r="J8" s="942">
        <f>INDEX('REFERENCE-HomeEnergyPerformance'!$B$6:$FB$148,MATCH('Residential Audit Online'!$B8,'REFERENCE-HomeEnergyPerformance'!$B$6:$B$148,0),MATCH('Residential Audit Online'!J$5,'REFERENCE-HomeEnergyPerformance'!$B$5:$FB$5,0))</f>
        <v>0</v>
      </c>
      <c r="K8" s="545">
        <f t="shared" ref="K8:K19" si="107">I8/2</f>
        <v>889.26712499999996</v>
      </c>
      <c r="L8" s="942" t="s">
        <v>923</v>
      </c>
      <c r="M8" s="942" t="str">
        <f>INDEX('REFERENCE-HomeEnergyPerformance'!$B$6:$FB$148,MATCH('Residential Audit Online'!$B8,'REFERENCE-HomeEnergyPerformance'!$B$6:$B$148,0),MATCH('Residential Audit Online'!M$5,'REFERENCE-HomeEnergyPerformance'!$B$5:$FB$5,0))</f>
        <v>NA</v>
      </c>
      <c r="N8" s="942">
        <f>INDEX('REFERENCE-HomeEnergyPerformance'!$B$6:$FB$148,MATCH('Residential Audit Online'!$B8,'REFERENCE-HomeEnergyPerformance'!$B$6:$B$148,0),MATCH('Residential Audit Online'!N$5,'REFERENCE-HomeEnergyPerformance'!$B$5:$FB$5,0))</f>
        <v>300</v>
      </c>
      <c r="O8" s="942">
        <f>INDEX('REFERENCE-HomeEnergyPerformance'!$B$6:$FB$148,MATCH('Residential Audit Online'!$B8,'REFERENCE-HomeEnergyPerformance'!$B$6:$B$148,0),MATCH('Residential Audit Online'!O$5,'REFERENCE-HomeEnergyPerformance'!$B$5:$FB$5,0))</f>
        <v>0</v>
      </c>
      <c r="P8" s="942">
        <f>INDEX('REFERENCE-HomeEnergyPerformance'!$B$6:$FB$148,MATCH('Residential Audit Online'!$B8,'REFERENCE-HomeEnergyPerformance'!$B$6:$B$148,0),MATCH('Residential Audit Online'!P$5,'REFERENCE-HomeEnergyPerformance'!$B$5:$FB$5,0))</f>
        <v>0</v>
      </c>
      <c r="Q8" s="944">
        <f>INDEX('REFERENCE-HomeEnergyPerformance'!$B$6:$FB$148,MATCH('Residential Audit Online'!$B8,'REFERENCE-HomeEnergyPerformance'!$B$6:$B$148,0),MATCH('Residential Audit Online'!Q$5,'REFERENCE-HomeEnergyPerformance'!$B$5:$FB$5,0))</f>
        <v>289.95511020164105</v>
      </c>
      <c r="R8" s="944">
        <f>INDEX('REFERENCE-HomeEnergyPerformance'!$B$6:$FB$148,MATCH('Residential Audit Online'!$B8,'REFERENCE-HomeEnergyPerformance'!$B$6:$B$148,0),MATCH('Residential Audit Online'!R$5,'REFERENCE-HomeEnergyPerformance'!$B$5:$FB$5,0))</f>
        <v>0.1160707319801524</v>
      </c>
      <c r="S8" s="945">
        <f>AVERAGE(S23,S38)</f>
        <v>20.293336281766397</v>
      </c>
      <c r="T8" s="942" t="str">
        <f>INDEX('REFERENCE-HomeEnergyPerformance'!$B$6:$FB$148,MATCH('Residential Audit Online'!$B8,'REFERENCE-HomeEnergyPerformance'!$B$6:$B$148,0),MATCH('Residential Audit Online'!T$5,'REFERENCE-HomeEnergyPerformance'!$B$5:$FB$5,0))</f>
        <v>Potential Study Results: Engineering Calculation</v>
      </c>
      <c r="U8" s="946">
        <v>0.05</v>
      </c>
      <c r="V8" s="947">
        <v>1</v>
      </c>
      <c r="W8" s="948"/>
      <c r="X8" s="948"/>
      <c r="Y8" s="948"/>
      <c r="Z8" s="948"/>
      <c r="AA8" s="949"/>
      <c r="AB8" s="949"/>
      <c r="AC8" s="949"/>
      <c r="AD8" s="950">
        <f t="shared" ref="AD8" si="108">AD59</f>
        <v>0</v>
      </c>
      <c r="AE8" s="950">
        <v>0</v>
      </c>
      <c r="AF8" s="950">
        <v>0</v>
      </c>
      <c r="AG8" s="950">
        <v>0</v>
      </c>
      <c r="AH8" s="950">
        <v>0</v>
      </c>
      <c r="AI8" s="950">
        <v>0</v>
      </c>
      <c r="AJ8" s="950">
        <v>0</v>
      </c>
      <c r="AK8" s="951" t="s">
        <v>374</v>
      </c>
      <c r="AL8" s="952" t="s">
        <v>375</v>
      </c>
      <c r="AM8" s="952" t="s">
        <v>377</v>
      </c>
      <c r="AN8" s="952" t="s">
        <v>377</v>
      </c>
      <c r="AO8" s="952" t="s">
        <v>1</v>
      </c>
      <c r="AP8" s="952" t="s">
        <v>378</v>
      </c>
      <c r="AQ8" s="952" t="s">
        <v>378</v>
      </c>
      <c r="AR8" s="952" t="s">
        <v>378</v>
      </c>
      <c r="AS8" s="951" t="s">
        <v>379</v>
      </c>
      <c r="AT8" s="951" t="s">
        <v>407</v>
      </c>
      <c r="AU8" s="951" t="s">
        <v>381</v>
      </c>
      <c r="AV8" s="953">
        <v>20</v>
      </c>
      <c r="AW8" s="953">
        <v>20</v>
      </c>
      <c r="AX8" s="952"/>
      <c r="AY8" s="954">
        <v>1</v>
      </c>
      <c r="AZ8" s="954">
        <v>1</v>
      </c>
      <c r="BA8" s="955">
        <v>1</v>
      </c>
      <c r="BB8" s="956">
        <f t="shared" si="23"/>
        <v>1778.5342499999999</v>
      </c>
      <c r="BC8" s="957">
        <f t="shared" ref="BC8:BH8" si="109">BB8</f>
        <v>1778.5342499999999</v>
      </c>
      <c r="BD8" s="957">
        <f t="shared" si="109"/>
        <v>1778.5342499999999</v>
      </c>
      <c r="BE8" s="957">
        <f t="shared" si="109"/>
        <v>1778.5342499999999</v>
      </c>
      <c r="BF8" s="957">
        <f t="shared" si="109"/>
        <v>1778.5342499999999</v>
      </c>
      <c r="BG8" s="957">
        <f t="shared" si="109"/>
        <v>1778.5342499999999</v>
      </c>
      <c r="BH8" s="957">
        <f t="shared" si="109"/>
        <v>1778.5342499999999</v>
      </c>
      <c r="BI8" s="956">
        <f t="shared" si="25"/>
        <v>0</v>
      </c>
      <c r="BJ8" s="957">
        <f t="shared" ref="BJ8:BO8" si="110">BI8</f>
        <v>0</v>
      </c>
      <c r="BK8" s="957">
        <f t="shared" si="110"/>
        <v>0</v>
      </c>
      <c r="BL8" s="957">
        <f t="shared" si="110"/>
        <v>0</v>
      </c>
      <c r="BM8" s="957">
        <f t="shared" si="110"/>
        <v>0</v>
      </c>
      <c r="BN8" s="957">
        <f t="shared" si="110"/>
        <v>0</v>
      </c>
      <c r="BO8" s="957">
        <f t="shared" si="110"/>
        <v>0</v>
      </c>
      <c r="BP8" s="956">
        <f t="shared" si="27"/>
        <v>300</v>
      </c>
      <c r="BQ8" s="957">
        <f t="shared" ref="BQ8:BV8" si="111">BP8</f>
        <v>300</v>
      </c>
      <c r="BR8" s="957">
        <f t="shared" si="111"/>
        <v>300</v>
      </c>
      <c r="BS8" s="957">
        <f t="shared" si="111"/>
        <v>300</v>
      </c>
      <c r="BT8" s="957">
        <f t="shared" si="111"/>
        <v>300</v>
      </c>
      <c r="BU8" s="957">
        <f t="shared" si="111"/>
        <v>300</v>
      </c>
      <c r="BV8" s="957">
        <f t="shared" si="111"/>
        <v>300</v>
      </c>
      <c r="BW8" s="958">
        <f t="shared" si="29"/>
        <v>0</v>
      </c>
      <c r="BX8" s="958">
        <f t="shared" si="30"/>
        <v>0</v>
      </c>
      <c r="BY8" s="958">
        <f t="shared" si="31"/>
        <v>0</v>
      </c>
      <c r="BZ8" s="958">
        <f t="shared" si="31"/>
        <v>0</v>
      </c>
      <c r="CA8" s="958">
        <f t="shared" si="31"/>
        <v>0</v>
      </c>
      <c r="CB8" s="958">
        <f t="shared" si="31"/>
        <v>0</v>
      </c>
      <c r="CC8" s="959">
        <f t="shared" si="31"/>
        <v>0</v>
      </c>
      <c r="CD8" s="535">
        <f t="shared" si="32"/>
        <v>289.95511020164105</v>
      </c>
      <c r="CE8" s="534">
        <f t="shared" ref="CE8:CJ8" si="112">CD8</f>
        <v>289.95511020164105</v>
      </c>
      <c r="CF8" s="534">
        <f t="shared" si="112"/>
        <v>289.95511020164105</v>
      </c>
      <c r="CG8" s="534">
        <f t="shared" si="112"/>
        <v>289.95511020164105</v>
      </c>
      <c r="CH8" s="534">
        <f t="shared" si="112"/>
        <v>289.95511020164105</v>
      </c>
      <c r="CI8" s="534">
        <f t="shared" si="112"/>
        <v>289.95511020164105</v>
      </c>
      <c r="CJ8" s="534">
        <f t="shared" si="112"/>
        <v>289.95511020164105</v>
      </c>
      <c r="CK8" s="960">
        <f t="shared" si="34"/>
        <v>0.1160707319801524</v>
      </c>
      <c r="CL8" s="534">
        <f t="shared" ref="CL8:CQ8" si="113">CK8</f>
        <v>0.1160707319801524</v>
      </c>
      <c r="CM8" s="534">
        <f t="shared" si="113"/>
        <v>0.1160707319801524</v>
      </c>
      <c r="CN8" s="534">
        <f t="shared" si="113"/>
        <v>0.1160707319801524</v>
      </c>
      <c r="CO8" s="534">
        <f t="shared" si="113"/>
        <v>0.1160707319801524</v>
      </c>
      <c r="CP8" s="534">
        <f t="shared" si="113"/>
        <v>0.1160707319801524</v>
      </c>
      <c r="CQ8" s="534">
        <f t="shared" si="113"/>
        <v>0.1160707319801524</v>
      </c>
      <c r="CR8" s="960">
        <f t="shared" si="36"/>
        <v>20.293336281766397</v>
      </c>
      <c r="CS8" s="534">
        <f t="shared" ref="CS8:CX8" si="114">CR8</f>
        <v>20.293336281766397</v>
      </c>
      <c r="CT8" s="534">
        <f t="shared" si="114"/>
        <v>20.293336281766397</v>
      </c>
      <c r="CU8" s="534">
        <f t="shared" si="114"/>
        <v>20.293336281766397</v>
      </c>
      <c r="CV8" s="534">
        <f t="shared" si="114"/>
        <v>20.293336281766397</v>
      </c>
      <c r="CW8" s="534">
        <f t="shared" si="114"/>
        <v>20.293336281766397</v>
      </c>
      <c r="CX8" s="534">
        <f t="shared" si="114"/>
        <v>20.293336281766397</v>
      </c>
      <c r="CY8" s="961">
        <f t="shared" si="38"/>
        <v>0</v>
      </c>
      <c r="CZ8" s="532">
        <f t="shared" si="39"/>
        <v>0</v>
      </c>
      <c r="DA8" s="532">
        <f t="shared" si="40"/>
        <v>0</v>
      </c>
      <c r="DB8" s="532">
        <f t="shared" si="41"/>
        <v>0</v>
      </c>
      <c r="DC8" s="532">
        <f t="shared" si="42"/>
        <v>0</v>
      </c>
      <c r="DD8" s="532">
        <f t="shared" si="43"/>
        <v>0</v>
      </c>
      <c r="DE8" s="962">
        <f t="shared" si="44"/>
        <v>0</v>
      </c>
      <c r="DF8" s="961">
        <f t="shared" si="89"/>
        <v>0</v>
      </c>
      <c r="DG8" s="532">
        <f t="shared" si="45"/>
        <v>0</v>
      </c>
      <c r="DH8" s="532">
        <f t="shared" si="46"/>
        <v>0</v>
      </c>
      <c r="DI8" s="532">
        <f t="shared" si="47"/>
        <v>0</v>
      </c>
      <c r="DJ8" s="532">
        <f t="shared" si="48"/>
        <v>0</v>
      </c>
      <c r="DK8" s="532">
        <f t="shared" si="49"/>
        <v>0</v>
      </c>
      <c r="DL8" s="963">
        <f t="shared" si="50"/>
        <v>0</v>
      </c>
      <c r="DM8" s="961">
        <f t="shared" si="90"/>
        <v>0</v>
      </c>
      <c r="DN8" s="533">
        <f t="shared" si="51"/>
        <v>0</v>
      </c>
      <c r="DO8" s="532">
        <f t="shared" si="52"/>
        <v>0</v>
      </c>
      <c r="DP8" s="532">
        <f t="shared" si="53"/>
        <v>0</v>
      </c>
      <c r="DQ8" s="532">
        <f t="shared" si="54"/>
        <v>0</v>
      </c>
      <c r="DR8" s="532">
        <f t="shared" si="55"/>
        <v>0</v>
      </c>
      <c r="DS8" s="963">
        <f t="shared" si="56"/>
        <v>0</v>
      </c>
      <c r="DT8" s="961">
        <f t="shared" si="57"/>
        <v>0</v>
      </c>
      <c r="DU8" s="532">
        <f t="shared" si="58"/>
        <v>0</v>
      </c>
      <c r="DV8" s="532">
        <f t="shared" si="59"/>
        <v>0</v>
      </c>
      <c r="DW8" s="532">
        <f t="shared" si="60"/>
        <v>0</v>
      </c>
      <c r="DX8" s="532">
        <f t="shared" si="61"/>
        <v>0</v>
      </c>
      <c r="DY8" s="532">
        <f t="shared" si="62"/>
        <v>0</v>
      </c>
      <c r="DZ8" s="963">
        <f t="shared" si="63"/>
        <v>0</v>
      </c>
      <c r="EA8" s="960">
        <f t="shared" si="91"/>
        <v>0</v>
      </c>
      <c r="EB8" s="534">
        <f t="shared" si="92"/>
        <v>0</v>
      </c>
      <c r="EC8" s="534">
        <f t="shared" si="93"/>
        <v>0</v>
      </c>
      <c r="ED8" s="534">
        <f t="shared" si="94"/>
        <v>0</v>
      </c>
      <c r="EE8" s="534">
        <f t="shared" si="95"/>
        <v>0</v>
      </c>
      <c r="EF8" s="534">
        <f t="shared" si="96"/>
        <v>0</v>
      </c>
      <c r="EG8" s="964">
        <f t="shared" si="97"/>
        <v>0</v>
      </c>
      <c r="EH8" s="960">
        <f t="shared" si="65"/>
        <v>0</v>
      </c>
      <c r="EI8" s="534">
        <f t="shared" si="66"/>
        <v>0</v>
      </c>
      <c r="EJ8" s="534">
        <f t="shared" si="67"/>
        <v>0</v>
      </c>
      <c r="EK8" s="534">
        <f t="shared" si="68"/>
        <v>0</v>
      </c>
      <c r="EL8" s="534">
        <f t="shared" si="69"/>
        <v>0</v>
      </c>
      <c r="EM8" s="534">
        <f t="shared" si="70"/>
        <v>0</v>
      </c>
      <c r="EN8" s="964">
        <f t="shared" si="71"/>
        <v>0</v>
      </c>
      <c r="EO8" s="535">
        <f t="shared" si="72"/>
        <v>0</v>
      </c>
      <c r="EP8" s="534">
        <f t="shared" si="73"/>
        <v>0</v>
      </c>
      <c r="EQ8" s="534">
        <f t="shared" si="74"/>
        <v>0</v>
      </c>
      <c r="ER8" s="534">
        <f t="shared" si="75"/>
        <v>0</v>
      </c>
      <c r="ES8" s="534">
        <f t="shared" si="76"/>
        <v>0</v>
      </c>
      <c r="ET8" s="534">
        <f t="shared" si="77"/>
        <v>0</v>
      </c>
      <c r="EU8" s="964">
        <f t="shared" si="78"/>
        <v>0</v>
      </c>
      <c r="EV8" s="965">
        <f t="shared" si="98"/>
        <v>0</v>
      </c>
      <c r="EW8" s="966">
        <f t="shared" si="99"/>
        <v>0</v>
      </c>
      <c r="EX8" s="966">
        <f t="shared" si="100"/>
        <v>0</v>
      </c>
      <c r="EY8" s="966">
        <f t="shared" si="101"/>
        <v>0</v>
      </c>
      <c r="EZ8" s="966">
        <f t="shared" si="102"/>
        <v>0</v>
      </c>
      <c r="FA8" s="967">
        <f t="shared" si="103"/>
        <v>0</v>
      </c>
      <c r="FB8" s="967">
        <f t="shared" si="104"/>
        <v>0</v>
      </c>
      <c r="FC8" s="968">
        <f t="shared" si="105"/>
        <v>0</v>
      </c>
      <c r="FE8" s="10" t="b">
        <f t="shared" ref="FE8:FE19" si="115">EV8=SUM(EV23,EV38)</f>
        <v>1</v>
      </c>
      <c r="FF8" s="10" t="b">
        <f t="shared" ref="FF8:FF19" si="116">EW8=SUM(EW23,EW38)</f>
        <v>1</v>
      </c>
      <c r="FG8" s="10" t="b">
        <f t="shared" ref="FG8:FG19" si="117">EX8=SUM(EX23,EX38)</f>
        <v>1</v>
      </c>
      <c r="FH8" s="10" t="b">
        <f t="shared" ref="FH8:FH19" si="118">EY8=SUM(EY23,EY38)</f>
        <v>1</v>
      </c>
      <c r="FI8" s="10" t="b">
        <f t="shared" ref="FI8:FI19" si="119">EZ8=SUM(EZ23,EZ38)</f>
        <v>1</v>
      </c>
      <c r="FJ8" s="10" t="b">
        <f t="shared" ref="FJ8:FJ19" si="120">FA8=SUM(FA23,FA38)</f>
        <v>1</v>
      </c>
      <c r="FK8" s="10" t="b">
        <f t="shared" ref="FK8:FK19" si="121">FB8=SUM(FB23,FB38)</f>
        <v>1</v>
      </c>
      <c r="FL8" s="10" t="b">
        <f t="shared" ref="FL8:FL19" si="122">FC8=SUM(FC23,FC38)</f>
        <v>1</v>
      </c>
    </row>
    <row r="9" spans="1:168" s="536" customFormat="1" ht="12.75" hidden="1" customHeight="1">
      <c r="A9" s="941">
        <v>4</v>
      </c>
      <c r="B9" s="942" t="str">
        <f>'REFERENCE-HomeEnergyPerformance'!B45</f>
        <v>Weatherization-Duct Sealing and Insulation - Code</v>
      </c>
      <c r="C9" s="942" t="str">
        <f>'REFERENCE-HomeEnergyPerformance'!C45</f>
        <v>Code Duct Sealing and Insulation - R-8</v>
      </c>
      <c r="D9" s="942" t="str">
        <f>'REFERENCE-HomeEnergyPerformance'!D45</f>
        <v>Existing Duct Sealing and Insulation - R-4</v>
      </c>
      <c r="E9" s="942" t="str">
        <f>'REFERENCE-HomeEnergyPerformance'!E24</f>
        <v>Per Unit</v>
      </c>
      <c r="F9" s="942" t="str">
        <f>INDEX('REFERENCE-HomeEnergyPerformance'!$B$6:$FB$148,MATCH('Residential Audit Online'!$B9,'REFERENCE-HomeEnergyPerformance'!$B$6:$B$148,0),MATCH('Residential Audit Online'!F$5,'REFERENCE-HomeEnergyPerformance'!$B$5:$FB$5,0))</f>
        <v>Incremental Cost</v>
      </c>
      <c r="G9" s="943">
        <f>INDEX('REFERENCE-HomeEnergyPerformance'!$B$6:$FB$148,MATCH('Residential Audit Online'!$B9,'REFERENCE-HomeEnergyPerformance'!$B$6:$B$148,0),MATCH('Residential Audit Online'!G$5,'REFERENCE-HomeEnergyPerformance'!$B$5:$FB$5,0))*125%</f>
        <v>1452.5</v>
      </c>
      <c r="H9" s="942">
        <f>INDEX('REFERENCE-HomeEnergyPerformance'!$B$6:$FB$148,MATCH('Residential Audit Online'!$B9,'REFERENCE-HomeEnergyPerformance'!$B$6:$B$148,0),MATCH('Residential Audit Online'!H$5,'REFERENCE-HomeEnergyPerformance'!$B$5:$FB$5,0))</f>
        <v>0</v>
      </c>
      <c r="I9" s="545">
        <f t="shared" si="106"/>
        <v>1452.5</v>
      </c>
      <c r="J9" s="942">
        <f>INDEX('REFERENCE-HomeEnergyPerformance'!$B$6:$FB$148,MATCH('Residential Audit Online'!$B9,'REFERENCE-HomeEnergyPerformance'!$B$6:$B$148,0),MATCH('Residential Audit Online'!J$5,'REFERENCE-HomeEnergyPerformance'!$B$5:$FB$5,0))</f>
        <v>0</v>
      </c>
      <c r="K9" s="545">
        <f t="shared" si="107"/>
        <v>726.25</v>
      </c>
      <c r="L9" s="942" t="s">
        <v>924</v>
      </c>
      <c r="M9" s="942" t="str">
        <f>INDEX('REFERENCE-HomeEnergyPerformance'!$B$6:$FB$148,MATCH('Residential Audit Online'!$B9,'REFERENCE-HomeEnergyPerformance'!$B$6:$B$148,0),MATCH('Residential Audit Online'!M$5,'REFERENCE-HomeEnergyPerformance'!$B$5:$FB$5,0))</f>
        <v>NA</v>
      </c>
      <c r="N9" s="942">
        <f>INDEX('REFERENCE-HomeEnergyPerformance'!$B$6:$FB$148,MATCH('Residential Audit Online'!$B9,'REFERENCE-HomeEnergyPerformance'!$B$6:$B$148,0),MATCH('Residential Audit Online'!N$5,'REFERENCE-HomeEnergyPerformance'!$B$5:$FB$5,0))</f>
        <v>300</v>
      </c>
      <c r="O9" s="942">
        <f>INDEX('REFERENCE-HomeEnergyPerformance'!$B$6:$FB$148,MATCH('Residential Audit Online'!$B9,'REFERENCE-HomeEnergyPerformance'!$B$6:$B$148,0),MATCH('Residential Audit Online'!O$5,'REFERENCE-HomeEnergyPerformance'!$B$5:$FB$5,0))</f>
        <v>0</v>
      </c>
      <c r="P9" s="942">
        <f>INDEX('REFERENCE-HomeEnergyPerformance'!$B$6:$FB$148,MATCH('Residential Audit Online'!$B9,'REFERENCE-HomeEnergyPerformance'!$B$6:$B$148,0),MATCH('Residential Audit Online'!P$5,'REFERENCE-HomeEnergyPerformance'!$B$5:$FB$5,0))</f>
        <v>0</v>
      </c>
      <c r="Q9" s="944">
        <f>INDEX('REFERENCE-HomeEnergyPerformance'!$B$6:$FB$148,MATCH('Residential Audit Online'!$B9,'REFERENCE-HomeEnergyPerformance'!$B$6:$B$148,0),MATCH('Residential Audit Online'!Q$5,'REFERENCE-HomeEnergyPerformance'!$B$5:$FB$5,0))</f>
        <v>734.19254888169826</v>
      </c>
      <c r="R9" s="944">
        <f>INDEX('REFERENCE-HomeEnergyPerformance'!$B$6:$FB$148,MATCH('Residential Audit Online'!$B9,'REFERENCE-HomeEnergyPerformance'!$B$6:$B$148,0),MATCH('Residential Audit Online'!R$5,'REFERENCE-HomeEnergyPerformance'!$B$5:$FB$5,0))</f>
        <v>0.58505406251679737</v>
      </c>
      <c r="S9" s="945">
        <f t="shared" ref="S9:S19" si="123">AVERAGE(S24,S39)</f>
        <v>35.406727089434739</v>
      </c>
      <c r="T9" s="942" t="str">
        <f>INDEX('REFERENCE-HomeEnergyPerformance'!$B$6:$FB$148,MATCH('Residential Audit Online'!$B9,'REFERENCE-HomeEnergyPerformance'!$B$6:$B$148,0),MATCH('Residential Audit Online'!T$5,'REFERENCE-HomeEnergyPerformance'!$B$5:$FB$5,0))</f>
        <v>Potential Study Results: NAIMA Duct Insulation 2001 &amp; 2013 - EnergyStar - QI Fact Sheet</v>
      </c>
      <c r="U9" s="946">
        <v>0.05</v>
      </c>
      <c r="V9" s="947">
        <v>1</v>
      </c>
      <c r="W9" s="948"/>
      <c r="X9" s="948"/>
      <c r="Y9" s="948"/>
      <c r="Z9" s="948"/>
      <c r="AA9" s="949"/>
      <c r="AB9" s="949"/>
      <c r="AC9" s="949"/>
      <c r="AD9" s="950">
        <f t="shared" ref="AD9" si="124">AD60</f>
        <v>0</v>
      </c>
      <c r="AE9" s="950">
        <v>0</v>
      </c>
      <c r="AF9" s="950">
        <v>0</v>
      </c>
      <c r="AG9" s="950">
        <v>0</v>
      </c>
      <c r="AH9" s="950">
        <v>0</v>
      </c>
      <c r="AI9" s="950">
        <v>0</v>
      </c>
      <c r="AJ9" s="950">
        <v>0</v>
      </c>
      <c r="AK9" s="951" t="s">
        <v>374</v>
      </c>
      <c r="AL9" s="952" t="s">
        <v>375</v>
      </c>
      <c r="AM9" s="952" t="s">
        <v>377</v>
      </c>
      <c r="AN9" s="952" t="s">
        <v>377</v>
      </c>
      <c r="AO9" s="952" t="s">
        <v>1</v>
      </c>
      <c r="AP9" s="952" t="s">
        <v>378</v>
      </c>
      <c r="AQ9" s="952" t="s">
        <v>378</v>
      </c>
      <c r="AR9" s="952" t="s">
        <v>378</v>
      </c>
      <c r="AS9" s="951" t="s">
        <v>379</v>
      </c>
      <c r="AT9" s="951" t="s">
        <v>407</v>
      </c>
      <c r="AU9" s="951" t="s">
        <v>381</v>
      </c>
      <c r="AV9" s="953">
        <v>20</v>
      </c>
      <c r="AW9" s="953">
        <v>20</v>
      </c>
      <c r="AX9" s="952"/>
      <c r="AY9" s="954">
        <v>1</v>
      </c>
      <c r="AZ9" s="954">
        <v>1</v>
      </c>
      <c r="BA9" s="955">
        <v>1</v>
      </c>
      <c r="BB9" s="956">
        <f t="shared" si="23"/>
        <v>1452.5</v>
      </c>
      <c r="BC9" s="957">
        <f t="shared" ref="BC9:BH9" si="125">BB9</f>
        <v>1452.5</v>
      </c>
      <c r="BD9" s="957">
        <f t="shared" si="125"/>
        <v>1452.5</v>
      </c>
      <c r="BE9" s="957">
        <f t="shared" si="125"/>
        <v>1452.5</v>
      </c>
      <c r="BF9" s="957">
        <f t="shared" si="125"/>
        <v>1452.5</v>
      </c>
      <c r="BG9" s="957">
        <f t="shared" si="125"/>
        <v>1452.5</v>
      </c>
      <c r="BH9" s="957">
        <f t="shared" si="125"/>
        <v>1452.5</v>
      </c>
      <c r="BI9" s="956">
        <f t="shared" si="25"/>
        <v>0</v>
      </c>
      <c r="BJ9" s="957">
        <f t="shared" ref="BJ9:BO9" si="126">BI9</f>
        <v>0</v>
      </c>
      <c r="BK9" s="957">
        <f t="shared" si="126"/>
        <v>0</v>
      </c>
      <c r="BL9" s="957">
        <f t="shared" si="126"/>
        <v>0</v>
      </c>
      <c r="BM9" s="957">
        <f t="shared" si="126"/>
        <v>0</v>
      </c>
      <c r="BN9" s="957">
        <f t="shared" si="126"/>
        <v>0</v>
      </c>
      <c r="BO9" s="957">
        <f t="shared" si="126"/>
        <v>0</v>
      </c>
      <c r="BP9" s="956">
        <f t="shared" si="27"/>
        <v>300</v>
      </c>
      <c r="BQ9" s="957">
        <f t="shared" ref="BQ9:BV9" si="127">BP9</f>
        <v>300</v>
      </c>
      <c r="BR9" s="957">
        <f t="shared" si="127"/>
        <v>300</v>
      </c>
      <c r="BS9" s="957">
        <f t="shared" si="127"/>
        <v>300</v>
      </c>
      <c r="BT9" s="957">
        <f t="shared" si="127"/>
        <v>300</v>
      </c>
      <c r="BU9" s="957">
        <f t="shared" si="127"/>
        <v>300</v>
      </c>
      <c r="BV9" s="957">
        <f t="shared" si="127"/>
        <v>300</v>
      </c>
      <c r="BW9" s="958">
        <f t="shared" si="29"/>
        <v>0</v>
      </c>
      <c r="BX9" s="958">
        <f t="shared" si="30"/>
        <v>0</v>
      </c>
      <c r="BY9" s="958">
        <f t="shared" si="31"/>
        <v>0</v>
      </c>
      <c r="BZ9" s="958">
        <f t="shared" si="31"/>
        <v>0</v>
      </c>
      <c r="CA9" s="958">
        <f t="shared" si="31"/>
        <v>0</v>
      </c>
      <c r="CB9" s="958">
        <f t="shared" si="31"/>
        <v>0</v>
      </c>
      <c r="CC9" s="959">
        <f t="shared" si="31"/>
        <v>0</v>
      </c>
      <c r="CD9" s="535">
        <f t="shared" si="32"/>
        <v>734.19254888169826</v>
      </c>
      <c r="CE9" s="534">
        <f t="shared" ref="CE9:CJ9" si="128">CD9</f>
        <v>734.19254888169826</v>
      </c>
      <c r="CF9" s="534">
        <f t="shared" si="128"/>
        <v>734.19254888169826</v>
      </c>
      <c r="CG9" s="534">
        <f t="shared" si="128"/>
        <v>734.19254888169826</v>
      </c>
      <c r="CH9" s="534">
        <f t="shared" si="128"/>
        <v>734.19254888169826</v>
      </c>
      <c r="CI9" s="534">
        <f t="shared" si="128"/>
        <v>734.19254888169826</v>
      </c>
      <c r="CJ9" s="534">
        <f t="shared" si="128"/>
        <v>734.19254888169826</v>
      </c>
      <c r="CK9" s="960">
        <f t="shared" si="34"/>
        <v>0.58505406251679737</v>
      </c>
      <c r="CL9" s="534">
        <f t="shared" ref="CL9:CQ9" si="129">CK9</f>
        <v>0.58505406251679737</v>
      </c>
      <c r="CM9" s="534">
        <f t="shared" si="129"/>
        <v>0.58505406251679737</v>
      </c>
      <c r="CN9" s="534">
        <f t="shared" si="129"/>
        <v>0.58505406251679737</v>
      </c>
      <c r="CO9" s="534">
        <f t="shared" si="129"/>
        <v>0.58505406251679737</v>
      </c>
      <c r="CP9" s="534">
        <f t="shared" si="129"/>
        <v>0.58505406251679737</v>
      </c>
      <c r="CQ9" s="534">
        <f t="shared" si="129"/>
        <v>0.58505406251679737</v>
      </c>
      <c r="CR9" s="960">
        <f t="shared" si="36"/>
        <v>35.406727089434739</v>
      </c>
      <c r="CS9" s="534">
        <f t="shared" ref="CS9:CX9" si="130">CR9</f>
        <v>35.406727089434739</v>
      </c>
      <c r="CT9" s="534">
        <f t="shared" si="130"/>
        <v>35.406727089434739</v>
      </c>
      <c r="CU9" s="534">
        <f t="shared" si="130"/>
        <v>35.406727089434739</v>
      </c>
      <c r="CV9" s="534">
        <f t="shared" si="130"/>
        <v>35.406727089434739</v>
      </c>
      <c r="CW9" s="534">
        <f t="shared" si="130"/>
        <v>35.406727089434739</v>
      </c>
      <c r="CX9" s="534">
        <f t="shared" si="130"/>
        <v>35.406727089434739</v>
      </c>
      <c r="CY9" s="961">
        <f t="shared" si="38"/>
        <v>0</v>
      </c>
      <c r="CZ9" s="532">
        <f t="shared" si="39"/>
        <v>0</v>
      </c>
      <c r="DA9" s="532">
        <f t="shared" si="40"/>
        <v>0</v>
      </c>
      <c r="DB9" s="532">
        <f t="shared" si="41"/>
        <v>0</v>
      </c>
      <c r="DC9" s="532">
        <f t="shared" si="42"/>
        <v>0</v>
      </c>
      <c r="DD9" s="532">
        <f t="shared" si="43"/>
        <v>0</v>
      </c>
      <c r="DE9" s="962">
        <f t="shared" si="44"/>
        <v>0</v>
      </c>
      <c r="DF9" s="961">
        <f t="shared" si="89"/>
        <v>0</v>
      </c>
      <c r="DG9" s="532">
        <f t="shared" si="45"/>
        <v>0</v>
      </c>
      <c r="DH9" s="532">
        <f t="shared" si="46"/>
        <v>0</v>
      </c>
      <c r="DI9" s="532">
        <f t="shared" si="47"/>
        <v>0</v>
      </c>
      <c r="DJ9" s="532">
        <f t="shared" si="48"/>
        <v>0</v>
      </c>
      <c r="DK9" s="532">
        <f t="shared" si="49"/>
        <v>0</v>
      </c>
      <c r="DL9" s="963">
        <f t="shared" si="50"/>
        <v>0</v>
      </c>
      <c r="DM9" s="961">
        <f t="shared" si="90"/>
        <v>0</v>
      </c>
      <c r="DN9" s="533">
        <f t="shared" si="51"/>
        <v>0</v>
      </c>
      <c r="DO9" s="532">
        <f t="shared" si="52"/>
        <v>0</v>
      </c>
      <c r="DP9" s="532">
        <f t="shared" si="53"/>
        <v>0</v>
      </c>
      <c r="DQ9" s="532">
        <f t="shared" si="54"/>
        <v>0</v>
      </c>
      <c r="DR9" s="532">
        <f t="shared" si="55"/>
        <v>0</v>
      </c>
      <c r="DS9" s="963">
        <f t="shared" si="56"/>
        <v>0</v>
      </c>
      <c r="DT9" s="961">
        <f t="shared" si="57"/>
        <v>0</v>
      </c>
      <c r="DU9" s="532">
        <f t="shared" si="58"/>
        <v>0</v>
      </c>
      <c r="DV9" s="532">
        <f t="shared" si="59"/>
        <v>0</v>
      </c>
      <c r="DW9" s="532">
        <f t="shared" si="60"/>
        <v>0</v>
      </c>
      <c r="DX9" s="532">
        <f t="shared" si="61"/>
        <v>0</v>
      </c>
      <c r="DY9" s="532">
        <f t="shared" si="62"/>
        <v>0</v>
      </c>
      <c r="DZ9" s="963">
        <f t="shared" si="63"/>
        <v>0</v>
      </c>
      <c r="EA9" s="960">
        <f t="shared" si="91"/>
        <v>0</v>
      </c>
      <c r="EB9" s="534">
        <f t="shared" si="92"/>
        <v>0</v>
      </c>
      <c r="EC9" s="534">
        <f t="shared" si="93"/>
        <v>0</v>
      </c>
      <c r="ED9" s="534">
        <f t="shared" si="94"/>
        <v>0</v>
      </c>
      <c r="EE9" s="534">
        <f t="shared" si="95"/>
        <v>0</v>
      </c>
      <c r="EF9" s="534">
        <f t="shared" si="96"/>
        <v>0</v>
      </c>
      <c r="EG9" s="964">
        <f t="shared" si="97"/>
        <v>0</v>
      </c>
      <c r="EH9" s="960">
        <f t="shared" si="65"/>
        <v>0</v>
      </c>
      <c r="EI9" s="534">
        <f t="shared" si="66"/>
        <v>0</v>
      </c>
      <c r="EJ9" s="534">
        <f t="shared" si="67"/>
        <v>0</v>
      </c>
      <c r="EK9" s="534">
        <f t="shared" si="68"/>
        <v>0</v>
      </c>
      <c r="EL9" s="534">
        <f t="shared" si="69"/>
        <v>0</v>
      </c>
      <c r="EM9" s="534">
        <f t="shared" si="70"/>
        <v>0</v>
      </c>
      <c r="EN9" s="964">
        <f t="shared" si="71"/>
        <v>0</v>
      </c>
      <c r="EO9" s="535">
        <f t="shared" si="72"/>
        <v>0</v>
      </c>
      <c r="EP9" s="534">
        <f t="shared" si="73"/>
        <v>0</v>
      </c>
      <c r="EQ9" s="534">
        <f t="shared" si="74"/>
        <v>0</v>
      </c>
      <c r="ER9" s="534">
        <f t="shared" si="75"/>
        <v>0</v>
      </c>
      <c r="ES9" s="534">
        <f t="shared" si="76"/>
        <v>0</v>
      </c>
      <c r="ET9" s="534">
        <f t="shared" si="77"/>
        <v>0</v>
      </c>
      <c r="EU9" s="964">
        <f t="shared" si="78"/>
        <v>0</v>
      </c>
      <c r="EV9" s="965">
        <f t="shared" si="98"/>
        <v>0</v>
      </c>
      <c r="EW9" s="966">
        <f t="shared" si="99"/>
        <v>0</v>
      </c>
      <c r="EX9" s="966">
        <f t="shared" si="100"/>
        <v>0</v>
      </c>
      <c r="EY9" s="966">
        <f t="shared" si="101"/>
        <v>0</v>
      </c>
      <c r="EZ9" s="966">
        <f t="shared" si="102"/>
        <v>0</v>
      </c>
      <c r="FA9" s="967">
        <f t="shared" si="103"/>
        <v>0</v>
      </c>
      <c r="FB9" s="967">
        <f t="shared" si="104"/>
        <v>0</v>
      </c>
      <c r="FC9" s="968">
        <f t="shared" si="105"/>
        <v>0</v>
      </c>
      <c r="FE9" s="10" t="b">
        <f t="shared" si="115"/>
        <v>1</v>
      </c>
      <c r="FF9" s="10" t="b">
        <f t="shared" si="116"/>
        <v>1</v>
      </c>
      <c r="FG9" s="10" t="b">
        <f t="shared" si="117"/>
        <v>1</v>
      </c>
      <c r="FH9" s="10" t="b">
        <f t="shared" si="118"/>
        <v>1</v>
      </c>
      <c r="FI9" s="10" t="b">
        <f t="shared" si="119"/>
        <v>1</v>
      </c>
      <c r="FJ9" s="10" t="b">
        <f t="shared" si="120"/>
        <v>1</v>
      </c>
      <c r="FK9" s="10" t="b">
        <f t="shared" si="121"/>
        <v>1</v>
      </c>
      <c r="FL9" s="10" t="b">
        <f t="shared" si="122"/>
        <v>1</v>
      </c>
    </row>
    <row r="10" spans="1:168" s="536" customFormat="1" ht="12.75" hidden="1" customHeight="1">
      <c r="A10" s="941">
        <v>5</v>
      </c>
      <c r="B10" s="942" t="str">
        <f>'REFERENCE-HomeEnergyPerformance'!B46</f>
        <v>Weatherization-Infiltration Control - Reduction of Existing Conditions</v>
      </c>
      <c r="C10" s="942" t="str">
        <f>'REFERENCE-HomeEnergyPerformance'!C46</f>
        <v>Infiltration Control - 0.1 ACH Reduction</v>
      </c>
      <c r="D10" s="942" t="str">
        <f>'REFERENCE-HomeEnergyPerformance'!D46</f>
        <v>Existing Infiltration Conditions</v>
      </c>
      <c r="E10" s="942" t="str">
        <f>'REFERENCE-HomeEnergyPerformance'!E25</f>
        <v>Per Unit</v>
      </c>
      <c r="F10" s="942" t="str">
        <f>INDEX('REFERENCE-HomeEnergyPerformance'!$B$6:$FB$148,MATCH('Residential Audit Online'!$B10,'REFERENCE-HomeEnergyPerformance'!$B$6:$B$148,0),MATCH('Residential Audit Online'!F$5,'REFERENCE-HomeEnergyPerformance'!$B$5:$FB$5,0))</f>
        <v>Incremental Cost</v>
      </c>
      <c r="G10" s="943">
        <f>INDEX('REFERENCE-HomeEnergyPerformance'!$B$6:$FB$148,MATCH('Residential Audit Online'!$B10,'REFERENCE-HomeEnergyPerformance'!$B$6:$B$148,0),MATCH('Residential Audit Online'!G$5,'REFERENCE-HomeEnergyPerformance'!$B$5:$FB$5,0))*125%</f>
        <v>400.59300000000002</v>
      </c>
      <c r="H10" s="942">
        <f>INDEX('REFERENCE-HomeEnergyPerformance'!$B$6:$FB$148,MATCH('Residential Audit Online'!$B10,'REFERENCE-HomeEnergyPerformance'!$B$6:$B$148,0),MATCH('Residential Audit Online'!H$5,'REFERENCE-HomeEnergyPerformance'!$B$5:$FB$5,0))</f>
        <v>0</v>
      </c>
      <c r="I10" s="545">
        <f t="shared" si="106"/>
        <v>400.59300000000002</v>
      </c>
      <c r="J10" s="942">
        <f>INDEX('REFERENCE-HomeEnergyPerformance'!$B$6:$FB$148,MATCH('Residential Audit Online'!$B10,'REFERENCE-HomeEnergyPerformance'!$B$6:$B$148,0),MATCH('Residential Audit Online'!J$5,'REFERENCE-HomeEnergyPerformance'!$B$5:$FB$5,0))</f>
        <v>0</v>
      </c>
      <c r="K10" s="545">
        <f t="shared" si="107"/>
        <v>200.29650000000001</v>
      </c>
      <c r="L10" s="942" t="s">
        <v>923</v>
      </c>
      <c r="M10" s="942" t="str">
        <f>INDEX('REFERENCE-HomeEnergyPerformance'!$B$6:$FB$148,MATCH('Residential Audit Online'!$B10,'REFERENCE-HomeEnergyPerformance'!$B$6:$B$148,0),MATCH('Residential Audit Online'!M$5,'REFERENCE-HomeEnergyPerformance'!$B$5:$FB$5,0))</f>
        <v>NA</v>
      </c>
      <c r="N10" s="942">
        <f>INDEX('REFERENCE-HomeEnergyPerformance'!$B$6:$FB$148,MATCH('Residential Audit Online'!$B10,'REFERENCE-HomeEnergyPerformance'!$B$6:$B$148,0),MATCH('Residential Audit Online'!N$5,'REFERENCE-HomeEnergyPerformance'!$B$5:$FB$5,0))</f>
        <v>160</v>
      </c>
      <c r="O10" s="942">
        <f>INDEX('REFERENCE-HomeEnergyPerformance'!$B$6:$FB$148,MATCH('Residential Audit Online'!$B10,'REFERENCE-HomeEnergyPerformance'!$B$6:$B$148,0),MATCH('Residential Audit Online'!O$5,'REFERENCE-HomeEnergyPerformance'!$B$5:$FB$5,0))</f>
        <v>0</v>
      </c>
      <c r="P10" s="942">
        <f>INDEX('REFERENCE-HomeEnergyPerformance'!$B$6:$FB$148,MATCH('Residential Audit Online'!$B10,'REFERENCE-HomeEnergyPerformance'!$B$6:$B$148,0),MATCH('Residential Audit Online'!P$5,'REFERENCE-HomeEnergyPerformance'!$B$5:$FB$5,0))</f>
        <v>0</v>
      </c>
      <c r="Q10" s="944">
        <f>INDEX('REFERENCE-HomeEnergyPerformance'!$B$6:$FB$148,MATCH('Residential Audit Online'!$B10,'REFERENCE-HomeEnergyPerformance'!$B$6:$B$148,0),MATCH('Residential Audit Online'!Q$5,'REFERENCE-HomeEnergyPerformance'!$B$5:$FB$5,0))</f>
        <v>67.901079101881706</v>
      </c>
      <c r="R10" s="944">
        <f>INDEX('REFERENCE-HomeEnergyPerformance'!$B$6:$FB$148,MATCH('Residential Audit Online'!$B10,'REFERENCE-HomeEnergyPerformance'!$B$6:$B$148,0),MATCH('Residential Audit Online'!R$5,'REFERENCE-HomeEnergyPerformance'!$B$5:$FB$5,0))</f>
        <v>4.0429413628181456E-2</v>
      </c>
      <c r="S10" s="945">
        <f t="shared" si="123"/>
        <v>4.9650899135728759</v>
      </c>
      <c r="T10" s="942" t="str">
        <f>INDEX('REFERENCE-HomeEnergyPerformance'!$B$6:$FB$148,MATCH('Residential Audit Online'!$B10,'REFERENCE-HomeEnergyPerformance'!$B$6:$B$148,0),MATCH('Residential Audit Online'!T$5,'REFERENCE-HomeEnergyPerformance'!$B$5:$FB$5,0))</f>
        <v>Potential Study Results: Cadmus analysis using building modeling to calculate measure percent savings</v>
      </c>
      <c r="U10" s="946">
        <v>0.05</v>
      </c>
      <c r="V10" s="947">
        <v>1</v>
      </c>
      <c r="W10" s="948"/>
      <c r="X10" s="948"/>
      <c r="Y10" s="948"/>
      <c r="Z10" s="948"/>
      <c r="AA10" s="949"/>
      <c r="AB10" s="949"/>
      <c r="AC10" s="949"/>
      <c r="AD10" s="950">
        <f t="shared" ref="AD10" si="131">AD61</f>
        <v>0</v>
      </c>
      <c r="AE10" s="950">
        <v>0</v>
      </c>
      <c r="AF10" s="950">
        <v>0</v>
      </c>
      <c r="AG10" s="950">
        <v>0</v>
      </c>
      <c r="AH10" s="950">
        <v>0</v>
      </c>
      <c r="AI10" s="950">
        <v>0</v>
      </c>
      <c r="AJ10" s="950">
        <v>0</v>
      </c>
      <c r="AK10" s="951" t="s">
        <v>374</v>
      </c>
      <c r="AL10" s="952" t="s">
        <v>375</v>
      </c>
      <c r="AM10" s="952" t="s">
        <v>377</v>
      </c>
      <c r="AN10" s="952" t="s">
        <v>377</v>
      </c>
      <c r="AO10" s="952" t="s">
        <v>1</v>
      </c>
      <c r="AP10" s="952" t="s">
        <v>378</v>
      </c>
      <c r="AQ10" s="952" t="s">
        <v>378</v>
      </c>
      <c r="AR10" s="952" t="s">
        <v>378</v>
      </c>
      <c r="AS10" s="951" t="s">
        <v>379</v>
      </c>
      <c r="AT10" s="951" t="s">
        <v>407</v>
      </c>
      <c r="AU10" s="951" t="s">
        <v>381</v>
      </c>
      <c r="AV10" s="953">
        <v>20</v>
      </c>
      <c r="AW10" s="953">
        <v>20</v>
      </c>
      <c r="AX10" s="952"/>
      <c r="AY10" s="954">
        <v>1</v>
      </c>
      <c r="AZ10" s="954">
        <v>1</v>
      </c>
      <c r="BA10" s="955">
        <v>1</v>
      </c>
      <c r="BB10" s="956">
        <f t="shared" si="23"/>
        <v>400.59300000000002</v>
      </c>
      <c r="BC10" s="957">
        <f t="shared" ref="BC10:BH10" si="132">BB10</f>
        <v>400.59300000000002</v>
      </c>
      <c r="BD10" s="957">
        <f t="shared" si="132"/>
        <v>400.59300000000002</v>
      </c>
      <c r="BE10" s="957">
        <f t="shared" si="132"/>
        <v>400.59300000000002</v>
      </c>
      <c r="BF10" s="957">
        <f t="shared" si="132"/>
        <v>400.59300000000002</v>
      </c>
      <c r="BG10" s="957">
        <f t="shared" si="132"/>
        <v>400.59300000000002</v>
      </c>
      <c r="BH10" s="957">
        <f t="shared" si="132"/>
        <v>400.59300000000002</v>
      </c>
      <c r="BI10" s="956">
        <f t="shared" si="25"/>
        <v>0</v>
      </c>
      <c r="BJ10" s="957">
        <f t="shared" ref="BJ10:BO10" si="133">BI10</f>
        <v>0</v>
      </c>
      <c r="BK10" s="957">
        <f t="shared" si="133"/>
        <v>0</v>
      </c>
      <c r="BL10" s="957">
        <f t="shared" si="133"/>
        <v>0</v>
      </c>
      <c r="BM10" s="957">
        <f t="shared" si="133"/>
        <v>0</v>
      </c>
      <c r="BN10" s="957">
        <f t="shared" si="133"/>
        <v>0</v>
      </c>
      <c r="BO10" s="957">
        <f t="shared" si="133"/>
        <v>0</v>
      </c>
      <c r="BP10" s="956">
        <f t="shared" si="27"/>
        <v>160</v>
      </c>
      <c r="BQ10" s="957">
        <f t="shared" ref="BQ10:BV10" si="134">BP10</f>
        <v>160</v>
      </c>
      <c r="BR10" s="957">
        <f t="shared" si="134"/>
        <v>160</v>
      </c>
      <c r="BS10" s="957">
        <f t="shared" si="134"/>
        <v>160</v>
      </c>
      <c r="BT10" s="957">
        <f t="shared" si="134"/>
        <v>160</v>
      </c>
      <c r="BU10" s="957">
        <f t="shared" si="134"/>
        <v>160</v>
      </c>
      <c r="BV10" s="957">
        <f t="shared" si="134"/>
        <v>160</v>
      </c>
      <c r="BW10" s="958">
        <f t="shared" si="29"/>
        <v>0</v>
      </c>
      <c r="BX10" s="958">
        <f t="shared" si="30"/>
        <v>0</v>
      </c>
      <c r="BY10" s="958">
        <f t="shared" si="31"/>
        <v>0</v>
      </c>
      <c r="BZ10" s="958">
        <f t="shared" si="31"/>
        <v>0</v>
      </c>
      <c r="CA10" s="958">
        <f t="shared" si="31"/>
        <v>0</v>
      </c>
      <c r="CB10" s="958">
        <f t="shared" si="31"/>
        <v>0</v>
      </c>
      <c r="CC10" s="959">
        <f t="shared" si="31"/>
        <v>0</v>
      </c>
      <c r="CD10" s="535">
        <f t="shared" si="32"/>
        <v>67.901079101881706</v>
      </c>
      <c r="CE10" s="534">
        <f t="shared" ref="CE10:CJ10" si="135">CD10</f>
        <v>67.901079101881706</v>
      </c>
      <c r="CF10" s="534">
        <f t="shared" si="135"/>
        <v>67.901079101881706</v>
      </c>
      <c r="CG10" s="534">
        <f t="shared" si="135"/>
        <v>67.901079101881706</v>
      </c>
      <c r="CH10" s="534">
        <f t="shared" si="135"/>
        <v>67.901079101881706</v>
      </c>
      <c r="CI10" s="534">
        <f t="shared" si="135"/>
        <v>67.901079101881706</v>
      </c>
      <c r="CJ10" s="534">
        <f t="shared" si="135"/>
        <v>67.901079101881706</v>
      </c>
      <c r="CK10" s="960">
        <f t="shared" si="34"/>
        <v>4.0429413628181456E-2</v>
      </c>
      <c r="CL10" s="534">
        <f t="shared" ref="CL10:CQ10" si="136">CK10</f>
        <v>4.0429413628181456E-2</v>
      </c>
      <c r="CM10" s="534">
        <f t="shared" si="136"/>
        <v>4.0429413628181456E-2</v>
      </c>
      <c r="CN10" s="534">
        <f t="shared" si="136"/>
        <v>4.0429413628181456E-2</v>
      </c>
      <c r="CO10" s="534">
        <f t="shared" si="136"/>
        <v>4.0429413628181456E-2</v>
      </c>
      <c r="CP10" s="534">
        <f t="shared" si="136"/>
        <v>4.0429413628181456E-2</v>
      </c>
      <c r="CQ10" s="534">
        <f t="shared" si="136"/>
        <v>4.0429413628181456E-2</v>
      </c>
      <c r="CR10" s="960">
        <f t="shared" si="36"/>
        <v>4.9650899135728759</v>
      </c>
      <c r="CS10" s="534">
        <f t="shared" ref="CS10:CX10" si="137">CR10</f>
        <v>4.9650899135728759</v>
      </c>
      <c r="CT10" s="534">
        <f t="shared" si="137"/>
        <v>4.9650899135728759</v>
      </c>
      <c r="CU10" s="534">
        <f t="shared" si="137"/>
        <v>4.9650899135728759</v>
      </c>
      <c r="CV10" s="534">
        <f t="shared" si="137"/>
        <v>4.9650899135728759</v>
      </c>
      <c r="CW10" s="534">
        <f t="shared" si="137"/>
        <v>4.9650899135728759</v>
      </c>
      <c r="CX10" s="534">
        <f t="shared" si="137"/>
        <v>4.9650899135728759</v>
      </c>
      <c r="CY10" s="961">
        <f t="shared" si="38"/>
        <v>0</v>
      </c>
      <c r="CZ10" s="532">
        <f t="shared" si="39"/>
        <v>0</v>
      </c>
      <c r="DA10" s="532">
        <f t="shared" si="40"/>
        <v>0</v>
      </c>
      <c r="DB10" s="532">
        <f t="shared" si="41"/>
        <v>0</v>
      </c>
      <c r="DC10" s="532">
        <f t="shared" si="42"/>
        <v>0</v>
      </c>
      <c r="DD10" s="532">
        <f t="shared" si="43"/>
        <v>0</v>
      </c>
      <c r="DE10" s="962">
        <f t="shared" si="44"/>
        <v>0</v>
      </c>
      <c r="DF10" s="961">
        <f t="shared" si="89"/>
        <v>0</v>
      </c>
      <c r="DG10" s="532">
        <f t="shared" si="45"/>
        <v>0</v>
      </c>
      <c r="DH10" s="532">
        <f t="shared" si="46"/>
        <v>0</v>
      </c>
      <c r="DI10" s="532">
        <f t="shared" si="47"/>
        <v>0</v>
      </c>
      <c r="DJ10" s="532">
        <f t="shared" si="48"/>
        <v>0</v>
      </c>
      <c r="DK10" s="532">
        <f t="shared" si="49"/>
        <v>0</v>
      </c>
      <c r="DL10" s="963">
        <f t="shared" si="50"/>
        <v>0</v>
      </c>
      <c r="DM10" s="961">
        <f t="shared" si="90"/>
        <v>0</v>
      </c>
      <c r="DN10" s="533">
        <f t="shared" si="51"/>
        <v>0</v>
      </c>
      <c r="DO10" s="532">
        <f t="shared" si="52"/>
        <v>0</v>
      </c>
      <c r="DP10" s="532">
        <f t="shared" si="53"/>
        <v>0</v>
      </c>
      <c r="DQ10" s="532">
        <f t="shared" si="54"/>
        <v>0</v>
      </c>
      <c r="DR10" s="532">
        <f t="shared" si="55"/>
        <v>0</v>
      </c>
      <c r="DS10" s="963">
        <f t="shared" si="56"/>
        <v>0</v>
      </c>
      <c r="DT10" s="961">
        <f t="shared" si="57"/>
        <v>0</v>
      </c>
      <c r="DU10" s="532">
        <f t="shared" si="58"/>
        <v>0</v>
      </c>
      <c r="DV10" s="532">
        <f t="shared" si="59"/>
        <v>0</v>
      </c>
      <c r="DW10" s="532">
        <f t="shared" si="60"/>
        <v>0</v>
      </c>
      <c r="DX10" s="532">
        <f t="shared" si="61"/>
        <v>0</v>
      </c>
      <c r="DY10" s="532">
        <f t="shared" si="62"/>
        <v>0</v>
      </c>
      <c r="DZ10" s="963">
        <f t="shared" si="63"/>
        <v>0</v>
      </c>
      <c r="EA10" s="960">
        <f t="shared" si="91"/>
        <v>0</v>
      </c>
      <c r="EB10" s="534">
        <f t="shared" si="92"/>
        <v>0</v>
      </c>
      <c r="EC10" s="534">
        <f t="shared" si="93"/>
        <v>0</v>
      </c>
      <c r="ED10" s="534">
        <f t="shared" si="94"/>
        <v>0</v>
      </c>
      <c r="EE10" s="534">
        <f t="shared" si="95"/>
        <v>0</v>
      </c>
      <c r="EF10" s="534">
        <f t="shared" si="96"/>
        <v>0</v>
      </c>
      <c r="EG10" s="964">
        <f t="shared" si="97"/>
        <v>0</v>
      </c>
      <c r="EH10" s="960">
        <f t="shared" si="65"/>
        <v>0</v>
      </c>
      <c r="EI10" s="534">
        <f t="shared" si="66"/>
        <v>0</v>
      </c>
      <c r="EJ10" s="534">
        <f t="shared" si="67"/>
        <v>0</v>
      </c>
      <c r="EK10" s="534">
        <f t="shared" si="68"/>
        <v>0</v>
      </c>
      <c r="EL10" s="534">
        <f t="shared" si="69"/>
        <v>0</v>
      </c>
      <c r="EM10" s="534">
        <f t="shared" si="70"/>
        <v>0</v>
      </c>
      <c r="EN10" s="964">
        <f t="shared" si="71"/>
        <v>0</v>
      </c>
      <c r="EO10" s="535">
        <f t="shared" si="72"/>
        <v>0</v>
      </c>
      <c r="EP10" s="534">
        <f t="shared" si="73"/>
        <v>0</v>
      </c>
      <c r="EQ10" s="534">
        <f t="shared" si="74"/>
        <v>0</v>
      </c>
      <c r="ER10" s="534">
        <f t="shared" si="75"/>
        <v>0</v>
      </c>
      <c r="ES10" s="534">
        <f t="shared" si="76"/>
        <v>0</v>
      </c>
      <c r="ET10" s="534">
        <f t="shared" si="77"/>
        <v>0</v>
      </c>
      <c r="EU10" s="964">
        <f t="shared" si="78"/>
        <v>0</v>
      </c>
      <c r="EV10" s="965">
        <f t="shared" si="98"/>
        <v>0</v>
      </c>
      <c r="EW10" s="966">
        <f t="shared" si="99"/>
        <v>0</v>
      </c>
      <c r="EX10" s="966">
        <f t="shared" si="100"/>
        <v>0</v>
      </c>
      <c r="EY10" s="966">
        <f t="shared" si="101"/>
        <v>0</v>
      </c>
      <c r="EZ10" s="966">
        <f t="shared" si="102"/>
        <v>0</v>
      </c>
      <c r="FA10" s="967">
        <f t="shared" si="103"/>
        <v>0</v>
      </c>
      <c r="FB10" s="967">
        <f t="shared" si="104"/>
        <v>0</v>
      </c>
      <c r="FC10" s="968">
        <f t="shared" si="105"/>
        <v>0</v>
      </c>
      <c r="FE10" s="10" t="b">
        <f t="shared" si="115"/>
        <v>1</v>
      </c>
      <c r="FF10" s="10" t="b">
        <f t="shared" si="116"/>
        <v>1</v>
      </c>
      <c r="FG10" s="10" t="b">
        <f t="shared" si="117"/>
        <v>1</v>
      </c>
      <c r="FH10" s="10" t="b">
        <f t="shared" si="118"/>
        <v>1</v>
      </c>
      <c r="FI10" s="10" t="b">
        <f t="shared" si="119"/>
        <v>1</v>
      </c>
      <c r="FJ10" s="10" t="b">
        <f t="shared" si="120"/>
        <v>1</v>
      </c>
      <c r="FK10" s="10" t="b">
        <f t="shared" si="121"/>
        <v>1</v>
      </c>
      <c r="FL10" s="10" t="b">
        <f t="shared" si="122"/>
        <v>1</v>
      </c>
    </row>
    <row r="11" spans="1:168" s="536" customFormat="1" ht="12.75" hidden="1" customHeight="1">
      <c r="A11" s="941">
        <v>6</v>
      </c>
      <c r="B11" s="942" t="str">
        <f>'REFERENCE-HomeEnergyPerformance'!B47</f>
        <v>Weatherization-Wall Insulation (KY) - Maximum Feasible</v>
      </c>
      <c r="C11" s="942" t="str">
        <f>'REFERENCE-HomeEnergyPerformance'!C47</f>
        <v>R-13 (Maximum Insulation Feasible)</v>
      </c>
      <c r="D11" s="942" t="str">
        <f>'REFERENCE-HomeEnergyPerformance'!D47</f>
        <v>Average Existing Insulation</v>
      </c>
      <c r="E11" s="942" t="str">
        <f>'REFERENCE-HomeEnergyPerformance'!E26</f>
        <v>Per Unit</v>
      </c>
      <c r="F11" s="942" t="str">
        <f>INDEX('REFERENCE-HomeEnergyPerformance'!$B$6:$FB$148,MATCH('Residential Audit Online'!$B11,'REFERENCE-HomeEnergyPerformance'!$B$6:$B$148,0),MATCH('Residential Audit Online'!F$5,'REFERENCE-HomeEnergyPerformance'!$B$5:$FB$5,0))</f>
        <v>Incremental Cost</v>
      </c>
      <c r="G11" s="943">
        <f>INDEX('REFERENCE-HomeEnergyPerformance'!$B$6:$FB$148,MATCH('Residential Audit Online'!$B11,'REFERENCE-HomeEnergyPerformance'!$B$6:$B$148,0),MATCH('Residential Audit Online'!G$5,'REFERENCE-HomeEnergyPerformance'!$B$5:$FB$5,0))*125%</f>
        <v>2352.2559999999999</v>
      </c>
      <c r="H11" s="942">
        <f>INDEX('REFERENCE-HomeEnergyPerformance'!$B$6:$FB$148,MATCH('Residential Audit Online'!$B11,'REFERENCE-HomeEnergyPerformance'!$B$6:$B$148,0),MATCH('Residential Audit Online'!H$5,'REFERENCE-HomeEnergyPerformance'!$B$5:$FB$5,0))</f>
        <v>0</v>
      </c>
      <c r="I11" s="545">
        <f t="shared" si="106"/>
        <v>2352.2559999999999</v>
      </c>
      <c r="J11" s="942">
        <f>INDEX('REFERENCE-HomeEnergyPerformance'!$B$6:$FB$148,MATCH('Residential Audit Online'!$B11,'REFERENCE-HomeEnergyPerformance'!$B$6:$B$148,0),MATCH('Residential Audit Online'!J$5,'REFERENCE-HomeEnergyPerformance'!$B$5:$FB$5,0))</f>
        <v>0</v>
      </c>
      <c r="K11" s="545">
        <f t="shared" si="107"/>
        <v>1176.1279999999999</v>
      </c>
      <c r="L11" s="942" t="s">
        <v>923</v>
      </c>
      <c r="M11" s="942" t="str">
        <f>INDEX('REFERENCE-HomeEnergyPerformance'!$B$6:$FB$148,MATCH('Residential Audit Online'!$B11,'REFERENCE-HomeEnergyPerformance'!$B$6:$B$148,0),MATCH('Residential Audit Online'!M$5,'REFERENCE-HomeEnergyPerformance'!$B$5:$FB$5,0))</f>
        <v>NA</v>
      </c>
      <c r="N11" s="942">
        <f>INDEX('REFERENCE-HomeEnergyPerformance'!$B$6:$FB$148,MATCH('Residential Audit Online'!$B11,'REFERENCE-HomeEnergyPerformance'!$B$6:$B$148,0),MATCH('Residential Audit Online'!N$5,'REFERENCE-HomeEnergyPerformance'!$B$5:$FB$5,0))</f>
        <v>300</v>
      </c>
      <c r="O11" s="942">
        <f>INDEX('REFERENCE-HomeEnergyPerformance'!$B$6:$FB$148,MATCH('Residential Audit Online'!$B11,'REFERENCE-HomeEnergyPerformance'!$B$6:$B$148,0),MATCH('Residential Audit Online'!O$5,'REFERENCE-HomeEnergyPerformance'!$B$5:$FB$5,0))</f>
        <v>0</v>
      </c>
      <c r="P11" s="942">
        <f>INDEX('REFERENCE-HomeEnergyPerformance'!$B$6:$FB$148,MATCH('Residential Audit Online'!$B11,'REFERENCE-HomeEnergyPerformance'!$B$6:$B$148,0),MATCH('Residential Audit Online'!P$5,'REFERENCE-HomeEnergyPerformance'!$B$5:$FB$5,0))</f>
        <v>0</v>
      </c>
      <c r="Q11" s="944">
        <f>INDEX('REFERENCE-HomeEnergyPerformance'!$B$6:$FB$148,MATCH('Residential Audit Online'!$B11,'REFERENCE-HomeEnergyPerformance'!$B$6:$B$148,0),MATCH('Residential Audit Online'!Q$5,'REFERENCE-HomeEnergyPerformance'!$B$5:$FB$5,0))</f>
        <v>871.60811609264829</v>
      </c>
      <c r="R11" s="944">
        <f>INDEX('REFERENCE-HomeEnergyPerformance'!$B$6:$FB$148,MATCH('Residential Audit Online'!$B11,'REFERENCE-HomeEnergyPerformance'!$B$6:$B$148,0),MATCH('Residential Audit Online'!R$5,'REFERENCE-HomeEnergyPerformance'!$B$5:$FB$5,0))</f>
        <v>0.3829215253219283</v>
      </c>
      <c r="S11" s="945">
        <f t="shared" si="123"/>
        <v>66.948447298614283</v>
      </c>
      <c r="T11" s="942" t="str">
        <f>INDEX('REFERENCE-HomeEnergyPerformance'!$B$6:$FB$148,MATCH('Residential Audit Online'!$B11,'REFERENCE-HomeEnergyPerformance'!$B$6:$B$148,0),MATCH('Residential Audit Online'!T$5,'REFERENCE-HomeEnergyPerformance'!$B$5:$FB$5,0))</f>
        <v>Potential Study Results: Engineering Calculation</v>
      </c>
      <c r="U11" s="946">
        <v>0.05</v>
      </c>
      <c r="V11" s="947">
        <v>1</v>
      </c>
      <c r="W11" s="948"/>
      <c r="X11" s="948"/>
      <c r="Y11" s="948"/>
      <c r="Z11" s="948"/>
      <c r="AA11" s="949"/>
      <c r="AB11" s="949"/>
      <c r="AC11" s="949"/>
      <c r="AD11" s="950">
        <f t="shared" ref="AD11" si="138">AD62</f>
        <v>0</v>
      </c>
      <c r="AE11" s="950">
        <v>0</v>
      </c>
      <c r="AF11" s="950">
        <v>0</v>
      </c>
      <c r="AG11" s="950">
        <v>0</v>
      </c>
      <c r="AH11" s="950">
        <v>0</v>
      </c>
      <c r="AI11" s="950">
        <v>0</v>
      </c>
      <c r="AJ11" s="950">
        <v>0</v>
      </c>
      <c r="AK11" s="951" t="s">
        <v>374</v>
      </c>
      <c r="AL11" s="952" t="s">
        <v>375</v>
      </c>
      <c r="AM11" s="952" t="s">
        <v>377</v>
      </c>
      <c r="AN11" s="952" t="s">
        <v>377</v>
      </c>
      <c r="AO11" s="952" t="s">
        <v>1</v>
      </c>
      <c r="AP11" s="952" t="s">
        <v>378</v>
      </c>
      <c r="AQ11" s="952" t="s">
        <v>378</v>
      </c>
      <c r="AR11" s="952" t="s">
        <v>378</v>
      </c>
      <c r="AS11" s="951" t="s">
        <v>379</v>
      </c>
      <c r="AT11" s="951" t="s">
        <v>407</v>
      </c>
      <c r="AU11" s="951" t="s">
        <v>381</v>
      </c>
      <c r="AV11" s="953">
        <v>20</v>
      </c>
      <c r="AW11" s="953">
        <v>20</v>
      </c>
      <c r="AX11" s="952"/>
      <c r="AY11" s="954">
        <v>1</v>
      </c>
      <c r="AZ11" s="954">
        <v>1</v>
      </c>
      <c r="BA11" s="955">
        <v>1</v>
      </c>
      <c r="BB11" s="956">
        <f t="shared" si="23"/>
        <v>2352.2559999999999</v>
      </c>
      <c r="BC11" s="957">
        <f t="shared" ref="BC11:BH11" si="139">BB11</f>
        <v>2352.2559999999999</v>
      </c>
      <c r="BD11" s="957">
        <f t="shared" si="139"/>
        <v>2352.2559999999999</v>
      </c>
      <c r="BE11" s="957">
        <f t="shared" si="139"/>
        <v>2352.2559999999999</v>
      </c>
      <c r="BF11" s="957">
        <f t="shared" si="139"/>
        <v>2352.2559999999999</v>
      </c>
      <c r="BG11" s="957">
        <f t="shared" si="139"/>
        <v>2352.2559999999999</v>
      </c>
      <c r="BH11" s="957">
        <f t="shared" si="139"/>
        <v>2352.2559999999999</v>
      </c>
      <c r="BI11" s="956">
        <f t="shared" si="25"/>
        <v>0</v>
      </c>
      <c r="BJ11" s="957">
        <f t="shared" ref="BJ11:BO11" si="140">BI11</f>
        <v>0</v>
      </c>
      <c r="BK11" s="957">
        <f t="shared" si="140"/>
        <v>0</v>
      </c>
      <c r="BL11" s="957">
        <f t="shared" si="140"/>
        <v>0</v>
      </c>
      <c r="BM11" s="957">
        <f t="shared" si="140"/>
        <v>0</v>
      </c>
      <c r="BN11" s="957">
        <f t="shared" si="140"/>
        <v>0</v>
      </c>
      <c r="BO11" s="957">
        <f t="shared" si="140"/>
        <v>0</v>
      </c>
      <c r="BP11" s="956">
        <f t="shared" si="27"/>
        <v>300</v>
      </c>
      <c r="BQ11" s="957">
        <f t="shared" ref="BQ11:BV11" si="141">BP11</f>
        <v>300</v>
      </c>
      <c r="BR11" s="957">
        <f t="shared" si="141"/>
        <v>300</v>
      </c>
      <c r="BS11" s="957">
        <f t="shared" si="141"/>
        <v>300</v>
      </c>
      <c r="BT11" s="957">
        <f t="shared" si="141"/>
        <v>300</v>
      </c>
      <c r="BU11" s="957">
        <f t="shared" si="141"/>
        <v>300</v>
      </c>
      <c r="BV11" s="957">
        <f t="shared" si="141"/>
        <v>300</v>
      </c>
      <c r="BW11" s="958">
        <f t="shared" si="29"/>
        <v>0</v>
      </c>
      <c r="BX11" s="958">
        <f t="shared" si="30"/>
        <v>0</v>
      </c>
      <c r="BY11" s="958">
        <f t="shared" si="31"/>
        <v>0</v>
      </c>
      <c r="BZ11" s="958">
        <f t="shared" si="31"/>
        <v>0</v>
      </c>
      <c r="CA11" s="958">
        <f t="shared" si="31"/>
        <v>0</v>
      </c>
      <c r="CB11" s="958">
        <f t="shared" si="31"/>
        <v>0</v>
      </c>
      <c r="CC11" s="959">
        <f t="shared" si="31"/>
        <v>0</v>
      </c>
      <c r="CD11" s="535">
        <f t="shared" si="32"/>
        <v>871.60811609264829</v>
      </c>
      <c r="CE11" s="534">
        <f t="shared" ref="CE11:CJ11" si="142">CD11</f>
        <v>871.60811609264829</v>
      </c>
      <c r="CF11" s="534">
        <f t="shared" si="142"/>
        <v>871.60811609264829</v>
      </c>
      <c r="CG11" s="534">
        <f t="shared" si="142"/>
        <v>871.60811609264829</v>
      </c>
      <c r="CH11" s="534">
        <f t="shared" si="142"/>
        <v>871.60811609264829</v>
      </c>
      <c r="CI11" s="534">
        <f t="shared" si="142"/>
        <v>871.60811609264829</v>
      </c>
      <c r="CJ11" s="534">
        <f t="shared" si="142"/>
        <v>871.60811609264829</v>
      </c>
      <c r="CK11" s="960">
        <f t="shared" si="34"/>
        <v>0.3829215253219283</v>
      </c>
      <c r="CL11" s="534">
        <f t="shared" ref="CL11:CQ11" si="143">CK11</f>
        <v>0.3829215253219283</v>
      </c>
      <c r="CM11" s="534">
        <f t="shared" si="143"/>
        <v>0.3829215253219283</v>
      </c>
      <c r="CN11" s="534">
        <f t="shared" si="143"/>
        <v>0.3829215253219283</v>
      </c>
      <c r="CO11" s="534">
        <f t="shared" si="143"/>
        <v>0.3829215253219283</v>
      </c>
      <c r="CP11" s="534">
        <f t="shared" si="143"/>
        <v>0.3829215253219283</v>
      </c>
      <c r="CQ11" s="534">
        <f t="shared" si="143"/>
        <v>0.3829215253219283</v>
      </c>
      <c r="CR11" s="960">
        <f t="shared" si="36"/>
        <v>66.948447298614283</v>
      </c>
      <c r="CS11" s="534">
        <f t="shared" ref="CS11:CX11" si="144">CR11</f>
        <v>66.948447298614283</v>
      </c>
      <c r="CT11" s="534">
        <f t="shared" si="144"/>
        <v>66.948447298614283</v>
      </c>
      <c r="CU11" s="534">
        <f t="shared" si="144"/>
        <v>66.948447298614283</v>
      </c>
      <c r="CV11" s="534">
        <f t="shared" si="144"/>
        <v>66.948447298614283</v>
      </c>
      <c r="CW11" s="534">
        <f t="shared" si="144"/>
        <v>66.948447298614283</v>
      </c>
      <c r="CX11" s="534">
        <f t="shared" si="144"/>
        <v>66.948447298614283</v>
      </c>
      <c r="CY11" s="961">
        <f t="shared" si="38"/>
        <v>0</v>
      </c>
      <c r="CZ11" s="532">
        <f t="shared" si="39"/>
        <v>0</v>
      </c>
      <c r="DA11" s="532">
        <f t="shared" si="40"/>
        <v>0</v>
      </c>
      <c r="DB11" s="532">
        <f t="shared" si="41"/>
        <v>0</v>
      </c>
      <c r="DC11" s="532">
        <f t="shared" si="42"/>
        <v>0</v>
      </c>
      <c r="DD11" s="532">
        <f t="shared" si="43"/>
        <v>0</v>
      </c>
      <c r="DE11" s="962">
        <f t="shared" si="44"/>
        <v>0</v>
      </c>
      <c r="DF11" s="961">
        <f t="shared" si="89"/>
        <v>0</v>
      </c>
      <c r="DG11" s="532">
        <f t="shared" si="45"/>
        <v>0</v>
      </c>
      <c r="DH11" s="532">
        <f t="shared" si="46"/>
        <v>0</v>
      </c>
      <c r="DI11" s="532">
        <f t="shared" si="47"/>
        <v>0</v>
      </c>
      <c r="DJ11" s="532">
        <f t="shared" si="48"/>
        <v>0</v>
      </c>
      <c r="DK11" s="532">
        <f t="shared" si="49"/>
        <v>0</v>
      </c>
      <c r="DL11" s="963">
        <f t="shared" si="50"/>
        <v>0</v>
      </c>
      <c r="DM11" s="961">
        <f t="shared" si="90"/>
        <v>0</v>
      </c>
      <c r="DN11" s="533">
        <f t="shared" si="51"/>
        <v>0</v>
      </c>
      <c r="DO11" s="532">
        <f t="shared" si="52"/>
        <v>0</v>
      </c>
      <c r="DP11" s="532">
        <f t="shared" si="53"/>
        <v>0</v>
      </c>
      <c r="DQ11" s="532">
        <f t="shared" si="54"/>
        <v>0</v>
      </c>
      <c r="DR11" s="532">
        <f t="shared" si="55"/>
        <v>0</v>
      </c>
      <c r="DS11" s="963">
        <f t="shared" si="56"/>
        <v>0</v>
      </c>
      <c r="DT11" s="961">
        <f t="shared" si="57"/>
        <v>0</v>
      </c>
      <c r="DU11" s="532">
        <f t="shared" si="58"/>
        <v>0</v>
      </c>
      <c r="DV11" s="532">
        <f t="shared" si="59"/>
        <v>0</v>
      </c>
      <c r="DW11" s="532">
        <f t="shared" si="60"/>
        <v>0</v>
      </c>
      <c r="DX11" s="532">
        <f t="shared" si="61"/>
        <v>0</v>
      </c>
      <c r="DY11" s="532">
        <f t="shared" si="62"/>
        <v>0</v>
      </c>
      <c r="DZ11" s="963">
        <f t="shared" si="63"/>
        <v>0</v>
      </c>
      <c r="EA11" s="960">
        <f t="shared" si="91"/>
        <v>0</v>
      </c>
      <c r="EB11" s="534">
        <f t="shared" si="92"/>
        <v>0</v>
      </c>
      <c r="EC11" s="534">
        <f t="shared" si="93"/>
        <v>0</v>
      </c>
      <c r="ED11" s="534">
        <f t="shared" si="94"/>
        <v>0</v>
      </c>
      <c r="EE11" s="534">
        <f t="shared" si="95"/>
        <v>0</v>
      </c>
      <c r="EF11" s="534">
        <f t="shared" si="96"/>
        <v>0</v>
      </c>
      <c r="EG11" s="964">
        <f t="shared" si="97"/>
        <v>0</v>
      </c>
      <c r="EH11" s="960">
        <f t="shared" si="65"/>
        <v>0</v>
      </c>
      <c r="EI11" s="534">
        <f t="shared" si="66"/>
        <v>0</v>
      </c>
      <c r="EJ11" s="534">
        <f t="shared" si="67"/>
        <v>0</v>
      </c>
      <c r="EK11" s="534">
        <f t="shared" si="68"/>
        <v>0</v>
      </c>
      <c r="EL11" s="534">
        <f t="shared" si="69"/>
        <v>0</v>
      </c>
      <c r="EM11" s="534">
        <f t="shared" si="70"/>
        <v>0</v>
      </c>
      <c r="EN11" s="964">
        <f t="shared" si="71"/>
        <v>0</v>
      </c>
      <c r="EO11" s="535">
        <f t="shared" si="72"/>
        <v>0</v>
      </c>
      <c r="EP11" s="534">
        <f t="shared" si="73"/>
        <v>0</v>
      </c>
      <c r="EQ11" s="534">
        <f t="shared" si="74"/>
        <v>0</v>
      </c>
      <c r="ER11" s="534">
        <f t="shared" si="75"/>
        <v>0</v>
      </c>
      <c r="ES11" s="534">
        <f t="shared" si="76"/>
        <v>0</v>
      </c>
      <c r="ET11" s="534">
        <f t="shared" si="77"/>
        <v>0</v>
      </c>
      <c r="EU11" s="964">
        <f t="shared" si="78"/>
        <v>0</v>
      </c>
      <c r="EV11" s="965">
        <f t="shared" si="98"/>
        <v>0</v>
      </c>
      <c r="EW11" s="966">
        <f t="shared" si="99"/>
        <v>0</v>
      </c>
      <c r="EX11" s="966">
        <f t="shared" si="100"/>
        <v>0</v>
      </c>
      <c r="EY11" s="966">
        <f t="shared" si="101"/>
        <v>0</v>
      </c>
      <c r="EZ11" s="966">
        <f t="shared" si="102"/>
        <v>0</v>
      </c>
      <c r="FA11" s="967">
        <f t="shared" si="103"/>
        <v>0</v>
      </c>
      <c r="FB11" s="967">
        <f t="shared" si="104"/>
        <v>0</v>
      </c>
      <c r="FC11" s="968">
        <f t="shared" si="105"/>
        <v>0</v>
      </c>
      <c r="FE11" s="10" t="b">
        <f t="shared" si="115"/>
        <v>1</v>
      </c>
      <c r="FF11" s="10" t="b">
        <f t="shared" si="116"/>
        <v>1</v>
      </c>
      <c r="FG11" s="10" t="b">
        <f t="shared" si="117"/>
        <v>1</v>
      </c>
      <c r="FH11" s="10" t="b">
        <f t="shared" si="118"/>
        <v>1</v>
      </c>
      <c r="FI11" s="10" t="b">
        <f t="shared" si="119"/>
        <v>1</v>
      </c>
      <c r="FJ11" s="10" t="b">
        <f t="shared" si="120"/>
        <v>1</v>
      </c>
      <c r="FK11" s="10" t="b">
        <f t="shared" si="121"/>
        <v>1</v>
      </c>
      <c r="FL11" s="10" t="b">
        <f t="shared" si="122"/>
        <v>1</v>
      </c>
    </row>
    <row r="12" spans="1:168" s="536" customFormat="1" ht="12.75" hidden="1" customHeight="1">
      <c r="A12" s="941">
        <v>7</v>
      </c>
      <c r="B12" s="942" t="str">
        <f>'REFERENCE-HomeEnergyPerformance'!B48</f>
        <v>Weatherization-Floor Insulation (KY) - Above Code</v>
      </c>
      <c r="C12" s="942" t="str">
        <f>'REFERENCE-HomeEnergyPerformance'!C48</f>
        <v>R-30</v>
      </c>
      <c r="D12" s="942" t="str">
        <f>'REFERENCE-HomeEnergyPerformance'!D48</f>
        <v>Average Existing Insulation</v>
      </c>
      <c r="E12" s="942" t="str">
        <f>'REFERENCE-HomeEnergyPerformance'!E27</f>
        <v>Per Unit</v>
      </c>
      <c r="F12" s="942" t="str">
        <f>INDEX('REFERENCE-HomeEnergyPerformance'!$B$6:$FB$148,MATCH('Residential Audit Online'!$B12,'REFERENCE-HomeEnergyPerformance'!$B$6:$B$148,0),MATCH('Residential Audit Online'!F$5,'REFERENCE-HomeEnergyPerformance'!$B$5:$FB$5,0))</f>
        <v>Incremental Cost</v>
      </c>
      <c r="G12" s="943">
        <f>INDEX('REFERENCE-HomeEnergyPerformance'!$B$6:$FB$148,MATCH('Residential Audit Online'!$B12,'REFERENCE-HomeEnergyPerformance'!$B$6:$B$148,0),MATCH('Residential Audit Online'!G$5,'REFERENCE-HomeEnergyPerformance'!$B$5:$FB$5,0))*125%</f>
        <v>1268.0688749999999</v>
      </c>
      <c r="H12" s="942">
        <f>INDEX('REFERENCE-HomeEnergyPerformance'!$B$6:$FB$148,MATCH('Residential Audit Online'!$B12,'REFERENCE-HomeEnergyPerformance'!$B$6:$B$148,0),MATCH('Residential Audit Online'!H$5,'REFERENCE-HomeEnergyPerformance'!$B$5:$FB$5,0))</f>
        <v>0</v>
      </c>
      <c r="I12" s="545">
        <f t="shared" si="106"/>
        <v>1268.0688749999999</v>
      </c>
      <c r="J12" s="942">
        <f>INDEX('REFERENCE-HomeEnergyPerformance'!$B$6:$FB$148,MATCH('Residential Audit Online'!$B12,'REFERENCE-HomeEnergyPerformance'!$B$6:$B$148,0),MATCH('Residential Audit Online'!J$5,'REFERENCE-HomeEnergyPerformance'!$B$5:$FB$5,0))</f>
        <v>0</v>
      </c>
      <c r="K12" s="545">
        <f t="shared" si="107"/>
        <v>634.03443749999997</v>
      </c>
      <c r="L12" s="942" t="s">
        <v>923</v>
      </c>
      <c r="M12" s="942" t="str">
        <f>INDEX('REFERENCE-HomeEnergyPerformance'!$B$6:$FB$148,MATCH('Residential Audit Online'!$B12,'REFERENCE-HomeEnergyPerformance'!$B$6:$B$148,0),MATCH('Residential Audit Online'!M$5,'REFERENCE-HomeEnergyPerformance'!$B$5:$FB$5,0))</f>
        <v>NA</v>
      </c>
      <c r="N12" s="942">
        <f>INDEX('REFERENCE-HomeEnergyPerformance'!$B$6:$FB$148,MATCH('Residential Audit Online'!$B12,'REFERENCE-HomeEnergyPerformance'!$B$6:$B$148,0),MATCH('Residential Audit Online'!N$5,'REFERENCE-HomeEnergyPerformance'!$B$5:$FB$5,0))</f>
        <v>300</v>
      </c>
      <c r="O12" s="942">
        <f>INDEX('REFERENCE-HomeEnergyPerformance'!$B$6:$FB$148,MATCH('Residential Audit Online'!$B12,'REFERENCE-HomeEnergyPerformance'!$B$6:$B$148,0),MATCH('Residential Audit Online'!O$5,'REFERENCE-HomeEnergyPerformance'!$B$5:$FB$5,0))</f>
        <v>0</v>
      </c>
      <c r="P12" s="942">
        <f>INDEX('REFERENCE-HomeEnergyPerformance'!$B$6:$FB$148,MATCH('Residential Audit Online'!$B12,'REFERENCE-HomeEnergyPerformance'!$B$6:$B$148,0),MATCH('Residential Audit Online'!P$5,'REFERENCE-HomeEnergyPerformance'!$B$5:$FB$5,0))</f>
        <v>0</v>
      </c>
      <c r="Q12" s="944">
        <f>INDEX('REFERENCE-HomeEnergyPerformance'!$B$6:$FB$148,MATCH('Residential Audit Online'!$B12,'REFERENCE-HomeEnergyPerformance'!$B$6:$B$148,0),MATCH('Residential Audit Online'!Q$5,'REFERENCE-HomeEnergyPerformance'!$B$5:$FB$5,0))</f>
        <v>139.02843860480436</v>
      </c>
      <c r="R12" s="944">
        <f>INDEX('REFERENCE-HomeEnergyPerformance'!$B$6:$FB$148,MATCH('Residential Audit Online'!$B12,'REFERENCE-HomeEnergyPerformance'!$B$6:$B$148,0),MATCH('Residential Audit Online'!R$5,'REFERENCE-HomeEnergyPerformance'!$B$5:$FB$5,0))</f>
        <v>0</v>
      </c>
      <c r="S12" s="945">
        <f t="shared" si="123"/>
        <v>44.565132211348242</v>
      </c>
      <c r="T12" s="942" t="str">
        <f>INDEX('REFERENCE-HomeEnergyPerformance'!$B$6:$FB$148,MATCH('Residential Audit Online'!$B12,'REFERENCE-HomeEnergyPerformance'!$B$6:$B$148,0),MATCH('Residential Audit Online'!T$5,'REFERENCE-HomeEnergyPerformance'!$B$5:$FB$5,0))</f>
        <v>Potential Study Results: Engineering Calculation</v>
      </c>
      <c r="U12" s="946">
        <v>0.05</v>
      </c>
      <c r="V12" s="947">
        <v>1</v>
      </c>
      <c r="W12" s="948"/>
      <c r="X12" s="948"/>
      <c r="Y12" s="948"/>
      <c r="Z12" s="948"/>
      <c r="AA12" s="949"/>
      <c r="AB12" s="949"/>
      <c r="AC12" s="949"/>
      <c r="AD12" s="950">
        <f t="shared" ref="AD12" si="145">AD63</f>
        <v>0</v>
      </c>
      <c r="AE12" s="950">
        <v>0</v>
      </c>
      <c r="AF12" s="950">
        <v>0</v>
      </c>
      <c r="AG12" s="950">
        <v>0</v>
      </c>
      <c r="AH12" s="950">
        <v>0</v>
      </c>
      <c r="AI12" s="950">
        <v>0</v>
      </c>
      <c r="AJ12" s="950">
        <v>0</v>
      </c>
      <c r="AK12" s="951" t="s">
        <v>374</v>
      </c>
      <c r="AL12" s="952" t="s">
        <v>375</v>
      </c>
      <c r="AM12" s="952" t="s">
        <v>377</v>
      </c>
      <c r="AN12" s="952" t="s">
        <v>377</v>
      </c>
      <c r="AO12" s="952" t="s">
        <v>1</v>
      </c>
      <c r="AP12" s="952" t="s">
        <v>378</v>
      </c>
      <c r="AQ12" s="952" t="s">
        <v>378</v>
      </c>
      <c r="AR12" s="952" t="s">
        <v>378</v>
      </c>
      <c r="AS12" s="951" t="s">
        <v>379</v>
      </c>
      <c r="AT12" s="951" t="s">
        <v>407</v>
      </c>
      <c r="AU12" s="951" t="s">
        <v>381</v>
      </c>
      <c r="AV12" s="953">
        <v>20</v>
      </c>
      <c r="AW12" s="953">
        <v>20</v>
      </c>
      <c r="AX12" s="952"/>
      <c r="AY12" s="954">
        <v>1</v>
      </c>
      <c r="AZ12" s="954">
        <v>1</v>
      </c>
      <c r="BA12" s="955">
        <v>1</v>
      </c>
      <c r="BB12" s="956">
        <f t="shared" si="23"/>
        <v>1268.0688749999999</v>
      </c>
      <c r="BC12" s="957">
        <f t="shared" ref="BC12:BH12" si="146">BB12</f>
        <v>1268.0688749999999</v>
      </c>
      <c r="BD12" s="957">
        <f t="shared" si="146"/>
        <v>1268.0688749999999</v>
      </c>
      <c r="BE12" s="957">
        <f t="shared" si="146"/>
        <v>1268.0688749999999</v>
      </c>
      <c r="BF12" s="957">
        <f t="shared" si="146"/>
        <v>1268.0688749999999</v>
      </c>
      <c r="BG12" s="957">
        <f t="shared" si="146"/>
        <v>1268.0688749999999</v>
      </c>
      <c r="BH12" s="957">
        <f t="shared" si="146"/>
        <v>1268.0688749999999</v>
      </c>
      <c r="BI12" s="956">
        <f t="shared" si="25"/>
        <v>0</v>
      </c>
      <c r="BJ12" s="957">
        <f t="shared" ref="BJ12:BO12" si="147">BI12</f>
        <v>0</v>
      </c>
      <c r="BK12" s="957">
        <f t="shared" si="147"/>
        <v>0</v>
      </c>
      <c r="BL12" s="957">
        <f t="shared" si="147"/>
        <v>0</v>
      </c>
      <c r="BM12" s="957">
        <f t="shared" si="147"/>
        <v>0</v>
      </c>
      <c r="BN12" s="957">
        <f t="shared" si="147"/>
        <v>0</v>
      </c>
      <c r="BO12" s="957">
        <f t="shared" si="147"/>
        <v>0</v>
      </c>
      <c r="BP12" s="956">
        <f t="shared" si="27"/>
        <v>300</v>
      </c>
      <c r="BQ12" s="957">
        <f t="shared" ref="BQ12:BV12" si="148">BP12</f>
        <v>300</v>
      </c>
      <c r="BR12" s="957">
        <f t="shared" si="148"/>
        <v>300</v>
      </c>
      <c r="BS12" s="957">
        <f t="shared" si="148"/>
        <v>300</v>
      </c>
      <c r="BT12" s="957">
        <f t="shared" si="148"/>
        <v>300</v>
      </c>
      <c r="BU12" s="957">
        <f t="shared" si="148"/>
        <v>300</v>
      </c>
      <c r="BV12" s="957">
        <f t="shared" si="148"/>
        <v>300</v>
      </c>
      <c r="BW12" s="958">
        <f t="shared" si="29"/>
        <v>0</v>
      </c>
      <c r="BX12" s="958">
        <f t="shared" si="30"/>
        <v>0</v>
      </c>
      <c r="BY12" s="958">
        <f t="shared" si="31"/>
        <v>0</v>
      </c>
      <c r="BZ12" s="958">
        <f t="shared" si="31"/>
        <v>0</v>
      </c>
      <c r="CA12" s="958">
        <f t="shared" si="31"/>
        <v>0</v>
      </c>
      <c r="CB12" s="958">
        <f t="shared" si="31"/>
        <v>0</v>
      </c>
      <c r="CC12" s="959">
        <f t="shared" si="31"/>
        <v>0</v>
      </c>
      <c r="CD12" s="535">
        <f t="shared" si="32"/>
        <v>139.02843860480436</v>
      </c>
      <c r="CE12" s="534">
        <f t="shared" ref="CE12:CJ12" si="149">CD12</f>
        <v>139.02843860480436</v>
      </c>
      <c r="CF12" s="534">
        <f t="shared" si="149"/>
        <v>139.02843860480436</v>
      </c>
      <c r="CG12" s="534">
        <f t="shared" si="149"/>
        <v>139.02843860480436</v>
      </c>
      <c r="CH12" s="534">
        <f t="shared" si="149"/>
        <v>139.02843860480436</v>
      </c>
      <c r="CI12" s="534">
        <f t="shared" si="149"/>
        <v>139.02843860480436</v>
      </c>
      <c r="CJ12" s="534">
        <f t="shared" si="149"/>
        <v>139.02843860480436</v>
      </c>
      <c r="CK12" s="960">
        <f t="shared" si="34"/>
        <v>0</v>
      </c>
      <c r="CL12" s="534">
        <f t="shared" ref="CL12:CQ12" si="150">CK12</f>
        <v>0</v>
      </c>
      <c r="CM12" s="534">
        <f t="shared" si="150"/>
        <v>0</v>
      </c>
      <c r="CN12" s="534">
        <f t="shared" si="150"/>
        <v>0</v>
      </c>
      <c r="CO12" s="534">
        <f t="shared" si="150"/>
        <v>0</v>
      </c>
      <c r="CP12" s="534">
        <f t="shared" si="150"/>
        <v>0</v>
      </c>
      <c r="CQ12" s="534">
        <f t="shared" si="150"/>
        <v>0</v>
      </c>
      <c r="CR12" s="960">
        <f t="shared" si="36"/>
        <v>44.565132211348242</v>
      </c>
      <c r="CS12" s="534">
        <f t="shared" ref="CS12:CX12" si="151">CR12</f>
        <v>44.565132211348242</v>
      </c>
      <c r="CT12" s="534">
        <f t="shared" si="151"/>
        <v>44.565132211348242</v>
      </c>
      <c r="CU12" s="534">
        <f t="shared" si="151"/>
        <v>44.565132211348242</v>
      </c>
      <c r="CV12" s="534">
        <f t="shared" si="151"/>
        <v>44.565132211348242</v>
      </c>
      <c r="CW12" s="534">
        <f t="shared" si="151"/>
        <v>44.565132211348242</v>
      </c>
      <c r="CX12" s="534">
        <f t="shared" si="151"/>
        <v>44.565132211348242</v>
      </c>
      <c r="CY12" s="961">
        <f t="shared" si="38"/>
        <v>0</v>
      </c>
      <c r="CZ12" s="532">
        <f t="shared" si="39"/>
        <v>0</v>
      </c>
      <c r="DA12" s="532">
        <f t="shared" si="40"/>
        <v>0</v>
      </c>
      <c r="DB12" s="532">
        <f t="shared" si="41"/>
        <v>0</v>
      </c>
      <c r="DC12" s="532">
        <f t="shared" si="42"/>
        <v>0</v>
      </c>
      <c r="DD12" s="532">
        <f t="shared" si="43"/>
        <v>0</v>
      </c>
      <c r="DE12" s="962">
        <f t="shared" si="44"/>
        <v>0</v>
      </c>
      <c r="DF12" s="961">
        <f t="shared" si="89"/>
        <v>0</v>
      </c>
      <c r="DG12" s="532">
        <f t="shared" si="45"/>
        <v>0</v>
      </c>
      <c r="DH12" s="532">
        <f t="shared" si="46"/>
        <v>0</v>
      </c>
      <c r="DI12" s="532">
        <f t="shared" si="47"/>
        <v>0</v>
      </c>
      <c r="DJ12" s="532">
        <f t="shared" si="48"/>
        <v>0</v>
      </c>
      <c r="DK12" s="532">
        <f t="shared" si="49"/>
        <v>0</v>
      </c>
      <c r="DL12" s="963">
        <f t="shared" si="50"/>
        <v>0</v>
      </c>
      <c r="DM12" s="961">
        <f t="shared" si="90"/>
        <v>0</v>
      </c>
      <c r="DN12" s="533">
        <f t="shared" si="51"/>
        <v>0</v>
      </c>
      <c r="DO12" s="532">
        <f t="shared" si="52"/>
        <v>0</v>
      </c>
      <c r="DP12" s="532">
        <f t="shared" si="53"/>
        <v>0</v>
      </c>
      <c r="DQ12" s="532">
        <f t="shared" si="54"/>
        <v>0</v>
      </c>
      <c r="DR12" s="532">
        <f t="shared" si="55"/>
        <v>0</v>
      </c>
      <c r="DS12" s="963">
        <f t="shared" si="56"/>
        <v>0</v>
      </c>
      <c r="DT12" s="961">
        <f t="shared" si="57"/>
        <v>0</v>
      </c>
      <c r="DU12" s="532">
        <f t="shared" si="58"/>
        <v>0</v>
      </c>
      <c r="DV12" s="532">
        <f t="shared" si="59"/>
        <v>0</v>
      </c>
      <c r="DW12" s="532">
        <f t="shared" si="60"/>
        <v>0</v>
      </c>
      <c r="DX12" s="532">
        <f t="shared" si="61"/>
        <v>0</v>
      </c>
      <c r="DY12" s="532">
        <f t="shared" si="62"/>
        <v>0</v>
      </c>
      <c r="DZ12" s="963">
        <f t="shared" si="63"/>
        <v>0</v>
      </c>
      <c r="EA12" s="960">
        <f t="shared" si="91"/>
        <v>0</v>
      </c>
      <c r="EB12" s="534">
        <f t="shared" si="92"/>
        <v>0</v>
      </c>
      <c r="EC12" s="534">
        <f t="shared" si="93"/>
        <v>0</v>
      </c>
      <c r="ED12" s="534">
        <f t="shared" si="94"/>
        <v>0</v>
      </c>
      <c r="EE12" s="534">
        <f t="shared" si="95"/>
        <v>0</v>
      </c>
      <c r="EF12" s="534">
        <f t="shared" si="96"/>
        <v>0</v>
      </c>
      <c r="EG12" s="964">
        <f t="shared" si="97"/>
        <v>0</v>
      </c>
      <c r="EH12" s="960">
        <f t="shared" si="65"/>
        <v>0</v>
      </c>
      <c r="EI12" s="534">
        <f t="shared" si="66"/>
        <v>0</v>
      </c>
      <c r="EJ12" s="534">
        <f t="shared" si="67"/>
        <v>0</v>
      </c>
      <c r="EK12" s="534">
        <f t="shared" si="68"/>
        <v>0</v>
      </c>
      <c r="EL12" s="534">
        <f t="shared" si="69"/>
        <v>0</v>
      </c>
      <c r="EM12" s="534">
        <f t="shared" si="70"/>
        <v>0</v>
      </c>
      <c r="EN12" s="964">
        <f t="shared" si="71"/>
        <v>0</v>
      </c>
      <c r="EO12" s="535">
        <f t="shared" si="72"/>
        <v>0</v>
      </c>
      <c r="EP12" s="534">
        <f t="shared" si="73"/>
        <v>0</v>
      </c>
      <c r="EQ12" s="534">
        <f t="shared" si="74"/>
        <v>0</v>
      </c>
      <c r="ER12" s="534">
        <f t="shared" si="75"/>
        <v>0</v>
      </c>
      <c r="ES12" s="534">
        <f t="shared" si="76"/>
        <v>0</v>
      </c>
      <c r="ET12" s="534">
        <f t="shared" si="77"/>
        <v>0</v>
      </c>
      <c r="EU12" s="964">
        <f t="shared" si="78"/>
        <v>0</v>
      </c>
      <c r="EV12" s="965">
        <f t="shared" si="98"/>
        <v>0</v>
      </c>
      <c r="EW12" s="966">
        <f t="shared" si="99"/>
        <v>0</v>
      </c>
      <c r="EX12" s="966">
        <f t="shared" si="100"/>
        <v>0</v>
      </c>
      <c r="EY12" s="966">
        <f t="shared" si="101"/>
        <v>0</v>
      </c>
      <c r="EZ12" s="966">
        <f t="shared" si="102"/>
        <v>0</v>
      </c>
      <c r="FA12" s="967">
        <f t="shared" si="103"/>
        <v>0</v>
      </c>
      <c r="FB12" s="967">
        <f t="shared" si="104"/>
        <v>0</v>
      </c>
      <c r="FC12" s="968">
        <f t="shared" si="105"/>
        <v>0</v>
      </c>
      <c r="FE12" s="10" t="b">
        <f t="shared" si="115"/>
        <v>1</v>
      </c>
      <c r="FF12" s="10" t="b">
        <f t="shared" si="116"/>
        <v>1</v>
      </c>
      <c r="FG12" s="10" t="b">
        <f t="shared" si="117"/>
        <v>1</v>
      </c>
      <c r="FH12" s="10" t="b">
        <f t="shared" si="118"/>
        <v>1</v>
      </c>
      <c r="FI12" s="10" t="b">
        <f t="shared" si="119"/>
        <v>1</v>
      </c>
      <c r="FJ12" s="10" t="b">
        <f t="shared" si="120"/>
        <v>1</v>
      </c>
      <c r="FK12" s="10" t="b">
        <f t="shared" si="121"/>
        <v>1</v>
      </c>
      <c r="FL12" s="10" t="b">
        <f t="shared" si="122"/>
        <v>1</v>
      </c>
    </row>
    <row r="13" spans="1:168" s="536" customFormat="1" ht="12.75" hidden="1" customHeight="1">
      <c r="A13" s="941">
        <v>8</v>
      </c>
      <c r="B13" s="942" t="str">
        <f>'REFERENCE-HomeEnergyPerformance'!B49</f>
        <v>Weatherization-Insulation - Basement Wall - Code</v>
      </c>
      <c r="C13" s="942" t="str">
        <f>'REFERENCE-HomeEnergyPerformance'!C49</f>
        <v>R-10 (IECC 2012 - Future KY Code)</v>
      </c>
      <c r="D13" s="942" t="str">
        <f>'REFERENCE-HomeEnergyPerformance'!D49</f>
        <v>Average Existing Insulation</v>
      </c>
      <c r="E13" s="942" t="str">
        <f>'REFERENCE-HomeEnergyPerformance'!E28</f>
        <v>Per Unit</v>
      </c>
      <c r="F13" s="942" t="str">
        <f>INDEX('REFERENCE-HomeEnergyPerformance'!$B$6:$FB$148,MATCH('Residential Audit Online'!$B13,'REFERENCE-HomeEnergyPerformance'!$B$6:$B$148,0),MATCH('Residential Audit Online'!F$5,'REFERENCE-HomeEnergyPerformance'!$B$5:$FB$5,0))</f>
        <v>Incremental Cost</v>
      </c>
      <c r="G13" s="943">
        <f>INDEX('REFERENCE-HomeEnergyPerformance'!$B$6:$FB$148,MATCH('Residential Audit Online'!$B13,'REFERENCE-HomeEnergyPerformance'!$B$6:$B$148,0),MATCH('Residential Audit Online'!G$5,'REFERENCE-HomeEnergyPerformance'!$B$5:$FB$5,0))*125%</f>
        <v>660.31099999999992</v>
      </c>
      <c r="H13" s="942">
        <f>INDEX('REFERENCE-HomeEnergyPerformance'!$B$6:$FB$148,MATCH('Residential Audit Online'!$B13,'REFERENCE-HomeEnergyPerformance'!$B$6:$B$148,0),MATCH('Residential Audit Online'!H$5,'REFERENCE-HomeEnergyPerformance'!$B$5:$FB$5,0))</f>
        <v>0</v>
      </c>
      <c r="I13" s="545">
        <f t="shared" si="106"/>
        <v>660.31099999999992</v>
      </c>
      <c r="J13" s="942">
        <f>INDEX('REFERENCE-HomeEnergyPerformance'!$B$6:$FB$148,MATCH('Residential Audit Online'!$B13,'REFERENCE-HomeEnergyPerformance'!$B$6:$B$148,0),MATCH('Residential Audit Online'!J$5,'REFERENCE-HomeEnergyPerformance'!$B$5:$FB$5,0))</f>
        <v>0</v>
      </c>
      <c r="K13" s="545">
        <f t="shared" si="107"/>
        <v>330.15549999999996</v>
      </c>
      <c r="L13" s="942" t="s">
        <v>923</v>
      </c>
      <c r="M13" s="942" t="str">
        <f>INDEX('REFERENCE-HomeEnergyPerformance'!$B$6:$FB$148,MATCH('Residential Audit Online'!$B13,'REFERENCE-HomeEnergyPerformance'!$B$6:$B$148,0),MATCH('Residential Audit Online'!M$5,'REFERENCE-HomeEnergyPerformance'!$B$5:$FB$5,0))</f>
        <v>NA</v>
      </c>
      <c r="N13" s="942">
        <f>INDEX('REFERENCE-HomeEnergyPerformance'!$B$6:$FB$148,MATCH('Residential Audit Online'!$B13,'REFERENCE-HomeEnergyPerformance'!$B$6:$B$148,0),MATCH('Residential Audit Online'!N$5,'REFERENCE-HomeEnergyPerformance'!$B$5:$FB$5,0))</f>
        <v>260</v>
      </c>
      <c r="O13" s="942">
        <f>INDEX('REFERENCE-HomeEnergyPerformance'!$B$6:$FB$148,MATCH('Residential Audit Online'!$B13,'REFERENCE-HomeEnergyPerformance'!$B$6:$B$148,0),MATCH('Residential Audit Online'!O$5,'REFERENCE-HomeEnergyPerformance'!$B$5:$FB$5,0))</f>
        <v>0</v>
      </c>
      <c r="P13" s="942">
        <f>INDEX('REFERENCE-HomeEnergyPerformance'!$B$6:$FB$148,MATCH('Residential Audit Online'!$B13,'REFERENCE-HomeEnergyPerformance'!$B$6:$B$148,0),MATCH('Residential Audit Online'!P$5,'REFERENCE-HomeEnergyPerformance'!$B$5:$FB$5,0))</f>
        <v>0</v>
      </c>
      <c r="Q13" s="944">
        <f>INDEX('REFERENCE-HomeEnergyPerformance'!$B$6:$FB$148,MATCH('Residential Audit Online'!$B13,'REFERENCE-HomeEnergyPerformance'!$B$6:$B$148,0),MATCH('Residential Audit Online'!Q$5,'REFERENCE-HomeEnergyPerformance'!$B$5:$FB$5,0))</f>
        <v>161.34211715753887</v>
      </c>
      <c r="R13" s="944">
        <f>INDEX('REFERENCE-HomeEnergyPerformance'!$B$6:$FB$148,MATCH('Residential Audit Online'!$B13,'REFERENCE-HomeEnergyPerformance'!$B$6:$B$148,0),MATCH('Residential Audit Online'!R$5,'REFERENCE-HomeEnergyPerformance'!$B$5:$FB$5,0))</f>
        <v>0</v>
      </c>
      <c r="S13" s="945">
        <f t="shared" si="123"/>
        <v>36.015853570808666</v>
      </c>
      <c r="T13" s="942" t="str">
        <f>INDEX('REFERENCE-HomeEnergyPerformance'!$B$6:$FB$148,MATCH('Residential Audit Online'!$B13,'REFERENCE-HomeEnergyPerformance'!$B$6:$B$148,0),MATCH('Residential Audit Online'!T$5,'REFERENCE-HomeEnergyPerformance'!$B$5:$FB$5,0))</f>
        <v>Potential Study Results: Engineering Calculation</v>
      </c>
      <c r="U13" s="946">
        <v>0.05</v>
      </c>
      <c r="V13" s="947">
        <v>1</v>
      </c>
      <c r="W13" s="948"/>
      <c r="X13" s="948"/>
      <c r="Y13" s="948"/>
      <c r="Z13" s="948"/>
      <c r="AA13" s="949"/>
      <c r="AB13" s="949"/>
      <c r="AC13" s="949"/>
      <c r="AD13" s="950">
        <f t="shared" ref="AD13" si="152">AD64</f>
        <v>0</v>
      </c>
      <c r="AE13" s="950">
        <v>0</v>
      </c>
      <c r="AF13" s="950">
        <v>0</v>
      </c>
      <c r="AG13" s="950">
        <v>0</v>
      </c>
      <c r="AH13" s="950">
        <v>0</v>
      </c>
      <c r="AI13" s="950">
        <v>0</v>
      </c>
      <c r="AJ13" s="950">
        <v>0</v>
      </c>
      <c r="AK13" s="951" t="s">
        <v>374</v>
      </c>
      <c r="AL13" s="952" t="s">
        <v>375</v>
      </c>
      <c r="AM13" s="952" t="s">
        <v>377</v>
      </c>
      <c r="AN13" s="952" t="s">
        <v>377</v>
      </c>
      <c r="AO13" s="952" t="s">
        <v>1</v>
      </c>
      <c r="AP13" s="952" t="s">
        <v>378</v>
      </c>
      <c r="AQ13" s="952" t="s">
        <v>378</v>
      </c>
      <c r="AR13" s="952" t="s">
        <v>378</v>
      </c>
      <c r="AS13" s="951" t="s">
        <v>379</v>
      </c>
      <c r="AT13" s="951" t="s">
        <v>407</v>
      </c>
      <c r="AU13" s="951" t="s">
        <v>381</v>
      </c>
      <c r="AV13" s="953">
        <v>20</v>
      </c>
      <c r="AW13" s="953">
        <v>20</v>
      </c>
      <c r="AX13" s="952"/>
      <c r="AY13" s="954">
        <v>1</v>
      </c>
      <c r="AZ13" s="954">
        <v>1</v>
      </c>
      <c r="BA13" s="955">
        <v>1</v>
      </c>
      <c r="BB13" s="956">
        <f t="shared" si="23"/>
        <v>660.31099999999992</v>
      </c>
      <c r="BC13" s="957">
        <f t="shared" ref="BC13:BH13" si="153">BB13</f>
        <v>660.31099999999992</v>
      </c>
      <c r="BD13" s="957">
        <f t="shared" si="153"/>
        <v>660.31099999999992</v>
      </c>
      <c r="BE13" s="957">
        <f t="shared" si="153"/>
        <v>660.31099999999992</v>
      </c>
      <c r="BF13" s="957">
        <f t="shared" si="153"/>
        <v>660.31099999999992</v>
      </c>
      <c r="BG13" s="957">
        <f t="shared" si="153"/>
        <v>660.31099999999992</v>
      </c>
      <c r="BH13" s="957">
        <f t="shared" si="153"/>
        <v>660.31099999999992</v>
      </c>
      <c r="BI13" s="956">
        <f t="shared" si="25"/>
        <v>0</v>
      </c>
      <c r="BJ13" s="957">
        <f t="shared" ref="BJ13:BO13" si="154">BI13</f>
        <v>0</v>
      </c>
      <c r="BK13" s="957">
        <f t="shared" si="154"/>
        <v>0</v>
      </c>
      <c r="BL13" s="957">
        <f t="shared" si="154"/>
        <v>0</v>
      </c>
      <c r="BM13" s="957">
        <f t="shared" si="154"/>
        <v>0</v>
      </c>
      <c r="BN13" s="957">
        <f t="shared" si="154"/>
        <v>0</v>
      </c>
      <c r="BO13" s="957">
        <f t="shared" si="154"/>
        <v>0</v>
      </c>
      <c r="BP13" s="956">
        <f t="shared" si="27"/>
        <v>260</v>
      </c>
      <c r="BQ13" s="957">
        <f t="shared" ref="BQ13:BV13" si="155">BP13</f>
        <v>260</v>
      </c>
      <c r="BR13" s="957">
        <f t="shared" si="155"/>
        <v>260</v>
      </c>
      <c r="BS13" s="957">
        <f t="shared" si="155"/>
        <v>260</v>
      </c>
      <c r="BT13" s="957">
        <f t="shared" si="155"/>
        <v>260</v>
      </c>
      <c r="BU13" s="957">
        <f t="shared" si="155"/>
        <v>260</v>
      </c>
      <c r="BV13" s="957">
        <f t="shared" si="155"/>
        <v>260</v>
      </c>
      <c r="BW13" s="958">
        <f t="shared" si="29"/>
        <v>0</v>
      </c>
      <c r="BX13" s="958">
        <f t="shared" si="30"/>
        <v>0</v>
      </c>
      <c r="BY13" s="958">
        <f t="shared" si="31"/>
        <v>0</v>
      </c>
      <c r="BZ13" s="958">
        <f t="shared" si="31"/>
        <v>0</v>
      </c>
      <c r="CA13" s="958">
        <f t="shared" si="31"/>
        <v>0</v>
      </c>
      <c r="CB13" s="958">
        <f t="shared" si="31"/>
        <v>0</v>
      </c>
      <c r="CC13" s="959">
        <f t="shared" si="31"/>
        <v>0</v>
      </c>
      <c r="CD13" s="535">
        <f t="shared" si="32"/>
        <v>161.34211715753887</v>
      </c>
      <c r="CE13" s="534">
        <f t="shared" ref="CE13:CJ13" si="156">CD13</f>
        <v>161.34211715753887</v>
      </c>
      <c r="CF13" s="534">
        <f t="shared" si="156"/>
        <v>161.34211715753887</v>
      </c>
      <c r="CG13" s="534">
        <f t="shared" si="156"/>
        <v>161.34211715753887</v>
      </c>
      <c r="CH13" s="534">
        <f t="shared" si="156"/>
        <v>161.34211715753887</v>
      </c>
      <c r="CI13" s="534">
        <f t="shared" si="156"/>
        <v>161.34211715753887</v>
      </c>
      <c r="CJ13" s="534">
        <f t="shared" si="156"/>
        <v>161.34211715753887</v>
      </c>
      <c r="CK13" s="960">
        <f t="shared" si="34"/>
        <v>0</v>
      </c>
      <c r="CL13" s="534">
        <f t="shared" ref="CL13:CQ13" si="157">CK13</f>
        <v>0</v>
      </c>
      <c r="CM13" s="534">
        <f t="shared" si="157"/>
        <v>0</v>
      </c>
      <c r="CN13" s="534">
        <f t="shared" si="157"/>
        <v>0</v>
      </c>
      <c r="CO13" s="534">
        <f t="shared" si="157"/>
        <v>0</v>
      </c>
      <c r="CP13" s="534">
        <f t="shared" si="157"/>
        <v>0</v>
      </c>
      <c r="CQ13" s="534">
        <f t="shared" si="157"/>
        <v>0</v>
      </c>
      <c r="CR13" s="960">
        <f t="shared" si="36"/>
        <v>36.015853570808666</v>
      </c>
      <c r="CS13" s="534">
        <f t="shared" ref="CS13:CX13" si="158">CR13</f>
        <v>36.015853570808666</v>
      </c>
      <c r="CT13" s="534">
        <f t="shared" si="158"/>
        <v>36.015853570808666</v>
      </c>
      <c r="CU13" s="534">
        <f t="shared" si="158"/>
        <v>36.015853570808666</v>
      </c>
      <c r="CV13" s="534">
        <f t="shared" si="158"/>
        <v>36.015853570808666</v>
      </c>
      <c r="CW13" s="534">
        <f t="shared" si="158"/>
        <v>36.015853570808666</v>
      </c>
      <c r="CX13" s="534">
        <f t="shared" si="158"/>
        <v>36.015853570808666</v>
      </c>
      <c r="CY13" s="961">
        <f t="shared" si="38"/>
        <v>0</v>
      </c>
      <c r="CZ13" s="532">
        <f t="shared" si="39"/>
        <v>0</v>
      </c>
      <c r="DA13" s="532">
        <f t="shared" si="40"/>
        <v>0</v>
      </c>
      <c r="DB13" s="532">
        <f t="shared" si="41"/>
        <v>0</v>
      </c>
      <c r="DC13" s="532">
        <f t="shared" si="42"/>
        <v>0</v>
      </c>
      <c r="DD13" s="532">
        <f t="shared" si="43"/>
        <v>0</v>
      </c>
      <c r="DE13" s="962">
        <f t="shared" si="44"/>
        <v>0</v>
      </c>
      <c r="DF13" s="961">
        <f t="shared" si="89"/>
        <v>0</v>
      </c>
      <c r="DG13" s="532">
        <f t="shared" si="45"/>
        <v>0</v>
      </c>
      <c r="DH13" s="532">
        <f t="shared" si="46"/>
        <v>0</v>
      </c>
      <c r="DI13" s="532">
        <f t="shared" si="47"/>
        <v>0</v>
      </c>
      <c r="DJ13" s="532">
        <f t="shared" si="48"/>
        <v>0</v>
      </c>
      <c r="DK13" s="532">
        <f t="shared" si="49"/>
        <v>0</v>
      </c>
      <c r="DL13" s="963">
        <f t="shared" si="50"/>
        <v>0</v>
      </c>
      <c r="DM13" s="961">
        <f t="shared" si="90"/>
        <v>0</v>
      </c>
      <c r="DN13" s="533">
        <f t="shared" si="51"/>
        <v>0</v>
      </c>
      <c r="DO13" s="532">
        <f t="shared" si="52"/>
        <v>0</v>
      </c>
      <c r="DP13" s="532">
        <f t="shared" si="53"/>
        <v>0</v>
      </c>
      <c r="DQ13" s="532">
        <f t="shared" si="54"/>
        <v>0</v>
      </c>
      <c r="DR13" s="532">
        <f t="shared" si="55"/>
        <v>0</v>
      </c>
      <c r="DS13" s="963">
        <f t="shared" si="56"/>
        <v>0</v>
      </c>
      <c r="DT13" s="961">
        <f t="shared" si="57"/>
        <v>0</v>
      </c>
      <c r="DU13" s="532">
        <f t="shared" si="58"/>
        <v>0</v>
      </c>
      <c r="DV13" s="532">
        <f t="shared" si="59"/>
        <v>0</v>
      </c>
      <c r="DW13" s="532">
        <f t="shared" si="60"/>
        <v>0</v>
      </c>
      <c r="DX13" s="532">
        <f t="shared" si="61"/>
        <v>0</v>
      </c>
      <c r="DY13" s="532">
        <f t="shared" si="62"/>
        <v>0</v>
      </c>
      <c r="DZ13" s="963">
        <f t="shared" si="63"/>
        <v>0</v>
      </c>
      <c r="EA13" s="960">
        <f t="shared" si="91"/>
        <v>0</v>
      </c>
      <c r="EB13" s="534">
        <f t="shared" si="92"/>
        <v>0</v>
      </c>
      <c r="EC13" s="534">
        <f t="shared" si="93"/>
        <v>0</v>
      </c>
      <c r="ED13" s="534">
        <f t="shared" si="94"/>
        <v>0</v>
      </c>
      <c r="EE13" s="534">
        <f t="shared" si="95"/>
        <v>0</v>
      </c>
      <c r="EF13" s="534">
        <f t="shared" si="96"/>
        <v>0</v>
      </c>
      <c r="EG13" s="964">
        <f t="shared" si="97"/>
        <v>0</v>
      </c>
      <c r="EH13" s="960">
        <f t="shared" si="65"/>
        <v>0</v>
      </c>
      <c r="EI13" s="534">
        <f t="shared" si="66"/>
        <v>0</v>
      </c>
      <c r="EJ13" s="534">
        <f t="shared" si="67"/>
        <v>0</v>
      </c>
      <c r="EK13" s="534">
        <f t="shared" si="68"/>
        <v>0</v>
      </c>
      <c r="EL13" s="534">
        <f t="shared" si="69"/>
        <v>0</v>
      </c>
      <c r="EM13" s="534">
        <f t="shared" si="70"/>
        <v>0</v>
      </c>
      <c r="EN13" s="964">
        <f t="shared" si="71"/>
        <v>0</v>
      </c>
      <c r="EO13" s="535">
        <f t="shared" si="72"/>
        <v>0</v>
      </c>
      <c r="EP13" s="534">
        <f t="shared" si="73"/>
        <v>0</v>
      </c>
      <c r="EQ13" s="534">
        <f t="shared" si="74"/>
        <v>0</v>
      </c>
      <c r="ER13" s="534">
        <f t="shared" si="75"/>
        <v>0</v>
      </c>
      <c r="ES13" s="534">
        <f t="shared" si="76"/>
        <v>0</v>
      </c>
      <c r="ET13" s="534">
        <f t="shared" si="77"/>
        <v>0</v>
      </c>
      <c r="EU13" s="964">
        <f t="shared" si="78"/>
        <v>0</v>
      </c>
      <c r="EV13" s="965">
        <f t="shared" si="98"/>
        <v>0</v>
      </c>
      <c r="EW13" s="966">
        <f t="shared" si="99"/>
        <v>0</v>
      </c>
      <c r="EX13" s="966">
        <f t="shared" si="100"/>
        <v>0</v>
      </c>
      <c r="EY13" s="966">
        <f t="shared" si="101"/>
        <v>0</v>
      </c>
      <c r="EZ13" s="966">
        <f t="shared" si="102"/>
        <v>0</v>
      </c>
      <c r="FA13" s="967">
        <f t="shared" si="103"/>
        <v>0</v>
      </c>
      <c r="FB13" s="967">
        <f t="shared" si="104"/>
        <v>0</v>
      </c>
      <c r="FC13" s="968">
        <f t="shared" si="105"/>
        <v>0</v>
      </c>
      <c r="FE13" s="10" t="b">
        <f t="shared" si="115"/>
        <v>1</v>
      </c>
      <c r="FF13" s="10" t="b">
        <f t="shared" si="116"/>
        <v>1</v>
      </c>
      <c r="FG13" s="10" t="b">
        <f t="shared" si="117"/>
        <v>1</v>
      </c>
      <c r="FH13" s="10" t="b">
        <f t="shared" si="118"/>
        <v>1</v>
      </c>
      <c r="FI13" s="10" t="b">
        <f t="shared" si="119"/>
        <v>1</v>
      </c>
      <c r="FJ13" s="10" t="b">
        <f t="shared" si="120"/>
        <v>1</v>
      </c>
      <c r="FK13" s="10" t="b">
        <f t="shared" si="121"/>
        <v>1</v>
      </c>
      <c r="FL13" s="10" t="b">
        <f t="shared" si="122"/>
        <v>1</v>
      </c>
    </row>
    <row r="14" spans="1:168" s="10" customFormat="1" ht="12.75" customHeight="1">
      <c r="A14" s="662">
        <v>9</v>
      </c>
      <c r="B14" s="703" t="str">
        <f>'REFERENCE-HomeEnergyPerformance'!B29</f>
        <v>HVAC-DWH-Central Air Conditioner - ENERGY STAR</v>
      </c>
      <c r="C14" s="703" t="s">
        <v>925</v>
      </c>
      <c r="D14" s="703" t="s">
        <v>926</v>
      </c>
      <c r="E14" s="703" t="str">
        <f>'REFERENCE-HomeEnergyPerformance'!E29</f>
        <v>Per Unit</v>
      </c>
      <c r="F14" s="703" t="s">
        <v>402</v>
      </c>
      <c r="G14" s="969">
        <f>(221-108)*3</f>
        <v>339</v>
      </c>
      <c r="H14" s="703"/>
      <c r="I14" s="970">
        <f t="shared" si="106"/>
        <v>339</v>
      </c>
      <c r="J14" s="703">
        <v>0</v>
      </c>
      <c r="K14" s="970">
        <f t="shared" si="107"/>
        <v>169.5</v>
      </c>
      <c r="L14" s="703" t="s">
        <v>927</v>
      </c>
      <c r="M14" s="703"/>
      <c r="N14" s="703">
        <v>300</v>
      </c>
      <c r="O14" s="703"/>
      <c r="P14" s="703"/>
      <c r="Q14" s="971">
        <f>AC77</f>
        <v>80.791313949208472</v>
      </c>
      <c r="R14" s="971">
        <f>AC86</f>
        <v>0.1958399999999999</v>
      </c>
      <c r="S14" s="935">
        <f t="shared" si="123"/>
        <v>0</v>
      </c>
      <c r="T14" s="703" t="s">
        <v>928</v>
      </c>
      <c r="U14" s="712">
        <v>0.05</v>
      </c>
      <c r="V14" s="713">
        <v>1</v>
      </c>
      <c r="W14" s="938"/>
      <c r="X14" s="938"/>
      <c r="Y14" s="938"/>
      <c r="Z14" s="938"/>
      <c r="AA14" s="939"/>
      <c r="AB14" s="939"/>
      <c r="AC14" s="939"/>
      <c r="AD14" s="773">
        <v>0</v>
      </c>
      <c r="AE14" s="773">
        <f t="shared" ref="AE14:AH16" si="159">AI67</f>
        <v>480</v>
      </c>
      <c r="AF14" s="773">
        <f t="shared" si="159"/>
        <v>624</v>
      </c>
      <c r="AG14" s="773">
        <f t="shared" si="159"/>
        <v>769</v>
      </c>
      <c r="AH14" s="773">
        <f t="shared" si="159"/>
        <v>961</v>
      </c>
      <c r="AI14" s="714">
        <f t="shared" si="82"/>
        <v>961</v>
      </c>
      <c r="AJ14" s="714">
        <f t="shared" si="82"/>
        <v>961</v>
      </c>
      <c r="AK14" s="715" t="s">
        <v>374</v>
      </c>
      <c r="AL14" s="711" t="s">
        <v>375</v>
      </c>
      <c r="AM14" s="711" t="s">
        <v>377</v>
      </c>
      <c r="AN14" s="711" t="s">
        <v>377</v>
      </c>
      <c r="AO14" s="711" t="s">
        <v>1</v>
      </c>
      <c r="AP14" s="711" t="s">
        <v>378</v>
      </c>
      <c r="AQ14" s="711" t="s">
        <v>378</v>
      </c>
      <c r="AR14" s="711" t="s">
        <v>378</v>
      </c>
      <c r="AS14" s="715" t="s">
        <v>406</v>
      </c>
      <c r="AT14" s="715" t="s">
        <v>407</v>
      </c>
      <c r="AU14" s="715" t="s">
        <v>381</v>
      </c>
      <c r="AV14" s="940">
        <v>18</v>
      </c>
      <c r="AW14" s="940">
        <v>18</v>
      </c>
      <c r="AX14" s="711"/>
      <c r="AY14" s="716">
        <v>1</v>
      </c>
      <c r="AZ14" s="716">
        <v>1</v>
      </c>
      <c r="BA14" s="717">
        <v>1</v>
      </c>
      <c r="BB14" s="721">
        <f t="shared" si="23"/>
        <v>339</v>
      </c>
      <c r="BC14" s="499">
        <f t="shared" ref="BC14:BH14" si="160">BB14</f>
        <v>339</v>
      </c>
      <c r="BD14" s="499">
        <f t="shared" si="160"/>
        <v>339</v>
      </c>
      <c r="BE14" s="499">
        <f t="shared" si="160"/>
        <v>339</v>
      </c>
      <c r="BF14" s="499">
        <f t="shared" si="160"/>
        <v>339</v>
      </c>
      <c r="BG14" s="499">
        <f t="shared" si="160"/>
        <v>339</v>
      </c>
      <c r="BH14" s="499">
        <f t="shared" si="160"/>
        <v>339</v>
      </c>
      <c r="BI14" s="721">
        <f t="shared" si="25"/>
        <v>0</v>
      </c>
      <c r="BJ14" s="499">
        <f t="shared" ref="BJ14:BO14" si="161">BI14</f>
        <v>0</v>
      </c>
      <c r="BK14" s="499">
        <f t="shared" si="161"/>
        <v>0</v>
      </c>
      <c r="BL14" s="499">
        <f t="shared" si="161"/>
        <v>0</v>
      </c>
      <c r="BM14" s="499">
        <f t="shared" si="161"/>
        <v>0</v>
      </c>
      <c r="BN14" s="499">
        <f t="shared" si="161"/>
        <v>0</v>
      </c>
      <c r="BO14" s="499">
        <f t="shared" si="161"/>
        <v>0</v>
      </c>
      <c r="BP14" s="721">
        <f t="shared" si="27"/>
        <v>300</v>
      </c>
      <c r="BQ14" s="499">
        <f t="shared" ref="BQ14:BV14" si="162">BP14</f>
        <v>300</v>
      </c>
      <c r="BR14" s="499">
        <f t="shared" si="162"/>
        <v>300</v>
      </c>
      <c r="BS14" s="499">
        <f t="shared" si="162"/>
        <v>300</v>
      </c>
      <c r="BT14" s="499">
        <f t="shared" si="162"/>
        <v>300</v>
      </c>
      <c r="BU14" s="499">
        <f t="shared" si="162"/>
        <v>300</v>
      </c>
      <c r="BV14" s="499">
        <f t="shared" si="162"/>
        <v>300</v>
      </c>
      <c r="BW14" s="503">
        <f t="shared" si="29"/>
        <v>0</v>
      </c>
      <c r="BX14" s="503">
        <f t="shared" si="30"/>
        <v>0</v>
      </c>
      <c r="BY14" s="503">
        <f t="shared" si="31"/>
        <v>0</v>
      </c>
      <c r="BZ14" s="503">
        <f t="shared" si="31"/>
        <v>0</v>
      </c>
      <c r="CA14" s="503">
        <f t="shared" si="31"/>
        <v>0</v>
      </c>
      <c r="CB14" s="503">
        <f t="shared" si="31"/>
        <v>0</v>
      </c>
      <c r="CC14" s="776">
        <f t="shared" si="31"/>
        <v>0</v>
      </c>
      <c r="CD14" s="507">
        <f t="shared" si="32"/>
        <v>80.791313949208472</v>
      </c>
      <c r="CE14" s="511">
        <f t="shared" ref="CE14:CJ14" si="163">CD14</f>
        <v>80.791313949208472</v>
      </c>
      <c r="CF14" s="511">
        <f t="shared" si="163"/>
        <v>80.791313949208472</v>
      </c>
      <c r="CG14" s="511">
        <f t="shared" si="163"/>
        <v>80.791313949208472</v>
      </c>
      <c r="CH14" s="511">
        <f t="shared" si="163"/>
        <v>80.791313949208472</v>
      </c>
      <c r="CI14" s="511">
        <f t="shared" si="163"/>
        <v>80.791313949208472</v>
      </c>
      <c r="CJ14" s="511">
        <f t="shared" si="163"/>
        <v>80.791313949208472</v>
      </c>
      <c r="CK14" s="722">
        <f t="shared" si="34"/>
        <v>0.1958399999999999</v>
      </c>
      <c r="CL14" s="511">
        <f t="shared" ref="CL14:CQ14" si="164">CK14</f>
        <v>0.1958399999999999</v>
      </c>
      <c r="CM14" s="511">
        <f t="shared" si="164"/>
        <v>0.1958399999999999</v>
      </c>
      <c r="CN14" s="511">
        <f t="shared" si="164"/>
        <v>0.1958399999999999</v>
      </c>
      <c r="CO14" s="511">
        <f t="shared" si="164"/>
        <v>0.1958399999999999</v>
      </c>
      <c r="CP14" s="511">
        <f t="shared" si="164"/>
        <v>0.1958399999999999</v>
      </c>
      <c r="CQ14" s="511">
        <f t="shared" si="164"/>
        <v>0.1958399999999999</v>
      </c>
      <c r="CR14" s="722">
        <f t="shared" si="36"/>
        <v>0</v>
      </c>
      <c r="CS14" s="511">
        <f t="shared" ref="CS14:CX14" si="165">CR14</f>
        <v>0</v>
      </c>
      <c r="CT14" s="511">
        <f t="shared" si="165"/>
        <v>0</v>
      </c>
      <c r="CU14" s="511">
        <f t="shared" si="165"/>
        <v>0</v>
      </c>
      <c r="CV14" s="511">
        <f t="shared" si="165"/>
        <v>0</v>
      </c>
      <c r="CW14" s="511">
        <f t="shared" si="165"/>
        <v>0</v>
      </c>
      <c r="CX14" s="511">
        <f t="shared" si="165"/>
        <v>0</v>
      </c>
      <c r="CY14" s="724">
        <f t="shared" si="38"/>
        <v>0</v>
      </c>
      <c r="CZ14" s="508">
        <f t="shared" si="39"/>
        <v>162720</v>
      </c>
      <c r="DA14" s="508">
        <f t="shared" si="40"/>
        <v>211536</v>
      </c>
      <c r="DB14" s="508">
        <f t="shared" si="41"/>
        <v>260691</v>
      </c>
      <c r="DC14" s="508">
        <f t="shared" si="42"/>
        <v>325779</v>
      </c>
      <c r="DD14" s="508">
        <f t="shared" si="43"/>
        <v>325779</v>
      </c>
      <c r="DE14" s="726">
        <f t="shared" si="44"/>
        <v>325779</v>
      </c>
      <c r="DF14" s="724">
        <f t="shared" si="89"/>
        <v>0</v>
      </c>
      <c r="DG14" s="508">
        <f t="shared" si="45"/>
        <v>0</v>
      </c>
      <c r="DH14" s="508">
        <f t="shared" si="46"/>
        <v>0</v>
      </c>
      <c r="DI14" s="508">
        <f t="shared" si="47"/>
        <v>0</v>
      </c>
      <c r="DJ14" s="508">
        <f t="shared" si="48"/>
        <v>0</v>
      </c>
      <c r="DK14" s="508">
        <f t="shared" si="49"/>
        <v>0</v>
      </c>
      <c r="DL14" s="725">
        <f t="shared" si="50"/>
        <v>0</v>
      </c>
      <c r="DM14" s="724">
        <f t="shared" si="90"/>
        <v>0</v>
      </c>
      <c r="DN14" s="509">
        <f t="shared" si="51"/>
        <v>144000</v>
      </c>
      <c r="DO14" s="508">
        <f t="shared" si="52"/>
        <v>187200</v>
      </c>
      <c r="DP14" s="508">
        <f t="shared" si="53"/>
        <v>230700</v>
      </c>
      <c r="DQ14" s="508">
        <f t="shared" si="54"/>
        <v>288300</v>
      </c>
      <c r="DR14" s="508">
        <f t="shared" si="55"/>
        <v>288300</v>
      </c>
      <c r="DS14" s="725">
        <f t="shared" si="56"/>
        <v>288300</v>
      </c>
      <c r="DT14" s="724">
        <f t="shared" si="57"/>
        <v>0</v>
      </c>
      <c r="DU14" s="508">
        <f t="shared" si="58"/>
        <v>0</v>
      </c>
      <c r="DV14" s="508">
        <f t="shared" si="59"/>
        <v>0</v>
      </c>
      <c r="DW14" s="508">
        <f t="shared" si="60"/>
        <v>0</v>
      </c>
      <c r="DX14" s="508">
        <f t="shared" si="61"/>
        <v>0</v>
      </c>
      <c r="DY14" s="508">
        <f t="shared" si="62"/>
        <v>0</v>
      </c>
      <c r="DZ14" s="725">
        <f t="shared" si="63"/>
        <v>0</v>
      </c>
      <c r="EA14" s="722">
        <f t="shared" si="91"/>
        <v>0</v>
      </c>
      <c r="EB14" s="511">
        <f t="shared" si="92"/>
        <v>38779.830695620069</v>
      </c>
      <c r="EC14" s="511">
        <f t="shared" si="93"/>
        <v>50413.779904306088</v>
      </c>
      <c r="ED14" s="511">
        <f t="shared" si="94"/>
        <v>62128.520426941315</v>
      </c>
      <c r="EE14" s="511">
        <f t="shared" si="95"/>
        <v>77640.452705189338</v>
      </c>
      <c r="EF14" s="511">
        <f t="shared" si="96"/>
        <v>77640.452705189338</v>
      </c>
      <c r="EG14" s="723">
        <f t="shared" si="97"/>
        <v>77640.452705189338</v>
      </c>
      <c r="EH14" s="722">
        <f t="shared" si="65"/>
        <v>0</v>
      </c>
      <c r="EI14" s="511">
        <f t="shared" si="66"/>
        <v>94.00319999999995</v>
      </c>
      <c r="EJ14" s="511">
        <f t="shared" si="67"/>
        <v>122.20415999999994</v>
      </c>
      <c r="EK14" s="511">
        <f t="shared" si="68"/>
        <v>150.60095999999993</v>
      </c>
      <c r="EL14" s="511">
        <f t="shared" si="69"/>
        <v>188.2022399999999</v>
      </c>
      <c r="EM14" s="511">
        <f t="shared" si="70"/>
        <v>188.2022399999999</v>
      </c>
      <c r="EN14" s="723">
        <f t="shared" si="71"/>
        <v>188.2022399999999</v>
      </c>
      <c r="EO14" s="507">
        <f t="shared" si="72"/>
        <v>0</v>
      </c>
      <c r="EP14" s="511">
        <f t="shared" si="73"/>
        <v>0</v>
      </c>
      <c r="EQ14" s="511">
        <f t="shared" si="74"/>
        <v>0</v>
      </c>
      <c r="ER14" s="511">
        <f t="shared" si="75"/>
        <v>0</v>
      </c>
      <c r="ES14" s="511">
        <f t="shared" si="76"/>
        <v>0</v>
      </c>
      <c r="ET14" s="511">
        <f t="shared" si="77"/>
        <v>0</v>
      </c>
      <c r="EU14" s="723">
        <f t="shared" si="78"/>
        <v>0</v>
      </c>
      <c r="EV14" s="727">
        <f t="shared" si="98"/>
        <v>4756</v>
      </c>
      <c r="EW14" s="728">
        <f t="shared" si="99"/>
        <v>1612284</v>
      </c>
      <c r="EX14" s="728">
        <f t="shared" si="100"/>
        <v>0</v>
      </c>
      <c r="EY14" s="728">
        <f t="shared" si="101"/>
        <v>1426800</v>
      </c>
      <c r="EZ14" s="728">
        <f t="shared" si="102"/>
        <v>0</v>
      </c>
      <c r="FA14" s="777">
        <f t="shared" si="103"/>
        <v>384243.48914243549</v>
      </c>
      <c r="FB14" s="777">
        <f t="shared" si="104"/>
        <v>931.41503999999941</v>
      </c>
      <c r="FC14" s="778">
        <f t="shared" si="105"/>
        <v>0</v>
      </c>
      <c r="FE14" s="10" t="b">
        <f t="shared" si="115"/>
        <v>1</v>
      </c>
      <c r="FF14" s="10" t="b">
        <f t="shared" si="116"/>
        <v>1</v>
      </c>
      <c r="FG14" s="10" t="b">
        <f t="shared" si="117"/>
        <v>1</v>
      </c>
      <c r="FH14" s="10" t="b">
        <f t="shared" si="118"/>
        <v>1</v>
      </c>
      <c r="FI14" s="10" t="b">
        <f t="shared" si="119"/>
        <v>1</v>
      </c>
      <c r="FJ14" s="10" t="b">
        <f t="shared" si="120"/>
        <v>1</v>
      </c>
      <c r="FK14" s="10" t="b">
        <f t="shared" si="121"/>
        <v>1</v>
      </c>
      <c r="FL14" s="10" t="b">
        <f t="shared" si="122"/>
        <v>1</v>
      </c>
    </row>
    <row r="15" spans="1:168" s="10" customFormat="1" ht="12.75" customHeight="1">
      <c r="A15" s="662">
        <v>10</v>
      </c>
      <c r="B15" s="703" t="str">
        <f>'REFERENCE-HomeEnergyPerformance'!B31</f>
        <v>HVAC-DWH-Heat Pump - Air Source ENERGY STAR</v>
      </c>
      <c r="C15" s="703" t="s">
        <v>929</v>
      </c>
      <c r="D15" s="703" t="s">
        <v>930</v>
      </c>
      <c r="E15" s="703" t="str">
        <f>'REFERENCE-HomeEnergyPerformance'!E31</f>
        <v>Per Unit</v>
      </c>
      <c r="F15" s="703" t="s">
        <v>402</v>
      </c>
      <c r="G15" s="969">
        <f>(438-303)*3</f>
        <v>405</v>
      </c>
      <c r="H15" s="703"/>
      <c r="I15" s="970">
        <f t="shared" si="106"/>
        <v>405</v>
      </c>
      <c r="J15" s="703">
        <v>0</v>
      </c>
      <c r="K15" s="970">
        <f t="shared" si="107"/>
        <v>202.5</v>
      </c>
      <c r="L15" s="703" t="s">
        <v>927</v>
      </c>
      <c r="M15" s="703"/>
      <c r="N15" s="703">
        <v>400</v>
      </c>
      <c r="O15" s="703"/>
      <c r="P15" s="703"/>
      <c r="Q15" s="971">
        <f>AU68</f>
        <v>266.71000368052984</v>
      </c>
      <c r="R15" s="971">
        <f>AU92</f>
        <v>0.18679720279720283</v>
      </c>
      <c r="S15" s="935">
        <f t="shared" si="123"/>
        <v>0</v>
      </c>
      <c r="T15" s="703" t="s">
        <v>928</v>
      </c>
      <c r="U15" s="712">
        <v>0.05</v>
      </c>
      <c r="V15" s="713">
        <v>1</v>
      </c>
      <c r="W15" s="938"/>
      <c r="X15" s="938"/>
      <c r="Y15" s="938"/>
      <c r="Z15" s="938"/>
      <c r="AA15" s="939"/>
      <c r="AB15" s="939"/>
      <c r="AC15" s="939"/>
      <c r="AD15" s="773">
        <v>0</v>
      </c>
      <c r="AE15" s="773">
        <f t="shared" si="159"/>
        <v>459</v>
      </c>
      <c r="AF15" s="773">
        <f t="shared" si="159"/>
        <v>597</v>
      </c>
      <c r="AG15" s="773">
        <f t="shared" si="159"/>
        <v>735</v>
      </c>
      <c r="AH15" s="773">
        <f t="shared" si="159"/>
        <v>919</v>
      </c>
      <c r="AI15" s="714">
        <f t="shared" si="82"/>
        <v>919</v>
      </c>
      <c r="AJ15" s="714">
        <f t="shared" si="82"/>
        <v>919</v>
      </c>
      <c r="AK15" s="715" t="s">
        <v>374</v>
      </c>
      <c r="AL15" s="711" t="s">
        <v>375</v>
      </c>
      <c r="AM15" s="711" t="s">
        <v>377</v>
      </c>
      <c r="AN15" s="711" t="s">
        <v>377</v>
      </c>
      <c r="AO15" s="711" t="s">
        <v>1</v>
      </c>
      <c r="AP15" s="711" t="s">
        <v>378</v>
      </c>
      <c r="AQ15" s="711" t="s">
        <v>378</v>
      </c>
      <c r="AR15" s="711" t="s">
        <v>378</v>
      </c>
      <c r="AS15" s="715" t="s">
        <v>379</v>
      </c>
      <c r="AT15" s="715" t="s">
        <v>407</v>
      </c>
      <c r="AU15" s="715" t="s">
        <v>381</v>
      </c>
      <c r="AV15" s="940">
        <v>18</v>
      </c>
      <c r="AW15" s="940">
        <v>18</v>
      </c>
      <c r="AX15" s="711"/>
      <c r="AY15" s="716">
        <v>1</v>
      </c>
      <c r="AZ15" s="716">
        <v>1</v>
      </c>
      <c r="BA15" s="717">
        <v>1</v>
      </c>
      <c r="BB15" s="721">
        <f t="shared" si="23"/>
        <v>405</v>
      </c>
      <c r="BC15" s="499">
        <f t="shared" ref="BC15:BH15" si="166">BB15</f>
        <v>405</v>
      </c>
      <c r="BD15" s="499">
        <f t="shared" si="166"/>
        <v>405</v>
      </c>
      <c r="BE15" s="499">
        <f t="shared" si="166"/>
        <v>405</v>
      </c>
      <c r="BF15" s="499">
        <f t="shared" si="166"/>
        <v>405</v>
      </c>
      <c r="BG15" s="499">
        <f t="shared" si="166"/>
        <v>405</v>
      </c>
      <c r="BH15" s="499">
        <f t="shared" si="166"/>
        <v>405</v>
      </c>
      <c r="BI15" s="721">
        <f t="shared" si="25"/>
        <v>0</v>
      </c>
      <c r="BJ15" s="499">
        <f t="shared" ref="BJ15:BO15" si="167">BI15</f>
        <v>0</v>
      </c>
      <c r="BK15" s="499">
        <f t="shared" si="167"/>
        <v>0</v>
      </c>
      <c r="BL15" s="499">
        <f t="shared" si="167"/>
        <v>0</v>
      </c>
      <c r="BM15" s="499">
        <f t="shared" si="167"/>
        <v>0</v>
      </c>
      <c r="BN15" s="499">
        <f t="shared" si="167"/>
        <v>0</v>
      </c>
      <c r="BO15" s="499">
        <f t="shared" si="167"/>
        <v>0</v>
      </c>
      <c r="BP15" s="721">
        <f t="shared" si="27"/>
        <v>400</v>
      </c>
      <c r="BQ15" s="499">
        <f t="shared" ref="BQ15:BV15" si="168">BP15</f>
        <v>400</v>
      </c>
      <c r="BR15" s="499">
        <f t="shared" si="168"/>
        <v>400</v>
      </c>
      <c r="BS15" s="499">
        <f t="shared" si="168"/>
        <v>400</v>
      </c>
      <c r="BT15" s="499">
        <f t="shared" si="168"/>
        <v>400</v>
      </c>
      <c r="BU15" s="499">
        <f t="shared" si="168"/>
        <v>400</v>
      </c>
      <c r="BV15" s="499">
        <f t="shared" si="168"/>
        <v>400</v>
      </c>
      <c r="BW15" s="503">
        <f t="shared" si="29"/>
        <v>0</v>
      </c>
      <c r="BX15" s="503">
        <f t="shared" si="30"/>
        <v>0</v>
      </c>
      <c r="BY15" s="503">
        <f t="shared" si="31"/>
        <v>0</v>
      </c>
      <c r="BZ15" s="503">
        <f t="shared" si="31"/>
        <v>0</v>
      </c>
      <c r="CA15" s="503">
        <f t="shared" si="31"/>
        <v>0</v>
      </c>
      <c r="CB15" s="503">
        <f t="shared" si="31"/>
        <v>0</v>
      </c>
      <c r="CC15" s="776">
        <f t="shared" si="31"/>
        <v>0</v>
      </c>
      <c r="CD15" s="507">
        <f t="shared" si="32"/>
        <v>266.71000368052984</v>
      </c>
      <c r="CE15" s="511">
        <f t="shared" ref="CE15:CJ15" si="169">CD15</f>
        <v>266.71000368052984</v>
      </c>
      <c r="CF15" s="511">
        <f t="shared" si="169"/>
        <v>266.71000368052984</v>
      </c>
      <c r="CG15" s="511">
        <f t="shared" si="169"/>
        <v>266.71000368052984</v>
      </c>
      <c r="CH15" s="511">
        <f t="shared" si="169"/>
        <v>266.71000368052984</v>
      </c>
      <c r="CI15" s="511">
        <f t="shared" si="169"/>
        <v>266.71000368052984</v>
      </c>
      <c r="CJ15" s="511">
        <f t="shared" si="169"/>
        <v>266.71000368052984</v>
      </c>
      <c r="CK15" s="722">
        <f t="shared" si="34"/>
        <v>0.18679720279720283</v>
      </c>
      <c r="CL15" s="511">
        <f t="shared" ref="CL15:CQ15" si="170">CK15</f>
        <v>0.18679720279720283</v>
      </c>
      <c r="CM15" s="511">
        <f t="shared" si="170"/>
        <v>0.18679720279720283</v>
      </c>
      <c r="CN15" s="511">
        <f t="shared" si="170"/>
        <v>0.18679720279720283</v>
      </c>
      <c r="CO15" s="511">
        <f t="shared" si="170"/>
        <v>0.18679720279720283</v>
      </c>
      <c r="CP15" s="511">
        <f t="shared" si="170"/>
        <v>0.18679720279720283</v>
      </c>
      <c r="CQ15" s="511">
        <f t="shared" si="170"/>
        <v>0.18679720279720283</v>
      </c>
      <c r="CR15" s="722">
        <f t="shared" si="36"/>
        <v>0</v>
      </c>
      <c r="CS15" s="511">
        <f t="shared" ref="CS15:CX15" si="171">CR15</f>
        <v>0</v>
      </c>
      <c r="CT15" s="511">
        <f t="shared" si="171"/>
        <v>0</v>
      </c>
      <c r="CU15" s="511">
        <f t="shared" si="171"/>
        <v>0</v>
      </c>
      <c r="CV15" s="511">
        <f t="shared" si="171"/>
        <v>0</v>
      </c>
      <c r="CW15" s="511">
        <f t="shared" si="171"/>
        <v>0</v>
      </c>
      <c r="CX15" s="511">
        <f t="shared" si="171"/>
        <v>0</v>
      </c>
      <c r="CY15" s="724">
        <f t="shared" si="38"/>
        <v>0</v>
      </c>
      <c r="CZ15" s="508">
        <f t="shared" si="39"/>
        <v>185895</v>
      </c>
      <c r="DA15" s="508">
        <f t="shared" si="40"/>
        <v>241785</v>
      </c>
      <c r="DB15" s="508">
        <f t="shared" si="41"/>
        <v>297675</v>
      </c>
      <c r="DC15" s="508">
        <f t="shared" si="42"/>
        <v>372195</v>
      </c>
      <c r="DD15" s="508">
        <f t="shared" si="43"/>
        <v>372195</v>
      </c>
      <c r="DE15" s="726">
        <f t="shared" si="44"/>
        <v>372195</v>
      </c>
      <c r="DF15" s="724">
        <f t="shared" si="89"/>
        <v>0</v>
      </c>
      <c r="DG15" s="508">
        <f t="shared" si="45"/>
        <v>0</v>
      </c>
      <c r="DH15" s="508">
        <f t="shared" si="46"/>
        <v>0</v>
      </c>
      <c r="DI15" s="508">
        <f t="shared" si="47"/>
        <v>0</v>
      </c>
      <c r="DJ15" s="508">
        <f t="shared" si="48"/>
        <v>0</v>
      </c>
      <c r="DK15" s="508">
        <f t="shared" si="49"/>
        <v>0</v>
      </c>
      <c r="DL15" s="725">
        <f t="shared" si="50"/>
        <v>0</v>
      </c>
      <c r="DM15" s="724">
        <f t="shared" si="90"/>
        <v>0</v>
      </c>
      <c r="DN15" s="509">
        <f t="shared" si="51"/>
        <v>183600</v>
      </c>
      <c r="DO15" s="508">
        <f t="shared" si="52"/>
        <v>238800</v>
      </c>
      <c r="DP15" s="508">
        <f t="shared" si="53"/>
        <v>294000</v>
      </c>
      <c r="DQ15" s="508">
        <f t="shared" si="54"/>
        <v>367600</v>
      </c>
      <c r="DR15" s="508">
        <f t="shared" si="55"/>
        <v>367600</v>
      </c>
      <c r="DS15" s="725">
        <f t="shared" si="56"/>
        <v>367600</v>
      </c>
      <c r="DT15" s="724">
        <f t="shared" si="57"/>
        <v>0</v>
      </c>
      <c r="DU15" s="508">
        <f t="shared" si="58"/>
        <v>0</v>
      </c>
      <c r="DV15" s="508">
        <f t="shared" si="59"/>
        <v>0</v>
      </c>
      <c r="DW15" s="508">
        <f t="shared" si="60"/>
        <v>0</v>
      </c>
      <c r="DX15" s="508">
        <f t="shared" si="61"/>
        <v>0</v>
      </c>
      <c r="DY15" s="508">
        <f t="shared" si="62"/>
        <v>0</v>
      </c>
      <c r="DZ15" s="725">
        <f t="shared" si="63"/>
        <v>0</v>
      </c>
      <c r="EA15" s="722">
        <f t="shared" si="91"/>
        <v>0</v>
      </c>
      <c r="EB15" s="511">
        <f t="shared" si="92"/>
        <v>122419.8916893632</v>
      </c>
      <c r="EC15" s="511">
        <f t="shared" si="93"/>
        <v>159225.8721972763</v>
      </c>
      <c r="ED15" s="511">
        <f t="shared" si="94"/>
        <v>196031.85270518943</v>
      </c>
      <c r="EE15" s="511">
        <f t="shared" si="95"/>
        <v>245106.49338240692</v>
      </c>
      <c r="EF15" s="511">
        <f t="shared" si="96"/>
        <v>245106.49338240692</v>
      </c>
      <c r="EG15" s="723">
        <f t="shared" si="97"/>
        <v>245106.49338240692</v>
      </c>
      <c r="EH15" s="722">
        <f t="shared" si="65"/>
        <v>0</v>
      </c>
      <c r="EI15" s="511">
        <f t="shared" si="66"/>
        <v>85.7399160839161</v>
      </c>
      <c r="EJ15" s="511">
        <f t="shared" si="67"/>
        <v>111.51793006993009</v>
      </c>
      <c r="EK15" s="511">
        <f t="shared" si="68"/>
        <v>137.29594405594409</v>
      </c>
      <c r="EL15" s="511">
        <f t="shared" si="69"/>
        <v>171.66662937062941</v>
      </c>
      <c r="EM15" s="511">
        <f t="shared" si="70"/>
        <v>171.66662937062941</v>
      </c>
      <c r="EN15" s="723">
        <f t="shared" si="71"/>
        <v>171.66662937062941</v>
      </c>
      <c r="EO15" s="507">
        <f t="shared" si="72"/>
        <v>0</v>
      </c>
      <c r="EP15" s="511">
        <f t="shared" si="73"/>
        <v>0</v>
      </c>
      <c r="EQ15" s="511">
        <f t="shared" si="74"/>
        <v>0</v>
      </c>
      <c r="ER15" s="511">
        <f t="shared" si="75"/>
        <v>0</v>
      </c>
      <c r="ES15" s="511">
        <f t="shared" si="76"/>
        <v>0</v>
      </c>
      <c r="ET15" s="511">
        <f t="shared" si="77"/>
        <v>0</v>
      </c>
      <c r="EU15" s="723">
        <f t="shared" si="78"/>
        <v>0</v>
      </c>
      <c r="EV15" s="727">
        <f t="shared" si="98"/>
        <v>4548</v>
      </c>
      <c r="EW15" s="728">
        <f t="shared" si="99"/>
        <v>1841940</v>
      </c>
      <c r="EX15" s="728">
        <f t="shared" si="100"/>
        <v>0</v>
      </c>
      <c r="EY15" s="728">
        <f t="shared" si="101"/>
        <v>1819200</v>
      </c>
      <c r="EZ15" s="728">
        <f t="shared" si="102"/>
        <v>0</v>
      </c>
      <c r="FA15" s="777">
        <f t="shared" si="103"/>
        <v>1212997.0967390498</v>
      </c>
      <c r="FB15" s="777">
        <f t="shared" si="104"/>
        <v>849.55367832167838</v>
      </c>
      <c r="FC15" s="778">
        <f t="shared" si="105"/>
        <v>0</v>
      </c>
      <c r="FE15" s="10" t="b">
        <f t="shared" si="115"/>
        <v>1</v>
      </c>
      <c r="FF15" s="10" t="b">
        <f t="shared" si="116"/>
        <v>1</v>
      </c>
      <c r="FG15" s="10" t="b">
        <f t="shared" si="117"/>
        <v>1</v>
      </c>
      <c r="FH15" s="10" t="b">
        <f t="shared" si="118"/>
        <v>1</v>
      </c>
      <c r="FI15" s="10" t="b">
        <f t="shared" si="119"/>
        <v>1</v>
      </c>
      <c r="FJ15" s="10" t="b">
        <f t="shared" si="120"/>
        <v>1</v>
      </c>
      <c r="FK15" s="10" t="b">
        <f t="shared" si="121"/>
        <v>1</v>
      </c>
      <c r="FL15" s="10" t="b">
        <f t="shared" si="122"/>
        <v>1</v>
      </c>
    </row>
    <row r="16" spans="1:168" s="10" customFormat="1" ht="12.75" customHeight="1">
      <c r="A16" s="662">
        <v>11</v>
      </c>
      <c r="B16" s="703" t="str">
        <f>'REFERENCE-HomeEnergyPerformance'!B33</f>
        <v>HVAC-DWH-Ductless Heat Pump (DHP)</v>
      </c>
      <c r="C16" s="703" t="s">
        <v>931</v>
      </c>
      <c r="D16" s="703" t="s">
        <v>932</v>
      </c>
      <c r="E16" s="703" t="str">
        <f>'REFERENCE-HomeEnergyPerformance'!E33</f>
        <v>Per Unit</v>
      </c>
      <c r="F16" s="703" t="s">
        <v>402</v>
      </c>
      <c r="G16" s="969">
        <f>334*3</f>
        <v>1002</v>
      </c>
      <c r="H16" s="703"/>
      <c r="I16" s="970">
        <f t="shared" si="106"/>
        <v>1002</v>
      </c>
      <c r="J16" s="703">
        <v>0</v>
      </c>
      <c r="K16" s="970">
        <f t="shared" si="107"/>
        <v>501</v>
      </c>
      <c r="L16" s="703" t="s">
        <v>933</v>
      </c>
      <c r="M16" s="703"/>
      <c r="N16" s="703">
        <v>400</v>
      </c>
      <c r="O16" s="703"/>
      <c r="P16" s="703"/>
      <c r="Q16" s="971">
        <f>INDEX('REFERENCE-HomeEnergyPerformance'!$B$6:$FB$148,MATCH('Residential Audit Online'!$B16,'REFERENCE-HomeEnergyPerformance'!$B$6:$B$148,0),MATCH('Residential Audit Online'!Q$5,'REFERENCE-HomeEnergyPerformance'!$B$5:$FB$5,0))</f>
        <v>4172.3665824240761</v>
      </c>
      <c r="R16" s="971">
        <f>INDEX('REFERENCE-HomeEnergyPerformance'!$B$6:$FB$148,MATCH('Residential Audit Online'!$B16,'REFERENCE-HomeEnergyPerformance'!$B$6:$B$148,0),MATCH('Residential Audit Online'!R$5,'REFERENCE-HomeEnergyPerformance'!$B$5:$FB$5,0))</f>
        <v>0</v>
      </c>
      <c r="S16" s="935">
        <f t="shared" si="123"/>
        <v>0</v>
      </c>
      <c r="T16" s="703" t="str">
        <f>INDEX('REFERENCE-HomeEnergyPerformance'!$B$6:$FB$148,MATCH('Residential Audit Online'!$B16,'REFERENCE-HomeEnergyPerformance'!$B$6:$B$148,0),MATCH('Residential Audit Online'!T$5,'REFERENCE-HomeEnergyPerformance'!$B$5:$FB$5,0))</f>
        <v>Potential Study Results: Calculations based on ENERGY STAR Appliances Calculator. Accessed 06.07.2016</v>
      </c>
      <c r="U16" s="712">
        <v>0.05</v>
      </c>
      <c r="V16" s="713">
        <v>1</v>
      </c>
      <c r="W16" s="938"/>
      <c r="X16" s="938"/>
      <c r="Y16" s="938"/>
      <c r="Z16" s="938"/>
      <c r="AA16" s="939"/>
      <c r="AB16" s="939"/>
      <c r="AC16" s="939"/>
      <c r="AD16" s="773">
        <v>0</v>
      </c>
      <c r="AE16" s="773">
        <f t="shared" si="159"/>
        <v>469.5</v>
      </c>
      <c r="AF16" s="773">
        <f t="shared" si="159"/>
        <v>610.5</v>
      </c>
      <c r="AG16" s="773">
        <f t="shared" si="159"/>
        <v>752</v>
      </c>
      <c r="AH16" s="773">
        <f t="shared" si="159"/>
        <v>940</v>
      </c>
      <c r="AI16" s="714">
        <f t="shared" si="82"/>
        <v>940</v>
      </c>
      <c r="AJ16" s="714">
        <f t="shared" si="82"/>
        <v>940</v>
      </c>
      <c r="AK16" s="715" t="s">
        <v>374</v>
      </c>
      <c r="AL16" s="711" t="s">
        <v>375</v>
      </c>
      <c r="AM16" s="711" t="s">
        <v>377</v>
      </c>
      <c r="AN16" s="711" t="s">
        <v>377</v>
      </c>
      <c r="AO16" s="711" t="s">
        <v>1</v>
      </c>
      <c r="AP16" s="711" t="s">
        <v>378</v>
      </c>
      <c r="AQ16" s="711" t="s">
        <v>378</v>
      </c>
      <c r="AR16" s="711" t="s">
        <v>378</v>
      </c>
      <c r="AS16" s="715" t="s">
        <v>379</v>
      </c>
      <c r="AT16" s="715" t="s">
        <v>407</v>
      </c>
      <c r="AU16" s="715" t="s">
        <v>381</v>
      </c>
      <c r="AV16" s="940">
        <v>18</v>
      </c>
      <c r="AW16" s="940">
        <v>18</v>
      </c>
      <c r="AX16" s="711"/>
      <c r="AY16" s="716">
        <v>1</v>
      </c>
      <c r="AZ16" s="716">
        <v>1</v>
      </c>
      <c r="BA16" s="717">
        <v>1</v>
      </c>
      <c r="BB16" s="721">
        <f t="shared" si="23"/>
        <v>1002</v>
      </c>
      <c r="BC16" s="499">
        <f t="shared" ref="BC16:BH16" si="172">BB16</f>
        <v>1002</v>
      </c>
      <c r="BD16" s="499">
        <f t="shared" si="172"/>
        <v>1002</v>
      </c>
      <c r="BE16" s="499">
        <f t="shared" si="172"/>
        <v>1002</v>
      </c>
      <c r="BF16" s="499">
        <f t="shared" si="172"/>
        <v>1002</v>
      </c>
      <c r="BG16" s="499">
        <f t="shared" si="172"/>
        <v>1002</v>
      </c>
      <c r="BH16" s="499">
        <f t="shared" si="172"/>
        <v>1002</v>
      </c>
      <c r="BI16" s="721">
        <f t="shared" si="25"/>
        <v>0</v>
      </c>
      <c r="BJ16" s="499">
        <f t="shared" ref="BJ16:BO16" si="173">BI16</f>
        <v>0</v>
      </c>
      <c r="BK16" s="499">
        <f t="shared" si="173"/>
        <v>0</v>
      </c>
      <c r="BL16" s="499">
        <f t="shared" si="173"/>
        <v>0</v>
      </c>
      <c r="BM16" s="499">
        <f t="shared" si="173"/>
        <v>0</v>
      </c>
      <c r="BN16" s="499">
        <f t="shared" si="173"/>
        <v>0</v>
      </c>
      <c r="BO16" s="499">
        <f t="shared" si="173"/>
        <v>0</v>
      </c>
      <c r="BP16" s="721">
        <f t="shared" si="27"/>
        <v>400</v>
      </c>
      <c r="BQ16" s="499">
        <f t="shared" ref="BQ16:BV16" si="174">BP16</f>
        <v>400</v>
      </c>
      <c r="BR16" s="499">
        <f t="shared" si="174"/>
        <v>400</v>
      </c>
      <c r="BS16" s="499">
        <f t="shared" si="174"/>
        <v>400</v>
      </c>
      <c r="BT16" s="499">
        <f t="shared" si="174"/>
        <v>400</v>
      </c>
      <c r="BU16" s="499">
        <f t="shared" si="174"/>
        <v>400</v>
      </c>
      <c r="BV16" s="499">
        <f t="shared" si="174"/>
        <v>400</v>
      </c>
      <c r="BW16" s="503">
        <f t="shared" si="29"/>
        <v>0</v>
      </c>
      <c r="BX16" s="503">
        <f t="shared" si="30"/>
        <v>0</v>
      </c>
      <c r="BY16" s="503">
        <f t="shared" si="31"/>
        <v>0</v>
      </c>
      <c r="BZ16" s="503">
        <f t="shared" si="31"/>
        <v>0</v>
      </c>
      <c r="CA16" s="503">
        <f t="shared" si="31"/>
        <v>0</v>
      </c>
      <c r="CB16" s="503">
        <f t="shared" si="31"/>
        <v>0</v>
      </c>
      <c r="CC16" s="776">
        <f t="shared" si="31"/>
        <v>0</v>
      </c>
      <c r="CD16" s="507">
        <f t="shared" si="32"/>
        <v>4172.3665824240761</v>
      </c>
      <c r="CE16" s="511">
        <f t="shared" ref="CE16:CJ16" si="175">CD16</f>
        <v>4172.3665824240761</v>
      </c>
      <c r="CF16" s="511">
        <f t="shared" si="175"/>
        <v>4172.3665824240761</v>
      </c>
      <c r="CG16" s="511">
        <f t="shared" si="175"/>
        <v>4172.3665824240761</v>
      </c>
      <c r="CH16" s="511">
        <f t="shared" si="175"/>
        <v>4172.3665824240761</v>
      </c>
      <c r="CI16" s="511">
        <f t="shared" si="175"/>
        <v>4172.3665824240761</v>
      </c>
      <c r="CJ16" s="511">
        <f t="shared" si="175"/>
        <v>4172.3665824240761</v>
      </c>
      <c r="CK16" s="722">
        <f t="shared" si="34"/>
        <v>0</v>
      </c>
      <c r="CL16" s="511">
        <f t="shared" ref="CL16:CQ16" si="176">CK16</f>
        <v>0</v>
      </c>
      <c r="CM16" s="511">
        <f t="shared" si="176"/>
        <v>0</v>
      </c>
      <c r="CN16" s="511">
        <f t="shared" si="176"/>
        <v>0</v>
      </c>
      <c r="CO16" s="511">
        <f t="shared" si="176"/>
        <v>0</v>
      </c>
      <c r="CP16" s="511">
        <f t="shared" si="176"/>
        <v>0</v>
      </c>
      <c r="CQ16" s="511">
        <f t="shared" si="176"/>
        <v>0</v>
      </c>
      <c r="CR16" s="722">
        <f t="shared" si="36"/>
        <v>0</v>
      </c>
      <c r="CS16" s="511">
        <f t="shared" ref="CS16:CX16" si="177">CR16</f>
        <v>0</v>
      </c>
      <c r="CT16" s="511">
        <f t="shared" si="177"/>
        <v>0</v>
      </c>
      <c r="CU16" s="511">
        <f t="shared" si="177"/>
        <v>0</v>
      </c>
      <c r="CV16" s="511">
        <f t="shared" si="177"/>
        <v>0</v>
      </c>
      <c r="CW16" s="511">
        <f t="shared" si="177"/>
        <v>0</v>
      </c>
      <c r="CX16" s="511">
        <f t="shared" si="177"/>
        <v>0</v>
      </c>
      <c r="CY16" s="724">
        <f t="shared" si="38"/>
        <v>0</v>
      </c>
      <c r="CZ16" s="508">
        <f t="shared" si="39"/>
        <v>470439</v>
      </c>
      <c r="DA16" s="508">
        <f t="shared" si="40"/>
        <v>611721</v>
      </c>
      <c r="DB16" s="508">
        <f t="shared" si="41"/>
        <v>753504</v>
      </c>
      <c r="DC16" s="508">
        <f t="shared" si="42"/>
        <v>941880</v>
      </c>
      <c r="DD16" s="508">
        <f t="shared" si="43"/>
        <v>941880</v>
      </c>
      <c r="DE16" s="726">
        <f t="shared" si="44"/>
        <v>941880</v>
      </c>
      <c r="DF16" s="724">
        <f t="shared" si="89"/>
        <v>0</v>
      </c>
      <c r="DG16" s="508">
        <f t="shared" si="45"/>
        <v>0</v>
      </c>
      <c r="DH16" s="508">
        <f t="shared" si="46"/>
        <v>0</v>
      </c>
      <c r="DI16" s="508">
        <f t="shared" si="47"/>
        <v>0</v>
      </c>
      <c r="DJ16" s="508">
        <f t="shared" si="48"/>
        <v>0</v>
      </c>
      <c r="DK16" s="508">
        <f t="shared" si="49"/>
        <v>0</v>
      </c>
      <c r="DL16" s="725">
        <f t="shared" si="50"/>
        <v>0</v>
      </c>
      <c r="DM16" s="724">
        <f t="shared" si="90"/>
        <v>0</v>
      </c>
      <c r="DN16" s="509">
        <f t="shared" si="51"/>
        <v>187800</v>
      </c>
      <c r="DO16" s="508">
        <f t="shared" si="52"/>
        <v>244200</v>
      </c>
      <c r="DP16" s="508">
        <f t="shared" si="53"/>
        <v>300800</v>
      </c>
      <c r="DQ16" s="508">
        <f t="shared" si="54"/>
        <v>376000</v>
      </c>
      <c r="DR16" s="508">
        <f t="shared" si="55"/>
        <v>376000</v>
      </c>
      <c r="DS16" s="725">
        <f t="shared" si="56"/>
        <v>376000</v>
      </c>
      <c r="DT16" s="724">
        <f t="shared" si="57"/>
        <v>0</v>
      </c>
      <c r="DU16" s="508">
        <f t="shared" si="58"/>
        <v>0</v>
      </c>
      <c r="DV16" s="508">
        <f t="shared" si="59"/>
        <v>0</v>
      </c>
      <c r="DW16" s="508">
        <f t="shared" si="60"/>
        <v>0</v>
      </c>
      <c r="DX16" s="508">
        <f t="shared" si="61"/>
        <v>0</v>
      </c>
      <c r="DY16" s="508">
        <f t="shared" si="62"/>
        <v>0</v>
      </c>
      <c r="DZ16" s="725">
        <f t="shared" si="63"/>
        <v>0</v>
      </c>
      <c r="EA16" s="722">
        <f t="shared" si="91"/>
        <v>0</v>
      </c>
      <c r="EB16" s="511">
        <f t="shared" si="92"/>
        <v>1958926.1104481036</v>
      </c>
      <c r="EC16" s="511">
        <f t="shared" si="93"/>
        <v>2547229.7985698986</v>
      </c>
      <c r="ED16" s="511">
        <f t="shared" si="94"/>
        <v>3137619.669982905</v>
      </c>
      <c r="EE16" s="511">
        <f t="shared" si="95"/>
        <v>3922024.5874786316</v>
      </c>
      <c r="EF16" s="511">
        <f t="shared" si="96"/>
        <v>3922024.5874786316</v>
      </c>
      <c r="EG16" s="723">
        <f t="shared" si="97"/>
        <v>3922024.5874786316</v>
      </c>
      <c r="EH16" s="722">
        <f t="shared" si="65"/>
        <v>0</v>
      </c>
      <c r="EI16" s="511">
        <f t="shared" si="66"/>
        <v>0</v>
      </c>
      <c r="EJ16" s="511">
        <f t="shared" si="67"/>
        <v>0</v>
      </c>
      <c r="EK16" s="511">
        <f t="shared" si="68"/>
        <v>0</v>
      </c>
      <c r="EL16" s="511">
        <f t="shared" si="69"/>
        <v>0</v>
      </c>
      <c r="EM16" s="511">
        <f t="shared" si="70"/>
        <v>0</v>
      </c>
      <c r="EN16" s="723">
        <f t="shared" si="71"/>
        <v>0</v>
      </c>
      <c r="EO16" s="507">
        <f t="shared" si="72"/>
        <v>0</v>
      </c>
      <c r="EP16" s="511">
        <f t="shared" si="73"/>
        <v>0</v>
      </c>
      <c r="EQ16" s="511">
        <f t="shared" si="74"/>
        <v>0</v>
      </c>
      <c r="ER16" s="511">
        <f t="shared" si="75"/>
        <v>0</v>
      </c>
      <c r="ES16" s="511">
        <f t="shared" si="76"/>
        <v>0</v>
      </c>
      <c r="ET16" s="511">
        <f t="shared" si="77"/>
        <v>0</v>
      </c>
      <c r="EU16" s="723">
        <f t="shared" si="78"/>
        <v>0</v>
      </c>
      <c r="EV16" s="727">
        <f t="shared" si="98"/>
        <v>4652</v>
      </c>
      <c r="EW16" s="728">
        <f t="shared" si="99"/>
        <v>4661304</v>
      </c>
      <c r="EX16" s="728">
        <f t="shared" si="100"/>
        <v>0</v>
      </c>
      <c r="EY16" s="728">
        <f t="shared" si="101"/>
        <v>1860800</v>
      </c>
      <c r="EZ16" s="728">
        <f t="shared" si="102"/>
        <v>0</v>
      </c>
      <c r="FA16" s="777">
        <f t="shared" si="103"/>
        <v>19409849.341436803</v>
      </c>
      <c r="FB16" s="777">
        <f t="shared" si="104"/>
        <v>0</v>
      </c>
      <c r="FC16" s="778">
        <f t="shared" si="105"/>
        <v>0</v>
      </c>
      <c r="FE16" s="10" t="b">
        <f t="shared" si="115"/>
        <v>1</v>
      </c>
      <c r="FF16" s="10" t="b">
        <f t="shared" si="116"/>
        <v>1</v>
      </c>
      <c r="FG16" s="10" t="b">
        <f t="shared" si="117"/>
        <v>1</v>
      </c>
      <c r="FH16" s="10" t="b">
        <f t="shared" si="118"/>
        <v>1</v>
      </c>
      <c r="FI16" s="10" t="b">
        <f t="shared" si="119"/>
        <v>1</v>
      </c>
      <c r="FJ16" s="10" t="b">
        <f t="shared" si="120"/>
        <v>1</v>
      </c>
      <c r="FK16" s="10" t="b">
        <f t="shared" si="121"/>
        <v>1</v>
      </c>
      <c r="FL16" s="10" t="b">
        <f t="shared" si="122"/>
        <v>1</v>
      </c>
    </row>
    <row r="17" spans="1:168" s="536" customFormat="1" ht="12.75" hidden="1" customHeight="1">
      <c r="A17" s="941">
        <v>12</v>
      </c>
      <c r="B17" s="942" t="str">
        <f>'REFERENCE-HomeEnergyPerformance'!B34</f>
        <v>HVAC-DWH-Boiler - ENERGY STAR</v>
      </c>
      <c r="C17" s="942" t="s">
        <v>934</v>
      </c>
      <c r="D17" s="942" t="s">
        <v>935</v>
      </c>
      <c r="E17" s="942" t="str">
        <f>'REFERENCE-HomeEnergyPerformance'!E34</f>
        <v>Per Unit</v>
      </c>
      <c r="F17" s="942" t="s">
        <v>402</v>
      </c>
      <c r="G17" s="943">
        <v>1466</v>
      </c>
      <c r="H17" s="942"/>
      <c r="I17" s="545">
        <f t="shared" si="106"/>
        <v>1466</v>
      </c>
      <c r="J17" s="942">
        <v>0</v>
      </c>
      <c r="K17" s="545">
        <f t="shared" si="107"/>
        <v>733</v>
      </c>
      <c r="L17" s="942" t="s">
        <v>936</v>
      </c>
      <c r="M17" s="942"/>
      <c r="N17" s="942">
        <v>250</v>
      </c>
      <c r="O17" s="942"/>
      <c r="P17" s="942"/>
      <c r="Q17" s="944">
        <v>0</v>
      </c>
      <c r="R17" s="944">
        <v>0</v>
      </c>
      <c r="S17" s="935">
        <f>S47</f>
        <v>56.00000000000005</v>
      </c>
      <c r="T17" s="942" t="s">
        <v>928</v>
      </c>
      <c r="U17" s="946">
        <v>0.05</v>
      </c>
      <c r="V17" s="947">
        <v>1</v>
      </c>
      <c r="W17" s="948"/>
      <c r="X17" s="948"/>
      <c r="Y17" s="948"/>
      <c r="Z17" s="948"/>
      <c r="AA17" s="949"/>
      <c r="AB17" s="949"/>
      <c r="AC17" s="949"/>
      <c r="AD17" s="950">
        <v>0</v>
      </c>
      <c r="AE17" s="950">
        <v>0</v>
      </c>
      <c r="AF17" s="950">
        <v>0</v>
      </c>
      <c r="AG17" s="950">
        <v>0</v>
      </c>
      <c r="AH17" s="950">
        <v>0</v>
      </c>
      <c r="AI17" s="950">
        <v>0</v>
      </c>
      <c r="AJ17" s="950">
        <v>0</v>
      </c>
      <c r="AK17" s="951" t="s">
        <v>374</v>
      </c>
      <c r="AL17" s="952" t="s">
        <v>375</v>
      </c>
      <c r="AM17" s="952" t="s">
        <v>377</v>
      </c>
      <c r="AN17" s="952" t="s">
        <v>377</v>
      </c>
      <c r="AO17" s="952" t="s">
        <v>1</v>
      </c>
      <c r="AP17" s="952" t="s">
        <v>378</v>
      </c>
      <c r="AQ17" s="952" t="s">
        <v>378</v>
      </c>
      <c r="AR17" s="952" t="s">
        <v>378</v>
      </c>
      <c r="AS17" s="951" t="s">
        <v>379</v>
      </c>
      <c r="AT17" s="951" t="s">
        <v>407</v>
      </c>
      <c r="AU17" s="951" t="s">
        <v>381</v>
      </c>
      <c r="AV17" s="953">
        <v>18</v>
      </c>
      <c r="AW17" s="953">
        <v>18</v>
      </c>
      <c r="AX17" s="952"/>
      <c r="AY17" s="954">
        <v>1</v>
      </c>
      <c r="AZ17" s="954">
        <v>1</v>
      </c>
      <c r="BA17" s="955">
        <v>1</v>
      </c>
      <c r="BB17" s="956">
        <f t="shared" si="23"/>
        <v>1466</v>
      </c>
      <c r="BC17" s="957">
        <f t="shared" ref="BC17:BH17" si="178">BB17</f>
        <v>1466</v>
      </c>
      <c r="BD17" s="957">
        <f t="shared" si="178"/>
        <v>1466</v>
      </c>
      <c r="BE17" s="957">
        <f t="shared" si="178"/>
        <v>1466</v>
      </c>
      <c r="BF17" s="957">
        <f t="shared" si="178"/>
        <v>1466</v>
      </c>
      <c r="BG17" s="957">
        <f t="shared" si="178"/>
        <v>1466</v>
      </c>
      <c r="BH17" s="957">
        <f t="shared" si="178"/>
        <v>1466</v>
      </c>
      <c r="BI17" s="956">
        <f t="shared" si="25"/>
        <v>0</v>
      </c>
      <c r="BJ17" s="957">
        <f t="shared" ref="BJ17:BO17" si="179">BI17</f>
        <v>0</v>
      </c>
      <c r="BK17" s="957">
        <f t="shared" si="179"/>
        <v>0</v>
      </c>
      <c r="BL17" s="957">
        <f t="shared" si="179"/>
        <v>0</v>
      </c>
      <c r="BM17" s="957">
        <f t="shared" si="179"/>
        <v>0</v>
      </c>
      <c r="BN17" s="957">
        <f t="shared" si="179"/>
        <v>0</v>
      </c>
      <c r="BO17" s="957">
        <f t="shared" si="179"/>
        <v>0</v>
      </c>
      <c r="BP17" s="956">
        <f t="shared" si="27"/>
        <v>250</v>
      </c>
      <c r="BQ17" s="957">
        <f t="shared" ref="BQ17:BV17" si="180">BP17</f>
        <v>250</v>
      </c>
      <c r="BR17" s="957">
        <f t="shared" si="180"/>
        <v>250</v>
      </c>
      <c r="BS17" s="957">
        <f t="shared" si="180"/>
        <v>250</v>
      </c>
      <c r="BT17" s="957">
        <f t="shared" si="180"/>
        <v>250</v>
      </c>
      <c r="BU17" s="957">
        <f t="shared" si="180"/>
        <v>250</v>
      </c>
      <c r="BV17" s="957">
        <f t="shared" si="180"/>
        <v>250</v>
      </c>
      <c r="BW17" s="958">
        <f t="shared" si="29"/>
        <v>0</v>
      </c>
      <c r="BX17" s="958">
        <f t="shared" si="30"/>
        <v>0</v>
      </c>
      <c r="BY17" s="958">
        <f t="shared" si="31"/>
        <v>0</v>
      </c>
      <c r="BZ17" s="958">
        <f t="shared" si="31"/>
        <v>0</v>
      </c>
      <c r="CA17" s="958">
        <f t="shared" si="31"/>
        <v>0</v>
      </c>
      <c r="CB17" s="958">
        <f t="shared" si="31"/>
        <v>0</v>
      </c>
      <c r="CC17" s="959">
        <f t="shared" si="31"/>
        <v>0</v>
      </c>
      <c r="CD17" s="535">
        <f t="shared" si="32"/>
        <v>0</v>
      </c>
      <c r="CE17" s="534">
        <f t="shared" ref="CE17:CJ17" si="181">CD17</f>
        <v>0</v>
      </c>
      <c r="CF17" s="534">
        <f t="shared" si="181"/>
        <v>0</v>
      </c>
      <c r="CG17" s="534">
        <f t="shared" si="181"/>
        <v>0</v>
      </c>
      <c r="CH17" s="534">
        <f t="shared" si="181"/>
        <v>0</v>
      </c>
      <c r="CI17" s="534">
        <f t="shared" si="181"/>
        <v>0</v>
      </c>
      <c r="CJ17" s="534">
        <f t="shared" si="181"/>
        <v>0</v>
      </c>
      <c r="CK17" s="960">
        <f t="shared" si="34"/>
        <v>0</v>
      </c>
      <c r="CL17" s="534">
        <f t="shared" ref="CL17:CQ17" si="182">CK17</f>
        <v>0</v>
      </c>
      <c r="CM17" s="534">
        <f t="shared" si="182"/>
        <v>0</v>
      </c>
      <c r="CN17" s="534">
        <f t="shared" si="182"/>
        <v>0</v>
      </c>
      <c r="CO17" s="534">
        <f t="shared" si="182"/>
        <v>0</v>
      </c>
      <c r="CP17" s="534">
        <f t="shared" si="182"/>
        <v>0</v>
      </c>
      <c r="CQ17" s="534">
        <f t="shared" si="182"/>
        <v>0</v>
      </c>
      <c r="CR17" s="960">
        <f t="shared" si="36"/>
        <v>56.00000000000005</v>
      </c>
      <c r="CS17" s="534">
        <f t="shared" ref="CS17:CX17" si="183">CR17</f>
        <v>56.00000000000005</v>
      </c>
      <c r="CT17" s="534">
        <f t="shared" si="183"/>
        <v>56.00000000000005</v>
      </c>
      <c r="CU17" s="534">
        <f t="shared" si="183"/>
        <v>56.00000000000005</v>
      </c>
      <c r="CV17" s="534">
        <f t="shared" si="183"/>
        <v>56.00000000000005</v>
      </c>
      <c r="CW17" s="534">
        <f t="shared" si="183"/>
        <v>56.00000000000005</v>
      </c>
      <c r="CX17" s="534">
        <f t="shared" si="183"/>
        <v>56.00000000000005</v>
      </c>
      <c r="CY17" s="961">
        <f t="shared" si="38"/>
        <v>0</v>
      </c>
      <c r="CZ17" s="532">
        <f t="shared" si="39"/>
        <v>0</v>
      </c>
      <c r="DA17" s="532">
        <f t="shared" si="40"/>
        <v>0</v>
      </c>
      <c r="DB17" s="532">
        <f t="shared" si="41"/>
        <v>0</v>
      </c>
      <c r="DC17" s="532">
        <f t="shared" si="42"/>
        <v>0</v>
      </c>
      <c r="DD17" s="532">
        <f t="shared" si="43"/>
        <v>0</v>
      </c>
      <c r="DE17" s="962">
        <f t="shared" si="44"/>
        <v>0</v>
      </c>
      <c r="DF17" s="961">
        <f t="shared" si="89"/>
        <v>0</v>
      </c>
      <c r="DG17" s="532">
        <f t="shared" si="45"/>
        <v>0</v>
      </c>
      <c r="DH17" s="532">
        <f t="shared" si="46"/>
        <v>0</v>
      </c>
      <c r="DI17" s="532">
        <f t="shared" si="47"/>
        <v>0</v>
      </c>
      <c r="DJ17" s="532">
        <f t="shared" si="48"/>
        <v>0</v>
      </c>
      <c r="DK17" s="532">
        <f t="shared" si="49"/>
        <v>0</v>
      </c>
      <c r="DL17" s="963">
        <f t="shared" si="50"/>
        <v>0</v>
      </c>
      <c r="DM17" s="961">
        <f t="shared" si="90"/>
        <v>0</v>
      </c>
      <c r="DN17" s="533">
        <f t="shared" si="51"/>
        <v>0</v>
      </c>
      <c r="DO17" s="532">
        <f t="shared" si="52"/>
        <v>0</v>
      </c>
      <c r="DP17" s="532">
        <f t="shared" si="53"/>
        <v>0</v>
      </c>
      <c r="DQ17" s="532">
        <f t="shared" si="54"/>
        <v>0</v>
      </c>
      <c r="DR17" s="532">
        <f t="shared" si="55"/>
        <v>0</v>
      </c>
      <c r="DS17" s="963">
        <f t="shared" si="56"/>
        <v>0</v>
      </c>
      <c r="DT17" s="961">
        <f t="shared" si="57"/>
        <v>0</v>
      </c>
      <c r="DU17" s="532">
        <f t="shared" si="58"/>
        <v>0</v>
      </c>
      <c r="DV17" s="532">
        <f t="shared" si="59"/>
        <v>0</v>
      </c>
      <c r="DW17" s="532">
        <f t="shared" si="60"/>
        <v>0</v>
      </c>
      <c r="DX17" s="532">
        <f t="shared" si="61"/>
        <v>0</v>
      </c>
      <c r="DY17" s="532">
        <f t="shared" si="62"/>
        <v>0</v>
      </c>
      <c r="DZ17" s="963">
        <f t="shared" si="63"/>
        <v>0</v>
      </c>
      <c r="EA17" s="960">
        <f t="shared" si="91"/>
        <v>0</v>
      </c>
      <c r="EB17" s="534">
        <f t="shared" si="92"/>
        <v>0</v>
      </c>
      <c r="EC17" s="534">
        <f t="shared" si="93"/>
        <v>0</v>
      </c>
      <c r="ED17" s="534">
        <f t="shared" si="94"/>
        <v>0</v>
      </c>
      <c r="EE17" s="534">
        <f t="shared" si="95"/>
        <v>0</v>
      </c>
      <c r="EF17" s="534">
        <f t="shared" si="96"/>
        <v>0</v>
      </c>
      <c r="EG17" s="964">
        <f t="shared" si="97"/>
        <v>0</v>
      </c>
      <c r="EH17" s="960">
        <f t="shared" si="65"/>
        <v>0</v>
      </c>
      <c r="EI17" s="534">
        <f t="shared" si="66"/>
        <v>0</v>
      </c>
      <c r="EJ17" s="534">
        <f t="shared" si="67"/>
        <v>0</v>
      </c>
      <c r="EK17" s="534">
        <f t="shared" si="68"/>
        <v>0</v>
      </c>
      <c r="EL17" s="534">
        <f t="shared" si="69"/>
        <v>0</v>
      </c>
      <c r="EM17" s="534">
        <f t="shared" si="70"/>
        <v>0</v>
      </c>
      <c r="EN17" s="964">
        <f t="shared" si="71"/>
        <v>0</v>
      </c>
      <c r="EO17" s="535">
        <f t="shared" si="72"/>
        <v>0</v>
      </c>
      <c r="EP17" s="534">
        <f t="shared" si="73"/>
        <v>0</v>
      </c>
      <c r="EQ17" s="534">
        <f t="shared" si="74"/>
        <v>0</v>
      </c>
      <c r="ER17" s="534">
        <f t="shared" si="75"/>
        <v>0</v>
      </c>
      <c r="ES17" s="534">
        <f t="shared" si="76"/>
        <v>0</v>
      </c>
      <c r="ET17" s="534">
        <f t="shared" si="77"/>
        <v>0</v>
      </c>
      <c r="EU17" s="964">
        <f t="shared" si="78"/>
        <v>0</v>
      </c>
      <c r="EV17" s="965">
        <f t="shared" si="98"/>
        <v>0</v>
      </c>
      <c r="EW17" s="966">
        <f t="shared" si="99"/>
        <v>0</v>
      </c>
      <c r="EX17" s="966">
        <f t="shared" si="100"/>
        <v>0</v>
      </c>
      <c r="EY17" s="966">
        <f t="shared" si="101"/>
        <v>0</v>
      </c>
      <c r="EZ17" s="966">
        <f t="shared" si="102"/>
        <v>0</v>
      </c>
      <c r="FA17" s="967">
        <f t="shared" si="103"/>
        <v>0</v>
      </c>
      <c r="FB17" s="967">
        <f t="shared" si="104"/>
        <v>0</v>
      </c>
      <c r="FC17" s="968">
        <f t="shared" si="105"/>
        <v>0</v>
      </c>
      <c r="FE17" s="10" t="b">
        <f t="shared" si="115"/>
        <v>1</v>
      </c>
      <c r="FF17" s="10" t="b">
        <f t="shared" si="116"/>
        <v>1</v>
      </c>
      <c r="FG17" s="10" t="b">
        <f t="shared" si="117"/>
        <v>1</v>
      </c>
      <c r="FH17" s="10" t="b">
        <f t="shared" si="118"/>
        <v>1</v>
      </c>
      <c r="FI17" s="10" t="b">
        <f t="shared" si="119"/>
        <v>1</v>
      </c>
      <c r="FJ17" s="10" t="b">
        <f t="shared" si="120"/>
        <v>1</v>
      </c>
      <c r="FK17" s="10" t="b">
        <f t="shared" si="121"/>
        <v>1</v>
      </c>
      <c r="FL17" s="10" t="b">
        <f t="shared" si="122"/>
        <v>1</v>
      </c>
    </row>
    <row r="18" spans="1:168" s="10" customFormat="1" ht="12.75" customHeight="1">
      <c r="A18" s="662">
        <v>13</v>
      </c>
      <c r="B18" s="703" t="str">
        <f>'REFERENCE-HomeEnergyPerformance'!B35</f>
        <v>HVAC-DWH-Furnace - ENERGY STAR</v>
      </c>
      <c r="C18" s="703" t="s">
        <v>937</v>
      </c>
      <c r="D18" s="703" t="s">
        <v>938</v>
      </c>
      <c r="E18" s="703" t="str">
        <f>'REFERENCE-HomeEnergyPerformance'!E35</f>
        <v>Per Unit</v>
      </c>
      <c r="F18" s="703" t="s">
        <v>402</v>
      </c>
      <c r="G18" s="969">
        <f>AVERAGE(388.72,1565)</f>
        <v>976.86</v>
      </c>
      <c r="H18" s="703"/>
      <c r="I18" s="970">
        <f t="shared" si="106"/>
        <v>976.86</v>
      </c>
      <c r="J18" s="703">
        <v>0</v>
      </c>
      <c r="K18" s="970">
        <f>I18/2</f>
        <v>488.43</v>
      </c>
      <c r="L18" s="703" t="s">
        <v>939</v>
      </c>
      <c r="M18" s="703"/>
      <c r="N18" s="703">
        <v>250</v>
      </c>
      <c r="O18" s="703"/>
      <c r="P18" s="703"/>
      <c r="Q18" s="971">
        <v>0</v>
      </c>
      <c r="R18" s="971">
        <v>0</v>
      </c>
      <c r="S18" s="935">
        <f>S48</f>
        <v>75.337499999999906</v>
      </c>
      <c r="T18" s="703" t="s">
        <v>928</v>
      </c>
      <c r="U18" s="712">
        <v>0.05</v>
      </c>
      <c r="V18" s="713">
        <v>1</v>
      </c>
      <c r="W18" s="938"/>
      <c r="X18" s="938"/>
      <c r="Y18" s="938"/>
      <c r="Z18" s="938"/>
      <c r="AA18" s="939"/>
      <c r="AB18" s="939"/>
      <c r="AC18" s="939"/>
      <c r="AD18" s="773">
        <v>0</v>
      </c>
      <c r="AE18" s="773">
        <v>50</v>
      </c>
      <c r="AF18" s="773">
        <v>100</v>
      </c>
      <c r="AG18" s="773">
        <v>150</v>
      </c>
      <c r="AH18" s="773">
        <v>200</v>
      </c>
      <c r="AI18" s="773">
        <v>0</v>
      </c>
      <c r="AJ18" s="773">
        <v>0</v>
      </c>
      <c r="AK18" s="715" t="s">
        <v>374</v>
      </c>
      <c r="AL18" s="711" t="s">
        <v>375</v>
      </c>
      <c r="AM18" s="711" t="s">
        <v>377</v>
      </c>
      <c r="AN18" s="711" t="s">
        <v>377</v>
      </c>
      <c r="AO18" s="711" t="s">
        <v>1</v>
      </c>
      <c r="AP18" s="711" t="s">
        <v>378</v>
      </c>
      <c r="AQ18" s="711" t="s">
        <v>378</v>
      </c>
      <c r="AR18" s="711" t="s">
        <v>378</v>
      </c>
      <c r="AS18" s="715" t="s">
        <v>379</v>
      </c>
      <c r="AT18" s="715" t="s">
        <v>407</v>
      </c>
      <c r="AU18" s="715" t="s">
        <v>381</v>
      </c>
      <c r="AV18" s="940">
        <v>18</v>
      </c>
      <c r="AW18" s="940">
        <v>18</v>
      </c>
      <c r="AX18" s="711"/>
      <c r="AY18" s="716">
        <v>1</v>
      </c>
      <c r="AZ18" s="716">
        <v>1</v>
      </c>
      <c r="BA18" s="717">
        <v>1</v>
      </c>
      <c r="BB18" s="721">
        <f t="shared" si="23"/>
        <v>976.86</v>
      </c>
      <c r="BC18" s="499">
        <f t="shared" ref="BC18:BH18" si="184">BB18</f>
        <v>976.86</v>
      </c>
      <c r="BD18" s="499">
        <f t="shared" si="184"/>
        <v>976.86</v>
      </c>
      <c r="BE18" s="499">
        <f t="shared" si="184"/>
        <v>976.86</v>
      </c>
      <c r="BF18" s="499">
        <f t="shared" si="184"/>
        <v>976.86</v>
      </c>
      <c r="BG18" s="499">
        <f t="shared" si="184"/>
        <v>976.86</v>
      </c>
      <c r="BH18" s="499">
        <f t="shared" si="184"/>
        <v>976.86</v>
      </c>
      <c r="BI18" s="721">
        <f t="shared" si="25"/>
        <v>0</v>
      </c>
      <c r="BJ18" s="499">
        <f t="shared" ref="BJ18:BO18" si="185">BI18</f>
        <v>0</v>
      </c>
      <c r="BK18" s="499">
        <f t="shared" si="185"/>
        <v>0</v>
      </c>
      <c r="BL18" s="499">
        <f t="shared" si="185"/>
        <v>0</v>
      </c>
      <c r="BM18" s="499">
        <f t="shared" si="185"/>
        <v>0</v>
      </c>
      <c r="BN18" s="499">
        <f t="shared" si="185"/>
        <v>0</v>
      </c>
      <c r="BO18" s="499">
        <f t="shared" si="185"/>
        <v>0</v>
      </c>
      <c r="BP18" s="721">
        <f t="shared" si="27"/>
        <v>250</v>
      </c>
      <c r="BQ18" s="499">
        <f t="shared" ref="BQ18:BV18" si="186">BP18</f>
        <v>250</v>
      </c>
      <c r="BR18" s="499">
        <f t="shared" si="186"/>
        <v>250</v>
      </c>
      <c r="BS18" s="499">
        <f t="shared" si="186"/>
        <v>250</v>
      </c>
      <c r="BT18" s="499">
        <f t="shared" si="186"/>
        <v>250</v>
      </c>
      <c r="BU18" s="499">
        <f t="shared" si="186"/>
        <v>250</v>
      </c>
      <c r="BV18" s="499">
        <f t="shared" si="186"/>
        <v>250</v>
      </c>
      <c r="BW18" s="503">
        <f t="shared" si="29"/>
        <v>0</v>
      </c>
      <c r="BX18" s="503">
        <f t="shared" si="30"/>
        <v>0</v>
      </c>
      <c r="BY18" s="503">
        <f t="shared" si="31"/>
        <v>0</v>
      </c>
      <c r="BZ18" s="503">
        <f t="shared" si="31"/>
        <v>0</v>
      </c>
      <c r="CA18" s="503">
        <f t="shared" si="31"/>
        <v>0</v>
      </c>
      <c r="CB18" s="503">
        <f t="shared" si="31"/>
        <v>0</v>
      </c>
      <c r="CC18" s="776">
        <f t="shared" si="31"/>
        <v>0</v>
      </c>
      <c r="CD18" s="507">
        <f t="shared" si="32"/>
        <v>0</v>
      </c>
      <c r="CE18" s="511">
        <f t="shared" ref="CE18:CJ18" si="187">CD18</f>
        <v>0</v>
      </c>
      <c r="CF18" s="511">
        <f t="shared" si="187"/>
        <v>0</v>
      </c>
      <c r="CG18" s="511">
        <f t="shared" si="187"/>
        <v>0</v>
      </c>
      <c r="CH18" s="511">
        <f t="shared" si="187"/>
        <v>0</v>
      </c>
      <c r="CI18" s="511">
        <f t="shared" si="187"/>
        <v>0</v>
      </c>
      <c r="CJ18" s="511">
        <f t="shared" si="187"/>
        <v>0</v>
      </c>
      <c r="CK18" s="722">
        <f t="shared" si="34"/>
        <v>0</v>
      </c>
      <c r="CL18" s="511">
        <f t="shared" ref="CL18:CQ18" si="188">CK18</f>
        <v>0</v>
      </c>
      <c r="CM18" s="511">
        <f t="shared" si="188"/>
        <v>0</v>
      </c>
      <c r="CN18" s="511">
        <f t="shared" si="188"/>
        <v>0</v>
      </c>
      <c r="CO18" s="511">
        <f t="shared" si="188"/>
        <v>0</v>
      </c>
      <c r="CP18" s="511">
        <f t="shared" si="188"/>
        <v>0</v>
      </c>
      <c r="CQ18" s="511">
        <f t="shared" si="188"/>
        <v>0</v>
      </c>
      <c r="CR18" s="722">
        <f t="shared" si="36"/>
        <v>75.337499999999906</v>
      </c>
      <c r="CS18" s="511">
        <f t="shared" ref="CS18:CX18" si="189">CR18</f>
        <v>75.337499999999906</v>
      </c>
      <c r="CT18" s="511">
        <f t="shared" si="189"/>
        <v>75.337499999999906</v>
      </c>
      <c r="CU18" s="511">
        <f t="shared" si="189"/>
        <v>75.337499999999906</v>
      </c>
      <c r="CV18" s="511">
        <f t="shared" si="189"/>
        <v>75.337499999999906</v>
      </c>
      <c r="CW18" s="511">
        <f t="shared" si="189"/>
        <v>75.337499999999906</v>
      </c>
      <c r="CX18" s="511">
        <f t="shared" si="189"/>
        <v>75.337499999999906</v>
      </c>
      <c r="CY18" s="724">
        <f t="shared" si="38"/>
        <v>0</v>
      </c>
      <c r="CZ18" s="508">
        <f t="shared" si="39"/>
        <v>48843</v>
      </c>
      <c r="DA18" s="508">
        <f t="shared" si="40"/>
        <v>97686</v>
      </c>
      <c r="DB18" s="508">
        <f t="shared" si="41"/>
        <v>146529</v>
      </c>
      <c r="DC18" s="508">
        <f t="shared" si="42"/>
        <v>195372</v>
      </c>
      <c r="DD18" s="508">
        <f t="shared" si="43"/>
        <v>0</v>
      </c>
      <c r="DE18" s="726">
        <f t="shared" si="44"/>
        <v>0</v>
      </c>
      <c r="DF18" s="724">
        <f t="shared" si="89"/>
        <v>0</v>
      </c>
      <c r="DG18" s="508">
        <f t="shared" si="45"/>
        <v>0</v>
      </c>
      <c r="DH18" s="508">
        <f t="shared" si="46"/>
        <v>0</v>
      </c>
      <c r="DI18" s="508">
        <f t="shared" si="47"/>
        <v>0</v>
      </c>
      <c r="DJ18" s="508">
        <f t="shared" si="48"/>
        <v>0</v>
      </c>
      <c r="DK18" s="508">
        <f t="shared" si="49"/>
        <v>0</v>
      </c>
      <c r="DL18" s="725">
        <f t="shared" si="50"/>
        <v>0</v>
      </c>
      <c r="DM18" s="724">
        <f t="shared" si="90"/>
        <v>0</v>
      </c>
      <c r="DN18" s="509">
        <f t="shared" si="51"/>
        <v>12500</v>
      </c>
      <c r="DO18" s="508">
        <f t="shared" si="52"/>
        <v>25000</v>
      </c>
      <c r="DP18" s="508">
        <f t="shared" si="53"/>
        <v>37500</v>
      </c>
      <c r="DQ18" s="508">
        <f t="shared" si="54"/>
        <v>50000</v>
      </c>
      <c r="DR18" s="508">
        <f t="shared" si="55"/>
        <v>0</v>
      </c>
      <c r="DS18" s="725">
        <f t="shared" si="56"/>
        <v>0</v>
      </c>
      <c r="DT18" s="724">
        <f t="shared" si="57"/>
        <v>0</v>
      </c>
      <c r="DU18" s="508">
        <f t="shared" si="58"/>
        <v>0</v>
      </c>
      <c r="DV18" s="508">
        <f t="shared" si="59"/>
        <v>0</v>
      </c>
      <c r="DW18" s="508">
        <f t="shared" si="60"/>
        <v>0</v>
      </c>
      <c r="DX18" s="508">
        <f t="shared" si="61"/>
        <v>0</v>
      </c>
      <c r="DY18" s="508">
        <f t="shared" si="62"/>
        <v>0</v>
      </c>
      <c r="DZ18" s="725">
        <f t="shared" si="63"/>
        <v>0</v>
      </c>
      <c r="EA18" s="722">
        <f t="shared" si="91"/>
        <v>0</v>
      </c>
      <c r="EB18" s="511">
        <f t="shared" si="92"/>
        <v>0</v>
      </c>
      <c r="EC18" s="511">
        <f t="shared" si="93"/>
        <v>0</v>
      </c>
      <c r="ED18" s="511">
        <f t="shared" si="94"/>
        <v>0</v>
      </c>
      <c r="EE18" s="511">
        <f t="shared" si="95"/>
        <v>0</v>
      </c>
      <c r="EF18" s="511">
        <f t="shared" si="96"/>
        <v>0</v>
      </c>
      <c r="EG18" s="723">
        <f t="shared" si="97"/>
        <v>0</v>
      </c>
      <c r="EH18" s="722">
        <f t="shared" si="65"/>
        <v>0</v>
      </c>
      <c r="EI18" s="511">
        <f t="shared" si="66"/>
        <v>0</v>
      </c>
      <c r="EJ18" s="511">
        <f t="shared" si="67"/>
        <v>0</v>
      </c>
      <c r="EK18" s="511">
        <f t="shared" si="68"/>
        <v>0</v>
      </c>
      <c r="EL18" s="511">
        <f t="shared" si="69"/>
        <v>0</v>
      </c>
      <c r="EM18" s="511">
        <f t="shared" si="70"/>
        <v>0</v>
      </c>
      <c r="EN18" s="723">
        <f t="shared" si="71"/>
        <v>0</v>
      </c>
      <c r="EO18" s="507">
        <f t="shared" si="72"/>
        <v>0</v>
      </c>
      <c r="EP18" s="511">
        <f t="shared" si="73"/>
        <v>3766.8749999999955</v>
      </c>
      <c r="EQ18" s="511">
        <f t="shared" si="74"/>
        <v>7533.7499999999909</v>
      </c>
      <c r="ER18" s="511">
        <f t="shared" si="75"/>
        <v>11300.624999999985</v>
      </c>
      <c r="ES18" s="511">
        <f t="shared" si="76"/>
        <v>15067.499999999982</v>
      </c>
      <c r="ET18" s="511">
        <f t="shared" si="77"/>
        <v>0</v>
      </c>
      <c r="EU18" s="723">
        <f t="shared" si="78"/>
        <v>0</v>
      </c>
      <c r="EV18" s="727">
        <f t="shared" si="98"/>
        <v>500</v>
      </c>
      <c r="EW18" s="728">
        <f t="shared" si="99"/>
        <v>488430</v>
      </c>
      <c r="EX18" s="728">
        <f t="shared" si="100"/>
        <v>0</v>
      </c>
      <c r="EY18" s="728">
        <f t="shared" si="101"/>
        <v>125000</v>
      </c>
      <c r="EZ18" s="728">
        <f t="shared" si="102"/>
        <v>0</v>
      </c>
      <c r="FA18" s="777">
        <f t="shared" si="103"/>
        <v>0</v>
      </c>
      <c r="FB18" s="777">
        <f t="shared" si="104"/>
        <v>0</v>
      </c>
      <c r="FC18" s="778">
        <f t="shared" si="105"/>
        <v>37668.749999999956</v>
      </c>
      <c r="FE18" s="10" t="b">
        <f t="shared" si="115"/>
        <v>1</v>
      </c>
      <c r="FF18" s="10" t="b">
        <f t="shared" si="116"/>
        <v>1</v>
      </c>
      <c r="FG18" s="10" t="b">
        <f t="shared" si="117"/>
        <v>1</v>
      </c>
      <c r="FH18" s="10" t="b">
        <f t="shared" si="118"/>
        <v>1</v>
      </c>
      <c r="FI18" s="10" t="b">
        <f t="shared" si="119"/>
        <v>1</v>
      </c>
      <c r="FJ18" s="10" t="b">
        <f t="shared" si="120"/>
        <v>1</v>
      </c>
      <c r="FK18" s="10" t="b">
        <f t="shared" si="121"/>
        <v>1</v>
      </c>
      <c r="FL18" s="10" t="b">
        <f t="shared" si="122"/>
        <v>1</v>
      </c>
    </row>
    <row r="19" spans="1:168" s="10" customFormat="1" ht="12.75" customHeight="1">
      <c r="A19" s="662">
        <v>14</v>
      </c>
      <c r="B19" s="703" t="str">
        <f>'REFERENCE-HomeEnergyPerformance'!B40</f>
        <v>HVAC-DWH-Heat Pump Water Heater - ENERGY STAR</v>
      </c>
      <c r="C19" s="703" t="s">
        <v>940</v>
      </c>
      <c r="D19" s="703" t="s">
        <v>941</v>
      </c>
      <c r="E19" s="703" t="str">
        <f>'REFERENCE-HomeEnergyPerformance'!E40</f>
        <v>Per Unit</v>
      </c>
      <c r="F19" s="703" t="s">
        <v>402</v>
      </c>
      <c r="G19" s="969">
        <v>1030</v>
      </c>
      <c r="H19" s="703"/>
      <c r="I19" s="970">
        <f t="shared" si="106"/>
        <v>1030</v>
      </c>
      <c r="J19" s="703">
        <v>0</v>
      </c>
      <c r="K19" s="970">
        <f t="shared" si="107"/>
        <v>515</v>
      </c>
      <c r="L19" s="703" t="s">
        <v>942</v>
      </c>
      <c r="M19" s="703"/>
      <c r="N19" s="703">
        <v>300</v>
      </c>
      <c r="O19" s="703"/>
      <c r="P19" s="703"/>
      <c r="Q19" s="971">
        <f>BJ74</f>
        <v>1455.4089451200357</v>
      </c>
      <c r="R19" s="971">
        <f>BM74</f>
        <v>5.8064516129032261E-2</v>
      </c>
      <c r="S19" s="935">
        <f t="shared" si="123"/>
        <v>0</v>
      </c>
      <c r="T19" s="703" t="s">
        <v>928</v>
      </c>
      <c r="U19" s="712">
        <v>0.05</v>
      </c>
      <c r="V19" s="713">
        <v>1</v>
      </c>
      <c r="W19" s="938"/>
      <c r="X19" s="938"/>
      <c r="Y19" s="938"/>
      <c r="Z19" s="938"/>
      <c r="AA19" s="939"/>
      <c r="AB19" s="939"/>
      <c r="AC19" s="939"/>
      <c r="AD19" s="773">
        <v>0</v>
      </c>
      <c r="AE19" s="773">
        <f>AI72</f>
        <v>75</v>
      </c>
      <c r="AF19" s="773">
        <f>AJ72</f>
        <v>97</v>
      </c>
      <c r="AG19" s="773">
        <f>AK72</f>
        <v>120</v>
      </c>
      <c r="AH19" s="773">
        <f>AL72</f>
        <v>150</v>
      </c>
      <c r="AI19" s="773">
        <f t="shared" ref="AI19:AJ19" si="190">AH19</f>
        <v>150</v>
      </c>
      <c r="AJ19" s="773">
        <f t="shared" si="190"/>
        <v>150</v>
      </c>
      <c r="AK19" s="715" t="s">
        <v>374</v>
      </c>
      <c r="AL19" s="711" t="s">
        <v>375</v>
      </c>
      <c r="AM19" s="711" t="s">
        <v>377</v>
      </c>
      <c r="AN19" s="711" t="s">
        <v>377</v>
      </c>
      <c r="AO19" s="711" t="s">
        <v>1</v>
      </c>
      <c r="AP19" s="711" t="s">
        <v>378</v>
      </c>
      <c r="AQ19" s="711" t="s">
        <v>378</v>
      </c>
      <c r="AR19" s="711" t="s">
        <v>378</v>
      </c>
      <c r="AS19" s="715" t="s">
        <v>943</v>
      </c>
      <c r="AT19" s="715" t="s">
        <v>407</v>
      </c>
      <c r="AU19" s="715" t="s">
        <v>381</v>
      </c>
      <c r="AV19" s="940">
        <v>13</v>
      </c>
      <c r="AW19" s="940">
        <v>13</v>
      </c>
      <c r="AX19" s="711"/>
      <c r="AY19" s="716">
        <v>1</v>
      </c>
      <c r="AZ19" s="716">
        <v>1</v>
      </c>
      <c r="BA19" s="717">
        <v>1</v>
      </c>
      <c r="BB19" s="721">
        <f t="shared" si="23"/>
        <v>1030</v>
      </c>
      <c r="BC19" s="499">
        <f t="shared" ref="BC19:BH19" si="191">BB19</f>
        <v>1030</v>
      </c>
      <c r="BD19" s="499">
        <f t="shared" si="191"/>
        <v>1030</v>
      </c>
      <c r="BE19" s="499">
        <f t="shared" si="191"/>
        <v>1030</v>
      </c>
      <c r="BF19" s="499">
        <f t="shared" si="191"/>
        <v>1030</v>
      </c>
      <c r="BG19" s="499">
        <f t="shared" si="191"/>
        <v>1030</v>
      </c>
      <c r="BH19" s="499">
        <f t="shared" si="191"/>
        <v>1030</v>
      </c>
      <c r="BI19" s="721">
        <f t="shared" si="25"/>
        <v>0</v>
      </c>
      <c r="BJ19" s="499">
        <f t="shared" ref="BJ19:BO19" si="192">BI19</f>
        <v>0</v>
      </c>
      <c r="BK19" s="499">
        <f t="shared" si="192"/>
        <v>0</v>
      </c>
      <c r="BL19" s="499">
        <f t="shared" si="192"/>
        <v>0</v>
      </c>
      <c r="BM19" s="499">
        <f t="shared" si="192"/>
        <v>0</v>
      </c>
      <c r="BN19" s="499">
        <f t="shared" si="192"/>
        <v>0</v>
      </c>
      <c r="BO19" s="499">
        <f t="shared" si="192"/>
        <v>0</v>
      </c>
      <c r="BP19" s="721">
        <f t="shared" si="27"/>
        <v>300</v>
      </c>
      <c r="BQ19" s="499">
        <f t="shared" ref="BQ19:BV19" si="193">BP19</f>
        <v>300</v>
      </c>
      <c r="BR19" s="499">
        <f t="shared" si="193"/>
        <v>300</v>
      </c>
      <c r="BS19" s="499">
        <f t="shared" si="193"/>
        <v>300</v>
      </c>
      <c r="BT19" s="499">
        <f t="shared" si="193"/>
        <v>300</v>
      </c>
      <c r="BU19" s="499">
        <f t="shared" si="193"/>
        <v>300</v>
      </c>
      <c r="BV19" s="499">
        <f t="shared" si="193"/>
        <v>300</v>
      </c>
      <c r="BW19" s="503">
        <f t="shared" si="29"/>
        <v>0</v>
      </c>
      <c r="BX19" s="503">
        <f t="shared" si="30"/>
        <v>0</v>
      </c>
      <c r="BY19" s="503">
        <f t="shared" si="31"/>
        <v>0</v>
      </c>
      <c r="BZ19" s="503">
        <f t="shared" si="31"/>
        <v>0</v>
      </c>
      <c r="CA19" s="503">
        <f t="shared" si="31"/>
        <v>0</v>
      </c>
      <c r="CB19" s="503">
        <f t="shared" si="31"/>
        <v>0</v>
      </c>
      <c r="CC19" s="776">
        <f t="shared" si="31"/>
        <v>0</v>
      </c>
      <c r="CD19" s="507">
        <f t="shared" si="32"/>
        <v>1455.4089451200357</v>
      </c>
      <c r="CE19" s="511">
        <f t="shared" ref="CE19:CJ19" si="194">CD19</f>
        <v>1455.4089451200357</v>
      </c>
      <c r="CF19" s="511">
        <f t="shared" si="194"/>
        <v>1455.4089451200357</v>
      </c>
      <c r="CG19" s="511">
        <f t="shared" si="194"/>
        <v>1455.4089451200357</v>
      </c>
      <c r="CH19" s="511">
        <f t="shared" si="194"/>
        <v>1455.4089451200357</v>
      </c>
      <c r="CI19" s="511">
        <f t="shared" si="194"/>
        <v>1455.4089451200357</v>
      </c>
      <c r="CJ19" s="511">
        <f t="shared" si="194"/>
        <v>1455.4089451200357</v>
      </c>
      <c r="CK19" s="722">
        <f t="shared" si="34"/>
        <v>5.8064516129032261E-2</v>
      </c>
      <c r="CL19" s="511">
        <f t="shared" ref="CL19:CQ19" si="195">CK19</f>
        <v>5.8064516129032261E-2</v>
      </c>
      <c r="CM19" s="511">
        <f t="shared" si="195"/>
        <v>5.8064516129032261E-2</v>
      </c>
      <c r="CN19" s="511">
        <f t="shared" si="195"/>
        <v>5.8064516129032261E-2</v>
      </c>
      <c r="CO19" s="511">
        <f t="shared" si="195"/>
        <v>5.8064516129032261E-2</v>
      </c>
      <c r="CP19" s="511">
        <f t="shared" si="195"/>
        <v>5.8064516129032261E-2</v>
      </c>
      <c r="CQ19" s="511">
        <f t="shared" si="195"/>
        <v>5.8064516129032261E-2</v>
      </c>
      <c r="CR19" s="722">
        <f t="shared" si="36"/>
        <v>0</v>
      </c>
      <c r="CS19" s="511">
        <f t="shared" ref="CS19:CX19" si="196">CR19</f>
        <v>0</v>
      </c>
      <c r="CT19" s="511">
        <f t="shared" si="196"/>
        <v>0</v>
      </c>
      <c r="CU19" s="511">
        <f t="shared" si="196"/>
        <v>0</v>
      </c>
      <c r="CV19" s="511">
        <f t="shared" si="196"/>
        <v>0</v>
      </c>
      <c r="CW19" s="511">
        <f t="shared" si="196"/>
        <v>0</v>
      </c>
      <c r="CX19" s="511">
        <f t="shared" si="196"/>
        <v>0</v>
      </c>
      <c r="CY19" s="724">
        <f t="shared" si="38"/>
        <v>0</v>
      </c>
      <c r="CZ19" s="508">
        <f t="shared" si="39"/>
        <v>77250</v>
      </c>
      <c r="DA19" s="508">
        <f t="shared" si="40"/>
        <v>99910</v>
      </c>
      <c r="DB19" s="508">
        <f t="shared" si="41"/>
        <v>123600</v>
      </c>
      <c r="DC19" s="508">
        <f t="shared" si="42"/>
        <v>154500</v>
      </c>
      <c r="DD19" s="508">
        <f t="shared" si="43"/>
        <v>154500</v>
      </c>
      <c r="DE19" s="726">
        <f t="shared" si="44"/>
        <v>154500</v>
      </c>
      <c r="DF19" s="724">
        <f t="shared" si="89"/>
        <v>0</v>
      </c>
      <c r="DG19" s="508">
        <f t="shared" si="45"/>
        <v>0</v>
      </c>
      <c r="DH19" s="508">
        <f t="shared" si="46"/>
        <v>0</v>
      </c>
      <c r="DI19" s="508">
        <f t="shared" si="47"/>
        <v>0</v>
      </c>
      <c r="DJ19" s="508">
        <f t="shared" si="48"/>
        <v>0</v>
      </c>
      <c r="DK19" s="508">
        <f t="shared" si="49"/>
        <v>0</v>
      </c>
      <c r="DL19" s="725">
        <f t="shared" si="50"/>
        <v>0</v>
      </c>
      <c r="DM19" s="724">
        <f t="shared" si="90"/>
        <v>0</v>
      </c>
      <c r="DN19" s="509">
        <f t="shared" si="51"/>
        <v>22500</v>
      </c>
      <c r="DO19" s="508">
        <f t="shared" si="52"/>
        <v>29100</v>
      </c>
      <c r="DP19" s="508">
        <f t="shared" si="53"/>
        <v>36000</v>
      </c>
      <c r="DQ19" s="508">
        <f t="shared" si="54"/>
        <v>45000</v>
      </c>
      <c r="DR19" s="508">
        <f t="shared" si="55"/>
        <v>45000</v>
      </c>
      <c r="DS19" s="725">
        <f t="shared" si="56"/>
        <v>45000</v>
      </c>
      <c r="DT19" s="724">
        <f t="shared" si="57"/>
        <v>0</v>
      </c>
      <c r="DU19" s="508">
        <f t="shared" si="58"/>
        <v>0</v>
      </c>
      <c r="DV19" s="508">
        <f t="shared" si="59"/>
        <v>0</v>
      </c>
      <c r="DW19" s="508">
        <f t="shared" si="60"/>
        <v>0</v>
      </c>
      <c r="DX19" s="508">
        <f t="shared" si="61"/>
        <v>0</v>
      </c>
      <c r="DY19" s="508">
        <f t="shared" si="62"/>
        <v>0</v>
      </c>
      <c r="DZ19" s="725">
        <f t="shared" si="63"/>
        <v>0</v>
      </c>
      <c r="EA19" s="722">
        <f t="shared" si="91"/>
        <v>0</v>
      </c>
      <c r="EB19" s="511">
        <f t="shared" si="92"/>
        <v>109155.67088400268</v>
      </c>
      <c r="EC19" s="511">
        <f t="shared" si="93"/>
        <v>141174.66767664347</v>
      </c>
      <c r="ED19" s="511">
        <f t="shared" si="94"/>
        <v>174649.07341440429</v>
      </c>
      <c r="EE19" s="511">
        <f t="shared" si="95"/>
        <v>218311.34176800537</v>
      </c>
      <c r="EF19" s="511">
        <f t="shared" si="96"/>
        <v>218311.34176800537</v>
      </c>
      <c r="EG19" s="723">
        <f t="shared" si="97"/>
        <v>218311.34176800537</v>
      </c>
      <c r="EH19" s="722">
        <f t="shared" si="65"/>
        <v>0</v>
      </c>
      <c r="EI19" s="511">
        <f t="shared" si="66"/>
        <v>4.3548387096774199</v>
      </c>
      <c r="EJ19" s="511">
        <f t="shared" si="67"/>
        <v>5.6322580645161295</v>
      </c>
      <c r="EK19" s="511">
        <f t="shared" si="68"/>
        <v>6.967741935483871</v>
      </c>
      <c r="EL19" s="511">
        <f t="shared" si="69"/>
        <v>8.7096774193548399</v>
      </c>
      <c r="EM19" s="511">
        <f t="shared" si="70"/>
        <v>8.7096774193548399</v>
      </c>
      <c r="EN19" s="723">
        <f t="shared" si="71"/>
        <v>8.7096774193548399</v>
      </c>
      <c r="EO19" s="507">
        <f t="shared" si="72"/>
        <v>0</v>
      </c>
      <c r="EP19" s="511">
        <f t="shared" si="73"/>
        <v>0</v>
      </c>
      <c r="EQ19" s="511">
        <f t="shared" si="74"/>
        <v>0</v>
      </c>
      <c r="ER19" s="511">
        <f t="shared" si="75"/>
        <v>0</v>
      </c>
      <c r="ES19" s="511">
        <f t="shared" si="76"/>
        <v>0</v>
      </c>
      <c r="ET19" s="511">
        <f t="shared" si="77"/>
        <v>0</v>
      </c>
      <c r="EU19" s="723">
        <f t="shared" si="78"/>
        <v>0</v>
      </c>
      <c r="EV19" s="727">
        <f t="shared" si="98"/>
        <v>742</v>
      </c>
      <c r="EW19" s="728">
        <f t="shared" si="99"/>
        <v>764260</v>
      </c>
      <c r="EX19" s="728">
        <f t="shared" si="100"/>
        <v>0</v>
      </c>
      <c r="EY19" s="728">
        <f t="shared" si="101"/>
        <v>222600</v>
      </c>
      <c r="EZ19" s="728">
        <f t="shared" si="102"/>
        <v>0</v>
      </c>
      <c r="FA19" s="777">
        <f t="shared" si="103"/>
        <v>1079913.4372790665</v>
      </c>
      <c r="FB19" s="777">
        <f t="shared" si="104"/>
        <v>43.083870967741937</v>
      </c>
      <c r="FC19" s="778">
        <f t="shared" si="105"/>
        <v>0</v>
      </c>
      <c r="FE19" s="10" t="b">
        <f t="shared" si="115"/>
        <v>1</v>
      </c>
      <c r="FF19" s="10" t="b">
        <f t="shared" si="116"/>
        <v>1</v>
      </c>
      <c r="FG19" s="10" t="b">
        <f t="shared" si="117"/>
        <v>1</v>
      </c>
      <c r="FH19" s="10" t="b">
        <f t="shared" si="118"/>
        <v>1</v>
      </c>
      <c r="FI19" s="10" t="b">
        <f t="shared" si="119"/>
        <v>1</v>
      </c>
      <c r="FJ19" s="10" t="b">
        <f t="shared" si="120"/>
        <v>1</v>
      </c>
      <c r="FK19" s="10" t="b">
        <f t="shared" si="121"/>
        <v>1</v>
      </c>
      <c r="FL19" s="10" t="b">
        <f t="shared" si="122"/>
        <v>1</v>
      </c>
    </row>
    <row r="20" spans="1:168" s="10" customFormat="1" ht="12.75" customHeight="1">
      <c r="A20" s="729"/>
      <c r="B20" s="730"/>
      <c r="C20" s="730"/>
      <c r="D20" s="730"/>
      <c r="E20" s="730"/>
      <c r="F20" s="731"/>
      <c r="G20" s="731"/>
      <c r="H20" s="731"/>
      <c r="I20" s="731"/>
      <c r="J20" s="731"/>
      <c r="K20" s="731"/>
      <c r="L20" s="733"/>
      <c r="M20" s="734"/>
      <c r="N20" s="734"/>
      <c r="O20" s="734"/>
      <c r="P20" s="735"/>
      <c r="Q20" s="736"/>
      <c r="R20" s="737"/>
      <c r="S20" s="926"/>
      <c r="T20" s="733"/>
      <c r="U20" s="733"/>
      <c r="V20" s="739"/>
      <c r="W20" s="740"/>
      <c r="X20" s="740"/>
      <c r="Y20" s="740"/>
      <c r="Z20" s="740"/>
      <c r="AA20" s="741"/>
      <c r="AB20" s="741"/>
      <c r="AC20" s="741"/>
      <c r="AD20" s="742"/>
      <c r="AE20" s="742"/>
      <c r="AF20" s="742"/>
      <c r="AG20" s="742"/>
      <c r="AH20" s="742"/>
      <c r="AI20" s="742"/>
      <c r="AJ20" s="742"/>
      <c r="AK20" s="733"/>
      <c r="AL20" s="733"/>
      <c r="AM20" s="733"/>
      <c r="AN20" s="733"/>
      <c r="AO20" s="733"/>
      <c r="AP20" s="733"/>
      <c r="AQ20" s="733"/>
      <c r="AR20" s="733"/>
      <c r="AS20" s="743"/>
      <c r="AT20" s="743"/>
      <c r="AU20" s="743"/>
      <c r="AV20" s="740"/>
      <c r="AW20" s="740"/>
      <c r="AX20" s="733"/>
      <c r="AY20" s="733"/>
      <c r="AZ20" s="733"/>
      <c r="BA20" s="744"/>
      <c r="BB20" s="745"/>
      <c r="BC20" s="745"/>
      <c r="BD20" s="745"/>
      <c r="BE20" s="745"/>
      <c r="BF20" s="745"/>
      <c r="BG20" s="745"/>
      <c r="BH20" s="745"/>
      <c r="BI20" s="745"/>
      <c r="BJ20" s="746"/>
      <c r="BK20" s="746"/>
      <c r="BL20" s="746"/>
      <c r="BM20" s="746"/>
      <c r="BN20" s="746"/>
      <c r="BO20" s="749"/>
      <c r="BP20" s="745"/>
      <c r="BQ20" s="746"/>
      <c r="BR20" s="746"/>
      <c r="BS20" s="746"/>
      <c r="BT20" s="746"/>
      <c r="BU20" s="746"/>
      <c r="BV20" s="749"/>
      <c r="BW20" s="746"/>
      <c r="BX20" s="746"/>
      <c r="BY20" s="746"/>
      <c r="BZ20" s="746"/>
      <c r="CA20" s="746"/>
      <c r="CB20" s="746"/>
      <c r="CC20" s="747"/>
      <c r="CD20" s="510"/>
      <c r="CE20" s="487"/>
      <c r="CF20" s="487"/>
      <c r="CG20" s="487"/>
      <c r="CH20" s="487"/>
      <c r="CI20" s="487"/>
      <c r="CJ20" s="513"/>
      <c r="CK20" s="750"/>
      <c r="CL20" s="487"/>
      <c r="CM20" s="487"/>
      <c r="CN20" s="487"/>
      <c r="CO20" s="487"/>
      <c r="CP20" s="487"/>
      <c r="CQ20" s="513"/>
      <c r="CR20" s="750"/>
      <c r="CS20" s="487"/>
      <c r="CT20" s="487"/>
      <c r="CU20" s="487"/>
      <c r="CV20" s="487"/>
      <c r="CW20" s="487"/>
      <c r="CX20" s="513"/>
      <c r="CY20" s="752"/>
      <c r="CZ20" s="492"/>
      <c r="DA20" s="492"/>
      <c r="DB20" s="492"/>
      <c r="DC20" s="492"/>
      <c r="DD20" s="492"/>
      <c r="DE20" s="754"/>
      <c r="DF20" s="752"/>
      <c r="DG20" s="492"/>
      <c r="DH20" s="492"/>
      <c r="DI20" s="492"/>
      <c r="DJ20" s="492"/>
      <c r="DK20" s="492"/>
      <c r="DL20" s="753"/>
      <c r="DM20" s="752"/>
      <c r="DN20" s="491"/>
      <c r="DO20" s="492"/>
      <c r="DP20" s="492"/>
      <c r="DQ20" s="492"/>
      <c r="DR20" s="492"/>
      <c r="DS20" s="753"/>
      <c r="DT20" s="752"/>
      <c r="DU20" s="492"/>
      <c r="DV20" s="492"/>
      <c r="DW20" s="492"/>
      <c r="DX20" s="492"/>
      <c r="DY20" s="492"/>
      <c r="DZ20" s="753"/>
      <c r="EA20" s="750"/>
      <c r="EB20" s="487"/>
      <c r="EC20" s="487"/>
      <c r="ED20" s="487"/>
      <c r="EE20" s="487"/>
      <c r="EF20" s="487"/>
      <c r="EG20" s="751"/>
      <c r="EH20" s="750"/>
      <c r="EI20" s="487"/>
      <c r="EJ20" s="487"/>
      <c r="EK20" s="487"/>
      <c r="EL20" s="487"/>
      <c r="EM20" s="487"/>
      <c r="EN20" s="751"/>
      <c r="EO20" s="510"/>
      <c r="EP20" s="487"/>
      <c r="EQ20" s="487"/>
      <c r="ER20" s="487"/>
      <c r="ES20" s="487"/>
      <c r="ET20" s="487"/>
      <c r="EU20" s="751"/>
      <c r="EV20" s="515"/>
      <c r="EW20" s="755"/>
      <c r="EX20" s="755"/>
      <c r="EY20" s="755"/>
      <c r="EZ20" s="755"/>
      <c r="FA20" s="756"/>
      <c r="FB20" s="756"/>
      <c r="FC20" s="757"/>
    </row>
    <row r="21" spans="1:168" s="10" customFormat="1" ht="12.75" customHeight="1">
      <c r="A21" s="662" t="s">
        <v>171</v>
      </c>
      <c r="B21" s="703" t="str">
        <f t="shared" ref="B21:B34" si="197">"KU-"&amp;B6</f>
        <v>KU-Residential Audit - Virtual</v>
      </c>
      <c r="C21" s="703" t="str">
        <f t="shared" ref="C21:Q34" si="198">C6</f>
        <v>Virtual audit with no cost to customer</v>
      </c>
      <c r="D21" s="703" t="str">
        <f t="shared" si="198"/>
        <v>Existing conditions</v>
      </c>
      <c r="E21" s="703" t="str">
        <f t="shared" si="198"/>
        <v>Per Home</v>
      </c>
      <c r="F21" s="704" t="str">
        <f t="shared" si="198"/>
        <v>Incremental</v>
      </c>
      <c r="G21" s="704">
        <f>G6</f>
        <v>0</v>
      </c>
      <c r="H21" s="704">
        <f t="shared" ref="H21:V21" si="199">H6</f>
        <v>0</v>
      </c>
      <c r="I21" s="706">
        <f t="shared" si="199"/>
        <v>0</v>
      </c>
      <c r="J21" s="704">
        <f t="shared" si="199"/>
        <v>0</v>
      </c>
      <c r="K21" s="704" t="str">
        <f t="shared" si="199"/>
        <v>NA</v>
      </c>
      <c r="L21" s="711" t="str">
        <f>L6</f>
        <v>no cost audit</v>
      </c>
      <c r="M21" s="707">
        <f t="shared" si="199"/>
        <v>0</v>
      </c>
      <c r="N21" s="707">
        <f t="shared" si="199"/>
        <v>0</v>
      </c>
      <c r="O21" s="707">
        <f t="shared" si="199"/>
        <v>0</v>
      </c>
      <c r="P21" s="934">
        <f t="shared" si="199"/>
        <v>0</v>
      </c>
      <c r="Q21" s="973">
        <f t="shared" si="199"/>
        <v>0</v>
      </c>
      <c r="R21" s="973">
        <f t="shared" si="199"/>
        <v>0</v>
      </c>
      <c r="S21" s="912">
        <f t="shared" si="199"/>
        <v>0</v>
      </c>
      <c r="T21" s="711" t="str">
        <f t="shared" si="199"/>
        <v>-</v>
      </c>
      <c r="U21" s="712">
        <f t="shared" si="199"/>
        <v>0.05</v>
      </c>
      <c r="V21" s="713">
        <f t="shared" si="199"/>
        <v>1</v>
      </c>
      <c r="W21" s="661">
        <v>767</v>
      </c>
      <c r="X21" s="661">
        <v>294</v>
      </c>
      <c r="Y21" s="661">
        <v>0</v>
      </c>
      <c r="Z21" s="661">
        <v>0</v>
      </c>
      <c r="AA21" s="661">
        <v>0</v>
      </c>
      <c r="AB21" s="661">
        <v>0</v>
      </c>
      <c r="AC21" s="661">
        <v>0</v>
      </c>
      <c r="AD21" s="773">
        <f t="shared" ref="AD21:AJ22" si="200">AD6*0.5</f>
        <v>0</v>
      </c>
      <c r="AE21" s="773">
        <f t="shared" si="200"/>
        <v>625</v>
      </c>
      <c r="AF21" s="773">
        <f t="shared" si="200"/>
        <v>656.25</v>
      </c>
      <c r="AG21" s="773">
        <f t="shared" si="200"/>
        <v>689.0625</v>
      </c>
      <c r="AH21" s="773">
        <f t="shared" si="200"/>
        <v>723.515625</v>
      </c>
      <c r="AI21" s="773">
        <f t="shared" si="200"/>
        <v>723.515625</v>
      </c>
      <c r="AJ21" s="773">
        <f t="shared" si="200"/>
        <v>723.515625</v>
      </c>
      <c r="AK21" s="711" t="s">
        <v>944</v>
      </c>
      <c r="AL21" s="711" t="s">
        <v>375</v>
      </c>
      <c r="AM21" s="711" t="s">
        <v>377</v>
      </c>
      <c r="AN21" s="711" t="s">
        <v>377</v>
      </c>
      <c r="AO21" s="711" t="s">
        <v>1</v>
      </c>
      <c r="AP21" s="711" t="s">
        <v>378</v>
      </c>
      <c r="AQ21" s="711" t="s">
        <v>378</v>
      </c>
      <c r="AR21" s="711" t="s">
        <v>378</v>
      </c>
      <c r="AS21" s="715" t="s">
        <v>379</v>
      </c>
      <c r="AT21" s="715" t="s">
        <v>407</v>
      </c>
      <c r="AU21" s="715" t="s">
        <v>385</v>
      </c>
      <c r="AV21" s="661">
        <v>1</v>
      </c>
      <c r="AW21" s="661">
        <v>1</v>
      </c>
      <c r="AX21" s="711" t="s">
        <v>917</v>
      </c>
      <c r="AY21" s="716">
        <v>1</v>
      </c>
      <c r="AZ21" s="716">
        <v>1</v>
      </c>
      <c r="BA21" s="717">
        <v>0</v>
      </c>
      <c r="BB21" s="721">
        <f t="shared" ref="BB21:BB34" si="201">I21</f>
        <v>0</v>
      </c>
      <c r="BC21" s="499">
        <f t="shared" ref="BC21:BH21" si="202">BB21</f>
        <v>0</v>
      </c>
      <c r="BD21" s="499">
        <f t="shared" si="202"/>
        <v>0</v>
      </c>
      <c r="BE21" s="499">
        <f t="shared" si="202"/>
        <v>0</v>
      </c>
      <c r="BF21" s="499">
        <f t="shared" si="202"/>
        <v>0</v>
      </c>
      <c r="BG21" s="499">
        <f t="shared" si="202"/>
        <v>0</v>
      </c>
      <c r="BH21" s="499">
        <f t="shared" si="202"/>
        <v>0</v>
      </c>
      <c r="BI21" s="721">
        <f t="shared" ref="BI21:BI34" si="203">J21</f>
        <v>0</v>
      </c>
      <c r="BJ21" s="499">
        <f>BI21</f>
        <v>0</v>
      </c>
      <c r="BK21" s="499">
        <f t="shared" ref="BK21:BO21" si="204">BJ21</f>
        <v>0</v>
      </c>
      <c r="BL21" s="499">
        <f t="shared" si="204"/>
        <v>0</v>
      </c>
      <c r="BM21" s="499">
        <f t="shared" si="204"/>
        <v>0</v>
      </c>
      <c r="BN21" s="499">
        <f t="shared" si="204"/>
        <v>0</v>
      </c>
      <c r="BO21" s="499">
        <f t="shared" si="204"/>
        <v>0</v>
      </c>
      <c r="BP21" s="721">
        <f t="shared" ref="BP21:BP34" si="205">N21+O21</f>
        <v>0</v>
      </c>
      <c r="BQ21" s="499">
        <f>BP21</f>
        <v>0</v>
      </c>
      <c r="BR21" s="499">
        <f t="shared" ref="BR21:BV21" si="206">BQ21</f>
        <v>0</v>
      </c>
      <c r="BS21" s="499">
        <f t="shared" si="206"/>
        <v>0</v>
      </c>
      <c r="BT21" s="499">
        <f t="shared" si="206"/>
        <v>0</v>
      </c>
      <c r="BU21" s="499">
        <f t="shared" si="206"/>
        <v>0</v>
      </c>
      <c r="BV21" s="499">
        <f t="shared" si="206"/>
        <v>0</v>
      </c>
      <c r="BW21" s="503">
        <f t="shared" ref="BW21:CC37" si="207">$P21</f>
        <v>0</v>
      </c>
      <c r="BX21" s="503">
        <f t="shared" si="207"/>
        <v>0</v>
      </c>
      <c r="BY21" s="503">
        <f t="shared" si="207"/>
        <v>0</v>
      </c>
      <c r="BZ21" s="503">
        <f t="shared" si="207"/>
        <v>0</v>
      </c>
      <c r="CA21" s="503">
        <f t="shared" si="207"/>
        <v>0</v>
      </c>
      <c r="CB21" s="503">
        <f t="shared" si="207"/>
        <v>0</v>
      </c>
      <c r="CC21" s="776">
        <f t="shared" si="207"/>
        <v>0</v>
      </c>
      <c r="CD21" s="507">
        <f t="shared" ref="CD21:CD34" si="208">Q21*AZ21</f>
        <v>0</v>
      </c>
      <c r="CE21" s="511">
        <f>CD21</f>
        <v>0</v>
      </c>
      <c r="CF21" s="511">
        <f t="shared" ref="CF21:CJ21" si="209">CE21</f>
        <v>0</v>
      </c>
      <c r="CG21" s="511">
        <f t="shared" si="209"/>
        <v>0</v>
      </c>
      <c r="CH21" s="511">
        <f t="shared" si="209"/>
        <v>0</v>
      </c>
      <c r="CI21" s="511">
        <f t="shared" si="209"/>
        <v>0</v>
      </c>
      <c r="CJ21" s="511">
        <f t="shared" si="209"/>
        <v>0</v>
      </c>
      <c r="CK21" s="722">
        <f t="shared" ref="CK21:CK34" si="210">R21*AZ21</f>
        <v>0</v>
      </c>
      <c r="CL21" s="511">
        <f>CK21</f>
        <v>0</v>
      </c>
      <c r="CM21" s="511">
        <f t="shared" ref="CM21:CQ21" si="211">CL21</f>
        <v>0</v>
      </c>
      <c r="CN21" s="511">
        <f t="shared" si="211"/>
        <v>0</v>
      </c>
      <c r="CO21" s="511">
        <f t="shared" si="211"/>
        <v>0</v>
      </c>
      <c r="CP21" s="511">
        <f t="shared" si="211"/>
        <v>0</v>
      </c>
      <c r="CQ21" s="511">
        <f t="shared" si="211"/>
        <v>0</v>
      </c>
      <c r="CR21" s="722">
        <f t="shared" ref="CR21:CR34" si="212">S21*BA21</f>
        <v>0</v>
      </c>
      <c r="CS21" s="511">
        <f>CR21</f>
        <v>0</v>
      </c>
      <c r="CT21" s="511">
        <f t="shared" ref="CT21:CX21" si="213">CS21</f>
        <v>0</v>
      </c>
      <c r="CU21" s="511">
        <f t="shared" si="213"/>
        <v>0</v>
      </c>
      <c r="CV21" s="511">
        <f t="shared" si="213"/>
        <v>0</v>
      </c>
      <c r="CW21" s="511">
        <f t="shared" si="213"/>
        <v>0</v>
      </c>
      <c r="CX21" s="511">
        <f t="shared" si="213"/>
        <v>0</v>
      </c>
      <c r="CY21" s="724">
        <f t="shared" ref="CY21:CY34" si="214">AC21*BB21</f>
        <v>0</v>
      </c>
      <c r="CZ21" s="508">
        <f t="shared" ref="CZ21:CZ34" si="215">AE21*BC21</f>
        <v>0</v>
      </c>
      <c r="DA21" s="508">
        <f t="shared" ref="DA21:DA34" si="216">AF21*BD21</f>
        <v>0</v>
      </c>
      <c r="DB21" s="508">
        <f t="shared" ref="DB21:DB34" si="217">AG21*BE21</f>
        <v>0</v>
      </c>
      <c r="DC21" s="508">
        <f t="shared" ref="DC21:DC34" si="218">AH21*BF21</f>
        <v>0</v>
      </c>
      <c r="DD21" s="508">
        <f t="shared" ref="DD21:DD34" si="219">AI21*BG21</f>
        <v>0</v>
      </c>
      <c r="DE21" s="726">
        <f t="shared" ref="DE21:DE34" si="220">AJ21*BH21</f>
        <v>0</v>
      </c>
      <c r="DF21" s="724">
        <f>AD21*BI21</f>
        <v>0</v>
      </c>
      <c r="DG21" s="508">
        <f t="shared" ref="DG21:DG34" si="221">AE21*BJ21</f>
        <v>0</v>
      </c>
      <c r="DH21" s="508">
        <f t="shared" ref="DH21:DH34" si="222">AF21*BK21</f>
        <v>0</v>
      </c>
      <c r="DI21" s="508">
        <f t="shared" ref="DI21:DI34" si="223">AG21*BL21</f>
        <v>0</v>
      </c>
      <c r="DJ21" s="508">
        <f t="shared" ref="DJ21:DJ34" si="224">AH21*BM21</f>
        <v>0</v>
      </c>
      <c r="DK21" s="508">
        <f t="shared" ref="DK21:DK34" si="225">AI21*BN21</f>
        <v>0</v>
      </c>
      <c r="DL21" s="725">
        <f t="shared" ref="DL21:DL34" si="226">AJ21*BO21</f>
        <v>0</v>
      </c>
      <c r="DM21" s="724">
        <f>AD21*BP21</f>
        <v>0</v>
      </c>
      <c r="DN21" s="509">
        <f t="shared" ref="DN21:DN34" si="227">AE21*BQ21</f>
        <v>0</v>
      </c>
      <c r="DO21" s="508">
        <f t="shared" ref="DO21:DO34" si="228">AF21*BR21</f>
        <v>0</v>
      </c>
      <c r="DP21" s="508">
        <f t="shared" ref="DP21:DP34" si="229">AG21*BS21</f>
        <v>0</v>
      </c>
      <c r="DQ21" s="508">
        <f t="shared" ref="DQ21:DQ34" si="230">AH21*BT21</f>
        <v>0</v>
      </c>
      <c r="DR21" s="508">
        <f t="shared" ref="DR21:DR34" si="231">AI21*BU21</f>
        <v>0</v>
      </c>
      <c r="DS21" s="725">
        <f t="shared" ref="DS21:DS34" si="232">AJ21*BV21</f>
        <v>0</v>
      </c>
      <c r="DT21" s="724">
        <f t="shared" ref="DT21:DT34" si="233">BW21*AD21</f>
        <v>0</v>
      </c>
      <c r="DU21" s="508">
        <f t="shared" ref="DU21:DU34" si="234">BX21*AE21</f>
        <v>0</v>
      </c>
      <c r="DV21" s="508">
        <f t="shared" ref="DV21:DV34" si="235">BY21*AF21</f>
        <v>0</v>
      </c>
      <c r="DW21" s="508">
        <f t="shared" ref="DW21:DW34" si="236">BZ21*AG21</f>
        <v>0</v>
      </c>
      <c r="DX21" s="508">
        <f t="shared" ref="DX21:DX34" si="237">CA21*AH21</f>
        <v>0</v>
      </c>
      <c r="DY21" s="508">
        <f t="shared" ref="DY21:DY34" si="238">CB21*AI21</f>
        <v>0</v>
      </c>
      <c r="DZ21" s="725">
        <f t="shared" ref="DZ21:DZ34" si="239">CC21*AJ21</f>
        <v>0</v>
      </c>
      <c r="EA21" s="722">
        <f t="shared" si="91"/>
        <v>0</v>
      </c>
      <c r="EB21" s="511">
        <f t="shared" ref="EB21:EB34" si="240">AE21*CE21</f>
        <v>0</v>
      </c>
      <c r="EC21" s="511">
        <f t="shared" ref="EC21:EC34" si="241">AF21*CF21</f>
        <v>0</v>
      </c>
      <c r="ED21" s="511">
        <f t="shared" ref="ED21:ED34" si="242">AG21*CG21</f>
        <v>0</v>
      </c>
      <c r="EE21" s="511">
        <f t="shared" ref="EE21:EE34" si="243">AH21*CH21</f>
        <v>0</v>
      </c>
      <c r="EF21" s="511">
        <f t="shared" ref="EF21:EF34" si="244">AI21*CI21</f>
        <v>0</v>
      </c>
      <c r="EG21" s="723">
        <f t="shared" ref="EG21:EG34" si="245">AJ21*CJ21</f>
        <v>0</v>
      </c>
      <c r="EH21" s="722">
        <f t="shared" si="65"/>
        <v>0</v>
      </c>
      <c r="EI21" s="511">
        <f t="shared" ref="EI21:EI34" si="246">AE21*CL21</f>
        <v>0</v>
      </c>
      <c r="EJ21" s="511">
        <f t="shared" ref="EJ21:EJ34" si="247">AF21*CM21</f>
        <v>0</v>
      </c>
      <c r="EK21" s="511">
        <f t="shared" ref="EK21:EK34" si="248">AG21*CN21</f>
        <v>0</v>
      </c>
      <c r="EL21" s="511">
        <f t="shared" ref="EL21:EL34" si="249">AH21*CO21</f>
        <v>0</v>
      </c>
      <c r="EM21" s="511">
        <f t="shared" ref="EM21:EM34" si="250">AI21*CP21</f>
        <v>0</v>
      </c>
      <c r="EN21" s="723">
        <f t="shared" ref="EN21:EN34" si="251">AJ21*CQ21</f>
        <v>0</v>
      </c>
      <c r="EO21" s="507">
        <f t="shared" ref="EO21:EO34" si="252">AD21*CR21</f>
        <v>0</v>
      </c>
      <c r="EP21" s="511">
        <f t="shared" ref="EP21:EP34" si="253">AE21*CS21</f>
        <v>0</v>
      </c>
      <c r="EQ21" s="511">
        <f t="shared" ref="EQ21:EQ34" si="254">AF21*CT21</f>
        <v>0</v>
      </c>
      <c r="ER21" s="511">
        <f t="shared" ref="ER21:ER34" si="255">AG21*CU21</f>
        <v>0</v>
      </c>
      <c r="ES21" s="511">
        <f t="shared" ref="ES21:ES34" si="256">AH21*CV21</f>
        <v>0</v>
      </c>
      <c r="ET21" s="511">
        <f t="shared" ref="ET21:ET34" si="257">AI21*CW21</f>
        <v>0</v>
      </c>
      <c r="EU21" s="723">
        <f t="shared" ref="EU21:EU34" si="258">AJ21*CX21</f>
        <v>0</v>
      </c>
      <c r="EV21" s="727">
        <f>SUM(AD21:AJ21)</f>
        <v>4140.859375</v>
      </c>
      <c r="EW21" s="728">
        <f>SUM(CY21:DE21)</f>
        <v>0</v>
      </c>
      <c r="EX21" s="728">
        <f>SUM(DF21:DL21)</f>
        <v>0</v>
      </c>
      <c r="EY21" s="728">
        <f>SUM(DM21:DS21)</f>
        <v>0</v>
      </c>
      <c r="EZ21" s="728">
        <f>SUM(DT21:DZ21)</f>
        <v>0</v>
      </c>
      <c r="FA21" s="777">
        <f>SUM(EA21:EG21)</f>
        <v>0</v>
      </c>
      <c r="FB21" s="777">
        <f>SUM(EH21:EN21)</f>
        <v>0</v>
      </c>
      <c r="FC21" s="778">
        <f>SUM(EO21:EU21)</f>
        <v>0</v>
      </c>
    </row>
    <row r="22" spans="1:168" s="10" customFormat="1" ht="12.75" customHeight="1">
      <c r="A22" s="662" t="s">
        <v>173</v>
      </c>
      <c r="B22" s="703" t="str">
        <f t="shared" si="197"/>
        <v>KU-Virtual Energy Kit</v>
      </c>
      <c r="C22" s="703" t="str">
        <f t="shared" si="198"/>
        <v>Kits will be mailed to customer</v>
      </c>
      <c r="D22" s="703" t="str">
        <f t="shared" si="198"/>
        <v>Existing conditions</v>
      </c>
      <c r="E22" s="703" t="str">
        <f t="shared" si="198"/>
        <v>Per Home</v>
      </c>
      <c r="F22" s="704" t="str">
        <f t="shared" si="198"/>
        <v>Incremental</v>
      </c>
      <c r="G22" s="704">
        <f t="shared" si="198"/>
        <v>0</v>
      </c>
      <c r="H22" s="869">
        <f t="shared" si="198"/>
        <v>0</v>
      </c>
      <c r="I22" s="706">
        <f t="shared" si="198"/>
        <v>0</v>
      </c>
      <c r="J22" s="704">
        <f t="shared" si="198"/>
        <v>0</v>
      </c>
      <c r="K22" s="704" t="str">
        <f t="shared" si="198"/>
        <v>NA</v>
      </c>
      <c r="L22" s="711" t="s">
        <v>920</v>
      </c>
      <c r="M22" s="707">
        <f t="shared" si="198"/>
        <v>0</v>
      </c>
      <c r="N22" s="707">
        <f t="shared" si="198"/>
        <v>0</v>
      </c>
      <c r="O22" s="707">
        <f t="shared" si="198"/>
        <v>0</v>
      </c>
      <c r="P22" s="937">
        <f>P7</f>
        <v>33.36</v>
      </c>
      <c r="Q22" s="973">
        <f t="shared" si="198"/>
        <v>142.86778306971763</v>
      </c>
      <c r="R22" s="974">
        <f t="shared" ref="R22:V22" si="259">R7</f>
        <v>1.0372379046529497E-2</v>
      </c>
      <c r="S22" s="935">
        <f>P86</f>
        <v>0</v>
      </c>
      <c r="T22" s="711" t="str">
        <f t="shared" si="259"/>
        <v>Mid Atlantic TRM and Pennsylvania TRM</v>
      </c>
      <c r="U22" s="712">
        <f t="shared" si="259"/>
        <v>0.05</v>
      </c>
      <c r="V22" s="713">
        <f t="shared" si="259"/>
        <v>1</v>
      </c>
      <c r="W22" s="938"/>
      <c r="X22" s="938"/>
      <c r="Y22" s="938"/>
      <c r="Z22" s="938"/>
      <c r="AA22" s="939"/>
      <c r="AB22" s="939"/>
      <c r="AC22" s="939"/>
      <c r="AD22" s="773">
        <f t="shared" si="200"/>
        <v>0</v>
      </c>
      <c r="AE22" s="773">
        <f t="shared" si="200"/>
        <v>625</v>
      </c>
      <c r="AF22" s="773">
        <f t="shared" si="200"/>
        <v>656.25</v>
      </c>
      <c r="AG22" s="773">
        <f t="shared" si="200"/>
        <v>689.0625</v>
      </c>
      <c r="AH22" s="773">
        <f t="shared" si="200"/>
        <v>723.515625</v>
      </c>
      <c r="AI22" s="773">
        <f t="shared" si="200"/>
        <v>723.515625</v>
      </c>
      <c r="AJ22" s="773">
        <f t="shared" si="200"/>
        <v>723.515625</v>
      </c>
      <c r="AK22" s="715" t="s">
        <v>944</v>
      </c>
      <c r="AL22" s="711" t="s">
        <v>375</v>
      </c>
      <c r="AM22" s="711" t="s">
        <v>377</v>
      </c>
      <c r="AN22" s="711" t="s">
        <v>377</v>
      </c>
      <c r="AO22" s="711" t="s">
        <v>1</v>
      </c>
      <c r="AP22" s="711" t="s">
        <v>378</v>
      </c>
      <c r="AQ22" s="711" t="s">
        <v>378</v>
      </c>
      <c r="AR22" s="711" t="s">
        <v>378</v>
      </c>
      <c r="AS22" s="715" t="s">
        <v>379</v>
      </c>
      <c r="AT22" s="715" t="s">
        <v>407</v>
      </c>
      <c r="AU22" s="715" t="s">
        <v>385</v>
      </c>
      <c r="AV22" s="940">
        <f>$S$86</f>
        <v>9</v>
      </c>
      <c r="AW22" s="940">
        <f>AV22</f>
        <v>9</v>
      </c>
      <c r="AX22" s="711" t="s">
        <v>922</v>
      </c>
      <c r="AY22" s="716">
        <v>1</v>
      </c>
      <c r="AZ22" s="716">
        <v>1</v>
      </c>
      <c r="BA22" s="717">
        <v>0</v>
      </c>
      <c r="BB22" s="721">
        <f t="shared" si="201"/>
        <v>0</v>
      </c>
      <c r="BC22" s="499">
        <f t="shared" ref="BC22:BH22" si="260">BB22</f>
        <v>0</v>
      </c>
      <c r="BD22" s="499">
        <f t="shared" si="260"/>
        <v>0</v>
      </c>
      <c r="BE22" s="499">
        <f t="shared" si="260"/>
        <v>0</v>
      </c>
      <c r="BF22" s="499">
        <f t="shared" si="260"/>
        <v>0</v>
      </c>
      <c r="BG22" s="499">
        <f t="shared" si="260"/>
        <v>0</v>
      </c>
      <c r="BH22" s="499">
        <f t="shared" si="260"/>
        <v>0</v>
      </c>
      <c r="BI22" s="721">
        <f t="shared" si="203"/>
        <v>0</v>
      </c>
      <c r="BJ22" s="499">
        <f t="shared" ref="BJ22:BO22" si="261">BI22</f>
        <v>0</v>
      </c>
      <c r="BK22" s="499">
        <f t="shared" si="261"/>
        <v>0</v>
      </c>
      <c r="BL22" s="499">
        <f t="shared" si="261"/>
        <v>0</v>
      </c>
      <c r="BM22" s="499">
        <f t="shared" si="261"/>
        <v>0</v>
      </c>
      <c r="BN22" s="499">
        <f t="shared" si="261"/>
        <v>0</v>
      </c>
      <c r="BO22" s="499">
        <f t="shared" si="261"/>
        <v>0</v>
      </c>
      <c r="BP22" s="721">
        <f t="shared" si="205"/>
        <v>0</v>
      </c>
      <c r="BQ22" s="499">
        <f t="shared" ref="BQ22:BV22" si="262">BP22</f>
        <v>0</v>
      </c>
      <c r="BR22" s="499">
        <f t="shared" si="262"/>
        <v>0</v>
      </c>
      <c r="BS22" s="499">
        <f t="shared" si="262"/>
        <v>0</v>
      </c>
      <c r="BT22" s="499">
        <f t="shared" si="262"/>
        <v>0</v>
      </c>
      <c r="BU22" s="499">
        <f t="shared" si="262"/>
        <v>0</v>
      </c>
      <c r="BV22" s="499">
        <f t="shared" si="262"/>
        <v>0</v>
      </c>
      <c r="BW22" s="503">
        <f t="shared" si="207"/>
        <v>33.36</v>
      </c>
      <c r="BX22" s="503">
        <f t="shared" si="207"/>
        <v>33.36</v>
      </c>
      <c r="BY22" s="503">
        <f t="shared" si="207"/>
        <v>33.36</v>
      </c>
      <c r="BZ22" s="503">
        <f t="shared" si="207"/>
        <v>33.36</v>
      </c>
      <c r="CA22" s="503">
        <f t="shared" si="207"/>
        <v>33.36</v>
      </c>
      <c r="CB22" s="503">
        <f t="shared" si="207"/>
        <v>33.36</v>
      </c>
      <c r="CC22" s="776">
        <f t="shared" si="207"/>
        <v>33.36</v>
      </c>
      <c r="CD22" s="507">
        <f t="shared" si="208"/>
        <v>142.86778306971763</v>
      </c>
      <c r="CE22" s="511">
        <f t="shared" ref="CE22:CJ22" si="263">CD22</f>
        <v>142.86778306971763</v>
      </c>
      <c r="CF22" s="511">
        <f t="shared" si="263"/>
        <v>142.86778306971763</v>
      </c>
      <c r="CG22" s="511">
        <f t="shared" si="263"/>
        <v>142.86778306971763</v>
      </c>
      <c r="CH22" s="511">
        <f t="shared" si="263"/>
        <v>142.86778306971763</v>
      </c>
      <c r="CI22" s="511">
        <f t="shared" si="263"/>
        <v>142.86778306971763</v>
      </c>
      <c r="CJ22" s="511">
        <f t="shared" si="263"/>
        <v>142.86778306971763</v>
      </c>
      <c r="CK22" s="722">
        <f t="shared" si="210"/>
        <v>1.0372379046529497E-2</v>
      </c>
      <c r="CL22" s="511">
        <f t="shared" ref="CL22:CQ22" si="264">CK22</f>
        <v>1.0372379046529497E-2</v>
      </c>
      <c r="CM22" s="511">
        <f t="shared" si="264"/>
        <v>1.0372379046529497E-2</v>
      </c>
      <c r="CN22" s="511">
        <f t="shared" si="264"/>
        <v>1.0372379046529497E-2</v>
      </c>
      <c r="CO22" s="511">
        <f t="shared" si="264"/>
        <v>1.0372379046529497E-2</v>
      </c>
      <c r="CP22" s="511">
        <f t="shared" si="264"/>
        <v>1.0372379046529497E-2</v>
      </c>
      <c r="CQ22" s="511">
        <f t="shared" si="264"/>
        <v>1.0372379046529497E-2</v>
      </c>
      <c r="CR22" s="722">
        <f t="shared" si="212"/>
        <v>0</v>
      </c>
      <c r="CS22" s="511">
        <f t="shared" ref="CS22:CX22" si="265">CR22</f>
        <v>0</v>
      </c>
      <c r="CT22" s="511">
        <f t="shared" si="265"/>
        <v>0</v>
      </c>
      <c r="CU22" s="511">
        <f t="shared" si="265"/>
        <v>0</v>
      </c>
      <c r="CV22" s="511">
        <f t="shared" si="265"/>
        <v>0</v>
      </c>
      <c r="CW22" s="511">
        <f t="shared" si="265"/>
        <v>0</v>
      </c>
      <c r="CX22" s="511">
        <f t="shared" si="265"/>
        <v>0</v>
      </c>
      <c r="CY22" s="724">
        <f t="shared" si="214"/>
        <v>0</v>
      </c>
      <c r="CZ22" s="508">
        <f t="shared" si="215"/>
        <v>0</v>
      </c>
      <c r="DA22" s="508">
        <f t="shared" si="216"/>
        <v>0</v>
      </c>
      <c r="DB22" s="508">
        <f t="shared" si="217"/>
        <v>0</v>
      </c>
      <c r="DC22" s="508">
        <f t="shared" si="218"/>
        <v>0</v>
      </c>
      <c r="DD22" s="508">
        <f t="shared" si="219"/>
        <v>0</v>
      </c>
      <c r="DE22" s="726">
        <f t="shared" si="220"/>
        <v>0</v>
      </c>
      <c r="DF22" s="724">
        <f t="shared" ref="DF22:DF34" si="266">AD22*BI22</f>
        <v>0</v>
      </c>
      <c r="DG22" s="508">
        <f t="shared" si="221"/>
        <v>0</v>
      </c>
      <c r="DH22" s="508">
        <f t="shared" si="222"/>
        <v>0</v>
      </c>
      <c r="DI22" s="508">
        <f t="shared" si="223"/>
        <v>0</v>
      </c>
      <c r="DJ22" s="508">
        <f t="shared" si="224"/>
        <v>0</v>
      </c>
      <c r="DK22" s="508">
        <f t="shared" si="225"/>
        <v>0</v>
      </c>
      <c r="DL22" s="725">
        <f t="shared" si="226"/>
        <v>0</v>
      </c>
      <c r="DM22" s="724">
        <f t="shared" ref="DM22:DM34" si="267">AD22*BP22</f>
        <v>0</v>
      </c>
      <c r="DN22" s="509">
        <f t="shared" si="227"/>
        <v>0</v>
      </c>
      <c r="DO22" s="508">
        <f t="shared" si="228"/>
        <v>0</v>
      </c>
      <c r="DP22" s="508">
        <f t="shared" si="229"/>
        <v>0</v>
      </c>
      <c r="DQ22" s="508">
        <f t="shared" si="230"/>
        <v>0</v>
      </c>
      <c r="DR22" s="508">
        <f t="shared" si="231"/>
        <v>0</v>
      </c>
      <c r="DS22" s="725">
        <f t="shared" si="232"/>
        <v>0</v>
      </c>
      <c r="DT22" s="724">
        <f t="shared" si="233"/>
        <v>0</v>
      </c>
      <c r="DU22" s="508">
        <f t="shared" si="234"/>
        <v>20850</v>
      </c>
      <c r="DV22" s="508">
        <f t="shared" si="235"/>
        <v>21892.5</v>
      </c>
      <c r="DW22" s="508">
        <f t="shared" si="236"/>
        <v>22987.125</v>
      </c>
      <c r="DX22" s="508">
        <f t="shared" si="237"/>
        <v>24136.481250000001</v>
      </c>
      <c r="DY22" s="508">
        <f t="shared" si="238"/>
        <v>24136.481250000001</v>
      </c>
      <c r="DZ22" s="725">
        <f t="shared" si="239"/>
        <v>24136.481250000001</v>
      </c>
      <c r="EA22" s="722">
        <f t="shared" si="91"/>
        <v>0</v>
      </c>
      <c r="EB22" s="511">
        <f t="shared" si="240"/>
        <v>89292.364418573517</v>
      </c>
      <c r="EC22" s="511">
        <f t="shared" si="241"/>
        <v>93756.982639502196</v>
      </c>
      <c r="ED22" s="511">
        <f t="shared" si="242"/>
        <v>98444.8317714773</v>
      </c>
      <c r="EE22" s="511">
        <f t="shared" si="243"/>
        <v>103367.07336005117</v>
      </c>
      <c r="EF22" s="511">
        <f t="shared" si="244"/>
        <v>103367.07336005117</v>
      </c>
      <c r="EG22" s="723">
        <f t="shared" si="245"/>
        <v>103367.07336005117</v>
      </c>
      <c r="EH22" s="722">
        <f t="shared" si="65"/>
        <v>0</v>
      </c>
      <c r="EI22" s="511">
        <f t="shared" si="246"/>
        <v>6.4827369040809355</v>
      </c>
      <c r="EJ22" s="511">
        <f t="shared" si="247"/>
        <v>6.806873749284982</v>
      </c>
      <c r="EK22" s="511">
        <f t="shared" si="248"/>
        <v>7.1472174367492309</v>
      </c>
      <c r="EL22" s="511">
        <f t="shared" si="249"/>
        <v>7.5045783085866926</v>
      </c>
      <c r="EM22" s="511">
        <f t="shared" si="250"/>
        <v>7.5045783085866926</v>
      </c>
      <c r="EN22" s="723">
        <f t="shared" si="251"/>
        <v>7.5045783085866926</v>
      </c>
      <c r="EO22" s="507">
        <f t="shared" si="252"/>
        <v>0</v>
      </c>
      <c r="EP22" s="511">
        <f t="shared" si="253"/>
        <v>0</v>
      </c>
      <c r="EQ22" s="511">
        <f t="shared" si="254"/>
        <v>0</v>
      </c>
      <c r="ER22" s="511">
        <f t="shared" si="255"/>
        <v>0</v>
      </c>
      <c r="ES22" s="511">
        <f t="shared" si="256"/>
        <v>0</v>
      </c>
      <c r="ET22" s="511">
        <f t="shared" si="257"/>
        <v>0</v>
      </c>
      <c r="EU22" s="723">
        <f t="shared" si="258"/>
        <v>0</v>
      </c>
      <c r="EV22" s="727">
        <f t="shared" ref="EV22:EV34" si="268">SUM(AD22:AJ22)</f>
        <v>4140.859375</v>
      </c>
      <c r="EW22" s="728">
        <f t="shared" ref="EW22:EW34" si="269">SUM(CY22:DE22)</f>
        <v>0</v>
      </c>
      <c r="EX22" s="728">
        <f t="shared" ref="EX22:EX34" si="270">SUM(DF22:DL22)</f>
        <v>0</v>
      </c>
      <c r="EY22" s="728">
        <f t="shared" ref="EY22:EY34" si="271">SUM(DM22:DS22)</f>
        <v>0</v>
      </c>
      <c r="EZ22" s="728">
        <f t="shared" ref="EZ22:EZ34" si="272">SUM(DT22:DZ22)</f>
        <v>138139.06875000001</v>
      </c>
      <c r="FA22" s="777">
        <f t="shared" ref="FA22:FA34" si="273">SUM(EA22:EG22)</f>
        <v>591595.39890970651</v>
      </c>
      <c r="FB22" s="777">
        <f t="shared" ref="FB22:FB34" si="274">SUM(EH22:EN22)</f>
        <v>42.950563015875233</v>
      </c>
      <c r="FC22" s="778">
        <f t="shared" ref="FC22:FC34" si="275">SUM(EO22:EU22)</f>
        <v>0</v>
      </c>
    </row>
    <row r="23" spans="1:168" s="10" customFormat="1" ht="12.75" customHeight="1">
      <c r="A23" s="662" t="s">
        <v>175</v>
      </c>
      <c r="B23" s="703" t="str">
        <f t="shared" si="197"/>
        <v>KU-Weatherization-Ceiling Insulation (KY) - Code</v>
      </c>
      <c r="C23" s="703" t="str">
        <f t="shared" si="198"/>
        <v>R-49</v>
      </c>
      <c r="D23" s="703" t="str">
        <f t="shared" si="198"/>
        <v>Average Existing Insulation</v>
      </c>
      <c r="E23" s="703" t="str">
        <f t="shared" si="198"/>
        <v>Per Unit</v>
      </c>
      <c r="F23" s="703" t="str">
        <f t="shared" si="198"/>
        <v>Incremental Cost</v>
      </c>
      <c r="G23" s="969">
        <f t="shared" si="198"/>
        <v>1778.5342499999999</v>
      </c>
      <c r="H23" s="703">
        <f t="shared" si="198"/>
        <v>0</v>
      </c>
      <c r="I23" s="703">
        <f t="shared" si="198"/>
        <v>1778.5342499999999</v>
      </c>
      <c r="J23" s="703">
        <f t="shared" si="198"/>
        <v>0</v>
      </c>
      <c r="K23" s="703">
        <f t="shared" si="198"/>
        <v>889.26712499999996</v>
      </c>
      <c r="L23" s="703" t="str">
        <f t="shared" si="198"/>
        <v>RSMeans scaled up by 25% to account for 2022 dollars</v>
      </c>
      <c r="M23" s="703" t="str">
        <f t="shared" si="198"/>
        <v>NA</v>
      </c>
      <c r="N23" s="703">
        <f t="shared" si="198"/>
        <v>300</v>
      </c>
      <c r="O23" s="703">
        <f t="shared" si="198"/>
        <v>0</v>
      </c>
      <c r="P23" s="703">
        <f t="shared" si="198"/>
        <v>0</v>
      </c>
      <c r="Q23" s="703">
        <f t="shared" si="198"/>
        <v>289.95511020164105</v>
      </c>
      <c r="R23" s="703">
        <f t="shared" ref="R23:V23" si="276">R8</f>
        <v>0.1160707319801524</v>
      </c>
      <c r="S23" s="975">
        <v>0</v>
      </c>
      <c r="T23" s="703" t="str">
        <f t="shared" si="276"/>
        <v>Potential Study Results: Engineering Calculation</v>
      </c>
      <c r="U23" s="712">
        <f t="shared" si="276"/>
        <v>0.05</v>
      </c>
      <c r="V23" s="713">
        <f t="shared" si="276"/>
        <v>1</v>
      </c>
      <c r="W23" s="938"/>
      <c r="X23" s="938"/>
      <c r="Y23" s="938"/>
      <c r="Z23" s="938"/>
      <c r="AA23" s="939"/>
      <c r="AB23" s="939"/>
      <c r="AC23" s="939"/>
      <c r="AD23" s="773">
        <f t="shared" ref="AD23:AJ34" si="277">AD8/2</f>
        <v>0</v>
      </c>
      <c r="AE23" s="773">
        <f t="shared" si="277"/>
        <v>0</v>
      </c>
      <c r="AF23" s="773">
        <f t="shared" si="277"/>
        <v>0</v>
      </c>
      <c r="AG23" s="773">
        <f t="shared" si="277"/>
        <v>0</v>
      </c>
      <c r="AH23" s="773">
        <f t="shared" si="277"/>
        <v>0</v>
      </c>
      <c r="AI23" s="773">
        <f t="shared" si="277"/>
        <v>0</v>
      </c>
      <c r="AJ23" s="773">
        <f t="shared" si="277"/>
        <v>0</v>
      </c>
      <c r="AK23" s="715" t="s">
        <v>374</v>
      </c>
      <c r="AL23" s="711" t="s">
        <v>375</v>
      </c>
      <c r="AM23" s="711" t="s">
        <v>377</v>
      </c>
      <c r="AN23" s="711" t="s">
        <v>377</v>
      </c>
      <c r="AO23" s="711" t="s">
        <v>1</v>
      </c>
      <c r="AP23" s="711" t="s">
        <v>378</v>
      </c>
      <c r="AQ23" s="711" t="s">
        <v>378</v>
      </c>
      <c r="AR23" s="711" t="s">
        <v>378</v>
      </c>
      <c r="AS23" s="715" t="s">
        <v>379</v>
      </c>
      <c r="AT23" s="715" t="s">
        <v>407</v>
      </c>
      <c r="AU23" s="715" t="s">
        <v>385</v>
      </c>
      <c r="AV23" s="940">
        <f t="shared" ref="AV23:AW34" si="278">AV8</f>
        <v>20</v>
      </c>
      <c r="AW23" s="940">
        <f t="shared" si="278"/>
        <v>20</v>
      </c>
      <c r="AX23" s="711"/>
      <c r="AY23" s="716">
        <v>1</v>
      </c>
      <c r="AZ23" s="716">
        <v>1</v>
      </c>
      <c r="BA23" s="717">
        <v>0</v>
      </c>
      <c r="BB23" s="721">
        <f t="shared" si="201"/>
        <v>1778.5342499999999</v>
      </c>
      <c r="BC23" s="499">
        <f t="shared" ref="BC23:BH23" si="279">BB23</f>
        <v>1778.5342499999999</v>
      </c>
      <c r="BD23" s="499">
        <f t="shared" si="279"/>
        <v>1778.5342499999999</v>
      </c>
      <c r="BE23" s="499">
        <f t="shared" si="279"/>
        <v>1778.5342499999999</v>
      </c>
      <c r="BF23" s="499">
        <f t="shared" si="279"/>
        <v>1778.5342499999999</v>
      </c>
      <c r="BG23" s="499">
        <f t="shared" si="279"/>
        <v>1778.5342499999999</v>
      </c>
      <c r="BH23" s="499">
        <f t="shared" si="279"/>
        <v>1778.5342499999999</v>
      </c>
      <c r="BI23" s="721">
        <f t="shared" si="203"/>
        <v>0</v>
      </c>
      <c r="BJ23" s="499">
        <f t="shared" ref="BJ23:BO23" si="280">BI23</f>
        <v>0</v>
      </c>
      <c r="BK23" s="499">
        <f t="shared" si="280"/>
        <v>0</v>
      </c>
      <c r="BL23" s="499">
        <f t="shared" si="280"/>
        <v>0</v>
      </c>
      <c r="BM23" s="499">
        <f t="shared" si="280"/>
        <v>0</v>
      </c>
      <c r="BN23" s="499">
        <f t="shared" si="280"/>
        <v>0</v>
      </c>
      <c r="BO23" s="499">
        <f t="shared" si="280"/>
        <v>0</v>
      </c>
      <c r="BP23" s="721">
        <f t="shared" si="205"/>
        <v>300</v>
      </c>
      <c r="BQ23" s="499">
        <f t="shared" ref="BQ23:BV23" si="281">BP23</f>
        <v>300</v>
      </c>
      <c r="BR23" s="499">
        <f t="shared" si="281"/>
        <v>300</v>
      </c>
      <c r="BS23" s="499">
        <f t="shared" si="281"/>
        <v>300</v>
      </c>
      <c r="BT23" s="499">
        <f t="shared" si="281"/>
        <v>300</v>
      </c>
      <c r="BU23" s="499">
        <f t="shared" si="281"/>
        <v>300</v>
      </c>
      <c r="BV23" s="499">
        <f t="shared" si="281"/>
        <v>300</v>
      </c>
      <c r="BW23" s="503">
        <f t="shared" si="207"/>
        <v>0</v>
      </c>
      <c r="BX23" s="503">
        <f t="shared" si="207"/>
        <v>0</v>
      </c>
      <c r="BY23" s="503">
        <f t="shared" si="207"/>
        <v>0</v>
      </c>
      <c r="BZ23" s="503">
        <f t="shared" si="207"/>
        <v>0</v>
      </c>
      <c r="CA23" s="503">
        <f t="shared" si="207"/>
        <v>0</v>
      </c>
      <c r="CB23" s="503">
        <f t="shared" si="207"/>
        <v>0</v>
      </c>
      <c r="CC23" s="776">
        <f t="shared" si="207"/>
        <v>0</v>
      </c>
      <c r="CD23" s="507">
        <f t="shared" si="208"/>
        <v>289.95511020164105</v>
      </c>
      <c r="CE23" s="511">
        <f t="shared" ref="CE23:CJ23" si="282">CD23</f>
        <v>289.95511020164105</v>
      </c>
      <c r="CF23" s="511">
        <f t="shared" si="282"/>
        <v>289.95511020164105</v>
      </c>
      <c r="CG23" s="511">
        <f t="shared" si="282"/>
        <v>289.95511020164105</v>
      </c>
      <c r="CH23" s="511">
        <f t="shared" si="282"/>
        <v>289.95511020164105</v>
      </c>
      <c r="CI23" s="511">
        <f t="shared" si="282"/>
        <v>289.95511020164105</v>
      </c>
      <c r="CJ23" s="511">
        <f t="shared" si="282"/>
        <v>289.95511020164105</v>
      </c>
      <c r="CK23" s="722">
        <f t="shared" si="210"/>
        <v>0.1160707319801524</v>
      </c>
      <c r="CL23" s="511">
        <f t="shared" ref="CL23:CQ23" si="283">CK23</f>
        <v>0.1160707319801524</v>
      </c>
      <c r="CM23" s="511">
        <f t="shared" si="283"/>
        <v>0.1160707319801524</v>
      </c>
      <c r="CN23" s="511">
        <f t="shared" si="283"/>
        <v>0.1160707319801524</v>
      </c>
      <c r="CO23" s="511">
        <f t="shared" si="283"/>
        <v>0.1160707319801524</v>
      </c>
      <c r="CP23" s="511">
        <f t="shared" si="283"/>
        <v>0.1160707319801524</v>
      </c>
      <c r="CQ23" s="511">
        <f t="shared" si="283"/>
        <v>0.1160707319801524</v>
      </c>
      <c r="CR23" s="722">
        <f t="shared" si="212"/>
        <v>0</v>
      </c>
      <c r="CS23" s="511">
        <f t="shared" ref="CS23:CX23" si="284">CR23</f>
        <v>0</v>
      </c>
      <c r="CT23" s="511">
        <f t="shared" si="284"/>
        <v>0</v>
      </c>
      <c r="CU23" s="511">
        <f t="shared" si="284"/>
        <v>0</v>
      </c>
      <c r="CV23" s="511">
        <f t="shared" si="284"/>
        <v>0</v>
      </c>
      <c r="CW23" s="511">
        <f t="shared" si="284"/>
        <v>0</v>
      </c>
      <c r="CX23" s="511">
        <f t="shared" si="284"/>
        <v>0</v>
      </c>
      <c r="CY23" s="724">
        <f t="shared" si="214"/>
        <v>0</v>
      </c>
      <c r="CZ23" s="508">
        <f t="shared" si="215"/>
        <v>0</v>
      </c>
      <c r="DA23" s="508">
        <f t="shared" si="216"/>
        <v>0</v>
      </c>
      <c r="DB23" s="508">
        <f t="shared" si="217"/>
        <v>0</v>
      </c>
      <c r="DC23" s="508">
        <f t="shared" si="218"/>
        <v>0</v>
      </c>
      <c r="DD23" s="508">
        <f t="shared" si="219"/>
        <v>0</v>
      </c>
      <c r="DE23" s="726">
        <f t="shared" si="220"/>
        <v>0</v>
      </c>
      <c r="DF23" s="724">
        <f t="shared" si="266"/>
        <v>0</v>
      </c>
      <c r="DG23" s="508">
        <f t="shared" si="221"/>
        <v>0</v>
      </c>
      <c r="DH23" s="508">
        <f t="shared" si="222"/>
        <v>0</v>
      </c>
      <c r="DI23" s="508">
        <f t="shared" si="223"/>
        <v>0</v>
      </c>
      <c r="DJ23" s="508">
        <f t="shared" si="224"/>
        <v>0</v>
      </c>
      <c r="DK23" s="508">
        <f t="shared" si="225"/>
        <v>0</v>
      </c>
      <c r="DL23" s="725">
        <f t="shared" si="226"/>
        <v>0</v>
      </c>
      <c r="DM23" s="724">
        <f t="shared" si="267"/>
        <v>0</v>
      </c>
      <c r="DN23" s="509">
        <f t="shared" si="227"/>
        <v>0</v>
      </c>
      <c r="DO23" s="508">
        <f t="shared" si="228"/>
        <v>0</v>
      </c>
      <c r="DP23" s="508">
        <f t="shared" si="229"/>
        <v>0</v>
      </c>
      <c r="DQ23" s="508">
        <f t="shared" si="230"/>
        <v>0</v>
      </c>
      <c r="DR23" s="508">
        <f t="shared" si="231"/>
        <v>0</v>
      </c>
      <c r="DS23" s="725">
        <f t="shared" si="232"/>
        <v>0</v>
      </c>
      <c r="DT23" s="724">
        <f t="shared" si="233"/>
        <v>0</v>
      </c>
      <c r="DU23" s="508">
        <f t="shared" si="234"/>
        <v>0</v>
      </c>
      <c r="DV23" s="508">
        <f t="shared" si="235"/>
        <v>0</v>
      </c>
      <c r="DW23" s="508">
        <f t="shared" si="236"/>
        <v>0</v>
      </c>
      <c r="DX23" s="508">
        <f t="shared" si="237"/>
        <v>0</v>
      </c>
      <c r="DY23" s="508">
        <f t="shared" si="238"/>
        <v>0</v>
      </c>
      <c r="DZ23" s="725">
        <f t="shared" si="239"/>
        <v>0</v>
      </c>
      <c r="EA23" s="722">
        <f t="shared" si="91"/>
        <v>0</v>
      </c>
      <c r="EB23" s="511">
        <f t="shared" si="240"/>
        <v>0</v>
      </c>
      <c r="EC23" s="511">
        <f t="shared" si="241"/>
        <v>0</v>
      </c>
      <c r="ED23" s="511">
        <f t="shared" si="242"/>
        <v>0</v>
      </c>
      <c r="EE23" s="511">
        <f t="shared" si="243"/>
        <v>0</v>
      </c>
      <c r="EF23" s="511">
        <f t="shared" si="244"/>
        <v>0</v>
      </c>
      <c r="EG23" s="723">
        <f t="shared" si="245"/>
        <v>0</v>
      </c>
      <c r="EH23" s="722">
        <f t="shared" si="65"/>
        <v>0</v>
      </c>
      <c r="EI23" s="511">
        <f t="shared" si="246"/>
        <v>0</v>
      </c>
      <c r="EJ23" s="511">
        <f t="shared" si="247"/>
        <v>0</v>
      </c>
      <c r="EK23" s="511">
        <f t="shared" si="248"/>
        <v>0</v>
      </c>
      <c r="EL23" s="511">
        <f t="shared" si="249"/>
        <v>0</v>
      </c>
      <c r="EM23" s="511">
        <f t="shared" si="250"/>
        <v>0</v>
      </c>
      <c r="EN23" s="723">
        <f t="shared" si="251"/>
        <v>0</v>
      </c>
      <c r="EO23" s="507">
        <f t="shared" si="252"/>
        <v>0</v>
      </c>
      <c r="EP23" s="511">
        <f t="shared" si="253"/>
        <v>0</v>
      </c>
      <c r="EQ23" s="511">
        <f t="shared" si="254"/>
        <v>0</v>
      </c>
      <c r="ER23" s="511">
        <f t="shared" si="255"/>
        <v>0</v>
      </c>
      <c r="ES23" s="511">
        <f t="shared" si="256"/>
        <v>0</v>
      </c>
      <c r="ET23" s="511">
        <f t="shared" si="257"/>
        <v>0</v>
      </c>
      <c r="EU23" s="723">
        <f t="shared" si="258"/>
        <v>0</v>
      </c>
      <c r="EV23" s="727">
        <f t="shared" si="268"/>
        <v>0</v>
      </c>
      <c r="EW23" s="728">
        <f t="shared" si="269"/>
        <v>0</v>
      </c>
      <c r="EX23" s="728">
        <f t="shared" si="270"/>
        <v>0</v>
      </c>
      <c r="EY23" s="728">
        <f t="shared" si="271"/>
        <v>0</v>
      </c>
      <c r="EZ23" s="728">
        <f t="shared" si="272"/>
        <v>0</v>
      </c>
      <c r="FA23" s="777">
        <f t="shared" si="273"/>
        <v>0</v>
      </c>
      <c r="FB23" s="777">
        <f t="shared" si="274"/>
        <v>0</v>
      </c>
      <c r="FC23" s="778">
        <f t="shared" si="275"/>
        <v>0</v>
      </c>
    </row>
    <row r="24" spans="1:168" s="10" customFormat="1" ht="12.75" customHeight="1">
      <c r="A24" s="662" t="s">
        <v>176</v>
      </c>
      <c r="B24" s="703" t="str">
        <f t="shared" si="197"/>
        <v>KU-Weatherization-Duct Sealing and Insulation - Code</v>
      </c>
      <c r="C24" s="703" t="str">
        <f t="shared" si="198"/>
        <v>Code Duct Sealing and Insulation - R-8</v>
      </c>
      <c r="D24" s="703" t="str">
        <f t="shared" si="198"/>
        <v>Existing Duct Sealing and Insulation - R-4</v>
      </c>
      <c r="E24" s="703" t="str">
        <f t="shared" si="198"/>
        <v>Per Unit</v>
      </c>
      <c r="F24" s="703" t="str">
        <f t="shared" si="198"/>
        <v>Incremental Cost</v>
      </c>
      <c r="G24" s="969">
        <f t="shared" si="198"/>
        <v>1452.5</v>
      </c>
      <c r="H24" s="703">
        <f t="shared" si="198"/>
        <v>0</v>
      </c>
      <c r="I24" s="703">
        <f t="shared" si="198"/>
        <v>1452.5</v>
      </c>
      <c r="J24" s="703">
        <f t="shared" si="198"/>
        <v>0</v>
      </c>
      <c r="K24" s="703">
        <f t="shared" si="198"/>
        <v>726.25</v>
      </c>
      <c r="L24" s="703" t="str">
        <f t="shared" si="198"/>
        <v>2010 - ETO - Residential Duct Insulation scaled up to account for 2022 dollars</v>
      </c>
      <c r="M24" s="703" t="str">
        <f t="shared" si="198"/>
        <v>NA</v>
      </c>
      <c r="N24" s="703">
        <f t="shared" si="198"/>
        <v>300</v>
      </c>
      <c r="O24" s="703">
        <f t="shared" si="198"/>
        <v>0</v>
      </c>
      <c r="P24" s="703">
        <f t="shared" si="198"/>
        <v>0</v>
      </c>
      <c r="Q24" s="703">
        <f t="shared" si="198"/>
        <v>734.19254888169826</v>
      </c>
      <c r="R24" s="703">
        <f t="shared" ref="R24:V24" si="285">R9</f>
        <v>0.58505406251679737</v>
      </c>
      <c r="S24" s="975">
        <v>0</v>
      </c>
      <c r="T24" s="703" t="str">
        <f t="shared" si="285"/>
        <v>Potential Study Results: NAIMA Duct Insulation 2001 &amp; 2013 - EnergyStar - QI Fact Sheet</v>
      </c>
      <c r="U24" s="712">
        <f t="shared" si="285"/>
        <v>0.05</v>
      </c>
      <c r="V24" s="713">
        <f t="shared" si="285"/>
        <v>1</v>
      </c>
      <c r="W24" s="938"/>
      <c r="X24" s="938"/>
      <c r="Y24" s="938"/>
      <c r="Z24" s="938"/>
      <c r="AA24" s="939"/>
      <c r="AB24" s="939"/>
      <c r="AC24" s="939"/>
      <c r="AD24" s="773">
        <f t="shared" si="277"/>
        <v>0</v>
      </c>
      <c r="AE24" s="773">
        <f t="shared" si="277"/>
        <v>0</v>
      </c>
      <c r="AF24" s="773">
        <f t="shared" si="277"/>
        <v>0</v>
      </c>
      <c r="AG24" s="773">
        <f t="shared" si="277"/>
        <v>0</v>
      </c>
      <c r="AH24" s="773">
        <f t="shared" si="277"/>
        <v>0</v>
      </c>
      <c r="AI24" s="773">
        <f t="shared" si="277"/>
        <v>0</v>
      </c>
      <c r="AJ24" s="773">
        <f t="shared" si="277"/>
        <v>0</v>
      </c>
      <c r="AK24" s="715" t="s">
        <v>374</v>
      </c>
      <c r="AL24" s="711" t="s">
        <v>375</v>
      </c>
      <c r="AM24" s="711" t="s">
        <v>377</v>
      </c>
      <c r="AN24" s="711" t="s">
        <v>377</v>
      </c>
      <c r="AO24" s="711" t="s">
        <v>1</v>
      </c>
      <c r="AP24" s="711" t="s">
        <v>378</v>
      </c>
      <c r="AQ24" s="711" t="s">
        <v>378</v>
      </c>
      <c r="AR24" s="711" t="s">
        <v>378</v>
      </c>
      <c r="AS24" s="715" t="s">
        <v>379</v>
      </c>
      <c r="AT24" s="715" t="s">
        <v>407</v>
      </c>
      <c r="AU24" s="715" t="s">
        <v>385</v>
      </c>
      <c r="AV24" s="940">
        <f t="shared" si="278"/>
        <v>20</v>
      </c>
      <c r="AW24" s="940">
        <f t="shared" si="278"/>
        <v>20</v>
      </c>
      <c r="AX24" s="711"/>
      <c r="AY24" s="716">
        <v>1</v>
      </c>
      <c r="AZ24" s="716">
        <v>1</v>
      </c>
      <c r="BA24" s="717">
        <v>0</v>
      </c>
      <c r="BB24" s="721">
        <f t="shared" si="201"/>
        <v>1452.5</v>
      </c>
      <c r="BC24" s="499">
        <f t="shared" ref="BC24:BH24" si="286">BB24</f>
        <v>1452.5</v>
      </c>
      <c r="BD24" s="499">
        <f t="shared" si="286"/>
        <v>1452.5</v>
      </c>
      <c r="BE24" s="499">
        <f t="shared" si="286"/>
        <v>1452.5</v>
      </c>
      <c r="BF24" s="499">
        <f t="shared" si="286"/>
        <v>1452.5</v>
      </c>
      <c r="BG24" s="499">
        <f t="shared" si="286"/>
        <v>1452.5</v>
      </c>
      <c r="BH24" s="499">
        <f t="shared" si="286"/>
        <v>1452.5</v>
      </c>
      <c r="BI24" s="721">
        <f t="shared" si="203"/>
        <v>0</v>
      </c>
      <c r="BJ24" s="499">
        <f t="shared" ref="BJ24:BO24" si="287">BI24</f>
        <v>0</v>
      </c>
      <c r="BK24" s="499">
        <f t="shared" si="287"/>
        <v>0</v>
      </c>
      <c r="BL24" s="499">
        <f t="shared" si="287"/>
        <v>0</v>
      </c>
      <c r="BM24" s="499">
        <f t="shared" si="287"/>
        <v>0</v>
      </c>
      <c r="BN24" s="499">
        <f t="shared" si="287"/>
        <v>0</v>
      </c>
      <c r="BO24" s="499">
        <f t="shared" si="287"/>
        <v>0</v>
      </c>
      <c r="BP24" s="721">
        <f t="shared" si="205"/>
        <v>300</v>
      </c>
      <c r="BQ24" s="499">
        <f t="shared" ref="BQ24:BV24" si="288">BP24</f>
        <v>300</v>
      </c>
      <c r="BR24" s="499">
        <f t="shared" si="288"/>
        <v>300</v>
      </c>
      <c r="BS24" s="499">
        <f t="shared" si="288"/>
        <v>300</v>
      </c>
      <c r="BT24" s="499">
        <f t="shared" si="288"/>
        <v>300</v>
      </c>
      <c r="BU24" s="499">
        <f t="shared" si="288"/>
        <v>300</v>
      </c>
      <c r="BV24" s="499">
        <f t="shared" si="288"/>
        <v>300</v>
      </c>
      <c r="BW24" s="503">
        <f t="shared" si="207"/>
        <v>0</v>
      </c>
      <c r="BX24" s="503">
        <f t="shared" si="207"/>
        <v>0</v>
      </c>
      <c r="BY24" s="503">
        <f t="shared" si="207"/>
        <v>0</v>
      </c>
      <c r="BZ24" s="503">
        <f t="shared" si="207"/>
        <v>0</v>
      </c>
      <c r="CA24" s="503">
        <f t="shared" si="207"/>
        <v>0</v>
      </c>
      <c r="CB24" s="503">
        <f t="shared" si="207"/>
        <v>0</v>
      </c>
      <c r="CC24" s="776">
        <f t="shared" si="207"/>
        <v>0</v>
      </c>
      <c r="CD24" s="507">
        <f t="shared" si="208"/>
        <v>734.19254888169826</v>
      </c>
      <c r="CE24" s="511">
        <f t="shared" ref="CE24:CJ24" si="289">CD24</f>
        <v>734.19254888169826</v>
      </c>
      <c r="CF24" s="511">
        <f t="shared" si="289"/>
        <v>734.19254888169826</v>
      </c>
      <c r="CG24" s="511">
        <f t="shared" si="289"/>
        <v>734.19254888169826</v>
      </c>
      <c r="CH24" s="511">
        <f t="shared" si="289"/>
        <v>734.19254888169826</v>
      </c>
      <c r="CI24" s="511">
        <f t="shared" si="289"/>
        <v>734.19254888169826</v>
      </c>
      <c r="CJ24" s="511">
        <f t="shared" si="289"/>
        <v>734.19254888169826</v>
      </c>
      <c r="CK24" s="722">
        <f t="shared" si="210"/>
        <v>0.58505406251679737</v>
      </c>
      <c r="CL24" s="511">
        <f t="shared" ref="CL24:CQ24" si="290">CK24</f>
        <v>0.58505406251679737</v>
      </c>
      <c r="CM24" s="511">
        <f t="shared" si="290"/>
        <v>0.58505406251679737</v>
      </c>
      <c r="CN24" s="511">
        <f t="shared" si="290"/>
        <v>0.58505406251679737</v>
      </c>
      <c r="CO24" s="511">
        <f t="shared" si="290"/>
        <v>0.58505406251679737</v>
      </c>
      <c r="CP24" s="511">
        <f t="shared" si="290"/>
        <v>0.58505406251679737</v>
      </c>
      <c r="CQ24" s="511">
        <f t="shared" si="290"/>
        <v>0.58505406251679737</v>
      </c>
      <c r="CR24" s="722">
        <f t="shared" si="212"/>
        <v>0</v>
      </c>
      <c r="CS24" s="511">
        <f t="shared" ref="CS24:CX24" si="291">CR24</f>
        <v>0</v>
      </c>
      <c r="CT24" s="511">
        <f t="shared" si="291"/>
        <v>0</v>
      </c>
      <c r="CU24" s="511">
        <f t="shared" si="291"/>
        <v>0</v>
      </c>
      <c r="CV24" s="511">
        <f t="shared" si="291"/>
        <v>0</v>
      </c>
      <c r="CW24" s="511">
        <f t="shared" si="291"/>
        <v>0</v>
      </c>
      <c r="CX24" s="511">
        <f t="shared" si="291"/>
        <v>0</v>
      </c>
      <c r="CY24" s="724">
        <f t="shared" si="214"/>
        <v>0</v>
      </c>
      <c r="CZ24" s="508">
        <f t="shared" si="215"/>
        <v>0</v>
      </c>
      <c r="DA24" s="508">
        <f t="shared" si="216"/>
        <v>0</v>
      </c>
      <c r="DB24" s="508">
        <f t="shared" si="217"/>
        <v>0</v>
      </c>
      <c r="DC24" s="508">
        <f t="shared" si="218"/>
        <v>0</v>
      </c>
      <c r="DD24" s="508">
        <f t="shared" si="219"/>
        <v>0</v>
      </c>
      <c r="DE24" s="726">
        <f t="shared" si="220"/>
        <v>0</v>
      </c>
      <c r="DF24" s="724">
        <f t="shared" si="266"/>
        <v>0</v>
      </c>
      <c r="DG24" s="508">
        <f t="shared" si="221"/>
        <v>0</v>
      </c>
      <c r="DH24" s="508">
        <f t="shared" si="222"/>
        <v>0</v>
      </c>
      <c r="DI24" s="508">
        <f t="shared" si="223"/>
        <v>0</v>
      </c>
      <c r="DJ24" s="508">
        <f t="shared" si="224"/>
        <v>0</v>
      </c>
      <c r="DK24" s="508">
        <f t="shared" si="225"/>
        <v>0</v>
      </c>
      <c r="DL24" s="725">
        <f t="shared" si="226"/>
        <v>0</v>
      </c>
      <c r="DM24" s="724">
        <f t="shared" si="267"/>
        <v>0</v>
      </c>
      <c r="DN24" s="509">
        <f t="shared" si="227"/>
        <v>0</v>
      </c>
      <c r="DO24" s="508">
        <f t="shared" si="228"/>
        <v>0</v>
      </c>
      <c r="DP24" s="508">
        <f t="shared" si="229"/>
        <v>0</v>
      </c>
      <c r="DQ24" s="508">
        <f t="shared" si="230"/>
        <v>0</v>
      </c>
      <c r="DR24" s="508">
        <f t="shared" si="231"/>
        <v>0</v>
      </c>
      <c r="DS24" s="725">
        <f t="shared" si="232"/>
        <v>0</v>
      </c>
      <c r="DT24" s="724">
        <f t="shared" si="233"/>
        <v>0</v>
      </c>
      <c r="DU24" s="508">
        <f t="shared" si="234"/>
        <v>0</v>
      </c>
      <c r="DV24" s="508">
        <f t="shared" si="235"/>
        <v>0</v>
      </c>
      <c r="DW24" s="508">
        <f t="shared" si="236"/>
        <v>0</v>
      </c>
      <c r="DX24" s="508">
        <f t="shared" si="237"/>
        <v>0</v>
      </c>
      <c r="DY24" s="508">
        <f t="shared" si="238"/>
        <v>0</v>
      </c>
      <c r="DZ24" s="725">
        <f t="shared" si="239"/>
        <v>0</v>
      </c>
      <c r="EA24" s="722">
        <f t="shared" si="91"/>
        <v>0</v>
      </c>
      <c r="EB24" s="511">
        <f t="shared" si="240"/>
        <v>0</v>
      </c>
      <c r="EC24" s="511">
        <f t="shared" si="241"/>
        <v>0</v>
      </c>
      <c r="ED24" s="511">
        <f t="shared" si="242"/>
        <v>0</v>
      </c>
      <c r="EE24" s="511">
        <f t="shared" si="243"/>
        <v>0</v>
      </c>
      <c r="EF24" s="511">
        <f t="shared" si="244"/>
        <v>0</v>
      </c>
      <c r="EG24" s="723">
        <f t="shared" si="245"/>
        <v>0</v>
      </c>
      <c r="EH24" s="722">
        <f t="shared" si="65"/>
        <v>0</v>
      </c>
      <c r="EI24" s="511">
        <f t="shared" si="246"/>
        <v>0</v>
      </c>
      <c r="EJ24" s="511">
        <f t="shared" si="247"/>
        <v>0</v>
      </c>
      <c r="EK24" s="511">
        <f t="shared" si="248"/>
        <v>0</v>
      </c>
      <c r="EL24" s="511">
        <f t="shared" si="249"/>
        <v>0</v>
      </c>
      <c r="EM24" s="511">
        <f t="shared" si="250"/>
        <v>0</v>
      </c>
      <c r="EN24" s="723">
        <f t="shared" si="251"/>
        <v>0</v>
      </c>
      <c r="EO24" s="507">
        <f t="shared" si="252"/>
        <v>0</v>
      </c>
      <c r="EP24" s="511">
        <f t="shared" si="253"/>
        <v>0</v>
      </c>
      <c r="EQ24" s="511">
        <f t="shared" si="254"/>
        <v>0</v>
      </c>
      <c r="ER24" s="511">
        <f t="shared" si="255"/>
        <v>0</v>
      </c>
      <c r="ES24" s="511">
        <f t="shared" si="256"/>
        <v>0</v>
      </c>
      <c r="ET24" s="511">
        <f t="shared" si="257"/>
        <v>0</v>
      </c>
      <c r="EU24" s="723">
        <f t="shared" si="258"/>
        <v>0</v>
      </c>
      <c r="EV24" s="727">
        <f t="shared" si="268"/>
        <v>0</v>
      </c>
      <c r="EW24" s="728">
        <f t="shared" si="269"/>
        <v>0</v>
      </c>
      <c r="EX24" s="728">
        <f t="shared" si="270"/>
        <v>0</v>
      </c>
      <c r="EY24" s="728">
        <f t="shared" si="271"/>
        <v>0</v>
      </c>
      <c r="EZ24" s="728">
        <f t="shared" si="272"/>
        <v>0</v>
      </c>
      <c r="FA24" s="777">
        <f t="shared" si="273"/>
        <v>0</v>
      </c>
      <c r="FB24" s="777">
        <f t="shared" si="274"/>
        <v>0</v>
      </c>
      <c r="FC24" s="778">
        <f t="shared" si="275"/>
        <v>0</v>
      </c>
    </row>
    <row r="25" spans="1:168" s="10" customFormat="1" ht="12.75" customHeight="1">
      <c r="A25" s="662" t="s">
        <v>177</v>
      </c>
      <c r="B25" s="703" t="str">
        <f t="shared" si="197"/>
        <v>KU-Weatherization-Infiltration Control - Reduction of Existing Conditions</v>
      </c>
      <c r="C25" s="703" t="str">
        <f t="shared" si="198"/>
        <v>Infiltration Control - 0.1 ACH Reduction</v>
      </c>
      <c r="D25" s="703" t="str">
        <f t="shared" si="198"/>
        <v>Existing Infiltration Conditions</v>
      </c>
      <c r="E25" s="703" t="str">
        <f t="shared" si="198"/>
        <v>Per Unit</v>
      </c>
      <c r="F25" s="703" t="str">
        <f t="shared" si="198"/>
        <v>Incremental Cost</v>
      </c>
      <c r="G25" s="969">
        <f t="shared" si="198"/>
        <v>400.59300000000002</v>
      </c>
      <c r="H25" s="703">
        <f t="shared" si="198"/>
        <v>0</v>
      </c>
      <c r="I25" s="703">
        <f t="shared" si="198"/>
        <v>400.59300000000002</v>
      </c>
      <c r="J25" s="703">
        <f t="shared" si="198"/>
        <v>0</v>
      </c>
      <c r="K25" s="703">
        <f t="shared" si="198"/>
        <v>200.29650000000001</v>
      </c>
      <c r="L25" s="703" t="str">
        <f t="shared" si="198"/>
        <v>RSMeans scaled up by 25% to account for 2022 dollars</v>
      </c>
      <c r="M25" s="703" t="str">
        <f t="shared" si="198"/>
        <v>NA</v>
      </c>
      <c r="N25" s="703">
        <f t="shared" si="198"/>
        <v>160</v>
      </c>
      <c r="O25" s="703">
        <f t="shared" si="198"/>
        <v>0</v>
      </c>
      <c r="P25" s="703">
        <f t="shared" si="198"/>
        <v>0</v>
      </c>
      <c r="Q25" s="703">
        <f t="shared" si="198"/>
        <v>67.901079101881706</v>
      </c>
      <c r="R25" s="703">
        <f t="shared" ref="R25:V25" si="292">R10</f>
        <v>4.0429413628181456E-2</v>
      </c>
      <c r="S25" s="975">
        <v>0</v>
      </c>
      <c r="T25" s="703" t="str">
        <f t="shared" si="292"/>
        <v>Potential Study Results: Cadmus analysis using building modeling to calculate measure percent savings</v>
      </c>
      <c r="U25" s="712">
        <f t="shared" si="292"/>
        <v>0.05</v>
      </c>
      <c r="V25" s="713">
        <f t="shared" si="292"/>
        <v>1</v>
      </c>
      <c r="W25" s="938"/>
      <c r="X25" s="938"/>
      <c r="Y25" s="938"/>
      <c r="Z25" s="938"/>
      <c r="AA25" s="939"/>
      <c r="AB25" s="939"/>
      <c r="AC25" s="939"/>
      <c r="AD25" s="773">
        <f t="shared" si="277"/>
        <v>0</v>
      </c>
      <c r="AE25" s="773">
        <f t="shared" si="277"/>
        <v>0</v>
      </c>
      <c r="AF25" s="773">
        <f t="shared" si="277"/>
        <v>0</v>
      </c>
      <c r="AG25" s="773">
        <f t="shared" si="277"/>
        <v>0</v>
      </c>
      <c r="AH25" s="773">
        <f t="shared" si="277"/>
        <v>0</v>
      </c>
      <c r="AI25" s="773">
        <f t="shared" si="277"/>
        <v>0</v>
      </c>
      <c r="AJ25" s="773">
        <f t="shared" si="277"/>
        <v>0</v>
      </c>
      <c r="AK25" s="715" t="s">
        <v>374</v>
      </c>
      <c r="AL25" s="711" t="s">
        <v>375</v>
      </c>
      <c r="AM25" s="711" t="s">
        <v>377</v>
      </c>
      <c r="AN25" s="711" t="s">
        <v>377</v>
      </c>
      <c r="AO25" s="711" t="s">
        <v>1</v>
      </c>
      <c r="AP25" s="711" t="s">
        <v>378</v>
      </c>
      <c r="AQ25" s="711" t="s">
        <v>378</v>
      </c>
      <c r="AR25" s="711" t="s">
        <v>378</v>
      </c>
      <c r="AS25" s="715" t="s">
        <v>379</v>
      </c>
      <c r="AT25" s="715" t="s">
        <v>407</v>
      </c>
      <c r="AU25" s="715" t="s">
        <v>385</v>
      </c>
      <c r="AV25" s="940">
        <f t="shared" si="278"/>
        <v>20</v>
      </c>
      <c r="AW25" s="940">
        <f t="shared" si="278"/>
        <v>20</v>
      </c>
      <c r="AX25" s="711"/>
      <c r="AY25" s="716">
        <v>1</v>
      </c>
      <c r="AZ25" s="716">
        <v>1</v>
      </c>
      <c r="BA25" s="717">
        <v>0</v>
      </c>
      <c r="BB25" s="721">
        <f t="shared" si="201"/>
        <v>400.59300000000002</v>
      </c>
      <c r="BC25" s="499">
        <f t="shared" ref="BC25:BH25" si="293">BB25</f>
        <v>400.59300000000002</v>
      </c>
      <c r="BD25" s="499">
        <f t="shared" si="293"/>
        <v>400.59300000000002</v>
      </c>
      <c r="BE25" s="499">
        <f t="shared" si="293"/>
        <v>400.59300000000002</v>
      </c>
      <c r="BF25" s="499">
        <f t="shared" si="293"/>
        <v>400.59300000000002</v>
      </c>
      <c r="BG25" s="499">
        <f t="shared" si="293"/>
        <v>400.59300000000002</v>
      </c>
      <c r="BH25" s="499">
        <f t="shared" si="293"/>
        <v>400.59300000000002</v>
      </c>
      <c r="BI25" s="721">
        <f t="shared" si="203"/>
        <v>0</v>
      </c>
      <c r="BJ25" s="499">
        <f t="shared" ref="BJ25:BO25" si="294">BI25</f>
        <v>0</v>
      </c>
      <c r="BK25" s="499">
        <f t="shared" si="294"/>
        <v>0</v>
      </c>
      <c r="BL25" s="499">
        <f t="shared" si="294"/>
        <v>0</v>
      </c>
      <c r="BM25" s="499">
        <f t="shared" si="294"/>
        <v>0</v>
      </c>
      <c r="BN25" s="499">
        <f t="shared" si="294"/>
        <v>0</v>
      </c>
      <c r="BO25" s="499">
        <f t="shared" si="294"/>
        <v>0</v>
      </c>
      <c r="BP25" s="721">
        <f t="shared" si="205"/>
        <v>160</v>
      </c>
      <c r="BQ25" s="499">
        <f t="shared" ref="BQ25:BV25" si="295">BP25</f>
        <v>160</v>
      </c>
      <c r="BR25" s="499">
        <f t="shared" si="295"/>
        <v>160</v>
      </c>
      <c r="BS25" s="499">
        <f t="shared" si="295"/>
        <v>160</v>
      </c>
      <c r="BT25" s="499">
        <f t="shared" si="295"/>
        <v>160</v>
      </c>
      <c r="BU25" s="499">
        <f t="shared" si="295"/>
        <v>160</v>
      </c>
      <c r="BV25" s="499">
        <f t="shared" si="295"/>
        <v>160</v>
      </c>
      <c r="BW25" s="503">
        <f t="shared" si="207"/>
        <v>0</v>
      </c>
      <c r="BX25" s="503">
        <f t="shared" si="207"/>
        <v>0</v>
      </c>
      <c r="BY25" s="503">
        <f t="shared" si="207"/>
        <v>0</v>
      </c>
      <c r="BZ25" s="503">
        <f t="shared" si="207"/>
        <v>0</v>
      </c>
      <c r="CA25" s="503">
        <f t="shared" si="207"/>
        <v>0</v>
      </c>
      <c r="CB25" s="503">
        <f t="shared" si="207"/>
        <v>0</v>
      </c>
      <c r="CC25" s="776">
        <f t="shared" si="207"/>
        <v>0</v>
      </c>
      <c r="CD25" s="507">
        <f t="shared" si="208"/>
        <v>67.901079101881706</v>
      </c>
      <c r="CE25" s="511">
        <f t="shared" ref="CE25:CJ25" si="296">CD25</f>
        <v>67.901079101881706</v>
      </c>
      <c r="CF25" s="511">
        <f t="shared" si="296"/>
        <v>67.901079101881706</v>
      </c>
      <c r="CG25" s="511">
        <f t="shared" si="296"/>
        <v>67.901079101881706</v>
      </c>
      <c r="CH25" s="511">
        <f t="shared" si="296"/>
        <v>67.901079101881706</v>
      </c>
      <c r="CI25" s="511">
        <f t="shared" si="296"/>
        <v>67.901079101881706</v>
      </c>
      <c r="CJ25" s="511">
        <f t="shared" si="296"/>
        <v>67.901079101881706</v>
      </c>
      <c r="CK25" s="722">
        <f t="shared" si="210"/>
        <v>4.0429413628181456E-2</v>
      </c>
      <c r="CL25" s="511">
        <f t="shared" ref="CL25:CQ25" si="297">CK25</f>
        <v>4.0429413628181456E-2</v>
      </c>
      <c r="CM25" s="511">
        <f t="shared" si="297"/>
        <v>4.0429413628181456E-2</v>
      </c>
      <c r="CN25" s="511">
        <f t="shared" si="297"/>
        <v>4.0429413628181456E-2</v>
      </c>
      <c r="CO25" s="511">
        <f t="shared" si="297"/>
        <v>4.0429413628181456E-2</v>
      </c>
      <c r="CP25" s="511">
        <f t="shared" si="297"/>
        <v>4.0429413628181456E-2</v>
      </c>
      <c r="CQ25" s="511">
        <f t="shared" si="297"/>
        <v>4.0429413628181456E-2</v>
      </c>
      <c r="CR25" s="722">
        <f t="shared" si="212"/>
        <v>0</v>
      </c>
      <c r="CS25" s="511">
        <f t="shared" ref="CS25:CX25" si="298">CR25</f>
        <v>0</v>
      </c>
      <c r="CT25" s="511">
        <f t="shared" si="298"/>
        <v>0</v>
      </c>
      <c r="CU25" s="511">
        <f t="shared" si="298"/>
        <v>0</v>
      </c>
      <c r="CV25" s="511">
        <f t="shared" si="298"/>
        <v>0</v>
      </c>
      <c r="CW25" s="511">
        <f t="shared" si="298"/>
        <v>0</v>
      </c>
      <c r="CX25" s="511">
        <f t="shared" si="298"/>
        <v>0</v>
      </c>
      <c r="CY25" s="724">
        <f t="shared" si="214"/>
        <v>0</v>
      </c>
      <c r="CZ25" s="508">
        <f t="shared" si="215"/>
        <v>0</v>
      </c>
      <c r="DA25" s="508">
        <f t="shared" si="216"/>
        <v>0</v>
      </c>
      <c r="DB25" s="508">
        <f t="shared" si="217"/>
        <v>0</v>
      </c>
      <c r="DC25" s="508">
        <f t="shared" si="218"/>
        <v>0</v>
      </c>
      <c r="DD25" s="508">
        <f t="shared" si="219"/>
        <v>0</v>
      </c>
      <c r="DE25" s="726">
        <f t="shared" si="220"/>
        <v>0</v>
      </c>
      <c r="DF25" s="724">
        <f t="shared" si="266"/>
        <v>0</v>
      </c>
      <c r="DG25" s="508">
        <f t="shared" si="221"/>
        <v>0</v>
      </c>
      <c r="DH25" s="508">
        <f t="shared" si="222"/>
        <v>0</v>
      </c>
      <c r="DI25" s="508">
        <f t="shared" si="223"/>
        <v>0</v>
      </c>
      <c r="DJ25" s="508">
        <f t="shared" si="224"/>
        <v>0</v>
      </c>
      <c r="DK25" s="508">
        <f t="shared" si="225"/>
        <v>0</v>
      </c>
      <c r="DL25" s="725">
        <f t="shared" si="226"/>
        <v>0</v>
      </c>
      <c r="DM25" s="724">
        <f t="shared" si="267"/>
        <v>0</v>
      </c>
      <c r="DN25" s="509">
        <f t="shared" si="227"/>
        <v>0</v>
      </c>
      <c r="DO25" s="508">
        <f t="shared" si="228"/>
        <v>0</v>
      </c>
      <c r="DP25" s="508">
        <f t="shared" si="229"/>
        <v>0</v>
      </c>
      <c r="DQ25" s="508">
        <f t="shared" si="230"/>
        <v>0</v>
      </c>
      <c r="DR25" s="508">
        <f t="shared" si="231"/>
        <v>0</v>
      </c>
      <c r="DS25" s="725">
        <f t="shared" si="232"/>
        <v>0</v>
      </c>
      <c r="DT25" s="724">
        <f t="shared" si="233"/>
        <v>0</v>
      </c>
      <c r="DU25" s="508">
        <f t="shared" si="234"/>
        <v>0</v>
      </c>
      <c r="DV25" s="508">
        <f t="shared" si="235"/>
        <v>0</v>
      </c>
      <c r="DW25" s="508">
        <f t="shared" si="236"/>
        <v>0</v>
      </c>
      <c r="DX25" s="508">
        <f t="shared" si="237"/>
        <v>0</v>
      </c>
      <c r="DY25" s="508">
        <f t="shared" si="238"/>
        <v>0</v>
      </c>
      <c r="DZ25" s="725">
        <f t="shared" si="239"/>
        <v>0</v>
      </c>
      <c r="EA25" s="722">
        <f t="shared" si="91"/>
        <v>0</v>
      </c>
      <c r="EB25" s="511">
        <f t="shared" si="240"/>
        <v>0</v>
      </c>
      <c r="EC25" s="511">
        <f t="shared" si="241"/>
        <v>0</v>
      </c>
      <c r="ED25" s="511">
        <f t="shared" si="242"/>
        <v>0</v>
      </c>
      <c r="EE25" s="511">
        <f t="shared" si="243"/>
        <v>0</v>
      </c>
      <c r="EF25" s="511">
        <f t="shared" si="244"/>
        <v>0</v>
      </c>
      <c r="EG25" s="723">
        <f t="shared" si="245"/>
        <v>0</v>
      </c>
      <c r="EH25" s="722">
        <f t="shared" si="65"/>
        <v>0</v>
      </c>
      <c r="EI25" s="511">
        <f t="shared" si="246"/>
        <v>0</v>
      </c>
      <c r="EJ25" s="511">
        <f t="shared" si="247"/>
        <v>0</v>
      </c>
      <c r="EK25" s="511">
        <f t="shared" si="248"/>
        <v>0</v>
      </c>
      <c r="EL25" s="511">
        <f t="shared" si="249"/>
        <v>0</v>
      </c>
      <c r="EM25" s="511">
        <f t="shared" si="250"/>
        <v>0</v>
      </c>
      <c r="EN25" s="723">
        <f t="shared" si="251"/>
        <v>0</v>
      </c>
      <c r="EO25" s="507">
        <f t="shared" si="252"/>
        <v>0</v>
      </c>
      <c r="EP25" s="511">
        <f t="shared" si="253"/>
        <v>0</v>
      </c>
      <c r="EQ25" s="511">
        <f t="shared" si="254"/>
        <v>0</v>
      </c>
      <c r="ER25" s="511">
        <f t="shared" si="255"/>
        <v>0</v>
      </c>
      <c r="ES25" s="511">
        <f t="shared" si="256"/>
        <v>0</v>
      </c>
      <c r="ET25" s="511">
        <f t="shared" si="257"/>
        <v>0</v>
      </c>
      <c r="EU25" s="723">
        <f t="shared" si="258"/>
        <v>0</v>
      </c>
      <c r="EV25" s="727">
        <f t="shared" si="268"/>
        <v>0</v>
      </c>
      <c r="EW25" s="728">
        <f t="shared" si="269"/>
        <v>0</v>
      </c>
      <c r="EX25" s="728">
        <f t="shared" si="270"/>
        <v>0</v>
      </c>
      <c r="EY25" s="728">
        <f t="shared" si="271"/>
        <v>0</v>
      </c>
      <c r="EZ25" s="728">
        <f t="shared" si="272"/>
        <v>0</v>
      </c>
      <c r="FA25" s="777">
        <f t="shared" si="273"/>
        <v>0</v>
      </c>
      <c r="FB25" s="777">
        <f t="shared" si="274"/>
        <v>0</v>
      </c>
      <c r="FC25" s="778">
        <f t="shared" si="275"/>
        <v>0</v>
      </c>
    </row>
    <row r="26" spans="1:168" s="10" customFormat="1" ht="12.75" customHeight="1">
      <c r="A26" s="662" t="s">
        <v>178</v>
      </c>
      <c r="B26" s="703" t="str">
        <f t="shared" si="197"/>
        <v>KU-Weatherization-Wall Insulation (KY) - Maximum Feasible</v>
      </c>
      <c r="C26" s="703" t="str">
        <f t="shared" si="198"/>
        <v>R-13 (Maximum Insulation Feasible)</v>
      </c>
      <c r="D26" s="703" t="str">
        <f t="shared" si="198"/>
        <v>Average Existing Insulation</v>
      </c>
      <c r="E26" s="703" t="str">
        <f t="shared" si="198"/>
        <v>Per Unit</v>
      </c>
      <c r="F26" s="703" t="str">
        <f t="shared" si="198"/>
        <v>Incremental Cost</v>
      </c>
      <c r="G26" s="969">
        <f t="shared" si="198"/>
        <v>2352.2559999999999</v>
      </c>
      <c r="H26" s="703">
        <f t="shared" si="198"/>
        <v>0</v>
      </c>
      <c r="I26" s="703">
        <f t="shared" si="198"/>
        <v>2352.2559999999999</v>
      </c>
      <c r="J26" s="703">
        <f t="shared" si="198"/>
        <v>0</v>
      </c>
      <c r="K26" s="703">
        <f t="shared" si="198"/>
        <v>1176.1279999999999</v>
      </c>
      <c r="L26" s="703" t="str">
        <f t="shared" si="198"/>
        <v>RSMeans scaled up by 25% to account for 2022 dollars</v>
      </c>
      <c r="M26" s="703" t="str">
        <f t="shared" si="198"/>
        <v>NA</v>
      </c>
      <c r="N26" s="703">
        <f t="shared" si="198"/>
        <v>300</v>
      </c>
      <c r="O26" s="703">
        <f t="shared" si="198"/>
        <v>0</v>
      </c>
      <c r="P26" s="703">
        <f t="shared" si="198"/>
        <v>0</v>
      </c>
      <c r="Q26" s="703">
        <f t="shared" si="198"/>
        <v>871.60811609264829</v>
      </c>
      <c r="R26" s="703">
        <f t="shared" ref="R26:V26" si="299">R11</f>
        <v>0.3829215253219283</v>
      </c>
      <c r="S26" s="975">
        <v>0</v>
      </c>
      <c r="T26" s="703" t="str">
        <f t="shared" si="299"/>
        <v>Potential Study Results: Engineering Calculation</v>
      </c>
      <c r="U26" s="712">
        <f t="shared" si="299"/>
        <v>0.05</v>
      </c>
      <c r="V26" s="713">
        <f t="shared" si="299"/>
        <v>1</v>
      </c>
      <c r="W26" s="938"/>
      <c r="X26" s="938"/>
      <c r="Y26" s="938"/>
      <c r="Z26" s="938"/>
      <c r="AA26" s="939"/>
      <c r="AB26" s="939"/>
      <c r="AC26" s="939"/>
      <c r="AD26" s="773">
        <f t="shared" si="277"/>
        <v>0</v>
      </c>
      <c r="AE26" s="773">
        <f t="shared" si="277"/>
        <v>0</v>
      </c>
      <c r="AF26" s="773">
        <f t="shared" si="277"/>
        <v>0</v>
      </c>
      <c r="AG26" s="773">
        <f t="shared" si="277"/>
        <v>0</v>
      </c>
      <c r="AH26" s="773">
        <f t="shared" si="277"/>
        <v>0</v>
      </c>
      <c r="AI26" s="773">
        <f t="shared" si="277"/>
        <v>0</v>
      </c>
      <c r="AJ26" s="773">
        <f t="shared" si="277"/>
        <v>0</v>
      </c>
      <c r="AK26" s="715" t="s">
        <v>374</v>
      </c>
      <c r="AL26" s="711" t="s">
        <v>375</v>
      </c>
      <c r="AM26" s="711" t="s">
        <v>377</v>
      </c>
      <c r="AN26" s="711" t="s">
        <v>377</v>
      </c>
      <c r="AO26" s="711" t="s">
        <v>1</v>
      </c>
      <c r="AP26" s="711" t="s">
        <v>378</v>
      </c>
      <c r="AQ26" s="711" t="s">
        <v>378</v>
      </c>
      <c r="AR26" s="711" t="s">
        <v>378</v>
      </c>
      <c r="AS26" s="715" t="s">
        <v>379</v>
      </c>
      <c r="AT26" s="715" t="s">
        <v>407</v>
      </c>
      <c r="AU26" s="715" t="s">
        <v>385</v>
      </c>
      <c r="AV26" s="940">
        <f t="shared" si="278"/>
        <v>20</v>
      </c>
      <c r="AW26" s="940">
        <f t="shared" si="278"/>
        <v>20</v>
      </c>
      <c r="AX26" s="711"/>
      <c r="AY26" s="716">
        <v>1</v>
      </c>
      <c r="AZ26" s="716">
        <v>1</v>
      </c>
      <c r="BA26" s="717">
        <v>0</v>
      </c>
      <c r="BB26" s="721">
        <f t="shared" si="201"/>
        <v>2352.2559999999999</v>
      </c>
      <c r="BC26" s="499">
        <f t="shared" ref="BC26:BH26" si="300">BB26</f>
        <v>2352.2559999999999</v>
      </c>
      <c r="BD26" s="499">
        <f t="shared" si="300"/>
        <v>2352.2559999999999</v>
      </c>
      <c r="BE26" s="499">
        <f t="shared" si="300"/>
        <v>2352.2559999999999</v>
      </c>
      <c r="BF26" s="499">
        <f t="shared" si="300"/>
        <v>2352.2559999999999</v>
      </c>
      <c r="BG26" s="499">
        <f t="shared" si="300"/>
        <v>2352.2559999999999</v>
      </c>
      <c r="BH26" s="499">
        <f t="shared" si="300"/>
        <v>2352.2559999999999</v>
      </c>
      <c r="BI26" s="721">
        <f t="shared" si="203"/>
        <v>0</v>
      </c>
      <c r="BJ26" s="499">
        <f t="shared" ref="BJ26:BO26" si="301">BI26</f>
        <v>0</v>
      </c>
      <c r="BK26" s="499">
        <f t="shared" si="301"/>
        <v>0</v>
      </c>
      <c r="BL26" s="499">
        <f t="shared" si="301"/>
        <v>0</v>
      </c>
      <c r="BM26" s="499">
        <f t="shared" si="301"/>
        <v>0</v>
      </c>
      <c r="BN26" s="499">
        <f t="shared" si="301"/>
        <v>0</v>
      </c>
      <c r="BO26" s="499">
        <f t="shared" si="301"/>
        <v>0</v>
      </c>
      <c r="BP26" s="721">
        <f t="shared" si="205"/>
        <v>300</v>
      </c>
      <c r="BQ26" s="499">
        <f t="shared" ref="BQ26:BV26" si="302">BP26</f>
        <v>300</v>
      </c>
      <c r="BR26" s="499">
        <f t="shared" si="302"/>
        <v>300</v>
      </c>
      <c r="BS26" s="499">
        <f t="shared" si="302"/>
        <v>300</v>
      </c>
      <c r="BT26" s="499">
        <f t="shared" si="302"/>
        <v>300</v>
      </c>
      <c r="BU26" s="499">
        <f t="shared" si="302"/>
        <v>300</v>
      </c>
      <c r="BV26" s="499">
        <f t="shared" si="302"/>
        <v>300</v>
      </c>
      <c r="BW26" s="503">
        <f t="shared" si="207"/>
        <v>0</v>
      </c>
      <c r="BX26" s="503">
        <f t="shared" si="207"/>
        <v>0</v>
      </c>
      <c r="BY26" s="503">
        <f t="shared" si="207"/>
        <v>0</v>
      </c>
      <c r="BZ26" s="503">
        <f t="shared" si="207"/>
        <v>0</v>
      </c>
      <c r="CA26" s="503">
        <f t="shared" si="207"/>
        <v>0</v>
      </c>
      <c r="CB26" s="503">
        <f t="shared" si="207"/>
        <v>0</v>
      </c>
      <c r="CC26" s="776">
        <f t="shared" si="207"/>
        <v>0</v>
      </c>
      <c r="CD26" s="507">
        <f t="shared" si="208"/>
        <v>871.60811609264829</v>
      </c>
      <c r="CE26" s="511">
        <f t="shared" ref="CE26:CJ26" si="303">CD26</f>
        <v>871.60811609264829</v>
      </c>
      <c r="CF26" s="511">
        <f t="shared" si="303"/>
        <v>871.60811609264829</v>
      </c>
      <c r="CG26" s="511">
        <f t="shared" si="303"/>
        <v>871.60811609264829</v>
      </c>
      <c r="CH26" s="511">
        <f t="shared" si="303"/>
        <v>871.60811609264829</v>
      </c>
      <c r="CI26" s="511">
        <f t="shared" si="303"/>
        <v>871.60811609264829</v>
      </c>
      <c r="CJ26" s="511">
        <f t="shared" si="303"/>
        <v>871.60811609264829</v>
      </c>
      <c r="CK26" s="722">
        <f t="shared" si="210"/>
        <v>0.3829215253219283</v>
      </c>
      <c r="CL26" s="511">
        <f t="shared" ref="CL26:CQ26" si="304">CK26</f>
        <v>0.3829215253219283</v>
      </c>
      <c r="CM26" s="511">
        <f t="shared" si="304"/>
        <v>0.3829215253219283</v>
      </c>
      <c r="CN26" s="511">
        <f t="shared" si="304"/>
        <v>0.3829215253219283</v>
      </c>
      <c r="CO26" s="511">
        <f t="shared" si="304"/>
        <v>0.3829215253219283</v>
      </c>
      <c r="CP26" s="511">
        <f t="shared" si="304"/>
        <v>0.3829215253219283</v>
      </c>
      <c r="CQ26" s="511">
        <f t="shared" si="304"/>
        <v>0.3829215253219283</v>
      </c>
      <c r="CR26" s="722">
        <f t="shared" si="212"/>
        <v>0</v>
      </c>
      <c r="CS26" s="511">
        <f t="shared" ref="CS26:CX26" si="305">CR26</f>
        <v>0</v>
      </c>
      <c r="CT26" s="511">
        <f t="shared" si="305"/>
        <v>0</v>
      </c>
      <c r="CU26" s="511">
        <f t="shared" si="305"/>
        <v>0</v>
      </c>
      <c r="CV26" s="511">
        <f t="shared" si="305"/>
        <v>0</v>
      </c>
      <c r="CW26" s="511">
        <f t="shared" si="305"/>
        <v>0</v>
      </c>
      <c r="CX26" s="511">
        <f t="shared" si="305"/>
        <v>0</v>
      </c>
      <c r="CY26" s="724">
        <f t="shared" si="214"/>
        <v>0</v>
      </c>
      <c r="CZ26" s="508">
        <f t="shared" si="215"/>
        <v>0</v>
      </c>
      <c r="DA26" s="508">
        <f t="shared" si="216"/>
        <v>0</v>
      </c>
      <c r="DB26" s="508">
        <f t="shared" si="217"/>
        <v>0</v>
      </c>
      <c r="DC26" s="508">
        <f t="shared" si="218"/>
        <v>0</v>
      </c>
      <c r="DD26" s="508">
        <f t="shared" si="219"/>
        <v>0</v>
      </c>
      <c r="DE26" s="726">
        <f t="shared" si="220"/>
        <v>0</v>
      </c>
      <c r="DF26" s="724">
        <f t="shared" si="266"/>
        <v>0</v>
      </c>
      <c r="DG26" s="508">
        <f t="shared" si="221"/>
        <v>0</v>
      </c>
      <c r="DH26" s="508">
        <f t="shared" si="222"/>
        <v>0</v>
      </c>
      <c r="DI26" s="508">
        <f t="shared" si="223"/>
        <v>0</v>
      </c>
      <c r="DJ26" s="508">
        <f t="shared" si="224"/>
        <v>0</v>
      </c>
      <c r="DK26" s="508">
        <f t="shared" si="225"/>
        <v>0</v>
      </c>
      <c r="DL26" s="725">
        <f t="shared" si="226"/>
        <v>0</v>
      </c>
      <c r="DM26" s="724">
        <f t="shared" si="267"/>
        <v>0</v>
      </c>
      <c r="DN26" s="509">
        <f t="shared" si="227"/>
        <v>0</v>
      </c>
      <c r="DO26" s="508">
        <f t="shared" si="228"/>
        <v>0</v>
      </c>
      <c r="DP26" s="508">
        <f t="shared" si="229"/>
        <v>0</v>
      </c>
      <c r="DQ26" s="508">
        <f t="shared" si="230"/>
        <v>0</v>
      </c>
      <c r="DR26" s="508">
        <f t="shared" si="231"/>
        <v>0</v>
      </c>
      <c r="DS26" s="725">
        <f t="shared" si="232"/>
        <v>0</v>
      </c>
      <c r="DT26" s="724">
        <f t="shared" si="233"/>
        <v>0</v>
      </c>
      <c r="DU26" s="508">
        <f t="shared" si="234"/>
        <v>0</v>
      </c>
      <c r="DV26" s="508">
        <f t="shared" si="235"/>
        <v>0</v>
      </c>
      <c r="DW26" s="508">
        <f t="shared" si="236"/>
        <v>0</v>
      </c>
      <c r="DX26" s="508">
        <f t="shared" si="237"/>
        <v>0</v>
      </c>
      <c r="DY26" s="508">
        <f t="shared" si="238"/>
        <v>0</v>
      </c>
      <c r="DZ26" s="725">
        <f t="shared" si="239"/>
        <v>0</v>
      </c>
      <c r="EA26" s="722">
        <f t="shared" si="91"/>
        <v>0</v>
      </c>
      <c r="EB26" s="511">
        <f t="shared" si="240"/>
        <v>0</v>
      </c>
      <c r="EC26" s="511">
        <f t="shared" si="241"/>
        <v>0</v>
      </c>
      <c r="ED26" s="511">
        <f t="shared" si="242"/>
        <v>0</v>
      </c>
      <c r="EE26" s="511">
        <f t="shared" si="243"/>
        <v>0</v>
      </c>
      <c r="EF26" s="511">
        <f t="shared" si="244"/>
        <v>0</v>
      </c>
      <c r="EG26" s="723">
        <f t="shared" si="245"/>
        <v>0</v>
      </c>
      <c r="EH26" s="722">
        <f t="shared" si="65"/>
        <v>0</v>
      </c>
      <c r="EI26" s="511">
        <f t="shared" si="246"/>
        <v>0</v>
      </c>
      <c r="EJ26" s="511">
        <f t="shared" si="247"/>
        <v>0</v>
      </c>
      <c r="EK26" s="511">
        <f t="shared" si="248"/>
        <v>0</v>
      </c>
      <c r="EL26" s="511">
        <f t="shared" si="249"/>
        <v>0</v>
      </c>
      <c r="EM26" s="511">
        <f t="shared" si="250"/>
        <v>0</v>
      </c>
      <c r="EN26" s="723">
        <f t="shared" si="251"/>
        <v>0</v>
      </c>
      <c r="EO26" s="507">
        <f t="shared" si="252"/>
        <v>0</v>
      </c>
      <c r="EP26" s="511">
        <f t="shared" si="253"/>
        <v>0</v>
      </c>
      <c r="EQ26" s="511">
        <f t="shared" si="254"/>
        <v>0</v>
      </c>
      <c r="ER26" s="511">
        <f t="shared" si="255"/>
        <v>0</v>
      </c>
      <c r="ES26" s="511">
        <f t="shared" si="256"/>
        <v>0</v>
      </c>
      <c r="ET26" s="511">
        <f t="shared" si="257"/>
        <v>0</v>
      </c>
      <c r="EU26" s="723">
        <f t="shared" si="258"/>
        <v>0</v>
      </c>
      <c r="EV26" s="727">
        <f t="shared" si="268"/>
        <v>0</v>
      </c>
      <c r="EW26" s="728">
        <f t="shared" si="269"/>
        <v>0</v>
      </c>
      <c r="EX26" s="728">
        <f t="shared" si="270"/>
        <v>0</v>
      </c>
      <c r="EY26" s="728">
        <f t="shared" si="271"/>
        <v>0</v>
      </c>
      <c r="EZ26" s="728">
        <f t="shared" si="272"/>
        <v>0</v>
      </c>
      <c r="FA26" s="777">
        <f t="shared" si="273"/>
        <v>0</v>
      </c>
      <c r="FB26" s="777">
        <f t="shared" si="274"/>
        <v>0</v>
      </c>
      <c r="FC26" s="778">
        <f t="shared" si="275"/>
        <v>0</v>
      </c>
    </row>
    <row r="27" spans="1:168" s="10" customFormat="1" ht="12.75" customHeight="1">
      <c r="A27" s="662" t="s">
        <v>183</v>
      </c>
      <c r="B27" s="703" t="str">
        <f t="shared" si="197"/>
        <v>KU-Weatherization-Floor Insulation (KY) - Above Code</v>
      </c>
      <c r="C27" s="703" t="str">
        <f t="shared" si="198"/>
        <v>R-30</v>
      </c>
      <c r="D27" s="703" t="str">
        <f t="shared" si="198"/>
        <v>Average Existing Insulation</v>
      </c>
      <c r="E27" s="703" t="str">
        <f t="shared" si="198"/>
        <v>Per Unit</v>
      </c>
      <c r="F27" s="703" t="str">
        <f t="shared" si="198"/>
        <v>Incremental Cost</v>
      </c>
      <c r="G27" s="969">
        <f t="shared" si="198"/>
        <v>1268.0688749999999</v>
      </c>
      <c r="H27" s="703">
        <f t="shared" si="198"/>
        <v>0</v>
      </c>
      <c r="I27" s="703">
        <f t="shared" si="198"/>
        <v>1268.0688749999999</v>
      </c>
      <c r="J27" s="703">
        <f t="shared" si="198"/>
        <v>0</v>
      </c>
      <c r="K27" s="703">
        <f t="shared" si="198"/>
        <v>634.03443749999997</v>
      </c>
      <c r="L27" s="703" t="str">
        <f t="shared" si="198"/>
        <v>RSMeans scaled up by 25% to account for 2022 dollars</v>
      </c>
      <c r="M27" s="703" t="str">
        <f t="shared" si="198"/>
        <v>NA</v>
      </c>
      <c r="N27" s="703">
        <f t="shared" si="198"/>
        <v>300</v>
      </c>
      <c r="O27" s="703">
        <f t="shared" si="198"/>
        <v>0</v>
      </c>
      <c r="P27" s="703">
        <f t="shared" si="198"/>
        <v>0</v>
      </c>
      <c r="Q27" s="703">
        <f t="shared" si="198"/>
        <v>139.02843860480436</v>
      </c>
      <c r="R27" s="703">
        <f t="shared" ref="R27:V27" si="306">R12</f>
        <v>0</v>
      </c>
      <c r="S27" s="975">
        <v>0</v>
      </c>
      <c r="T27" s="703" t="str">
        <f t="shared" si="306"/>
        <v>Potential Study Results: Engineering Calculation</v>
      </c>
      <c r="U27" s="712">
        <f t="shared" si="306"/>
        <v>0.05</v>
      </c>
      <c r="V27" s="713">
        <f t="shared" si="306"/>
        <v>1</v>
      </c>
      <c r="W27" s="938"/>
      <c r="X27" s="938"/>
      <c r="Y27" s="938"/>
      <c r="Z27" s="938"/>
      <c r="AA27" s="939"/>
      <c r="AB27" s="939"/>
      <c r="AC27" s="939"/>
      <c r="AD27" s="773">
        <f t="shared" si="277"/>
        <v>0</v>
      </c>
      <c r="AE27" s="773">
        <f t="shared" si="277"/>
        <v>0</v>
      </c>
      <c r="AF27" s="773">
        <f t="shared" si="277"/>
        <v>0</v>
      </c>
      <c r="AG27" s="773">
        <f t="shared" si="277"/>
        <v>0</v>
      </c>
      <c r="AH27" s="773">
        <f t="shared" si="277"/>
        <v>0</v>
      </c>
      <c r="AI27" s="773">
        <f t="shared" si="277"/>
        <v>0</v>
      </c>
      <c r="AJ27" s="773">
        <f t="shared" si="277"/>
        <v>0</v>
      </c>
      <c r="AK27" s="715" t="s">
        <v>374</v>
      </c>
      <c r="AL27" s="711" t="s">
        <v>375</v>
      </c>
      <c r="AM27" s="711" t="s">
        <v>377</v>
      </c>
      <c r="AN27" s="711" t="s">
        <v>377</v>
      </c>
      <c r="AO27" s="711" t="s">
        <v>1</v>
      </c>
      <c r="AP27" s="711" t="s">
        <v>378</v>
      </c>
      <c r="AQ27" s="711" t="s">
        <v>378</v>
      </c>
      <c r="AR27" s="711" t="s">
        <v>378</v>
      </c>
      <c r="AS27" s="715" t="s">
        <v>379</v>
      </c>
      <c r="AT27" s="715" t="s">
        <v>407</v>
      </c>
      <c r="AU27" s="715" t="s">
        <v>385</v>
      </c>
      <c r="AV27" s="940">
        <f t="shared" si="278"/>
        <v>20</v>
      </c>
      <c r="AW27" s="940">
        <f t="shared" si="278"/>
        <v>20</v>
      </c>
      <c r="AX27" s="711"/>
      <c r="AY27" s="716">
        <v>1</v>
      </c>
      <c r="AZ27" s="716">
        <v>1</v>
      </c>
      <c r="BA27" s="717">
        <v>0</v>
      </c>
      <c r="BB27" s="721">
        <f t="shared" si="201"/>
        <v>1268.0688749999999</v>
      </c>
      <c r="BC27" s="499">
        <f t="shared" ref="BC27:BH27" si="307">BB27</f>
        <v>1268.0688749999999</v>
      </c>
      <c r="BD27" s="499">
        <f t="shared" si="307"/>
        <v>1268.0688749999999</v>
      </c>
      <c r="BE27" s="499">
        <f t="shared" si="307"/>
        <v>1268.0688749999999</v>
      </c>
      <c r="BF27" s="499">
        <f t="shared" si="307"/>
        <v>1268.0688749999999</v>
      </c>
      <c r="BG27" s="499">
        <f t="shared" si="307"/>
        <v>1268.0688749999999</v>
      </c>
      <c r="BH27" s="499">
        <f t="shared" si="307"/>
        <v>1268.0688749999999</v>
      </c>
      <c r="BI27" s="721">
        <f t="shared" si="203"/>
        <v>0</v>
      </c>
      <c r="BJ27" s="499">
        <f t="shared" ref="BJ27:BO27" si="308">BI27</f>
        <v>0</v>
      </c>
      <c r="BK27" s="499">
        <f t="shared" si="308"/>
        <v>0</v>
      </c>
      <c r="BL27" s="499">
        <f t="shared" si="308"/>
        <v>0</v>
      </c>
      <c r="BM27" s="499">
        <f t="shared" si="308"/>
        <v>0</v>
      </c>
      <c r="BN27" s="499">
        <f t="shared" si="308"/>
        <v>0</v>
      </c>
      <c r="BO27" s="499">
        <f t="shared" si="308"/>
        <v>0</v>
      </c>
      <c r="BP27" s="721">
        <f t="shared" si="205"/>
        <v>300</v>
      </c>
      <c r="BQ27" s="499">
        <f t="shared" ref="BQ27:BV27" si="309">BP27</f>
        <v>300</v>
      </c>
      <c r="BR27" s="499">
        <f t="shared" si="309"/>
        <v>300</v>
      </c>
      <c r="BS27" s="499">
        <f t="shared" si="309"/>
        <v>300</v>
      </c>
      <c r="BT27" s="499">
        <f t="shared" si="309"/>
        <v>300</v>
      </c>
      <c r="BU27" s="499">
        <f t="shared" si="309"/>
        <v>300</v>
      </c>
      <c r="BV27" s="499">
        <f t="shared" si="309"/>
        <v>300</v>
      </c>
      <c r="BW27" s="503">
        <f t="shared" si="207"/>
        <v>0</v>
      </c>
      <c r="BX27" s="503">
        <f t="shared" si="207"/>
        <v>0</v>
      </c>
      <c r="BY27" s="503">
        <f t="shared" si="207"/>
        <v>0</v>
      </c>
      <c r="BZ27" s="503">
        <f t="shared" si="207"/>
        <v>0</v>
      </c>
      <c r="CA27" s="503">
        <f t="shared" si="207"/>
        <v>0</v>
      </c>
      <c r="CB27" s="503">
        <f t="shared" si="207"/>
        <v>0</v>
      </c>
      <c r="CC27" s="776">
        <f t="shared" si="207"/>
        <v>0</v>
      </c>
      <c r="CD27" s="507">
        <f t="shared" si="208"/>
        <v>139.02843860480436</v>
      </c>
      <c r="CE27" s="511">
        <f t="shared" ref="CE27:CJ27" si="310">CD27</f>
        <v>139.02843860480436</v>
      </c>
      <c r="CF27" s="511">
        <f t="shared" si="310"/>
        <v>139.02843860480436</v>
      </c>
      <c r="CG27" s="511">
        <f t="shared" si="310"/>
        <v>139.02843860480436</v>
      </c>
      <c r="CH27" s="511">
        <f t="shared" si="310"/>
        <v>139.02843860480436</v>
      </c>
      <c r="CI27" s="511">
        <f t="shared" si="310"/>
        <v>139.02843860480436</v>
      </c>
      <c r="CJ27" s="511">
        <f t="shared" si="310"/>
        <v>139.02843860480436</v>
      </c>
      <c r="CK27" s="722">
        <f t="shared" si="210"/>
        <v>0</v>
      </c>
      <c r="CL27" s="511">
        <f t="shared" ref="CL27:CQ27" si="311">CK27</f>
        <v>0</v>
      </c>
      <c r="CM27" s="511">
        <f t="shared" si="311"/>
        <v>0</v>
      </c>
      <c r="CN27" s="511">
        <f t="shared" si="311"/>
        <v>0</v>
      </c>
      <c r="CO27" s="511">
        <f t="shared" si="311"/>
        <v>0</v>
      </c>
      <c r="CP27" s="511">
        <f t="shared" si="311"/>
        <v>0</v>
      </c>
      <c r="CQ27" s="511">
        <f t="shared" si="311"/>
        <v>0</v>
      </c>
      <c r="CR27" s="722">
        <f t="shared" si="212"/>
        <v>0</v>
      </c>
      <c r="CS27" s="511">
        <f t="shared" ref="CS27:CX27" si="312">CR27</f>
        <v>0</v>
      </c>
      <c r="CT27" s="511">
        <f t="shared" si="312"/>
        <v>0</v>
      </c>
      <c r="CU27" s="511">
        <f t="shared" si="312"/>
        <v>0</v>
      </c>
      <c r="CV27" s="511">
        <f t="shared" si="312"/>
        <v>0</v>
      </c>
      <c r="CW27" s="511">
        <f t="shared" si="312"/>
        <v>0</v>
      </c>
      <c r="CX27" s="511">
        <f t="shared" si="312"/>
        <v>0</v>
      </c>
      <c r="CY27" s="724">
        <f t="shared" si="214"/>
        <v>0</v>
      </c>
      <c r="CZ27" s="508">
        <f t="shared" si="215"/>
        <v>0</v>
      </c>
      <c r="DA27" s="508">
        <f t="shared" si="216"/>
        <v>0</v>
      </c>
      <c r="DB27" s="508">
        <f t="shared" si="217"/>
        <v>0</v>
      </c>
      <c r="DC27" s="508">
        <f t="shared" si="218"/>
        <v>0</v>
      </c>
      <c r="DD27" s="508">
        <f t="shared" si="219"/>
        <v>0</v>
      </c>
      <c r="DE27" s="726">
        <f t="shared" si="220"/>
        <v>0</v>
      </c>
      <c r="DF27" s="724">
        <f t="shared" si="266"/>
        <v>0</v>
      </c>
      <c r="DG27" s="508">
        <f t="shared" si="221"/>
        <v>0</v>
      </c>
      <c r="DH27" s="508">
        <f t="shared" si="222"/>
        <v>0</v>
      </c>
      <c r="DI27" s="508">
        <f t="shared" si="223"/>
        <v>0</v>
      </c>
      <c r="DJ27" s="508">
        <f t="shared" si="224"/>
        <v>0</v>
      </c>
      <c r="DK27" s="508">
        <f t="shared" si="225"/>
        <v>0</v>
      </c>
      <c r="DL27" s="725">
        <f t="shared" si="226"/>
        <v>0</v>
      </c>
      <c r="DM27" s="724">
        <f t="shared" si="267"/>
        <v>0</v>
      </c>
      <c r="DN27" s="509">
        <f t="shared" si="227"/>
        <v>0</v>
      </c>
      <c r="DO27" s="508">
        <f t="shared" si="228"/>
        <v>0</v>
      </c>
      <c r="DP27" s="508">
        <f t="shared" si="229"/>
        <v>0</v>
      </c>
      <c r="DQ27" s="508">
        <f t="shared" si="230"/>
        <v>0</v>
      </c>
      <c r="DR27" s="508">
        <f t="shared" si="231"/>
        <v>0</v>
      </c>
      <c r="DS27" s="725">
        <f t="shared" si="232"/>
        <v>0</v>
      </c>
      <c r="DT27" s="724">
        <f t="shared" si="233"/>
        <v>0</v>
      </c>
      <c r="DU27" s="508">
        <f t="shared" si="234"/>
        <v>0</v>
      </c>
      <c r="DV27" s="508">
        <f t="shared" si="235"/>
        <v>0</v>
      </c>
      <c r="DW27" s="508">
        <f t="shared" si="236"/>
        <v>0</v>
      </c>
      <c r="DX27" s="508">
        <f t="shared" si="237"/>
        <v>0</v>
      </c>
      <c r="DY27" s="508">
        <f t="shared" si="238"/>
        <v>0</v>
      </c>
      <c r="DZ27" s="725">
        <f t="shared" si="239"/>
        <v>0</v>
      </c>
      <c r="EA27" s="722">
        <f t="shared" si="91"/>
        <v>0</v>
      </c>
      <c r="EB27" s="511">
        <f t="shared" si="240"/>
        <v>0</v>
      </c>
      <c r="EC27" s="511">
        <f t="shared" si="241"/>
        <v>0</v>
      </c>
      <c r="ED27" s="511">
        <f t="shared" si="242"/>
        <v>0</v>
      </c>
      <c r="EE27" s="511">
        <f t="shared" si="243"/>
        <v>0</v>
      </c>
      <c r="EF27" s="511">
        <f t="shared" si="244"/>
        <v>0</v>
      </c>
      <c r="EG27" s="723">
        <f t="shared" si="245"/>
        <v>0</v>
      </c>
      <c r="EH27" s="722">
        <f t="shared" si="65"/>
        <v>0</v>
      </c>
      <c r="EI27" s="511">
        <f t="shared" si="246"/>
        <v>0</v>
      </c>
      <c r="EJ27" s="511">
        <f t="shared" si="247"/>
        <v>0</v>
      </c>
      <c r="EK27" s="511">
        <f t="shared" si="248"/>
        <v>0</v>
      </c>
      <c r="EL27" s="511">
        <f t="shared" si="249"/>
        <v>0</v>
      </c>
      <c r="EM27" s="511">
        <f t="shared" si="250"/>
        <v>0</v>
      </c>
      <c r="EN27" s="723">
        <f t="shared" si="251"/>
        <v>0</v>
      </c>
      <c r="EO27" s="507">
        <f t="shared" si="252"/>
        <v>0</v>
      </c>
      <c r="EP27" s="511">
        <f t="shared" si="253"/>
        <v>0</v>
      </c>
      <c r="EQ27" s="511">
        <f t="shared" si="254"/>
        <v>0</v>
      </c>
      <c r="ER27" s="511">
        <f t="shared" si="255"/>
        <v>0</v>
      </c>
      <c r="ES27" s="511">
        <f t="shared" si="256"/>
        <v>0</v>
      </c>
      <c r="ET27" s="511">
        <f t="shared" si="257"/>
        <v>0</v>
      </c>
      <c r="EU27" s="723">
        <f t="shared" si="258"/>
        <v>0</v>
      </c>
      <c r="EV27" s="727">
        <f t="shared" si="268"/>
        <v>0</v>
      </c>
      <c r="EW27" s="728">
        <f t="shared" si="269"/>
        <v>0</v>
      </c>
      <c r="EX27" s="728">
        <f t="shared" si="270"/>
        <v>0</v>
      </c>
      <c r="EY27" s="728">
        <f t="shared" si="271"/>
        <v>0</v>
      </c>
      <c r="EZ27" s="728">
        <f t="shared" si="272"/>
        <v>0</v>
      </c>
      <c r="FA27" s="777">
        <f t="shared" si="273"/>
        <v>0</v>
      </c>
      <c r="FB27" s="777">
        <f t="shared" si="274"/>
        <v>0</v>
      </c>
      <c r="FC27" s="778">
        <f t="shared" si="275"/>
        <v>0</v>
      </c>
    </row>
    <row r="28" spans="1:168" s="10" customFormat="1" ht="12.75" customHeight="1">
      <c r="A28" s="662" t="s">
        <v>184</v>
      </c>
      <c r="B28" s="703" t="str">
        <f t="shared" si="197"/>
        <v>KU-Weatherization-Insulation - Basement Wall - Code</v>
      </c>
      <c r="C28" s="703" t="str">
        <f t="shared" si="198"/>
        <v>R-10 (IECC 2012 - Future KY Code)</v>
      </c>
      <c r="D28" s="703" t="str">
        <f t="shared" si="198"/>
        <v>Average Existing Insulation</v>
      </c>
      <c r="E28" s="703" t="str">
        <f t="shared" si="198"/>
        <v>Per Unit</v>
      </c>
      <c r="F28" s="703" t="str">
        <f t="shared" si="198"/>
        <v>Incremental Cost</v>
      </c>
      <c r="G28" s="969">
        <f t="shared" si="198"/>
        <v>660.31099999999992</v>
      </c>
      <c r="H28" s="703">
        <f t="shared" si="198"/>
        <v>0</v>
      </c>
      <c r="I28" s="703">
        <f t="shared" si="198"/>
        <v>660.31099999999992</v>
      </c>
      <c r="J28" s="703">
        <f t="shared" si="198"/>
        <v>0</v>
      </c>
      <c r="K28" s="703">
        <f t="shared" si="198"/>
        <v>330.15549999999996</v>
      </c>
      <c r="L28" s="703" t="str">
        <f t="shared" si="198"/>
        <v>RSMeans scaled up by 25% to account for 2022 dollars</v>
      </c>
      <c r="M28" s="703" t="str">
        <f t="shared" si="198"/>
        <v>NA</v>
      </c>
      <c r="N28" s="703">
        <f t="shared" si="198"/>
        <v>260</v>
      </c>
      <c r="O28" s="703">
        <f t="shared" si="198"/>
        <v>0</v>
      </c>
      <c r="P28" s="703">
        <f t="shared" si="198"/>
        <v>0</v>
      </c>
      <c r="Q28" s="703">
        <f t="shared" si="198"/>
        <v>161.34211715753887</v>
      </c>
      <c r="R28" s="703">
        <f t="shared" ref="R28:V28" si="313">R13</f>
        <v>0</v>
      </c>
      <c r="S28" s="975">
        <v>0</v>
      </c>
      <c r="T28" s="703" t="str">
        <f t="shared" si="313"/>
        <v>Potential Study Results: Engineering Calculation</v>
      </c>
      <c r="U28" s="712">
        <f t="shared" si="313"/>
        <v>0.05</v>
      </c>
      <c r="V28" s="713">
        <f t="shared" si="313"/>
        <v>1</v>
      </c>
      <c r="W28" s="938"/>
      <c r="X28" s="938"/>
      <c r="Y28" s="938"/>
      <c r="Z28" s="938"/>
      <c r="AA28" s="939"/>
      <c r="AB28" s="939"/>
      <c r="AC28" s="939"/>
      <c r="AD28" s="773">
        <f t="shared" si="277"/>
        <v>0</v>
      </c>
      <c r="AE28" s="773">
        <f t="shared" si="277"/>
        <v>0</v>
      </c>
      <c r="AF28" s="773">
        <f t="shared" si="277"/>
        <v>0</v>
      </c>
      <c r="AG28" s="773">
        <f t="shared" si="277"/>
        <v>0</v>
      </c>
      <c r="AH28" s="773">
        <f t="shared" si="277"/>
        <v>0</v>
      </c>
      <c r="AI28" s="773">
        <f t="shared" si="277"/>
        <v>0</v>
      </c>
      <c r="AJ28" s="773">
        <f t="shared" si="277"/>
        <v>0</v>
      </c>
      <c r="AK28" s="715" t="s">
        <v>374</v>
      </c>
      <c r="AL28" s="711" t="s">
        <v>375</v>
      </c>
      <c r="AM28" s="711" t="s">
        <v>377</v>
      </c>
      <c r="AN28" s="711" t="s">
        <v>377</v>
      </c>
      <c r="AO28" s="711" t="s">
        <v>1</v>
      </c>
      <c r="AP28" s="711" t="s">
        <v>378</v>
      </c>
      <c r="AQ28" s="711" t="s">
        <v>378</v>
      </c>
      <c r="AR28" s="711" t="s">
        <v>378</v>
      </c>
      <c r="AS28" s="715" t="s">
        <v>379</v>
      </c>
      <c r="AT28" s="715" t="s">
        <v>407</v>
      </c>
      <c r="AU28" s="715" t="s">
        <v>385</v>
      </c>
      <c r="AV28" s="940">
        <f t="shared" si="278"/>
        <v>20</v>
      </c>
      <c r="AW28" s="940">
        <f t="shared" si="278"/>
        <v>20</v>
      </c>
      <c r="AX28" s="711"/>
      <c r="AY28" s="716">
        <v>1</v>
      </c>
      <c r="AZ28" s="716">
        <v>1</v>
      </c>
      <c r="BA28" s="717">
        <v>0</v>
      </c>
      <c r="BB28" s="721">
        <f t="shared" si="201"/>
        <v>660.31099999999992</v>
      </c>
      <c r="BC28" s="499">
        <f t="shared" ref="BC28:BH28" si="314">BB28</f>
        <v>660.31099999999992</v>
      </c>
      <c r="BD28" s="499">
        <f t="shared" si="314"/>
        <v>660.31099999999992</v>
      </c>
      <c r="BE28" s="499">
        <f t="shared" si="314"/>
        <v>660.31099999999992</v>
      </c>
      <c r="BF28" s="499">
        <f t="shared" si="314"/>
        <v>660.31099999999992</v>
      </c>
      <c r="BG28" s="499">
        <f t="shared" si="314"/>
        <v>660.31099999999992</v>
      </c>
      <c r="BH28" s="499">
        <f t="shared" si="314"/>
        <v>660.31099999999992</v>
      </c>
      <c r="BI28" s="721">
        <f t="shared" si="203"/>
        <v>0</v>
      </c>
      <c r="BJ28" s="499">
        <f t="shared" ref="BJ28:BO28" si="315">BI28</f>
        <v>0</v>
      </c>
      <c r="BK28" s="499">
        <f t="shared" si="315"/>
        <v>0</v>
      </c>
      <c r="BL28" s="499">
        <f t="shared" si="315"/>
        <v>0</v>
      </c>
      <c r="BM28" s="499">
        <f t="shared" si="315"/>
        <v>0</v>
      </c>
      <c r="BN28" s="499">
        <f t="shared" si="315"/>
        <v>0</v>
      </c>
      <c r="BO28" s="499">
        <f t="shared" si="315"/>
        <v>0</v>
      </c>
      <c r="BP28" s="721">
        <f t="shared" si="205"/>
        <v>260</v>
      </c>
      <c r="BQ28" s="499">
        <f t="shared" ref="BQ28:BV28" si="316">BP28</f>
        <v>260</v>
      </c>
      <c r="BR28" s="499">
        <f t="shared" si="316"/>
        <v>260</v>
      </c>
      <c r="BS28" s="499">
        <f t="shared" si="316"/>
        <v>260</v>
      </c>
      <c r="BT28" s="499">
        <f t="shared" si="316"/>
        <v>260</v>
      </c>
      <c r="BU28" s="499">
        <f t="shared" si="316"/>
        <v>260</v>
      </c>
      <c r="BV28" s="499">
        <f t="shared" si="316"/>
        <v>260</v>
      </c>
      <c r="BW28" s="503">
        <f t="shared" si="207"/>
        <v>0</v>
      </c>
      <c r="BX28" s="503">
        <f t="shared" si="207"/>
        <v>0</v>
      </c>
      <c r="BY28" s="503">
        <f t="shared" si="207"/>
        <v>0</v>
      </c>
      <c r="BZ28" s="503">
        <f t="shared" si="207"/>
        <v>0</v>
      </c>
      <c r="CA28" s="503">
        <f t="shared" si="207"/>
        <v>0</v>
      </c>
      <c r="CB28" s="503">
        <f t="shared" si="207"/>
        <v>0</v>
      </c>
      <c r="CC28" s="776">
        <f t="shared" si="207"/>
        <v>0</v>
      </c>
      <c r="CD28" s="507">
        <f t="shared" si="208"/>
        <v>161.34211715753887</v>
      </c>
      <c r="CE28" s="511">
        <f t="shared" ref="CE28:CJ28" si="317">CD28</f>
        <v>161.34211715753887</v>
      </c>
      <c r="CF28" s="511">
        <f t="shared" si="317"/>
        <v>161.34211715753887</v>
      </c>
      <c r="CG28" s="511">
        <f t="shared" si="317"/>
        <v>161.34211715753887</v>
      </c>
      <c r="CH28" s="511">
        <f t="shared" si="317"/>
        <v>161.34211715753887</v>
      </c>
      <c r="CI28" s="511">
        <f t="shared" si="317"/>
        <v>161.34211715753887</v>
      </c>
      <c r="CJ28" s="511">
        <f t="shared" si="317"/>
        <v>161.34211715753887</v>
      </c>
      <c r="CK28" s="722">
        <f t="shared" si="210"/>
        <v>0</v>
      </c>
      <c r="CL28" s="511">
        <f t="shared" ref="CL28:CQ28" si="318">CK28</f>
        <v>0</v>
      </c>
      <c r="CM28" s="511">
        <f t="shared" si="318"/>
        <v>0</v>
      </c>
      <c r="CN28" s="511">
        <f t="shared" si="318"/>
        <v>0</v>
      </c>
      <c r="CO28" s="511">
        <f t="shared" si="318"/>
        <v>0</v>
      </c>
      <c r="CP28" s="511">
        <f t="shared" si="318"/>
        <v>0</v>
      </c>
      <c r="CQ28" s="511">
        <f t="shared" si="318"/>
        <v>0</v>
      </c>
      <c r="CR28" s="722">
        <f t="shared" si="212"/>
        <v>0</v>
      </c>
      <c r="CS28" s="511">
        <f t="shared" ref="CS28:CX28" si="319">CR28</f>
        <v>0</v>
      </c>
      <c r="CT28" s="511">
        <f t="shared" si="319"/>
        <v>0</v>
      </c>
      <c r="CU28" s="511">
        <f t="shared" si="319"/>
        <v>0</v>
      </c>
      <c r="CV28" s="511">
        <f t="shared" si="319"/>
        <v>0</v>
      </c>
      <c r="CW28" s="511">
        <f t="shared" si="319"/>
        <v>0</v>
      </c>
      <c r="CX28" s="511">
        <f t="shared" si="319"/>
        <v>0</v>
      </c>
      <c r="CY28" s="724">
        <f t="shared" si="214"/>
        <v>0</v>
      </c>
      <c r="CZ28" s="508">
        <f t="shared" si="215"/>
        <v>0</v>
      </c>
      <c r="DA28" s="508">
        <f t="shared" si="216"/>
        <v>0</v>
      </c>
      <c r="DB28" s="508">
        <f t="shared" si="217"/>
        <v>0</v>
      </c>
      <c r="DC28" s="508">
        <f t="shared" si="218"/>
        <v>0</v>
      </c>
      <c r="DD28" s="508">
        <f t="shared" si="219"/>
        <v>0</v>
      </c>
      <c r="DE28" s="726">
        <f t="shared" si="220"/>
        <v>0</v>
      </c>
      <c r="DF28" s="724">
        <f t="shared" si="266"/>
        <v>0</v>
      </c>
      <c r="DG28" s="508">
        <f t="shared" si="221"/>
        <v>0</v>
      </c>
      <c r="DH28" s="508">
        <f t="shared" si="222"/>
        <v>0</v>
      </c>
      <c r="DI28" s="508">
        <f t="shared" si="223"/>
        <v>0</v>
      </c>
      <c r="DJ28" s="508">
        <f t="shared" si="224"/>
        <v>0</v>
      </c>
      <c r="DK28" s="508">
        <f t="shared" si="225"/>
        <v>0</v>
      </c>
      <c r="DL28" s="725">
        <f t="shared" si="226"/>
        <v>0</v>
      </c>
      <c r="DM28" s="724">
        <f t="shared" si="267"/>
        <v>0</v>
      </c>
      <c r="DN28" s="509">
        <f t="shared" si="227"/>
        <v>0</v>
      </c>
      <c r="DO28" s="508">
        <f t="shared" si="228"/>
        <v>0</v>
      </c>
      <c r="DP28" s="508">
        <f t="shared" si="229"/>
        <v>0</v>
      </c>
      <c r="DQ28" s="508">
        <f t="shared" si="230"/>
        <v>0</v>
      </c>
      <c r="DR28" s="508">
        <f t="shared" si="231"/>
        <v>0</v>
      </c>
      <c r="DS28" s="725">
        <f t="shared" si="232"/>
        <v>0</v>
      </c>
      <c r="DT28" s="724">
        <f t="shared" si="233"/>
        <v>0</v>
      </c>
      <c r="DU28" s="508">
        <f t="shared" si="234"/>
        <v>0</v>
      </c>
      <c r="DV28" s="508">
        <f t="shared" si="235"/>
        <v>0</v>
      </c>
      <c r="DW28" s="508">
        <f t="shared" si="236"/>
        <v>0</v>
      </c>
      <c r="DX28" s="508">
        <f t="shared" si="237"/>
        <v>0</v>
      </c>
      <c r="DY28" s="508">
        <f t="shared" si="238"/>
        <v>0</v>
      </c>
      <c r="DZ28" s="725">
        <f t="shared" si="239"/>
        <v>0</v>
      </c>
      <c r="EA28" s="722">
        <f t="shared" si="91"/>
        <v>0</v>
      </c>
      <c r="EB28" s="511">
        <f t="shared" si="240"/>
        <v>0</v>
      </c>
      <c r="EC28" s="511">
        <f t="shared" si="241"/>
        <v>0</v>
      </c>
      <c r="ED28" s="511">
        <f t="shared" si="242"/>
        <v>0</v>
      </c>
      <c r="EE28" s="511">
        <f t="shared" si="243"/>
        <v>0</v>
      </c>
      <c r="EF28" s="511">
        <f t="shared" si="244"/>
        <v>0</v>
      </c>
      <c r="EG28" s="723">
        <f t="shared" si="245"/>
        <v>0</v>
      </c>
      <c r="EH28" s="722">
        <f t="shared" si="65"/>
        <v>0</v>
      </c>
      <c r="EI28" s="511">
        <f t="shared" si="246"/>
        <v>0</v>
      </c>
      <c r="EJ28" s="511">
        <f t="shared" si="247"/>
        <v>0</v>
      </c>
      <c r="EK28" s="511">
        <f t="shared" si="248"/>
        <v>0</v>
      </c>
      <c r="EL28" s="511">
        <f t="shared" si="249"/>
        <v>0</v>
      </c>
      <c r="EM28" s="511">
        <f t="shared" si="250"/>
        <v>0</v>
      </c>
      <c r="EN28" s="723">
        <f t="shared" si="251"/>
        <v>0</v>
      </c>
      <c r="EO28" s="507">
        <f t="shared" si="252"/>
        <v>0</v>
      </c>
      <c r="EP28" s="511">
        <f t="shared" si="253"/>
        <v>0</v>
      </c>
      <c r="EQ28" s="511">
        <f t="shared" si="254"/>
        <v>0</v>
      </c>
      <c r="ER28" s="511">
        <f t="shared" si="255"/>
        <v>0</v>
      </c>
      <c r="ES28" s="511">
        <f t="shared" si="256"/>
        <v>0</v>
      </c>
      <c r="ET28" s="511">
        <f t="shared" si="257"/>
        <v>0</v>
      </c>
      <c r="EU28" s="723">
        <f t="shared" si="258"/>
        <v>0</v>
      </c>
      <c r="EV28" s="727">
        <f t="shared" si="268"/>
        <v>0</v>
      </c>
      <c r="EW28" s="728">
        <f t="shared" si="269"/>
        <v>0</v>
      </c>
      <c r="EX28" s="728">
        <f t="shared" si="270"/>
        <v>0</v>
      </c>
      <c r="EY28" s="728">
        <f t="shared" si="271"/>
        <v>0</v>
      </c>
      <c r="EZ28" s="728">
        <f t="shared" si="272"/>
        <v>0</v>
      </c>
      <c r="FA28" s="777">
        <f t="shared" si="273"/>
        <v>0</v>
      </c>
      <c r="FB28" s="777">
        <f t="shared" si="274"/>
        <v>0</v>
      </c>
      <c r="FC28" s="778">
        <f t="shared" si="275"/>
        <v>0</v>
      </c>
    </row>
    <row r="29" spans="1:168" s="10" customFormat="1" ht="12.75" customHeight="1">
      <c r="A29" s="662" t="s">
        <v>185</v>
      </c>
      <c r="B29" s="703" t="str">
        <f t="shared" si="197"/>
        <v>KU-HVAC-DWH-Central Air Conditioner - ENERGY STAR</v>
      </c>
      <c r="C29" s="703" t="str">
        <f t="shared" si="198"/>
        <v>ENERGY STAR Central Air Conditioner - SEER2 15.2 (Split System)</v>
      </c>
      <c r="D29" s="703" t="str">
        <f t="shared" si="198"/>
        <v>Federal Standard 2023 Central Air Conditioner - SEER2 14.3</v>
      </c>
      <c r="E29" s="703" t="str">
        <f t="shared" si="198"/>
        <v>Per Unit</v>
      </c>
      <c r="F29" s="703" t="str">
        <f t="shared" si="198"/>
        <v>Incremental Cost</v>
      </c>
      <c r="G29" s="969">
        <f t="shared" si="198"/>
        <v>339</v>
      </c>
      <c r="H29" s="703">
        <f t="shared" si="198"/>
        <v>0</v>
      </c>
      <c r="I29" s="703">
        <f t="shared" si="198"/>
        <v>339</v>
      </c>
      <c r="J29" s="703">
        <f t="shared" si="198"/>
        <v>0</v>
      </c>
      <c r="K29" s="703">
        <f t="shared" si="198"/>
        <v>169.5</v>
      </c>
      <c r="L29" s="703" t="str">
        <f t="shared" si="198"/>
        <v>IL TRM (assume similar as increment cost from SEER 15 to SEER 16)</v>
      </c>
      <c r="M29" s="703">
        <f t="shared" si="198"/>
        <v>0</v>
      </c>
      <c r="N29" s="703">
        <f t="shared" si="198"/>
        <v>300</v>
      </c>
      <c r="O29" s="703">
        <f t="shared" si="198"/>
        <v>0</v>
      </c>
      <c r="P29" s="703">
        <f t="shared" si="198"/>
        <v>0</v>
      </c>
      <c r="Q29" s="703">
        <f t="shared" si="198"/>
        <v>80.791313949208472</v>
      </c>
      <c r="R29" s="703">
        <f t="shared" ref="R29:V29" si="320">R14</f>
        <v>0.1958399999999999</v>
      </c>
      <c r="S29" s="703">
        <v>0</v>
      </c>
      <c r="T29" s="703" t="str">
        <f t="shared" si="320"/>
        <v>Mid Atlantic TRM</v>
      </c>
      <c r="U29" s="712">
        <f t="shared" si="320"/>
        <v>0.05</v>
      </c>
      <c r="V29" s="713">
        <f t="shared" si="320"/>
        <v>1</v>
      </c>
      <c r="W29" s="938"/>
      <c r="X29" s="938"/>
      <c r="Y29" s="938"/>
      <c r="Z29" s="938"/>
      <c r="AA29" s="939"/>
      <c r="AB29" s="939"/>
      <c r="AC29" s="939"/>
      <c r="AD29" s="773">
        <f t="shared" si="277"/>
        <v>0</v>
      </c>
      <c r="AE29" s="773">
        <f t="shared" si="277"/>
        <v>240</v>
      </c>
      <c r="AF29" s="773">
        <f t="shared" si="277"/>
        <v>312</v>
      </c>
      <c r="AG29" s="773">
        <f t="shared" si="277"/>
        <v>384.5</v>
      </c>
      <c r="AH29" s="773">
        <f t="shared" si="277"/>
        <v>480.5</v>
      </c>
      <c r="AI29" s="773">
        <f t="shared" si="277"/>
        <v>480.5</v>
      </c>
      <c r="AJ29" s="773">
        <f t="shared" si="277"/>
        <v>480.5</v>
      </c>
      <c r="AK29" s="715" t="s">
        <v>374</v>
      </c>
      <c r="AL29" s="711" t="s">
        <v>375</v>
      </c>
      <c r="AM29" s="711" t="s">
        <v>377</v>
      </c>
      <c r="AN29" s="711" t="s">
        <v>377</v>
      </c>
      <c r="AO29" s="711" t="s">
        <v>1</v>
      </c>
      <c r="AP29" s="711" t="s">
        <v>378</v>
      </c>
      <c r="AQ29" s="711" t="s">
        <v>378</v>
      </c>
      <c r="AR29" s="711" t="s">
        <v>378</v>
      </c>
      <c r="AS29" s="715" t="s">
        <v>406</v>
      </c>
      <c r="AT29" s="715" t="s">
        <v>407</v>
      </c>
      <c r="AU29" s="715" t="s">
        <v>385</v>
      </c>
      <c r="AV29" s="940">
        <f t="shared" si="278"/>
        <v>18</v>
      </c>
      <c r="AW29" s="940">
        <f t="shared" si="278"/>
        <v>18</v>
      </c>
      <c r="AX29" s="711"/>
      <c r="AY29" s="716">
        <v>1</v>
      </c>
      <c r="AZ29" s="716">
        <v>1</v>
      </c>
      <c r="BA29" s="717">
        <v>0</v>
      </c>
      <c r="BB29" s="721">
        <f t="shared" si="201"/>
        <v>339</v>
      </c>
      <c r="BC29" s="499">
        <f t="shared" ref="BC29:BH29" si="321">BB29</f>
        <v>339</v>
      </c>
      <c r="BD29" s="499">
        <f t="shared" si="321"/>
        <v>339</v>
      </c>
      <c r="BE29" s="499">
        <f t="shared" si="321"/>
        <v>339</v>
      </c>
      <c r="BF29" s="499">
        <f t="shared" si="321"/>
        <v>339</v>
      </c>
      <c r="BG29" s="499">
        <f t="shared" si="321"/>
        <v>339</v>
      </c>
      <c r="BH29" s="499">
        <f t="shared" si="321"/>
        <v>339</v>
      </c>
      <c r="BI29" s="721">
        <f t="shared" si="203"/>
        <v>0</v>
      </c>
      <c r="BJ29" s="499">
        <f t="shared" ref="BJ29:BO29" si="322">BI29</f>
        <v>0</v>
      </c>
      <c r="BK29" s="499">
        <f t="shared" si="322"/>
        <v>0</v>
      </c>
      <c r="BL29" s="499">
        <f t="shared" si="322"/>
        <v>0</v>
      </c>
      <c r="BM29" s="499">
        <f t="shared" si="322"/>
        <v>0</v>
      </c>
      <c r="BN29" s="499">
        <f t="shared" si="322"/>
        <v>0</v>
      </c>
      <c r="BO29" s="499">
        <f t="shared" si="322"/>
        <v>0</v>
      </c>
      <c r="BP29" s="721">
        <f t="shared" si="205"/>
        <v>300</v>
      </c>
      <c r="BQ29" s="499">
        <f t="shared" ref="BQ29:BV29" si="323">BP29</f>
        <v>300</v>
      </c>
      <c r="BR29" s="499">
        <f t="shared" si="323"/>
        <v>300</v>
      </c>
      <c r="BS29" s="499">
        <f t="shared" si="323"/>
        <v>300</v>
      </c>
      <c r="BT29" s="499">
        <f t="shared" si="323"/>
        <v>300</v>
      </c>
      <c r="BU29" s="499">
        <f t="shared" si="323"/>
        <v>300</v>
      </c>
      <c r="BV29" s="499">
        <f t="shared" si="323"/>
        <v>300</v>
      </c>
      <c r="BW29" s="503">
        <f t="shared" si="207"/>
        <v>0</v>
      </c>
      <c r="BX29" s="503">
        <f t="shared" si="207"/>
        <v>0</v>
      </c>
      <c r="BY29" s="503">
        <f t="shared" si="207"/>
        <v>0</v>
      </c>
      <c r="BZ29" s="503">
        <f t="shared" si="207"/>
        <v>0</v>
      </c>
      <c r="CA29" s="503">
        <f t="shared" si="207"/>
        <v>0</v>
      </c>
      <c r="CB29" s="503">
        <f t="shared" si="207"/>
        <v>0</v>
      </c>
      <c r="CC29" s="776">
        <f t="shared" si="207"/>
        <v>0</v>
      </c>
      <c r="CD29" s="507">
        <f t="shared" si="208"/>
        <v>80.791313949208472</v>
      </c>
      <c r="CE29" s="511">
        <f t="shared" ref="CE29:CJ29" si="324">CD29</f>
        <v>80.791313949208472</v>
      </c>
      <c r="CF29" s="511">
        <f t="shared" si="324"/>
        <v>80.791313949208472</v>
      </c>
      <c r="CG29" s="511">
        <f t="shared" si="324"/>
        <v>80.791313949208472</v>
      </c>
      <c r="CH29" s="511">
        <f t="shared" si="324"/>
        <v>80.791313949208472</v>
      </c>
      <c r="CI29" s="511">
        <f t="shared" si="324"/>
        <v>80.791313949208472</v>
      </c>
      <c r="CJ29" s="511">
        <f t="shared" si="324"/>
        <v>80.791313949208472</v>
      </c>
      <c r="CK29" s="722">
        <f t="shared" si="210"/>
        <v>0.1958399999999999</v>
      </c>
      <c r="CL29" s="511">
        <f t="shared" ref="CL29:CQ29" si="325">CK29</f>
        <v>0.1958399999999999</v>
      </c>
      <c r="CM29" s="511">
        <f t="shared" si="325"/>
        <v>0.1958399999999999</v>
      </c>
      <c r="CN29" s="511">
        <f t="shared" si="325"/>
        <v>0.1958399999999999</v>
      </c>
      <c r="CO29" s="511">
        <f t="shared" si="325"/>
        <v>0.1958399999999999</v>
      </c>
      <c r="CP29" s="511">
        <f t="shared" si="325"/>
        <v>0.1958399999999999</v>
      </c>
      <c r="CQ29" s="511">
        <f t="shared" si="325"/>
        <v>0.1958399999999999</v>
      </c>
      <c r="CR29" s="722">
        <f t="shared" si="212"/>
        <v>0</v>
      </c>
      <c r="CS29" s="511">
        <f t="shared" ref="CS29:CX29" si="326">CR29</f>
        <v>0</v>
      </c>
      <c r="CT29" s="511">
        <f t="shared" si="326"/>
        <v>0</v>
      </c>
      <c r="CU29" s="511">
        <f t="shared" si="326"/>
        <v>0</v>
      </c>
      <c r="CV29" s="511">
        <f t="shared" si="326"/>
        <v>0</v>
      </c>
      <c r="CW29" s="511">
        <f t="shared" si="326"/>
        <v>0</v>
      </c>
      <c r="CX29" s="511">
        <f t="shared" si="326"/>
        <v>0</v>
      </c>
      <c r="CY29" s="724">
        <f t="shared" si="214"/>
        <v>0</v>
      </c>
      <c r="CZ29" s="508">
        <f t="shared" si="215"/>
        <v>81360</v>
      </c>
      <c r="DA29" s="508">
        <f t="shared" si="216"/>
        <v>105768</v>
      </c>
      <c r="DB29" s="508">
        <f t="shared" si="217"/>
        <v>130345.5</v>
      </c>
      <c r="DC29" s="508">
        <f t="shared" si="218"/>
        <v>162889.5</v>
      </c>
      <c r="DD29" s="508">
        <f t="shared" si="219"/>
        <v>162889.5</v>
      </c>
      <c r="DE29" s="726">
        <f t="shared" si="220"/>
        <v>162889.5</v>
      </c>
      <c r="DF29" s="724">
        <f t="shared" si="266"/>
        <v>0</v>
      </c>
      <c r="DG29" s="508">
        <f t="shared" si="221"/>
        <v>0</v>
      </c>
      <c r="DH29" s="508">
        <f t="shared" si="222"/>
        <v>0</v>
      </c>
      <c r="DI29" s="508">
        <f t="shared" si="223"/>
        <v>0</v>
      </c>
      <c r="DJ29" s="508">
        <f t="shared" si="224"/>
        <v>0</v>
      </c>
      <c r="DK29" s="508">
        <f t="shared" si="225"/>
        <v>0</v>
      </c>
      <c r="DL29" s="725">
        <f t="shared" si="226"/>
        <v>0</v>
      </c>
      <c r="DM29" s="724">
        <f t="shared" si="267"/>
        <v>0</v>
      </c>
      <c r="DN29" s="509">
        <f t="shared" si="227"/>
        <v>72000</v>
      </c>
      <c r="DO29" s="508">
        <f t="shared" si="228"/>
        <v>93600</v>
      </c>
      <c r="DP29" s="508">
        <f t="shared" si="229"/>
        <v>115350</v>
      </c>
      <c r="DQ29" s="508">
        <f t="shared" si="230"/>
        <v>144150</v>
      </c>
      <c r="DR29" s="508">
        <f t="shared" si="231"/>
        <v>144150</v>
      </c>
      <c r="DS29" s="725">
        <f t="shared" si="232"/>
        <v>144150</v>
      </c>
      <c r="DT29" s="724">
        <f t="shared" si="233"/>
        <v>0</v>
      </c>
      <c r="DU29" s="508">
        <f t="shared" si="234"/>
        <v>0</v>
      </c>
      <c r="DV29" s="508">
        <f t="shared" si="235"/>
        <v>0</v>
      </c>
      <c r="DW29" s="508">
        <f t="shared" si="236"/>
        <v>0</v>
      </c>
      <c r="DX29" s="508">
        <f t="shared" si="237"/>
        <v>0</v>
      </c>
      <c r="DY29" s="508">
        <f t="shared" si="238"/>
        <v>0</v>
      </c>
      <c r="DZ29" s="725">
        <f t="shared" si="239"/>
        <v>0</v>
      </c>
      <c r="EA29" s="722">
        <f t="shared" si="91"/>
        <v>0</v>
      </c>
      <c r="EB29" s="511">
        <f t="shared" si="240"/>
        <v>19389.915347810034</v>
      </c>
      <c r="EC29" s="511">
        <f t="shared" si="241"/>
        <v>25206.889952153044</v>
      </c>
      <c r="ED29" s="511">
        <f t="shared" si="242"/>
        <v>31064.260213470658</v>
      </c>
      <c r="EE29" s="511">
        <f t="shared" si="243"/>
        <v>38820.226352594669</v>
      </c>
      <c r="EF29" s="511">
        <f t="shared" si="244"/>
        <v>38820.226352594669</v>
      </c>
      <c r="EG29" s="723">
        <f t="shared" si="245"/>
        <v>38820.226352594669</v>
      </c>
      <c r="EH29" s="722">
        <f t="shared" si="65"/>
        <v>0</v>
      </c>
      <c r="EI29" s="511">
        <f t="shared" si="246"/>
        <v>47.001599999999975</v>
      </c>
      <c r="EJ29" s="511">
        <f t="shared" si="247"/>
        <v>61.102079999999972</v>
      </c>
      <c r="EK29" s="511">
        <f t="shared" si="248"/>
        <v>75.300479999999965</v>
      </c>
      <c r="EL29" s="511">
        <f t="shared" si="249"/>
        <v>94.101119999999952</v>
      </c>
      <c r="EM29" s="511">
        <f t="shared" si="250"/>
        <v>94.101119999999952</v>
      </c>
      <c r="EN29" s="723">
        <f t="shared" si="251"/>
        <v>94.101119999999952</v>
      </c>
      <c r="EO29" s="507">
        <f t="shared" si="252"/>
        <v>0</v>
      </c>
      <c r="EP29" s="511">
        <f t="shared" si="253"/>
        <v>0</v>
      </c>
      <c r="EQ29" s="511">
        <f t="shared" si="254"/>
        <v>0</v>
      </c>
      <c r="ER29" s="511">
        <f t="shared" si="255"/>
        <v>0</v>
      </c>
      <c r="ES29" s="511">
        <f t="shared" si="256"/>
        <v>0</v>
      </c>
      <c r="ET29" s="511">
        <f t="shared" si="257"/>
        <v>0</v>
      </c>
      <c r="EU29" s="723">
        <f t="shared" si="258"/>
        <v>0</v>
      </c>
      <c r="EV29" s="727">
        <f t="shared" si="268"/>
        <v>2378</v>
      </c>
      <c r="EW29" s="728">
        <f t="shared" si="269"/>
        <v>806142</v>
      </c>
      <c r="EX29" s="728">
        <f t="shared" si="270"/>
        <v>0</v>
      </c>
      <c r="EY29" s="728">
        <f t="shared" si="271"/>
        <v>713400</v>
      </c>
      <c r="EZ29" s="728">
        <f t="shared" si="272"/>
        <v>0</v>
      </c>
      <c r="FA29" s="777">
        <f t="shared" si="273"/>
        <v>192121.74457121774</v>
      </c>
      <c r="FB29" s="777">
        <f t="shared" si="274"/>
        <v>465.7075199999997</v>
      </c>
      <c r="FC29" s="778">
        <f t="shared" si="275"/>
        <v>0</v>
      </c>
    </row>
    <row r="30" spans="1:168" s="10" customFormat="1" ht="12.75" customHeight="1">
      <c r="A30" s="662" t="s">
        <v>186</v>
      </c>
      <c r="B30" s="703" t="str">
        <f t="shared" si="197"/>
        <v>KU-HVAC-DWH-Heat Pump - Air Source ENERGY STAR</v>
      </c>
      <c r="C30" s="703" t="str">
        <f t="shared" si="198"/>
        <v>ENERGY STAR Air Source Heat Pump - SEER2 15.2 and HSPF2 7.8 (Split System) (CEE Tier 1)</v>
      </c>
      <c r="D30" s="703" t="str">
        <f t="shared" si="198"/>
        <v>Federal Standard 2023 Air Source Heat Pump - SEER2 14.3 and HSPF2 7.5 (Split System)</v>
      </c>
      <c r="E30" s="703" t="str">
        <f t="shared" si="198"/>
        <v>Per Unit</v>
      </c>
      <c r="F30" s="703" t="str">
        <f t="shared" si="198"/>
        <v>Incremental Cost</v>
      </c>
      <c r="G30" s="969">
        <f t="shared" si="198"/>
        <v>405</v>
      </c>
      <c r="H30" s="703">
        <f t="shared" si="198"/>
        <v>0</v>
      </c>
      <c r="I30" s="703">
        <f t="shared" si="198"/>
        <v>405</v>
      </c>
      <c r="J30" s="703">
        <f t="shared" si="198"/>
        <v>0</v>
      </c>
      <c r="K30" s="703">
        <f t="shared" si="198"/>
        <v>202.5</v>
      </c>
      <c r="L30" s="703" t="str">
        <f t="shared" si="198"/>
        <v>IL TRM (assume similar as increment cost from SEER 15 to SEER 16)</v>
      </c>
      <c r="M30" s="703">
        <f t="shared" si="198"/>
        <v>0</v>
      </c>
      <c r="N30" s="703">
        <f t="shared" si="198"/>
        <v>400</v>
      </c>
      <c r="O30" s="703">
        <f t="shared" si="198"/>
        <v>0</v>
      </c>
      <c r="P30" s="703">
        <f t="shared" si="198"/>
        <v>0</v>
      </c>
      <c r="Q30" s="703">
        <f t="shared" si="198"/>
        <v>266.71000368052984</v>
      </c>
      <c r="R30" s="703">
        <f t="shared" ref="R30:V30" si="327">R15</f>
        <v>0.18679720279720283</v>
      </c>
      <c r="S30" s="703">
        <v>0</v>
      </c>
      <c r="T30" s="703" t="str">
        <f t="shared" si="327"/>
        <v>Mid Atlantic TRM</v>
      </c>
      <c r="U30" s="712">
        <f t="shared" si="327"/>
        <v>0.05</v>
      </c>
      <c r="V30" s="713">
        <f t="shared" si="327"/>
        <v>1</v>
      </c>
      <c r="W30" s="938"/>
      <c r="X30" s="938"/>
      <c r="Y30" s="938"/>
      <c r="Z30" s="938"/>
      <c r="AA30" s="939"/>
      <c r="AB30" s="939"/>
      <c r="AC30" s="939"/>
      <c r="AD30" s="773">
        <f t="shared" si="277"/>
        <v>0</v>
      </c>
      <c r="AE30" s="773">
        <f t="shared" si="277"/>
        <v>229.5</v>
      </c>
      <c r="AF30" s="773">
        <f t="shared" si="277"/>
        <v>298.5</v>
      </c>
      <c r="AG30" s="773">
        <f t="shared" si="277"/>
        <v>367.5</v>
      </c>
      <c r="AH30" s="773">
        <f t="shared" si="277"/>
        <v>459.5</v>
      </c>
      <c r="AI30" s="773">
        <f t="shared" si="277"/>
        <v>459.5</v>
      </c>
      <c r="AJ30" s="773">
        <f t="shared" si="277"/>
        <v>459.5</v>
      </c>
      <c r="AK30" s="715" t="s">
        <v>374</v>
      </c>
      <c r="AL30" s="711" t="s">
        <v>375</v>
      </c>
      <c r="AM30" s="711" t="s">
        <v>377</v>
      </c>
      <c r="AN30" s="711" t="s">
        <v>377</v>
      </c>
      <c r="AO30" s="711" t="s">
        <v>1</v>
      </c>
      <c r="AP30" s="711" t="s">
        <v>378</v>
      </c>
      <c r="AQ30" s="711" t="s">
        <v>378</v>
      </c>
      <c r="AR30" s="711" t="s">
        <v>378</v>
      </c>
      <c r="AS30" s="715" t="s">
        <v>379</v>
      </c>
      <c r="AT30" s="715" t="s">
        <v>407</v>
      </c>
      <c r="AU30" s="715" t="s">
        <v>385</v>
      </c>
      <c r="AV30" s="940">
        <f t="shared" si="278"/>
        <v>18</v>
      </c>
      <c r="AW30" s="940">
        <f t="shared" si="278"/>
        <v>18</v>
      </c>
      <c r="AX30" s="711"/>
      <c r="AY30" s="716">
        <v>1</v>
      </c>
      <c r="AZ30" s="716">
        <v>1</v>
      </c>
      <c r="BA30" s="717">
        <v>0</v>
      </c>
      <c r="BB30" s="721">
        <f t="shared" si="201"/>
        <v>405</v>
      </c>
      <c r="BC30" s="499">
        <f t="shared" ref="BC30:BH30" si="328">BB30</f>
        <v>405</v>
      </c>
      <c r="BD30" s="499">
        <f t="shared" si="328"/>
        <v>405</v>
      </c>
      <c r="BE30" s="499">
        <f t="shared" si="328"/>
        <v>405</v>
      </c>
      <c r="BF30" s="499">
        <f t="shared" si="328"/>
        <v>405</v>
      </c>
      <c r="BG30" s="499">
        <f t="shared" si="328"/>
        <v>405</v>
      </c>
      <c r="BH30" s="499">
        <f t="shared" si="328"/>
        <v>405</v>
      </c>
      <c r="BI30" s="721">
        <f t="shared" si="203"/>
        <v>0</v>
      </c>
      <c r="BJ30" s="499">
        <f t="shared" ref="BJ30:BO30" si="329">BI30</f>
        <v>0</v>
      </c>
      <c r="BK30" s="499">
        <f t="shared" si="329"/>
        <v>0</v>
      </c>
      <c r="BL30" s="499">
        <f t="shared" si="329"/>
        <v>0</v>
      </c>
      <c r="BM30" s="499">
        <f t="shared" si="329"/>
        <v>0</v>
      </c>
      <c r="BN30" s="499">
        <f t="shared" si="329"/>
        <v>0</v>
      </c>
      <c r="BO30" s="499">
        <f t="shared" si="329"/>
        <v>0</v>
      </c>
      <c r="BP30" s="721">
        <f t="shared" si="205"/>
        <v>400</v>
      </c>
      <c r="BQ30" s="499">
        <f t="shared" ref="BQ30:BV30" si="330">BP30</f>
        <v>400</v>
      </c>
      <c r="BR30" s="499">
        <f t="shared" si="330"/>
        <v>400</v>
      </c>
      <c r="BS30" s="499">
        <f t="shared" si="330"/>
        <v>400</v>
      </c>
      <c r="BT30" s="499">
        <f t="shared" si="330"/>
        <v>400</v>
      </c>
      <c r="BU30" s="499">
        <f t="shared" si="330"/>
        <v>400</v>
      </c>
      <c r="BV30" s="499">
        <f t="shared" si="330"/>
        <v>400</v>
      </c>
      <c r="BW30" s="503">
        <f t="shared" si="207"/>
        <v>0</v>
      </c>
      <c r="BX30" s="503">
        <f t="shared" si="207"/>
        <v>0</v>
      </c>
      <c r="BY30" s="503">
        <f t="shared" si="207"/>
        <v>0</v>
      </c>
      <c r="BZ30" s="503">
        <f t="shared" si="207"/>
        <v>0</v>
      </c>
      <c r="CA30" s="503">
        <f t="shared" si="207"/>
        <v>0</v>
      </c>
      <c r="CB30" s="503">
        <f t="shared" si="207"/>
        <v>0</v>
      </c>
      <c r="CC30" s="776">
        <f t="shared" si="207"/>
        <v>0</v>
      </c>
      <c r="CD30" s="507">
        <f t="shared" si="208"/>
        <v>266.71000368052984</v>
      </c>
      <c r="CE30" s="511">
        <f t="shared" ref="CE30:CJ30" si="331">CD30</f>
        <v>266.71000368052984</v>
      </c>
      <c r="CF30" s="511">
        <f t="shared" si="331"/>
        <v>266.71000368052984</v>
      </c>
      <c r="CG30" s="511">
        <f t="shared" si="331"/>
        <v>266.71000368052984</v>
      </c>
      <c r="CH30" s="511">
        <f t="shared" si="331"/>
        <v>266.71000368052984</v>
      </c>
      <c r="CI30" s="511">
        <f t="shared" si="331"/>
        <v>266.71000368052984</v>
      </c>
      <c r="CJ30" s="511">
        <f t="shared" si="331"/>
        <v>266.71000368052984</v>
      </c>
      <c r="CK30" s="722">
        <f t="shared" si="210"/>
        <v>0.18679720279720283</v>
      </c>
      <c r="CL30" s="511">
        <f t="shared" ref="CL30:CQ30" si="332">CK30</f>
        <v>0.18679720279720283</v>
      </c>
      <c r="CM30" s="511">
        <f t="shared" si="332"/>
        <v>0.18679720279720283</v>
      </c>
      <c r="CN30" s="511">
        <f t="shared" si="332"/>
        <v>0.18679720279720283</v>
      </c>
      <c r="CO30" s="511">
        <f t="shared" si="332"/>
        <v>0.18679720279720283</v>
      </c>
      <c r="CP30" s="511">
        <f t="shared" si="332"/>
        <v>0.18679720279720283</v>
      </c>
      <c r="CQ30" s="511">
        <f t="shared" si="332"/>
        <v>0.18679720279720283</v>
      </c>
      <c r="CR30" s="722">
        <f t="shared" si="212"/>
        <v>0</v>
      </c>
      <c r="CS30" s="511">
        <f t="shared" ref="CS30:CX30" si="333">CR30</f>
        <v>0</v>
      </c>
      <c r="CT30" s="511">
        <f t="shared" si="333"/>
        <v>0</v>
      </c>
      <c r="CU30" s="511">
        <f t="shared" si="333"/>
        <v>0</v>
      </c>
      <c r="CV30" s="511">
        <f t="shared" si="333"/>
        <v>0</v>
      </c>
      <c r="CW30" s="511">
        <f t="shared" si="333"/>
        <v>0</v>
      </c>
      <c r="CX30" s="511">
        <f t="shared" si="333"/>
        <v>0</v>
      </c>
      <c r="CY30" s="724">
        <f t="shared" si="214"/>
        <v>0</v>
      </c>
      <c r="CZ30" s="508">
        <f t="shared" si="215"/>
        <v>92947.5</v>
      </c>
      <c r="DA30" s="508">
        <f t="shared" si="216"/>
        <v>120892.5</v>
      </c>
      <c r="DB30" s="508">
        <f t="shared" si="217"/>
        <v>148837.5</v>
      </c>
      <c r="DC30" s="508">
        <f t="shared" si="218"/>
        <v>186097.5</v>
      </c>
      <c r="DD30" s="508">
        <f t="shared" si="219"/>
        <v>186097.5</v>
      </c>
      <c r="DE30" s="726">
        <f t="shared" si="220"/>
        <v>186097.5</v>
      </c>
      <c r="DF30" s="724">
        <f t="shared" si="266"/>
        <v>0</v>
      </c>
      <c r="DG30" s="508">
        <f t="shared" si="221"/>
        <v>0</v>
      </c>
      <c r="DH30" s="508">
        <f t="shared" si="222"/>
        <v>0</v>
      </c>
      <c r="DI30" s="508">
        <f t="shared" si="223"/>
        <v>0</v>
      </c>
      <c r="DJ30" s="508">
        <f t="shared" si="224"/>
        <v>0</v>
      </c>
      <c r="DK30" s="508">
        <f t="shared" si="225"/>
        <v>0</v>
      </c>
      <c r="DL30" s="725">
        <f t="shared" si="226"/>
        <v>0</v>
      </c>
      <c r="DM30" s="724">
        <f t="shared" si="267"/>
        <v>0</v>
      </c>
      <c r="DN30" s="509">
        <f t="shared" si="227"/>
        <v>91800</v>
      </c>
      <c r="DO30" s="508">
        <f t="shared" si="228"/>
        <v>119400</v>
      </c>
      <c r="DP30" s="508">
        <f t="shared" si="229"/>
        <v>147000</v>
      </c>
      <c r="DQ30" s="508">
        <f t="shared" si="230"/>
        <v>183800</v>
      </c>
      <c r="DR30" s="508">
        <f t="shared" si="231"/>
        <v>183800</v>
      </c>
      <c r="DS30" s="725">
        <f t="shared" si="232"/>
        <v>183800</v>
      </c>
      <c r="DT30" s="724">
        <f t="shared" si="233"/>
        <v>0</v>
      </c>
      <c r="DU30" s="508">
        <f t="shared" si="234"/>
        <v>0</v>
      </c>
      <c r="DV30" s="508">
        <f t="shared" si="235"/>
        <v>0</v>
      </c>
      <c r="DW30" s="508">
        <f t="shared" si="236"/>
        <v>0</v>
      </c>
      <c r="DX30" s="508">
        <f t="shared" si="237"/>
        <v>0</v>
      </c>
      <c r="DY30" s="508">
        <f t="shared" si="238"/>
        <v>0</v>
      </c>
      <c r="DZ30" s="725">
        <f t="shared" si="239"/>
        <v>0</v>
      </c>
      <c r="EA30" s="722">
        <f t="shared" si="91"/>
        <v>0</v>
      </c>
      <c r="EB30" s="511">
        <f t="shared" si="240"/>
        <v>61209.945844681599</v>
      </c>
      <c r="EC30" s="511">
        <f t="shared" si="241"/>
        <v>79612.936098638151</v>
      </c>
      <c r="ED30" s="511">
        <f t="shared" si="242"/>
        <v>98015.926352594717</v>
      </c>
      <c r="EE30" s="511">
        <f t="shared" si="243"/>
        <v>122553.24669120346</v>
      </c>
      <c r="EF30" s="511">
        <f t="shared" si="244"/>
        <v>122553.24669120346</v>
      </c>
      <c r="EG30" s="723">
        <f t="shared" si="245"/>
        <v>122553.24669120346</v>
      </c>
      <c r="EH30" s="722">
        <f t="shared" si="65"/>
        <v>0</v>
      </c>
      <c r="EI30" s="511">
        <f t="shared" si="246"/>
        <v>42.86995804195805</v>
      </c>
      <c r="EJ30" s="511">
        <f t="shared" si="247"/>
        <v>55.758965034965044</v>
      </c>
      <c r="EK30" s="511">
        <f t="shared" si="248"/>
        <v>68.647972027972045</v>
      </c>
      <c r="EL30" s="511">
        <f t="shared" si="249"/>
        <v>85.833314685314704</v>
      </c>
      <c r="EM30" s="511">
        <f t="shared" si="250"/>
        <v>85.833314685314704</v>
      </c>
      <c r="EN30" s="723">
        <f t="shared" si="251"/>
        <v>85.833314685314704</v>
      </c>
      <c r="EO30" s="507">
        <f t="shared" si="252"/>
        <v>0</v>
      </c>
      <c r="EP30" s="511">
        <f t="shared" si="253"/>
        <v>0</v>
      </c>
      <c r="EQ30" s="511">
        <f t="shared" si="254"/>
        <v>0</v>
      </c>
      <c r="ER30" s="511">
        <f t="shared" si="255"/>
        <v>0</v>
      </c>
      <c r="ES30" s="511">
        <f t="shared" si="256"/>
        <v>0</v>
      </c>
      <c r="ET30" s="511">
        <f t="shared" si="257"/>
        <v>0</v>
      </c>
      <c r="EU30" s="723">
        <f t="shared" si="258"/>
        <v>0</v>
      </c>
      <c r="EV30" s="727">
        <f t="shared" si="268"/>
        <v>2274</v>
      </c>
      <c r="EW30" s="728">
        <f t="shared" si="269"/>
        <v>920970</v>
      </c>
      <c r="EX30" s="728">
        <f t="shared" si="270"/>
        <v>0</v>
      </c>
      <c r="EY30" s="728">
        <f t="shared" si="271"/>
        <v>909600</v>
      </c>
      <c r="EZ30" s="728">
        <f t="shared" si="272"/>
        <v>0</v>
      </c>
      <c r="FA30" s="777">
        <f t="shared" si="273"/>
        <v>606498.54836952488</v>
      </c>
      <c r="FB30" s="777">
        <f t="shared" si="274"/>
        <v>424.77683916083919</v>
      </c>
      <c r="FC30" s="778">
        <f t="shared" si="275"/>
        <v>0</v>
      </c>
    </row>
    <row r="31" spans="1:168" s="10" customFormat="1" ht="12.75" customHeight="1">
      <c r="A31" s="662" t="s">
        <v>187</v>
      </c>
      <c r="B31" s="703" t="str">
        <f t="shared" si="197"/>
        <v>KU-HVAC-DWH-Ductless Heat Pump (DHP)</v>
      </c>
      <c r="C31" s="703" t="str">
        <f t="shared" si="198"/>
        <v>Ductless Heat Pump - SEER/EER 18/12.5, HSPF 10.0</v>
      </c>
      <c r="D31" s="703" t="str">
        <f t="shared" si="198"/>
        <v>Standard Baseboard Heating - HSPF 3.41</v>
      </c>
      <c r="E31" s="703" t="str">
        <f t="shared" si="198"/>
        <v>Per Unit</v>
      </c>
      <c r="F31" s="703" t="str">
        <f t="shared" si="198"/>
        <v>Incremental Cost</v>
      </c>
      <c r="G31" s="969">
        <f t="shared" si="198"/>
        <v>1002</v>
      </c>
      <c r="H31" s="703">
        <f t="shared" si="198"/>
        <v>0</v>
      </c>
      <c r="I31" s="703">
        <f t="shared" si="198"/>
        <v>1002</v>
      </c>
      <c r="J31" s="703">
        <f t="shared" si="198"/>
        <v>0</v>
      </c>
      <c r="K31" s="703">
        <f t="shared" si="198"/>
        <v>501</v>
      </c>
      <c r="L31" s="703" t="str">
        <f t="shared" si="198"/>
        <v xml:space="preserve">IL TRM (334/ton), if Full install cost (1715/ton) </v>
      </c>
      <c r="M31" s="703">
        <f t="shared" si="198"/>
        <v>0</v>
      </c>
      <c r="N31" s="703">
        <f t="shared" si="198"/>
        <v>400</v>
      </c>
      <c r="O31" s="703">
        <f t="shared" si="198"/>
        <v>0</v>
      </c>
      <c r="P31" s="703">
        <f t="shared" si="198"/>
        <v>0</v>
      </c>
      <c r="Q31" s="703">
        <f t="shared" si="198"/>
        <v>4172.3665824240761</v>
      </c>
      <c r="R31" s="703">
        <f t="shared" ref="R31:V31" si="334">R16</f>
        <v>0</v>
      </c>
      <c r="S31" s="703">
        <v>0</v>
      </c>
      <c r="T31" s="703" t="str">
        <f t="shared" si="334"/>
        <v>Potential Study Results: Calculations based on ENERGY STAR Appliances Calculator. Accessed 06.07.2016</v>
      </c>
      <c r="U31" s="712">
        <f t="shared" si="334"/>
        <v>0.05</v>
      </c>
      <c r="V31" s="713">
        <f t="shared" si="334"/>
        <v>1</v>
      </c>
      <c r="W31" s="938"/>
      <c r="X31" s="938"/>
      <c r="Y31" s="938"/>
      <c r="Z31" s="938"/>
      <c r="AA31" s="939"/>
      <c r="AB31" s="939"/>
      <c r="AC31" s="939"/>
      <c r="AD31" s="773">
        <f t="shared" si="277"/>
        <v>0</v>
      </c>
      <c r="AE31" s="773">
        <f t="shared" si="277"/>
        <v>234.75</v>
      </c>
      <c r="AF31" s="773">
        <f t="shared" si="277"/>
        <v>305.25</v>
      </c>
      <c r="AG31" s="773">
        <f t="shared" si="277"/>
        <v>376</v>
      </c>
      <c r="AH31" s="773">
        <f t="shared" si="277"/>
        <v>470</v>
      </c>
      <c r="AI31" s="773">
        <f t="shared" si="277"/>
        <v>470</v>
      </c>
      <c r="AJ31" s="773">
        <f t="shared" si="277"/>
        <v>470</v>
      </c>
      <c r="AK31" s="715" t="s">
        <v>374</v>
      </c>
      <c r="AL31" s="711" t="s">
        <v>375</v>
      </c>
      <c r="AM31" s="711" t="s">
        <v>377</v>
      </c>
      <c r="AN31" s="711" t="s">
        <v>377</v>
      </c>
      <c r="AO31" s="711" t="s">
        <v>1</v>
      </c>
      <c r="AP31" s="711" t="s">
        <v>378</v>
      </c>
      <c r="AQ31" s="711" t="s">
        <v>378</v>
      </c>
      <c r="AR31" s="711" t="s">
        <v>378</v>
      </c>
      <c r="AS31" s="715" t="s">
        <v>379</v>
      </c>
      <c r="AT31" s="715" t="s">
        <v>407</v>
      </c>
      <c r="AU31" s="715" t="s">
        <v>385</v>
      </c>
      <c r="AV31" s="940">
        <f t="shared" si="278"/>
        <v>18</v>
      </c>
      <c r="AW31" s="940">
        <f t="shared" si="278"/>
        <v>18</v>
      </c>
      <c r="AX31" s="711"/>
      <c r="AY31" s="716">
        <v>1</v>
      </c>
      <c r="AZ31" s="716">
        <v>1</v>
      </c>
      <c r="BA31" s="717">
        <v>0</v>
      </c>
      <c r="BB31" s="721">
        <f t="shared" si="201"/>
        <v>1002</v>
      </c>
      <c r="BC31" s="499">
        <f t="shared" ref="BC31:BH31" si="335">BB31</f>
        <v>1002</v>
      </c>
      <c r="BD31" s="499">
        <f t="shared" si="335"/>
        <v>1002</v>
      </c>
      <c r="BE31" s="499">
        <f t="shared" si="335"/>
        <v>1002</v>
      </c>
      <c r="BF31" s="499">
        <f t="shared" si="335"/>
        <v>1002</v>
      </c>
      <c r="BG31" s="499">
        <f t="shared" si="335"/>
        <v>1002</v>
      </c>
      <c r="BH31" s="499">
        <f t="shared" si="335"/>
        <v>1002</v>
      </c>
      <c r="BI31" s="721">
        <f t="shared" si="203"/>
        <v>0</v>
      </c>
      <c r="BJ31" s="499">
        <f t="shared" ref="BJ31:BO31" si="336">BI31</f>
        <v>0</v>
      </c>
      <c r="BK31" s="499">
        <f t="shared" si="336"/>
        <v>0</v>
      </c>
      <c r="BL31" s="499">
        <f t="shared" si="336"/>
        <v>0</v>
      </c>
      <c r="BM31" s="499">
        <f t="shared" si="336"/>
        <v>0</v>
      </c>
      <c r="BN31" s="499">
        <f t="shared" si="336"/>
        <v>0</v>
      </c>
      <c r="BO31" s="499">
        <f t="shared" si="336"/>
        <v>0</v>
      </c>
      <c r="BP31" s="721">
        <f t="shared" si="205"/>
        <v>400</v>
      </c>
      <c r="BQ31" s="499">
        <f t="shared" ref="BQ31:BV31" si="337">BP31</f>
        <v>400</v>
      </c>
      <c r="BR31" s="499">
        <f t="shared" si="337"/>
        <v>400</v>
      </c>
      <c r="BS31" s="499">
        <f t="shared" si="337"/>
        <v>400</v>
      </c>
      <c r="BT31" s="499">
        <f t="shared" si="337"/>
        <v>400</v>
      </c>
      <c r="BU31" s="499">
        <f t="shared" si="337"/>
        <v>400</v>
      </c>
      <c r="BV31" s="499">
        <f t="shared" si="337"/>
        <v>400</v>
      </c>
      <c r="BW31" s="503">
        <f t="shared" si="207"/>
        <v>0</v>
      </c>
      <c r="BX31" s="503">
        <f t="shared" si="207"/>
        <v>0</v>
      </c>
      <c r="BY31" s="503">
        <f t="shared" si="207"/>
        <v>0</v>
      </c>
      <c r="BZ31" s="503">
        <f t="shared" si="207"/>
        <v>0</v>
      </c>
      <c r="CA31" s="503">
        <f t="shared" si="207"/>
        <v>0</v>
      </c>
      <c r="CB31" s="503">
        <f t="shared" si="207"/>
        <v>0</v>
      </c>
      <c r="CC31" s="776">
        <f t="shared" si="207"/>
        <v>0</v>
      </c>
      <c r="CD31" s="507">
        <f t="shared" si="208"/>
        <v>4172.3665824240761</v>
      </c>
      <c r="CE31" s="511">
        <f t="shared" ref="CE31:CJ31" si="338">CD31</f>
        <v>4172.3665824240761</v>
      </c>
      <c r="CF31" s="511">
        <f t="shared" si="338"/>
        <v>4172.3665824240761</v>
      </c>
      <c r="CG31" s="511">
        <f t="shared" si="338"/>
        <v>4172.3665824240761</v>
      </c>
      <c r="CH31" s="511">
        <f t="shared" si="338"/>
        <v>4172.3665824240761</v>
      </c>
      <c r="CI31" s="511">
        <f t="shared" si="338"/>
        <v>4172.3665824240761</v>
      </c>
      <c r="CJ31" s="511">
        <f t="shared" si="338"/>
        <v>4172.3665824240761</v>
      </c>
      <c r="CK31" s="722">
        <f t="shared" si="210"/>
        <v>0</v>
      </c>
      <c r="CL31" s="511">
        <f t="shared" ref="CL31:CQ31" si="339">CK31</f>
        <v>0</v>
      </c>
      <c r="CM31" s="511">
        <f t="shared" si="339"/>
        <v>0</v>
      </c>
      <c r="CN31" s="511">
        <f t="shared" si="339"/>
        <v>0</v>
      </c>
      <c r="CO31" s="511">
        <f t="shared" si="339"/>
        <v>0</v>
      </c>
      <c r="CP31" s="511">
        <f t="shared" si="339"/>
        <v>0</v>
      </c>
      <c r="CQ31" s="511">
        <f t="shared" si="339"/>
        <v>0</v>
      </c>
      <c r="CR31" s="722">
        <f t="shared" si="212"/>
        <v>0</v>
      </c>
      <c r="CS31" s="511">
        <f t="shared" ref="CS31:CX31" si="340">CR31</f>
        <v>0</v>
      </c>
      <c r="CT31" s="511">
        <f t="shared" si="340"/>
        <v>0</v>
      </c>
      <c r="CU31" s="511">
        <f t="shared" si="340"/>
        <v>0</v>
      </c>
      <c r="CV31" s="511">
        <f t="shared" si="340"/>
        <v>0</v>
      </c>
      <c r="CW31" s="511">
        <f t="shared" si="340"/>
        <v>0</v>
      </c>
      <c r="CX31" s="511">
        <f t="shared" si="340"/>
        <v>0</v>
      </c>
      <c r="CY31" s="724">
        <f t="shared" si="214"/>
        <v>0</v>
      </c>
      <c r="CZ31" s="508">
        <f t="shared" si="215"/>
        <v>235219.5</v>
      </c>
      <c r="DA31" s="508">
        <f t="shared" si="216"/>
        <v>305860.5</v>
      </c>
      <c r="DB31" s="508">
        <f t="shared" si="217"/>
        <v>376752</v>
      </c>
      <c r="DC31" s="508">
        <f t="shared" si="218"/>
        <v>470940</v>
      </c>
      <c r="DD31" s="508">
        <f t="shared" si="219"/>
        <v>470940</v>
      </c>
      <c r="DE31" s="726">
        <f t="shared" si="220"/>
        <v>470940</v>
      </c>
      <c r="DF31" s="724">
        <f t="shared" si="266"/>
        <v>0</v>
      </c>
      <c r="DG31" s="508">
        <f t="shared" si="221"/>
        <v>0</v>
      </c>
      <c r="DH31" s="508">
        <f t="shared" si="222"/>
        <v>0</v>
      </c>
      <c r="DI31" s="508">
        <f t="shared" si="223"/>
        <v>0</v>
      </c>
      <c r="DJ31" s="508">
        <f t="shared" si="224"/>
        <v>0</v>
      </c>
      <c r="DK31" s="508">
        <f t="shared" si="225"/>
        <v>0</v>
      </c>
      <c r="DL31" s="725">
        <f t="shared" si="226"/>
        <v>0</v>
      </c>
      <c r="DM31" s="724">
        <f t="shared" si="267"/>
        <v>0</v>
      </c>
      <c r="DN31" s="509">
        <f t="shared" si="227"/>
        <v>93900</v>
      </c>
      <c r="DO31" s="508">
        <f t="shared" si="228"/>
        <v>122100</v>
      </c>
      <c r="DP31" s="508">
        <f t="shared" si="229"/>
        <v>150400</v>
      </c>
      <c r="DQ31" s="508">
        <f t="shared" si="230"/>
        <v>188000</v>
      </c>
      <c r="DR31" s="508">
        <f t="shared" si="231"/>
        <v>188000</v>
      </c>
      <c r="DS31" s="725">
        <f t="shared" si="232"/>
        <v>188000</v>
      </c>
      <c r="DT31" s="724">
        <f t="shared" si="233"/>
        <v>0</v>
      </c>
      <c r="DU31" s="508">
        <f t="shared" si="234"/>
        <v>0</v>
      </c>
      <c r="DV31" s="508">
        <f t="shared" si="235"/>
        <v>0</v>
      </c>
      <c r="DW31" s="508">
        <f t="shared" si="236"/>
        <v>0</v>
      </c>
      <c r="DX31" s="508">
        <f t="shared" si="237"/>
        <v>0</v>
      </c>
      <c r="DY31" s="508">
        <f t="shared" si="238"/>
        <v>0</v>
      </c>
      <c r="DZ31" s="725">
        <f t="shared" si="239"/>
        <v>0</v>
      </c>
      <c r="EA31" s="722">
        <f t="shared" si="91"/>
        <v>0</v>
      </c>
      <c r="EB31" s="511">
        <f t="shared" si="240"/>
        <v>979463.05522405182</v>
      </c>
      <c r="EC31" s="511">
        <f t="shared" si="241"/>
        <v>1273614.8992849493</v>
      </c>
      <c r="ED31" s="511">
        <f t="shared" si="242"/>
        <v>1568809.8349914525</v>
      </c>
      <c r="EE31" s="511">
        <f t="shared" si="243"/>
        <v>1961012.2937393158</v>
      </c>
      <c r="EF31" s="511">
        <f t="shared" si="244"/>
        <v>1961012.2937393158</v>
      </c>
      <c r="EG31" s="723">
        <f t="shared" si="245"/>
        <v>1961012.2937393158</v>
      </c>
      <c r="EH31" s="722">
        <f t="shared" si="65"/>
        <v>0</v>
      </c>
      <c r="EI31" s="511">
        <f t="shared" si="246"/>
        <v>0</v>
      </c>
      <c r="EJ31" s="511">
        <f t="shared" si="247"/>
        <v>0</v>
      </c>
      <c r="EK31" s="511">
        <f t="shared" si="248"/>
        <v>0</v>
      </c>
      <c r="EL31" s="511">
        <f t="shared" si="249"/>
        <v>0</v>
      </c>
      <c r="EM31" s="511">
        <f t="shared" si="250"/>
        <v>0</v>
      </c>
      <c r="EN31" s="723">
        <f t="shared" si="251"/>
        <v>0</v>
      </c>
      <c r="EO31" s="507">
        <f t="shared" si="252"/>
        <v>0</v>
      </c>
      <c r="EP31" s="511">
        <f t="shared" si="253"/>
        <v>0</v>
      </c>
      <c r="EQ31" s="511">
        <f t="shared" si="254"/>
        <v>0</v>
      </c>
      <c r="ER31" s="511">
        <f t="shared" si="255"/>
        <v>0</v>
      </c>
      <c r="ES31" s="511">
        <f t="shared" si="256"/>
        <v>0</v>
      </c>
      <c r="ET31" s="511">
        <f t="shared" si="257"/>
        <v>0</v>
      </c>
      <c r="EU31" s="723">
        <f t="shared" si="258"/>
        <v>0</v>
      </c>
      <c r="EV31" s="727">
        <f t="shared" si="268"/>
        <v>2326</v>
      </c>
      <c r="EW31" s="728">
        <f t="shared" si="269"/>
        <v>2330652</v>
      </c>
      <c r="EX31" s="728">
        <f t="shared" si="270"/>
        <v>0</v>
      </c>
      <c r="EY31" s="728">
        <f t="shared" si="271"/>
        <v>930400</v>
      </c>
      <c r="EZ31" s="728">
        <f t="shared" si="272"/>
        <v>0</v>
      </c>
      <c r="FA31" s="777">
        <f t="shared" si="273"/>
        <v>9704924.6707184017</v>
      </c>
      <c r="FB31" s="777">
        <f t="shared" si="274"/>
        <v>0</v>
      </c>
      <c r="FC31" s="778">
        <f t="shared" si="275"/>
        <v>0</v>
      </c>
    </row>
    <row r="32" spans="1:168" s="10" customFormat="1" ht="12.75" customHeight="1">
      <c r="A32" s="662" t="s">
        <v>188</v>
      </c>
      <c r="B32" s="703" t="str">
        <f t="shared" si="197"/>
        <v>KU-HVAC-DWH-Boiler - ENERGY STAR</v>
      </c>
      <c r="C32" s="703" t="str">
        <f t="shared" si="198"/>
        <v>ENERGY STAR Boiler - 90% AFUE</v>
      </c>
      <c r="D32" s="703" t="str">
        <f t="shared" si="198"/>
        <v>Federal Standard 2012 Boiler - 82% AFUE</v>
      </c>
      <c r="E32" s="703" t="str">
        <f t="shared" si="198"/>
        <v>Per Unit</v>
      </c>
      <c r="F32" s="703" t="str">
        <f t="shared" si="198"/>
        <v>Incremental Cost</v>
      </c>
      <c r="G32" s="969">
        <f t="shared" si="198"/>
        <v>1466</v>
      </c>
      <c r="H32" s="703">
        <f t="shared" si="198"/>
        <v>0</v>
      </c>
      <c r="I32" s="703">
        <f t="shared" si="198"/>
        <v>1466</v>
      </c>
      <c r="J32" s="703">
        <f t="shared" si="198"/>
        <v>0</v>
      </c>
      <c r="K32" s="703">
        <f t="shared" si="198"/>
        <v>733</v>
      </c>
      <c r="L32" s="703" t="str">
        <f t="shared" si="198"/>
        <v>IL TRM (Installation Cost is 5519)</v>
      </c>
      <c r="M32" s="703">
        <f t="shared" si="198"/>
        <v>0</v>
      </c>
      <c r="N32" s="703">
        <f t="shared" si="198"/>
        <v>250</v>
      </c>
      <c r="O32" s="703">
        <f t="shared" si="198"/>
        <v>0</v>
      </c>
      <c r="P32" s="703">
        <f t="shared" si="198"/>
        <v>0</v>
      </c>
      <c r="Q32" s="703">
        <f t="shared" si="198"/>
        <v>0</v>
      </c>
      <c r="R32" s="703">
        <f t="shared" ref="R32:V32" si="341">R17</f>
        <v>0</v>
      </c>
      <c r="S32" s="703">
        <v>0</v>
      </c>
      <c r="T32" s="703" t="str">
        <f t="shared" si="341"/>
        <v>Mid Atlantic TRM</v>
      </c>
      <c r="U32" s="712">
        <f t="shared" si="341"/>
        <v>0.05</v>
      </c>
      <c r="V32" s="713">
        <f t="shared" si="341"/>
        <v>1</v>
      </c>
      <c r="W32" s="938"/>
      <c r="X32" s="938"/>
      <c r="Y32" s="938"/>
      <c r="Z32" s="938"/>
      <c r="AA32" s="939"/>
      <c r="AB32" s="939"/>
      <c r="AC32" s="939"/>
      <c r="AD32" s="972">
        <v>0</v>
      </c>
      <c r="AE32" s="972">
        <v>0</v>
      </c>
      <c r="AF32" s="972">
        <v>0</v>
      </c>
      <c r="AG32" s="972">
        <v>0</v>
      </c>
      <c r="AH32" s="972">
        <v>0</v>
      </c>
      <c r="AI32" s="972">
        <v>0</v>
      </c>
      <c r="AJ32" s="972">
        <v>0</v>
      </c>
      <c r="AK32" s="715" t="s">
        <v>374</v>
      </c>
      <c r="AL32" s="711" t="s">
        <v>375</v>
      </c>
      <c r="AM32" s="711" t="s">
        <v>377</v>
      </c>
      <c r="AN32" s="711" t="s">
        <v>377</v>
      </c>
      <c r="AO32" s="711" t="s">
        <v>1</v>
      </c>
      <c r="AP32" s="711" t="s">
        <v>378</v>
      </c>
      <c r="AQ32" s="711" t="s">
        <v>378</v>
      </c>
      <c r="AR32" s="711" t="s">
        <v>378</v>
      </c>
      <c r="AS32" s="715" t="s">
        <v>379</v>
      </c>
      <c r="AT32" s="715" t="s">
        <v>407</v>
      </c>
      <c r="AU32" s="715" t="s">
        <v>385</v>
      </c>
      <c r="AV32" s="940">
        <f t="shared" si="278"/>
        <v>18</v>
      </c>
      <c r="AW32" s="940">
        <f t="shared" si="278"/>
        <v>18</v>
      </c>
      <c r="AX32" s="711"/>
      <c r="AY32" s="716">
        <v>1</v>
      </c>
      <c r="AZ32" s="716">
        <v>1</v>
      </c>
      <c r="BA32" s="717">
        <v>0</v>
      </c>
      <c r="BB32" s="721">
        <f t="shared" si="201"/>
        <v>1466</v>
      </c>
      <c r="BC32" s="499">
        <f t="shared" ref="BC32:BH32" si="342">BB32</f>
        <v>1466</v>
      </c>
      <c r="BD32" s="499">
        <f t="shared" si="342"/>
        <v>1466</v>
      </c>
      <c r="BE32" s="499">
        <f t="shared" si="342"/>
        <v>1466</v>
      </c>
      <c r="BF32" s="499">
        <f t="shared" si="342"/>
        <v>1466</v>
      </c>
      <c r="BG32" s="499">
        <f t="shared" si="342"/>
        <v>1466</v>
      </c>
      <c r="BH32" s="499">
        <f t="shared" si="342"/>
        <v>1466</v>
      </c>
      <c r="BI32" s="721">
        <f t="shared" si="203"/>
        <v>0</v>
      </c>
      <c r="BJ32" s="499">
        <f t="shared" ref="BJ32:BO32" si="343">BI32</f>
        <v>0</v>
      </c>
      <c r="BK32" s="499">
        <f t="shared" si="343"/>
        <v>0</v>
      </c>
      <c r="BL32" s="499">
        <f t="shared" si="343"/>
        <v>0</v>
      </c>
      <c r="BM32" s="499">
        <f t="shared" si="343"/>
        <v>0</v>
      </c>
      <c r="BN32" s="499">
        <f t="shared" si="343"/>
        <v>0</v>
      </c>
      <c r="BO32" s="499">
        <f t="shared" si="343"/>
        <v>0</v>
      </c>
      <c r="BP32" s="721">
        <f t="shared" si="205"/>
        <v>250</v>
      </c>
      <c r="BQ32" s="499">
        <f t="shared" ref="BQ32:BV32" si="344">BP32</f>
        <v>250</v>
      </c>
      <c r="BR32" s="499">
        <f t="shared" si="344"/>
        <v>250</v>
      </c>
      <c r="BS32" s="499">
        <f t="shared" si="344"/>
        <v>250</v>
      </c>
      <c r="BT32" s="499">
        <f t="shared" si="344"/>
        <v>250</v>
      </c>
      <c r="BU32" s="499">
        <f t="shared" si="344"/>
        <v>250</v>
      </c>
      <c r="BV32" s="499">
        <f t="shared" si="344"/>
        <v>250</v>
      </c>
      <c r="BW32" s="503">
        <f t="shared" si="207"/>
        <v>0</v>
      </c>
      <c r="BX32" s="503">
        <f t="shared" si="207"/>
        <v>0</v>
      </c>
      <c r="BY32" s="503">
        <f t="shared" si="207"/>
        <v>0</v>
      </c>
      <c r="BZ32" s="503">
        <f t="shared" si="207"/>
        <v>0</v>
      </c>
      <c r="CA32" s="503">
        <f t="shared" si="207"/>
        <v>0</v>
      </c>
      <c r="CB32" s="503">
        <f t="shared" si="207"/>
        <v>0</v>
      </c>
      <c r="CC32" s="776">
        <f t="shared" si="207"/>
        <v>0</v>
      </c>
      <c r="CD32" s="507">
        <f t="shared" si="208"/>
        <v>0</v>
      </c>
      <c r="CE32" s="511">
        <f t="shared" ref="CE32:CJ32" si="345">CD32</f>
        <v>0</v>
      </c>
      <c r="CF32" s="511">
        <f t="shared" si="345"/>
        <v>0</v>
      </c>
      <c r="CG32" s="511">
        <f t="shared" si="345"/>
        <v>0</v>
      </c>
      <c r="CH32" s="511">
        <f t="shared" si="345"/>
        <v>0</v>
      </c>
      <c r="CI32" s="511">
        <f t="shared" si="345"/>
        <v>0</v>
      </c>
      <c r="CJ32" s="511">
        <f t="shared" si="345"/>
        <v>0</v>
      </c>
      <c r="CK32" s="722">
        <f t="shared" si="210"/>
        <v>0</v>
      </c>
      <c r="CL32" s="511">
        <f t="shared" ref="CL32:CQ32" si="346">CK32</f>
        <v>0</v>
      </c>
      <c r="CM32" s="511">
        <f t="shared" si="346"/>
        <v>0</v>
      </c>
      <c r="CN32" s="511">
        <f t="shared" si="346"/>
        <v>0</v>
      </c>
      <c r="CO32" s="511">
        <f t="shared" si="346"/>
        <v>0</v>
      </c>
      <c r="CP32" s="511">
        <f t="shared" si="346"/>
        <v>0</v>
      </c>
      <c r="CQ32" s="511">
        <f t="shared" si="346"/>
        <v>0</v>
      </c>
      <c r="CR32" s="722">
        <f t="shared" si="212"/>
        <v>0</v>
      </c>
      <c r="CS32" s="511">
        <f t="shared" ref="CS32:CX32" si="347">CR32</f>
        <v>0</v>
      </c>
      <c r="CT32" s="511">
        <f t="shared" si="347"/>
        <v>0</v>
      </c>
      <c r="CU32" s="511">
        <f t="shared" si="347"/>
        <v>0</v>
      </c>
      <c r="CV32" s="511">
        <f t="shared" si="347"/>
        <v>0</v>
      </c>
      <c r="CW32" s="511">
        <f t="shared" si="347"/>
        <v>0</v>
      </c>
      <c r="CX32" s="511">
        <f t="shared" si="347"/>
        <v>0</v>
      </c>
      <c r="CY32" s="724">
        <f t="shared" si="214"/>
        <v>0</v>
      </c>
      <c r="CZ32" s="508">
        <f t="shared" si="215"/>
        <v>0</v>
      </c>
      <c r="DA32" s="508">
        <f t="shared" si="216"/>
        <v>0</v>
      </c>
      <c r="DB32" s="508">
        <f t="shared" si="217"/>
        <v>0</v>
      </c>
      <c r="DC32" s="508">
        <f t="shared" si="218"/>
        <v>0</v>
      </c>
      <c r="DD32" s="508">
        <f t="shared" si="219"/>
        <v>0</v>
      </c>
      <c r="DE32" s="726">
        <f t="shared" si="220"/>
        <v>0</v>
      </c>
      <c r="DF32" s="724">
        <f t="shared" si="266"/>
        <v>0</v>
      </c>
      <c r="DG32" s="508">
        <f t="shared" si="221"/>
        <v>0</v>
      </c>
      <c r="DH32" s="508">
        <f t="shared" si="222"/>
        <v>0</v>
      </c>
      <c r="DI32" s="508">
        <f t="shared" si="223"/>
        <v>0</v>
      </c>
      <c r="DJ32" s="508">
        <f t="shared" si="224"/>
        <v>0</v>
      </c>
      <c r="DK32" s="508">
        <f t="shared" si="225"/>
        <v>0</v>
      </c>
      <c r="DL32" s="725">
        <f t="shared" si="226"/>
        <v>0</v>
      </c>
      <c r="DM32" s="724">
        <f t="shared" si="267"/>
        <v>0</v>
      </c>
      <c r="DN32" s="509">
        <f t="shared" si="227"/>
        <v>0</v>
      </c>
      <c r="DO32" s="508">
        <f t="shared" si="228"/>
        <v>0</v>
      </c>
      <c r="DP32" s="508">
        <f t="shared" si="229"/>
        <v>0</v>
      </c>
      <c r="DQ32" s="508">
        <f t="shared" si="230"/>
        <v>0</v>
      </c>
      <c r="DR32" s="508">
        <f t="shared" si="231"/>
        <v>0</v>
      </c>
      <c r="DS32" s="725">
        <f t="shared" si="232"/>
        <v>0</v>
      </c>
      <c r="DT32" s="724">
        <f t="shared" si="233"/>
        <v>0</v>
      </c>
      <c r="DU32" s="508">
        <f t="shared" si="234"/>
        <v>0</v>
      </c>
      <c r="DV32" s="508">
        <f t="shared" si="235"/>
        <v>0</v>
      </c>
      <c r="DW32" s="508">
        <f t="shared" si="236"/>
        <v>0</v>
      </c>
      <c r="DX32" s="508">
        <f t="shared" si="237"/>
        <v>0</v>
      </c>
      <c r="DY32" s="508">
        <f t="shared" si="238"/>
        <v>0</v>
      </c>
      <c r="DZ32" s="725">
        <f t="shared" si="239"/>
        <v>0</v>
      </c>
      <c r="EA32" s="722">
        <f t="shared" si="91"/>
        <v>0</v>
      </c>
      <c r="EB32" s="511">
        <f t="shared" si="240"/>
        <v>0</v>
      </c>
      <c r="EC32" s="511">
        <f t="shared" si="241"/>
        <v>0</v>
      </c>
      <c r="ED32" s="511">
        <f t="shared" si="242"/>
        <v>0</v>
      </c>
      <c r="EE32" s="511">
        <f t="shared" si="243"/>
        <v>0</v>
      </c>
      <c r="EF32" s="511">
        <f t="shared" si="244"/>
        <v>0</v>
      </c>
      <c r="EG32" s="723">
        <f t="shared" si="245"/>
        <v>0</v>
      </c>
      <c r="EH32" s="722">
        <f t="shared" si="65"/>
        <v>0</v>
      </c>
      <c r="EI32" s="511">
        <f t="shared" si="246"/>
        <v>0</v>
      </c>
      <c r="EJ32" s="511">
        <f t="shared" si="247"/>
        <v>0</v>
      </c>
      <c r="EK32" s="511">
        <f t="shared" si="248"/>
        <v>0</v>
      </c>
      <c r="EL32" s="511">
        <f t="shared" si="249"/>
        <v>0</v>
      </c>
      <c r="EM32" s="511">
        <f t="shared" si="250"/>
        <v>0</v>
      </c>
      <c r="EN32" s="723">
        <f t="shared" si="251"/>
        <v>0</v>
      </c>
      <c r="EO32" s="507">
        <f t="shared" si="252"/>
        <v>0</v>
      </c>
      <c r="EP32" s="511">
        <f t="shared" si="253"/>
        <v>0</v>
      </c>
      <c r="EQ32" s="511">
        <f t="shared" si="254"/>
        <v>0</v>
      </c>
      <c r="ER32" s="511">
        <f t="shared" si="255"/>
        <v>0</v>
      </c>
      <c r="ES32" s="511">
        <f t="shared" si="256"/>
        <v>0</v>
      </c>
      <c r="ET32" s="511">
        <f t="shared" si="257"/>
        <v>0</v>
      </c>
      <c r="EU32" s="723">
        <f t="shared" si="258"/>
        <v>0</v>
      </c>
      <c r="EV32" s="727">
        <f t="shared" si="268"/>
        <v>0</v>
      </c>
      <c r="EW32" s="728">
        <f t="shared" si="269"/>
        <v>0</v>
      </c>
      <c r="EX32" s="728">
        <f t="shared" si="270"/>
        <v>0</v>
      </c>
      <c r="EY32" s="728">
        <f t="shared" si="271"/>
        <v>0</v>
      </c>
      <c r="EZ32" s="728">
        <f t="shared" si="272"/>
        <v>0</v>
      </c>
      <c r="FA32" s="777">
        <f t="shared" si="273"/>
        <v>0</v>
      </c>
      <c r="FB32" s="777">
        <f t="shared" si="274"/>
        <v>0</v>
      </c>
      <c r="FC32" s="778">
        <f t="shared" si="275"/>
        <v>0</v>
      </c>
    </row>
    <row r="33" spans="1:159" s="10" customFormat="1" ht="12.75" customHeight="1">
      <c r="A33" s="662" t="s">
        <v>189</v>
      </c>
      <c r="B33" s="703" t="str">
        <f t="shared" si="197"/>
        <v>KU-HVAC-DWH-Furnace - ENERGY STAR</v>
      </c>
      <c r="C33" s="703" t="str">
        <f t="shared" si="198"/>
        <v>ENERGY STAR Furnace - 95% AFUE</v>
      </c>
      <c r="D33" s="703" t="str">
        <f t="shared" si="198"/>
        <v>Federal Standard 2016 Furnace - 80% AFUE</v>
      </c>
      <c r="E33" s="703" t="str">
        <f t="shared" si="198"/>
        <v>Per Unit</v>
      </c>
      <c r="F33" s="703" t="str">
        <f t="shared" si="198"/>
        <v>Incremental Cost</v>
      </c>
      <c r="G33" s="969">
        <f t="shared" si="198"/>
        <v>976.86</v>
      </c>
      <c r="H33" s="703">
        <f t="shared" si="198"/>
        <v>0</v>
      </c>
      <c r="I33" s="703">
        <f t="shared" si="198"/>
        <v>976.86</v>
      </c>
      <c r="J33" s="703">
        <f t="shared" si="198"/>
        <v>0</v>
      </c>
      <c r="K33" s="703">
        <f t="shared" si="198"/>
        <v>488.43</v>
      </c>
      <c r="L33" s="703" t="str">
        <f t="shared" si="198"/>
        <v>WI TRM average NG Furnace, Multi-stage+, 95% AFUE and Tier 2.</v>
      </c>
      <c r="M33" s="703">
        <f t="shared" si="198"/>
        <v>0</v>
      </c>
      <c r="N33" s="703">
        <f t="shared" si="198"/>
        <v>250</v>
      </c>
      <c r="O33" s="703">
        <f t="shared" si="198"/>
        <v>0</v>
      </c>
      <c r="P33" s="703">
        <f t="shared" si="198"/>
        <v>0</v>
      </c>
      <c r="Q33" s="703">
        <f t="shared" si="198"/>
        <v>0</v>
      </c>
      <c r="R33" s="703">
        <f t="shared" ref="R33:V33" si="348">R18</f>
        <v>0</v>
      </c>
      <c r="S33" s="703">
        <v>0</v>
      </c>
      <c r="T33" s="703" t="str">
        <f t="shared" si="348"/>
        <v>Mid Atlantic TRM</v>
      </c>
      <c r="U33" s="712">
        <f t="shared" si="348"/>
        <v>0.05</v>
      </c>
      <c r="V33" s="713">
        <f t="shared" si="348"/>
        <v>1</v>
      </c>
      <c r="W33" s="938"/>
      <c r="X33" s="938"/>
      <c r="Y33" s="938"/>
      <c r="Z33" s="938"/>
      <c r="AA33" s="939"/>
      <c r="AB33" s="939"/>
      <c r="AC33" s="939"/>
      <c r="AD33" s="773">
        <v>0</v>
      </c>
      <c r="AE33" s="773">
        <v>0</v>
      </c>
      <c r="AF33" s="773">
        <v>0</v>
      </c>
      <c r="AG33" s="773">
        <v>0</v>
      </c>
      <c r="AH33" s="773">
        <v>0</v>
      </c>
      <c r="AI33" s="773">
        <v>0</v>
      </c>
      <c r="AJ33" s="773">
        <v>0</v>
      </c>
      <c r="AK33" s="715" t="s">
        <v>374</v>
      </c>
      <c r="AL33" s="711" t="s">
        <v>375</v>
      </c>
      <c r="AM33" s="711" t="s">
        <v>377</v>
      </c>
      <c r="AN33" s="711" t="s">
        <v>377</v>
      </c>
      <c r="AO33" s="711" t="s">
        <v>1</v>
      </c>
      <c r="AP33" s="711" t="s">
        <v>378</v>
      </c>
      <c r="AQ33" s="711" t="s">
        <v>378</v>
      </c>
      <c r="AR33" s="711" t="s">
        <v>378</v>
      </c>
      <c r="AS33" s="715" t="s">
        <v>379</v>
      </c>
      <c r="AT33" s="715" t="s">
        <v>407</v>
      </c>
      <c r="AU33" s="715" t="s">
        <v>385</v>
      </c>
      <c r="AV33" s="940">
        <f t="shared" si="278"/>
        <v>18</v>
      </c>
      <c r="AW33" s="940">
        <f t="shared" si="278"/>
        <v>18</v>
      </c>
      <c r="AX33" s="711"/>
      <c r="AY33" s="716">
        <v>1</v>
      </c>
      <c r="AZ33" s="716">
        <v>1</v>
      </c>
      <c r="BA33" s="717">
        <v>0</v>
      </c>
      <c r="BB33" s="721">
        <f t="shared" si="201"/>
        <v>976.86</v>
      </c>
      <c r="BC33" s="499">
        <f t="shared" ref="BC33:BH33" si="349">BB33</f>
        <v>976.86</v>
      </c>
      <c r="BD33" s="499">
        <f t="shared" si="349"/>
        <v>976.86</v>
      </c>
      <c r="BE33" s="499">
        <f t="shared" si="349"/>
        <v>976.86</v>
      </c>
      <c r="BF33" s="499">
        <f t="shared" si="349"/>
        <v>976.86</v>
      </c>
      <c r="BG33" s="499">
        <f t="shared" si="349"/>
        <v>976.86</v>
      </c>
      <c r="BH33" s="499">
        <f t="shared" si="349"/>
        <v>976.86</v>
      </c>
      <c r="BI33" s="721">
        <f t="shared" si="203"/>
        <v>0</v>
      </c>
      <c r="BJ33" s="499">
        <f t="shared" ref="BJ33:BO33" si="350">BI33</f>
        <v>0</v>
      </c>
      <c r="BK33" s="499">
        <f t="shared" si="350"/>
        <v>0</v>
      </c>
      <c r="BL33" s="499">
        <f t="shared" si="350"/>
        <v>0</v>
      </c>
      <c r="BM33" s="499">
        <f t="shared" si="350"/>
        <v>0</v>
      </c>
      <c r="BN33" s="499">
        <f t="shared" si="350"/>
        <v>0</v>
      </c>
      <c r="BO33" s="499">
        <f t="shared" si="350"/>
        <v>0</v>
      </c>
      <c r="BP33" s="721">
        <f t="shared" si="205"/>
        <v>250</v>
      </c>
      <c r="BQ33" s="499">
        <f t="shared" ref="BQ33:BV33" si="351">BP33</f>
        <v>250</v>
      </c>
      <c r="BR33" s="499">
        <f t="shared" si="351"/>
        <v>250</v>
      </c>
      <c r="BS33" s="499">
        <f t="shared" si="351"/>
        <v>250</v>
      </c>
      <c r="BT33" s="499">
        <f t="shared" si="351"/>
        <v>250</v>
      </c>
      <c r="BU33" s="499">
        <f t="shared" si="351"/>
        <v>250</v>
      </c>
      <c r="BV33" s="499">
        <f t="shared" si="351"/>
        <v>250</v>
      </c>
      <c r="BW33" s="503">
        <f t="shared" si="207"/>
        <v>0</v>
      </c>
      <c r="BX33" s="503">
        <f t="shared" si="207"/>
        <v>0</v>
      </c>
      <c r="BY33" s="503">
        <f t="shared" si="207"/>
        <v>0</v>
      </c>
      <c r="BZ33" s="503">
        <f t="shared" si="207"/>
        <v>0</v>
      </c>
      <c r="CA33" s="503">
        <f t="shared" si="207"/>
        <v>0</v>
      </c>
      <c r="CB33" s="503">
        <f t="shared" si="207"/>
        <v>0</v>
      </c>
      <c r="CC33" s="776">
        <f t="shared" si="207"/>
        <v>0</v>
      </c>
      <c r="CD33" s="507">
        <f t="shared" si="208"/>
        <v>0</v>
      </c>
      <c r="CE33" s="511">
        <f t="shared" ref="CE33:CJ33" si="352">CD33</f>
        <v>0</v>
      </c>
      <c r="CF33" s="511">
        <f t="shared" si="352"/>
        <v>0</v>
      </c>
      <c r="CG33" s="511">
        <f t="shared" si="352"/>
        <v>0</v>
      </c>
      <c r="CH33" s="511">
        <f t="shared" si="352"/>
        <v>0</v>
      </c>
      <c r="CI33" s="511">
        <f t="shared" si="352"/>
        <v>0</v>
      </c>
      <c r="CJ33" s="511">
        <f t="shared" si="352"/>
        <v>0</v>
      </c>
      <c r="CK33" s="722">
        <f t="shared" si="210"/>
        <v>0</v>
      </c>
      <c r="CL33" s="511">
        <f t="shared" ref="CL33:CQ33" si="353">CK33</f>
        <v>0</v>
      </c>
      <c r="CM33" s="511">
        <f t="shared" si="353"/>
        <v>0</v>
      </c>
      <c r="CN33" s="511">
        <f t="shared" si="353"/>
        <v>0</v>
      </c>
      <c r="CO33" s="511">
        <f t="shared" si="353"/>
        <v>0</v>
      </c>
      <c r="CP33" s="511">
        <f t="shared" si="353"/>
        <v>0</v>
      </c>
      <c r="CQ33" s="511">
        <f t="shared" si="353"/>
        <v>0</v>
      </c>
      <c r="CR33" s="722">
        <f t="shared" si="212"/>
        <v>0</v>
      </c>
      <c r="CS33" s="511">
        <f t="shared" ref="CS33:CX33" si="354">CR33</f>
        <v>0</v>
      </c>
      <c r="CT33" s="511">
        <f t="shared" si="354"/>
        <v>0</v>
      </c>
      <c r="CU33" s="511">
        <f t="shared" si="354"/>
        <v>0</v>
      </c>
      <c r="CV33" s="511">
        <f t="shared" si="354"/>
        <v>0</v>
      </c>
      <c r="CW33" s="511">
        <f t="shared" si="354"/>
        <v>0</v>
      </c>
      <c r="CX33" s="511">
        <f t="shared" si="354"/>
        <v>0</v>
      </c>
      <c r="CY33" s="724">
        <f t="shared" si="214"/>
        <v>0</v>
      </c>
      <c r="CZ33" s="508">
        <f t="shared" si="215"/>
        <v>0</v>
      </c>
      <c r="DA33" s="508">
        <f t="shared" si="216"/>
        <v>0</v>
      </c>
      <c r="DB33" s="508">
        <f t="shared" si="217"/>
        <v>0</v>
      </c>
      <c r="DC33" s="508">
        <f t="shared" si="218"/>
        <v>0</v>
      </c>
      <c r="DD33" s="508">
        <f t="shared" si="219"/>
        <v>0</v>
      </c>
      <c r="DE33" s="726">
        <f t="shared" si="220"/>
        <v>0</v>
      </c>
      <c r="DF33" s="724">
        <f t="shared" si="266"/>
        <v>0</v>
      </c>
      <c r="DG33" s="508">
        <f t="shared" si="221"/>
        <v>0</v>
      </c>
      <c r="DH33" s="508">
        <f t="shared" si="222"/>
        <v>0</v>
      </c>
      <c r="DI33" s="508">
        <f t="shared" si="223"/>
        <v>0</v>
      </c>
      <c r="DJ33" s="508">
        <f t="shared" si="224"/>
        <v>0</v>
      </c>
      <c r="DK33" s="508">
        <f t="shared" si="225"/>
        <v>0</v>
      </c>
      <c r="DL33" s="725">
        <f t="shared" si="226"/>
        <v>0</v>
      </c>
      <c r="DM33" s="724">
        <f t="shared" si="267"/>
        <v>0</v>
      </c>
      <c r="DN33" s="509">
        <f t="shared" si="227"/>
        <v>0</v>
      </c>
      <c r="DO33" s="508">
        <f t="shared" si="228"/>
        <v>0</v>
      </c>
      <c r="DP33" s="508">
        <f t="shared" si="229"/>
        <v>0</v>
      </c>
      <c r="DQ33" s="508">
        <f t="shared" si="230"/>
        <v>0</v>
      </c>
      <c r="DR33" s="508">
        <f t="shared" si="231"/>
        <v>0</v>
      </c>
      <c r="DS33" s="725">
        <f t="shared" si="232"/>
        <v>0</v>
      </c>
      <c r="DT33" s="724">
        <f t="shared" si="233"/>
        <v>0</v>
      </c>
      <c r="DU33" s="508">
        <f t="shared" si="234"/>
        <v>0</v>
      </c>
      <c r="DV33" s="508">
        <f t="shared" si="235"/>
        <v>0</v>
      </c>
      <c r="DW33" s="508">
        <f t="shared" si="236"/>
        <v>0</v>
      </c>
      <c r="DX33" s="508">
        <f t="shared" si="237"/>
        <v>0</v>
      </c>
      <c r="DY33" s="508">
        <f t="shared" si="238"/>
        <v>0</v>
      </c>
      <c r="DZ33" s="725">
        <f t="shared" si="239"/>
        <v>0</v>
      </c>
      <c r="EA33" s="722">
        <f t="shared" si="91"/>
        <v>0</v>
      </c>
      <c r="EB33" s="511">
        <f t="shared" si="240"/>
        <v>0</v>
      </c>
      <c r="EC33" s="511">
        <f t="shared" si="241"/>
        <v>0</v>
      </c>
      <c r="ED33" s="511">
        <f t="shared" si="242"/>
        <v>0</v>
      </c>
      <c r="EE33" s="511">
        <f t="shared" si="243"/>
        <v>0</v>
      </c>
      <c r="EF33" s="511">
        <f t="shared" si="244"/>
        <v>0</v>
      </c>
      <c r="EG33" s="723">
        <f t="shared" si="245"/>
        <v>0</v>
      </c>
      <c r="EH33" s="722">
        <f t="shared" si="65"/>
        <v>0</v>
      </c>
      <c r="EI33" s="511">
        <f t="shared" si="246"/>
        <v>0</v>
      </c>
      <c r="EJ33" s="511">
        <f t="shared" si="247"/>
        <v>0</v>
      </c>
      <c r="EK33" s="511">
        <f t="shared" si="248"/>
        <v>0</v>
      </c>
      <c r="EL33" s="511">
        <f t="shared" si="249"/>
        <v>0</v>
      </c>
      <c r="EM33" s="511">
        <f t="shared" si="250"/>
        <v>0</v>
      </c>
      <c r="EN33" s="723">
        <f t="shared" si="251"/>
        <v>0</v>
      </c>
      <c r="EO33" s="507">
        <f t="shared" si="252"/>
        <v>0</v>
      </c>
      <c r="EP33" s="511">
        <f t="shared" si="253"/>
        <v>0</v>
      </c>
      <c r="EQ33" s="511">
        <f t="shared" si="254"/>
        <v>0</v>
      </c>
      <c r="ER33" s="511">
        <f t="shared" si="255"/>
        <v>0</v>
      </c>
      <c r="ES33" s="511">
        <f t="shared" si="256"/>
        <v>0</v>
      </c>
      <c r="ET33" s="511">
        <f t="shared" si="257"/>
        <v>0</v>
      </c>
      <c r="EU33" s="723">
        <f t="shared" si="258"/>
        <v>0</v>
      </c>
      <c r="EV33" s="727">
        <f t="shared" si="268"/>
        <v>0</v>
      </c>
      <c r="EW33" s="728">
        <f t="shared" si="269"/>
        <v>0</v>
      </c>
      <c r="EX33" s="728">
        <f t="shared" si="270"/>
        <v>0</v>
      </c>
      <c r="EY33" s="728">
        <f t="shared" si="271"/>
        <v>0</v>
      </c>
      <c r="EZ33" s="728">
        <f t="shared" si="272"/>
        <v>0</v>
      </c>
      <c r="FA33" s="777">
        <f t="shared" si="273"/>
        <v>0</v>
      </c>
      <c r="FB33" s="777">
        <f t="shared" si="274"/>
        <v>0</v>
      </c>
      <c r="FC33" s="778">
        <f t="shared" si="275"/>
        <v>0</v>
      </c>
    </row>
    <row r="34" spans="1:159" s="10" customFormat="1" ht="12.75" customHeight="1">
      <c r="A34" s="662" t="s">
        <v>190</v>
      </c>
      <c r="B34" s="703" t="str">
        <f t="shared" si="197"/>
        <v>KU-HVAC-DWH-Heat Pump Water Heater - ENERGY STAR</v>
      </c>
      <c r="C34" s="703" t="str">
        <f t="shared" si="198"/>
        <v>ENERGY STAR Heat Pump Water Heater ≤ 55 GAL - UEF 2.2</v>
      </c>
      <c r="D34" s="703" t="str">
        <f t="shared" si="198"/>
        <v>Federal Standard 2015 Storage Water Heater ≤ 55 GAL - UEF 0.95</v>
      </c>
      <c r="E34" s="703" t="str">
        <f t="shared" si="198"/>
        <v>Per Unit</v>
      </c>
      <c r="F34" s="703" t="str">
        <f t="shared" si="198"/>
        <v>Incremental Cost</v>
      </c>
      <c r="G34" s="969">
        <f t="shared" si="198"/>
        <v>1030</v>
      </c>
      <c r="H34" s="703">
        <f t="shared" si="198"/>
        <v>0</v>
      </c>
      <c r="I34" s="703">
        <f t="shared" si="198"/>
        <v>1030</v>
      </c>
      <c r="J34" s="703">
        <f t="shared" si="198"/>
        <v>0</v>
      </c>
      <c r="K34" s="703">
        <f t="shared" si="198"/>
        <v>515</v>
      </c>
      <c r="L34" s="703" t="str">
        <f t="shared" si="198"/>
        <v>IL TRM (Installed Cost is 2062)</v>
      </c>
      <c r="M34" s="703">
        <f t="shared" si="198"/>
        <v>0</v>
      </c>
      <c r="N34" s="703">
        <f t="shared" si="198"/>
        <v>300</v>
      </c>
      <c r="O34" s="703">
        <f t="shared" si="198"/>
        <v>0</v>
      </c>
      <c r="P34" s="703">
        <f t="shared" si="198"/>
        <v>0</v>
      </c>
      <c r="Q34" s="703">
        <f t="shared" si="198"/>
        <v>1455.4089451200357</v>
      </c>
      <c r="R34" s="703">
        <f t="shared" ref="R34:V34" si="355">R19</f>
        <v>5.8064516129032261E-2</v>
      </c>
      <c r="S34" s="703">
        <v>0</v>
      </c>
      <c r="T34" s="703" t="str">
        <f t="shared" si="355"/>
        <v>Mid Atlantic TRM</v>
      </c>
      <c r="U34" s="712">
        <f t="shared" si="355"/>
        <v>0.05</v>
      </c>
      <c r="V34" s="713">
        <f t="shared" si="355"/>
        <v>1</v>
      </c>
      <c r="W34" s="938"/>
      <c r="X34" s="938"/>
      <c r="Y34" s="938"/>
      <c r="Z34" s="938"/>
      <c r="AA34" s="939"/>
      <c r="AB34" s="939"/>
      <c r="AC34" s="939"/>
      <c r="AD34" s="773">
        <f t="shared" si="277"/>
        <v>0</v>
      </c>
      <c r="AE34" s="773">
        <f t="shared" si="277"/>
        <v>37.5</v>
      </c>
      <c r="AF34" s="773">
        <f t="shared" si="277"/>
        <v>48.5</v>
      </c>
      <c r="AG34" s="773">
        <f t="shared" si="277"/>
        <v>60</v>
      </c>
      <c r="AH34" s="773">
        <f t="shared" si="277"/>
        <v>75</v>
      </c>
      <c r="AI34" s="773">
        <f t="shared" si="277"/>
        <v>75</v>
      </c>
      <c r="AJ34" s="773">
        <f t="shared" si="277"/>
        <v>75</v>
      </c>
      <c r="AK34" s="715" t="s">
        <v>374</v>
      </c>
      <c r="AL34" s="711" t="s">
        <v>375</v>
      </c>
      <c r="AM34" s="711" t="s">
        <v>377</v>
      </c>
      <c r="AN34" s="711" t="s">
        <v>377</v>
      </c>
      <c r="AO34" s="711" t="s">
        <v>1</v>
      </c>
      <c r="AP34" s="711" t="s">
        <v>378</v>
      </c>
      <c r="AQ34" s="711" t="s">
        <v>378</v>
      </c>
      <c r="AR34" s="711" t="s">
        <v>378</v>
      </c>
      <c r="AS34" s="715" t="s">
        <v>943</v>
      </c>
      <c r="AT34" s="715" t="s">
        <v>407</v>
      </c>
      <c r="AU34" s="715" t="s">
        <v>385</v>
      </c>
      <c r="AV34" s="940">
        <f t="shared" si="278"/>
        <v>13</v>
      </c>
      <c r="AW34" s="940">
        <f t="shared" si="278"/>
        <v>13</v>
      </c>
      <c r="AX34" s="711"/>
      <c r="AY34" s="716">
        <v>1</v>
      </c>
      <c r="AZ34" s="716">
        <v>1</v>
      </c>
      <c r="BA34" s="717">
        <v>0</v>
      </c>
      <c r="BB34" s="721">
        <f t="shared" si="201"/>
        <v>1030</v>
      </c>
      <c r="BC34" s="499">
        <f t="shared" ref="BC34:BH34" si="356">BB34</f>
        <v>1030</v>
      </c>
      <c r="BD34" s="499">
        <f t="shared" si="356"/>
        <v>1030</v>
      </c>
      <c r="BE34" s="499">
        <f t="shared" si="356"/>
        <v>1030</v>
      </c>
      <c r="BF34" s="499">
        <f t="shared" si="356"/>
        <v>1030</v>
      </c>
      <c r="BG34" s="499">
        <f t="shared" si="356"/>
        <v>1030</v>
      </c>
      <c r="BH34" s="499">
        <f t="shared" si="356"/>
        <v>1030</v>
      </c>
      <c r="BI34" s="721">
        <f t="shared" si="203"/>
        <v>0</v>
      </c>
      <c r="BJ34" s="499">
        <f t="shared" ref="BJ34:BO34" si="357">BI34</f>
        <v>0</v>
      </c>
      <c r="BK34" s="499">
        <f t="shared" si="357"/>
        <v>0</v>
      </c>
      <c r="BL34" s="499">
        <f t="shared" si="357"/>
        <v>0</v>
      </c>
      <c r="BM34" s="499">
        <f t="shared" si="357"/>
        <v>0</v>
      </c>
      <c r="BN34" s="499">
        <f t="shared" si="357"/>
        <v>0</v>
      </c>
      <c r="BO34" s="499">
        <f t="shared" si="357"/>
        <v>0</v>
      </c>
      <c r="BP34" s="721">
        <f t="shared" si="205"/>
        <v>300</v>
      </c>
      <c r="BQ34" s="499">
        <f t="shared" ref="BQ34:BV34" si="358">BP34</f>
        <v>300</v>
      </c>
      <c r="BR34" s="499">
        <f t="shared" si="358"/>
        <v>300</v>
      </c>
      <c r="BS34" s="499">
        <f t="shared" si="358"/>
        <v>300</v>
      </c>
      <c r="BT34" s="499">
        <f t="shared" si="358"/>
        <v>300</v>
      </c>
      <c r="BU34" s="499">
        <f t="shared" si="358"/>
        <v>300</v>
      </c>
      <c r="BV34" s="499">
        <f t="shared" si="358"/>
        <v>300</v>
      </c>
      <c r="BW34" s="503">
        <f t="shared" si="207"/>
        <v>0</v>
      </c>
      <c r="BX34" s="503">
        <f t="shared" si="207"/>
        <v>0</v>
      </c>
      <c r="BY34" s="503">
        <f t="shared" si="207"/>
        <v>0</v>
      </c>
      <c r="BZ34" s="503">
        <f t="shared" si="207"/>
        <v>0</v>
      </c>
      <c r="CA34" s="503">
        <f t="shared" si="207"/>
        <v>0</v>
      </c>
      <c r="CB34" s="503">
        <f t="shared" si="207"/>
        <v>0</v>
      </c>
      <c r="CC34" s="776">
        <f t="shared" si="207"/>
        <v>0</v>
      </c>
      <c r="CD34" s="507">
        <f t="shared" si="208"/>
        <v>1455.4089451200357</v>
      </c>
      <c r="CE34" s="511">
        <f t="shared" ref="CE34:CJ34" si="359">CD34</f>
        <v>1455.4089451200357</v>
      </c>
      <c r="CF34" s="511">
        <f t="shared" si="359"/>
        <v>1455.4089451200357</v>
      </c>
      <c r="CG34" s="511">
        <f t="shared" si="359"/>
        <v>1455.4089451200357</v>
      </c>
      <c r="CH34" s="511">
        <f t="shared" si="359"/>
        <v>1455.4089451200357</v>
      </c>
      <c r="CI34" s="511">
        <f t="shared" si="359"/>
        <v>1455.4089451200357</v>
      </c>
      <c r="CJ34" s="511">
        <f t="shared" si="359"/>
        <v>1455.4089451200357</v>
      </c>
      <c r="CK34" s="722">
        <f t="shared" si="210"/>
        <v>5.8064516129032261E-2</v>
      </c>
      <c r="CL34" s="511">
        <f t="shared" ref="CL34:CQ34" si="360">CK34</f>
        <v>5.8064516129032261E-2</v>
      </c>
      <c r="CM34" s="511">
        <f t="shared" si="360"/>
        <v>5.8064516129032261E-2</v>
      </c>
      <c r="CN34" s="511">
        <f t="shared" si="360"/>
        <v>5.8064516129032261E-2</v>
      </c>
      <c r="CO34" s="511">
        <f t="shared" si="360"/>
        <v>5.8064516129032261E-2</v>
      </c>
      <c r="CP34" s="511">
        <f t="shared" si="360"/>
        <v>5.8064516129032261E-2</v>
      </c>
      <c r="CQ34" s="511">
        <f t="shared" si="360"/>
        <v>5.8064516129032261E-2</v>
      </c>
      <c r="CR34" s="722">
        <f t="shared" si="212"/>
        <v>0</v>
      </c>
      <c r="CS34" s="511">
        <f t="shared" ref="CS34:CX34" si="361">CR34</f>
        <v>0</v>
      </c>
      <c r="CT34" s="511">
        <f t="shared" si="361"/>
        <v>0</v>
      </c>
      <c r="CU34" s="511">
        <f t="shared" si="361"/>
        <v>0</v>
      </c>
      <c r="CV34" s="511">
        <f t="shared" si="361"/>
        <v>0</v>
      </c>
      <c r="CW34" s="511">
        <f t="shared" si="361"/>
        <v>0</v>
      </c>
      <c r="CX34" s="511">
        <f t="shared" si="361"/>
        <v>0</v>
      </c>
      <c r="CY34" s="724">
        <f t="shared" si="214"/>
        <v>0</v>
      </c>
      <c r="CZ34" s="508">
        <f t="shared" si="215"/>
        <v>38625</v>
      </c>
      <c r="DA34" s="508">
        <f t="shared" si="216"/>
        <v>49955</v>
      </c>
      <c r="DB34" s="508">
        <f t="shared" si="217"/>
        <v>61800</v>
      </c>
      <c r="DC34" s="508">
        <f t="shared" si="218"/>
        <v>77250</v>
      </c>
      <c r="DD34" s="508">
        <f t="shared" si="219"/>
        <v>77250</v>
      </c>
      <c r="DE34" s="726">
        <f t="shared" si="220"/>
        <v>77250</v>
      </c>
      <c r="DF34" s="724">
        <f t="shared" si="266"/>
        <v>0</v>
      </c>
      <c r="DG34" s="508">
        <f t="shared" si="221"/>
        <v>0</v>
      </c>
      <c r="DH34" s="508">
        <f t="shared" si="222"/>
        <v>0</v>
      </c>
      <c r="DI34" s="508">
        <f t="shared" si="223"/>
        <v>0</v>
      </c>
      <c r="DJ34" s="508">
        <f t="shared" si="224"/>
        <v>0</v>
      </c>
      <c r="DK34" s="508">
        <f t="shared" si="225"/>
        <v>0</v>
      </c>
      <c r="DL34" s="725">
        <f t="shared" si="226"/>
        <v>0</v>
      </c>
      <c r="DM34" s="724">
        <f t="shared" si="267"/>
        <v>0</v>
      </c>
      <c r="DN34" s="509">
        <f t="shared" si="227"/>
        <v>11250</v>
      </c>
      <c r="DO34" s="508">
        <f t="shared" si="228"/>
        <v>14550</v>
      </c>
      <c r="DP34" s="508">
        <f t="shared" si="229"/>
        <v>18000</v>
      </c>
      <c r="DQ34" s="508">
        <f t="shared" si="230"/>
        <v>22500</v>
      </c>
      <c r="DR34" s="508">
        <f t="shared" si="231"/>
        <v>22500</v>
      </c>
      <c r="DS34" s="725">
        <f t="shared" si="232"/>
        <v>22500</v>
      </c>
      <c r="DT34" s="724">
        <f t="shared" si="233"/>
        <v>0</v>
      </c>
      <c r="DU34" s="508">
        <f t="shared" si="234"/>
        <v>0</v>
      </c>
      <c r="DV34" s="508">
        <f t="shared" si="235"/>
        <v>0</v>
      </c>
      <c r="DW34" s="508">
        <f t="shared" si="236"/>
        <v>0</v>
      </c>
      <c r="DX34" s="508">
        <f t="shared" si="237"/>
        <v>0</v>
      </c>
      <c r="DY34" s="508">
        <f t="shared" si="238"/>
        <v>0</v>
      </c>
      <c r="DZ34" s="725">
        <f t="shared" si="239"/>
        <v>0</v>
      </c>
      <c r="EA34" s="722">
        <f t="shared" si="91"/>
        <v>0</v>
      </c>
      <c r="EB34" s="511">
        <f t="shared" si="240"/>
        <v>54577.835442001342</v>
      </c>
      <c r="EC34" s="511">
        <f t="shared" si="241"/>
        <v>70587.333838321734</v>
      </c>
      <c r="ED34" s="511">
        <f t="shared" si="242"/>
        <v>87324.536707202147</v>
      </c>
      <c r="EE34" s="511">
        <f t="shared" si="243"/>
        <v>109155.67088400268</v>
      </c>
      <c r="EF34" s="511">
        <f t="shared" si="244"/>
        <v>109155.67088400268</v>
      </c>
      <c r="EG34" s="723">
        <f t="shared" si="245"/>
        <v>109155.67088400268</v>
      </c>
      <c r="EH34" s="722">
        <f t="shared" si="65"/>
        <v>0</v>
      </c>
      <c r="EI34" s="511">
        <f t="shared" si="246"/>
        <v>2.17741935483871</v>
      </c>
      <c r="EJ34" s="511">
        <f t="shared" si="247"/>
        <v>2.8161290322580648</v>
      </c>
      <c r="EK34" s="511">
        <f t="shared" si="248"/>
        <v>3.4838709677419355</v>
      </c>
      <c r="EL34" s="511">
        <f t="shared" si="249"/>
        <v>4.3548387096774199</v>
      </c>
      <c r="EM34" s="511">
        <f t="shared" si="250"/>
        <v>4.3548387096774199</v>
      </c>
      <c r="EN34" s="723">
        <f t="shared" si="251"/>
        <v>4.3548387096774199</v>
      </c>
      <c r="EO34" s="507">
        <f t="shared" si="252"/>
        <v>0</v>
      </c>
      <c r="EP34" s="511">
        <f t="shared" si="253"/>
        <v>0</v>
      </c>
      <c r="EQ34" s="511">
        <f t="shared" si="254"/>
        <v>0</v>
      </c>
      <c r="ER34" s="511">
        <f t="shared" si="255"/>
        <v>0</v>
      </c>
      <c r="ES34" s="511">
        <f t="shared" si="256"/>
        <v>0</v>
      </c>
      <c r="ET34" s="511">
        <f t="shared" si="257"/>
        <v>0</v>
      </c>
      <c r="EU34" s="723">
        <f t="shared" si="258"/>
        <v>0</v>
      </c>
      <c r="EV34" s="727">
        <f t="shared" si="268"/>
        <v>371</v>
      </c>
      <c r="EW34" s="728">
        <f t="shared" si="269"/>
        <v>382130</v>
      </c>
      <c r="EX34" s="728">
        <f t="shared" si="270"/>
        <v>0</v>
      </c>
      <c r="EY34" s="728">
        <f t="shared" si="271"/>
        <v>111300</v>
      </c>
      <c r="EZ34" s="728">
        <f t="shared" si="272"/>
        <v>0</v>
      </c>
      <c r="FA34" s="777">
        <f t="shared" si="273"/>
        <v>539956.71863953327</v>
      </c>
      <c r="FB34" s="777">
        <f t="shared" si="274"/>
        <v>21.541935483870969</v>
      </c>
      <c r="FC34" s="778">
        <f t="shared" si="275"/>
        <v>0</v>
      </c>
    </row>
    <row r="35" spans="1:159" s="10" customFormat="1" ht="12.75" customHeight="1">
      <c r="A35" s="740"/>
      <c r="B35" s="730"/>
      <c r="C35" s="730"/>
      <c r="D35" s="730"/>
      <c r="E35" s="730"/>
      <c r="F35" s="731"/>
      <c r="G35" s="731"/>
      <c r="H35" s="731"/>
      <c r="I35" s="731"/>
      <c r="J35" s="731"/>
      <c r="K35" s="731"/>
      <c r="L35" s="733"/>
      <c r="M35" s="734"/>
      <c r="N35" s="734"/>
      <c r="O35" s="734"/>
      <c r="P35" s="735"/>
      <c r="Q35" s="736"/>
      <c r="R35" s="758"/>
      <c r="S35" s="926"/>
      <c r="T35" s="733"/>
      <c r="U35" s="733"/>
      <c r="V35" s="739"/>
      <c r="W35" s="740"/>
      <c r="X35" s="740"/>
      <c r="Y35" s="740"/>
      <c r="Z35" s="740"/>
      <c r="AA35" s="741"/>
      <c r="AB35" s="741"/>
      <c r="AC35" s="741"/>
      <c r="AD35" s="742"/>
      <c r="AE35" s="742"/>
      <c r="AF35" s="742"/>
      <c r="AG35" s="742"/>
      <c r="AH35" s="742"/>
      <c r="AI35" s="742"/>
      <c r="AJ35" s="742"/>
      <c r="AK35" s="733"/>
      <c r="AL35" s="733"/>
      <c r="AM35" s="733"/>
      <c r="AN35" s="733"/>
      <c r="AO35" s="733"/>
      <c r="AP35" s="733"/>
      <c r="AQ35" s="733"/>
      <c r="AR35" s="733"/>
      <c r="AS35" s="743"/>
      <c r="AT35" s="743"/>
      <c r="AU35" s="743"/>
      <c r="AV35" s="733"/>
      <c r="AW35" s="733"/>
      <c r="AX35" s="733"/>
      <c r="AY35" s="733"/>
      <c r="AZ35" s="733"/>
      <c r="BA35" s="744"/>
      <c r="BB35" s="745"/>
      <c r="BC35" s="745"/>
      <c r="BD35" s="745"/>
      <c r="BE35" s="745"/>
      <c r="BF35" s="745"/>
      <c r="BG35" s="745"/>
      <c r="BH35" s="745"/>
      <c r="BI35" s="745"/>
      <c r="BJ35" s="746"/>
      <c r="BK35" s="746"/>
      <c r="BL35" s="746"/>
      <c r="BM35" s="746"/>
      <c r="BN35" s="746"/>
      <c r="BO35" s="749"/>
      <c r="BP35" s="745"/>
      <c r="BQ35" s="746"/>
      <c r="BR35" s="746"/>
      <c r="BS35" s="746"/>
      <c r="BT35" s="746"/>
      <c r="BU35" s="746"/>
      <c r="BV35" s="749"/>
      <c r="BW35" s="746"/>
      <c r="BX35" s="746"/>
      <c r="BY35" s="746"/>
      <c r="BZ35" s="746"/>
      <c r="CA35" s="746"/>
      <c r="CB35" s="746"/>
      <c r="CC35" s="747"/>
      <c r="CD35" s="510"/>
      <c r="CE35" s="487"/>
      <c r="CF35" s="487"/>
      <c r="CG35" s="487"/>
      <c r="CH35" s="487"/>
      <c r="CI35" s="487"/>
      <c r="CJ35" s="513"/>
      <c r="CK35" s="750"/>
      <c r="CL35" s="487"/>
      <c r="CM35" s="487"/>
      <c r="CN35" s="487"/>
      <c r="CO35" s="487"/>
      <c r="CP35" s="487"/>
      <c r="CQ35" s="513"/>
      <c r="CR35" s="750"/>
      <c r="CS35" s="487"/>
      <c r="CT35" s="487"/>
      <c r="CU35" s="487"/>
      <c r="CV35" s="487"/>
      <c r="CW35" s="487"/>
      <c r="CX35" s="513"/>
      <c r="CY35" s="752"/>
      <c r="CZ35" s="492"/>
      <c r="DA35" s="492"/>
      <c r="DB35" s="492"/>
      <c r="DC35" s="492"/>
      <c r="DD35" s="492"/>
      <c r="DE35" s="754"/>
      <c r="DF35" s="752"/>
      <c r="DG35" s="492"/>
      <c r="DH35" s="492"/>
      <c r="DI35" s="492"/>
      <c r="DJ35" s="492"/>
      <c r="DK35" s="492"/>
      <c r="DL35" s="753"/>
      <c r="DM35" s="752"/>
      <c r="DN35" s="491"/>
      <c r="DO35" s="492"/>
      <c r="DP35" s="492"/>
      <c r="DQ35" s="492"/>
      <c r="DR35" s="492"/>
      <c r="DS35" s="753"/>
      <c r="DT35" s="752"/>
      <c r="DU35" s="492"/>
      <c r="DV35" s="492"/>
      <c r="DW35" s="492"/>
      <c r="DX35" s="492"/>
      <c r="DY35" s="492"/>
      <c r="DZ35" s="753"/>
      <c r="EA35" s="750"/>
      <c r="EB35" s="487"/>
      <c r="EC35" s="487"/>
      <c r="ED35" s="487"/>
      <c r="EE35" s="487"/>
      <c r="EF35" s="487"/>
      <c r="EG35" s="751"/>
      <c r="EH35" s="750"/>
      <c r="EI35" s="487"/>
      <c r="EJ35" s="487"/>
      <c r="EK35" s="487"/>
      <c r="EL35" s="487"/>
      <c r="EM35" s="487"/>
      <c r="EN35" s="751"/>
      <c r="EO35" s="510"/>
      <c r="EP35" s="487"/>
      <c r="EQ35" s="487"/>
      <c r="ER35" s="487"/>
      <c r="ES35" s="487"/>
      <c r="ET35" s="487"/>
      <c r="EU35" s="751"/>
      <c r="EV35" s="515"/>
      <c r="EW35" s="755"/>
      <c r="EX35" s="755"/>
      <c r="EY35" s="755"/>
      <c r="EZ35" s="755"/>
      <c r="FA35" s="756"/>
      <c r="FB35" s="756"/>
      <c r="FC35" s="757"/>
    </row>
    <row r="36" spans="1:159" s="10" customFormat="1" ht="12.75" customHeight="1">
      <c r="A36" s="662" t="s">
        <v>172</v>
      </c>
      <c r="B36" s="703" t="str">
        <f t="shared" ref="B36:B49" si="362">"LG&amp;E-"&amp;B6</f>
        <v>LG&amp;E-Residential Audit - Virtual</v>
      </c>
      <c r="C36" s="703" t="str">
        <f>C6</f>
        <v>Virtual audit with no cost to customer</v>
      </c>
      <c r="D36" s="703" t="str">
        <f>D6</f>
        <v>Existing conditions</v>
      </c>
      <c r="E36" s="703" t="str">
        <f>E6</f>
        <v>Per Home</v>
      </c>
      <c r="F36" s="704" t="str">
        <f>F6</f>
        <v>Incremental</v>
      </c>
      <c r="G36" s="704">
        <v>0</v>
      </c>
      <c r="H36" s="704">
        <v>0</v>
      </c>
      <c r="I36" s="706">
        <f>G36+H36</f>
        <v>0</v>
      </c>
      <c r="J36" s="704">
        <v>0</v>
      </c>
      <c r="K36" s="704" t="s">
        <v>378</v>
      </c>
      <c r="L36" s="711" t="s">
        <v>915</v>
      </c>
      <c r="M36" s="707">
        <v>0</v>
      </c>
      <c r="N36" s="707">
        <v>0</v>
      </c>
      <c r="O36" s="707">
        <v>0</v>
      </c>
      <c r="P36" s="934">
        <v>0</v>
      </c>
      <c r="Q36" s="973">
        <v>0</v>
      </c>
      <c r="R36" s="973">
        <v>0</v>
      </c>
      <c r="S36" s="912">
        <v>0</v>
      </c>
      <c r="T36" s="711" t="s">
        <v>916</v>
      </c>
      <c r="U36" s="712">
        <v>0.05</v>
      </c>
      <c r="V36" s="713">
        <v>1</v>
      </c>
      <c r="W36" s="661">
        <v>720</v>
      </c>
      <c r="X36" s="661">
        <v>283</v>
      </c>
      <c r="Y36" s="661">
        <v>0</v>
      </c>
      <c r="Z36" s="661">
        <v>0</v>
      </c>
      <c r="AA36" s="661">
        <v>0</v>
      </c>
      <c r="AB36" s="661">
        <v>0</v>
      </c>
      <c r="AC36" s="661">
        <v>0</v>
      </c>
      <c r="AD36" s="773">
        <f t="shared" ref="AD36:AJ37" si="363">AD6*0.5</f>
        <v>0</v>
      </c>
      <c r="AE36" s="773">
        <f t="shared" si="363"/>
        <v>625</v>
      </c>
      <c r="AF36" s="773">
        <f t="shared" si="363"/>
        <v>656.25</v>
      </c>
      <c r="AG36" s="773">
        <f t="shared" si="363"/>
        <v>689.0625</v>
      </c>
      <c r="AH36" s="773">
        <f t="shared" si="363"/>
        <v>723.515625</v>
      </c>
      <c r="AI36" s="773">
        <f t="shared" si="363"/>
        <v>723.515625</v>
      </c>
      <c r="AJ36" s="773">
        <f t="shared" si="363"/>
        <v>723.515625</v>
      </c>
      <c r="AK36" s="715" t="s">
        <v>374</v>
      </c>
      <c r="AL36" s="711" t="s">
        <v>375</v>
      </c>
      <c r="AM36" s="711" t="s">
        <v>377</v>
      </c>
      <c r="AN36" s="711" t="s">
        <v>377</v>
      </c>
      <c r="AO36" s="711" t="s">
        <v>1</v>
      </c>
      <c r="AP36" s="711" t="s">
        <v>378</v>
      </c>
      <c r="AQ36" s="711" t="s">
        <v>378</v>
      </c>
      <c r="AR36" s="711" t="s">
        <v>378</v>
      </c>
      <c r="AS36" s="715" t="s">
        <v>379</v>
      </c>
      <c r="AT36" s="715" t="s">
        <v>380</v>
      </c>
      <c r="AU36" s="715" t="s">
        <v>381</v>
      </c>
      <c r="AV36" s="661">
        <v>1</v>
      </c>
      <c r="AW36" s="661">
        <v>1</v>
      </c>
      <c r="AX36" s="711" t="s">
        <v>917</v>
      </c>
      <c r="AY36" s="716">
        <v>1</v>
      </c>
      <c r="AZ36" s="716">
        <v>1</v>
      </c>
      <c r="BA36" s="717">
        <v>1</v>
      </c>
      <c r="BB36" s="721">
        <f t="shared" ref="BB36:BB49" si="364">I36</f>
        <v>0</v>
      </c>
      <c r="BC36" s="499">
        <f t="shared" ref="BC36:BH36" si="365">BB36</f>
        <v>0</v>
      </c>
      <c r="BD36" s="499">
        <f t="shared" si="365"/>
        <v>0</v>
      </c>
      <c r="BE36" s="499">
        <f t="shared" si="365"/>
        <v>0</v>
      </c>
      <c r="BF36" s="499">
        <f t="shared" si="365"/>
        <v>0</v>
      </c>
      <c r="BG36" s="499">
        <f t="shared" si="365"/>
        <v>0</v>
      </c>
      <c r="BH36" s="499">
        <f t="shared" si="365"/>
        <v>0</v>
      </c>
      <c r="BI36" s="721">
        <f t="shared" ref="BI36:BI49" si="366">J36</f>
        <v>0</v>
      </c>
      <c r="BJ36" s="499">
        <f>BI36</f>
        <v>0</v>
      </c>
      <c r="BK36" s="499">
        <f t="shared" ref="BK36:BO36" si="367">BJ36</f>
        <v>0</v>
      </c>
      <c r="BL36" s="499">
        <f t="shared" si="367"/>
        <v>0</v>
      </c>
      <c r="BM36" s="499">
        <f t="shared" si="367"/>
        <v>0</v>
      </c>
      <c r="BN36" s="499">
        <f t="shared" si="367"/>
        <v>0</v>
      </c>
      <c r="BO36" s="499">
        <f t="shared" si="367"/>
        <v>0</v>
      </c>
      <c r="BP36" s="721">
        <f t="shared" ref="BP36:BP49" si="368">N36+O36</f>
        <v>0</v>
      </c>
      <c r="BQ36" s="499">
        <f>BP36</f>
        <v>0</v>
      </c>
      <c r="BR36" s="499">
        <f t="shared" ref="BR36:BV36" si="369">BQ36</f>
        <v>0</v>
      </c>
      <c r="BS36" s="499">
        <f t="shared" si="369"/>
        <v>0</v>
      </c>
      <c r="BT36" s="499">
        <f t="shared" si="369"/>
        <v>0</v>
      </c>
      <c r="BU36" s="499">
        <f t="shared" si="369"/>
        <v>0</v>
      </c>
      <c r="BV36" s="499">
        <f t="shared" si="369"/>
        <v>0</v>
      </c>
      <c r="BW36" s="503">
        <f t="shared" si="207"/>
        <v>0</v>
      </c>
      <c r="BX36" s="503">
        <f t="shared" si="207"/>
        <v>0</v>
      </c>
      <c r="BY36" s="503">
        <f t="shared" si="207"/>
        <v>0</v>
      </c>
      <c r="BZ36" s="503">
        <f t="shared" si="207"/>
        <v>0</v>
      </c>
      <c r="CA36" s="503">
        <f t="shared" si="207"/>
        <v>0</v>
      </c>
      <c r="CB36" s="503">
        <f t="shared" si="207"/>
        <v>0</v>
      </c>
      <c r="CC36" s="776">
        <f t="shared" si="207"/>
        <v>0</v>
      </c>
      <c r="CD36" s="507">
        <f t="shared" ref="CD36:CD49" si="370">Q36*AZ36</f>
        <v>0</v>
      </c>
      <c r="CE36" s="511">
        <f>CD36</f>
        <v>0</v>
      </c>
      <c r="CF36" s="511">
        <f t="shared" ref="CF36:CJ36" si="371">CE36</f>
        <v>0</v>
      </c>
      <c r="CG36" s="511">
        <f t="shared" si="371"/>
        <v>0</v>
      </c>
      <c r="CH36" s="511">
        <f t="shared" si="371"/>
        <v>0</v>
      </c>
      <c r="CI36" s="511">
        <f t="shared" si="371"/>
        <v>0</v>
      </c>
      <c r="CJ36" s="511">
        <f t="shared" si="371"/>
        <v>0</v>
      </c>
      <c r="CK36" s="722">
        <f t="shared" ref="CK36:CK49" si="372">R36*AZ36</f>
        <v>0</v>
      </c>
      <c r="CL36" s="511">
        <f>CK36</f>
        <v>0</v>
      </c>
      <c r="CM36" s="511">
        <f t="shared" ref="CM36:CQ36" si="373">CL36</f>
        <v>0</v>
      </c>
      <c r="CN36" s="511">
        <f t="shared" si="373"/>
        <v>0</v>
      </c>
      <c r="CO36" s="511">
        <f t="shared" si="373"/>
        <v>0</v>
      </c>
      <c r="CP36" s="511">
        <f t="shared" si="373"/>
        <v>0</v>
      </c>
      <c r="CQ36" s="511">
        <f t="shared" si="373"/>
        <v>0</v>
      </c>
      <c r="CR36" s="722">
        <f t="shared" ref="CR36:CR49" si="374">S36*BA36</f>
        <v>0</v>
      </c>
      <c r="CS36" s="511">
        <f>CR36</f>
        <v>0</v>
      </c>
      <c r="CT36" s="511">
        <f t="shared" ref="CT36:CX36" si="375">CS36</f>
        <v>0</v>
      </c>
      <c r="CU36" s="511">
        <f t="shared" si="375"/>
        <v>0</v>
      </c>
      <c r="CV36" s="511">
        <f t="shared" si="375"/>
        <v>0</v>
      </c>
      <c r="CW36" s="511">
        <f t="shared" si="375"/>
        <v>0</v>
      </c>
      <c r="CX36" s="511">
        <f t="shared" si="375"/>
        <v>0</v>
      </c>
      <c r="CY36" s="724">
        <f t="shared" ref="CY36:CY49" si="376">AC36*BB36</f>
        <v>0</v>
      </c>
      <c r="CZ36" s="508">
        <f t="shared" ref="CZ36:CZ49" si="377">AE36*BC36</f>
        <v>0</v>
      </c>
      <c r="DA36" s="508">
        <f t="shared" ref="DA36:DA49" si="378">AF36*BD36</f>
        <v>0</v>
      </c>
      <c r="DB36" s="508">
        <f t="shared" ref="DB36:DB49" si="379">AG36*BE36</f>
        <v>0</v>
      </c>
      <c r="DC36" s="508">
        <f t="shared" ref="DC36:DC49" si="380">AH36*BF36</f>
        <v>0</v>
      </c>
      <c r="DD36" s="508">
        <f t="shared" ref="DD36:DD49" si="381">AI36*BG36</f>
        <v>0</v>
      </c>
      <c r="DE36" s="726">
        <f t="shared" ref="DE36:DE49" si="382">AJ36*BH36</f>
        <v>0</v>
      </c>
      <c r="DF36" s="724">
        <f>AD36*BI36</f>
        <v>0</v>
      </c>
      <c r="DG36" s="508">
        <f t="shared" ref="DG36:DG49" si="383">AE36*BJ36</f>
        <v>0</v>
      </c>
      <c r="DH36" s="508">
        <f t="shared" ref="DH36:DH49" si="384">AF36*BK36</f>
        <v>0</v>
      </c>
      <c r="DI36" s="508">
        <f t="shared" ref="DI36:DI49" si="385">AG36*BL36</f>
        <v>0</v>
      </c>
      <c r="DJ36" s="508">
        <f t="shared" ref="DJ36:DJ49" si="386">AH36*BM36</f>
        <v>0</v>
      </c>
      <c r="DK36" s="508">
        <f t="shared" ref="DK36:DK49" si="387">AI36*BN36</f>
        <v>0</v>
      </c>
      <c r="DL36" s="725">
        <f t="shared" ref="DL36:DL49" si="388">AJ36*BO36</f>
        <v>0</v>
      </c>
      <c r="DM36" s="724">
        <f>AD36*BP36</f>
        <v>0</v>
      </c>
      <c r="DN36" s="509">
        <f t="shared" ref="DN36:DN49" si="389">AE36*BQ36</f>
        <v>0</v>
      </c>
      <c r="DO36" s="508">
        <f t="shared" ref="DO36:DO49" si="390">AF36*BR36</f>
        <v>0</v>
      </c>
      <c r="DP36" s="508">
        <f t="shared" ref="DP36:DP49" si="391">AG36*BS36</f>
        <v>0</v>
      </c>
      <c r="DQ36" s="508">
        <f t="shared" ref="DQ36:DQ49" si="392">AH36*BT36</f>
        <v>0</v>
      </c>
      <c r="DR36" s="508">
        <f t="shared" ref="DR36:DR49" si="393">AI36*BU36</f>
        <v>0</v>
      </c>
      <c r="DS36" s="725">
        <f t="shared" ref="DS36:DS49" si="394">AJ36*BV36</f>
        <v>0</v>
      </c>
      <c r="DT36" s="724">
        <f t="shared" ref="DT36:DT49" si="395">BW36*AD36</f>
        <v>0</v>
      </c>
      <c r="DU36" s="508">
        <f t="shared" ref="DU36:DU49" si="396">BX36*AE36</f>
        <v>0</v>
      </c>
      <c r="DV36" s="508">
        <f t="shared" ref="DV36:DV49" si="397">BY36*AF36</f>
        <v>0</v>
      </c>
      <c r="DW36" s="508">
        <f t="shared" ref="DW36:DW49" si="398">BZ36*AG36</f>
        <v>0</v>
      </c>
      <c r="DX36" s="508">
        <f t="shared" ref="DX36:DX49" si="399">CA36*AH36</f>
        <v>0</v>
      </c>
      <c r="DY36" s="508">
        <f t="shared" ref="DY36:DY49" si="400">CB36*AI36</f>
        <v>0</v>
      </c>
      <c r="DZ36" s="725">
        <f t="shared" ref="DZ36:DZ49" si="401">CC36*AJ36</f>
        <v>0</v>
      </c>
      <c r="EA36" s="722">
        <f t="shared" si="91"/>
        <v>0</v>
      </c>
      <c r="EB36" s="511">
        <f t="shared" ref="EB36:EB49" si="402">AE36*CE36</f>
        <v>0</v>
      </c>
      <c r="EC36" s="511">
        <f t="shared" ref="EC36:EC49" si="403">AF36*CF36</f>
        <v>0</v>
      </c>
      <c r="ED36" s="511">
        <f t="shared" ref="ED36:ED49" si="404">AG36*CG36</f>
        <v>0</v>
      </c>
      <c r="EE36" s="511">
        <f t="shared" ref="EE36:EE49" si="405">AH36*CH36</f>
        <v>0</v>
      </c>
      <c r="EF36" s="511">
        <f t="shared" ref="EF36:EF49" si="406">AI36*CI36</f>
        <v>0</v>
      </c>
      <c r="EG36" s="723">
        <f t="shared" ref="EG36:EG49" si="407">AJ36*CJ36</f>
        <v>0</v>
      </c>
      <c r="EH36" s="722">
        <f t="shared" si="65"/>
        <v>0</v>
      </c>
      <c r="EI36" s="511">
        <f t="shared" ref="EI36:EI49" si="408">AE36*CL36</f>
        <v>0</v>
      </c>
      <c r="EJ36" s="511">
        <f t="shared" ref="EJ36:EJ49" si="409">AF36*CM36</f>
        <v>0</v>
      </c>
      <c r="EK36" s="511">
        <f t="shared" ref="EK36:EK49" si="410">AG36*CN36</f>
        <v>0</v>
      </c>
      <c r="EL36" s="511">
        <f t="shared" ref="EL36:EL49" si="411">AH36*CO36</f>
        <v>0</v>
      </c>
      <c r="EM36" s="511">
        <f t="shared" ref="EM36:EM49" si="412">AI36*CP36</f>
        <v>0</v>
      </c>
      <c r="EN36" s="723">
        <f t="shared" ref="EN36:EN49" si="413">AJ36*CQ36</f>
        <v>0</v>
      </c>
      <c r="EO36" s="507">
        <f t="shared" ref="EO36:EO49" si="414">AD36*CR36</f>
        <v>0</v>
      </c>
      <c r="EP36" s="511">
        <f t="shared" ref="EP36:EP49" si="415">AE36*CS36</f>
        <v>0</v>
      </c>
      <c r="EQ36" s="511">
        <f t="shared" ref="EQ36:EQ49" si="416">AF36*CT36</f>
        <v>0</v>
      </c>
      <c r="ER36" s="511">
        <f t="shared" ref="ER36:ER49" si="417">AG36*CU36</f>
        <v>0</v>
      </c>
      <c r="ES36" s="511">
        <f t="shared" ref="ES36:ES49" si="418">AH36*CV36</f>
        <v>0</v>
      </c>
      <c r="ET36" s="511">
        <f t="shared" ref="ET36:ET49" si="419">AI36*CW36</f>
        <v>0</v>
      </c>
      <c r="EU36" s="723">
        <f t="shared" ref="EU36:EU49" si="420">AJ36*CX36</f>
        <v>0</v>
      </c>
      <c r="EV36" s="727">
        <f>SUM(AD36:AJ36)</f>
        <v>4140.859375</v>
      </c>
      <c r="EW36" s="728">
        <f>SUM(CY36:DE36)</f>
        <v>0</v>
      </c>
      <c r="EX36" s="728">
        <f>SUM(DF36:DL36)</f>
        <v>0</v>
      </c>
      <c r="EY36" s="728">
        <f>SUM(DM36:DS36)</f>
        <v>0</v>
      </c>
      <c r="EZ36" s="728">
        <f>SUM(DT36:DZ36)</f>
        <v>0</v>
      </c>
      <c r="FA36" s="777">
        <f>SUM(EA36:EG36)</f>
        <v>0</v>
      </c>
      <c r="FB36" s="777">
        <f>SUM(EH36:EN36)</f>
        <v>0</v>
      </c>
      <c r="FC36" s="778">
        <f>SUM(EO36:EU36)</f>
        <v>0</v>
      </c>
    </row>
    <row r="37" spans="1:159" s="10" customFormat="1" ht="12.75" customHeight="1">
      <c r="A37" s="662" t="s">
        <v>174</v>
      </c>
      <c r="B37" s="703" t="str">
        <f t="shared" si="362"/>
        <v>LG&amp;E-Virtual Energy Kit</v>
      </c>
      <c r="C37" s="703" t="str">
        <f t="shared" ref="C37:Q43" si="421">C7</f>
        <v>Kits will be mailed to customer</v>
      </c>
      <c r="D37" s="703" t="str">
        <f t="shared" si="421"/>
        <v>Existing conditions</v>
      </c>
      <c r="E37" s="703" t="str">
        <f t="shared" si="421"/>
        <v>Per Home</v>
      </c>
      <c r="F37" s="704" t="str">
        <f t="shared" si="421"/>
        <v>Incremental</v>
      </c>
      <c r="G37" s="704">
        <v>0</v>
      </c>
      <c r="H37" s="869">
        <v>0</v>
      </c>
      <c r="I37" s="706">
        <f>G37+H37</f>
        <v>0</v>
      </c>
      <c r="J37" s="704">
        <v>0</v>
      </c>
      <c r="K37" s="704" t="s">
        <v>378</v>
      </c>
      <c r="L37" s="711" t="s">
        <v>920</v>
      </c>
      <c r="M37" s="707">
        <v>0</v>
      </c>
      <c r="N37" s="707">
        <v>0</v>
      </c>
      <c r="O37" s="707">
        <v>0</v>
      </c>
      <c r="P37" s="937">
        <f>$G$72</f>
        <v>33.36</v>
      </c>
      <c r="Q37" s="973">
        <f>Q7</f>
        <v>142.86778306971763</v>
      </c>
      <c r="R37" s="974">
        <f>R7</f>
        <v>1.0372379046529497E-2</v>
      </c>
      <c r="S37" s="935">
        <f>$P$99</f>
        <v>6.7211292917263261</v>
      </c>
      <c r="T37" s="711" t="s">
        <v>921</v>
      </c>
      <c r="U37" s="712">
        <v>0.05</v>
      </c>
      <c r="V37" s="713">
        <v>1</v>
      </c>
      <c r="W37" s="938"/>
      <c r="X37" s="938"/>
      <c r="Y37" s="938"/>
      <c r="Z37" s="938"/>
      <c r="AA37" s="939"/>
      <c r="AB37" s="939"/>
      <c r="AC37" s="939"/>
      <c r="AD37" s="773">
        <f t="shared" si="363"/>
        <v>0</v>
      </c>
      <c r="AE37" s="773">
        <f t="shared" si="363"/>
        <v>625</v>
      </c>
      <c r="AF37" s="773">
        <f t="shared" si="363"/>
        <v>656.25</v>
      </c>
      <c r="AG37" s="773">
        <f t="shared" si="363"/>
        <v>689.0625</v>
      </c>
      <c r="AH37" s="773">
        <f t="shared" si="363"/>
        <v>723.515625</v>
      </c>
      <c r="AI37" s="773">
        <f t="shared" si="363"/>
        <v>723.515625</v>
      </c>
      <c r="AJ37" s="773">
        <f t="shared" si="363"/>
        <v>723.515625</v>
      </c>
      <c r="AK37" s="715" t="s">
        <v>374</v>
      </c>
      <c r="AL37" s="711" t="s">
        <v>375</v>
      </c>
      <c r="AM37" s="711" t="s">
        <v>377</v>
      </c>
      <c r="AN37" s="711" t="s">
        <v>377</v>
      </c>
      <c r="AO37" s="711" t="s">
        <v>1</v>
      </c>
      <c r="AP37" s="711" t="s">
        <v>378</v>
      </c>
      <c r="AQ37" s="711" t="s">
        <v>378</v>
      </c>
      <c r="AR37" s="711" t="s">
        <v>378</v>
      </c>
      <c r="AS37" s="715" t="s">
        <v>379</v>
      </c>
      <c r="AT37" s="715" t="s">
        <v>407</v>
      </c>
      <c r="AU37" s="715" t="s">
        <v>381</v>
      </c>
      <c r="AV37" s="940">
        <f>$S$99</f>
        <v>9</v>
      </c>
      <c r="AW37" s="940">
        <f>AV37</f>
        <v>9</v>
      </c>
      <c r="AX37" s="711" t="s">
        <v>922</v>
      </c>
      <c r="AY37" s="716">
        <v>1</v>
      </c>
      <c r="AZ37" s="716">
        <v>1</v>
      </c>
      <c r="BA37" s="717">
        <v>1</v>
      </c>
      <c r="BB37" s="721">
        <f t="shared" si="364"/>
        <v>0</v>
      </c>
      <c r="BC37" s="499">
        <f t="shared" ref="BC37:BH37" si="422">BB37</f>
        <v>0</v>
      </c>
      <c r="BD37" s="499">
        <f t="shared" si="422"/>
        <v>0</v>
      </c>
      <c r="BE37" s="499">
        <f t="shared" si="422"/>
        <v>0</v>
      </c>
      <c r="BF37" s="499">
        <f t="shared" si="422"/>
        <v>0</v>
      </c>
      <c r="BG37" s="499">
        <f t="shared" si="422"/>
        <v>0</v>
      </c>
      <c r="BH37" s="499">
        <f t="shared" si="422"/>
        <v>0</v>
      </c>
      <c r="BI37" s="721">
        <f t="shared" si="366"/>
        <v>0</v>
      </c>
      <c r="BJ37" s="499">
        <f t="shared" ref="BJ37:BO37" si="423">BI37</f>
        <v>0</v>
      </c>
      <c r="BK37" s="499">
        <f t="shared" si="423"/>
        <v>0</v>
      </c>
      <c r="BL37" s="499">
        <f t="shared" si="423"/>
        <v>0</v>
      </c>
      <c r="BM37" s="499">
        <f t="shared" si="423"/>
        <v>0</v>
      </c>
      <c r="BN37" s="499">
        <f t="shared" si="423"/>
        <v>0</v>
      </c>
      <c r="BO37" s="499">
        <f t="shared" si="423"/>
        <v>0</v>
      </c>
      <c r="BP37" s="721">
        <f t="shared" si="368"/>
        <v>0</v>
      </c>
      <c r="BQ37" s="499">
        <f t="shared" ref="BQ37:BV37" si="424">BP37</f>
        <v>0</v>
      </c>
      <c r="BR37" s="499">
        <f t="shared" si="424"/>
        <v>0</v>
      </c>
      <c r="BS37" s="499">
        <f t="shared" si="424"/>
        <v>0</v>
      </c>
      <c r="BT37" s="499">
        <f t="shared" si="424"/>
        <v>0</v>
      </c>
      <c r="BU37" s="499">
        <f t="shared" si="424"/>
        <v>0</v>
      </c>
      <c r="BV37" s="499">
        <f t="shared" si="424"/>
        <v>0</v>
      </c>
      <c r="BW37" s="503">
        <f t="shared" si="207"/>
        <v>33.36</v>
      </c>
      <c r="BX37" s="503">
        <f t="shared" si="207"/>
        <v>33.36</v>
      </c>
      <c r="BY37" s="503">
        <f t="shared" si="207"/>
        <v>33.36</v>
      </c>
      <c r="BZ37" s="503">
        <f t="shared" si="207"/>
        <v>33.36</v>
      </c>
      <c r="CA37" s="503">
        <f t="shared" si="207"/>
        <v>33.36</v>
      </c>
      <c r="CB37" s="503">
        <f t="shared" si="207"/>
        <v>33.36</v>
      </c>
      <c r="CC37" s="776">
        <f t="shared" si="207"/>
        <v>33.36</v>
      </c>
      <c r="CD37" s="507">
        <f t="shared" si="370"/>
        <v>142.86778306971763</v>
      </c>
      <c r="CE37" s="511">
        <f t="shared" ref="CE37:CJ37" si="425">CD37</f>
        <v>142.86778306971763</v>
      </c>
      <c r="CF37" s="511">
        <f t="shared" si="425"/>
        <v>142.86778306971763</v>
      </c>
      <c r="CG37" s="511">
        <f t="shared" si="425"/>
        <v>142.86778306971763</v>
      </c>
      <c r="CH37" s="511">
        <f t="shared" si="425"/>
        <v>142.86778306971763</v>
      </c>
      <c r="CI37" s="511">
        <f t="shared" si="425"/>
        <v>142.86778306971763</v>
      </c>
      <c r="CJ37" s="511">
        <f t="shared" si="425"/>
        <v>142.86778306971763</v>
      </c>
      <c r="CK37" s="722">
        <f t="shared" si="372"/>
        <v>1.0372379046529497E-2</v>
      </c>
      <c r="CL37" s="511">
        <f t="shared" ref="CL37:CQ37" si="426">CK37</f>
        <v>1.0372379046529497E-2</v>
      </c>
      <c r="CM37" s="511">
        <f t="shared" si="426"/>
        <v>1.0372379046529497E-2</v>
      </c>
      <c r="CN37" s="511">
        <f t="shared" si="426"/>
        <v>1.0372379046529497E-2</v>
      </c>
      <c r="CO37" s="511">
        <f t="shared" si="426"/>
        <v>1.0372379046529497E-2</v>
      </c>
      <c r="CP37" s="511">
        <f t="shared" si="426"/>
        <v>1.0372379046529497E-2</v>
      </c>
      <c r="CQ37" s="511">
        <f t="shared" si="426"/>
        <v>1.0372379046529497E-2</v>
      </c>
      <c r="CR37" s="722">
        <f t="shared" si="374"/>
        <v>6.7211292917263261</v>
      </c>
      <c r="CS37" s="511">
        <f t="shared" ref="CS37:CX37" si="427">CR37</f>
        <v>6.7211292917263261</v>
      </c>
      <c r="CT37" s="511">
        <f t="shared" si="427"/>
        <v>6.7211292917263261</v>
      </c>
      <c r="CU37" s="511">
        <f t="shared" si="427"/>
        <v>6.7211292917263261</v>
      </c>
      <c r="CV37" s="511">
        <f t="shared" si="427"/>
        <v>6.7211292917263261</v>
      </c>
      <c r="CW37" s="511">
        <f t="shared" si="427"/>
        <v>6.7211292917263261</v>
      </c>
      <c r="CX37" s="511">
        <f t="shared" si="427"/>
        <v>6.7211292917263261</v>
      </c>
      <c r="CY37" s="724">
        <f t="shared" si="376"/>
        <v>0</v>
      </c>
      <c r="CZ37" s="508">
        <f t="shared" si="377"/>
        <v>0</v>
      </c>
      <c r="DA37" s="508">
        <f t="shared" si="378"/>
        <v>0</v>
      </c>
      <c r="DB37" s="508">
        <f t="shared" si="379"/>
        <v>0</v>
      </c>
      <c r="DC37" s="508">
        <f t="shared" si="380"/>
        <v>0</v>
      </c>
      <c r="DD37" s="508">
        <f t="shared" si="381"/>
        <v>0</v>
      </c>
      <c r="DE37" s="726">
        <f t="shared" si="382"/>
        <v>0</v>
      </c>
      <c r="DF37" s="724">
        <f t="shared" ref="DF37:DF49" si="428">AD37*BI37</f>
        <v>0</v>
      </c>
      <c r="DG37" s="508">
        <f t="shared" si="383"/>
        <v>0</v>
      </c>
      <c r="DH37" s="508">
        <f t="shared" si="384"/>
        <v>0</v>
      </c>
      <c r="DI37" s="508">
        <f t="shared" si="385"/>
        <v>0</v>
      </c>
      <c r="DJ37" s="508">
        <f t="shared" si="386"/>
        <v>0</v>
      </c>
      <c r="DK37" s="508">
        <f t="shared" si="387"/>
        <v>0</v>
      </c>
      <c r="DL37" s="725">
        <f t="shared" si="388"/>
        <v>0</v>
      </c>
      <c r="DM37" s="724">
        <f t="shared" ref="DM37:DM49" si="429">AD37*BP37</f>
        <v>0</v>
      </c>
      <c r="DN37" s="509">
        <f t="shared" si="389"/>
        <v>0</v>
      </c>
      <c r="DO37" s="508">
        <f t="shared" si="390"/>
        <v>0</v>
      </c>
      <c r="DP37" s="508">
        <f t="shared" si="391"/>
        <v>0</v>
      </c>
      <c r="DQ37" s="508">
        <f t="shared" si="392"/>
        <v>0</v>
      </c>
      <c r="DR37" s="508">
        <f t="shared" si="393"/>
        <v>0</v>
      </c>
      <c r="DS37" s="725">
        <f t="shared" si="394"/>
        <v>0</v>
      </c>
      <c r="DT37" s="724">
        <f t="shared" si="395"/>
        <v>0</v>
      </c>
      <c r="DU37" s="508">
        <f t="shared" si="396"/>
        <v>20850</v>
      </c>
      <c r="DV37" s="508">
        <f t="shared" si="397"/>
        <v>21892.5</v>
      </c>
      <c r="DW37" s="508">
        <f t="shared" si="398"/>
        <v>22987.125</v>
      </c>
      <c r="DX37" s="508">
        <f t="shared" si="399"/>
        <v>24136.481250000001</v>
      </c>
      <c r="DY37" s="508">
        <f t="shared" si="400"/>
        <v>24136.481250000001</v>
      </c>
      <c r="DZ37" s="725">
        <f t="shared" si="401"/>
        <v>24136.481250000001</v>
      </c>
      <c r="EA37" s="722">
        <f t="shared" si="91"/>
        <v>0</v>
      </c>
      <c r="EB37" s="511">
        <f t="shared" si="402"/>
        <v>89292.364418573517</v>
      </c>
      <c r="EC37" s="511">
        <f t="shared" si="403"/>
        <v>93756.982639502196</v>
      </c>
      <c r="ED37" s="511">
        <f t="shared" si="404"/>
        <v>98444.8317714773</v>
      </c>
      <c r="EE37" s="511">
        <f t="shared" si="405"/>
        <v>103367.07336005117</v>
      </c>
      <c r="EF37" s="511">
        <f t="shared" si="406"/>
        <v>103367.07336005117</v>
      </c>
      <c r="EG37" s="723">
        <f t="shared" si="407"/>
        <v>103367.07336005117</v>
      </c>
      <c r="EH37" s="722">
        <f t="shared" si="65"/>
        <v>0</v>
      </c>
      <c r="EI37" s="511">
        <f t="shared" si="408"/>
        <v>6.4827369040809355</v>
      </c>
      <c r="EJ37" s="511">
        <f t="shared" si="409"/>
        <v>6.806873749284982</v>
      </c>
      <c r="EK37" s="511">
        <f t="shared" si="410"/>
        <v>7.1472174367492309</v>
      </c>
      <c r="EL37" s="511">
        <f t="shared" si="411"/>
        <v>7.5045783085866926</v>
      </c>
      <c r="EM37" s="511">
        <f t="shared" si="412"/>
        <v>7.5045783085866926</v>
      </c>
      <c r="EN37" s="723">
        <f t="shared" si="413"/>
        <v>7.5045783085866926</v>
      </c>
      <c r="EO37" s="507">
        <f t="shared" si="414"/>
        <v>0</v>
      </c>
      <c r="EP37" s="511">
        <f t="shared" si="415"/>
        <v>4200.7058073289536</v>
      </c>
      <c r="EQ37" s="511">
        <f t="shared" si="416"/>
        <v>4410.7410976954015</v>
      </c>
      <c r="ER37" s="511">
        <f t="shared" si="417"/>
        <v>4631.278152580172</v>
      </c>
      <c r="ES37" s="511">
        <f t="shared" si="418"/>
        <v>4862.8420602091801</v>
      </c>
      <c r="ET37" s="511">
        <f t="shared" si="419"/>
        <v>4862.8420602091801</v>
      </c>
      <c r="EU37" s="723">
        <f t="shared" si="420"/>
        <v>4862.8420602091801</v>
      </c>
      <c r="EV37" s="727">
        <f t="shared" ref="EV37:EV49" si="430">SUM(AD37:AJ37)</f>
        <v>4140.859375</v>
      </c>
      <c r="EW37" s="728">
        <f t="shared" ref="EW37:EW49" si="431">SUM(CY37:DE37)</f>
        <v>0</v>
      </c>
      <c r="EX37" s="728">
        <f t="shared" ref="EX37:EX49" si="432">SUM(DF37:DL37)</f>
        <v>0</v>
      </c>
      <c r="EY37" s="728">
        <f t="shared" ref="EY37:EY49" si="433">SUM(DM37:DS37)</f>
        <v>0</v>
      </c>
      <c r="EZ37" s="728">
        <f t="shared" ref="EZ37:EZ49" si="434">SUM(DT37:DZ37)</f>
        <v>138139.06875000001</v>
      </c>
      <c r="FA37" s="777">
        <f t="shared" ref="FA37:FA49" si="435">SUM(EA37:EG37)</f>
        <v>591595.39890970651</v>
      </c>
      <c r="FB37" s="777">
        <f t="shared" ref="FB37:FB49" si="436">SUM(EH37:EN37)</f>
        <v>42.950563015875233</v>
      </c>
      <c r="FC37" s="778">
        <f t="shared" ref="FC37:FC49" si="437">SUM(EO37:EU37)</f>
        <v>27831.251238232064</v>
      </c>
    </row>
    <row r="38" spans="1:159" s="10" customFormat="1" ht="12.75" customHeight="1">
      <c r="A38" s="662" t="s">
        <v>179</v>
      </c>
      <c r="B38" s="703" t="str">
        <f t="shared" si="362"/>
        <v>LG&amp;E-Weatherization-Ceiling Insulation (KY) - Code</v>
      </c>
      <c r="C38" s="703" t="str">
        <f t="shared" si="421"/>
        <v>R-49</v>
      </c>
      <c r="D38" s="703" t="str">
        <f t="shared" si="421"/>
        <v>Average Existing Insulation</v>
      </c>
      <c r="E38" s="703" t="str">
        <f t="shared" si="421"/>
        <v>Per Unit</v>
      </c>
      <c r="F38" s="703" t="str">
        <f t="shared" si="421"/>
        <v>Incremental Cost</v>
      </c>
      <c r="G38" s="976">
        <f>G8</f>
        <v>1778.5342499999999</v>
      </c>
      <c r="H38" s="703">
        <f t="shared" ref="H38:V38" si="438">H8</f>
        <v>0</v>
      </c>
      <c r="I38" s="703">
        <f t="shared" si="438"/>
        <v>1778.5342499999999</v>
      </c>
      <c r="J38" s="703">
        <f t="shared" si="438"/>
        <v>0</v>
      </c>
      <c r="K38" s="703">
        <f t="shared" si="438"/>
        <v>889.26712499999996</v>
      </c>
      <c r="L38" s="703" t="str">
        <f t="shared" si="438"/>
        <v>RSMeans scaled up by 25% to account for 2022 dollars</v>
      </c>
      <c r="M38" s="703" t="str">
        <f t="shared" si="438"/>
        <v>NA</v>
      </c>
      <c r="N38" s="703">
        <f t="shared" si="438"/>
        <v>300</v>
      </c>
      <c r="O38" s="703">
        <f t="shared" si="438"/>
        <v>0</v>
      </c>
      <c r="P38" s="703">
        <f t="shared" si="438"/>
        <v>0</v>
      </c>
      <c r="Q38" s="703">
        <f t="shared" si="438"/>
        <v>289.95511020164105</v>
      </c>
      <c r="R38" s="703">
        <f t="shared" si="438"/>
        <v>0.1160707319801524</v>
      </c>
      <c r="S38" s="546">
        <f>INDEX('REFERENCE-HomeEnergyPerformance'!$B$6:$FB$148,MATCH('Residential Audit Online'!$B38,'REFERENCE-HomeEnergyPerformance'!$B$6:$B$148,0),MATCH('Residential Audit Online'!S$5,'REFERENCE-HomeEnergyPerformance'!$B$5:$FB$5,0))</f>
        <v>40.586672563532794</v>
      </c>
      <c r="T38" s="703" t="str">
        <f t="shared" si="438"/>
        <v>Potential Study Results: Engineering Calculation</v>
      </c>
      <c r="U38" s="712">
        <f t="shared" si="438"/>
        <v>0.05</v>
      </c>
      <c r="V38" s="713">
        <f t="shared" si="438"/>
        <v>1</v>
      </c>
      <c r="W38" s="661"/>
      <c r="X38" s="661"/>
      <c r="Y38" s="661"/>
      <c r="Z38" s="661"/>
      <c r="AA38" s="714"/>
      <c r="AB38" s="714"/>
      <c r="AC38" s="714"/>
      <c r="AD38" s="773">
        <f t="shared" ref="AD38:AJ49" si="439">AD23</f>
        <v>0</v>
      </c>
      <c r="AE38" s="773">
        <f t="shared" si="439"/>
        <v>0</v>
      </c>
      <c r="AF38" s="773">
        <f t="shared" si="439"/>
        <v>0</v>
      </c>
      <c r="AG38" s="773">
        <f t="shared" si="439"/>
        <v>0</v>
      </c>
      <c r="AH38" s="773">
        <f t="shared" si="439"/>
        <v>0</v>
      </c>
      <c r="AI38" s="773">
        <f t="shared" si="439"/>
        <v>0</v>
      </c>
      <c r="AJ38" s="773">
        <f t="shared" si="439"/>
        <v>0</v>
      </c>
      <c r="AK38" s="715" t="s">
        <v>374</v>
      </c>
      <c r="AL38" s="711" t="s">
        <v>375</v>
      </c>
      <c r="AM38" s="711" t="s">
        <v>377</v>
      </c>
      <c r="AN38" s="711" t="s">
        <v>377</v>
      </c>
      <c r="AO38" s="711" t="s">
        <v>1</v>
      </c>
      <c r="AP38" s="711" t="s">
        <v>378</v>
      </c>
      <c r="AQ38" s="711" t="s">
        <v>378</v>
      </c>
      <c r="AR38" s="711" t="s">
        <v>378</v>
      </c>
      <c r="AS38" s="715" t="s">
        <v>379</v>
      </c>
      <c r="AT38" s="715" t="s">
        <v>407</v>
      </c>
      <c r="AU38" s="715" t="s">
        <v>381</v>
      </c>
      <c r="AV38" s="940">
        <f t="shared" ref="AV38:AW49" si="440">AV23</f>
        <v>20</v>
      </c>
      <c r="AW38" s="940">
        <f t="shared" si="440"/>
        <v>20</v>
      </c>
      <c r="AX38" s="711"/>
      <c r="AY38" s="716">
        <v>1</v>
      </c>
      <c r="AZ38" s="716">
        <v>1</v>
      </c>
      <c r="BA38" s="717">
        <v>1</v>
      </c>
      <c r="BB38" s="721">
        <f t="shared" si="364"/>
        <v>1778.5342499999999</v>
      </c>
      <c r="BC38" s="499">
        <f t="shared" ref="BC38:BH38" si="441">BB38</f>
        <v>1778.5342499999999</v>
      </c>
      <c r="BD38" s="499">
        <f t="shared" si="441"/>
        <v>1778.5342499999999</v>
      </c>
      <c r="BE38" s="499">
        <f t="shared" si="441"/>
        <v>1778.5342499999999</v>
      </c>
      <c r="BF38" s="499">
        <f t="shared" si="441"/>
        <v>1778.5342499999999</v>
      </c>
      <c r="BG38" s="499">
        <f t="shared" si="441"/>
        <v>1778.5342499999999</v>
      </c>
      <c r="BH38" s="499">
        <f t="shared" si="441"/>
        <v>1778.5342499999999</v>
      </c>
      <c r="BI38" s="721">
        <f t="shared" si="366"/>
        <v>0</v>
      </c>
      <c r="BJ38" s="499">
        <f t="shared" ref="BJ38:BO38" si="442">BI38</f>
        <v>0</v>
      </c>
      <c r="BK38" s="499">
        <f t="shared" si="442"/>
        <v>0</v>
      </c>
      <c r="BL38" s="499">
        <f t="shared" si="442"/>
        <v>0</v>
      </c>
      <c r="BM38" s="499">
        <f t="shared" si="442"/>
        <v>0</v>
      </c>
      <c r="BN38" s="499">
        <f t="shared" si="442"/>
        <v>0</v>
      </c>
      <c r="BO38" s="499">
        <f t="shared" si="442"/>
        <v>0</v>
      </c>
      <c r="BP38" s="721">
        <f t="shared" si="368"/>
        <v>300</v>
      </c>
      <c r="BQ38" s="499">
        <f t="shared" ref="BQ38:BV38" si="443">BP38</f>
        <v>300</v>
      </c>
      <c r="BR38" s="499">
        <f t="shared" si="443"/>
        <v>300</v>
      </c>
      <c r="BS38" s="499">
        <f t="shared" si="443"/>
        <v>300</v>
      </c>
      <c r="BT38" s="499">
        <f t="shared" si="443"/>
        <v>300</v>
      </c>
      <c r="BU38" s="499">
        <f t="shared" si="443"/>
        <v>300</v>
      </c>
      <c r="BV38" s="499">
        <f t="shared" si="443"/>
        <v>300</v>
      </c>
      <c r="BW38" s="503">
        <f t="shared" ref="BW38:CC49" si="444">$P38</f>
        <v>0</v>
      </c>
      <c r="BX38" s="503">
        <f t="shared" si="444"/>
        <v>0</v>
      </c>
      <c r="BY38" s="503">
        <f t="shared" si="444"/>
        <v>0</v>
      </c>
      <c r="BZ38" s="503">
        <f t="shared" si="444"/>
        <v>0</v>
      </c>
      <c r="CA38" s="503">
        <f t="shared" si="444"/>
        <v>0</v>
      </c>
      <c r="CB38" s="503">
        <f t="shared" si="444"/>
        <v>0</v>
      </c>
      <c r="CC38" s="776">
        <f t="shared" si="444"/>
        <v>0</v>
      </c>
      <c r="CD38" s="507">
        <f t="shared" si="370"/>
        <v>289.95511020164105</v>
      </c>
      <c r="CE38" s="511">
        <f t="shared" ref="CE38:CJ38" si="445">CD38</f>
        <v>289.95511020164105</v>
      </c>
      <c r="CF38" s="511">
        <f t="shared" si="445"/>
        <v>289.95511020164105</v>
      </c>
      <c r="CG38" s="511">
        <f t="shared" si="445"/>
        <v>289.95511020164105</v>
      </c>
      <c r="CH38" s="511">
        <f t="shared" si="445"/>
        <v>289.95511020164105</v>
      </c>
      <c r="CI38" s="511">
        <f t="shared" si="445"/>
        <v>289.95511020164105</v>
      </c>
      <c r="CJ38" s="511">
        <f t="shared" si="445"/>
        <v>289.95511020164105</v>
      </c>
      <c r="CK38" s="722">
        <f t="shared" si="372"/>
        <v>0.1160707319801524</v>
      </c>
      <c r="CL38" s="511">
        <f t="shared" ref="CL38:CQ38" si="446">CK38</f>
        <v>0.1160707319801524</v>
      </c>
      <c r="CM38" s="511">
        <f t="shared" si="446"/>
        <v>0.1160707319801524</v>
      </c>
      <c r="CN38" s="511">
        <f t="shared" si="446"/>
        <v>0.1160707319801524</v>
      </c>
      <c r="CO38" s="511">
        <f t="shared" si="446"/>
        <v>0.1160707319801524</v>
      </c>
      <c r="CP38" s="511">
        <f t="shared" si="446"/>
        <v>0.1160707319801524</v>
      </c>
      <c r="CQ38" s="511">
        <f t="shared" si="446"/>
        <v>0.1160707319801524</v>
      </c>
      <c r="CR38" s="722">
        <f t="shared" si="374"/>
        <v>40.586672563532794</v>
      </c>
      <c r="CS38" s="511">
        <f t="shared" ref="CS38:CX38" si="447">CR38</f>
        <v>40.586672563532794</v>
      </c>
      <c r="CT38" s="511">
        <f t="shared" si="447"/>
        <v>40.586672563532794</v>
      </c>
      <c r="CU38" s="511">
        <f t="shared" si="447"/>
        <v>40.586672563532794</v>
      </c>
      <c r="CV38" s="511">
        <f t="shared" si="447"/>
        <v>40.586672563532794</v>
      </c>
      <c r="CW38" s="511">
        <f t="shared" si="447"/>
        <v>40.586672563532794</v>
      </c>
      <c r="CX38" s="511">
        <f t="shared" si="447"/>
        <v>40.586672563532794</v>
      </c>
      <c r="CY38" s="724">
        <f t="shared" si="376"/>
        <v>0</v>
      </c>
      <c r="CZ38" s="508">
        <f t="shared" si="377"/>
        <v>0</v>
      </c>
      <c r="DA38" s="508">
        <f t="shared" si="378"/>
        <v>0</v>
      </c>
      <c r="DB38" s="508">
        <f t="shared" si="379"/>
        <v>0</v>
      </c>
      <c r="DC38" s="508">
        <f t="shared" si="380"/>
        <v>0</v>
      </c>
      <c r="DD38" s="508">
        <f t="shared" si="381"/>
        <v>0</v>
      </c>
      <c r="DE38" s="726">
        <f t="shared" si="382"/>
        <v>0</v>
      </c>
      <c r="DF38" s="724">
        <f t="shared" si="428"/>
        <v>0</v>
      </c>
      <c r="DG38" s="508">
        <f t="shared" si="383"/>
        <v>0</v>
      </c>
      <c r="DH38" s="508">
        <f t="shared" si="384"/>
        <v>0</v>
      </c>
      <c r="DI38" s="508">
        <f t="shared" si="385"/>
        <v>0</v>
      </c>
      <c r="DJ38" s="508">
        <f t="shared" si="386"/>
        <v>0</v>
      </c>
      <c r="DK38" s="508">
        <f t="shared" si="387"/>
        <v>0</v>
      </c>
      <c r="DL38" s="725">
        <f t="shared" si="388"/>
        <v>0</v>
      </c>
      <c r="DM38" s="724">
        <f t="shared" si="429"/>
        <v>0</v>
      </c>
      <c r="DN38" s="509">
        <f t="shared" si="389"/>
        <v>0</v>
      </c>
      <c r="DO38" s="508">
        <f t="shared" si="390"/>
        <v>0</v>
      </c>
      <c r="DP38" s="508">
        <f t="shared" si="391"/>
        <v>0</v>
      </c>
      <c r="DQ38" s="508">
        <f t="shared" si="392"/>
        <v>0</v>
      </c>
      <c r="DR38" s="508">
        <f t="shared" si="393"/>
        <v>0</v>
      </c>
      <c r="DS38" s="725">
        <f t="shared" si="394"/>
        <v>0</v>
      </c>
      <c r="DT38" s="724">
        <f t="shared" si="395"/>
        <v>0</v>
      </c>
      <c r="DU38" s="508">
        <f t="shared" si="396"/>
        <v>0</v>
      </c>
      <c r="DV38" s="508">
        <f t="shared" si="397"/>
        <v>0</v>
      </c>
      <c r="DW38" s="508">
        <f t="shared" si="398"/>
        <v>0</v>
      </c>
      <c r="DX38" s="508">
        <f t="shared" si="399"/>
        <v>0</v>
      </c>
      <c r="DY38" s="508">
        <f t="shared" si="400"/>
        <v>0</v>
      </c>
      <c r="DZ38" s="725">
        <f t="shared" si="401"/>
        <v>0</v>
      </c>
      <c r="EA38" s="722">
        <f t="shared" si="91"/>
        <v>0</v>
      </c>
      <c r="EB38" s="511">
        <f t="shared" si="402"/>
        <v>0</v>
      </c>
      <c r="EC38" s="511">
        <f t="shared" si="403"/>
        <v>0</v>
      </c>
      <c r="ED38" s="511">
        <f t="shared" si="404"/>
        <v>0</v>
      </c>
      <c r="EE38" s="511">
        <f t="shared" si="405"/>
        <v>0</v>
      </c>
      <c r="EF38" s="511">
        <f t="shared" si="406"/>
        <v>0</v>
      </c>
      <c r="EG38" s="723">
        <f t="shared" si="407"/>
        <v>0</v>
      </c>
      <c r="EH38" s="722">
        <f t="shared" si="65"/>
        <v>0</v>
      </c>
      <c r="EI38" s="511">
        <f t="shared" si="408"/>
        <v>0</v>
      </c>
      <c r="EJ38" s="511">
        <f t="shared" si="409"/>
        <v>0</v>
      </c>
      <c r="EK38" s="511">
        <f t="shared" si="410"/>
        <v>0</v>
      </c>
      <c r="EL38" s="511">
        <f t="shared" si="411"/>
        <v>0</v>
      </c>
      <c r="EM38" s="511">
        <f t="shared" si="412"/>
        <v>0</v>
      </c>
      <c r="EN38" s="723">
        <f t="shared" si="413"/>
        <v>0</v>
      </c>
      <c r="EO38" s="507">
        <f t="shared" si="414"/>
        <v>0</v>
      </c>
      <c r="EP38" s="511">
        <f t="shared" si="415"/>
        <v>0</v>
      </c>
      <c r="EQ38" s="511">
        <f t="shared" si="416"/>
        <v>0</v>
      </c>
      <c r="ER38" s="511">
        <f t="shared" si="417"/>
        <v>0</v>
      </c>
      <c r="ES38" s="511">
        <f t="shared" si="418"/>
        <v>0</v>
      </c>
      <c r="ET38" s="511">
        <f t="shared" si="419"/>
        <v>0</v>
      </c>
      <c r="EU38" s="723">
        <f t="shared" si="420"/>
        <v>0</v>
      </c>
      <c r="EV38" s="977">
        <f t="shared" si="430"/>
        <v>0</v>
      </c>
      <c r="EW38" s="728">
        <f t="shared" si="431"/>
        <v>0</v>
      </c>
      <c r="EX38" s="728">
        <f t="shared" si="432"/>
        <v>0</v>
      </c>
      <c r="EY38" s="728">
        <f t="shared" si="433"/>
        <v>0</v>
      </c>
      <c r="EZ38" s="728">
        <f t="shared" si="434"/>
        <v>0</v>
      </c>
      <c r="FA38" s="978">
        <f t="shared" si="435"/>
        <v>0</v>
      </c>
      <c r="FB38" s="978">
        <f t="shared" si="436"/>
        <v>0</v>
      </c>
      <c r="FC38" s="778">
        <f t="shared" si="437"/>
        <v>0</v>
      </c>
    </row>
    <row r="39" spans="1:159" s="10" customFormat="1" ht="12.75" customHeight="1">
      <c r="A39" s="662" t="s">
        <v>180</v>
      </c>
      <c r="B39" s="703" t="str">
        <f t="shared" si="362"/>
        <v>LG&amp;E-Weatherization-Duct Sealing and Insulation - Code</v>
      </c>
      <c r="C39" s="703" t="str">
        <f t="shared" si="421"/>
        <v>Code Duct Sealing and Insulation - R-8</v>
      </c>
      <c r="D39" s="703" t="str">
        <f t="shared" si="421"/>
        <v>Existing Duct Sealing and Insulation - R-4</v>
      </c>
      <c r="E39" s="703" t="str">
        <f t="shared" si="421"/>
        <v>Per Unit</v>
      </c>
      <c r="F39" s="703" t="str">
        <f t="shared" si="421"/>
        <v>Incremental Cost</v>
      </c>
      <c r="G39" s="976">
        <f t="shared" si="421"/>
        <v>1452.5</v>
      </c>
      <c r="H39" s="703">
        <f t="shared" si="421"/>
        <v>0</v>
      </c>
      <c r="I39" s="703">
        <f t="shared" si="421"/>
        <v>1452.5</v>
      </c>
      <c r="J39" s="703">
        <f t="shared" si="421"/>
        <v>0</v>
      </c>
      <c r="K39" s="703">
        <f t="shared" si="421"/>
        <v>726.25</v>
      </c>
      <c r="L39" s="703" t="str">
        <f t="shared" si="421"/>
        <v>2010 - ETO - Residential Duct Insulation scaled up to account for 2022 dollars</v>
      </c>
      <c r="M39" s="703" t="str">
        <f t="shared" si="421"/>
        <v>NA</v>
      </c>
      <c r="N39" s="703">
        <f t="shared" si="421"/>
        <v>300</v>
      </c>
      <c r="O39" s="703">
        <f t="shared" si="421"/>
        <v>0</v>
      </c>
      <c r="P39" s="703">
        <f t="shared" si="421"/>
        <v>0</v>
      </c>
      <c r="Q39" s="703">
        <f t="shared" si="421"/>
        <v>734.19254888169826</v>
      </c>
      <c r="R39" s="703">
        <f t="shared" ref="R39:V39" si="448">R9</f>
        <v>0.58505406251679737</v>
      </c>
      <c r="S39" s="546">
        <f>INDEX('REFERENCE-HomeEnergyPerformance'!$B$6:$FB$148,MATCH('Residential Audit Online'!$B39,'REFERENCE-HomeEnergyPerformance'!$B$6:$B$148,0),MATCH('Residential Audit Online'!S$5,'REFERENCE-HomeEnergyPerformance'!$B$5:$FB$5,0))</f>
        <v>70.813454178869478</v>
      </c>
      <c r="T39" s="703" t="str">
        <f t="shared" si="448"/>
        <v>Potential Study Results: NAIMA Duct Insulation 2001 &amp; 2013 - EnergyStar - QI Fact Sheet</v>
      </c>
      <c r="U39" s="712">
        <f t="shared" si="448"/>
        <v>0.05</v>
      </c>
      <c r="V39" s="713">
        <f t="shared" si="448"/>
        <v>1</v>
      </c>
      <c r="W39" s="661"/>
      <c r="X39" s="661"/>
      <c r="Y39" s="661"/>
      <c r="Z39" s="661"/>
      <c r="AA39" s="714"/>
      <c r="AB39" s="714"/>
      <c r="AC39" s="714"/>
      <c r="AD39" s="773">
        <f t="shared" si="439"/>
        <v>0</v>
      </c>
      <c r="AE39" s="773">
        <f t="shared" si="439"/>
        <v>0</v>
      </c>
      <c r="AF39" s="773">
        <f t="shared" si="439"/>
        <v>0</v>
      </c>
      <c r="AG39" s="773">
        <f t="shared" si="439"/>
        <v>0</v>
      </c>
      <c r="AH39" s="773">
        <f t="shared" si="439"/>
        <v>0</v>
      </c>
      <c r="AI39" s="773">
        <f t="shared" si="439"/>
        <v>0</v>
      </c>
      <c r="AJ39" s="773">
        <f t="shared" si="439"/>
        <v>0</v>
      </c>
      <c r="AK39" s="715" t="s">
        <v>374</v>
      </c>
      <c r="AL39" s="711" t="s">
        <v>375</v>
      </c>
      <c r="AM39" s="711" t="s">
        <v>377</v>
      </c>
      <c r="AN39" s="711" t="s">
        <v>377</v>
      </c>
      <c r="AO39" s="711" t="s">
        <v>1</v>
      </c>
      <c r="AP39" s="711" t="s">
        <v>378</v>
      </c>
      <c r="AQ39" s="711" t="s">
        <v>378</v>
      </c>
      <c r="AR39" s="711" t="s">
        <v>378</v>
      </c>
      <c r="AS39" s="715" t="s">
        <v>379</v>
      </c>
      <c r="AT39" s="715" t="s">
        <v>407</v>
      </c>
      <c r="AU39" s="715" t="s">
        <v>381</v>
      </c>
      <c r="AV39" s="940">
        <f t="shared" si="440"/>
        <v>20</v>
      </c>
      <c r="AW39" s="940">
        <f t="shared" si="440"/>
        <v>20</v>
      </c>
      <c r="AX39" s="711"/>
      <c r="AY39" s="716">
        <v>1</v>
      </c>
      <c r="AZ39" s="716">
        <v>1</v>
      </c>
      <c r="BA39" s="717">
        <v>1</v>
      </c>
      <c r="BB39" s="721">
        <f t="shared" si="364"/>
        <v>1452.5</v>
      </c>
      <c r="BC39" s="499">
        <f t="shared" ref="BC39:BH39" si="449">BB39</f>
        <v>1452.5</v>
      </c>
      <c r="BD39" s="499">
        <f t="shared" si="449"/>
        <v>1452.5</v>
      </c>
      <c r="BE39" s="499">
        <f t="shared" si="449"/>
        <v>1452.5</v>
      </c>
      <c r="BF39" s="499">
        <f t="shared" si="449"/>
        <v>1452.5</v>
      </c>
      <c r="BG39" s="499">
        <f t="shared" si="449"/>
        <v>1452.5</v>
      </c>
      <c r="BH39" s="499">
        <f t="shared" si="449"/>
        <v>1452.5</v>
      </c>
      <c r="BI39" s="721">
        <f t="shared" si="366"/>
        <v>0</v>
      </c>
      <c r="BJ39" s="499">
        <f t="shared" ref="BJ39:BO39" si="450">BI39</f>
        <v>0</v>
      </c>
      <c r="BK39" s="499">
        <f t="shared" si="450"/>
        <v>0</v>
      </c>
      <c r="BL39" s="499">
        <f t="shared" si="450"/>
        <v>0</v>
      </c>
      <c r="BM39" s="499">
        <f t="shared" si="450"/>
        <v>0</v>
      </c>
      <c r="BN39" s="499">
        <f t="shared" si="450"/>
        <v>0</v>
      </c>
      <c r="BO39" s="499">
        <f t="shared" si="450"/>
        <v>0</v>
      </c>
      <c r="BP39" s="721">
        <f t="shared" si="368"/>
        <v>300</v>
      </c>
      <c r="BQ39" s="499">
        <f t="shared" ref="BQ39:BV39" si="451">BP39</f>
        <v>300</v>
      </c>
      <c r="BR39" s="499">
        <f t="shared" si="451"/>
        <v>300</v>
      </c>
      <c r="BS39" s="499">
        <f t="shared" si="451"/>
        <v>300</v>
      </c>
      <c r="BT39" s="499">
        <f t="shared" si="451"/>
        <v>300</v>
      </c>
      <c r="BU39" s="499">
        <f t="shared" si="451"/>
        <v>300</v>
      </c>
      <c r="BV39" s="499">
        <f t="shared" si="451"/>
        <v>300</v>
      </c>
      <c r="BW39" s="503">
        <f t="shared" si="444"/>
        <v>0</v>
      </c>
      <c r="BX39" s="503">
        <f t="shared" si="444"/>
        <v>0</v>
      </c>
      <c r="BY39" s="503">
        <f t="shared" si="444"/>
        <v>0</v>
      </c>
      <c r="BZ39" s="503">
        <f t="shared" si="444"/>
        <v>0</v>
      </c>
      <c r="CA39" s="503">
        <f t="shared" si="444"/>
        <v>0</v>
      </c>
      <c r="CB39" s="503">
        <f t="shared" si="444"/>
        <v>0</v>
      </c>
      <c r="CC39" s="776">
        <f t="shared" si="444"/>
        <v>0</v>
      </c>
      <c r="CD39" s="507">
        <f t="shared" si="370"/>
        <v>734.19254888169826</v>
      </c>
      <c r="CE39" s="511">
        <f t="shared" ref="CE39:CJ39" si="452">CD39</f>
        <v>734.19254888169826</v>
      </c>
      <c r="CF39" s="511">
        <f t="shared" si="452"/>
        <v>734.19254888169826</v>
      </c>
      <c r="CG39" s="511">
        <f t="shared" si="452"/>
        <v>734.19254888169826</v>
      </c>
      <c r="CH39" s="511">
        <f t="shared" si="452"/>
        <v>734.19254888169826</v>
      </c>
      <c r="CI39" s="511">
        <f t="shared" si="452"/>
        <v>734.19254888169826</v>
      </c>
      <c r="CJ39" s="511">
        <f t="shared" si="452"/>
        <v>734.19254888169826</v>
      </c>
      <c r="CK39" s="722">
        <f t="shared" si="372"/>
        <v>0.58505406251679737</v>
      </c>
      <c r="CL39" s="511">
        <f t="shared" ref="CL39:CQ39" si="453">CK39</f>
        <v>0.58505406251679737</v>
      </c>
      <c r="CM39" s="511">
        <f t="shared" si="453"/>
        <v>0.58505406251679737</v>
      </c>
      <c r="CN39" s="511">
        <f t="shared" si="453"/>
        <v>0.58505406251679737</v>
      </c>
      <c r="CO39" s="511">
        <f t="shared" si="453"/>
        <v>0.58505406251679737</v>
      </c>
      <c r="CP39" s="511">
        <f t="shared" si="453"/>
        <v>0.58505406251679737</v>
      </c>
      <c r="CQ39" s="511">
        <f t="shared" si="453"/>
        <v>0.58505406251679737</v>
      </c>
      <c r="CR39" s="722">
        <f t="shared" si="374"/>
        <v>70.813454178869478</v>
      </c>
      <c r="CS39" s="511">
        <f t="shared" ref="CS39:CX39" si="454">CR39</f>
        <v>70.813454178869478</v>
      </c>
      <c r="CT39" s="511">
        <f t="shared" si="454"/>
        <v>70.813454178869478</v>
      </c>
      <c r="CU39" s="511">
        <f t="shared" si="454"/>
        <v>70.813454178869478</v>
      </c>
      <c r="CV39" s="511">
        <f t="shared" si="454"/>
        <v>70.813454178869478</v>
      </c>
      <c r="CW39" s="511">
        <f t="shared" si="454"/>
        <v>70.813454178869478</v>
      </c>
      <c r="CX39" s="511">
        <f t="shared" si="454"/>
        <v>70.813454178869478</v>
      </c>
      <c r="CY39" s="724">
        <f t="shared" si="376"/>
        <v>0</v>
      </c>
      <c r="CZ39" s="508">
        <f t="shared" si="377"/>
        <v>0</v>
      </c>
      <c r="DA39" s="508">
        <f t="shared" si="378"/>
        <v>0</v>
      </c>
      <c r="DB39" s="508">
        <f t="shared" si="379"/>
        <v>0</v>
      </c>
      <c r="DC39" s="508">
        <f t="shared" si="380"/>
        <v>0</v>
      </c>
      <c r="DD39" s="508">
        <f t="shared" si="381"/>
        <v>0</v>
      </c>
      <c r="DE39" s="726">
        <f t="shared" si="382"/>
        <v>0</v>
      </c>
      <c r="DF39" s="724">
        <f t="shared" si="428"/>
        <v>0</v>
      </c>
      <c r="DG39" s="508">
        <f t="shared" si="383"/>
        <v>0</v>
      </c>
      <c r="DH39" s="508">
        <f t="shared" si="384"/>
        <v>0</v>
      </c>
      <c r="DI39" s="508">
        <f t="shared" si="385"/>
        <v>0</v>
      </c>
      <c r="DJ39" s="508">
        <f t="shared" si="386"/>
        <v>0</v>
      </c>
      <c r="DK39" s="508">
        <f t="shared" si="387"/>
        <v>0</v>
      </c>
      <c r="DL39" s="725">
        <f t="shared" si="388"/>
        <v>0</v>
      </c>
      <c r="DM39" s="724">
        <f t="shared" si="429"/>
        <v>0</v>
      </c>
      <c r="DN39" s="509">
        <f t="shared" si="389"/>
        <v>0</v>
      </c>
      <c r="DO39" s="508">
        <f t="shared" si="390"/>
        <v>0</v>
      </c>
      <c r="DP39" s="508">
        <f t="shared" si="391"/>
        <v>0</v>
      </c>
      <c r="DQ39" s="508">
        <f t="shared" si="392"/>
        <v>0</v>
      </c>
      <c r="DR39" s="508">
        <f t="shared" si="393"/>
        <v>0</v>
      </c>
      <c r="DS39" s="725">
        <f t="shared" si="394"/>
        <v>0</v>
      </c>
      <c r="DT39" s="724">
        <f t="shared" si="395"/>
        <v>0</v>
      </c>
      <c r="DU39" s="508">
        <f t="shared" si="396"/>
        <v>0</v>
      </c>
      <c r="DV39" s="508">
        <f t="shared" si="397"/>
        <v>0</v>
      </c>
      <c r="DW39" s="508">
        <f t="shared" si="398"/>
        <v>0</v>
      </c>
      <c r="DX39" s="508">
        <f t="shared" si="399"/>
        <v>0</v>
      </c>
      <c r="DY39" s="508">
        <f t="shared" si="400"/>
        <v>0</v>
      </c>
      <c r="DZ39" s="725">
        <f t="shared" si="401"/>
        <v>0</v>
      </c>
      <c r="EA39" s="722">
        <f t="shared" si="91"/>
        <v>0</v>
      </c>
      <c r="EB39" s="511">
        <f t="shared" si="402"/>
        <v>0</v>
      </c>
      <c r="EC39" s="511">
        <f t="shared" si="403"/>
        <v>0</v>
      </c>
      <c r="ED39" s="511">
        <f t="shared" si="404"/>
        <v>0</v>
      </c>
      <c r="EE39" s="511">
        <f t="shared" si="405"/>
        <v>0</v>
      </c>
      <c r="EF39" s="511">
        <f t="shared" si="406"/>
        <v>0</v>
      </c>
      <c r="EG39" s="723">
        <f t="shared" si="407"/>
        <v>0</v>
      </c>
      <c r="EH39" s="722">
        <f t="shared" si="65"/>
        <v>0</v>
      </c>
      <c r="EI39" s="511">
        <f t="shared" si="408"/>
        <v>0</v>
      </c>
      <c r="EJ39" s="511">
        <f t="shared" si="409"/>
        <v>0</v>
      </c>
      <c r="EK39" s="511">
        <f t="shared" si="410"/>
        <v>0</v>
      </c>
      <c r="EL39" s="511">
        <f t="shared" si="411"/>
        <v>0</v>
      </c>
      <c r="EM39" s="511">
        <f t="shared" si="412"/>
        <v>0</v>
      </c>
      <c r="EN39" s="723">
        <f t="shared" si="413"/>
        <v>0</v>
      </c>
      <c r="EO39" s="507">
        <f t="shared" si="414"/>
        <v>0</v>
      </c>
      <c r="EP39" s="511">
        <f t="shared" si="415"/>
        <v>0</v>
      </c>
      <c r="EQ39" s="511">
        <f t="shared" si="416"/>
        <v>0</v>
      </c>
      <c r="ER39" s="511">
        <f t="shared" si="417"/>
        <v>0</v>
      </c>
      <c r="ES39" s="511">
        <f t="shared" si="418"/>
        <v>0</v>
      </c>
      <c r="ET39" s="511">
        <f t="shared" si="419"/>
        <v>0</v>
      </c>
      <c r="EU39" s="723">
        <f t="shared" si="420"/>
        <v>0</v>
      </c>
      <c r="EV39" s="977">
        <f t="shared" si="430"/>
        <v>0</v>
      </c>
      <c r="EW39" s="728">
        <f t="shared" si="431"/>
        <v>0</v>
      </c>
      <c r="EX39" s="728">
        <f t="shared" si="432"/>
        <v>0</v>
      </c>
      <c r="EY39" s="728">
        <f t="shared" si="433"/>
        <v>0</v>
      </c>
      <c r="EZ39" s="728">
        <f t="shared" si="434"/>
        <v>0</v>
      </c>
      <c r="FA39" s="978">
        <f t="shared" si="435"/>
        <v>0</v>
      </c>
      <c r="FB39" s="978">
        <f t="shared" si="436"/>
        <v>0</v>
      </c>
      <c r="FC39" s="778">
        <f t="shared" si="437"/>
        <v>0</v>
      </c>
    </row>
    <row r="40" spans="1:159" s="10" customFormat="1" ht="12.75" customHeight="1">
      <c r="A40" s="662" t="s">
        <v>181</v>
      </c>
      <c r="B40" s="703" t="str">
        <f t="shared" si="362"/>
        <v>LG&amp;E-Weatherization-Infiltration Control - Reduction of Existing Conditions</v>
      </c>
      <c r="C40" s="703" t="str">
        <f t="shared" si="421"/>
        <v>Infiltration Control - 0.1 ACH Reduction</v>
      </c>
      <c r="D40" s="703" t="str">
        <f t="shared" si="421"/>
        <v>Existing Infiltration Conditions</v>
      </c>
      <c r="E40" s="703" t="str">
        <f t="shared" si="421"/>
        <v>Per Unit</v>
      </c>
      <c r="F40" s="703" t="str">
        <f t="shared" si="421"/>
        <v>Incremental Cost</v>
      </c>
      <c r="G40" s="976">
        <f t="shared" si="421"/>
        <v>400.59300000000002</v>
      </c>
      <c r="H40" s="703">
        <f t="shared" si="421"/>
        <v>0</v>
      </c>
      <c r="I40" s="703">
        <f t="shared" si="421"/>
        <v>400.59300000000002</v>
      </c>
      <c r="J40" s="703">
        <f t="shared" si="421"/>
        <v>0</v>
      </c>
      <c r="K40" s="703">
        <f t="shared" si="421"/>
        <v>200.29650000000001</v>
      </c>
      <c r="L40" s="703" t="str">
        <f t="shared" si="421"/>
        <v>RSMeans scaled up by 25% to account for 2022 dollars</v>
      </c>
      <c r="M40" s="703" t="str">
        <f t="shared" si="421"/>
        <v>NA</v>
      </c>
      <c r="N40" s="703">
        <f t="shared" si="421"/>
        <v>160</v>
      </c>
      <c r="O40" s="703">
        <f t="shared" si="421"/>
        <v>0</v>
      </c>
      <c r="P40" s="703">
        <f t="shared" si="421"/>
        <v>0</v>
      </c>
      <c r="Q40" s="703">
        <f t="shared" si="421"/>
        <v>67.901079101881706</v>
      </c>
      <c r="R40" s="703">
        <f t="shared" ref="R40:V40" si="455">R10</f>
        <v>4.0429413628181456E-2</v>
      </c>
      <c r="S40" s="546">
        <f>INDEX('REFERENCE-HomeEnergyPerformance'!$B$6:$FB$148,MATCH('Residential Audit Online'!$B40,'REFERENCE-HomeEnergyPerformance'!$B$6:$B$148,0),MATCH('Residential Audit Online'!S$5,'REFERENCE-HomeEnergyPerformance'!$B$5:$FB$5,0))</f>
        <v>9.9301798271457518</v>
      </c>
      <c r="T40" s="703" t="str">
        <f t="shared" si="455"/>
        <v>Potential Study Results: Cadmus analysis using building modeling to calculate measure percent savings</v>
      </c>
      <c r="U40" s="712">
        <f t="shared" si="455"/>
        <v>0.05</v>
      </c>
      <c r="V40" s="713">
        <f t="shared" si="455"/>
        <v>1</v>
      </c>
      <c r="W40" s="661"/>
      <c r="X40" s="661"/>
      <c r="Y40" s="661"/>
      <c r="Z40" s="661"/>
      <c r="AA40" s="714"/>
      <c r="AB40" s="714"/>
      <c r="AC40" s="714"/>
      <c r="AD40" s="773">
        <f t="shared" si="439"/>
        <v>0</v>
      </c>
      <c r="AE40" s="773">
        <f t="shared" si="439"/>
        <v>0</v>
      </c>
      <c r="AF40" s="773">
        <f t="shared" si="439"/>
        <v>0</v>
      </c>
      <c r="AG40" s="773">
        <f t="shared" si="439"/>
        <v>0</v>
      </c>
      <c r="AH40" s="773">
        <f t="shared" si="439"/>
        <v>0</v>
      </c>
      <c r="AI40" s="773">
        <f t="shared" si="439"/>
        <v>0</v>
      </c>
      <c r="AJ40" s="773">
        <f t="shared" si="439"/>
        <v>0</v>
      </c>
      <c r="AK40" s="715" t="s">
        <v>374</v>
      </c>
      <c r="AL40" s="711" t="s">
        <v>375</v>
      </c>
      <c r="AM40" s="711" t="s">
        <v>377</v>
      </c>
      <c r="AN40" s="711" t="s">
        <v>377</v>
      </c>
      <c r="AO40" s="711" t="s">
        <v>1</v>
      </c>
      <c r="AP40" s="711" t="s">
        <v>378</v>
      </c>
      <c r="AQ40" s="711" t="s">
        <v>378</v>
      </c>
      <c r="AR40" s="711" t="s">
        <v>378</v>
      </c>
      <c r="AS40" s="715" t="s">
        <v>379</v>
      </c>
      <c r="AT40" s="715" t="s">
        <v>407</v>
      </c>
      <c r="AU40" s="715" t="s">
        <v>381</v>
      </c>
      <c r="AV40" s="940">
        <f t="shared" si="440"/>
        <v>20</v>
      </c>
      <c r="AW40" s="940">
        <f t="shared" si="440"/>
        <v>20</v>
      </c>
      <c r="AX40" s="711"/>
      <c r="AY40" s="716">
        <v>1</v>
      </c>
      <c r="AZ40" s="716">
        <v>1</v>
      </c>
      <c r="BA40" s="717">
        <v>1</v>
      </c>
      <c r="BB40" s="721">
        <f t="shared" si="364"/>
        <v>400.59300000000002</v>
      </c>
      <c r="BC40" s="499">
        <f t="shared" ref="BC40:BH40" si="456">BB40</f>
        <v>400.59300000000002</v>
      </c>
      <c r="BD40" s="499">
        <f t="shared" si="456"/>
        <v>400.59300000000002</v>
      </c>
      <c r="BE40" s="499">
        <f t="shared" si="456"/>
        <v>400.59300000000002</v>
      </c>
      <c r="BF40" s="499">
        <f t="shared" si="456"/>
        <v>400.59300000000002</v>
      </c>
      <c r="BG40" s="499">
        <f t="shared" si="456"/>
        <v>400.59300000000002</v>
      </c>
      <c r="BH40" s="499">
        <f t="shared" si="456"/>
        <v>400.59300000000002</v>
      </c>
      <c r="BI40" s="721">
        <f t="shared" si="366"/>
        <v>0</v>
      </c>
      <c r="BJ40" s="499">
        <f t="shared" ref="BJ40:BO40" si="457">BI40</f>
        <v>0</v>
      </c>
      <c r="BK40" s="499">
        <f t="shared" si="457"/>
        <v>0</v>
      </c>
      <c r="BL40" s="499">
        <f t="shared" si="457"/>
        <v>0</v>
      </c>
      <c r="BM40" s="499">
        <f t="shared" si="457"/>
        <v>0</v>
      </c>
      <c r="BN40" s="499">
        <f t="shared" si="457"/>
        <v>0</v>
      </c>
      <c r="BO40" s="499">
        <f t="shared" si="457"/>
        <v>0</v>
      </c>
      <c r="BP40" s="721">
        <f t="shared" si="368"/>
        <v>160</v>
      </c>
      <c r="BQ40" s="499">
        <f t="shared" ref="BQ40:BV40" si="458">BP40</f>
        <v>160</v>
      </c>
      <c r="BR40" s="499">
        <f t="shared" si="458"/>
        <v>160</v>
      </c>
      <c r="BS40" s="499">
        <f t="shared" si="458"/>
        <v>160</v>
      </c>
      <c r="BT40" s="499">
        <f t="shared" si="458"/>
        <v>160</v>
      </c>
      <c r="BU40" s="499">
        <f t="shared" si="458"/>
        <v>160</v>
      </c>
      <c r="BV40" s="499">
        <f t="shared" si="458"/>
        <v>160</v>
      </c>
      <c r="BW40" s="503">
        <f t="shared" si="444"/>
        <v>0</v>
      </c>
      <c r="BX40" s="503">
        <f t="shared" si="444"/>
        <v>0</v>
      </c>
      <c r="BY40" s="503">
        <f t="shared" si="444"/>
        <v>0</v>
      </c>
      <c r="BZ40" s="503">
        <f t="shared" si="444"/>
        <v>0</v>
      </c>
      <c r="CA40" s="503">
        <f t="shared" si="444"/>
        <v>0</v>
      </c>
      <c r="CB40" s="503">
        <f t="shared" si="444"/>
        <v>0</v>
      </c>
      <c r="CC40" s="776">
        <f t="shared" si="444"/>
        <v>0</v>
      </c>
      <c r="CD40" s="507">
        <f t="shared" si="370"/>
        <v>67.901079101881706</v>
      </c>
      <c r="CE40" s="511">
        <f t="shared" ref="CE40:CJ40" si="459">CD40</f>
        <v>67.901079101881706</v>
      </c>
      <c r="CF40" s="511">
        <f t="shared" si="459"/>
        <v>67.901079101881706</v>
      </c>
      <c r="CG40" s="511">
        <f t="shared" si="459"/>
        <v>67.901079101881706</v>
      </c>
      <c r="CH40" s="511">
        <f t="shared" si="459"/>
        <v>67.901079101881706</v>
      </c>
      <c r="CI40" s="511">
        <f t="shared" si="459"/>
        <v>67.901079101881706</v>
      </c>
      <c r="CJ40" s="511">
        <f t="shared" si="459"/>
        <v>67.901079101881706</v>
      </c>
      <c r="CK40" s="722">
        <f t="shared" si="372"/>
        <v>4.0429413628181456E-2</v>
      </c>
      <c r="CL40" s="511">
        <f t="shared" ref="CL40:CQ40" si="460">CK40</f>
        <v>4.0429413628181456E-2</v>
      </c>
      <c r="CM40" s="511">
        <f t="shared" si="460"/>
        <v>4.0429413628181456E-2</v>
      </c>
      <c r="CN40" s="511">
        <f t="shared" si="460"/>
        <v>4.0429413628181456E-2</v>
      </c>
      <c r="CO40" s="511">
        <f t="shared" si="460"/>
        <v>4.0429413628181456E-2</v>
      </c>
      <c r="CP40" s="511">
        <f t="shared" si="460"/>
        <v>4.0429413628181456E-2</v>
      </c>
      <c r="CQ40" s="511">
        <f t="shared" si="460"/>
        <v>4.0429413628181456E-2</v>
      </c>
      <c r="CR40" s="722">
        <f t="shared" si="374"/>
        <v>9.9301798271457518</v>
      </c>
      <c r="CS40" s="511">
        <f t="shared" ref="CS40:CX40" si="461">CR40</f>
        <v>9.9301798271457518</v>
      </c>
      <c r="CT40" s="511">
        <f t="shared" si="461"/>
        <v>9.9301798271457518</v>
      </c>
      <c r="CU40" s="511">
        <f t="shared" si="461"/>
        <v>9.9301798271457518</v>
      </c>
      <c r="CV40" s="511">
        <f t="shared" si="461"/>
        <v>9.9301798271457518</v>
      </c>
      <c r="CW40" s="511">
        <f t="shared" si="461"/>
        <v>9.9301798271457518</v>
      </c>
      <c r="CX40" s="511">
        <f t="shared" si="461"/>
        <v>9.9301798271457518</v>
      </c>
      <c r="CY40" s="724">
        <f t="shared" si="376"/>
        <v>0</v>
      </c>
      <c r="CZ40" s="508">
        <f t="shared" si="377"/>
        <v>0</v>
      </c>
      <c r="DA40" s="508">
        <f t="shared" si="378"/>
        <v>0</v>
      </c>
      <c r="DB40" s="508">
        <f t="shared" si="379"/>
        <v>0</v>
      </c>
      <c r="DC40" s="508">
        <f t="shared" si="380"/>
        <v>0</v>
      </c>
      <c r="DD40" s="508">
        <f t="shared" si="381"/>
        <v>0</v>
      </c>
      <c r="DE40" s="726">
        <f t="shared" si="382"/>
        <v>0</v>
      </c>
      <c r="DF40" s="724">
        <f t="shared" si="428"/>
        <v>0</v>
      </c>
      <c r="DG40" s="508">
        <f t="shared" si="383"/>
        <v>0</v>
      </c>
      <c r="DH40" s="508">
        <f t="shared" si="384"/>
        <v>0</v>
      </c>
      <c r="DI40" s="508">
        <f t="shared" si="385"/>
        <v>0</v>
      </c>
      <c r="DJ40" s="508">
        <f t="shared" si="386"/>
        <v>0</v>
      </c>
      <c r="DK40" s="508">
        <f t="shared" si="387"/>
        <v>0</v>
      </c>
      <c r="DL40" s="725">
        <f t="shared" si="388"/>
        <v>0</v>
      </c>
      <c r="DM40" s="724">
        <f t="shared" si="429"/>
        <v>0</v>
      </c>
      <c r="DN40" s="509">
        <f t="shared" si="389"/>
        <v>0</v>
      </c>
      <c r="DO40" s="508">
        <f t="shared" si="390"/>
        <v>0</v>
      </c>
      <c r="DP40" s="508">
        <f t="shared" si="391"/>
        <v>0</v>
      </c>
      <c r="DQ40" s="508">
        <f t="shared" si="392"/>
        <v>0</v>
      </c>
      <c r="DR40" s="508">
        <f t="shared" si="393"/>
        <v>0</v>
      </c>
      <c r="DS40" s="725">
        <f t="shared" si="394"/>
        <v>0</v>
      </c>
      <c r="DT40" s="724">
        <f t="shared" si="395"/>
        <v>0</v>
      </c>
      <c r="DU40" s="508">
        <f t="shared" si="396"/>
        <v>0</v>
      </c>
      <c r="DV40" s="508">
        <f t="shared" si="397"/>
        <v>0</v>
      </c>
      <c r="DW40" s="508">
        <f t="shared" si="398"/>
        <v>0</v>
      </c>
      <c r="DX40" s="508">
        <f t="shared" si="399"/>
        <v>0</v>
      </c>
      <c r="DY40" s="508">
        <f t="shared" si="400"/>
        <v>0</v>
      </c>
      <c r="DZ40" s="725">
        <f t="shared" si="401"/>
        <v>0</v>
      </c>
      <c r="EA40" s="722">
        <f t="shared" si="91"/>
        <v>0</v>
      </c>
      <c r="EB40" s="511">
        <f t="shared" si="402"/>
        <v>0</v>
      </c>
      <c r="EC40" s="511">
        <f t="shared" si="403"/>
        <v>0</v>
      </c>
      <c r="ED40" s="511">
        <f t="shared" si="404"/>
        <v>0</v>
      </c>
      <c r="EE40" s="511">
        <f t="shared" si="405"/>
        <v>0</v>
      </c>
      <c r="EF40" s="511">
        <f t="shared" si="406"/>
        <v>0</v>
      </c>
      <c r="EG40" s="723">
        <f t="shared" si="407"/>
        <v>0</v>
      </c>
      <c r="EH40" s="722">
        <f t="shared" si="65"/>
        <v>0</v>
      </c>
      <c r="EI40" s="511">
        <f t="shared" si="408"/>
        <v>0</v>
      </c>
      <c r="EJ40" s="511">
        <f t="shared" si="409"/>
        <v>0</v>
      </c>
      <c r="EK40" s="511">
        <f t="shared" si="410"/>
        <v>0</v>
      </c>
      <c r="EL40" s="511">
        <f t="shared" si="411"/>
        <v>0</v>
      </c>
      <c r="EM40" s="511">
        <f t="shared" si="412"/>
        <v>0</v>
      </c>
      <c r="EN40" s="723">
        <f t="shared" si="413"/>
        <v>0</v>
      </c>
      <c r="EO40" s="507">
        <f t="shared" si="414"/>
        <v>0</v>
      </c>
      <c r="EP40" s="511">
        <f t="shared" si="415"/>
        <v>0</v>
      </c>
      <c r="EQ40" s="511">
        <f t="shared" si="416"/>
        <v>0</v>
      </c>
      <c r="ER40" s="511">
        <f t="shared" si="417"/>
        <v>0</v>
      </c>
      <c r="ES40" s="511">
        <f t="shared" si="418"/>
        <v>0</v>
      </c>
      <c r="ET40" s="511">
        <f t="shared" si="419"/>
        <v>0</v>
      </c>
      <c r="EU40" s="723">
        <f t="shared" si="420"/>
        <v>0</v>
      </c>
      <c r="EV40" s="977">
        <f t="shared" si="430"/>
        <v>0</v>
      </c>
      <c r="EW40" s="728">
        <f t="shared" si="431"/>
        <v>0</v>
      </c>
      <c r="EX40" s="728">
        <f t="shared" si="432"/>
        <v>0</v>
      </c>
      <c r="EY40" s="728">
        <f t="shared" si="433"/>
        <v>0</v>
      </c>
      <c r="EZ40" s="728">
        <f t="shared" si="434"/>
        <v>0</v>
      </c>
      <c r="FA40" s="978">
        <f t="shared" si="435"/>
        <v>0</v>
      </c>
      <c r="FB40" s="978">
        <f t="shared" si="436"/>
        <v>0</v>
      </c>
      <c r="FC40" s="778">
        <f t="shared" si="437"/>
        <v>0</v>
      </c>
    </row>
    <row r="41" spans="1:159" s="10" customFormat="1" ht="12.75" customHeight="1">
      <c r="A41" s="662" t="s">
        <v>182</v>
      </c>
      <c r="B41" s="703" t="str">
        <f t="shared" si="362"/>
        <v>LG&amp;E-Weatherization-Wall Insulation (KY) - Maximum Feasible</v>
      </c>
      <c r="C41" s="703" t="str">
        <f t="shared" si="421"/>
        <v>R-13 (Maximum Insulation Feasible)</v>
      </c>
      <c r="D41" s="703" t="str">
        <f t="shared" si="421"/>
        <v>Average Existing Insulation</v>
      </c>
      <c r="E41" s="703" t="str">
        <f t="shared" si="421"/>
        <v>Per Unit</v>
      </c>
      <c r="F41" s="703" t="str">
        <f t="shared" si="421"/>
        <v>Incremental Cost</v>
      </c>
      <c r="G41" s="976">
        <f t="shared" si="421"/>
        <v>2352.2559999999999</v>
      </c>
      <c r="H41" s="703">
        <f t="shared" si="421"/>
        <v>0</v>
      </c>
      <c r="I41" s="703">
        <f t="shared" si="421"/>
        <v>2352.2559999999999</v>
      </c>
      <c r="J41" s="703">
        <f t="shared" si="421"/>
        <v>0</v>
      </c>
      <c r="K41" s="703">
        <f t="shared" si="421"/>
        <v>1176.1279999999999</v>
      </c>
      <c r="L41" s="703" t="str">
        <f t="shared" si="421"/>
        <v>RSMeans scaled up by 25% to account for 2022 dollars</v>
      </c>
      <c r="M41" s="703" t="str">
        <f t="shared" si="421"/>
        <v>NA</v>
      </c>
      <c r="N41" s="703">
        <f t="shared" si="421"/>
        <v>300</v>
      </c>
      <c r="O41" s="703">
        <f t="shared" si="421"/>
        <v>0</v>
      </c>
      <c r="P41" s="703">
        <f t="shared" si="421"/>
        <v>0</v>
      </c>
      <c r="Q41" s="703">
        <f t="shared" si="421"/>
        <v>871.60811609264829</v>
      </c>
      <c r="R41" s="703">
        <f t="shared" ref="R41:V41" si="462">R11</f>
        <v>0.3829215253219283</v>
      </c>
      <c r="S41" s="546">
        <f>INDEX('REFERENCE-HomeEnergyPerformance'!$B$6:$FB$148,MATCH('Residential Audit Online'!$B41,'REFERENCE-HomeEnergyPerformance'!$B$6:$B$148,0),MATCH('Residential Audit Online'!S$5,'REFERENCE-HomeEnergyPerformance'!$B$5:$FB$5,0))</f>
        <v>133.89689459722857</v>
      </c>
      <c r="T41" s="703" t="str">
        <f t="shared" si="462"/>
        <v>Potential Study Results: Engineering Calculation</v>
      </c>
      <c r="U41" s="712">
        <f t="shared" si="462"/>
        <v>0.05</v>
      </c>
      <c r="V41" s="713">
        <f t="shared" si="462"/>
        <v>1</v>
      </c>
      <c r="W41" s="661"/>
      <c r="X41" s="661"/>
      <c r="Y41" s="661"/>
      <c r="Z41" s="661"/>
      <c r="AA41" s="714"/>
      <c r="AB41" s="714"/>
      <c r="AC41" s="714"/>
      <c r="AD41" s="773">
        <f t="shared" si="439"/>
        <v>0</v>
      </c>
      <c r="AE41" s="773">
        <f t="shared" si="439"/>
        <v>0</v>
      </c>
      <c r="AF41" s="773">
        <f t="shared" si="439"/>
        <v>0</v>
      </c>
      <c r="AG41" s="773">
        <f t="shared" si="439"/>
        <v>0</v>
      </c>
      <c r="AH41" s="773">
        <f t="shared" si="439"/>
        <v>0</v>
      </c>
      <c r="AI41" s="773">
        <f t="shared" si="439"/>
        <v>0</v>
      </c>
      <c r="AJ41" s="773">
        <f t="shared" si="439"/>
        <v>0</v>
      </c>
      <c r="AK41" s="715" t="s">
        <v>374</v>
      </c>
      <c r="AL41" s="711" t="s">
        <v>375</v>
      </c>
      <c r="AM41" s="711" t="s">
        <v>377</v>
      </c>
      <c r="AN41" s="711" t="s">
        <v>377</v>
      </c>
      <c r="AO41" s="711" t="s">
        <v>1</v>
      </c>
      <c r="AP41" s="711" t="s">
        <v>378</v>
      </c>
      <c r="AQ41" s="711" t="s">
        <v>378</v>
      </c>
      <c r="AR41" s="711" t="s">
        <v>378</v>
      </c>
      <c r="AS41" s="715" t="s">
        <v>379</v>
      </c>
      <c r="AT41" s="715" t="s">
        <v>407</v>
      </c>
      <c r="AU41" s="715" t="s">
        <v>381</v>
      </c>
      <c r="AV41" s="940">
        <f t="shared" si="440"/>
        <v>20</v>
      </c>
      <c r="AW41" s="940">
        <f t="shared" si="440"/>
        <v>20</v>
      </c>
      <c r="AX41" s="711"/>
      <c r="AY41" s="716">
        <v>1</v>
      </c>
      <c r="AZ41" s="716">
        <v>1</v>
      </c>
      <c r="BA41" s="717">
        <v>1</v>
      </c>
      <c r="BB41" s="721">
        <f t="shared" si="364"/>
        <v>2352.2559999999999</v>
      </c>
      <c r="BC41" s="499">
        <f t="shared" ref="BC41:BH41" si="463">BB41</f>
        <v>2352.2559999999999</v>
      </c>
      <c r="BD41" s="499">
        <f t="shared" si="463"/>
        <v>2352.2559999999999</v>
      </c>
      <c r="BE41" s="499">
        <f t="shared" si="463"/>
        <v>2352.2559999999999</v>
      </c>
      <c r="BF41" s="499">
        <f t="shared" si="463"/>
        <v>2352.2559999999999</v>
      </c>
      <c r="BG41" s="499">
        <f t="shared" si="463"/>
        <v>2352.2559999999999</v>
      </c>
      <c r="BH41" s="499">
        <f t="shared" si="463"/>
        <v>2352.2559999999999</v>
      </c>
      <c r="BI41" s="721">
        <f t="shared" si="366"/>
        <v>0</v>
      </c>
      <c r="BJ41" s="499">
        <f t="shared" ref="BJ41:BO41" si="464">BI41</f>
        <v>0</v>
      </c>
      <c r="BK41" s="499">
        <f t="shared" si="464"/>
        <v>0</v>
      </c>
      <c r="BL41" s="499">
        <f t="shared" si="464"/>
        <v>0</v>
      </c>
      <c r="BM41" s="499">
        <f t="shared" si="464"/>
        <v>0</v>
      </c>
      <c r="BN41" s="499">
        <f t="shared" si="464"/>
        <v>0</v>
      </c>
      <c r="BO41" s="499">
        <f t="shared" si="464"/>
        <v>0</v>
      </c>
      <c r="BP41" s="721">
        <f t="shared" si="368"/>
        <v>300</v>
      </c>
      <c r="BQ41" s="499">
        <f t="shared" ref="BQ41:BV41" si="465">BP41</f>
        <v>300</v>
      </c>
      <c r="BR41" s="499">
        <f t="shared" si="465"/>
        <v>300</v>
      </c>
      <c r="BS41" s="499">
        <f t="shared" si="465"/>
        <v>300</v>
      </c>
      <c r="BT41" s="499">
        <f t="shared" si="465"/>
        <v>300</v>
      </c>
      <c r="BU41" s="499">
        <f t="shared" si="465"/>
        <v>300</v>
      </c>
      <c r="BV41" s="499">
        <f t="shared" si="465"/>
        <v>300</v>
      </c>
      <c r="BW41" s="503">
        <f t="shared" si="444"/>
        <v>0</v>
      </c>
      <c r="BX41" s="503">
        <f t="shared" si="444"/>
        <v>0</v>
      </c>
      <c r="BY41" s="503">
        <f t="shared" si="444"/>
        <v>0</v>
      </c>
      <c r="BZ41" s="503">
        <f t="shared" si="444"/>
        <v>0</v>
      </c>
      <c r="CA41" s="503">
        <f t="shared" si="444"/>
        <v>0</v>
      </c>
      <c r="CB41" s="503">
        <f t="shared" si="444"/>
        <v>0</v>
      </c>
      <c r="CC41" s="776">
        <f t="shared" si="444"/>
        <v>0</v>
      </c>
      <c r="CD41" s="507">
        <f t="shared" si="370"/>
        <v>871.60811609264829</v>
      </c>
      <c r="CE41" s="511">
        <f t="shared" ref="CE41:CJ41" si="466">CD41</f>
        <v>871.60811609264829</v>
      </c>
      <c r="CF41" s="511">
        <f t="shared" si="466"/>
        <v>871.60811609264829</v>
      </c>
      <c r="CG41" s="511">
        <f t="shared" si="466"/>
        <v>871.60811609264829</v>
      </c>
      <c r="CH41" s="511">
        <f t="shared" si="466"/>
        <v>871.60811609264829</v>
      </c>
      <c r="CI41" s="511">
        <f t="shared" si="466"/>
        <v>871.60811609264829</v>
      </c>
      <c r="CJ41" s="511">
        <f t="shared" si="466"/>
        <v>871.60811609264829</v>
      </c>
      <c r="CK41" s="722">
        <f t="shared" si="372"/>
        <v>0.3829215253219283</v>
      </c>
      <c r="CL41" s="511">
        <f t="shared" ref="CL41:CQ41" si="467">CK41</f>
        <v>0.3829215253219283</v>
      </c>
      <c r="CM41" s="511">
        <f t="shared" si="467"/>
        <v>0.3829215253219283</v>
      </c>
      <c r="CN41" s="511">
        <f t="shared" si="467"/>
        <v>0.3829215253219283</v>
      </c>
      <c r="CO41" s="511">
        <f t="shared" si="467"/>
        <v>0.3829215253219283</v>
      </c>
      <c r="CP41" s="511">
        <f t="shared" si="467"/>
        <v>0.3829215253219283</v>
      </c>
      <c r="CQ41" s="511">
        <f t="shared" si="467"/>
        <v>0.3829215253219283</v>
      </c>
      <c r="CR41" s="722">
        <f t="shared" si="374"/>
        <v>133.89689459722857</v>
      </c>
      <c r="CS41" s="511">
        <f t="shared" ref="CS41:CX41" si="468">CR41</f>
        <v>133.89689459722857</v>
      </c>
      <c r="CT41" s="511">
        <f t="shared" si="468"/>
        <v>133.89689459722857</v>
      </c>
      <c r="CU41" s="511">
        <f t="shared" si="468"/>
        <v>133.89689459722857</v>
      </c>
      <c r="CV41" s="511">
        <f t="shared" si="468"/>
        <v>133.89689459722857</v>
      </c>
      <c r="CW41" s="511">
        <f t="shared" si="468"/>
        <v>133.89689459722857</v>
      </c>
      <c r="CX41" s="511">
        <f t="shared" si="468"/>
        <v>133.89689459722857</v>
      </c>
      <c r="CY41" s="724">
        <f t="shared" si="376"/>
        <v>0</v>
      </c>
      <c r="CZ41" s="508">
        <f t="shared" si="377"/>
        <v>0</v>
      </c>
      <c r="DA41" s="508">
        <f t="shared" si="378"/>
        <v>0</v>
      </c>
      <c r="DB41" s="508">
        <f t="shared" si="379"/>
        <v>0</v>
      </c>
      <c r="DC41" s="508">
        <f t="shared" si="380"/>
        <v>0</v>
      </c>
      <c r="DD41" s="508">
        <f t="shared" si="381"/>
        <v>0</v>
      </c>
      <c r="DE41" s="726">
        <f t="shared" si="382"/>
        <v>0</v>
      </c>
      <c r="DF41" s="724">
        <f t="shared" si="428"/>
        <v>0</v>
      </c>
      <c r="DG41" s="508">
        <f t="shared" si="383"/>
        <v>0</v>
      </c>
      <c r="DH41" s="508">
        <f t="shared" si="384"/>
        <v>0</v>
      </c>
      <c r="DI41" s="508">
        <f t="shared" si="385"/>
        <v>0</v>
      </c>
      <c r="DJ41" s="508">
        <f t="shared" si="386"/>
        <v>0</v>
      </c>
      <c r="DK41" s="508">
        <f t="shared" si="387"/>
        <v>0</v>
      </c>
      <c r="DL41" s="725">
        <f t="shared" si="388"/>
        <v>0</v>
      </c>
      <c r="DM41" s="724">
        <f t="shared" si="429"/>
        <v>0</v>
      </c>
      <c r="DN41" s="509">
        <f t="shared" si="389"/>
        <v>0</v>
      </c>
      <c r="DO41" s="508">
        <f t="shared" si="390"/>
        <v>0</v>
      </c>
      <c r="DP41" s="508">
        <f t="shared" si="391"/>
        <v>0</v>
      </c>
      <c r="DQ41" s="508">
        <f t="shared" si="392"/>
        <v>0</v>
      </c>
      <c r="DR41" s="508">
        <f t="shared" si="393"/>
        <v>0</v>
      </c>
      <c r="DS41" s="725">
        <f t="shared" si="394"/>
        <v>0</v>
      </c>
      <c r="DT41" s="724">
        <f t="shared" si="395"/>
        <v>0</v>
      </c>
      <c r="DU41" s="508">
        <f t="shared" si="396"/>
        <v>0</v>
      </c>
      <c r="DV41" s="508">
        <f t="shared" si="397"/>
        <v>0</v>
      </c>
      <c r="DW41" s="508">
        <f t="shared" si="398"/>
        <v>0</v>
      </c>
      <c r="DX41" s="508">
        <f t="shared" si="399"/>
        <v>0</v>
      </c>
      <c r="DY41" s="508">
        <f t="shared" si="400"/>
        <v>0</v>
      </c>
      <c r="DZ41" s="725">
        <f t="shared" si="401"/>
        <v>0</v>
      </c>
      <c r="EA41" s="722">
        <f t="shared" si="91"/>
        <v>0</v>
      </c>
      <c r="EB41" s="511">
        <f t="shared" si="402"/>
        <v>0</v>
      </c>
      <c r="EC41" s="511">
        <f t="shared" si="403"/>
        <v>0</v>
      </c>
      <c r="ED41" s="511">
        <f t="shared" si="404"/>
        <v>0</v>
      </c>
      <c r="EE41" s="511">
        <f t="shared" si="405"/>
        <v>0</v>
      </c>
      <c r="EF41" s="511">
        <f t="shared" si="406"/>
        <v>0</v>
      </c>
      <c r="EG41" s="723">
        <f t="shared" si="407"/>
        <v>0</v>
      </c>
      <c r="EH41" s="722">
        <f t="shared" si="65"/>
        <v>0</v>
      </c>
      <c r="EI41" s="511">
        <f t="shared" si="408"/>
        <v>0</v>
      </c>
      <c r="EJ41" s="511">
        <f t="shared" si="409"/>
        <v>0</v>
      </c>
      <c r="EK41" s="511">
        <f t="shared" si="410"/>
        <v>0</v>
      </c>
      <c r="EL41" s="511">
        <f t="shared" si="411"/>
        <v>0</v>
      </c>
      <c r="EM41" s="511">
        <f t="shared" si="412"/>
        <v>0</v>
      </c>
      <c r="EN41" s="723">
        <f t="shared" si="413"/>
        <v>0</v>
      </c>
      <c r="EO41" s="507">
        <f t="shared" si="414"/>
        <v>0</v>
      </c>
      <c r="EP41" s="511">
        <f t="shared" si="415"/>
        <v>0</v>
      </c>
      <c r="EQ41" s="511">
        <f t="shared" si="416"/>
        <v>0</v>
      </c>
      <c r="ER41" s="511">
        <f t="shared" si="417"/>
        <v>0</v>
      </c>
      <c r="ES41" s="511">
        <f t="shared" si="418"/>
        <v>0</v>
      </c>
      <c r="ET41" s="511">
        <f t="shared" si="419"/>
        <v>0</v>
      </c>
      <c r="EU41" s="723">
        <f t="shared" si="420"/>
        <v>0</v>
      </c>
      <c r="EV41" s="977">
        <f t="shared" si="430"/>
        <v>0</v>
      </c>
      <c r="EW41" s="728">
        <f t="shared" si="431"/>
        <v>0</v>
      </c>
      <c r="EX41" s="728">
        <f t="shared" si="432"/>
        <v>0</v>
      </c>
      <c r="EY41" s="728">
        <f t="shared" si="433"/>
        <v>0</v>
      </c>
      <c r="EZ41" s="728">
        <f t="shared" si="434"/>
        <v>0</v>
      </c>
      <c r="FA41" s="978">
        <f t="shared" si="435"/>
        <v>0</v>
      </c>
      <c r="FB41" s="978">
        <f t="shared" si="436"/>
        <v>0</v>
      </c>
      <c r="FC41" s="778">
        <f t="shared" si="437"/>
        <v>0</v>
      </c>
    </row>
    <row r="42" spans="1:159" s="10" customFormat="1" ht="12.75" customHeight="1">
      <c r="A42" s="662" t="s">
        <v>191</v>
      </c>
      <c r="B42" s="703" t="str">
        <f t="shared" si="362"/>
        <v>LG&amp;E-Weatherization-Floor Insulation (KY) - Above Code</v>
      </c>
      <c r="C42" s="703" t="str">
        <f t="shared" si="421"/>
        <v>R-30</v>
      </c>
      <c r="D42" s="703" t="str">
        <f t="shared" si="421"/>
        <v>Average Existing Insulation</v>
      </c>
      <c r="E42" s="703" t="str">
        <f t="shared" si="421"/>
        <v>Per Unit</v>
      </c>
      <c r="F42" s="703" t="str">
        <f t="shared" si="421"/>
        <v>Incremental Cost</v>
      </c>
      <c r="G42" s="976">
        <f t="shared" si="421"/>
        <v>1268.0688749999999</v>
      </c>
      <c r="H42" s="703">
        <f t="shared" si="421"/>
        <v>0</v>
      </c>
      <c r="I42" s="703">
        <f t="shared" si="421"/>
        <v>1268.0688749999999</v>
      </c>
      <c r="J42" s="703">
        <f t="shared" si="421"/>
        <v>0</v>
      </c>
      <c r="K42" s="703">
        <f t="shared" si="421"/>
        <v>634.03443749999997</v>
      </c>
      <c r="L42" s="703" t="str">
        <f t="shared" si="421"/>
        <v>RSMeans scaled up by 25% to account for 2022 dollars</v>
      </c>
      <c r="M42" s="703" t="str">
        <f t="shared" si="421"/>
        <v>NA</v>
      </c>
      <c r="N42" s="703">
        <f t="shared" si="421"/>
        <v>300</v>
      </c>
      <c r="O42" s="703">
        <f t="shared" si="421"/>
        <v>0</v>
      </c>
      <c r="P42" s="703">
        <f t="shared" si="421"/>
        <v>0</v>
      </c>
      <c r="Q42" s="703">
        <f t="shared" si="421"/>
        <v>139.02843860480436</v>
      </c>
      <c r="R42" s="703">
        <f t="shared" ref="R42:V42" si="469">R12</f>
        <v>0</v>
      </c>
      <c r="S42" s="546">
        <f>INDEX('REFERENCE-HomeEnergyPerformance'!$B$6:$FB$148,MATCH('Residential Audit Online'!$B42,'REFERENCE-HomeEnergyPerformance'!$B$6:$B$148,0),MATCH('Residential Audit Online'!S$5,'REFERENCE-HomeEnergyPerformance'!$B$5:$FB$5,0))</f>
        <v>89.130264422696484</v>
      </c>
      <c r="T42" s="703" t="str">
        <f t="shared" si="469"/>
        <v>Potential Study Results: Engineering Calculation</v>
      </c>
      <c r="U42" s="712">
        <f t="shared" si="469"/>
        <v>0.05</v>
      </c>
      <c r="V42" s="713">
        <f t="shared" si="469"/>
        <v>1</v>
      </c>
      <c r="W42" s="661"/>
      <c r="X42" s="661"/>
      <c r="Y42" s="661"/>
      <c r="Z42" s="661"/>
      <c r="AA42" s="714"/>
      <c r="AB42" s="714"/>
      <c r="AC42" s="714"/>
      <c r="AD42" s="773">
        <f t="shared" si="439"/>
        <v>0</v>
      </c>
      <c r="AE42" s="773">
        <f t="shared" si="439"/>
        <v>0</v>
      </c>
      <c r="AF42" s="773">
        <f t="shared" si="439"/>
        <v>0</v>
      </c>
      <c r="AG42" s="773">
        <f t="shared" si="439"/>
        <v>0</v>
      </c>
      <c r="AH42" s="773">
        <f t="shared" si="439"/>
        <v>0</v>
      </c>
      <c r="AI42" s="773">
        <f t="shared" si="439"/>
        <v>0</v>
      </c>
      <c r="AJ42" s="773">
        <f t="shared" si="439"/>
        <v>0</v>
      </c>
      <c r="AK42" s="715" t="s">
        <v>374</v>
      </c>
      <c r="AL42" s="711" t="s">
        <v>375</v>
      </c>
      <c r="AM42" s="711" t="s">
        <v>377</v>
      </c>
      <c r="AN42" s="711" t="s">
        <v>377</v>
      </c>
      <c r="AO42" s="711" t="s">
        <v>1</v>
      </c>
      <c r="AP42" s="711" t="s">
        <v>378</v>
      </c>
      <c r="AQ42" s="711" t="s">
        <v>378</v>
      </c>
      <c r="AR42" s="711" t="s">
        <v>378</v>
      </c>
      <c r="AS42" s="715" t="s">
        <v>379</v>
      </c>
      <c r="AT42" s="715" t="s">
        <v>407</v>
      </c>
      <c r="AU42" s="715" t="s">
        <v>381</v>
      </c>
      <c r="AV42" s="940">
        <f t="shared" si="440"/>
        <v>20</v>
      </c>
      <c r="AW42" s="940">
        <f t="shared" si="440"/>
        <v>20</v>
      </c>
      <c r="AX42" s="711"/>
      <c r="AY42" s="716">
        <v>1</v>
      </c>
      <c r="AZ42" s="716">
        <v>1</v>
      </c>
      <c r="BA42" s="717">
        <v>1</v>
      </c>
      <c r="BB42" s="721">
        <f t="shared" si="364"/>
        <v>1268.0688749999999</v>
      </c>
      <c r="BC42" s="499">
        <f t="shared" ref="BC42:BH42" si="470">BB42</f>
        <v>1268.0688749999999</v>
      </c>
      <c r="BD42" s="499">
        <f t="shared" si="470"/>
        <v>1268.0688749999999</v>
      </c>
      <c r="BE42" s="499">
        <f t="shared" si="470"/>
        <v>1268.0688749999999</v>
      </c>
      <c r="BF42" s="499">
        <f t="shared" si="470"/>
        <v>1268.0688749999999</v>
      </c>
      <c r="BG42" s="499">
        <f t="shared" si="470"/>
        <v>1268.0688749999999</v>
      </c>
      <c r="BH42" s="499">
        <f t="shared" si="470"/>
        <v>1268.0688749999999</v>
      </c>
      <c r="BI42" s="721">
        <f t="shared" si="366"/>
        <v>0</v>
      </c>
      <c r="BJ42" s="499">
        <f t="shared" ref="BJ42:BO42" si="471">BI42</f>
        <v>0</v>
      </c>
      <c r="BK42" s="499">
        <f t="shared" si="471"/>
        <v>0</v>
      </c>
      <c r="BL42" s="499">
        <f t="shared" si="471"/>
        <v>0</v>
      </c>
      <c r="BM42" s="499">
        <f t="shared" si="471"/>
        <v>0</v>
      </c>
      <c r="BN42" s="499">
        <f t="shared" si="471"/>
        <v>0</v>
      </c>
      <c r="BO42" s="499">
        <f t="shared" si="471"/>
        <v>0</v>
      </c>
      <c r="BP42" s="721">
        <f t="shared" si="368"/>
        <v>300</v>
      </c>
      <c r="BQ42" s="499">
        <f t="shared" ref="BQ42:BV42" si="472">BP42</f>
        <v>300</v>
      </c>
      <c r="BR42" s="499">
        <f t="shared" si="472"/>
        <v>300</v>
      </c>
      <c r="BS42" s="499">
        <f t="shared" si="472"/>
        <v>300</v>
      </c>
      <c r="BT42" s="499">
        <f t="shared" si="472"/>
        <v>300</v>
      </c>
      <c r="BU42" s="499">
        <f t="shared" si="472"/>
        <v>300</v>
      </c>
      <c r="BV42" s="499">
        <f t="shared" si="472"/>
        <v>300</v>
      </c>
      <c r="BW42" s="503">
        <f t="shared" si="444"/>
        <v>0</v>
      </c>
      <c r="BX42" s="503">
        <f t="shared" si="444"/>
        <v>0</v>
      </c>
      <c r="BY42" s="503">
        <f t="shared" si="444"/>
        <v>0</v>
      </c>
      <c r="BZ42" s="503">
        <f t="shared" si="444"/>
        <v>0</v>
      </c>
      <c r="CA42" s="503">
        <f t="shared" si="444"/>
        <v>0</v>
      </c>
      <c r="CB42" s="503">
        <f t="shared" si="444"/>
        <v>0</v>
      </c>
      <c r="CC42" s="776">
        <f t="shared" si="444"/>
        <v>0</v>
      </c>
      <c r="CD42" s="507">
        <f t="shared" si="370"/>
        <v>139.02843860480436</v>
      </c>
      <c r="CE42" s="511">
        <f t="shared" ref="CE42:CJ42" si="473">CD42</f>
        <v>139.02843860480436</v>
      </c>
      <c r="CF42" s="511">
        <f t="shared" si="473"/>
        <v>139.02843860480436</v>
      </c>
      <c r="CG42" s="511">
        <f t="shared" si="473"/>
        <v>139.02843860480436</v>
      </c>
      <c r="CH42" s="511">
        <f t="shared" si="473"/>
        <v>139.02843860480436</v>
      </c>
      <c r="CI42" s="511">
        <f t="shared" si="473"/>
        <v>139.02843860480436</v>
      </c>
      <c r="CJ42" s="511">
        <f t="shared" si="473"/>
        <v>139.02843860480436</v>
      </c>
      <c r="CK42" s="722">
        <f t="shared" si="372"/>
        <v>0</v>
      </c>
      <c r="CL42" s="511">
        <f t="shared" ref="CL42:CQ42" si="474">CK42</f>
        <v>0</v>
      </c>
      <c r="CM42" s="511">
        <f t="shared" si="474"/>
        <v>0</v>
      </c>
      <c r="CN42" s="511">
        <f t="shared" si="474"/>
        <v>0</v>
      </c>
      <c r="CO42" s="511">
        <f t="shared" si="474"/>
        <v>0</v>
      </c>
      <c r="CP42" s="511">
        <f t="shared" si="474"/>
        <v>0</v>
      </c>
      <c r="CQ42" s="511">
        <f t="shared" si="474"/>
        <v>0</v>
      </c>
      <c r="CR42" s="722">
        <f t="shared" si="374"/>
        <v>89.130264422696484</v>
      </c>
      <c r="CS42" s="511">
        <f t="shared" ref="CS42:CX42" si="475">CR42</f>
        <v>89.130264422696484</v>
      </c>
      <c r="CT42" s="511">
        <f t="shared" si="475"/>
        <v>89.130264422696484</v>
      </c>
      <c r="CU42" s="511">
        <f t="shared" si="475"/>
        <v>89.130264422696484</v>
      </c>
      <c r="CV42" s="511">
        <f t="shared" si="475"/>
        <v>89.130264422696484</v>
      </c>
      <c r="CW42" s="511">
        <f t="shared" si="475"/>
        <v>89.130264422696484</v>
      </c>
      <c r="CX42" s="511">
        <f t="shared" si="475"/>
        <v>89.130264422696484</v>
      </c>
      <c r="CY42" s="724">
        <f t="shared" si="376"/>
        <v>0</v>
      </c>
      <c r="CZ42" s="508">
        <f t="shared" si="377"/>
        <v>0</v>
      </c>
      <c r="DA42" s="508">
        <f t="shared" si="378"/>
        <v>0</v>
      </c>
      <c r="DB42" s="508">
        <f t="shared" si="379"/>
        <v>0</v>
      </c>
      <c r="DC42" s="508">
        <f t="shared" si="380"/>
        <v>0</v>
      </c>
      <c r="DD42" s="508">
        <f t="shared" si="381"/>
        <v>0</v>
      </c>
      <c r="DE42" s="726">
        <f t="shared" si="382"/>
        <v>0</v>
      </c>
      <c r="DF42" s="724">
        <f t="shared" si="428"/>
        <v>0</v>
      </c>
      <c r="DG42" s="508">
        <f t="shared" si="383"/>
        <v>0</v>
      </c>
      <c r="DH42" s="508">
        <f t="shared" si="384"/>
        <v>0</v>
      </c>
      <c r="DI42" s="508">
        <f t="shared" si="385"/>
        <v>0</v>
      </c>
      <c r="DJ42" s="508">
        <f t="shared" si="386"/>
        <v>0</v>
      </c>
      <c r="DK42" s="508">
        <f t="shared" si="387"/>
        <v>0</v>
      </c>
      <c r="DL42" s="725">
        <f t="shared" si="388"/>
        <v>0</v>
      </c>
      <c r="DM42" s="724">
        <f t="shared" si="429"/>
        <v>0</v>
      </c>
      <c r="DN42" s="509">
        <f t="shared" si="389"/>
        <v>0</v>
      </c>
      <c r="DO42" s="508">
        <f t="shared" si="390"/>
        <v>0</v>
      </c>
      <c r="DP42" s="508">
        <f t="shared" si="391"/>
        <v>0</v>
      </c>
      <c r="DQ42" s="508">
        <f t="shared" si="392"/>
        <v>0</v>
      </c>
      <c r="DR42" s="508">
        <f t="shared" si="393"/>
        <v>0</v>
      </c>
      <c r="DS42" s="725">
        <f t="shared" si="394"/>
        <v>0</v>
      </c>
      <c r="DT42" s="724">
        <f t="shared" si="395"/>
        <v>0</v>
      </c>
      <c r="DU42" s="508">
        <f t="shared" si="396"/>
        <v>0</v>
      </c>
      <c r="DV42" s="508">
        <f t="shared" si="397"/>
        <v>0</v>
      </c>
      <c r="DW42" s="508">
        <f t="shared" si="398"/>
        <v>0</v>
      </c>
      <c r="DX42" s="508">
        <f t="shared" si="399"/>
        <v>0</v>
      </c>
      <c r="DY42" s="508">
        <f t="shared" si="400"/>
        <v>0</v>
      </c>
      <c r="DZ42" s="725">
        <f t="shared" si="401"/>
        <v>0</v>
      </c>
      <c r="EA42" s="722">
        <f t="shared" si="91"/>
        <v>0</v>
      </c>
      <c r="EB42" s="511">
        <f t="shared" si="402"/>
        <v>0</v>
      </c>
      <c r="EC42" s="511">
        <f t="shared" si="403"/>
        <v>0</v>
      </c>
      <c r="ED42" s="511">
        <f t="shared" si="404"/>
        <v>0</v>
      </c>
      <c r="EE42" s="511">
        <f t="shared" si="405"/>
        <v>0</v>
      </c>
      <c r="EF42" s="511">
        <f t="shared" si="406"/>
        <v>0</v>
      </c>
      <c r="EG42" s="723">
        <f t="shared" si="407"/>
        <v>0</v>
      </c>
      <c r="EH42" s="722">
        <f t="shared" si="65"/>
        <v>0</v>
      </c>
      <c r="EI42" s="511">
        <f t="shared" si="408"/>
        <v>0</v>
      </c>
      <c r="EJ42" s="511">
        <f t="shared" si="409"/>
        <v>0</v>
      </c>
      <c r="EK42" s="511">
        <f t="shared" si="410"/>
        <v>0</v>
      </c>
      <c r="EL42" s="511">
        <f t="shared" si="411"/>
        <v>0</v>
      </c>
      <c r="EM42" s="511">
        <f t="shared" si="412"/>
        <v>0</v>
      </c>
      <c r="EN42" s="723">
        <f t="shared" si="413"/>
        <v>0</v>
      </c>
      <c r="EO42" s="507">
        <f t="shared" si="414"/>
        <v>0</v>
      </c>
      <c r="EP42" s="511">
        <f t="shared" si="415"/>
        <v>0</v>
      </c>
      <c r="EQ42" s="511">
        <f t="shared" si="416"/>
        <v>0</v>
      </c>
      <c r="ER42" s="511">
        <f t="shared" si="417"/>
        <v>0</v>
      </c>
      <c r="ES42" s="511">
        <f t="shared" si="418"/>
        <v>0</v>
      </c>
      <c r="ET42" s="511">
        <f t="shared" si="419"/>
        <v>0</v>
      </c>
      <c r="EU42" s="723">
        <f t="shared" si="420"/>
        <v>0</v>
      </c>
      <c r="EV42" s="977">
        <f t="shared" si="430"/>
        <v>0</v>
      </c>
      <c r="EW42" s="728">
        <f t="shared" si="431"/>
        <v>0</v>
      </c>
      <c r="EX42" s="728">
        <f t="shared" si="432"/>
        <v>0</v>
      </c>
      <c r="EY42" s="728">
        <f t="shared" si="433"/>
        <v>0</v>
      </c>
      <c r="EZ42" s="728">
        <f t="shared" si="434"/>
        <v>0</v>
      </c>
      <c r="FA42" s="978">
        <f t="shared" si="435"/>
        <v>0</v>
      </c>
      <c r="FB42" s="978">
        <f t="shared" si="436"/>
        <v>0</v>
      </c>
      <c r="FC42" s="778">
        <f t="shared" si="437"/>
        <v>0</v>
      </c>
    </row>
    <row r="43" spans="1:159" s="10" customFormat="1" ht="12.75" customHeight="1">
      <c r="A43" s="662" t="s">
        <v>192</v>
      </c>
      <c r="B43" s="703" t="str">
        <f t="shared" si="362"/>
        <v>LG&amp;E-Weatherization-Insulation - Basement Wall - Code</v>
      </c>
      <c r="C43" s="703" t="str">
        <f t="shared" si="421"/>
        <v>R-10 (IECC 2012 - Future KY Code)</v>
      </c>
      <c r="D43" s="703" t="str">
        <f t="shared" si="421"/>
        <v>Average Existing Insulation</v>
      </c>
      <c r="E43" s="703" t="str">
        <f t="shared" si="421"/>
        <v>Per Unit</v>
      </c>
      <c r="F43" s="703" t="str">
        <f t="shared" si="421"/>
        <v>Incremental Cost</v>
      </c>
      <c r="G43" s="976">
        <f t="shared" si="421"/>
        <v>660.31099999999992</v>
      </c>
      <c r="H43" s="703">
        <f t="shared" si="421"/>
        <v>0</v>
      </c>
      <c r="I43" s="703">
        <f t="shared" si="421"/>
        <v>660.31099999999992</v>
      </c>
      <c r="J43" s="703">
        <f t="shared" si="421"/>
        <v>0</v>
      </c>
      <c r="K43" s="703">
        <f t="shared" si="421"/>
        <v>330.15549999999996</v>
      </c>
      <c r="L43" s="703" t="str">
        <f t="shared" si="421"/>
        <v>RSMeans scaled up by 25% to account for 2022 dollars</v>
      </c>
      <c r="M43" s="703" t="str">
        <f t="shared" si="421"/>
        <v>NA</v>
      </c>
      <c r="N43" s="703">
        <f t="shared" si="421"/>
        <v>260</v>
      </c>
      <c r="O43" s="703">
        <f t="shared" si="421"/>
        <v>0</v>
      </c>
      <c r="P43" s="703">
        <f t="shared" si="421"/>
        <v>0</v>
      </c>
      <c r="Q43" s="703">
        <f t="shared" si="421"/>
        <v>161.34211715753887</v>
      </c>
      <c r="R43" s="703">
        <f t="shared" ref="R43:V43" si="476">R13</f>
        <v>0</v>
      </c>
      <c r="S43" s="546">
        <f>INDEX('REFERENCE-HomeEnergyPerformance'!$B$6:$FB$148,MATCH('Residential Audit Online'!$B43,'REFERENCE-HomeEnergyPerformance'!$B$6:$B$148,0),MATCH('Residential Audit Online'!S$5,'REFERENCE-HomeEnergyPerformance'!$B$5:$FB$5,0))</f>
        <v>72.031707141617332</v>
      </c>
      <c r="T43" s="703" t="str">
        <f t="shared" si="476"/>
        <v>Potential Study Results: Engineering Calculation</v>
      </c>
      <c r="U43" s="712">
        <f t="shared" si="476"/>
        <v>0.05</v>
      </c>
      <c r="V43" s="713">
        <f t="shared" si="476"/>
        <v>1</v>
      </c>
      <c r="W43" s="661"/>
      <c r="X43" s="661"/>
      <c r="Y43" s="661"/>
      <c r="Z43" s="661"/>
      <c r="AA43" s="714"/>
      <c r="AB43" s="714"/>
      <c r="AC43" s="714"/>
      <c r="AD43" s="773">
        <f t="shared" si="439"/>
        <v>0</v>
      </c>
      <c r="AE43" s="773">
        <f t="shared" si="439"/>
        <v>0</v>
      </c>
      <c r="AF43" s="773">
        <f t="shared" si="439"/>
        <v>0</v>
      </c>
      <c r="AG43" s="773">
        <f t="shared" si="439"/>
        <v>0</v>
      </c>
      <c r="AH43" s="773">
        <f t="shared" si="439"/>
        <v>0</v>
      </c>
      <c r="AI43" s="773">
        <f t="shared" si="439"/>
        <v>0</v>
      </c>
      <c r="AJ43" s="773">
        <f t="shared" si="439"/>
        <v>0</v>
      </c>
      <c r="AK43" s="715" t="s">
        <v>374</v>
      </c>
      <c r="AL43" s="711" t="s">
        <v>375</v>
      </c>
      <c r="AM43" s="711" t="s">
        <v>377</v>
      </c>
      <c r="AN43" s="711" t="s">
        <v>377</v>
      </c>
      <c r="AO43" s="711" t="s">
        <v>1</v>
      </c>
      <c r="AP43" s="711" t="s">
        <v>378</v>
      </c>
      <c r="AQ43" s="711" t="s">
        <v>378</v>
      </c>
      <c r="AR43" s="711" t="s">
        <v>378</v>
      </c>
      <c r="AS43" s="715" t="s">
        <v>379</v>
      </c>
      <c r="AT43" s="715" t="s">
        <v>407</v>
      </c>
      <c r="AU43" s="715" t="s">
        <v>381</v>
      </c>
      <c r="AV43" s="940">
        <f t="shared" si="440"/>
        <v>20</v>
      </c>
      <c r="AW43" s="940">
        <f t="shared" si="440"/>
        <v>20</v>
      </c>
      <c r="AX43" s="711"/>
      <c r="AY43" s="716">
        <v>1</v>
      </c>
      <c r="AZ43" s="716">
        <v>1</v>
      </c>
      <c r="BA43" s="717">
        <v>1</v>
      </c>
      <c r="BB43" s="721">
        <f t="shared" si="364"/>
        <v>660.31099999999992</v>
      </c>
      <c r="BC43" s="499">
        <f t="shared" ref="BC43:BH43" si="477">BB43</f>
        <v>660.31099999999992</v>
      </c>
      <c r="BD43" s="499">
        <f t="shared" si="477"/>
        <v>660.31099999999992</v>
      </c>
      <c r="BE43" s="499">
        <f t="shared" si="477"/>
        <v>660.31099999999992</v>
      </c>
      <c r="BF43" s="499">
        <f t="shared" si="477"/>
        <v>660.31099999999992</v>
      </c>
      <c r="BG43" s="499">
        <f t="shared" si="477"/>
        <v>660.31099999999992</v>
      </c>
      <c r="BH43" s="499">
        <f t="shared" si="477"/>
        <v>660.31099999999992</v>
      </c>
      <c r="BI43" s="721">
        <f t="shared" si="366"/>
        <v>0</v>
      </c>
      <c r="BJ43" s="499">
        <f t="shared" ref="BJ43:BO43" si="478">BI43</f>
        <v>0</v>
      </c>
      <c r="BK43" s="499">
        <f t="shared" si="478"/>
        <v>0</v>
      </c>
      <c r="BL43" s="499">
        <f t="shared" si="478"/>
        <v>0</v>
      </c>
      <c r="BM43" s="499">
        <f t="shared" si="478"/>
        <v>0</v>
      </c>
      <c r="BN43" s="499">
        <f t="shared" si="478"/>
        <v>0</v>
      </c>
      <c r="BO43" s="499">
        <f t="shared" si="478"/>
        <v>0</v>
      </c>
      <c r="BP43" s="721">
        <f t="shared" si="368"/>
        <v>260</v>
      </c>
      <c r="BQ43" s="499">
        <f t="shared" ref="BQ43:BV43" si="479">BP43</f>
        <v>260</v>
      </c>
      <c r="BR43" s="499">
        <f t="shared" si="479"/>
        <v>260</v>
      </c>
      <c r="BS43" s="499">
        <f t="shared" si="479"/>
        <v>260</v>
      </c>
      <c r="BT43" s="499">
        <f t="shared" si="479"/>
        <v>260</v>
      </c>
      <c r="BU43" s="499">
        <f t="shared" si="479"/>
        <v>260</v>
      </c>
      <c r="BV43" s="499">
        <f t="shared" si="479"/>
        <v>260</v>
      </c>
      <c r="BW43" s="503">
        <f t="shared" si="444"/>
        <v>0</v>
      </c>
      <c r="BX43" s="503">
        <f t="shared" si="444"/>
        <v>0</v>
      </c>
      <c r="BY43" s="503">
        <f t="shared" si="444"/>
        <v>0</v>
      </c>
      <c r="BZ43" s="503">
        <f t="shared" si="444"/>
        <v>0</v>
      </c>
      <c r="CA43" s="503">
        <f t="shared" si="444"/>
        <v>0</v>
      </c>
      <c r="CB43" s="503">
        <f t="shared" si="444"/>
        <v>0</v>
      </c>
      <c r="CC43" s="776">
        <f t="shared" si="444"/>
        <v>0</v>
      </c>
      <c r="CD43" s="507">
        <f t="shared" si="370"/>
        <v>161.34211715753887</v>
      </c>
      <c r="CE43" s="511">
        <f t="shared" ref="CE43:CJ43" si="480">CD43</f>
        <v>161.34211715753887</v>
      </c>
      <c r="CF43" s="511">
        <f t="shared" si="480"/>
        <v>161.34211715753887</v>
      </c>
      <c r="CG43" s="511">
        <f t="shared" si="480"/>
        <v>161.34211715753887</v>
      </c>
      <c r="CH43" s="511">
        <f t="shared" si="480"/>
        <v>161.34211715753887</v>
      </c>
      <c r="CI43" s="511">
        <f t="shared" si="480"/>
        <v>161.34211715753887</v>
      </c>
      <c r="CJ43" s="511">
        <f t="shared" si="480"/>
        <v>161.34211715753887</v>
      </c>
      <c r="CK43" s="722">
        <f t="shared" si="372"/>
        <v>0</v>
      </c>
      <c r="CL43" s="511">
        <f t="shared" ref="CL43:CQ43" si="481">CK43</f>
        <v>0</v>
      </c>
      <c r="CM43" s="511">
        <f t="shared" si="481"/>
        <v>0</v>
      </c>
      <c r="CN43" s="511">
        <f t="shared" si="481"/>
        <v>0</v>
      </c>
      <c r="CO43" s="511">
        <f t="shared" si="481"/>
        <v>0</v>
      </c>
      <c r="CP43" s="511">
        <f t="shared" si="481"/>
        <v>0</v>
      </c>
      <c r="CQ43" s="511">
        <f t="shared" si="481"/>
        <v>0</v>
      </c>
      <c r="CR43" s="722">
        <f t="shared" si="374"/>
        <v>72.031707141617332</v>
      </c>
      <c r="CS43" s="511">
        <f t="shared" ref="CS43:CX43" si="482">CR43</f>
        <v>72.031707141617332</v>
      </c>
      <c r="CT43" s="511">
        <f t="shared" si="482"/>
        <v>72.031707141617332</v>
      </c>
      <c r="CU43" s="511">
        <f t="shared" si="482"/>
        <v>72.031707141617332</v>
      </c>
      <c r="CV43" s="511">
        <f t="shared" si="482"/>
        <v>72.031707141617332</v>
      </c>
      <c r="CW43" s="511">
        <f t="shared" si="482"/>
        <v>72.031707141617332</v>
      </c>
      <c r="CX43" s="511">
        <f t="shared" si="482"/>
        <v>72.031707141617332</v>
      </c>
      <c r="CY43" s="724">
        <f t="shared" si="376"/>
        <v>0</v>
      </c>
      <c r="CZ43" s="508">
        <f t="shared" si="377"/>
        <v>0</v>
      </c>
      <c r="DA43" s="508">
        <f t="shared" si="378"/>
        <v>0</v>
      </c>
      <c r="DB43" s="508">
        <f t="shared" si="379"/>
        <v>0</v>
      </c>
      <c r="DC43" s="508">
        <f t="shared" si="380"/>
        <v>0</v>
      </c>
      <c r="DD43" s="508">
        <f t="shared" si="381"/>
        <v>0</v>
      </c>
      <c r="DE43" s="726">
        <f t="shared" si="382"/>
        <v>0</v>
      </c>
      <c r="DF43" s="724">
        <f t="shared" si="428"/>
        <v>0</v>
      </c>
      <c r="DG43" s="508">
        <f t="shared" si="383"/>
        <v>0</v>
      </c>
      <c r="DH43" s="508">
        <f t="shared" si="384"/>
        <v>0</v>
      </c>
      <c r="DI43" s="508">
        <f t="shared" si="385"/>
        <v>0</v>
      </c>
      <c r="DJ43" s="508">
        <f t="shared" si="386"/>
        <v>0</v>
      </c>
      <c r="DK43" s="508">
        <f t="shared" si="387"/>
        <v>0</v>
      </c>
      <c r="DL43" s="725">
        <f t="shared" si="388"/>
        <v>0</v>
      </c>
      <c r="DM43" s="724">
        <f t="shared" si="429"/>
        <v>0</v>
      </c>
      <c r="DN43" s="509">
        <f t="shared" si="389"/>
        <v>0</v>
      </c>
      <c r="DO43" s="508">
        <f t="shared" si="390"/>
        <v>0</v>
      </c>
      <c r="DP43" s="508">
        <f t="shared" si="391"/>
        <v>0</v>
      </c>
      <c r="DQ43" s="508">
        <f t="shared" si="392"/>
        <v>0</v>
      </c>
      <c r="DR43" s="508">
        <f t="shared" si="393"/>
        <v>0</v>
      </c>
      <c r="DS43" s="725">
        <f t="shared" si="394"/>
        <v>0</v>
      </c>
      <c r="DT43" s="724">
        <f t="shared" si="395"/>
        <v>0</v>
      </c>
      <c r="DU43" s="508">
        <f t="shared" si="396"/>
        <v>0</v>
      </c>
      <c r="DV43" s="508">
        <f t="shared" si="397"/>
        <v>0</v>
      </c>
      <c r="DW43" s="508">
        <f t="shared" si="398"/>
        <v>0</v>
      </c>
      <c r="DX43" s="508">
        <f t="shared" si="399"/>
        <v>0</v>
      </c>
      <c r="DY43" s="508">
        <f t="shared" si="400"/>
        <v>0</v>
      </c>
      <c r="DZ43" s="725">
        <f t="shared" si="401"/>
        <v>0</v>
      </c>
      <c r="EA43" s="722">
        <f t="shared" si="91"/>
        <v>0</v>
      </c>
      <c r="EB43" s="511">
        <f t="shared" si="402"/>
        <v>0</v>
      </c>
      <c r="EC43" s="511">
        <f t="shared" si="403"/>
        <v>0</v>
      </c>
      <c r="ED43" s="511">
        <f t="shared" si="404"/>
        <v>0</v>
      </c>
      <c r="EE43" s="511">
        <f t="shared" si="405"/>
        <v>0</v>
      </c>
      <c r="EF43" s="511">
        <f t="shared" si="406"/>
        <v>0</v>
      </c>
      <c r="EG43" s="723">
        <f t="shared" si="407"/>
        <v>0</v>
      </c>
      <c r="EH43" s="722">
        <f t="shared" si="65"/>
        <v>0</v>
      </c>
      <c r="EI43" s="511">
        <f t="shared" si="408"/>
        <v>0</v>
      </c>
      <c r="EJ43" s="511">
        <f t="shared" si="409"/>
        <v>0</v>
      </c>
      <c r="EK43" s="511">
        <f t="shared" si="410"/>
        <v>0</v>
      </c>
      <c r="EL43" s="511">
        <f t="shared" si="411"/>
        <v>0</v>
      </c>
      <c r="EM43" s="511">
        <f t="shared" si="412"/>
        <v>0</v>
      </c>
      <c r="EN43" s="723">
        <f t="shared" si="413"/>
        <v>0</v>
      </c>
      <c r="EO43" s="507">
        <f t="shared" si="414"/>
        <v>0</v>
      </c>
      <c r="EP43" s="511">
        <f t="shared" si="415"/>
        <v>0</v>
      </c>
      <c r="EQ43" s="511">
        <f t="shared" si="416"/>
        <v>0</v>
      </c>
      <c r="ER43" s="511">
        <f t="shared" si="417"/>
        <v>0</v>
      </c>
      <c r="ES43" s="511">
        <f t="shared" si="418"/>
        <v>0</v>
      </c>
      <c r="ET43" s="511">
        <f t="shared" si="419"/>
        <v>0</v>
      </c>
      <c r="EU43" s="723">
        <f t="shared" si="420"/>
        <v>0</v>
      </c>
      <c r="EV43" s="977">
        <f t="shared" si="430"/>
        <v>0</v>
      </c>
      <c r="EW43" s="728">
        <f t="shared" si="431"/>
        <v>0</v>
      </c>
      <c r="EX43" s="728">
        <f t="shared" si="432"/>
        <v>0</v>
      </c>
      <c r="EY43" s="728">
        <f t="shared" si="433"/>
        <v>0</v>
      </c>
      <c r="EZ43" s="728">
        <f t="shared" si="434"/>
        <v>0</v>
      </c>
      <c r="FA43" s="978">
        <f t="shared" si="435"/>
        <v>0</v>
      </c>
      <c r="FB43" s="978">
        <f t="shared" si="436"/>
        <v>0</v>
      </c>
      <c r="FC43" s="778">
        <f t="shared" si="437"/>
        <v>0</v>
      </c>
    </row>
    <row r="44" spans="1:159" s="10" customFormat="1" ht="12.75" customHeight="1">
      <c r="A44" s="662" t="s">
        <v>193</v>
      </c>
      <c r="B44" s="703" t="str">
        <f t="shared" si="362"/>
        <v>LG&amp;E-HVAC-DWH-Central Air Conditioner - ENERGY STAR</v>
      </c>
      <c r="C44" s="703" t="str">
        <f t="shared" ref="C44:Q49" si="483">C14</f>
        <v>ENERGY STAR Central Air Conditioner - SEER2 15.2 (Split System)</v>
      </c>
      <c r="D44" s="703" t="str">
        <f t="shared" si="483"/>
        <v>Federal Standard 2023 Central Air Conditioner - SEER2 14.3</v>
      </c>
      <c r="E44" s="703" t="str">
        <f t="shared" si="483"/>
        <v>Per Unit</v>
      </c>
      <c r="F44" s="703" t="str">
        <f t="shared" si="483"/>
        <v>Incremental Cost</v>
      </c>
      <c r="G44" s="976">
        <f t="shared" si="483"/>
        <v>339</v>
      </c>
      <c r="H44" s="703">
        <f t="shared" si="483"/>
        <v>0</v>
      </c>
      <c r="I44" s="703">
        <f t="shared" si="483"/>
        <v>339</v>
      </c>
      <c r="J44" s="703">
        <f t="shared" si="483"/>
        <v>0</v>
      </c>
      <c r="K44" s="703">
        <f t="shared" si="483"/>
        <v>169.5</v>
      </c>
      <c r="L44" s="703" t="str">
        <f t="shared" si="483"/>
        <v>IL TRM (assume similar as increment cost from SEER 15 to SEER 16)</v>
      </c>
      <c r="M44" s="703">
        <f t="shared" si="483"/>
        <v>0</v>
      </c>
      <c r="N44" s="703">
        <f t="shared" si="483"/>
        <v>300</v>
      </c>
      <c r="O44" s="703">
        <f t="shared" si="483"/>
        <v>0</v>
      </c>
      <c r="P44" s="703">
        <f t="shared" si="483"/>
        <v>0</v>
      </c>
      <c r="Q44" s="703">
        <f t="shared" si="483"/>
        <v>80.791313949208472</v>
      </c>
      <c r="R44" s="703">
        <f t="shared" ref="R44:V44" si="484">R14</f>
        <v>0.1958399999999999</v>
      </c>
      <c r="S44" s="971">
        <v>0</v>
      </c>
      <c r="T44" s="703" t="str">
        <f t="shared" si="484"/>
        <v>Mid Atlantic TRM</v>
      </c>
      <c r="U44" s="712">
        <f t="shared" si="484"/>
        <v>0.05</v>
      </c>
      <c r="V44" s="713">
        <f t="shared" si="484"/>
        <v>1</v>
      </c>
      <c r="W44" s="661"/>
      <c r="X44" s="661"/>
      <c r="Y44" s="661"/>
      <c r="Z44" s="661"/>
      <c r="AA44" s="714"/>
      <c r="AB44" s="714"/>
      <c r="AC44" s="714"/>
      <c r="AD44" s="773">
        <f t="shared" si="439"/>
        <v>0</v>
      </c>
      <c r="AE44" s="773">
        <f t="shared" si="439"/>
        <v>240</v>
      </c>
      <c r="AF44" s="773">
        <f t="shared" si="439"/>
        <v>312</v>
      </c>
      <c r="AG44" s="773">
        <f t="shared" si="439"/>
        <v>384.5</v>
      </c>
      <c r="AH44" s="773">
        <f t="shared" si="439"/>
        <v>480.5</v>
      </c>
      <c r="AI44" s="773">
        <f t="shared" si="439"/>
        <v>480.5</v>
      </c>
      <c r="AJ44" s="773">
        <f t="shared" si="439"/>
        <v>480.5</v>
      </c>
      <c r="AK44" s="715" t="s">
        <v>374</v>
      </c>
      <c r="AL44" s="711" t="s">
        <v>375</v>
      </c>
      <c r="AM44" s="711" t="s">
        <v>377</v>
      </c>
      <c r="AN44" s="711" t="s">
        <v>377</v>
      </c>
      <c r="AO44" s="711" t="s">
        <v>1</v>
      </c>
      <c r="AP44" s="711" t="s">
        <v>378</v>
      </c>
      <c r="AQ44" s="711" t="s">
        <v>378</v>
      </c>
      <c r="AR44" s="711" t="s">
        <v>378</v>
      </c>
      <c r="AS44" s="715" t="s">
        <v>406</v>
      </c>
      <c r="AT44" s="715" t="s">
        <v>407</v>
      </c>
      <c r="AU44" s="715" t="s">
        <v>381</v>
      </c>
      <c r="AV44" s="940">
        <f t="shared" si="440"/>
        <v>18</v>
      </c>
      <c r="AW44" s="940">
        <f t="shared" si="440"/>
        <v>18</v>
      </c>
      <c r="AX44" s="711"/>
      <c r="AY44" s="716">
        <v>1</v>
      </c>
      <c r="AZ44" s="716">
        <v>1</v>
      </c>
      <c r="BA44" s="717">
        <v>1</v>
      </c>
      <c r="BB44" s="721">
        <f t="shared" si="364"/>
        <v>339</v>
      </c>
      <c r="BC44" s="499">
        <f t="shared" ref="BC44:BH44" si="485">BB44</f>
        <v>339</v>
      </c>
      <c r="BD44" s="499">
        <f t="shared" si="485"/>
        <v>339</v>
      </c>
      <c r="BE44" s="499">
        <f t="shared" si="485"/>
        <v>339</v>
      </c>
      <c r="BF44" s="499">
        <f t="shared" si="485"/>
        <v>339</v>
      </c>
      <c r="BG44" s="499">
        <f t="shared" si="485"/>
        <v>339</v>
      </c>
      <c r="BH44" s="499">
        <f t="shared" si="485"/>
        <v>339</v>
      </c>
      <c r="BI44" s="721">
        <f t="shared" si="366"/>
        <v>0</v>
      </c>
      <c r="BJ44" s="499">
        <f t="shared" ref="BJ44:BO44" si="486">BI44</f>
        <v>0</v>
      </c>
      <c r="BK44" s="499">
        <f t="shared" si="486"/>
        <v>0</v>
      </c>
      <c r="BL44" s="499">
        <f t="shared" si="486"/>
        <v>0</v>
      </c>
      <c r="BM44" s="499">
        <f t="shared" si="486"/>
        <v>0</v>
      </c>
      <c r="BN44" s="499">
        <f t="shared" si="486"/>
        <v>0</v>
      </c>
      <c r="BO44" s="499">
        <f t="shared" si="486"/>
        <v>0</v>
      </c>
      <c r="BP44" s="721">
        <f t="shared" si="368"/>
        <v>300</v>
      </c>
      <c r="BQ44" s="499">
        <f t="shared" ref="BQ44:BV44" si="487">BP44</f>
        <v>300</v>
      </c>
      <c r="BR44" s="499">
        <f t="shared" si="487"/>
        <v>300</v>
      </c>
      <c r="BS44" s="499">
        <f t="shared" si="487"/>
        <v>300</v>
      </c>
      <c r="BT44" s="499">
        <f t="shared" si="487"/>
        <v>300</v>
      </c>
      <c r="BU44" s="499">
        <f t="shared" si="487"/>
        <v>300</v>
      </c>
      <c r="BV44" s="499">
        <f t="shared" si="487"/>
        <v>300</v>
      </c>
      <c r="BW44" s="503">
        <f t="shared" si="444"/>
        <v>0</v>
      </c>
      <c r="BX44" s="503">
        <f t="shared" si="444"/>
        <v>0</v>
      </c>
      <c r="BY44" s="503">
        <f t="shared" si="444"/>
        <v>0</v>
      </c>
      <c r="BZ44" s="503">
        <f t="shared" si="444"/>
        <v>0</v>
      </c>
      <c r="CA44" s="503">
        <f t="shared" si="444"/>
        <v>0</v>
      </c>
      <c r="CB44" s="503">
        <f t="shared" si="444"/>
        <v>0</v>
      </c>
      <c r="CC44" s="776">
        <f t="shared" si="444"/>
        <v>0</v>
      </c>
      <c r="CD44" s="507">
        <f t="shared" si="370"/>
        <v>80.791313949208472</v>
      </c>
      <c r="CE44" s="511">
        <f t="shared" ref="CE44:CJ44" si="488">CD44</f>
        <v>80.791313949208472</v>
      </c>
      <c r="CF44" s="511">
        <f t="shared" si="488"/>
        <v>80.791313949208472</v>
      </c>
      <c r="CG44" s="511">
        <f t="shared" si="488"/>
        <v>80.791313949208472</v>
      </c>
      <c r="CH44" s="511">
        <f t="shared" si="488"/>
        <v>80.791313949208472</v>
      </c>
      <c r="CI44" s="511">
        <f t="shared" si="488"/>
        <v>80.791313949208472</v>
      </c>
      <c r="CJ44" s="511">
        <f t="shared" si="488"/>
        <v>80.791313949208472</v>
      </c>
      <c r="CK44" s="722">
        <f t="shared" si="372"/>
        <v>0.1958399999999999</v>
      </c>
      <c r="CL44" s="511">
        <f t="shared" ref="CL44:CQ44" si="489">CK44</f>
        <v>0.1958399999999999</v>
      </c>
      <c r="CM44" s="511">
        <f t="shared" si="489"/>
        <v>0.1958399999999999</v>
      </c>
      <c r="CN44" s="511">
        <f t="shared" si="489"/>
        <v>0.1958399999999999</v>
      </c>
      <c r="CO44" s="511">
        <f t="shared" si="489"/>
        <v>0.1958399999999999</v>
      </c>
      <c r="CP44" s="511">
        <f t="shared" si="489"/>
        <v>0.1958399999999999</v>
      </c>
      <c r="CQ44" s="511">
        <f t="shared" si="489"/>
        <v>0.1958399999999999</v>
      </c>
      <c r="CR44" s="722">
        <f t="shared" si="374"/>
        <v>0</v>
      </c>
      <c r="CS44" s="511">
        <f t="shared" ref="CS44:CX44" si="490">CR44</f>
        <v>0</v>
      </c>
      <c r="CT44" s="511">
        <f t="shared" si="490"/>
        <v>0</v>
      </c>
      <c r="CU44" s="511">
        <f t="shared" si="490"/>
        <v>0</v>
      </c>
      <c r="CV44" s="511">
        <f t="shared" si="490"/>
        <v>0</v>
      </c>
      <c r="CW44" s="511">
        <f t="shared" si="490"/>
        <v>0</v>
      </c>
      <c r="CX44" s="511">
        <f t="shared" si="490"/>
        <v>0</v>
      </c>
      <c r="CY44" s="724">
        <f t="shared" si="376"/>
        <v>0</v>
      </c>
      <c r="CZ44" s="508">
        <f t="shared" si="377"/>
        <v>81360</v>
      </c>
      <c r="DA44" s="508">
        <f t="shared" si="378"/>
        <v>105768</v>
      </c>
      <c r="DB44" s="508">
        <f t="shared" si="379"/>
        <v>130345.5</v>
      </c>
      <c r="DC44" s="508">
        <f t="shared" si="380"/>
        <v>162889.5</v>
      </c>
      <c r="DD44" s="508">
        <f t="shared" si="381"/>
        <v>162889.5</v>
      </c>
      <c r="DE44" s="726">
        <f t="shared" si="382"/>
        <v>162889.5</v>
      </c>
      <c r="DF44" s="724">
        <f t="shared" si="428"/>
        <v>0</v>
      </c>
      <c r="DG44" s="508">
        <f t="shared" si="383"/>
        <v>0</v>
      </c>
      <c r="DH44" s="508">
        <f t="shared" si="384"/>
        <v>0</v>
      </c>
      <c r="DI44" s="508">
        <f t="shared" si="385"/>
        <v>0</v>
      </c>
      <c r="DJ44" s="508">
        <f t="shared" si="386"/>
        <v>0</v>
      </c>
      <c r="DK44" s="508">
        <f t="shared" si="387"/>
        <v>0</v>
      </c>
      <c r="DL44" s="725">
        <f t="shared" si="388"/>
        <v>0</v>
      </c>
      <c r="DM44" s="724">
        <f t="shared" si="429"/>
        <v>0</v>
      </c>
      <c r="DN44" s="509">
        <f t="shared" si="389"/>
        <v>72000</v>
      </c>
      <c r="DO44" s="508">
        <f t="shared" si="390"/>
        <v>93600</v>
      </c>
      <c r="DP44" s="508">
        <f t="shared" si="391"/>
        <v>115350</v>
      </c>
      <c r="DQ44" s="508">
        <f t="shared" si="392"/>
        <v>144150</v>
      </c>
      <c r="DR44" s="508">
        <f t="shared" si="393"/>
        <v>144150</v>
      </c>
      <c r="DS44" s="725">
        <f t="shared" si="394"/>
        <v>144150</v>
      </c>
      <c r="DT44" s="724">
        <f t="shared" si="395"/>
        <v>0</v>
      </c>
      <c r="DU44" s="508">
        <f t="shared" si="396"/>
        <v>0</v>
      </c>
      <c r="DV44" s="508">
        <f t="shared" si="397"/>
        <v>0</v>
      </c>
      <c r="DW44" s="508">
        <f t="shared" si="398"/>
        <v>0</v>
      </c>
      <c r="DX44" s="508">
        <f t="shared" si="399"/>
        <v>0</v>
      </c>
      <c r="DY44" s="508">
        <f t="shared" si="400"/>
        <v>0</v>
      </c>
      <c r="DZ44" s="725">
        <f t="shared" si="401"/>
        <v>0</v>
      </c>
      <c r="EA44" s="722">
        <f t="shared" si="91"/>
        <v>0</v>
      </c>
      <c r="EB44" s="511">
        <f t="shared" si="402"/>
        <v>19389.915347810034</v>
      </c>
      <c r="EC44" s="511">
        <f t="shared" si="403"/>
        <v>25206.889952153044</v>
      </c>
      <c r="ED44" s="511">
        <f t="shared" si="404"/>
        <v>31064.260213470658</v>
      </c>
      <c r="EE44" s="511">
        <f t="shared" si="405"/>
        <v>38820.226352594669</v>
      </c>
      <c r="EF44" s="511">
        <f t="shared" si="406"/>
        <v>38820.226352594669</v>
      </c>
      <c r="EG44" s="723">
        <f t="shared" si="407"/>
        <v>38820.226352594669</v>
      </c>
      <c r="EH44" s="722">
        <f t="shared" si="65"/>
        <v>0</v>
      </c>
      <c r="EI44" s="511">
        <f t="shared" si="408"/>
        <v>47.001599999999975</v>
      </c>
      <c r="EJ44" s="511">
        <f t="shared" si="409"/>
        <v>61.102079999999972</v>
      </c>
      <c r="EK44" s="511">
        <f t="shared" si="410"/>
        <v>75.300479999999965</v>
      </c>
      <c r="EL44" s="511">
        <f t="shared" si="411"/>
        <v>94.101119999999952</v>
      </c>
      <c r="EM44" s="511">
        <f t="shared" si="412"/>
        <v>94.101119999999952</v>
      </c>
      <c r="EN44" s="723">
        <f t="shared" si="413"/>
        <v>94.101119999999952</v>
      </c>
      <c r="EO44" s="507">
        <f t="shared" si="414"/>
        <v>0</v>
      </c>
      <c r="EP44" s="511">
        <f t="shared" si="415"/>
        <v>0</v>
      </c>
      <c r="EQ44" s="511">
        <f t="shared" si="416"/>
        <v>0</v>
      </c>
      <c r="ER44" s="511">
        <f t="shared" si="417"/>
        <v>0</v>
      </c>
      <c r="ES44" s="511">
        <f t="shared" si="418"/>
        <v>0</v>
      </c>
      <c r="ET44" s="511">
        <f t="shared" si="419"/>
        <v>0</v>
      </c>
      <c r="EU44" s="723">
        <f t="shared" si="420"/>
        <v>0</v>
      </c>
      <c r="EV44" s="977">
        <f t="shared" si="430"/>
        <v>2378</v>
      </c>
      <c r="EW44" s="728">
        <f t="shared" si="431"/>
        <v>806142</v>
      </c>
      <c r="EX44" s="728">
        <f t="shared" si="432"/>
        <v>0</v>
      </c>
      <c r="EY44" s="728">
        <f t="shared" si="433"/>
        <v>713400</v>
      </c>
      <c r="EZ44" s="728">
        <f t="shared" si="434"/>
        <v>0</v>
      </c>
      <c r="FA44" s="978">
        <f t="shared" si="435"/>
        <v>192121.74457121774</v>
      </c>
      <c r="FB44" s="978">
        <f t="shared" si="436"/>
        <v>465.7075199999997</v>
      </c>
      <c r="FC44" s="778">
        <f t="shared" si="437"/>
        <v>0</v>
      </c>
    </row>
    <row r="45" spans="1:159" s="10" customFormat="1" ht="12.75" customHeight="1">
      <c r="A45" s="662" t="s">
        <v>194</v>
      </c>
      <c r="B45" s="703" t="str">
        <f t="shared" si="362"/>
        <v>LG&amp;E-HVAC-DWH-Heat Pump - Air Source ENERGY STAR</v>
      </c>
      <c r="C45" s="703" t="str">
        <f t="shared" si="483"/>
        <v>ENERGY STAR Air Source Heat Pump - SEER2 15.2 and HSPF2 7.8 (Split System) (CEE Tier 1)</v>
      </c>
      <c r="D45" s="703" t="str">
        <f t="shared" si="483"/>
        <v>Federal Standard 2023 Air Source Heat Pump - SEER2 14.3 and HSPF2 7.5 (Split System)</v>
      </c>
      <c r="E45" s="703" t="str">
        <f t="shared" si="483"/>
        <v>Per Unit</v>
      </c>
      <c r="F45" s="703" t="str">
        <f t="shared" si="483"/>
        <v>Incremental Cost</v>
      </c>
      <c r="G45" s="969">
        <f t="shared" si="483"/>
        <v>405</v>
      </c>
      <c r="H45" s="703">
        <f t="shared" si="483"/>
        <v>0</v>
      </c>
      <c r="I45" s="703">
        <f t="shared" si="483"/>
        <v>405</v>
      </c>
      <c r="J45" s="703">
        <f t="shared" si="483"/>
        <v>0</v>
      </c>
      <c r="K45" s="703">
        <f t="shared" si="483"/>
        <v>202.5</v>
      </c>
      <c r="L45" s="703" t="str">
        <f t="shared" si="483"/>
        <v>IL TRM (assume similar as increment cost from SEER 15 to SEER 16)</v>
      </c>
      <c r="M45" s="703">
        <f t="shared" si="483"/>
        <v>0</v>
      </c>
      <c r="N45" s="703">
        <f t="shared" si="483"/>
        <v>400</v>
      </c>
      <c r="O45" s="703">
        <f t="shared" si="483"/>
        <v>0</v>
      </c>
      <c r="P45" s="703">
        <f t="shared" si="483"/>
        <v>0</v>
      </c>
      <c r="Q45" s="703">
        <f t="shared" si="483"/>
        <v>266.71000368052984</v>
      </c>
      <c r="R45" s="703">
        <f t="shared" ref="R45:V45" si="491">R15</f>
        <v>0.18679720279720283</v>
      </c>
      <c r="S45" s="971">
        <v>0</v>
      </c>
      <c r="T45" s="703" t="str">
        <f t="shared" si="491"/>
        <v>Mid Atlantic TRM</v>
      </c>
      <c r="U45" s="712">
        <f t="shared" si="491"/>
        <v>0.05</v>
      </c>
      <c r="V45" s="713">
        <f t="shared" si="491"/>
        <v>1</v>
      </c>
      <c r="W45" s="938"/>
      <c r="X45" s="938"/>
      <c r="Y45" s="938"/>
      <c r="Z45" s="938"/>
      <c r="AA45" s="939"/>
      <c r="AB45" s="939"/>
      <c r="AC45" s="939"/>
      <c r="AD45" s="773">
        <f t="shared" si="439"/>
        <v>0</v>
      </c>
      <c r="AE45" s="773">
        <f t="shared" si="439"/>
        <v>229.5</v>
      </c>
      <c r="AF45" s="773">
        <f t="shared" si="439"/>
        <v>298.5</v>
      </c>
      <c r="AG45" s="773">
        <f t="shared" si="439"/>
        <v>367.5</v>
      </c>
      <c r="AH45" s="773">
        <f t="shared" si="439"/>
        <v>459.5</v>
      </c>
      <c r="AI45" s="773">
        <f t="shared" si="439"/>
        <v>459.5</v>
      </c>
      <c r="AJ45" s="773">
        <f t="shared" si="439"/>
        <v>459.5</v>
      </c>
      <c r="AK45" s="715" t="s">
        <v>374</v>
      </c>
      <c r="AL45" s="711" t="s">
        <v>375</v>
      </c>
      <c r="AM45" s="711" t="s">
        <v>377</v>
      </c>
      <c r="AN45" s="711" t="s">
        <v>377</v>
      </c>
      <c r="AO45" s="711" t="s">
        <v>1</v>
      </c>
      <c r="AP45" s="711" t="s">
        <v>378</v>
      </c>
      <c r="AQ45" s="711" t="s">
        <v>378</v>
      </c>
      <c r="AR45" s="711" t="s">
        <v>378</v>
      </c>
      <c r="AS45" s="715" t="s">
        <v>379</v>
      </c>
      <c r="AT45" s="715" t="s">
        <v>407</v>
      </c>
      <c r="AU45" s="715" t="s">
        <v>381</v>
      </c>
      <c r="AV45" s="940">
        <f t="shared" si="440"/>
        <v>18</v>
      </c>
      <c r="AW45" s="940">
        <f t="shared" si="440"/>
        <v>18</v>
      </c>
      <c r="AX45" s="711"/>
      <c r="AY45" s="716">
        <v>1</v>
      </c>
      <c r="AZ45" s="716">
        <v>1</v>
      </c>
      <c r="BA45" s="717">
        <v>1</v>
      </c>
      <c r="BB45" s="721">
        <f t="shared" si="364"/>
        <v>405</v>
      </c>
      <c r="BC45" s="499">
        <f t="shared" ref="BC45:BH45" si="492">BB45</f>
        <v>405</v>
      </c>
      <c r="BD45" s="499">
        <f t="shared" si="492"/>
        <v>405</v>
      </c>
      <c r="BE45" s="499">
        <f t="shared" si="492"/>
        <v>405</v>
      </c>
      <c r="BF45" s="499">
        <f t="shared" si="492"/>
        <v>405</v>
      </c>
      <c r="BG45" s="499">
        <f t="shared" si="492"/>
        <v>405</v>
      </c>
      <c r="BH45" s="499">
        <f t="shared" si="492"/>
        <v>405</v>
      </c>
      <c r="BI45" s="721">
        <f t="shared" si="366"/>
        <v>0</v>
      </c>
      <c r="BJ45" s="499">
        <f t="shared" ref="BJ45:BO45" si="493">BI45</f>
        <v>0</v>
      </c>
      <c r="BK45" s="499">
        <f t="shared" si="493"/>
        <v>0</v>
      </c>
      <c r="BL45" s="499">
        <f t="shared" si="493"/>
        <v>0</v>
      </c>
      <c r="BM45" s="499">
        <f t="shared" si="493"/>
        <v>0</v>
      </c>
      <c r="BN45" s="499">
        <f t="shared" si="493"/>
        <v>0</v>
      </c>
      <c r="BO45" s="499">
        <f t="shared" si="493"/>
        <v>0</v>
      </c>
      <c r="BP45" s="721">
        <f t="shared" si="368"/>
        <v>400</v>
      </c>
      <c r="BQ45" s="499">
        <f t="shared" ref="BQ45:BV45" si="494">BP45</f>
        <v>400</v>
      </c>
      <c r="BR45" s="499">
        <f t="shared" si="494"/>
        <v>400</v>
      </c>
      <c r="BS45" s="499">
        <f t="shared" si="494"/>
        <v>400</v>
      </c>
      <c r="BT45" s="499">
        <f t="shared" si="494"/>
        <v>400</v>
      </c>
      <c r="BU45" s="499">
        <f t="shared" si="494"/>
        <v>400</v>
      </c>
      <c r="BV45" s="499">
        <f t="shared" si="494"/>
        <v>400</v>
      </c>
      <c r="BW45" s="503">
        <f t="shared" si="444"/>
        <v>0</v>
      </c>
      <c r="BX45" s="503">
        <f t="shared" si="444"/>
        <v>0</v>
      </c>
      <c r="BY45" s="503">
        <f t="shared" si="444"/>
        <v>0</v>
      </c>
      <c r="BZ45" s="503">
        <f t="shared" si="444"/>
        <v>0</v>
      </c>
      <c r="CA45" s="503">
        <f t="shared" si="444"/>
        <v>0</v>
      </c>
      <c r="CB45" s="503">
        <f t="shared" si="444"/>
        <v>0</v>
      </c>
      <c r="CC45" s="776">
        <f t="shared" si="444"/>
        <v>0</v>
      </c>
      <c r="CD45" s="507">
        <f t="shared" si="370"/>
        <v>266.71000368052984</v>
      </c>
      <c r="CE45" s="511">
        <f t="shared" ref="CE45:CJ45" si="495">CD45</f>
        <v>266.71000368052984</v>
      </c>
      <c r="CF45" s="511">
        <f t="shared" si="495"/>
        <v>266.71000368052984</v>
      </c>
      <c r="CG45" s="511">
        <f t="shared" si="495"/>
        <v>266.71000368052984</v>
      </c>
      <c r="CH45" s="511">
        <f t="shared" si="495"/>
        <v>266.71000368052984</v>
      </c>
      <c r="CI45" s="511">
        <f t="shared" si="495"/>
        <v>266.71000368052984</v>
      </c>
      <c r="CJ45" s="511">
        <f t="shared" si="495"/>
        <v>266.71000368052984</v>
      </c>
      <c r="CK45" s="722">
        <f t="shared" si="372"/>
        <v>0.18679720279720283</v>
      </c>
      <c r="CL45" s="511">
        <f t="shared" ref="CL45:CQ45" si="496">CK45</f>
        <v>0.18679720279720283</v>
      </c>
      <c r="CM45" s="511">
        <f t="shared" si="496"/>
        <v>0.18679720279720283</v>
      </c>
      <c r="CN45" s="511">
        <f t="shared" si="496"/>
        <v>0.18679720279720283</v>
      </c>
      <c r="CO45" s="511">
        <f t="shared" si="496"/>
        <v>0.18679720279720283</v>
      </c>
      <c r="CP45" s="511">
        <f t="shared" si="496"/>
        <v>0.18679720279720283</v>
      </c>
      <c r="CQ45" s="511">
        <f t="shared" si="496"/>
        <v>0.18679720279720283</v>
      </c>
      <c r="CR45" s="722">
        <f t="shared" si="374"/>
        <v>0</v>
      </c>
      <c r="CS45" s="511">
        <f t="shared" ref="CS45:CX45" si="497">CR45</f>
        <v>0</v>
      </c>
      <c r="CT45" s="511">
        <f t="shared" si="497"/>
        <v>0</v>
      </c>
      <c r="CU45" s="511">
        <f t="shared" si="497"/>
        <v>0</v>
      </c>
      <c r="CV45" s="511">
        <f t="shared" si="497"/>
        <v>0</v>
      </c>
      <c r="CW45" s="511">
        <f t="shared" si="497"/>
        <v>0</v>
      </c>
      <c r="CX45" s="511">
        <f t="shared" si="497"/>
        <v>0</v>
      </c>
      <c r="CY45" s="724">
        <f t="shared" si="376"/>
        <v>0</v>
      </c>
      <c r="CZ45" s="508">
        <f t="shared" si="377"/>
        <v>92947.5</v>
      </c>
      <c r="DA45" s="508">
        <f t="shared" si="378"/>
        <v>120892.5</v>
      </c>
      <c r="DB45" s="508">
        <f t="shared" si="379"/>
        <v>148837.5</v>
      </c>
      <c r="DC45" s="508">
        <f t="shared" si="380"/>
        <v>186097.5</v>
      </c>
      <c r="DD45" s="508">
        <f t="shared" si="381"/>
        <v>186097.5</v>
      </c>
      <c r="DE45" s="726">
        <f t="shared" si="382"/>
        <v>186097.5</v>
      </c>
      <c r="DF45" s="724">
        <f t="shared" si="428"/>
        <v>0</v>
      </c>
      <c r="DG45" s="508">
        <f t="shared" si="383"/>
        <v>0</v>
      </c>
      <c r="DH45" s="508">
        <f t="shared" si="384"/>
        <v>0</v>
      </c>
      <c r="DI45" s="508">
        <f t="shared" si="385"/>
        <v>0</v>
      </c>
      <c r="DJ45" s="508">
        <f t="shared" si="386"/>
        <v>0</v>
      </c>
      <c r="DK45" s="508">
        <f t="shared" si="387"/>
        <v>0</v>
      </c>
      <c r="DL45" s="725">
        <f t="shared" si="388"/>
        <v>0</v>
      </c>
      <c r="DM45" s="724">
        <f t="shared" si="429"/>
        <v>0</v>
      </c>
      <c r="DN45" s="509">
        <f t="shared" si="389"/>
        <v>91800</v>
      </c>
      <c r="DO45" s="508">
        <f t="shared" si="390"/>
        <v>119400</v>
      </c>
      <c r="DP45" s="508">
        <f t="shared" si="391"/>
        <v>147000</v>
      </c>
      <c r="DQ45" s="508">
        <f t="shared" si="392"/>
        <v>183800</v>
      </c>
      <c r="DR45" s="508">
        <f t="shared" si="393"/>
        <v>183800</v>
      </c>
      <c r="DS45" s="725">
        <f t="shared" si="394"/>
        <v>183800</v>
      </c>
      <c r="DT45" s="724">
        <f t="shared" si="395"/>
        <v>0</v>
      </c>
      <c r="DU45" s="508">
        <f t="shared" si="396"/>
        <v>0</v>
      </c>
      <c r="DV45" s="508">
        <f t="shared" si="397"/>
        <v>0</v>
      </c>
      <c r="DW45" s="508">
        <f t="shared" si="398"/>
        <v>0</v>
      </c>
      <c r="DX45" s="508">
        <f t="shared" si="399"/>
        <v>0</v>
      </c>
      <c r="DY45" s="508">
        <f t="shared" si="400"/>
        <v>0</v>
      </c>
      <c r="DZ45" s="725">
        <f t="shared" si="401"/>
        <v>0</v>
      </c>
      <c r="EA45" s="722">
        <f t="shared" si="91"/>
        <v>0</v>
      </c>
      <c r="EB45" s="511">
        <f t="shared" si="402"/>
        <v>61209.945844681599</v>
      </c>
      <c r="EC45" s="511">
        <f t="shared" si="403"/>
        <v>79612.936098638151</v>
      </c>
      <c r="ED45" s="511">
        <f t="shared" si="404"/>
        <v>98015.926352594717</v>
      </c>
      <c r="EE45" s="511">
        <f t="shared" si="405"/>
        <v>122553.24669120346</v>
      </c>
      <c r="EF45" s="511">
        <f t="shared" si="406"/>
        <v>122553.24669120346</v>
      </c>
      <c r="EG45" s="723">
        <f t="shared" si="407"/>
        <v>122553.24669120346</v>
      </c>
      <c r="EH45" s="722">
        <f t="shared" si="65"/>
        <v>0</v>
      </c>
      <c r="EI45" s="511">
        <f t="shared" si="408"/>
        <v>42.86995804195805</v>
      </c>
      <c r="EJ45" s="511">
        <f t="shared" si="409"/>
        <v>55.758965034965044</v>
      </c>
      <c r="EK45" s="511">
        <f t="shared" si="410"/>
        <v>68.647972027972045</v>
      </c>
      <c r="EL45" s="511">
        <f t="shared" si="411"/>
        <v>85.833314685314704</v>
      </c>
      <c r="EM45" s="511">
        <f t="shared" si="412"/>
        <v>85.833314685314704</v>
      </c>
      <c r="EN45" s="723">
        <f t="shared" si="413"/>
        <v>85.833314685314704</v>
      </c>
      <c r="EO45" s="507">
        <f t="shared" si="414"/>
        <v>0</v>
      </c>
      <c r="EP45" s="511">
        <f t="shared" si="415"/>
        <v>0</v>
      </c>
      <c r="EQ45" s="511">
        <f t="shared" si="416"/>
        <v>0</v>
      </c>
      <c r="ER45" s="511">
        <f t="shared" si="417"/>
        <v>0</v>
      </c>
      <c r="ES45" s="511">
        <f t="shared" si="418"/>
        <v>0</v>
      </c>
      <c r="ET45" s="511">
        <f t="shared" si="419"/>
        <v>0</v>
      </c>
      <c r="EU45" s="723">
        <f t="shared" si="420"/>
        <v>0</v>
      </c>
      <c r="EV45" s="727">
        <f t="shared" si="430"/>
        <v>2274</v>
      </c>
      <c r="EW45" s="728">
        <f t="shared" si="431"/>
        <v>920970</v>
      </c>
      <c r="EX45" s="728">
        <f t="shared" si="432"/>
        <v>0</v>
      </c>
      <c r="EY45" s="728">
        <f t="shared" si="433"/>
        <v>909600</v>
      </c>
      <c r="EZ45" s="728">
        <f t="shared" si="434"/>
        <v>0</v>
      </c>
      <c r="FA45" s="777">
        <f t="shared" si="435"/>
        <v>606498.54836952488</v>
      </c>
      <c r="FB45" s="777">
        <f t="shared" si="436"/>
        <v>424.77683916083919</v>
      </c>
      <c r="FC45" s="778">
        <f t="shared" si="437"/>
        <v>0</v>
      </c>
    </row>
    <row r="46" spans="1:159" s="10" customFormat="1" ht="12.75" customHeight="1">
      <c r="A46" s="662" t="s">
        <v>195</v>
      </c>
      <c r="B46" s="703" t="str">
        <f t="shared" si="362"/>
        <v>LG&amp;E-HVAC-DWH-Ductless Heat Pump (DHP)</v>
      </c>
      <c r="C46" s="703" t="str">
        <f t="shared" si="483"/>
        <v>Ductless Heat Pump - SEER/EER 18/12.5, HSPF 10.0</v>
      </c>
      <c r="D46" s="703" t="str">
        <f t="shared" si="483"/>
        <v>Standard Baseboard Heating - HSPF 3.41</v>
      </c>
      <c r="E46" s="703" t="str">
        <f t="shared" si="483"/>
        <v>Per Unit</v>
      </c>
      <c r="F46" s="703" t="str">
        <f t="shared" si="483"/>
        <v>Incremental Cost</v>
      </c>
      <c r="G46" s="969">
        <f t="shared" si="483"/>
        <v>1002</v>
      </c>
      <c r="H46" s="703">
        <f t="shared" si="483"/>
        <v>0</v>
      </c>
      <c r="I46" s="703">
        <f t="shared" si="483"/>
        <v>1002</v>
      </c>
      <c r="J46" s="703">
        <f t="shared" si="483"/>
        <v>0</v>
      </c>
      <c r="K46" s="703">
        <f t="shared" si="483"/>
        <v>501</v>
      </c>
      <c r="L46" s="703" t="str">
        <f t="shared" si="483"/>
        <v xml:space="preserve">IL TRM (334/ton), if Full install cost (1715/ton) </v>
      </c>
      <c r="M46" s="703">
        <f t="shared" si="483"/>
        <v>0</v>
      </c>
      <c r="N46" s="703">
        <f t="shared" si="483"/>
        <v>400</v>
      </c>
      <c r="O46" s="703">
        <f t="shared" si="483"/>
        <v>0</v>
      </c>
      <c r="P46" s="703">
        <f t="shared" si="483"/>
        <v>0</v>
      </c>
      <c r="Q46" s="703">
        <f t="shared" si="483"/>
        <v>4172.3665824240761</v>
      </c>
      <c r="R46" s="703">
        <f t="shared" ref="R46:V46" si="498">R16</f>
        <v>0</v>
      </c>
      <c r="S46" s="971">
        <v>0</v>
      </c>
      <c r="T46" s="703" t="str">
        <f t="shared" si="498"/>
        <v>Potential Study Results: Calculations based on ENERGY STAR Appliances Calculator. Accessed 06.07.2016</v>
      </c>
      <c r="U46" s="712">
        <f t="shared" si="498"/>
        <v>0.05</v>
      </c>
      <c r="V46" s="713">
        <f t="shared" si="498"/>
        <v>1</v>
      </c>
      <c r="W46" s="938"/>
      <c r="X46" s="938"/>
      <c r="Y46" s="938"/>
      <c r="Z46" s="938"/>
      <c r="AA46" s="939"/>
      <c r="AB46" s="939"/>
      <c r="AC46" s="939"/>
      <c r="AD46" s="773">
        <f t="shared" si="439"/>
        <v>0</v>
      </c>
      <c r="AE46" s="773">
        <f t="shared" si="439"/>
        <v>234.75</v>
      </c>
      <c r="AF46" s="773">
        <f t="shared" si="439"/>
        <v>305.25</v>
      </c>
      <c r="AG46" s="773">
        <f t="shared" si="439"/>
        <v>376</v>
      </c>
      <c r="AH46" s="773">
        <f t="shared" si="439"/>
        <v>470</v>
      </c>
      <c r="AI46" s="773">
        <f t="shared" si="439"/>
        <v>470</v>
      </c>
      <c r="AJ46" s="773">
        <f t="shared" si="439"/>
        <v>470</v>
      </c>
      <c r="AK46" s="715" t="s">
        <v>374</v>
      </c>
      <c r="AL46" s="711" t="s">
        <v>375</v>
      </c>
      <c r="AM46" s="711" t="s">
        <v>377</v>
      </c>
      <c r="AN46" s="711" t="s">
        <v>377</v>
      </c>
      <c r="AO46" s="711" t="s">
        <v>1</v>
      </c>
      <c r="AP46" s="711" t="s">
        <v>378</v>
      </c>
      <c r="AQ46" s="711" t="s">
        <v>378</v>
      </c>
      <c r="AR46" s="711" t="s">
        <v>378</v>
      </c>
      <c r="AS46" s="715" t="s">
        <v>379</v>
      </c>
      <c r="AT46" s="715" t="s">
        <v>407</v>
      </c>
      <c r="AU46" s="715" t="s">
        <v>381</v>
      </c>
      <c r="AV46" s="940">
        <f t="shared" si="440"/>
        <v>18</v>
      </c>
      <c r="AW46" s="940">
        <f t="shared" si="440"/>
        <v>18</v>
      </c>
      <c r="AX46" s="711"/>
      <c r="AY46" s="716">
        <v>1</v>
      </c>
      <c r="AZ46" s="716">
        <v>1</v>
      </c>
      <c r="BA46" s="717">
        <v>1</v>
      </c>
      <c r="BB46" s="721">
        <f t="shared" si="364"/>
        <v>1002</v>
      </c>
      <c r="BC46" s="499">
        <f t="shared" ref="BC46:BH46" si="499">BB46</f>
        <v>1002</v>
      </c>
      <c r="BD46" s="499">
        <f t="shared" si="499"/>
        <v>1002</v>
      </c>
      <c r="BE46" s="499">
        <f t="shared" si="499"/>
        <v>1002</v>
      </c>
      <c r="BF46" s="499">
        <f t="shared" si="499"/>
        <v>1002</v>
      </c>
      <c r="BG46" s="499">
        <f t="shared" si="499"/>
        <v>1002</v>
      </c>
      <c r="BH46" s="499">
        <f t="shared" si="499"/>
        <v>1002</v>
      </c>
      <c r="BI46" s="721">
        <f t="shared" si="366"/>
        <v>0</v>
      </c>
      <c r="BJ46" s="499">
        <f t="shared" ref="BJ46:BO46" si="500">BI46</f>
        <v>0</v>
      </c>
      <c r="BK46" s="499">
        <f t="shared" si="500"/>
        <v>0</v>
      </c>
      <c r="BL46" s="499">
        <f t="shared" si="500"/>
        <v>0</v>
      </c>
      <c r="BM46" s="499">
        <f t="shared" si="500"/>
        <v>0</v>
      </c>
      <c r="BN46" s="499">
        <f t="shared" si="500"/>
        <v>0</v>
      </c>
      <c r="BO46" s="499">
        <f t="shared" si="500"/>
        <v>0</v>
      </c>
      <c r="BP46" s="721">
        <f t="shared" si="368"/>
        <v>400</v>
      </c>
      <c r="BQ46" s="499">
        <f t="shared" ref="BQ46:BV46" si="501">BP46</f>
        <v>400</v>
      </c>
      <c r="BR46" s="499">
        <f t="shared" si="501"/>
        <v>400</v>
      </c>
      <c r="BS46" s="499">
        <f t="shared" si="501"/>
        <v>400</v>
      </c>
      <c r="BT46" s="499">
        <f t="shared" si="501"/>
        <v>400</v>
      </c>
      <c r="BU46" s="499">
        <f t="shared" si="501"/>
        <v>400</v>
      </c>
      <c r="BV46" s="499">
        <f t="shared" si="501"/>
        <v>400</v>
      </c>
      <c r="BW46" s="503">
        <f t="shared" si="444"/>
        <v>0</v>
      </c>
      <c r="BX46" s="503">
        <f t="shared" si="444"/>
        <v>0</v>
      </c>
      <c r="BY46" s="503">
        <f t="shared" si="444"/>
        <v>0</v>
      </c>
      <c r="BZ46" s="503">
        <f t="shared" si="444"/>
        <v>0</v>
      </c>
      <c r="CA46" s="503">
        <f t="shared" si="444"/>
        <v>0</v>
      </c>
      <c r="CB46" s="503">
        <f t="shared" si="444"/>
        <v>0</v>
      </c>
      <c r="CC46" s="776">
        <f t="shared" si="444"/>
        <v>0</v>
      </c>
      <c r="CD46" s="507">
        <f t="shared" si="370"/>
        <v>4172.3665824240761</v>
      </c>
      <c r="CE46" s="511">
        <f t="shared" ref="CE46:CJ46" si="502">CD46</f>
        <v>4172.3665824240761</v>
      </c>
      <c r="CF46" s="511">
        <f t="shared" si="502"/>
        <v>4172.3665824240761</v>
      </c>
      <c r="CG46" s="511">
        <f t="shared" si="502"/>
        <v>4172.3665824240761</v>
      </c>
      <c r="CH46" s="511">
        <f t="shared" si="502"/>
        <v>4172.3665824240761</v>
      </c>
      <c r="CI46" s="511">
        <f t="shared" si="502"/>
        <v>4172.3665824240761</v>
      </c>
      <c r="CJ46" s="511">
        <f t="shared" si="502"/>
        <v>4172.3665824240761</v>
      </c>
      <c r="CK46" s="722">
        <f t="shared" si="372"/>
        <v>0</v>
      </c>
      <c r="CL46" s="511">
        <f t="shared" ref="CL46:CQ46" si="503">CK46</f>
        <v>0</v>
      </c>
      <c r="CM46" s="511">
        <f t="shared" si="503"/>
        <v>0</v>
      </c>
      <c r="CN46" s="511">
        <f t="shared" si="503"/>
        <v>0</v>
      </c>
      <c r="CO46" s="511">
        <f t="shared" si="503"/>
        <v>0</v>
      </c>
      <c r="CP46" s="511">
        <f t="shared" si="503"/>
        <v>0</v>
      </c>
      <c r="CQ46" s="511">
        <f t="shared" si="503"/>
        <v>0</v>
      </c>
      <c r="CR46" s="722">
        <f t="shared" si="374"/>
        <v>0</v>
      </c>
      <c r="CS46" s="511">
        <f t="shared" ref="CS46:CX46" si="504">CR46</f>
        <v>0</v>
      </c>
      <c r="CT46" s="511">
        <f t="shared" si="504"/>
        <v>0</v>
      </c>
      <c r="CU46" s="511">
        <f t="shared" si="504"/>
        <v>0</v>
      </c>
      <c r="CV46" s="511">
        <f t="shared" si="504"/>
        <v>0</v>
      </c>
      <c r="CW46" s="511">
        <f t="shared" si="504"/>
        <v>0</v>
      </c>
      <c r="CX46" s="511">
        <f t="shared" si="504"/>
        <v>0</v>
      </c>
      <c r="CY46" s="724">
        <f t="shared" si="376"/>
        <v>0</v>
      </c>
      <c r="CZ46" s="508">
        <f t="shared" si="377"/>
        <v>235219.5</v>
      </c>
      <c r="DA46" s="508">
        <f t="shared" si="378"/>
        <v>305860.5</v>
      </c>
      <c r="DB46" s="508">
        <f t="shared" si="379"/>
        <v>376752</v>
      </c>
      <c r="DC46" s="508">
        <f t="shared" si="380"/>
        <v>470940</v>
      </c>
      <c r="DD46" s="508">
        <f t="shared" si="381"/>
        <v>470940</v>
      </c>
      <c r="DE46" s="726">
        <f t="shared" si="382"/>
        <v>470940</v>
      </c>
      <c r="DF46" s="724">
        <f t="shared" si="428"/>
        <v>0</v>
      </c>
      <c r="DG46" s="508">
        <f t="shared" si="383"/>
        <v>0</v>
      </c>
      <c r="DH46" s="508">
        <f t="shared" si="384"/>
        <v>0</v>
      </c>
      <c r="DI46" s="508">
        <f t="shared" si="385"/>
        <v>0</v>
      </c>
      <c r="DJ46" s="508">
        <f t="shared" si="386"/>
        <v>0</v>
      </c>
      <c r="DK46" s="508">
        <f t="shared" si="387"/>
        <v>0</v>
      </c>
      <c r="DL46" s="725">
        <f t="shared" si="388"/>
        <v>0</v>
      </c>
      <c r="DM46" s="724">
        <f t="shared" si="429"/>
        <v>0</v>
      </c>
      <c r="DN46" s="509">
        <f t="shared" si="389"/>
        <v>93900</v>
      </c>
      <c r="DO46" s="508">
        <f t="shared" si="390"/>
        <v>122100</v>
      </c>
      <c r="DP46" s="508">
        <f t="shared" si="391"/>
        <v>150400</v>
      </c>
      <c r="DQ46" s="508">
        <f t="shared" si="392"/>
        <v>188000</v>
      </c>
      <c r="DR46" s="508">
        <f t="shared" si="393"/>
        <v>188000</v>
      </c>
      <c r="DS46" s="725">
        <f t="shared" si="394"/>
        <v>188000</v>
      </c>
      <c r="DT46" s="724">
        <f t="shared" si="395"/>
        <v>0</v>
      </c>
      <c r="DU46" s="508">
        <f t="shared" si="396"/>
        <v>0</v>
      </c>
      <c r="DV46" s="508">
        <f t="shared" si="397"/>
        <v>0</v>
      </c>
      <c r="DW46" s="508">
        <f t="shared" si="398"/>
        <v>0</v>
      </c>
      <c r="DX46" s="508">
        <f t="shared" si="399"/>
        <v>0</v>
      </c>
      <c r="DY46" s="508">
        <f t="shared" si="400"/>
        <v>0</v>
      </c>
      <c r="DZ46" s="725">
        <f t="shared" si="401"/>
        <v>0</v>
      </c>
      <c r="EA46" s="722">
        <f t="shared" si="91"/>
        <v>0</v>
      </c>
      <c r="EB46" s="511">
        <f t="shared" si="402"/>
        <v>979463.05522405182</v>
      </c>
      <c r="EC46" s="511">
        <f t="shared" si="403"/>
        <v>1273614.8992849493</v>
      </c>
      <c r="ED46" s="511">
        <f t="shared" si="404"/>
        <v>1568809.8349914525</v>
      </c>
      <c r="EE46" s="511">
        <f t="shared" si="405"/>
        <v>1961012.2937393158</v>
      </c>
      <c r="EF46" s="511">
        <f t="shared" si="406"/>
        <v>1961012.2937393158</v>
      </c>
      <c r="EG46" s="723">
        <f t="shared" si="407"/>
        <v>1961012.2937393158</v>
      </c>
      <c r="EH46" s="722">
        <f t="shared" si="65"/>
        <v>0</v>
      </c>
      <c r="EI46" s="511">
        <f t="shared" si="408"/>
        <v>0</v>
      </c>
      <c r="EJ46" s="511">
        <f t="shared" si="409"/>
        <v>0</v>
      </c>
      <c r="EK46" s="511">
        <f t="shared" si="410"/>
        <v>0</v>
      </c>
      <c r="EL46" s="511">
        <f t="shared" si="411"/>
        <v>0</v>
      </c>
      <c r="EM46" s="511">
        <f t="shared" si="412"/>
        <v>0</v>
      </c>
      <c r="EN46" s="723">
        <f t="shared" si="413"/>
        <v>0</v>
      </c>
      <c r="EO46" s="507">
        <f t="shared" si="414"/>
        <v>0</v>
      </c>
      <c r="EP46" s="511">
        <f t="shared" si="415"/>
        <v>0</v>
      </c>
      <c r="EQ46" s="511">
        <f t="shared" si="416"/>
        <v>0</v>
      </c>
      <c r="ER46" s="511">
        <f t="shared" si="417"/>
        <v>0</v>
      </c>
      <c r="ES46" s="511">
        <f t="shared" si="418"/>
        <v>0</v>
      </c>
      <c r="ET46" s="511">
        <f t="shared" si="419"/>
        <v>0</v>
      </c>
      <c r="EU46" s="723">
        <f t="shared" si="420"/>
        <v>0</v>
      </c>
      <c r="EV46" s="727">
        <f t="shared" si="430"/>
        <v>2326</v>
      </c>
      <c r="EW46" s="728">
        <f t="shared" si="431"/>
        <v>2330652</v>
      </c>
      <c r="EX46" s="728">
        <f t="shared" si="432"/>
        <v>0</v>
      </c>
      <c r="EY46" s="728">
        <f t="shared" si="433"/>
        <v>930400</v>
      </c>
      <c r="EZ46" s="728">
        <f t="shared" si="434"/>
        <v>0</v>
      </c>
      <c r="FA46" s="777">
        <f t="shared" si="435"/>
        <v>9704924.6707184017</v>
      </c>
      <c r="FB46" s="777">
        <f t="shared" si="436"/>
        <v>0</v>
      </c>
      <c r="FC46" s="778">
        <f t="shared" si="437"/>
        <v>0</v>
      </c>
    </row>
    <row r="47" spans="1:159" s="10" customFormat="1" ht="12.75" hidden="1" customHeight="1">
      <c r="A47" s="662" t="s">
        <v>196</v>
      </c>
      <c r="B47" s="703" t="str">
        <f t="shared" si="362"/>
        <v>LG&amp;E-HVAC-DWH-Boiler - ENERGY STAR</v>
      </c>
      <c r="C47" s="703" t="str">
        <f t="shared" si="483"/>
        <v>ENERGY STAR Boiler - 90% AFUE</v>
      </c>
      <c r="D47" s="703" t="str">
        <f t="shared" si="483"/>
        <v>Federal Standard 2012 Boiler - 82% AFUE</v>
      </c>
      <c r="E47" s="703" t="str">
        <f t="shared" si="483"/>
        <v>Per Unit</v>
      </c>
      <c r="F47" s="703" t="str">
        <f t="shared" si="483"/>
        <v>Incremental Cost</v>
      </c>
      <c r="G47" s="969">
        <f t="shared" si="483"/>
        <v>1466</v>
      </c>
      <c r="H47" s="703">
        <f t="shared" si="483"/>
        <v>0</v>
      </c>
      <c r="I47" s="703">
        <f t="shared" si="483"/>
        <v>1466</v>
      </c>
      <c r="J47" s="703">
        <f t="shared" si="483"/>
        <v>0</v>
      </c>
      <c r="K47" s="703">
        <f t="shared" si="483"/>
        <v>733</v>
      </c>
      <c r="L47" s="703" t="str">
        <f t="shared" si="483"/>
        <v>IL TRM (Installation Cost is 5519)</v>
      </c>
      <c r="M47" s="703">
        <f t="shared" si="483"/>
        <v>0</v>
      </c>
      <c r="N47" s="703">
        <f t="shared" si="483"/>
        <v>250</v>
      </c>
      <c r="O47" s="703">
        <f t="shared" si="483"/>
        <v>0</v>
      </c>
      <c r="P47" s="703">
        <f t="shared" si="483"/>
        <v>0</v>
      </c>
      <c r="Q47" s="703">
        <f t="shared" si="483"/>
        <v>0</v>
      </c>
      <c r="R47" s="703">
        <f t="shared" ref="R47:V47" si="505">R17</f>
        <v>0</v>
      </c>
      <c r="S47" s="971">
        <f>BD75</f>
        <v>56.00000000000005</v>
      </c>
      <c r="T47" s="703" t="str">
        <f t="shared" si="505"/>
        <v>Mid Atlantic TRM</v>
      </c>
      <c r="U47" s="712">
        <f t="shared" si="505"/>
        <v>0.05</v>
      </c>
      <c r="V47" s="713">
        <f t="shared" si="505"/>
        <v>1</v>
      </c>
      <c r="W47" s="938"/>
      <c r="X47" s="938"/>
      <c r="Y47" s="938"/>
      <c r="Z47" s="938"/>
      <c r="AA47" s="939"/>
      <c r="AB47" s="939"/>
      <c r="AC47" s="939"/>
      <c r="AD47" s="972">
        <v>0</v>
      </c>
      <c r="AE47" s="972">
        <v>0</v>
      </c>
      <c r="AF47" s="972">
        <v>0</v>
      </c>
      <c r="AG47" s="972">
        <v>0</v>
      </c>
      <c r="AH47" s="972">
        <v>0</v>
      </c>
      <c r="AI47" s="972">
        <v>0</v>
      </c>
      <c r="AJ47" s="972">
        <v>0</v>
      </c>
      <c r="AK47" s="715" t="s">
        <v>374</v>
      </c>
      <c r="AL47" s="711" t="s">
        <v>375</v>
      </c>
      <c r="AM47" s="711" t="s">
        <v>377</v>
      </c>
      <c r="AN47" s="711" t="s">
        <v>377</v>
      </c>
      <c r="AO47" s="711" t="s">
        <v>1</v>
      </c>
      <c r="AP47" s="711" t="s">
        <v>378</v>
      </c>
      <c r="AQ47" s="711" t="s">
        <v>378</v>
      </c>
      <c r="AR47" s="711" t="s">
        <v>378</v>
      </c>
      <c r="AS47" s="715" t="s">
        <v>379</v>
      </c>
      <c r="AT47" s="715" t="s">
        <v>407</v>
      </c>
      <c r="AU47" s="715" t="s">
        <v>381</v>
      </c>
      <c r="AV47" s="940">
        <f t="shared" si="440"/>
        <v>18</v>
      </c>
      <c r="AW47" s="940">
        <f t="shared" si="440"/>
        <v>18</v>
      </c>
      <c r="AX47" s="711"/>
      <c r="AY47" s="716">
        <v>1</v>
      </c>
      <c r="AZ47" s="716">
        <v>1</v>
      </c>
      <c r="BA47" s="717">
        <v>1</v>
      </c>
      <c r="BB47" s="721">
        <f t="shared" si="364"/>
        <v>1466</v>
      </c>
      <c r="BC47" s="499">
        <f t="shared" ref="BC47:BH47" si="506">BB47</f>
        <v>1466</v>
      </c>
      <c r="BD47" s="499">
        <f t="shared" si="506"/>
        <v>1466</v>
      </c>
      <c r="BE47" s="499">
        <f t="shared" si="506"/>
        <v>1466</v>
      </c>
      <c r="BF47" s="499">
        <f t="shared" si="506"/>
        <v>1466</v>
      </c>
      <c r="BG47" s="499">
        <f t="shared" si="506"/>
        <v>1466</v>
      </c>
      <c r="BH47" s="499">
        <f t="shared" si="506"/>
        <v>1466</v>
      </c>
      <c r="BI47" s="721">
        <f t="shared" si="366"/>
        <v>0</v>
      </c>
      <c r="BJ47" s="499">
        <f t="shared" ref="BJ47:BO47" si="507">BI47</f>
        <v>0</v>
      </c>
      <c r="BK47" s="499">
        <f t="shared" si="507"/>
        <v>0</v>
      </c>
      <c r="BL47" s="499">
        <f t="shared" si="507"/>
        <v>0</v>
      </c>
      <c r="BM47" s="499">
        <f t="shared" si="507"/>
        <v>0</v>
      </c>
      <c r="BN47" s="499">
        <f t="shared" si="507"/>
        <v>0</v>
      </c>
      <c r="BO47" s="499">
        <f t="shared" si="507"/>
        <v>0</v>
      </c>
      <c r="BP47" s="721">
        <f t="shared" si="368"/>
        <v>250</v>
      </c>
      <c r="BQ47" s="499">
        <f t="shared" ref="BQ47:BV47" si="508">BP47</f>
        <v>250</v>
      </c>
      <c r="BR47" s="499">
        <f t="shared" si="508"/>
        <v>250</v>
      </c>
      <c r="BS47" s="499">
        <f t="shared" si="508"/>
        <v>250</v>
      </c>
      <c r="BT47" s="499">
        <f t="shared" si="508"/>
        <v>250</v>
      </c>
      <c r="BU47" s="499">
        <f t="shared" si="508"/>
        <v>250</v>
      </c>
      <c r="BV47" s="499">
        <f t="shared" si="508"/>
        <v>250</v>
      </c>
      <c r="BW47" s="503">
        <f t="shared" si="444"/>
        <v>0</v>
      </c>
      <c r="BX47" s="503">
        <f t="shared" si="444"/>
        <v>0</v>
      </c>
      <c r="BY47" s="503">
        <f t="shared" si="444"/>
        <v>0</v>
      </c>
      <c r="BZ47" s="503">
        <f t="shared" si="444"/>
        <v>0</v>
      </c>
      <c r="CA47" s="503">
        <f t="shared" si="444"/>
        <v>0</v>
      </c>
      <c r="CB47" s="503">
        <f t="shared" si="444"/>
        <v>0</v>
      </c>
      <c r="CC47" s="776">
        <f t="shared" si="444"/>
        <v>0</v>
      </c>
      <c r="CD47" s="507">
        <f t="shared" si="370"/>
        <v>0</v>
      </c>
      <c r="CE47" s="511">
        <f t="shared" ref="CE47:CJ47" si="509">CD47</f>
        <v>0</v>
      </c>
      <c r="CF47" s="511">
        <f t="shared" si="509"/>
        <v>0</v>
      </c>
      <c r="CG47" s="511">
        <f t="shared" si="509"/>
        <v>0</v>
      </c>
      <c r="CH47" s="511">
        <f t="shared" si="509"/>
        <v>0</v>
      </c>
      <c r="CI47" s="511">
        <f t="shared" si="509"/>
        <v>0</v>
      </c>
      <c r="CJ47" s="511">
        <f t="shared" si="509"/>
        <v>0</v>
      </c>
      <c r="CK47" s="722">
        <f t="shared" si="372"/>
        <v>0</v>
      </c>
      <c r="CL47" s="511">
        <f t="shared" ref="CL47:CQ47" si="510">CK47</f>
        <v>0</v>
      </c>
      <c r="CM47" s="511">
        <f t="shared" si="510"/>
        <v>0</v>
      </c>
      <c r="CN47" s="511">
        <f t="shared" si="510"/>
        <v>0</v>
      </c>
      <c r="CO47" s="511">
        <f t="shared" si="510"/>
        <v>0</v>
      </c>
      <c r="CP47" s="511">
        <f t="shared" si="510"/>
        <v>0</v>
      </c>
      <c r="CQ47" s="511">
        <f t="shared" si="510"/>
        <v>0</v>
      </c>
      <c r="CR47" s="722">
        <f t="shared" si="374"/>
        <v>56.00000000000005</v>
      </c>
      <c r="CS47" s="511">
        <f t="shared" ref="CS47:CX47" si="511">CR47</f>
        <v>56.00000000000005</v>
      </c>
      <c r="CT47" s="511">
        <f t="shared" si="511"/>
        <v>56.00000000000005</v>
      </c>
      <c r="CU47" s="511">
        <f t="shared" si="511"/>
        <v>56.00000000000005</v>
      </c>
      <c r="CV47" s="511">
        <f t="shared" si="511"/>
        <v>56.00000000000005</v>
      </c>
      <c r="CW47" s="511">
        <f t="shared" si="511"/>
        <v>56.00000000000005</v>
      </c>
      <c r="CX47" s="511">
        <f t="shared" si="511"/>
        <v>56.00000000000005</v>
      </c>
      <c r="CY47" s="724">
        <f t="shared" si="376"/>
        <v>0</v>
      </c>
      <c r="CZ47" s="508">
        <f t="shared" si="377"/>
        <v>0</v>
      </c>
      <c r="DA47" s="508">
        <f t="shared" si="378"/>
        <v>0</v>
      </c>
      <c r="DB47" s="508">
        <f t="shared" si="379"/>
        <v>0</v>
      </c>
      <c r="DC47" s="508">
        <f t="shared" si="380"/>
        <v>0</v>
      </c>
      <c r="DD47" s="508">
        <f t="shared" si="381"/>
        <v>0</v>
      </c>
      <c r="DE47" s="726">
        <f t="shared" si="382"/>
        <v>0</v>
      </c>
      <c r="DF47" s="724">
        <f t="shared" si="428"/>
        <v>0</v>
      </c>
      <c r="DG47" s="508">
        <f t="shared" si="383"/>
        <v>0</v>
      </c>
      <c r="DH47" s="508">
        <f t="shared" si="384"/>
        <v>0</v>
      </c>
      <c r="DI47" s="508">
        <f t="shared" si="385"/>
        <v>0</v>
      </c>
      <c r="DJ47" s="508">
        <f t="shared" si="386"/>
        <v>0</v>
      </c>
      <c r="DK47" s="508">
        <f t="shared" si="387"/>
        <v>0</v>
      </c>
      <c r="DL47" s="725">
        <f t="shared" si="388"/>
        <v>0</v>
      </c>
      <c r="DM47" s="724">
        <f t="shared" si="429"/>
        <v>0</v>
      </c>
      <c r="DN47" s="509">
        <f t="shared" si="389"/>
        <v>0</v>
      </c>
      <c r="DO47" s="508">
        <f t="shared" si="390"/>
        <v>0</v>
      </c>
      <c r="DP47" s="508">
        <f t="shared" si="391"/>
        <v>0</v>
      </c>
      <c r="DQ47" s="508">
        <f t="shared" si="392"/>
        <v>0</v>
      </c>
      <c r="DR47" s="508">
        <f t="shared" si="393"/>
        <v>0</v>
      </c>
      <c r="DS47" s="725">
        <f t="shared" si="394"/>
        <v>0</v>
      </c>
      <c r="DT47" s="724">
        <f t="shared" si="395"/>
        <v>0</v>
      </c>
      <c r="DU47" s="508">
        <f t="shared" si="396"/>
        <v>0</v>
      </c>
      <c r="DV47" s="508">
        <f t="shared" si="397"/>
        <v>0</v>
      </c>
      <c r="DW47" s="508">
        <f t="shared" si="398"/>
        <v>0</v>
      </c>
      <c r="DX47" s="508">
        <f t="shared" si="399"/>
        <v>0</v>
      </c>
      <c r="DY47" s="508">
        <f t="shared" si="400"/>
        <v>0</v>
      </c>
      <c r="DZ47" s="725">
        <f t="shared" si="401"/>
        <v>0</v>
      </c>
      <c r="EA47" s="722">
        <f t="shared" si="91"/>
        <v>0</v>
      </c>
      <c r="EB47" s="511">
        <f t="shared" si="402"/>
        <v>0</v>
      </c>
      <c r="EC47" s="511">
        <f t="shared" si="403"/>
        <v>0</v>
      </c>
      <c r="ED47" s="511">
        <f t="shared" si="404"/>
        <v>0</v>
      </c>
      <c r="EE47" s="511">
        <f t="shared" si="405"/>
        <v>0</v>
      </c>
      <c r="EF47" s="511">
        <f t="shared" si="406"/>
        <v>0</v>
      </c>
      <c r="EG47" s="723">
        <f t="shared" si="407"/>
        <v>0</v>
      </c>
      <c r="EH47" s="722">
        <f t="shared" si="65"/>
        <v>0</v>
      </c>
      <c r="EI47" s="511">
        <f t="shared" si="408"/>
        <v>0</v>
      </c>
      <c r="EJ47" s="511">
        <f t="shared" si="409"/>
        <v>0</v>
      </c>
      <c r="EK47" s="511">
        <f t="shared" si="410"/>
        <v>0</v>
      </c>
      <c r="EL47" s="511">
        <f t="shared" si="411"/>
        <v>0</v>
      </c>
      <c r="EM47" s="511">
        <f t="shared" si="412"/>
        <v>0</v>
      </c>
      <c r="EN47" s="723">
        <f t="shared" si="413"/>
        <v>0</v>
      </c>
      <c r="EO47" s="507">
        <f t="shared" si="414"/>
        <v>0</v>
      </c>
      <c r="EP47" s="511">
        <f t="shared" si="415"/>
        <v>0</v>
      </c>
      <c r="EQ47" s="511">
        <f t="shared" si="416"/>
        <v>0</v>
      </c>
      <c r="ER47" s="511">
        <f t="shared" si="417"/>
        <v>0</v>
      </c>
      <c r="ES47" s="511">
        <f t="shared" si="418"/>
        <v>0</v>
      </c>
      <c r="ET47" s="511">
        <f t="shared" si="419"/>
        <v>0</v>
      </c>
      <c r="EU47" s="723">
        <f t="shared" si="420"/>
        <v>0</v>
      </c>
      <c r="EV47" s="727">
        <f t="shared" si="430"/>
        <v>0</v>
      </c>
      <c r="EW47" s="728">
        <f t="shared" si="431"/>
        <v>0</v>
      </c>
      <c r="EX47" s="728">
        <f t="shared" si="432"/>
        <v>0</v>
      </c>
      <c r="EY47" s="728">
        <f t="shared" si="433"/>
        <v>0</v>
      </c>
      <c r="EZ47" s="728">
        <f t="shared" si="434"/>
        <v>0</v>
      </c>
      <c r="FA47" s="777">
        <f t="shared" si="435"/>
        <v>0</v>
      </c>
      <c r="FB47" s="777">
        <f t="shared" si="436"/>
        <v>0</v>
      </c>
      <c r="FC47" s="778">
        <f t="shared" si="437"/>
        <v>0</v>
      </c>
    </row>
    <row r="48" spans="1:159" s="10" customFormat="1" ht="12.75" customHeight="1">
      <c r="A48" s="662" t="s">
        <v>197</v>
      </c>
      <c r="B48" s="703" t="str">
        <f t="shared" si="362"/>
        <v>LG&amp;E-HVAC-DWH-Furnace - ENERGY STAR</v>
      </c>
      <c r="C48" s="703" t="str">
        <f t="shared" si="483"/>
        <v>ENERGY STAR Furnace - 95% AFUE</v>
      </c>
      <c r="D48" s="703" t="str">
        <f t="shared" si="483"/>
        <v>Federal Standard 2016 Furnace - 80% AFUE</v>
      </c>
      <c r="E48" s="703" t="str">
        <f t="shared" si="483"/>
        <v>Per Unit</v>
      </c>
      <c r="F48" s="703" t="str">
        <f t="shared" si="483"/>
        <v>Incremental Cost</v>
      </c>
      <c r="G48" s="969">
        <f t="shared" si="483"/>
        <v>976.86</v>
      </c>
      <c r="H48" s="703">
        <f t="shared" si="483"/>
        <v>0</v>
      </c>
      <c r="I48" s="703">
        <f t="shared" si="483"/>
        <v>976.86</v>
      </c>
      <c r="J48" s="703">
        <f t="shared" si="483"/>
        <v>0</v>
      </c>
      <c r="K48" s="703">
        <f t="shared" si="483"/>
        <v>488.43</v>
      </c>
      <c r="L48" s="703" t="str">
        <f t="shared" si="483"/>
        <v>WI TRM average NG Furnace, Multi-stage+, 95% AFUE and Tier 2.</v>
      </c>
      <c r="M48" s="703">
        <f t="shared" si="483"/>
        <v>0</v>
      </c>
      <c r="N48" s="703">
        <f t="shared" si="483"/>
        <v>250</v>
      </c>
      <c r="O48" s="703">
        <f t="shared" si="483"/>
        <v>0</v>
      </c>
      <c r="P48" s="703">
        <f t="shared" si="483"/>
        <v>0</v>
      </c>
      <c r="Q48" s="703">
        <f t="shared" si="483"/>
        <v>0</v>
      </c>
      <c r="R48" s="703">
        <f t="shared" ref="R48:V48" si="512">R18</f>
        <v>0</v>
      </c>
      <c r="S48" s="971">
        <f>BG75</f>
        <v>75.337499999999906</v>
      </c>
      <c r="T48" s="703" t="str">
        <f t="shared" si="512"/>
        <v>Mid Atlantic TRM</v>
      </c>
      <c r="U48" s="712">
        <f t="shared" si="512"/>
        <v>0.05</v>
      </c>
      <c r="V48" s="713">
        <f t="shared" si="512"/>
        <v>1</v>
      </c>
      <c r="W48" s="938"/>
      <c r="X48" s="938"/>
      <c r="Y48" s="938"/>
      <c r="Z48" s="938"/>
      <c r="AA48" s="939"/>
      <c r="AB48" s="939"/>
      <c r="AC48" s="939"/>
      <c r="AD48" s="773">
        <v>0</v>
      </c>
      <c r="AE48" s="773">
        <v>50</v>
      </c>
      <c r="AF48" s="773">
        <v>100</v>
      </c>
      <c r="AG48" s="773">
        <v>150</v>
      </c>
      <c r="AH48" s="773">
        <v>200</v>
      </c>
      <c r="AI48" s="773">
        <v>0</v>
      </c>
      <c r="AJ48" s="773">
        <v>0</v>
      </c>
      <c r="AK48" s="715" t="s">
        <v>374</v>
      </c>
      <c r="AL48" s="711" t="s">
        <v>375</v>
      </c>
      <c r="AM48" s="711" t="s">
        <v>377</v>
      </c>
      <c r="AN48" s="711" t="s">
        <v>377</v>
      </c>
      <c r="AO48" s="711" t="s">
        <v>1</v>
      </c>
      <c r="AP48" s="711" t="s">
        <v>378</v>
      </c>
      <c r="AQ48" s="711" t="s">
        <v>378</v>
      </c>
      <c r="AR48" s="711" t="s">
        <v>378</v>
      </c>
      <c r="AS48" s="715" t="s">
        <v>379</v>
      </c>
      <c r="AT48" s="715" t="s">
        <v>407</v>
      </c>
      <c r="AU48" s="715" t="s">
        <v>381</v>
      </c>
      <c r="AV48" s="940">
        <f t="shared" si="440"/>
        <v>18</v>
      </c>
      <c r="AW48" s="940">
        <f t="shared" si="440"/>
        <v>18</v>
      </c>
      <c r="AX48" s="711"/>
      <c r="AY48" s="716">
        <v>1</v>
      </c>
      <c r="AZ48" s="716">
        <v>1</v>
      </c>
      <c r="BA48" s="717">
        <v>1</v>
      </c>
      <c r="BB48" s="721">
        <f t="shared" si="364"/>
        <v>976.86</v>
      </c>
      <c r="BC48" s="499">
        <f t="shared" ref="BC48:BH48" si="513">BB48</f>
        <v>976.86</v>
      </c>
      <c r="BD48" s="499">
        <f t="shared" si="513"/>
        <v>976.86</v>
      </c>
      <c r="BE48" s="499">
        <f t="shared" si="513"/>
        <v>976.86</v>
      </c>
      <c r="BF48" s="499">
        <f t="shared" si="513"/>
        <v>976.86</v>
      </c>
      <c r="BG48" s="499">
        <f t="shared" si="513"/>
        <v>976.86</v>
      </c>
      <c r="BH48" s="499">
        <f t="shared" si="513"/>
        <v>976.86</v>
      </c>
      <c r="BI48" s="721">
        <f t="shared" si="366"/>
        <v>0</v>
      </c>
      <c r="BJ48" s="499">
        <f t="shared" ref="BJ48:BO48" si="514">BI48</f>
        <v>0</v>
      </c>
      <c r="BK48" s="499">
        <f t="shared" si="514"/>
        <v>0</v>
      </c>
      <c r="BL48" s="499">
        <f t="shared" si="514"/>
        <v>0</v>
      </c>
      <c r="BM48" s="499">
        <f t="shared" si="514"/>
        <v>0</v>
      </c>
      <c r="BN48" s="499">
        <f t="shared" si="514"/>
        <v>0</v>
      </c>
      <c r="BO48" s="499">
        <f t="shared" si="514"/>
        <v>0</v>
      </c>
      <c r="BP48" s="721">
        <f t="shared" si="368"/>
        <v>250</v>
      </c>
      <c r="BQ48" s="499">
        <f t="shared" ref="BQ48:BV48" si="515">BP48</f>
        <v>250</v>
      </c>
      <c r="BR48" s="499">
        <f t="shared" si="515"/>
        <v>250</v>
      </c>
      <c r="BS48" s="499">
        <f t="shared" si="515"/>
        <v>250</v>
      </c>
      <c r="BT48" s="499">
        <f t="shared" si="515"/>
        <v>250</v>
      </c>
      <c r="BU48" s="499">
        <f t="shared" si="515"/>
        <v>250</v>
      </c>
      <c r="BV48" s="499">
        <f t="shared" si="515"/>
        <v>250</v>
      </c>
      <c r="BW48" s="503">
        <f t="shared" si="444"/>
        <v>0</v>
      </c>
      <c r="BX48" s="503">
        <f t="shared" si="444"/>
        <v>0</v>
      </c>
      <c r="BY48" s="503">
        <f t="shared" si="444"/>
        <v>0</v>
      </c>
      <c r="BZ48" s="503">
        <f t="shared" si="444"/>
        <v>0</v>
      </c>
      <c r="CA48" s="503">
        <f t="shared" si="444"/>
        <v>0</v>
      </c>
      <c r="CB48" s="503">
        <f t="shared" si="444"/>
        <v>0</v>
      </c>
      <c r="CC48" s="776">
        <f t="shared" si="444"/>
        <v>0</v>
      </c>
      <c r="CD48" s="507">
        <f t="shared" si="370"/>
        <v>0</v>
      </c>
      <c r="CE48" s="511">
        <f t="shared" ref="CE48:CJ48" si="516">CD48</f>
        <v>0</v>
      </c>
      <c r="CF48" s="511">
        <f t="shared" si="516"/>
        <v>0</v>
      </c>
      <c r="CG48" s="511">
        <f t="shared" si="516"/>
        <v>0</v>
      </c>
      <c r="CH48" s="511">
        <f t="shared" si="516"/>
        <v>0</v>
      </c>
      <c r="CI48" s="511">
        <f t="shared" si="516"/>
        <v>0</v>
      </c>
      <c r="CJ48" s="511">
        <f t="shared" si="516"/>
        <v>0</v>
      </c>
      <c r="CK48" s="722">
        <f t="shared" si="372"/>
        <v>0</v>
      </c>
      <c r="CL48" s="511">
        <f t="shared" ref="CL48:CQ48" si="517">CK48</f>
        <v>0</v>
      </c>
      <c r="CM48" s="511">
        <f t="shared" si="517"/>
        <v>0</v>
      </c>
      <c r="CN48" s="511">
        <f t="shared" si="517"/>
        <v>0</v>
      </c>
      <c r="CO48" s="511">
        <f t="shared" si="517"/>
        <v>0</v>
      </c>
      <c r="CP48" s="511">
        <f t="shared" si="517"/>
        <v>0</v>
      </c>
      <c r="CQ48" s="511">
        <f t="shared" si="517"/>
        <v>0</v>
      </c>
      <c r="CR48" s="722">
        <f t="shared" si="374"/>
        <v>75.337499999999906</v>
      </c>
      <c r="CS48" s="511">
        <f t="shared" ref="CS48:CX48" si="518">CR48</f>
        <v>75.337499999999906</v>
      </c>
      <c r="CT48" s="511">
        <f t="shared" si="518"/>
        <v>75.337499999999906</v>
      </c>
      <c r="CU48" s="511">
        <f t="shared" si="518"/>
        <v>75.337499999999906</v>
      </c>
      <c r="CV48" s="511">
        <f t="shared" si="518"/>
        <v>75.337499999999906</v>
      </c>
      <c r="CW48" s="511">
        <f t="shared" si="518"/>
        <v>75.337499999999906</v>
      </c>
      <c r="CX48" s="511">
        <f t="shared" si="518"/>
        <v>75.337499999999906</v>
      </c>
      <c r="CY48" s="724">
        <f t="shared" si="376"/>
        <v>0</v>
      </c>
      <c r="CZ48" s="508">
        <f t="shared" si="377"/>
        <v>48843</v>
      </c>
      <c r="DA48" s="508">
        <f t="shared" si="378"/>
        <v>97686</v>
      </c>
      <c r="DB48" s="508">
        <f t="shared" si="379"/>
        <v>146529</v>
      </c>
      <c r="DC48" s="508">
        <f t="shared" si="380"/>
        <v>195372</v>
      </c>
      <c r="DD48" s="508">
        <f t="shared" si="381"/>
        <v>0</v>
      </c>
      <c r="DE48" s="726">
        <f t="shared" si="382"/>
        <v>0</v>
      </c>
      <c r="DF48" s="724">
        <f t="shared" si="428"/>
        <v>0</v>
      </c>
      <c r="DG48" s="508">
        <f t="shared" si="383"/>
        <v>0</v>
      </c>
      <c r="DH48" s="508">
        <f t="shared" si="384"/>
        <v>0</v>
      </c>
      <c r="DI48" s="508">
        <f t="shared" si="385"/>
        <v>0</v>
      </c>
      <c r="DJ48" s="508">
        <f t="shared" si="386"/>
        <v>0</v>
      </c>
      <c r="DK48" s="508">
        <f t="shared" si="387"/>
        <v>0</v>
      </c>
      <c r="DL48" s="725">
        <f t="shared" si="388"/>
        <v>0</v>
      </c>
      <c r="DM48" s="724">
        <f t="shared" si="429"/>
        <v>0</v>
      </c>
      <c r="DN48" s="509">
        <f t="shared" si="389"/>
        <v>12500</v>
      </c>
      <c r="DO48" s="508">
        <f t="shared" si="390"/>
        <v>25000</v>
      </c>
      <c r="DP48" s="508">
        <f t="shared" si="391"/>
        <v>37500</v>
      </c>
      <c r="DQ48" s="508">
        <f t="shared" si="392"/>
        <v>50000</v>
      </c>
      <c r="DR48" s="508">
        <f t="shared" si="393"/>
        <v>0</v>
      </c>
      <c r="DS48" s="725">
        <f t="shared" si="394"/>
        <v>0</v>
      </c>
      <c r="DT48" s="724">
        <f t="shared" si="395"/>
        <v>0</v>
      </c>
      <c r="DU48" s="508">
        <f t="shared" si="396"/>
        <v>0</v>
      </c>
      <c r="DV48" s="508">
        <f t="shared" si="397"/>
        <v>0</v>
      </c>
      <c r="DW48" s="508">
        <f t="shared" si="398"/>
        <v>0</v>
      </c>
      <c r="DX48" s="508">
        <f t="shared" si="399"/>
        <v>0</v>
      </c>
      <c r="DY48" s="508">
        <f t="shared" si="400"/>
        <v>0</v>
      </c>
      <c r="DZ48" s="725">
        <f t="shared" si="401"/>
        <v>0</v>
      </c>
      <c r="EA48" s="722">
        <f t="shared" si="91"/>
        <v>0</v>
      </c>
      <c r="EB48" s="511">
        <f t="shared" si="402"/>
        <v>0</v>
      </c>
      <c r="EC48" s="511">
        <f t="shared" si="403"/>
        <v>0</v>
      </c>
      <c r="ED48" s="511">
        <f t="shared" si="404"/>
        <v>0</v>
      </c>
      <c r="EE48" s="511">
        <f t="shared" si="405"/>
        <v>0</v>
      </c>
      <c r="EF48" s="511">
        <f t="shared" si="406"/>
        <v>0</v>
      </c>
      <c r="EG48" s="723">
        <f t="shared" si="407"/>
        <v>0</v>
      </c>
      <c r="EH48" s="722">
        <f t="shared" si="65"/>
        <v>0</v>
      </c>
      <c r="EI48" s="511">
        <f t="shared" si="408"/>
        <v>0</v>
      </c>
      <c r="EJ48" s="511">
        <f t="shared" si="409"/>
        <v>0</v>
      </c>
      <c r="EK48" s="511">
        <f t="shared" si="410"/>
        <v>0</v>
      </c>
      <c r="EL48" s="511">
        <f t="shared" si="411"/>
        <v>0</v>
      </c>
      <c r="EM48" s="511">
        <f t="shared" si="412"/>
        <v>0</v>
      </c>
      <c r="EN48" s="723">
        <f t="shared" si="413"/>
        <v>0</v>
      </c>
      <c r="EO48" s="507">
        <f t="shared" si="414"/>
        <v>0</v>
      </c>
      <c r="EP48" s="511">
        <f t="shared" si="415"/>
        <v>3766.8749999999955</v>
      </c>
      <c r="EQ48" s="511">
        <f t="shared" si="416"/>
        <v>7533.7499999999909</v>
      </c>
      <c r="ER48" s="511">
        <f t="shared" si="417"/>
        <v>11300.624999999985</v>
      </c>
      <c r="ES48" s="511">
        <f t="shared" si="418"/>
        <v>15067.499999999982</v>
      </c>
      <c r="ET48" s="511">
        <f t="shared" si="419"/>
        <v>0</v>
      </c>
      <c r="EU48" s="723">
        <f t="shared" si="420"/>
        <v>0</v>
      </c>
      <c r="EV48" s="727">
        <f t="shared" si="430"/>
        <v>500</v>
      </c>
      <c r="EW48" s="728">
        <f t="shared" si="431"/>
        <v>488430</v>
      </c>
      <c r="EX48" s="728">
        <f t="shared" si="432"/>
        <v>0</v>
      </c>
      <c r="EY48" s="728">
        <f t="shared" si="433"/>
        <v>125000</v>
      </c>
      <c r="EZ48" s="728">
        <f t="shared" si="434"/>
        <v>0</v>
      </c>
      <c r="FA48" s="777">
        <f t="shared" si="435"/>
        <v>0</v>
      </c>
      <c r="FB48" s="777">
        <f t="shared" si="436"/>
        <v>0</v>
      </c>
      <c r="FC48" s="778">
        <f t="shared" si="437"/>
        <v>37668.749999999956</v>
      </c>
    </row>
    <row r="49" spans="1:159" s="10" customFormat="1" ht="12.75" customHeight="1">
      <c r="A49" s="662" t="s">
        <v>198</v>
      </c>
      <c r="B49" s="703" t="str">
        <f t="shared" si="362"/>
        <v>LG&amp;E-HVAC-DWH-Heat Pump Water Heater - ENERGY STAR</v>
      </c>
      <c r="C49" s="703" t="str">
        <f t="shared" si="483"/>
        <v>ENERGY STAR Heat Pump Water Heater ≤ 55 GAL - UEF 2.2</v>
      </c>
      <c r="D49" s="703" t="str">
        <f t="shared" si="483"/>
        <v>Federal Standard 2015 Storage Water Heater ≤ 55 GAL - UEF 0.95</v>
      </c>
      <c r="E49" s="703" t="str">
        <f t="shared" si="483"/>
        <v>Per Unit</v>
      </c>
      <c r="F49" s="703" t="str">
        <f t="shared" si="483"/>
        <v>Incremental Cost</v>
      </c>
      <c r="G49" s="969">
        <f t="shared" si="483"/>
        <v>1030</v>
      </c>
      <c r="H49" s="703">
        <f t="shared" si="483"/>
        <v>0</v>
      </c>
      <c r="I49" s="703">
        <f t="shared" si="483"/>
        <v>1030</v>
      </c>
      <c r="J49" s="703">
        <f t="shared" si="483"/>
        <v>0</v>
      </c>
      <c r="K49" s="703">
        <f t="shared" si="483"/>
        <v>515</v>
      </c>
      <c r="L49" s="703" t="str">
        <f t="shared" si="483"/>
        <v>IL TRM (Installed Cost is 2062)</v>
      </c>
      <c r="M49" s="703">
        <f t="shared" si="483"/>
        <v>0</v>
      </c>
      <c r="N49" s="703">
        <f t="shared" si="483"/>
        <v>300</v>
      </c>
      <c r="O49" s="703">
        <f t="shared" si="483"/>
        <v>0</v>
      </c>
      <c r="P49" s="703">
        <f t="shared" si="483"/>
        <v>0</v>
      </c>
      <c r="Q49" s="703">
        <f t="shared" si="483"/>
        <v>1455.4089451200357</v>
      </c>
      <c r="R49" s="703">
        <f t="shared" ref="R49:V49" si="519">R19</f>
        <v>5.8064516129032261E-2</v>
      </c>
      <c r="S49" s="971">
        <v>0</v>
      </c>
      <c r="T49" s="703" t="str">
        <f t="shared" si="519"/>
        <v>Mid Atlantic TRM</v>
      </c>
      <c r="U49" s="712">
        <f t="shared" si="519"/>
        <v>0.05</v>
      </c>
      <c r="V49" s="713">
        <f t="shared" si="519"/>
        <v>1</v>
      </c>
      <c r="W49" s="938"/>
      <c r="X49" s="938"/>
      <c r="Y49" s="938"/>
      <c r="Z49" s="938"/>
      <c r="AA49" s="939"/>
      <c r="AB49" s="939"/>
      <c r="AC49" s="939"/>
      <c r="AD49" s="773">
        <f t="shared" si="439"/>
        <v>0</v>
      </c>
      <c r="AE49" s="773">
        <f t="shared" si="439"/>
        <v>37.5</v>
      </c>
      <c r="AF49" s="773">
        <f t="shared" si="439"/>
        <v>48.5</v>
      </c>
      <c r="AG49" s="773">
        <f t="shared" si="439"/>
        <v>60</v>
      </c>
      <c r="AH49" s="773">
        <f t="shared" si="439"/>
        <v>75</v>
      </c>
      <c r="AI49" s="773">
        <f t="shared" si="439"/>
        <v>75</v>
      </c>
      <c r="AJ49" s="773">
        <f t="shared" si="439"/>
        <v>75</v>
      </c>
      <c r="AK49" s="715" t="s">
        <v>374</v>
      </c>
      <c r="AL49" s="711" t="s">
        <v>375</v>
      </c>
      <c r="AM49" s="711" t="s">
        <v>377</v>
      </c>
      <c r="AN49" s="711" t="s">
        <v>377</v>
      </c>
      <c r="AO49" s="711" t="s">
        <v>1</v>
      </c>
      <c r="AP49" s="711" t="s">
        <v>378</v>
      </c>
      <c r="AQ49" s="711" t="s">
        <v>378</v>
      </c>
      <c r="AR49" s="711" t="s">
        <v>378</v>
      </c>
      <c r="AS49" s="715" t="s">
        <v>943</v>
      </c>
      <c r="AT49" s="715" t="s">
        <v>407</v>
      </c>
      <c r="AU49" s="715" t="s">
        <v>381</v>
      </c>
      <c r="AV49" s="940">
        <f t="shared" si="440"/>
        <v>13</v>
      </c>
      <c r="AW49" s="940">
        <f t="shared" si="440"/>
        <v>13</v>
      </c>
      <c r="AX49" s="711"/>
      <c r="AY49" s="716">
        <v>1</v>
      </c>
      <c r="AZ49" s="716">
        <v>1</v>
      </c>
      <c r="BA49" s="717">
        <v>1</v>
      </c>
      <c r="BB49" s="721">
        <f t="shared" si="364"/>
        <v>1030</v>
      </c>
      <c r="BC49" s="499">
        <f t="shared" ref="BC49:BH49" si="520">BB49</f>
        <v>1030</v>
      </c>
      <c r="BD49" s="499">
        <f t="shared" si="520"/>
        <v>1030</v>
      </c>
      <c r="BE49" s="499">
        <f t="shared" si="520"/>
        <v>1030</v>
      </c>
      <c r="BF49" s="499">
        <f t="shared" si="520"/>
        <v>1030</v>
      </c>
      <c r="BG49" s="499">
        <f t="shared" si="520"/>
        <v>1030</v>
      </c>
      <c r="BH49" s="499">
        <f t="shared" si="520"/>
        <v>1030</v>
      </c>
      <c r="BI49" s="721">
        <f t="shared" si="366"/>
        <v>0</v>
      </c>
      <c r="BJ49" s="499">
        <f t="shared" ref="BJ49:BO49" si="521">BI49</f>
        <v>0</v>
      </c>
      <c r="BK49" s="499">
        <f t="shared" si="521"/>
        <v>0</v>
      </c>
      <c r="BL49" s="499">
        <f t="shared" si="521"/>
        <v>0</v>
      </c>
      <c r="BM49" s="499">
        <f t="shared" si="521"/>
        <v>0</v>
      </c>
      <c r="BN49" s="499">
        <f t="shared" si="521"/>
        <v>0</v>
      </c>
      <c r="BO49" s="499">
        <f t="shared" si="521"/>
        <v>0</v>
      </c>
      <c r="BP49" s="721">
        <f t="shared" si="368"/>
        <v>300</v>
      </c>
      <c r="BQ49" s="499">
        <f t="shared" ref="BQ49:BV49" si="522">BP49</f>
        <v>300</v>
      </c>
      <c r="BR49" s="499">
        <f t="shared" si="522"/>
        <v>300</v>
      </c>
      <c r="BS49" s="499">
        <f t="shared" si="522"/>
        <v>300</v>
      </c>
      <c r="BT49" s="499">
        <f t="shared" si="522"/>
        <v>300</v>
      </c>
      <c r="BU49" s="499">
        <f t="shared" si="522"/>
        <v>300</v>
      </c>
      <c r="BV49" s="499">
        <f t="shared" si="522"/>
        <v>300</v>
      </c>
      <c r="BW49" s="503">
        <f t="shared" si="444"/>
        <v>0</v>
      </c>
      <c r="BX49" s="503">
        <f t="shared" si="444"/>
        <v>0</v>
      </c>
      <c r="BY49" s="503">
        <f t="shared" si="444"/>
        <v>0</v>
      </c>
      <c r="BZ49" s="503">
        <f t="shared" si="444"/>
        <v>0</v>
      </c>
      <c r="CA49" s="503">
        <f t="shared" si="444"/>
        <v>0</v>
      </c>
      <c r="CB49" s="503">
        <f t="shared" si="444"/>
        <v>0</v>
      </c>
      <c r="CC49" s="776">
        <f t="shared" si="444"/>
        <v>0</v>
      </c>
      <c r="CD49" s="507">
        <f t="shared" si="370"/>
        <v>1455.4089451200357</v>
      </c>
      <c r="CE49" s="511">
        <f t="shared" ref="CE49:CJ49" si="523">CD49</f>
        <v>1455.4089451200357</v>
      </c>
      <c r="CF49" s="511">
        <f t="shared" si="523"/>
        <v>1455.4089451200357</v>
      </c>
      <c r="CG49" s="511">
        <f t="shared" si="523"/>
        <v>1455.4089451200357</v>
      </c>
      <c r="CH49" s="511">
        <f t="shared" si="523"/>
        <v>1455.4089451200357</v>
      </c>
      <c r="CI49" s="511">
        <f t="shared" si="523"/>
        <v>1455.4089451200357</v>
      </c>
      <c r="CJ49" s="511">
        <f t="shared" si="523"/>
        <v>1455.4089451200357</v>
      </c>
      <c r="CK49" s="722">
        <f t="shared" si="372"/>
        <v>5.8064516129032261E-2</v>
      </c>
      <c r="CL49" s="511">
        <f t="shared" ref="CL49:CQ49" si="524">CK49</f>
        <v>5.8064516129032261E-2</v>
      </c>
      <c r="CM49" s="511">
        <f t="shared" si="524"/>
        <v>5.8064516129032261E-2</v>
      </c>
      <c r="CN49" s="511">
        <f t="shared" si="524"/>
        <v>5.8064516129032261E-2</v>
      </c>
      <c r="CO49" s="511">
        <f t="shared" si="524"/>
        <v>5.8064516129032261E-2</v>
      </c>
      <c r="CP49" s="511">
        <f t="shared" si="524"/>
        <v>5.8064516129032261E-2</v>
      </c>
      <c r="CQ49" s="511">
        <f t="shared" si="524"/>
        <v>5.8064516129032261E-2</v>
      </c>
      <c r="CR49" s="722">
        <f t="shared" si="374"/>
        <v>0</v>
      </c>
      <c r="CS49" s="511">
        <f t="shared" ref="CS49:CX49" si="525">CR49</f>
        <v>0</v>
      </c>
      <c r="CT49" s="511">
        <f t="shared" si="525"/>
        <v>0</v>
      </c>
      <c r="CU49" s="511">
        <f t="shared" si="525"/>
        <v>0</v>
      </c>
      <c r="CV49" s="511">
        <f t="shared" si="525"/>
        <v>0</v>
      </c>
      <c r="CW49" s="511">
        <f t="shared" si="525"/>
        <v>0</v>
      </c>
      <c r="CX49" s="511">
        <f t="shared" si="525"/>
        <v>0</v>
      </c>
      <c r="CY49" s="724">
        <f t="shared" si="376"/>
        <v>0</v>
      </c>
      <c r="CZ49" s="508">
        <f t="shared" si="377"/>
        <v>38625</v>
      </c>
      <c r="DA49" s="508">
        <f t="shared" si="378"/>
        <v>49955</v>
      </c>
      <c r="DB49" s="508">
        <f t="shared" si="379"/>
        <v>61800</v>
      </c>
      <c r="DC49" s="508">
        <f t="shared" si="380"/>
        <v>77250</v>
      </c>
      <c r="DD49" s="508">
        <f t="shared" si="381"/>
        <v>77250</v>
      </c>
      <c r="DE49" s="726">
        <f t="shared" si="382"/>
        <v>77250</v>
      </c>
      <c r="DF49" s="724">
        <f t="shared" si="428"/>
        <v>0</v>
      </c>
      <c r="DG49" s="508">
        <f t="shared" si="383"/>
        <v>0</v>
      </c>
      <c r="DH49" s="508">
        <f t="shared" si="384"/>
        <v>0</v>
      </c>
      <c r="DI49" s="508">
        <f t="shared" si="385"/>
        <v>0</v>
      </c>
      <c r="DJ49" s="508">
        <f t="shared" si="386"/>
        <v>0</v>
      </c>
      <c r="DK49" s="508">
        <f t="shared" si="387"/>
        <v>0</v>
      </c>
      <c r="DL49" s="725">
        <f t="shared" si="388"/>
        <v>0</v>
      </c>
      <c r="DM49" s="724">
        <f t="shared" si="429"/>
        <v>0</v>
      </c>
      <c r="DN49" s="509">
        <f t="shared" si="389"/>
        <v>11250</v>
      </c>
      <c r="DO49" s="508">
        <f t="shared" si="390"/>
        <v>14550</v>
      </c>
      <c r="DP49" s="508">
        <f t="shared" si="391"/>
        <v>18000</v>
      </c>
      <c r="DQ49" s="508">
        <f t="shared" si="392"/>
        <v>22500</v>
      </c>
      <c r="DR49" s="508">
        <f t="shared" si="393"/>
        <v>22500</v>
      </c>
      <c r="DS49" s="725">
        <f t="shared" si="394"/>
        <v>22500</v>
      </c>
      <c r="DT49" s="724">
        <f t="shared" si="395"/>
        <v>0</v>
      </c>
      <c r="DU49" s="508">
        <f t="shared" si="396"/>
        <v>0</v>
      </c>
      <c r="DV49" s="508">
        <f t="shared" si="397"/>
        <v>0</v>
      </c>
      <c r="DW49" s="508">
        <f t="shared" si="398"/>
        <v>0</v>
      </c>
      <c r="DX49" s="508">
        <f t="shared" si="399"/>
        <v>0</v>
      </c>
      <c r="DY49" s="508">
        <f t="shared" si="400"/>
        <v>0</v>
      </c>
      <c r="DZ49" s="725">
        <f t="shared" si="401"/>
        <v>0</v>
      </c>
      <c r="EA49" s="722">
        <f t="shared" si="91"/>
        <v>0</v>
      </c>
      <c r="EB49" s="511">
        <f t="shared" si="402"/>
        <v>54577.835442001342</v>
      </c>
      <c r="EC49" s="511">
        <f t="shared" si="403"/>
        <v>70587.333838321734</v>
      </c>
      <c r="ED49" s="511">
        <f t="shared" si="404"/>
        <v>87324.536707202147</v>
      </c>
      <c r="EE49" s="511">
        <f t="shared" si="405"/>
        <v>109155.67088400268</v>
      </c>
      <c r="EF49" s="511">
        <f t="shared" si="406"/>
        <v>109155.67088400268</v>
      </c>
      <c r="EG49" s="723">
        <f t="shared" si="407"/>
        <v>109155.67088400268</v>
      </c>
      <c r="EH49" s="722">
        <f t="shared" si="65"/>
        <v>0</v>
      </c>
      <c r="EI49" s="511">
        <f t="shared" si="408"/>
        <v>2.17741935483871</v>
      </c>
      <c r="EJ49" s="511">
        <f t="shared" si="409"/>
        <v>2.8161290322580648</v>
      </c>
      <c r="EK49" s="511">
        <f t="shared" si="410"/>
        <v>3.4838709677419355</v>
      </c>
      <c r="EL49" s="511">
        <f t="shared" si="411"/>
        <v>4.3548387096774199</v>
      </c>
      <c r="EM49" s="511">
        <f t="shared" si="412"/>
        <v>4.3548387096774199</v>
      </c>
      <c r="EN49" s="723">
        <f t="shared" si="413"/>
        <v>4.3548387096774199</v>
      </c>
      <c r="EO49" s="507">
        <f t="shared" si="414"/>
        <v>0</v>
      </c>
      <c r="EP49" s="511">
        <f t="shared" si="415"/>
        <v>0</v>
      </c>
      <c r="EQ49" s="511">
        <f t="shared" si="416"/>
        <v>0</v>
      </c>
      <c r="ER49" s="511">
        <f t="shared" si="417"/>
        <v>0</v>
      </c>
      <c r="ES49" s="511">
        <f t="shared" si="418"/>
        <v>0</v>
      </c>
      <c r="ET49" s="511">
        <f t="shared" si="419"/>
        <v>0</v>
      </c>
      <c r="EU49" s="723">
        <f t="shared" si="420"/>
        <v>0</v>
      </c>
      <c r="EV49" s="727">
        <f t="shared" si="430"/>
        <v>371</v>
      </c>
      <c r="EW49" s="728">
        <f t="shared" si="431"/>
        <v>382130</v>
      </c>
      <c r="EX49" s="728">
        <f t="shared" si="432"/>
        <v>0</v>
      </c>
      <c r="EY49" s="728">
        <f t="shared" si="433"/>
        <v>111300</v>
      </c>
      <c r="EZ49" s="728">
        <f t="shared" si="434"/>
        <v>0</v>
      </c>
      <c r="FA49" s="777">
        <f t="shared" si="435"/>
        <v>539956.71863953327</v>
      </c>
      <c r="FB49" s="777">
        <f t="shared" si="436"/>
        <v>21.541935483870969</v>
      </c>
      <c r="FC49" s="778">
        <f t="shared" si="437"/>
        <v>0</v>
      </c>
    </row>
    <row r="50" spans="1:159" s="10" customFormat="1" ht="12.75" customHeight="1" thickBot="1">
      <c r="A50" s="729"/>
      <c r="B50" s="759"/>
      <c r="C50" s="759"/>
      <c r="D50" s="759"/>
      <c r="E50" s="759"/>
      <c r="F50" s="731"/>
      <c r="G50" s="731"/>
      <c r="H50" s="731"/>
      <c r="I50" s="731"/>
      <c r="J50" s="731"/>
      <c r="K50" s="731"/>
      <c r="L50" s="733"/>
      <c r="M50" s="734"/>
      <c r="N50" s="734"/>
      <c r="O50" s="734"/>
      <c r="P50" s="734"/>
      <c r="Q50" s="736"/>
      <c r="R50" s="758"/>
      <c r="S50" s="737"/>
      <c r="T50" s="733"/>
      <c r="U50" s="738"/>
      <c r="V50" s="739"/>
      <c r="W50" s="740"/>
      <c r="X50" s="740"/>
      <c r="Y50" s="740"/>
      <c r="Z50" s="740"/>
      <c r="AA50" s="741"/>
      <c r="AB50" s="741"/>
      <c r="AC50" s="741"/>
      <c r="AD50" s="742"/>
      <c r="AE50" s="742"/>
      <c r="AF50" s="742"/>
      <c r="AG50" s="742"/>
      <c r="AH50" s="742"/>
      <c r="AI50" s="742"/>
      <c r="AJ50" s="742"/>
      <c r="AK50" s="733"/>
      <c r="AL50" s="733"/>
      <c r="AM50" s="733"/>
      <c r="AN50" s="733"/>
      <c r="AO50" s="733"/>
      <c r="AP50" s="733"/>
      <c r="AQ50" s="733"/>
      <c r="AR50" s="733"/>
      <c r="AS50" s="760"/>
      <c r="AT50" s="760"/>
      <c r="AU50" s="760"/>
      <c r="AV50" s="733"/>
      <c r="AW50" s="733"/>
      <c r="AX50" s="733"/>
      <c r="AY50" s="733"/>
      <c r="AZ50" s="733"/>
      <c r="BA50" s="744"/>
      <c r="BB50" s="761"/>
      <c r="BC50" s="762"/>
      <c r="BD50" s="762"/>
      <c r="BE50" s="762"/>
      <c r="BF50" s="762"/>
      <c r="BG50" s="762"/>
      <c r="BH50" s="765"/>
      <c r="BI50" s="762"/>
      <c r="BJ50" s="762"/>
      <c r="BK50" s="762"/>
      <c r="BL50" s="762"/>
      <c r="BM50" s="762"/>
      <c r="BN50" s="762"/>
      <c r="BO50" s="765"/>
      <c r="BP50" s="762"/>
      <c r="BQ50" s="762"/>
      <c r="BR50" s="762"/>
      <c r="BS50" s="762"/>
      <c r="BT50" s="762"/>
      <c r="BU50" s="762"/>
      <c r="BV50" s="765"/>
      <c r="BW50" s="762"/>
      <c r="BX50" s="762"/>
      <c r="BY50" s="762"/>
      <c r="BZ50" s="762"/>
      <c r="CA50" s="762"/>
      <c r="CB50" s="762"/>
      <c r="CC50" s="763"/>
      <c r="CD50" s="766"/>
      <c r="CE50" s="766"/>
      <c r="CF50" s="766"/>
      <c r="CG50" s="766"/>
      <c r="CH50" s="766"/>
      <c r="CI50" s="766"/>
      <c r="CJ50" s="768"/>
      <c r="CK50" s="766"/>
      <c r="CL50" s="766"/>
      <c r="CM50" s="766"/>
      <c r="CN50" s="766"/>
      <c r="CO50" s="766"/>
      <c r="CP50" s="766"/>
      <c r="CQ50" s="768"/>
      <c r="CR50" s="766"/>
      <c r="CS50" s="766"/>
      <c r="CT50" s="766"/>
      <c r="CU50" s="766"/>
      <c r="CV50" s="766"/>
      <c r="CW50" s="766"/>
      <c r="CX50" s="768"/>
      <c r="CY50" s="769"/>
      <c r="CZ50" s="769"/>
      <c r="DA50" s="769"/>
      <c r="DB50" s="769"/>
      <c r="DC50" s="769"/>
      <c r="DD50" s="769"/>
      <c r="DE50" s="771"/>
      <c r="DF50" s="493"/>
      <c r="DG50" s="769"/>
      <c r="DH50" s="769"/>
      <c r="DI50" s="769"/>
      <c r="DJ50" s="769"/>
      <c r="DK50" s="769"/>
      <c r="DL50" s="494"/>
      <c r="DM50" s="493"/>
      <c r="DN50" s="770"/>
      <c r="DO50" s="769"/>
      <c r="DP50" s="769"/>
      <c r="DQ50" s="769"/>
      <c r="DR50" s="769"/>
      <c r="DS50" s="494"/>
      <c r="DT50" s="493"/>
      <c r="DU50" s="769"/>
      <c r="DV50" s="769"/>
      <c r="DW50" s="769"/>
      <c r="DX50" s="769"/>
      <c r="DY50" s="769"/>
      <c r="DZ50" s="494"/>
      <c r="EA50" s="488"/>
      <c r="EB50" s="766"/>
      <c r="EC50" s="766"/>
      <c r="ED50" s="766"/>
      <c r="EE50" s="766"/>
      <c r="EF50" s="766"/>
      <c r="EG50" s="489"/>
      <c r="EH50" s="488"/>
      <c r="EI50" s="766"/>
      <c r="EJ50" s="766"/>
      <c r="EK50" s="766"/>
      <c r="EL50" s="766"/>
      <c r="EM50" s="766"/>
      <c r="EN50" s="489"/>
      <c r="EO50" s="767"/>
      <c r="EP50" s="766"/>
      <c r="EQ50" s="766"/>
      <c r="ER50" s="766"/>
      <c r="ES50" s="766"/>
      <c r="ET50" s="766"/>
      <c r="EU50" s="489"/>
      <c r="EV50" s="515"/>
      <c r="EW50" s="755"/>
      <c r="EX50" s="755"/>
      <c r="EY50" s="755"/>
      <c r="EZ50" s="755"/>
      <c r="FA50" s="756"/>
      <c r="FB50" s="756"/>
      <c r="FC50" s="487"/>
    </row>
    <row r="51" spans="1:159">
      <c r="Z51" s="2"/>
      <c r="AA51" s="2"/>
      <c r="AE51" s="402">
        <f>SUM(AE15:AE16)</f>
        <v>928.5</v>
      </c>
      <c r="AF51" s="402">
        <f t="shared" ref="AF51:AJ51" si="526">SUM(AF15:AF16)</f>
        <v>1207.5</v>
      </c>
      <c r="AG51" s="402">
        <f t="shared" si="526"/>
        <v>1487</v>
      </c>
      <c r="AH51" s="402">
        <f t="shared" si="526"/>
        <v>1859</v>
      </c>
      <c r="AI51" s="402">
        <f t="shared" si="526"/>
        <v>1859</v>
      </c>
      <c r="AJ51" s="402">
        <f t="shared" si="526"/>
        <v>1859</v>
      </c>
    </row>
    <row r="52" spans="1:159">
      <c r="B52" s="320"/>
      <c r="Z52" s="2"/>
      <c r="AA52" s="2"/>
    </row>
    <row r="53" spans="1:159">
      <c r="B53" s="280"/>
      <c r="Z53" s="2"/>
      <c r="AA53" s="2"/>
      <c r="AC53" s="3" t="s">
        <v>945</v>
      </c>
      <c r="AD53" s="106">
        <v>0.5</v>
      </c>
    </row>
    <row r="54" spans="1:159">
      <c r="B54" s="280"/>
      <c r="Z54" s="2"/>
      <c r="AA54" s="2"/>
      <c r="DZ54" s="2" t="s">
        <v>2748</v>
      </c>
      <c r="EA54" s="542">
        <f>SUM(EA15:EA16)</f>
        <v>0</v>
      </c>
      <c r="EB54" s="542">
        <f t="shared" ref="EB54:EG54" si="527">SUM(EB15:EB16)</f>
        <v>2081346.0021374668</v>
      </c>
      <c r="EC54" s="542">
        <f t="shared" si="527"/>
        <v>2706455.670767175</v>
      </c>
      <c r="ED54" s="542">
        <f t="shared" si="527"/>
        <v>3333651.5226880945</v>
      </c>
      <c r="EE54" s="542">
        <f t="shared" si="527"/>
        <v>4167131.0808610385</v>
      </c>
      <c r="EF54" s="542">
        <f t="shared" si="527"/>
        <v>4167131.0808610385</v>
      </c>
      <c r="EG54" s="542">
        <f t="shared" si="527"/>
        <v>4167131.0808610385</v>
      </c>
    </row>
    <row r="55" spans="1:159">
      <c r="Y55" s="3" t="s">
        <v>946</v>
      </c>
      <c r="Z55" s="2">
        <f>SUM(Z59:Z64)</f>
        <v>326</v>
      </c>
      <c r="AA55" s="2"/>
      <c r="DZ55" s="2" t="s">
        <v>2749</v>
      </c>
      <c r="EA55" s="2">
        <f>('AE analysis - Res Online Audit'!$D$9-'AE analysis - Res Online Audit'!$B$9)*AD15</f>
        <v>0</v>
      </c>
      <c r="EB55" s="2">
        <f>('AE analysis - Res Online Audit'!$D$9-'AE analysis - Res Online Audit'!$B$9)*AE15</f>
        <v>40451.186842105366</v>
      </c>
      <c r="EC55" s="2">
        <f>('AE analysis - Res Online Audit'!$D$9-'AE analysis - Res Online Audit'!$B$9)*AF15</f>
        <v>52612.981578947503</v>
      </c>
      <c r="ED55" s="2">
        <f>('AE analysis - Res Online Audit'!$D$9-'AE analysis - Res Online Audit'!$B$9)*AG15</f>
        <v>64774.776315789641</v>
      </c>
      <c r="EE55" s="2">
        <f>('AE analysis - Res Online Audit'!$D$9-'AE analysis - Res Online Audit'!$B$9)*AH15</f>
        <v>80990.502631579162</v>
      </c>
      <c r="EF55" s="2">
        <f>('AE analysis - Res Online Audit'!$D$9-'AE analysis - Res Online Audit'!$B$9)*AI15</f>
        <v>80990.502631579162</v>
      </c>
      <c r="EG55" s="2">
        <f>('AE analysis - Res Online Audit'!$D$9-'AE analysis - Res Online Audit'!$B$9)*AJ15</f>
        <v>80990.502631579162</v>
      </c>
    </row>
    <row r="56" spans="1:159">
      <c r="W56" s="181"/>
      <c r="AC56" s="18" t="s">
        <v>947</v>
      </c>
      <c r="DZ56" s="2" t="s">
        <v>148</v>
      </c>
      <c r="EA56" s="542">
        <f>SUM(EA54:EA55)</f>
        <v>0</v>
      </c>
      <c r="EB56" s="542">
        <f>SUM(EB54:EB55)</f>
        <v>2121797.1889795722</v>
      </c>
      <c r="EC56" s="542">
        <f t="shared" ref="EC56:EG56" si="528">SUM(EC54:EC55)</f>
        <v>2759068.6523461225</v>
      </c>
      <c r="ED56" s="542">
        <f t="shared" si="528"/>
        <v>3398426.2990038842</v>
      </c>
      <c r="EE56" s="542">
        <f t="shared" si="528"/>
        <v>4248121.5834926181</v>
      </c>
      <c r="EF56" s="542">
        <f t="shared" si="528"/>
        <v>4248121.5834926181</v>
      </c>
      <c r="EG56" s="542">
        <f t="shared" si="528"/>
        <v>4248121.5834926181</v>
      </c>
    </row>
    <row r="57" spans="1:159">
      <c r="W57" s="181"/>
      <c r="Z57" s="3" t="s">
        <v>948</v>
      </c>
      <c r="AC57" s="18"/>
      <c r="DZ57" s="2" t="s">
        <v>2750</v>
      </c>
      <c r="EB57" s="542">
        <f>EB56/8760</f>
        <v>242.21429097940322</v>
      </c>
      <c r="EC57" s="542">
        <f t="shared" ref="EC57:EG57" si="529">EC56/8760</f>
        <v>314.96217492535646</v>
      </c>
      <c r="ED57" s="542">
        <f t="shared" si="529"/>
        <v>387.94820764884525</v>
      </c>
      <c r="EE57" s="542">
        <f t="shared" si="529"/>
        <v>484.94538624344955</v>
      </c>
      <c r="EF57" s="542">
        <f t="shared" si="529"/>
        <v>484.94538624344955</v>
      </c>
      <c r="EG57" s="542">
        <f t="shared" si="529"/>
        <v>484.94538624344955</v>
      </c>
    </row>
    <row r="58" spans="1:159" ht="14.5">
      <c r="B58" s="17"/>
      <c r="W58" s="181"/>
      <c r="Z58" s="3" t="s">
        <v>949</v>
      </c>
      <c r="AA58" s="3" t="s">
        <v>950</v>
      </c>
      <c r="AC58" s="384">
        <v>0</v>
      </c>
      <c r="AD58" s="385">
        <v>0</v>
      </c>
      <c r="AE58" s="385">
        <f>AE$6*$AD$53</f>
        <v>625</v>
      </c>
      <c r="AF58" s="385">
        <f t="shared" ref="AF58:AJ58" si="530">AF$6*$AD$53</f>
        <v>656.25</v>
      </c>
      <c r="AG58" s="385">
        <f t="shared" si="530"/>
        <v>689.0625</v>
      </c>
      <c r="AH58" s="385">
        <f t="shared" si="530"/>
        <v>723.515625</v>
      </c>
      <c r="AI58" s="385">
        <f t="shared" si="530"/>
        <v>723.515625</v>
      </c>
      <c r="AJ58" s="385">
        <f t="shared" si="530"/>
        <v>723.515625</v>
      </c>
      <c r="DZ58" s="2" t="s">
        <v>2751</v>
      </c>
    </row>
    <row r="59" spans="1:159" ht="14.5">
      <c r="B59" s="17"/>
      <c r="W59" s="181"/>
      <c r="Z59" s="195">
        <f>INDEX('REFERENCE-HomeEnergyPerformance'!$AC$6:$AC$140,MATCH('Residential Audit Online'!AB59,'REFERENCE-HomeEnergyPerformance'!$B$6:$B$140,0))</f>
        <v>20</v>
      </c>
      <c r="AA59" s="106">
        <f t="shared" ref="AA59:AA64" si="531">Z59/$Z$55</f>
        <v>6.1349693251533742E-2</v>
      </c>
      <c r="AB59" s="979" t="s">
        <v>951</v>
      </c>
      <c r="AC59" s="384">
        <f t="shared" ref="AC59:AJ64" si="532">ROUNDDOWN($AA59*AC$58,0)</f>
        <v>0</v>
      </c>
      <c r="AD59" s="385">
        <f>ROUNDDOWN($AA59*AD$58,0)</f>
        <v>0</v>
      </c>
      <c r="AE59" s="385">
        <f t="shared" si="532"/>
        <v>38</v>
      </c>
      <c r="AF59" s="385">
        <f t="shared" si="532"/>
        <v>40</v>
      </c>
      <c r="AG59" s="385">
        <f t="shared" si="532"/>
        <v>42</v>
      </c>
      <c r="AH59" s="385">
        <f t="shared" si="532"/>
        <v>44</v>
      </c>
      <c r="AI59" s="385">
        <f t="shared" si="532"/>
        <v>44</v>
      </c>
      <c r="AJ59" s="385">
        <f t="shared" si="532"/>
        <v>44</v>
      </c>
      <c r="BA59" s="2" t="s">
        <v>1103</v>
      </c>
      <c r="DZ59" s="2" t="s">
        <v>2752</v>
      </c>
    </row>
    <row r="60" spans="1:159" ht="14.5">
      <c r="B60" s="17"/>
      <c r="W60" s="181"/>
      <c r="Z60" s="195">
        <f>INDEX('REFERENCE-HomeEnergyPerformance'!$AC$6:$AC$140,MATCH('Residential Audit Online'!AB60,'REFERENCE-HomeEnergyPerformance'!$B$6:$B$140,0))</f>
        <v>10</v>
      </c>
      <c r="AA60" s="386">
        <f t="shared" si="531"/>
        <v>3.0674846625766871E-2</v>
      </c>
      <c r="AB60" s="979" t="s">
        <v>952</v>
      </c>
      <c r="AC60" s="385">
        <f t="shared" si="532"/>
        <v>0</v>
      </c>
      <c r="AD60" s="385">
        <f t="shared" si="532"/>
        <v>0</v>
      </c>
      <c r="AE60" s="385">
        <f t="shared" si="532"/>
        <v>19</v>
      </c>
      <c r="AF60" s="385">
        <f t="shared" si="532"/>
        <v>20</v>
      </c>
      <c r="AG60" s="385">
        <f t="shared" si="532"/>
        <v>21</v>
      </c>
      <c r="AH60" s="385">
        <f t="shared" si="532"/>
        <v>22</v>
      </c>
      <c r="AI60" s="385">
        <f t="shared" si="532"/>
        <v>22</v>
      </c>
      <c r="AJ60" s="385">
        <f t="shared" si="532"/>
        <v>22</v>
      </c>
    </row>
    <row r="61" spans="1:159" ht="14.5">
      <c r="B61" s="193" t="s">
        <v>953</v>
      </c>
      <c r="D61" s="2" t="s">
        <v>954</v>
      </c>
      <c r="Z61" s="195">
        <f>INDEX('REFERENCE-HomeEnergyPerformance'!$AC$6:$AC$140,MATCH('Residential Audit Online'!AB61,'REFERENCE-HomeEnergyPerformance'!$B$6:$B$140,0))</f>
        <v>285</v>
      </c>
      <c r="AA61" s="386">
        <f t="shared" si="531"/>
        <v>0.87423312883435578</v>
      </c>
      <c r="AB61" s="979" t="s">
        <v>955</v>
      </c>
      <c r="AC61" s="385">
        <f t="shared" si="532"/>
        <v>0</v>
      </c>
      <c r="AD61" s="385">
        <f t="shared" si="532"/>
        <v>0</v>
      </c>
      <c r="AE61" s="385">
        <f t="shared" si="532"/>
        <v>546</v>
      </c>
      <c r="AF61" s="385">
        <f t="shared" si="532"/>
        <v>573</v>
      </c>
      <c r="AG61" s="385">
        <f t="shared" si="532"/>
        <v>602</v>
      </c>
      <c r="AH61" s="385">
        <f t="shared" si="532"/>
        <v>632</v>
      </c>
      <c r="AI61" s="385">
        <f t="shared" si="532"/>
        <v>632</v>
      </c>
      <c r="AJ61" s="385">
        <f t="shared" si="532"/>
        <v>632</v>
      </c>
    </row>
    <row r="62" spans="1:159" ht="14.5">
      <c r="B62" s="17" t="s">
        <v>956</v>
      </c>
      <c r="D62" t="s">
        <v>957</v>
      </c>
      <c r="E62"/>
      <c r="F62"/>
      <c r="G62"/>
      <c r="H62"/>
      <c r="I62"/>
      <c r="O62" s="5" t="s">
        <v>285</v>
      </c>
      <c r="P62" s="169" t="s">
        <v>467</v>
      </c>
      <c r="Z62" s="195">
        <f>INDEX('REFERENCE-HomeEnergyPerformance'!$AC$6:$AC$140,MATCH('Residential Audit Online'!AB62,'REFERENCE-HomeEnergyPerformance'!$B$6:$B$140,0))</f>
        <v>5</v>
      </c>
      <c r="AA62" s="386">
        <f t="shared" si="531"/>
        <v>1.5337423312883436E-2</v>
      </c>
      <c r="AB62" s="979" t="s">
        <v>958</v>
      </c>
      <c r="AC62" s="385">
        <f t="shared" si="532"/>
        <v>0</v>
      </c>
      <c r="AD62" s="385">
        <f t="shared" si="532"/>
        <v>0</v>
      </c>
      <c r="AE62" s="385">
        <f t="shared" si="532"/>
        <v>9</v>
      </c>
      <c r="AF62" s="385">
        <f t="shared" si="532"/>
        <v>10</v>
      </c>
      <c r="AG62" s="385">
        <f t="shared" si="532"/>
        <v>10</v>
      </c>
      <c r="AH62" s="385">
        <f t="shared" si="532"/>
        <v>11</v>
      </c>
      <c r="AI62" s="385">
        <f t="shared" si="532"/>
        <v>11</v>
      </c>
      <c r="AJ62" s="385">
        <f t="shared" si="532"/>
        <v>11</v>
      </c>
    </row>
    <row r="63" spans="1:159" ht="14.5">
      <c r="B63" s="17" t="s">
        <v>959</v>
      </c>
      <c r="D63" s="462" t="s">
        <v>75</v>
      </c>
      <c r="E63" s="462" t="s">
        <v>960</v>
      </c>
      <c r="F63" s="980" t="s">
        <v>961</v>
      </c>
      <c r="G63" s="462" t="s">
        <v>962</v>
      </c>
      <c r="H63"/>
      <c r="J63" s="800" t="s">
        <v>481</v>
      </c>
      <c r="K63" s="803"/>
      <c r="L63" s="800" t="s">
        <v>482</v>
      </c>
      <c r="M63" s="801"/>
      <c r="Z63" s="195">
        <f>INDEX('REFERENCE-HomeEnergyPerformance'!$AC$6:$AC$140,MATCH('Residential Audit Online'!AB63,'REFERENCE-HomeEnergyPerformance'!$B$6:$B$140,0))</f>
        <v>5</v>
      </c>
      <c r="AA63" s="386">
        <f t="shared" si="531"/>
        <v>1.5337423312883436E-2</v>
      </c>
      <c r="AB63" s="979" t="s">
        <v>963</v>
      </c>
      <c r="AC63" s="385">
        <f t="shared" si="532"/>
        <v>0</v>
      </c>
      <c r="AD63" s="385">
        <f t="shared" si="532"/>
        <v>0</v>
      </c>
      <c r="AE63" s="385">
        <f t="shared" si="532"/>
        <v>9</v>
      </c>
      <c r="AF63" s="385">
        <f t="shared" si="532"/>
        <v>10</v>
      </c>
      <c r="AG63" s="385">
        <f t="shared" si="532"/>
        <v>10</v>
      </c>
      <c r="AH63" s="385">
        <f t="shared" si="532"/>
        <v>11</v>
      </c>
      <c r="AI63" s="385">
        <f t="shared" si="532"/>
        <v>11</v>
      </c>
      <c r="AJ63" s="385">
        <f t="shared" si="532"/>
        <v>11</v>
      </c>
    </row>
    <row r="64" spans="1:159" ht="14.5">
      <c r="B64" s="17" t="s">
        <v>964</v>
      </c>
      <c r="D64" s="981" t="s">
        <v>561</v>
      </c>
      <c r="E64" s="462">
        <v>0</v>
      </c>
      <c r="F64" s="896">
        <f>F78</f>
        <v>12</v>
      </c>
      <c r="G64" s="462">
        <v>0</v>
      </c>
      <c r="H64"/>
      <c r="J64" s="800" t="s">
        <v>812</v>
      </c>
      <c r="K64" s="802">
        <f>0.16+0.13+0.05</f>
        <v>0.34</v>
      </c>
      <c r="L64" s="800" t="s">
        <v>812</v>
      </c>
      <c r="M64" s="802">
        <f>0.16+0.16+0.11</f>
        <v>0.43</v>
      </c>
      <c r="N64" s="169"/>
      <c r="O64" s="169"/>
      <c r="P64" s="168"/>
      <c r="Z64" s="195">
        <f>INDEX('REFERENCE-HomeEnergyPerformance'!$AC$6:$AC$140,MATCH('Residential Audit Online'!AB64,'REFERENCE-HomeEnergyPerformance'!$B$6:$B$140,0))</f>
        <v>1</v>
      </c>
      <c r="AA64" s="386">
        <f t="shared" si="531"/>
        <v>3.0674846625766872E-3</v>
      </c>
      <c r="AB64" s="979" t="s">
        <v>965</v>
      </c>
      <c r="AC64" s="385">
        <f t="shared" si="532"/>
        <v>0</v>
      </c>
      <c r="AD64" s="385">
        <f t="shared" si="532"/>
        <v>0</v>
      </c>
      <c r="AE64" s="385">
        <f t="shared" si="532"/>
        <v>1</v>
      </c>
      <c r="AF64" s="385">
        <f t="shared" si="532"/>
        <v>2</v>
      </c>
      <c r="AG64" s="385">
        <f t="shared" si="532"/>
        <v>2</v>
      </c>
      <c r="AH64" s="385">
        <f t="shared" si="532"/>
        <v>2</v>
      </c>
      <c r="AI64" s="385">
        <f t="shared" si="532"/>
        <v>2</v>
      </c>
      <c r="AJ64" s="385">
        <f t="shared" si="532"/>
        <v>2</v>
      </c>
    </row>
    <row r="65" spans="2:66" ht="14.5">
      <c r="B65" s="17" t="s">
        <v>966</v>
      </c>
      <c r="D65" s="981" t="s">
        <v>562</v>
      </c>
      <c r="E65" s="462">
        <v>0</v>
      </c>
      <c r="F65" s="896">
        <f>F79</f>
        <v>2.75</v>
      </c>
      <c r="G65" s="462">
        <v>0</v>
      </c>
      <c r="H65"/>
      <c r="J65" s="800" t="s">
        <v>813</v>
      </c>
      <c r="K65" s="802">
        <f>1-K64</f>
        <v>0.65999999999999992</v>
      </c>
      <c r="L65" s="800" t="s">
        <v>813</v>
      </c>
      <c r="M65" s="802">
        <f>1-M64</f>
        <v>0.57000000000000006</v>
      </c>
      <c r="N65" s="169"/>
      <c r="O65" s="175"/>
      <c r="P65" s="168"/>
      <c r="Z65" s="195"/>
      <c r="AB65" s="399"/>
      <c r="AC65" s="387"/>
      <c r="AD65" s="387"/>
      <c r="AE65" s="387"/>
      <c r="AF65" s="387"/>
      <c r="AG65" s="387"/>
      <c r="AH65" s="387"/>
      <c r="AI65" s="387"/>
      <c r="AJ65" s="387"/>
    </row>
    <row r="66" spans="2:66" ht="14.5">
      <c r="B66" s="547" t="s">
        <v>967</v>
      </c>
      <c r="D66" s="462" t="s">
        <v>968</v>
      </c>
      <c r="E66" s="462">
        <f>E76</f>
        <v>1</v>
      </c>
      <c r="F66" s="896">
        <f>F76</f>
        <v>2.5</v>
      </c>
      <c r="G66" s="462">
        <v>0.48</v>
      </c>
      <c r="H66"/>
      <c r="J66" s="800" t="s">
        <v>483</v>
      </c>
      <c r="K66" s="802">
        <v>0.16400000000000001</v>
      </c>
      <c r="L66" s="800" t="s">
        <v>483</v>
      </c>
      <c r="M66" s="802">
        <v>0.16400000000000001</v>
      </c>
      <c r="N66" s="169"/>
      <c r="O66" s="175"/>
      <c r="P66" s="168"/>
      <c r="Z66" s="195" t="s">
        <v>969</v>
      </c>
      <c r="AA66" s="3" t="s">
        <v>970</v>
      </c>
      <c r="AB66" s="399"/>
      <c r="AC66" s="387" t="s">
        <v>971</v>
      </c>
      <c r="AD66" s="400">
        <v>0.5</v>
      </c>
      <c r="AE66" s="401">
        <v>0.65</v>
      </c>
      <c r="AF66" s="401">
        <v>0.8</v>
      </c>
      <c r="AG66" s="401">
        <v>1</v>
      </c>
      <c r="AH66" s="387"/>
      <c r="AI66" s="387"/>
      <c r="AJ66" s="387"/>
      <c r="AN66" s="414" t="s">
        <v>485</v>
      </c>
      <c r="AS66"/>
      <c r="AT66"/>
      <c r="AU66"/>
      <c r="AV66"/>
      <c r="AW66" s="12"/>
      <c r="AX66"/>
      <c r="AY66"/>
      <c r="AZ66"/>
      <c r="BA66"/>
    </row>
    <row r="67" spans="2:66" ht="14.5">
      <c r="B67" s="17" t="s">
        <v>972</v>
      </c>
      <c r="D67" s="462" t="s">
        <v>973</v>
      </c>
      <c r="E67" s="462">
        <f>E77</f>
        <v>1</v>
      </c>
      <c r="F67" s="896">
        <f>F77</f>
        <v>2.5</v>
      </c>
      <c r="G67" s="462">
        <v>1.26</v>
      </c>
      <c r="H67"/>
      <c r="J67" s="800" t="s">
        <v>484</v>
      </c>
      <c r="K67" s="802">
        <v>0.54</v>
      </c>
      <c r="L67" s="800" t="s">
        <v>484</v>
      </c>
      <c r="M67" s="802">
        <v>0.54</v>
      </c>
      <c r="O67" s="170" t="s">
        <v>283</v>
      </c>
      <c r="P67" s="169" t="s">
        <v>475</v>
      </c>
      <c r="Z67" s="195"/>
      <c r="AA67" s="3" t="s">
        <v>974</v>
      </c>
      <c r="AB67" s="399">
        <v>150.5</v>
      </c>
      <c r="AC67" s="387"/>
      <c r="AD67" s="387">
        <f t="shared" ref="AD67:AG74" si="533">ROUNDDOWN(AD$66*$AB67,0)</f>
        <v>75</v>
      </c>
      <c r="AE67" s="387">
        <f t="shared" si="533"/>
        <v>97</v>
      </c>
      <c r="AF67" s="387">
        <f t="shared" si="533"/>
        <v>120</v>
      </c>
      <c r="AG67" s="387">
        <f t="shared" si="533"/>
        <v>150</v>
      </c>
      <c r="AH67" s="3" t="s">
        <v>975</v>
      </c>
      <c r="AI67" s="387">
        <f t="shared" ref="AI67:AL68" si="534">AD73</f>
        <v>480</v>
      </c>
      <c r="AJ67" s="387">
        <f t="shared" si="534"/>
        <v>624</v>
      </c>
      <c r="AK67" s="399">
        <f t="shared" si="534"/>
        <v>769</v>
      </c>
      <c r="AL67" s="399">
        <f t="shared" si="534"/>
        <v>961</v>
      </c>
      <c r="AS67"/>
      <c r="AT67"/>
      <c r="AU67"/>
      <c r="AV67"/>
      <c r="AW67" s="1335"/>
      <c r="AX67" s="1335"/>
      <c r="AY67" s="1335"/>
      <c r="AZ67" s="1335"/>
      <c r="BA67"/>
    </row>
    <row r="68" spans="2:66" ht="14.5">
      <c r="B68" s="17" t="s">
        <v>976</v>
      </c>
      <c r="D68" s="462" t="s">
        <v>977</v>
      </c>
      <c r="E68" s="462">
        <f>E80</f>
        <v>1</v>
      </c>
      <c r="F68" s="896">
        <f>F80</f>
        <v>23</v>
      </c>
      <c r="G68" s="462">
        <v>10.69</v>
      </c>
      <c r="H68"/>
      <c r="J68" s="800" t="s">
        <v>454</v>
      </c>
      <c r="K68" s="802">
        <v>0.71199999999999997</v>
      </c>
      <c r="L68" s="800" t="s">
        <v>454</v>
      </c>
      <c r="M68" s="802">
        <v>0.71199999999999997</v>
      </c>
      <c r="N68" s="169"/>
      <c r="O68" s="175"/>
      <c r="P68" s="168"/>
      <c r="Z68" s="195"/>
      <c r="AA68" s="3" t="s">
        <v>978</v>
      </c>
      <c r="AB68" s="399">
        <v>8916.75</v>
      </c>
      <c r="AC68" s="387"/>
      <c r="AD68" s="387">
        <f t="shared" si="533"/>
        <v>4458</v>
      </c>
      <c r="AE68" s="387">
        <f t="shared" si="533"/>
        <v>5795</v>
      </c>
      <c r="AF68" s="387">
        <f t="shared" si="533"/>
        <v>7133</v>
      </c>
      <c r="AG68" s="387">
        <f t="shared" si="533"/>
        <v>8916</v>
      </c>
      <c r="AH68" s="3" t="s">
        <v>979</v>
      </c>
      <c r="AI68" s="387">
        <f t="shared" si="534"/>
        <v>459</v>
      </c>
      <c r="AJ68" s="387">
        <f t="shared" si="534"/>
        <v>597</v>
      </c>
      <c r="AK68" s="399">
        <f t="shared" si="534"/>
        <v>735</v>
      </c>
      <c r="AL68" s="399">
        <f t="shared" si="534"/>
        <v>919</v>
      </c>
      <c r="AS68"/>
      <c r="AT68" s="362" t="s">
        <v>980</v>
      </c>
      <c r="AU68" s="317">
        <f>((((AU69/AU70)-(AU71/AU72))/AT79)*AU77)+((((AU73/AU74)-(AU75/AU76))/AT79)*AU78)</f>
        <v>266.71000368052984</v>
      </c>
      <c r="AV68" s="317"/>
      <c r="AW68" s="317"/>
      <c r="AX68" s="317"/>
      <c r="AY68" s="317"/>
      <c r="AZ68" s="317"/>
      <c r="BA68"/>
    </row>
    <row r="69" spans="2:66" ht="14.5">
      <c r="B69" s="17"/>
      <c r="D69" s="462" t="s">
        <v>981</v>
      </c>
      <c r="E69" s="462">
        <f>E84</f>
        <v>1</v>
      </c>
      <c r="F69" s="896">
        <f>F84</f>
        <v>2.5</v>
      </c>
      <c r="G69" s="462">
        <v>2.4300000000000002</v>
      </c>
      <c r="H69"/>
      <c r="J69" s="800" t="s">
        <v>485</v>
      </c>
      <c r="K69" s="802">
        <v>0.23400000000000001</v>
      </c>
      <c r="L69" s="800" t="s">
        <v>485</v>
      </c>
      <c r="M69" s="802">
        <v>0.23400000000000001</v>
      </c>
      <c r="N69" s="169"/>
      <c r="O69" s="175"/>
      <c r="P69" s="168"/>
      <c r="Z69" s="195"/>
      <c r="AA69" s="3" t="s">
        <v>858</v>
      </c>
      <c r="AB69" s="399">
        <v>11369.25</v>
      </c>
      <c r="AC69" s="387"/>
      <c r="AD69" s="387">
        <f t="shared" si="533"/>
        <v>5684</v>
      </c>
      <c r="AE69" s="387">
        <f t="shared" si="533"/>
        <v>7390</v>
      </c>
      <c r="AF69" s="387">
        <f t="shared" si="533"/>
        <v>9095</v>
      </c>
      <c r="AG69" s="387">
        <f t="shared" si="533"/>
        <v>11369</v>
      </c>
      <c r="AH69" s="3" t="s">
        <v>982</v>
      </c>
      <c r="AI69" s="387">
        <f>AVERAGE(AI67:AI68)</f>
        <v>469.5</v>
      </c>
      <c r="AJ69" s="387">
        <f>AVERAGE(AJ67:AJ68)</f>
        <v>610.5</v>
      </c>
      <c r="AK69" s="399">
        <f>AVERAGE(AK67:AK68)</f>
        <v>752</v>
      </c>
      <c r="AL69" s="399">
        <f>AVERAGE(AL67:AL68)</f>
        <v>940</v>
      </c>
      <c r="AM69" s="2" t="s">
        <v>983</v>
      </c>
      <c r="AS69"/>
      <c r="AT69" s="317" t="s">
        <v>984</v>
      </c>
      <c r="AU69" s="317">
        <f>$AZ$81</f>
        <v>36000</v>
      </c>
      <c r="AV69" s="317"/>
      <c r="AW69" s="317"/>
      <c r="AX69" s="317"/>
      <c r="AY69" s="317"/>
      <c r="AZ69" s="317"/>
      <c r="BA69"/>
    </row>
    <row r="70" spans="2:66" ht="14.5">
      <c r="D70" s="462" t="s">
        <v>985</v>
      </c>
      <c r="E70" s="462">
        <v>1</v>
      </c>
      <c r="F70" s="896">
        <f>SUM(F81:F83)</f>
        <v>24</v>
      </c>
      <c r="G70" s="462">
        <v>5</v>
      </c>
      <c r="H70"/>
      <c r="Z70" s="195"/>
      <c r="AA70" s="3" t="s">
        <v>864</v>
      </c>
      <c r="AB70" s="399">
        <v>660.75</v>
      </c>
      <c r="AC70" s="387"/>
      <c r="AD70" s="387">
        <f t="shared" si="533"/>
        <v>330</v>
      </c>
      <c r="AE70" s="387">
        <f t="shared" si="533"/>
        <v>429</v>
      </c>
      <c r="AF70" s="387">
        <f t="shared" si="533"/>
        <v>528</v>
      </c>
      <c r="AG70" s="387">
        <f t="shared" si="533"/>
        <v>660</v>
      </c>
      <c r="AH70" s="3" t="s">
        <v>986</v>
      </c>
      <c r="AI70" s="387"/>
      <c r="AJ70" s="387"/>
      <c r="AS70"/>
      <c r="AT70" s="317" t="s">
        <v>987</v>
      </c>
      <c r="AU70" s="1334">
        <v>14.3</v>
      </c>
      <c r="AV70" s="317"/>
      <c r="AW70" s="317"/>
      <c r="AX70" s="317"/>
      <c r="AY70" s="317"/>
      <c r="AZ70" s="317"/>
      <c r="BA70"/>
    </row>
    <row r="71" spans="2:66" ht="14.5">
      <c r="D71" s="462" t="s">
        <v>988</v>
      </c>
      <c r="E71" s="462">
        <f>E85</f>
        <v>1</v>
      </c>
      <c r="F71" s="896">
        <f>F85</f>
        <v>30</v>
      </c>
      <c r="G71" s="462">
        <v>13.5</v>
      </c>
      <c r="H71"/>
      <c r="AA71" s="3" t="s">
        <v>989</v>
      </c>
      <c r="AB71" s="399">
        <v>8277.75</v>
      </c>
      <c r="AD71" s="399">
        <f t="shared" si="533"/>
        <v>4138</v>
      </c>
      <c r="AE71" s="399">
        <f t="shared" si="533"/>
        <v>5380</v>
      </c>
      <c r="AF71" s="399">
        <f t="shared" si="533"/>
        <v>6622</v>
      </c>
      <c r="AG71" s="399">
        <f t="shared" si="533"/>
        <v>8277</v>
      </c>
      <c r="AH71" s="3" t="s">
        <v>990</v>
      </c>
      <c r="AS71"/>
      <c r="AT71" s="317" t="s">
        <v>991</v>
      </c>
      <c r="AU71" s="317">
        <f>$AZ$81</f>
        <v>36000</v>
      </c>
      <c r="AV71" s="317"/>
      <c r="AW71" s="317"/>
      <c r="AX71" s="317"/>
      <c r="AY71" s="317"/>
      <c r="AZ71" s="317"/>
      <c r="BA71"/>
      <c r="BH71" s="318" t="s">
        <v>830</v>
      </c>
    </row>
    <row r="72" spans="2:66" ht="14.5">
      <c r="D72" s="537" t="s">
        <v>992</v>
      </c>
      <c r="E72" s="803"/>
      <c r="F72" s="982">
        <f>SUM(F64:F71)</f>
        <v>99.25</v>
      </c>
      <c r="G72" s="537">
        <f>SUMPRODUCT(G64:G71,E64:E71)</f>
        <v>33.36</v>
      </c>
      <c r="H72"/>
      <c r="AA72" s="3" t="s">
        <v>993</v>
      </c>
      <c r="AB72" s="399">
        <v>1240.75</v>
      </c>
      <c r="AD72" s="399">
        <f t="shared" si="533"/>
        <v>620</v>
      </c>
      <c r="AE72" s="399">
        <f t="shared" si="533"/>
        <v>806</v>
      </c>
      <c r="AF72" s="399">
        <f t="shared" si="533"/>
        <v>992</v>
      </c>
      <c r="AG72" s="399">
        <f t="shared" si="533"/>
        <v>1240</v>
      </c>
      <c r="AH72" s="3" t="s">
        <v>994</v>
      </c>
      <c r="AI72" s="402">
        <f>AD67</f>
        <v>75</v>
      </c>
      <c r="AJ72" s="403">
        <f>AE67</f>
        <v>97</v>
      </c>
      <c r="AK72" s="403">
        <f>AF67</f>
        <v>120</v>
      </c>
      <c r="AL72" s="403">
        <f>AG67</f>
        <v>150</v>
      </c>
      <c r="AS72"/>
      <c r="AT72" s="317" t="s">
        <v>995</v>
      </c>
      <c r="AU72" s="1334">
        <v>15.2</v>
      </c>
      <c r="AV72" s="317" t="s">
        <v>2724</v>
      </c>
      <c r="AW72" s="317"/>
      <c r="AX72" s="317"/>
      <c r="AY72" s="317"/>
      <c r="AZ72" s="317"/>
      <c r="BA72"/>
      <c r="BI72"/>
      <c r="BJ72"/>
      <c r="BK72"/>
      <c r="BL72"/>
      <c r="BM72"/>
      <c r="BN72"/>
    </row>
    <row r="73" spans="2:66" ht="14.5">
      <c r="G73"/>
      <c r="H73"/>
      <c r="AA73" s="3" t="s">
        <v>996</v>
      </c>
      <c r="AB73" s="399">
        <v>961.25</v>
      </c>
      <c r="AD73" s="1331">
        <f>ROUNDDOWN(AD$66*$AB73,0)</f>
        <v>480</v>
      </c>
      <c r="AE73" s="1331">
        <f t="shared" si="533"/>
        <v>624</v>
      </c>
      <c r="AF73" s="1331">
        <f t="shared" si="533"/>
        <v>769</v>
      </c>
      <c r="AG73" s="1331">
        <f t="shared" si="533"/>
        <v>961</v>
      </c>
      <c r="AS73"/>
      <c r="AT73" s="317" t="s">
        <v>997</v>
      </c>
      <c r="AU73" s="317">
        <f>$AZ$81</f>
        <v>36000</v>
      </c>
      <c r="AV73" s="317"/>
      <c r="AW73" s="317"/>
      <c r="AX73" s="317"/>
      <c r="AY73" s="317"/>
      <c r="AZ73" s="317"/>
      <c r="BA73"/>
      <c r="BB73" s="318"/>
      <c r="BC73" s="318"/>
      <c r="BD73" s="318"/>
      <c r="BE73" s="318"/>
      <c r="BI73"/>
      <c r="BJ73"/>
      <c r="BK73"/>
      <c r="BL73"/>
      <c r="BM73"/>
      <c r="BN73"/>
    </row>
    <row r="74" spans="2:66" ht="14.5">
      <c r="D74" s="194" t="s">
        <v>283</v>
      </c>
      <c r="E74"/>
      <c r="F74"/>
      <c r="G74"/>
      <c r="H74"/>
      <c r="AA74" s="3" t="s">
        <v>998</v>
      </c>
      <c r="AB74" s="399">
        <v>919.5</v>
      </c>
      <c r="AD74" s="1331">
        <f t="shared" si="533"/>
        <v>459</v>
      </c>
      <c r="AE74" s="1331">
        <f t="shared" si="533"/>
        <v>597</v>
      </c>
      <c r="AF74" s="1331">
        <f t="shared" si="533"/>
        <v>735</v>
      </c>
      <c r="AG74" s="1331">
        <f t="shared" si="533"/>
        <v>919</v>
      </c>
      <c r="AS74"/>
      <c r="AT74" s="317" t="s">
        <v>999</v>
      </c>
      <c r="AU74" s="1334">
        <v>7.5</v>
      </c>
      <c r="AV74" s="317"/>
      <c r="AW74" s="317"/>
      <c r="AX74" s="317"/>
      <c r="AY74" s="317" t="s">
        <v>1000</v>
      </c>
      <c r="AZ74" s="317"/>
      <c r="BA74"/>
      <c r="BB74" s="318"/>
      <c r="BC74" s="414" t="s">
        <v>1001</v>
      </c>
      <c r="BD74" s="318"/>
      <c r="BE74" s="318"/>
      <c r="BF74" s="414" t="s">
        <v>1002</v>
      </c>
      <c r="BI74" s="362" t="s">
        <v>1003</v>
      </c>
      <c r="BJ74" s="362">
        <f>BJ78*((1/BJ75)-(1/BJ76))*BJ77</f>
        <v>1455.4089451200357</v>
      </c>
      <c r="BK74" s="362"/>
      <c r="BL74" s="362" t="s">
        <v>132</v>
      </c>
      <c r="BM74" s="362">
        <f>BM75*BJ76/BM76</f>
        <v>5.8064516129032261E-2</v>
      </c>
      <c r="BN74"/>
    </row>
    <row r="75" spans="2:66" ht="14.5">
      <c r="D75" s="893" t="s">
        <v>814</v>
      </c>
      <c r="E75" s="893" t="s">
        <v>76</v>
      </c>
      <c r="F75" s="537" t="s">
        <v>815</v>
      </c>
      <c r="G75" s="537" t="s">
        <v>816</v>
      </c>
      <c r="H75" s="537" t="s">
        <v>817</v>
      </c>
      <c r="I75" s="537" t="s">
        <v>818</v>
      </c>
      <c r="J75" s="537" t="s">
        <v>819</v>
      </c>
      <c r="K75" s="537" t="s">
        <v>820</v>
      </c>
      <c r="L75" s="537" t="s">
        <v>821</v>
      </c>
      <c r="M75" s="537" t="s">
        <v>1004</v>
      </c>
      <c r="N75" s="537" t="s">
        <v>823</v>
      </c>
      <c r="O75" s="537" t="s">
        <v>824</v>
      </c>
      <c r="P75" s="537" t="s">
        <v>825</v>
      </c>
      <c r="Q75" s="537" t="s">
        <v>826</v>
      </c>
      <c r="R75" s="537" t="s">
        <v>827</v>
      </c>
      <c r="S75" s="537" t="s">
        <v>828</v>
      </c>
      <c r="T75" s="537" t="s">
        <v>1005</v>
      </c>
      <c r="U75" s="2"/>
      <c r="V75" s="2"/>
      <c r="W75" s="2"/>
      <c r="X75" s="2"/>
      <c r="Y75" s="2"/>
      <c r="Z75" s="2"/>
      <c r="AA75" s="195"/>
      <c r="AB75" s="2"/>
      <c r="AC75" s="2"/>
      <c r="AK75" s="3"/>
      <c r="AL75" s="3"/>
      <c r="AM75" s="3"/>
      <c r="AN75" s="3"/>
      <c r="AO75" s="3"/>
      <c r="AP75" s="3"/>
      <c r="AQ75" s="3"/>
      <c r="AR75" s="3"/>
      <c r="AS75"/>
      <c r="AT75" s="317" t="s">
        <v>1006</v>
      </c>
      <c r="AU75" s="317">
        <f>$AZ$81</f>
        <v>36000</v>
      </c>
      <c r="AV75" s="317"/>
      <c r="AW75" s="317"/>
      <c r="AX75" s="317"/>
      <c r="AY75" s="317" t="s">
        <v>1007</v>
      </c>
      <c r="AZ75" s="317">
        <v>15.2</v>
      </c>
      <c r="BA75"/>
      <c r="BB75" s="317"/>
      <c r="BC75" s="317" t="s">
        <v>133</v>
      </c>
      <c r="BD75" s="317">
        <f>BD76*10</f>
        <v>56.00000000000005</v>
      </c>
      <c r="BE75" s="317"/>
      <c r="BG75" s="318">
        <f>BG76*10</f>
        <v>75.337499999999906</v>
      </c>
      <c r="BI75" s="317" t="s">
        <v>1008</v>
      </c>
      <c r="BJ75" s="317">
        <v>0.95</v>
      </c>
      <c r="BK75" s="317"/>
      <c r="BL75" s="317" t="s">
        <v>1009</v>
      </c>
      <c r="BM75" s="317">
        <v>0.09</v>
      </c>
      <c r="BN75"/>
    </row>
    <row r="76" spans="2:66" ht="14.5">
      <c r="B76" s="17"/>
      <c r="D76" s="901" t="s">
        <v>1010</v>
      </c>
      <c r="E76" s="462">
        <v>1</v>
      </c>
      <c r="F76" s="983">
        <v>2.5</v>
      </c>
      <c r="G76" s="902">
        <f>(((2.2*0.83)-(1.5*0.95))*1.6*2.39*365*0.7)*8.3*1*(86-60.9)/0.98/3412</f>
        <v>24.410117861497255</v>
      </c>
      <c r="H76" s="800">
        <f>G76/(2.39*1.6/60*365)*(0.13*1.6/180)</f>
        <v>1.2125543348406194E-3</v>
      </c>
      <c r="I76" s="800">
        <v>0</v>
      </c>
      <c r="J76" s="800" t="s">
        <v>830</v>
      </c>
      <c r="K76" s="475">
        <f>$M$64</f>
        <v>0.43</v>
      </c>
      <c r="L76" s="475">
        <f>$M$65</f>
        <v>0.57000000000000006</v>
      </c>
      <c r="M76" s="475">
        <v>0.5</v>
      </c>
      <c r="N76" s="475">
        <f>E76*G76*K76*M76</f>
        <v>5.24817534022191</v>
      </c>
      <c r="O76" s="800">
        <f>E76*H76*K76*M76</f>
        <v>2.6069918199073317E-4</v>
      </c>
      <c r="P76" s="800">
        <f>E76*I76*L76*M76</f>
        <v>0</v>
      </c>
      <c r="Q76" s="462" t="s">
        <v>834</v>
      </c>
      <c r="R76" s="462" t="s">
        <v>1011</v>
      </c>
      <c r="S76" s="462">
        <v>10</v>
      </c>
      <c r="T76" s="462" t="s">
        <v>836</v>
      </c>
      <c r="U76" s="2"/>
      <c r="V76" s="2"/>
      <c r="W76" s="2"/>
      <c r="X76" s="2"/>
      <c r="Y76" s="2"/>
      <c r="Z76" s="2"/>
      <c r="AA76" s="195"/>
      <c r="AB76" s="2"/>
      <c r="AC76" s="2"/>
      <c r="AI76" s="317" t="s">
        <v>1012</v>
      </c>
      <c r="AK76" s="3"/>
      <c r="AL76" s="413" t="s">
        <v>1013</v>
      </c>
      <c r="AM76" s="3"/>
      <c r="AN76" s="3"/>
      <c r="AO76" s="3"/>
      <c r="AP76" s="3"/>
      <c r="AQ76" s="3"/>
      <c r="AR76" s="3"/>
      <c r="AS76"/>
      <c r="AT76" s="317" t="s">
        <v>1014</v>
      </c>
      <c r="AU76" s="1334">
        <f>AZ76</f>
        <v>7.8</v>
      </c>
      <c r="AV76" s="317"/>
      <c r="AW76" s="317"/>
      <c r="AX76" s="317"/>
      <c r="AY76" s="317" t="s">
        <v>1015</v>
      </c>
      <c r="AZ76" s="317">
        <v>7.8</v>
      </c>
      <c r="BA76"/>
      <c r="BB76" s="317"/>
      <c r="BC76" s="317" t="s">
        <v>1016</v>
      </c>
      <c r="BD76" s="317">
        <f>BD78*BD79*((BD80/BD81)-1) / BD77</f>
        <v>5.600000000000005</v>
      </c>
      <c r="BE76" s="317"/>
      <c r="BG76" s="318">
        <f>BD78*BG79*((BG80/BG77)-1) / BD77</f>
        <v>7.5337499999999906</v>
      </c>
      <c r="BI76" s="317" t="s">
        <v>1017</v>
      </c>
      <c r="BJ76" s="317">
        <v>2.2000000000000002</v>
      </c>
      <c r="BK76" s="317"/>
      <c r="BL76" s="317" t="s">
        <v>1009</v>
      </c>
      <c r="BM76" s="317">
        <v>3.41</v>
      </c>
      <c r="BN76"/>
    </row>
    <row r="77" spans="2:66" ht="14.5">
      <c r="B77" s="17"/>
      <c r="D77" s="901" t="s">
        <v>833</v>
      </c>
      <c r="E77" s="462">
        <v>1</v>
      </c>
      <c r="F77" s="983">
        <v>2.5</v>
      </c>
      <c r="G77" s="902">
        <f>(((2.2*0.83)-(1.5*0.95))*4.5*2.39*365*0.5)*8.3*1*(93-60.9)/0.98/3412</f>
        <v>62.714170551602137</v>
      </c>
      <c r="H77" s="800">
        <f>G77/(2.39*4.5/60*365)*(0.13*4.5/180)</f>
        <v>3.1152794832763134E-3</v>
      </c>
      <c r="I77" s="800">
        <v>0</v>
      </c>
      <c r="J77" s="800" t="s">
        <v>830</v>
      </c>
      <c r="K77" s="475">
        <f>$M$64</f>
        <v>0.43</v>
      </c>
      <c r="L77" s="475">
        <f>$M$65</f>
        <v>0.57000000000000006</v>
      </c>
      <c r="M77" s="475">
        <v>0.5</v>
      </c>
      <c r="N77" s="475">
        <f>E77*G77*K77*M77</f>
        <v>13.483546668594458</v>
      </c>
      <c r="O77" s="800">
        <f>E77*H77*K77*M77</f>
        <v>6.6978508890440738E-4</v>
      </c>
      <c r="P77" s="800">
        <f>E77*I77*L77*M77</f>
        <v>0</v>
      </c>
      <c r="Q77" s="462" t="s">
        <v>834</v>
      </c>
      <c r="R77" s="462" t="s">
        <v>835</v>
      </c>
      <c r="S77" s="462">
        <v>10</v>
      </c>
      <c r="T77" s="462" t="s">
        <v>836</v>
      </c>
      <c r="U77" s="2"/>
      <c r="V77" s="2"/>
      <c r="W77" s="2"/>
      <c r="X77" s="2"/>
      <c r="Y77" s="2"/>
      <c r="Z77" s="2"/>
      <c r="AA77" s="414" t="s">
        <v>1018</v>
      </c>
      <c r="AB77" s="362" t="s">
        <v>1019</v>
      </c>
      <c r="AC77" s="362">
        <f>(((AC79/AC80)-(AC81/AC82))/AC83)*AC78</f>
        <v>80.791313949208472</v>
      </c>
      <c r="AD77" s="362"/>
      <c r="AE77" s="317" t="s">
        <v>1020</v>
      </c>
      <c r="AF77" s="317">
        <v>568</v>
      </c>
      <c r="AG77" s="317" t="s">
        <v>1021</v>
      </c>
      <c r="AH77" s="362" t="s">
        <v>1022</v>
      </c>
      <c r="AI77" s="317" t="s">
        <v>1023</v>
      </c>
      <c r="AK77" s="3"/>
      <c r="AL77" s="317" t="s">
        <v>1024</v>
      </c>
      <c r="AM77" s="3"/>
      <c r="AN77" s="3"/>
      <c r="AO77" s="3"/>
      <c r="AP77" s="3"/>
      <c r="AQ77" s="3"/>
      <c r="AR77" s="3"/>
      <c r="AS77"/>
      <c r="AT77" s="317" t="s">
        <v>1025</v>
      </c>
      <c r="AU77" s="317">
        <f>AW84</f>
        <v>744.2</v>
      </c>
      <c r="AV77" s="317"/>
      <c r="AW77" s="317"/>
      <c r="AX77" s="317"/>
      <c r="AY77" s="317"/>
      <c r="AZ77" s="317"/>
      <c r="BA77"/>
      <c r="BB77" s="317"/>
      <c r="BC77" s="317" t="s">
        <v>1009</v>
      </c>
      <c r="BD77" s="317">
        <v>1000000</v>
      </c>
      <c r="BE77" s="317"/>
      <c r="BF77" s="318" t="s">
        <v>1026</v>
      </c>
      <c r="BG77" s="416">
        <v>0.8</v>
      </c>
      <c r="BI77" s="317" t="s">
        <v>1009</v>
      </c>
      <c r="BJ77" s="317">
        <v>293.10000000000002</v>
      </c>
      <c r="BK77" s="317"/>
      <c r="BL77" s="317"/>
      <c r="BM77" s="317"/>
      <c r="BN77"/>
    </row>
    <row r="78" spans="2:66" ht="14.5">
      <c r="B78" s="17"/>
      <c r="D78" s="901" t="s">
        <v>1027</v>
      </c>
      <c r="E78" s="462">
        <v>0</v>
      </c>
      <c r="F78" s="983">
        <f>6*2</f>
        <v>12</v>
      </c>
      <c r="G78" s="902">
        <f>((43-8.5)/1000)*0.965*365*1.86*$I$107</f>
        <v>21.426959780999997</v>
      </c>
      <c r="H78" s="800">
        <f>((43-8.5)/1000)*0.965*$J$107*0.059</f>
        <v>2.4580718355E-3</v>
      </c>
      <c r="I78" s="800">
        <v>0</v>
      </c>
      <c r="J78" s="800" t="s">
        <v>916</v>
      </c>
      <c r="K78" s="800" t="s">
        <v>916</v>
      </c>
      <c r="L78" s="800" t="s">
        <v>916</v>
      </c>
      <c r="M78" s="475">
        <v>0</v>
      </c>
      <c r="N78" s="475">
        <v>0</v>
      </c>
      <c r="O78" s="800">
        <v>0</v>
      </c>
      <c r="P78" s="800" t="s">
        <v>916</v>
      </c>
      <c r="Q78" s="462" t="s">
        <v>1028</v>
      </c>
      <c r="R78" s="462" t="s">
        <v>1029</v>
      </c>
      <c r="S78" s="462">
        <v>0</v>
      </c>
      <c r="T78" s="462" t="s">
        <v>1030</v>
      </c>
      <c r="U78" s="2"/>
      <c r="V78" s="2"/>
      <c r="W78" s="2"/>
      <c r="X78" s="2"/>
      <c r="Y78" s="2"/>
      <c r="Z78" s="2"/>
      <c r="AA78" s="2"/>
      <c r="AB78" s="317" t="s">
        <v>1031</v>
      </c>
      <c r="AC78" s="317">
        <v>542</v>
      </c>
      <c r="AD78" s="317"/>
      <c r="AE78" s="317"/>
      <c r="AF78" s="317">
        <v>523</v>
      </c>
      <c r="AG78" s="317" t="s">
        <v>1032</v>
      </c>
      <c r="AH78" s="317"/>
      <c r="AI78" s="317" t="s">
        <v>1033</v>
      </c>
      <c r="AK78" s="3"/>
      <c r="AL78" s="317" t="s">
        <v>1034</v>
      </c>
      <c r="AM78" s="3"/>
      <c r="AN78" s="3"/>
      <c r="AO78" s="3"/>
      <c r="AP78" s="3"/>
      <c r="AQ78" s="3"/>
      <c r="AR78" s="3"/>
      <c r="AS78"/>
      <c r="AT78" s="317" t="s">
        <v>1035</v>
      </c>
      <c r="AU78" s="317">
        <f>AW91</f>
        <v>843.8</v>
      </c>
      <c r="AV78" s="317"/>
      <c r="AW78" s="317"/>
      <c r="AX78" s="317"/>
      <c r="AY78" s="317"/>
      <c r="AZ78" s="317"/>
      <c r="BA78"/>
      <c r="BB78" s="317"/>
      <c r="BC78" s="317" t="s">
        <v>1035</v>
      </c>
      <c r="BD78" s="317">
        <f>BE80</f>
        <v>574</v>
      </c>
      <c r="BE78" s="317">
        <v>620</v>
      </c>
      <c r="BI78" s="317" t="s">
        <v>1036</v>
      </c>
      <c r="BJ78" s="317">
        <f>BJ79*BJ80*BJ81*(BJ82-BJ83)/BJ85</f>
        <v>8.3024351969999994</v>
      </c>
      <c r="BK78" s="317"/>
      <c r="BL78" s="317"/>
      <c r="BM78" s="317"/>
      <c r="BN78"/>
    </row>
    <row r="79" spans="2:66" ht="14.5">
      <c r="B79" s="193"/>
      <c r="D79" s="901" t="s">
        <v>1037</v>
      </c>
      <c r="E79" s="462">
        <v>0</v>
      </c>
      <c r="F79" s="983">
        <v>2.75</v>
      </c>
      <c r="G79" s="902">
        <f>((65-11)/1000)*0.965*365*1.86*$I$107</f>
        <v>33.537850091999985</v>
      </c>
      <c r="H79" s="800">
        <f>((65-11)/1000)*0.965*$J$107*0.059</f>
        <v>3.8474167859999992E-3</v>
      </c>
      <c r="I79" s="800">
        <v>0</v>
      </c>
      <c r="J79" s="800" t="s">
        <v>916</v>
      </c>
      <c r="K79" s="800" t="s">
        <v>916</v>
      </c>
      <c r="L79" s="800" t="s">
        <v>916</v>
      </c>
      <c r="M79" s="475">
        <v>0</v>
      </c>
      <c r="N79" s="475">
        <v>0</v>
      </c>
      <c r="O79" s="800">
        <v>0</v>
      </c>
      <c r="P79" s="800" t="s">
        <v>916</v>
      </c>
      <c r="Q79" s="462" t="s">
        <v>1028</v>
      </c>
      <c r="R79" s="462" t="s">
        <v>1038</v>
      </c>
      <c r="S79" s="462">
        <v>0</v>
      </c>
      <c r="T79" s="462" t="s">
        <v>1039</v>
      </c>
      <c r="U79" s="2"/>
      <c r="V79" s="2"/>
      <c r="W79" s="2"/>
      <c r="X79" s="2"/>
      <c r="Y79" s="2"/>
      <c r="Z79" s="2"/>
      <c r="AA79" s="2"/>
      <c r="AB79" s="317" t="s">
        <v>1040</v>
      </c>
      <c r="AC79" s="317">
        <v>36000</v>
      </c>
      <c r="AD79" s="317" t="s">
        <v>1041</v>
      </c>
      <c r="AE79" s="317"/>
      <c r="AF79" s="317">
        <v>539</v>
      </c>
      <c r="AG79" s="317" t="s">
        <v>1042</v>
      </c>
      <c r="AH79" s="317"/>
      <c r="AI79" s="317" t="s">
        <v>1043</v>
      </c>
      <c r="AK79" s="3"/>
      <c r="AL79" s="317" t="s">
        <v>1044</v>
      </c>
      <c r="AM79" s="3"/>
      <c r="AN79" s="3"/>
      <c r="AO79" s="3"/>
      <c r="AP79" s="3"/>
      <c r="AQ79" s="3"/>
      <c r="AR79" s="3"/>
      <c r="AS79"/>
      <c r="AT79" s="317">
        <v>1000</v>
      </c>
      <c r="AU79" s="317"/>
      <c r="AV79" s="317" t="s">
        <v>1045</v>
      </c>
      <c r="AW79" s="317">
        <v>778</v>
      </c>
      <c r="AX79" s="317"/>
      <c r="AY79" s="317"/>
      <c r="AZ79" s="317"/>
      <c r="BA79"/>
      <c r="BB79" s="317"/>
      <c r="BC79" s="317" t="s">
        <v>1046</v>
      </c>
      <c r="BD79" s="317">
        <v>100000</v>
      </c>
      <c r="BE79" s="317">
        <v>528</v>
      </c>
      <c r="BG79" s="317">
        <v>70000</v>
      </c>
      <c r="BI79" s="317" t="s">
        <v>1047</v>
      </c>
      <c r="BJ79" s="317">
        <v>42.6</v>
      </c>
      <c r="BK79" s="317"/>
      <c r="BL79" s="317"/>
      <c r="BM79" s="317"/>
      <c r="BN79"/>
    </row>
    <row r="80" spans="2:66" ht="14.5">
      <c r="B80" s="17"/>
      <c r="D80" s="901" t="s">
        <v>1048</v>
      </c>
      <c r="E80" s="462">
        <v>1</v>
      </c>
      <c r="F80" s="983">
        <v>23</v>
      </c>
      <c r="G80" s="902">
        <f>((2.5-1.5)*7.8*2.39*0.6*365/1.6)*8.3*1*(105-60.9)/0.98/3412</f>
        <v>279.3175470764948</v>
      </c>
      <c r="H80" s="800">
        <f>G80/((7.8*2.39*0.6)/(60*1.6)*365)*0.00371</f>
        <v>2.436726260257914E-2</v>
      </c>
      <c r="I80" s="800">
        <v>0</v>
      </c>
      <c r="J80" s="800" t="s">
        <v>830</v>
      </c>
      <c r="K80" s="475">
        <f>$M$64</f>
        <v>0.43</v>
      </c>
      <c r="L80" s="475">
        <f>$M$65</f>
        <v>0.57000000000000006</v>
      </c>
      <c r="M80" s="475">
        <v>0.5</v>
      </c>
      <c r="N80" s="475">
        <f>E80*G80*K80*M80</f>
        <v>60.053272621446382</v>
      </c>
      <c r="O80" s="800">
        <f>E80*H80*K80*M80</f>
        <v>5.2389614595545154E-3</v>
      </c>
      <c r="P80" s="800">
        <f t="shared" ref="P80:P85" si="535">E80*I80*L80*M80</f>
        <v>0</v>
      </c>
      <c r="Q80" s="462" t="s">
        <v>838</v>
      </c>
      <c r="R80" s="462" t="s">
        <v>839</v>
      </c>
      <c r="S80" s="462">
        <v>10</v>
      </c>
      <c r="T80" s="462" t="s">
        <v>1049</v>
      </c>
      <c r="U80" s="2"/>
      <c r="V80" s="2"/>
      <c r="W80" s="2"/>
      <c r="X80" s="2"/>
      <c r="Y80" s="2"/>
      <c r="Z80" s="2"/>
      <c r="AA80" s="2"/>
      <c r="AB80" s="317" t="s">
        <v>1050</v>
      </c>
      <c r="AC80" s="317">
        <v>14.3</v>
      </c>
      <c r="AD80" s="317" t="s">
        <v>1041</v>
      </c>
      <c r="AE80" s="317"/>
      <c r="AF80" s="317">
        <v>515</v>
      </c>
      <c r="AG80" s="317" t="s">
        <v>1032</v>
      </c>
      <c r="AH80" s="317"/>
      <c r="AI80" s="317" t="s">
        <v>1051</v>
      </c>
      <c r="AK80" s="3"/>
      <c r="AL80" s="317" t="s">
        <v>1052</v>
      </c>
      <c r="AM80" s="3"/>
      <c r="AN80" s="3"/>
      <c r="AO80" s="3"/>
      <c r="AP80" s="3"/>
      <c r="AQ80" s="3"/>
      <c r="AR80" s="3"/>
      <c r="AS80"/>
      <c r="AT80" s="317"/>
      <c r="AU80" s="317"/>
      <c r="AV80" s="317"/>
      <c r="AW80" s="317">
        <v>717</v>
      </c>
      <c r="AX80" s="317"/>
      <c r="AY80" s="317" t="s">
        <v>1053</v>
      </c>
      <c r="AZ80" s="317">
        <v>3</v>
      </c>
      <c r="BA80" t="s">
        <v>1054</v>
      </c>
      <c r="BB80" s="317"/>
      <c r="BC80" s="317" t="s">
        <v>1055</v>
      </c>
      <c r="BD80" s="415">
        <v>0.9</v>
      </c>
      <c r="BE80" s="317">
        <f>AVERAGE(BE78:BE79)</f>
        <v>574</v>
      </c>
      <c r="BG80" s="2">
        <v>0.95</v>
      </c>
      <c r="BI80" s="317" t="s">
        <v>1056</v>
      </c>
      <c r="BJ80" s="317">
        <v>365</v>
      </c>
      <c r="BK80" s="317"/>
      <c r="BL80" s="317"/>
      <c r="BM80" s="317"/>
      <c r="BN80"/>
    </row>
    <row r="81" spans="1:168" ht="14.5">
      <c r="B81" s="193"/>
      <c r="D81" s="901" t="s">
        <v>1057</v>
      </c>
      <c r="E81" s="462">
        <v>2</v>
      </c>
      <c r="F81" s="983">
        <f>2*3</f>
        <v>6</v>
      </c>
      <c r="G81" s="902">
        <f>($E$114*$M$68)+($H$114*$M$69)+($F$114*$M$66)+($I$114*$M$69)*11/10</f>
        <v>7.9474498173937285</v>
      </c>
      <c r="H81" s="800">
        <f>G81*$E$127</f>
        <v>1.3510664689569339E-4</v>
      </c>
      <c r="I81" s="800">
        <v>0</v>
      </c>
      <c r="J81" s="800" t="s">
        <v>1058</v>
      </c>
      <c r="K81" s="800" t="s">
        <v>1059</v>
      </c>
      <c r="L81" s="800"/>
      <c r="M81" s="475">
        <v>0.3</v>
      </c>
      <c r="N81" s="475">
        <f>E81*G81*M81</f>
        <v>4.7684698904362373</v>
      </c>
      <c r="O81" s="800">
        <f>H81*E81*M81</f>
        <v>8.1063988137416028E-5</v>
      </c>
      <c r="P81" s="800">
        <f t="shared" si="535"/>
        <v>0</v>
      </c>
      <c r="Q81" s="462" t="s">
        <v>1060</v>
      </c>
      <c r="R81" s="984" t="s">
        <v>916</v>
      </c>
      <c r="S81" s="462">
        <v>15</v>
      </c>
      <c r="T81" s="462" t="s">
        <v>1061</v>
      </c>
      <c r="U81" s="2"/>
      <c r="V81" s="2"/>
      <c r="W81" s="2"/>
      <c r="X81" s="2"/>
      <c r="Y81" s="2"/>
      <c r="Z81" s="2"/>
      <c r="AA81" s="2"/>
      <c r="AB81" s="317" t="s">
        <v>1062</v>
      </c>
      <c r="AC81" s="317">
        <v>36000</v>
      </c>
      <c r="AD81" s="317" t="s">
        <v>1063</v>
      </c>
      <c r="AE81" s="317"/>
      <c r="AF81" s="317">
        <v>565</v>
      </c>
      <c r="AG81" s="317" t="s">
        <v>1064</v>
      </c>
      <c r="AH81" s="317"/>
      <c r="AI81" s="317" t="s">
        <v>1065</v>
      </c>
      <c r="AK81" s="3"/>
      <c r="AL81" s="317" t="s">
        <v>1066</v>
      </c>
      <c r="AM81" s="3"/>
      <c r="AN81" s="3"/>
      <c r="AO81" s="3"/>
      <c r="AP81" s="3"/>
      <c r="AQ81" s="3"/>
      <c r="AR81" s="3"/>
      <c r="AS81"/>
      <c r="AT81" s="317"/>
      <c r="AU81" s="317"/>
      <c r="AV81" s="317"/>
      <c r="AW81" s="317">
        <v>739</v>
      </c>
      <c r="AX81" s="317"/>
      <c r="AY81" s="317"/>
      <c r="AZ81" s="317">
        <f>AZ80*12000</f>
        <v>36000</v>
      </c>
      <c r="BA81" t="s">
        <v>1067</v>
      </c>
      <c r="BB81" s="317"/>
      <c r="BC81" s="317" t="s">
        <v>1026</v>
      </c>
      <c r="BD81" s="415">
        <v>0.82</v>
      </c>
      <c r="BE81" s="317"/>
      <c r="BI81" s="317" t="s">
        <v>1068</v>
      </c>
      <c r="BJ81" s="317">
        <v>8.33</v>
      </c>
      <c r="BK81" s="317"/>
      <c r="BL81" s="317"/>
      <c r="BM81" s="317"/>
      <c r="BN81"/>
    </row>
    <row r="82" spans="1:168" ht="14.5">
      <c r="B82" s="17"/>
      <c r="D82" s="901" t="s">
        <v>1069</v>
      </c>
      <c r="E82" s="462">
        <v>2</v>
      </c>
      <c r="F82" s="983">
        <f>5*2</f>
        <v>10</v>
      </c>
      <c r="G82" s="902">
        <f>($E$115*$M$68)+($H$115*$M$69)+($F$115*$M$66)+($I$115*$M$69)*17/10</f>
        <v>8.9799666216864118</v>
      </c>
      <c r="H82" s="800">
        <f>G82*$E$127</f>
        <v>1.5265943256866901E-4</v>
      </c>
      <c r="I82" s="800">
        <v>0</v>
      </c>
      <c r="J82" s="800" t="s">
        <v>1058</v>
      </c>
      <c r="K82" s="800" t="s">
        <v>1059</v>
      </c>
      <c r="L82" s="800"/>
      <c r="M82" s="475">
        <v>0.3</v>
      </c>
      <c r="N82" s="475">
        <f>E82*G82*M82</f>
        <v>5.3879799730118467</v>
      </c>
      <c r="O82" s="800">
        <f>H82*E82*M82</f>
        <v>9.1595659541201404E-5</v>
      </c>
      <c r="P82" s="800">
        <f t="shared" si="535"/>
        <v>0</v>
      </c>
      <c r="Q82" s="462" t="s">
        <v>1060</v>
      </c>
      <c r="R82" s="984" t="s">
        <v>916</v>
      </c>
      <c r="S82" s="462">
        <v>15</v>
      </c>
      <c r="T82" s="462" t="s">
        <v>1070</v>
      </c>
      <c r="U82" s="2"/>
      <c r="V82" s="2"/>
      <c r="W82" s="2"/>
      <c r="X82" s="2"/>
      <c r="Y82" s="2"/>
      <c r="Z82" s="2"/>
      <c r="AA82" s="2"/>
      <c r="AB82" s="317" t="s">
        <v>1071</v>
      </c>
      <c r="AC82" s="1334">
        <v>15.2</v>
      </c>
      <c r="AD82" s="317" t="s">
        <v>1072</v>
      </c>
      <c r="AE82" s="317"/>
      <c r="AF82" s="312"/>
      <c r="AG82" s="312"/>
      <c r="AH82" s="312"/>
      <c r="AK82" s="3"/>
      <c r="AL82" s="317" t="s">
        <v>1073</v>
      </c>
      <c r="AM82" s="3"/>
      <c r="AN82" s="3"/>
      <c r="AO82" s="3"/>
      <c r="AP82" s="3"/>
      <c r="AQ82" s="3"/>
      <c r="AR82" s="3"/>
      <c r="AS82"/>
      <c r="AT82" s="317"/>
      <c r="AU82" s="317"/>
      <c r="AV82" s="317"/>
      <c r="AW82" s="317">
        <v>712</v>
      </c>
      <c r="AX82" s="317"/>
      <c r="AY82" s="317"/>
      <c r="AZ82" s="317"/>
      <c r="BA82"/>
      <c r="BB82"/>
      <c r="BC82"/>
      <c r="BD82"/>
      <c r="BE82"/>
      <c r="BI82" s="317" t="s">
        <v>1074</v>
      </c>
      <c r="BJ82" s="317">
        <v>125</v>
      </c>
      <c r="BK82" s="317"/>
      <c r="BL82" s="317"/>
      <c r="BM82" s="317"/>
      <c r="BN82"/>
    </row>
    <row r="83" spans="1:168" ht="14.5">
      <c r="B83" s="17"/>
      <c r="D83" s="901" t="s">
        <v>1075</v>
      </c>
      <c r="E83" s="462">
        <v>1</v>
      </c>
      <c r="F83" s="983">
        <v>8</v>
      </c>
      <c r="G83" s="902">
        <f>($E$116*$M$68)+($H$116*$M$69)+($F$116*$M$66)+($I$116*$M$69)*3</f>
        <v>18.413399581742162</v>
      </c>
      <c r="H83" s="800">
        <f>G83*$E$127</f>
        <v>3.1302779288961677E-4</v>
      </c>
      <c r="I83" s="800">
        <v>0</v>
      </c>
      <c r="J83" s="800" t="s">
        <v>1058</v>
      </c>
      <c r="K83" s="800" t="s">
        <v>1059</v>
      </c>
      <c r="L83" s="800"/>
      <c r="M83" s="475">
        <v>0.3</v>
      </c>
      <c r="N83" s="475">
        <f>E83*G83*M83</f>
        <v>5.5240198745226481</v>
      </c>
      <c r="O83" s="800">
        <f>H83*E83*M83</f>
        <v>9.3908337866885033E-5</v>
      </c>
      <c r="P83" s="800">
        <f t="shared" si="535"/>
        <v>0</v>
      </c>
      <c r="Q83" s="462" t="s">
        <v>1060</v>
      </c>
      <c r="R83" s="984" t="s">
        <v>916</v>
      </c>
      <c r="S83" s="462">
        <v>15</v>
      </c>
      <c r="T83" s="462" t="s">
        <v>1076</v>
      </c>
      <c r="U83" s="2"/>
      <c r="V83" s="2"/>
      <c r="W83" s="2"/>
      <c r="X83" s="2"/>
      <c r="Y83" s="2"/>
      <c r="Z83" s="2"/>
      <c r="AA83" s="2"/>
      <c r="AB83" s="317" t="s">
        <v>1009</v>
      </c>
      <c r="AC83" s="317">
        <v>1000</v>
      </c>
      <c r="AD83" s="317"/>
      <c r="AE83" s="317"/>
      <c r="AF83" s="312"/>
      <c r="AG83" s="317" t="s">
        <v>1077</v>
      </c>
      <c r="AH83" s="317">
        <v>15.2</v>
      </c>
      <c r="AK83" s="3"/>
      <c r="AL83" s="3"/>
      <c r="AM83" s="3"/>
      <c r="AN83" s="3"/>
      <c r="AO83" s="3"/>
      <c r="AP83" s="3"/>
      <c r="AQ83" s="3"/>
      <c r="AR83" s="3"/>
      <c r="AS83"/>
      <c r="AT83" s="317"/>
      <c r="AU83" s="317"/>
      <c r="AV83" s="317"/>
      <c r="AW83" s="317">
        <v>775</v>
      </c>
      <c r="AX83" s="317"/>
      <c r="AY83" s="317"/>
      <c r="AZ83" s="317"/>
      <c r="BA83"/>
      <c r="BI83" s="317" t="s">
        <v>1078</v>
      </c>
      <c r="BJ83" s="317">
        <v>60.9</v>
      </c>
      <c r="BK83" s="317"/>
      <c r="BL83" s="317"/>
      <c r="BM83" s="317"/>
      <c r="BN83"/>
    </row>
    <row r="84" spans="1:168" ht="14.5">
      <c r="B84" s="17"/>
      <c r="D84" s="901" t="s">
        <v>1079</v>
      </c>
      <c r="E84" s="462">
        <v>1</v>
      </c>
      <c r="F84" s="983">
        <v>2.5</v>
      </c>
      <c r="G84" s="902">
        <f>8.82*6</f>
        <v>52.92</v>
      </c>
      <c r="H84" s="800">
        <v>7.1000000000000002E-4</v>
      </c>
      <c r="I84" s="800">
        <v>0</v>
      </c>
      <c r="J84" s="800" t="s">
        <v>830</v>
      </c>
      <c r="K84" s="475">
        <f>$M$64</f>
        <v>0.43</v>
      </c>
      <c r="L84" s="475">
        <f>$M$64</f>
        <v>0.43</v>
      </c>
      <c r="M84" s="475">
        <v>0.3</v>
      </c>
      <c r="N84" s="475">
        <f>E84*G84*K84*M84</f>
        <v>6.8266800000000005</v>
      </c>
      <c r="O84" s="800">
        <f>E84*H84*K84*M84</f>
        <v>9.1589999999999996E-5</v>
      </c>
      <c r="P84" s="800">
        <f t="shared" si="535"/>
        <v>0</v>
      </c>
      <c r="Q84" s="462" t="s">
        <v>1080</v>
      </c>
      <c r="R84" s="462" t="s">
        <v>1081</v>
      </c>
      <c r="S84" s="462">
        <v>13</v>
      </c>
      <c r="T84" s="462" t="s">
        <v>1082</v>
      </c>
      <c r="U84" s="2"/>
      <c r="V84" s="2"/>
      <c r="W84" s="2"/>
      <c r="X84" s="2"/>
      <c r="Y84" s="2"/>
      <c r="Z84" s="2"/>
      <c r="AA84" s="2"/>
      <c r="AB84" s="317"/>
      <c r="AC84" s="317"/>
      <c r="AD84" s="317"/>
      <c r="AE84" s="317"/>
      <c r="AF84" s="312"/>
      <c r="AG84" s="317" t="s">
        <v>1083</v>
      </c>
      <c r="AH84" s="317">
        <v>14.3</v>
      </c>
      <c r="AK84" s="3"/>
      <c r="AL84" s="3"/>
      <c r="AM84" s="3"/>
      <c r="AN84" s="3"/>
      <c r="AO84" s="3"/>
      <c r="AP84" s="3"/>
      <c r="AQ84" s="3"/>
      <c r="AR84" s="3"/>
      <c r="AS84"/>
      <c r="AT84" s="317"/>
      <c r="AU84" s="317"/>
      <c r="AV84" s="317" t="s">
        <v>1022</v>
      </c>
      <c r="AW84" s="317">
        <f>AVERAGE(AW79:AW83)</f>
        <v>744.2</v>
      </c>
      <c r="AX84" s="317"/>
      <c r="AY84" s="317"/>
      <c r="AZ84" s="317"/>
      <c r="BA84"/>
      <c r="BI84" s="317" t="s">
        <v>1084</v>
      </c>
      <c r="BJ84" s="317">
        <v>1</v>
      </c>
      <c r="BK84" s="317"/>
      <c r="BL84" s="317"/>
      <c r="BM84" s="317"/>
      <c r="BN84"/>
    </row>
    <row r="85" spans="1:168" ht="14.5">
      <c r="B85" s="17"/>
      <c r="D85" s="901" t="s">
        <v>1085</v>
      </c>
      <c r="E85" s="462">
        <v>1</v>
      </c>
      <c r="F85" s="983">
        <v>30</v>
      </c>
      <c r="G85" s="462">
        <v>112.3</v>
      </c>
      <c r="H85" s="800">
        <v>0.01</v>
      </c>
      <c r="I85" s="800">
        <v>0</v>
      </c>
      <c r="J85" s="800" t="s">
        <v>916</v>
      </c>
      <c r="K85" s="475">
        <v>1</v>
      </c>
      <c r="L85" s="475">
        <f>1-K85</f>
        <v>0</v>
      </c>
      <c r="M85" s="475">
        <v>0.45</v>
      </c>
      <c r="N85" s="475">
        <f>E85*G85*M85</f>
        <v>50.534999999999997</v>
      </c>
      <c r="O85" s="800">
        <f>H85*E85*M85</f>
        <v>4.5000000000000005E-3</v>
      </c>
      <c r="P85" s="800">
        <f t="shared" si="535"/>
        <v>0</v>
      </c>
      <c r="Q85" s="462" t="s">
        <v>1086</v>
      </c>
      <c r="R85" s="462" t="s">
        <v>1087</v>
      </c>
      <c r="S85" s="462">
        <v>5</v>
      </c>
      <c r="T85" s="462" t="s">
        <v>1088</v>
      </c>
      <c r="U85" s="2"/>
      <c r="V85" s="2"/>
      <c r="W85" s="2"/>
      <c r="X85" s="2"/>
      <c r="Y85" s="2"/>
      <c r="Z85" s="2"/>
      <c r="AA85" s="2"/>
      <c r="AB85" s="317"/>
      <c r="AC85" s="317"/>
      <c r="AD85" s="317"/>
      <c r="AE85" s="317"/>
      <c r="AF85" s="312"/>
      <c r="AG85" s="317"/>
      <c r="AH85" s="317"/>
      <c r="AK85" s="3"/>
      <c r="AL85" s="3"/>
      <c r="AM85" s="3"/>
      <c r="AN85" s="3"/>
      <c r="AO85" s="3"/>
      <c r="AP85" s="3"/>
      <c r="AQ85" s="3"/>
      <c r="AR85" s="3"/>
      <c r="AS85"/>
      <c r="AT85" s="317"/>
      <c r="AU85" s="317"/>
      <c r="AV85" s="317"/>
      <c r="AW85" s="317"/>
      <c r="AX85" s="317"/>
      <c r="AY85" s="317"/>
      <c r="AZ85" s="317"/>
      <c r="BA85"/>
      <c r="BI85" s="317" t="s">
        <v>1009</v>
      </c>
      <c r="BJ85" s="317">
        <v>1000000</v>
      </c>
      <c r="BK85" s="317"/>
      <c r="BL85" s="317"/>
      <c r="BM85" s="317"/>
      <c r="BN85"/>
    </row>
    <row r="86" spans="1:168" ht="14.5">
      <c r="B86" s="17"/>
      <c r="D86" s="198" t="s">
        <v>326</v>
      </c>
      <c r="E86"/>
      <c r="F86"/>
      <c r="G86"/>
      <c r="H86"/>
      <c r="N86" s="199">
        <f>SUM(N76:N85)</f>
        <v>151.82714436823349</v>
      </c>
      <c r="O86" s="199">
        <f>SUM(O76:O85)</f>
        <v>1.1027603715995159E-2</v>
      </c>
      <c r="P86" s="199">
        <f>SUM(P76:P85)</f>
        <v>0</v>
      </c>
      <c r="S86" s="208">
        <f>MROUND(SUMPRODUCT(N76:N85,S76:S85)/SUM(N86),1)</f>
        <v>9</v>
      </c>
      <c r="T86" s="2"/>
      <c r="AB86" s="317" t="s">
        <v>132</v>
      </c>
      <c r="AC86" s="362">
        <f>(AC79/1000)*((1/AC88)-(1/AC89))*AC87</f>
        <v>0.1958399999999999</v>
      </c>
      <c r="AD86" s="317"/>
      <c r="AE86" s="317"/>
      <c r="AF86" s="312"/>
      <c r="AG86" s="317" t="s">
        <v>1089</v>
      </c>
      <c r="AH86" s="317">
        <f>3*12000</f>
        <v>36000</v>
      </c>
      <c r="AK86" s="3"/>
      <c r="AS86"/>
      <c r="AT86" s="317"/>
      <c r="AU86" s="317"/>
      <c r="AV86" s="317" t="s">
        <v>1090</v>
      </c>
      <c r="AW86" s="317">
        <v>852</v>
      </c>
      <c r="AX86" s="317"/>
      <c r="AY86" s="317"/>
      <c r="AZ86" s="317"/>
      <c r="BA86"/>
      <c r="BI86" s="317" t="s">
        <v>1091</v>
      </c>
      <c r="BJ86" s="317">
        <v>0.65</v>
      </c>
      <c r="BK86" s="317"/>
      <c r="BL86" s="317"/>
      <c r="BM86" s="317"/>
      <c r="BN86"/>
    </row>
    <row r="87" spans="1:168" ht="14.5">
      <c r="B87" s="17"/>
      <c r="D87" s="22" t="s">
        <v>285</v>
      </c>
      <c r="E87"/>
      <c r="F87"/>
      <c r="G87"/>
      <c r="H87"/>
      <c r="T87" s="2"/>
      <c r="AB87" s="317" t="s">
        <v>901</v>
      </c>
      <c r="AC87" s="317">
        <f>AE91</f>
        <v>0.78200000000000003</v>
      </c>
      <c r="AD87" s="317"/>
      <c r="AE87" s="317"/>
      <c r="AF87" s="312"/>
      <c r="AG87" s="312"/>
      <c r="AH87" s="312"/>
      <c r="AK87" s="3"/>
      <c r="AS87"/>
      <c r="AT87" s="317"/>
      <c r="AU87" s="317"/>
      <c r="AV87" s="317"/>
      <c r="AW87" s="317">
        <v>883</v>
      </c>
      <c r="AX87" s="317"/>
      <c r="AY87" s="317"/>
      <c r="AZ87" s="317"/>
      <c r="BA87"/>
      <c r="BI87" s="317" t="s">
        <v>1092</v>
      </c>
      <c r="BJ87" s="317">
        <v>0.82</v>
      </c>
      <c r="BK87" s="317"/>
      <c r="BL87" s="317"/>
      <c r="BM87" s="317"/>
      <c r="BN87"/>
    </row>
    <row r="88" spans="1:168" ht="14.5">
      <c r="A88" s="123"/>
      <c r="B88" s="123"/>
      <c r="C88" s="123"/>
      <c r="D88" s="893" t="s">
        <v>814</v>
      </c>
      <c r="E88" s="893" t="s">
        <v>76</v>
      </c>
      <c r="F88" s="537" t="s">
        <v>815</v>
      </c>
      <c r="G88" s="537" t="s">
        <v>816</v>
      </c>
      <c r="H88" s="537" t="s">
        <v>817</v>
      </c>
      <c r="I88" s="537" t="s">
        <v>818</v>
      </c>
      <c r="J88" s="537" t="s">
        <v>819</v>
      </c>
      <c r="K88" s="537" t="s">
        <v>820</v>
      </c>
      <c r="L88" s="537" t="s">
        <v>821</v>
      </c>
      <c r="M88" s="537" t="s">
        <v>1004</v>
      </c>
      <c r="N88" s="537" t="s">
        <v>823</v>
      </c>
      <c r="O88" s="537" t="s">
        <v>824</v>
      </c>
      <c r="P88" s="537" t="s">
        <v>825</v>
      </c>
      <c r="Q88" s="537" t="s">
        <v>826</v>
      </c>
      <c r="R88" s="537" t="s">
        <v>827</v>
      </c>
      <c r="S88" s="537" t="s">
        <v>828</v>
      </c>
      <c r="T88" s="537" t="s">
        <v>1005</v>
      </c>
      <c r="U88" s="123"/>
      <c r="V88" s="123"/>
      <c r="W88" s="123"/>
      <c r="X88" s="123"/>
      <c r="Y88" s="123"/>
      <c r="Z88" s="123"/>
      <c r="AA88" s="123"/>
      <c r="AB88" s="317" t="s">
        <v>1093</v>
      </c>
      <c r="AC88" s="317">
        <v>11.5</v>
      </c>
      <c r="AD88" s="317" t="s">
        <v>1094</v>
      </c>
      <c r="AE88" s="317"/>
      <c r="AF88" s="411"/>
      <c r="AG88" s="411"/>
      <c r="AH88" s="411"/>
      <c r="AI88" s="195"/>
      <c r="AJ88" s="195"/>
      <c r="AK88" s="195"/>
      <c r="AL88" s="195"/>
      <c r="AM88" s="195"/>
      <c r="AN88" s="195"/>
      <c r="AO88" s="195"/>
      <c r="AP88" s="195"/>
      <c r="AQ88" s="195"/>
      <c r="AR88" s="195"/>
      <c r="AS88"/>
      <c r="AT88" s="317"/>
      <c r="AU88" s="317"/>
      <c r="AV88" s="317"/>
      <c r="AW88" s="317">
        <v>784</v>
      </c>
      <c r="AX88" s="317"/>
      <c r="AY88" s="317"/>
      <c r="AZ88" s="317"/>
      <c r="BA88"/>
      <c r="BB88" s="123"/>
      <c r="BC88" s="123"/>
      <c r="BD88" s="123"/>
      <c r="BE88" s="123"/>
      <c r="BF88" s="123"/>
      <c r="BG88" s="123"/>
      <c r="BH88" s="123"/>
      <c r="BI88" s="317" t="s">
        <v>1095</v>
      </c>
      <c r="BJ88" s="317">
        <v>3.08</v>
      </c>
      <c r="BK88" s="317"/>
      <c r="BL88" s="317"/>
      <c r="BM88" s="317"/>
      <c r="BN88"/>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row>
    <row r="89" spans="1:168" ht="14.5">
      <c r="A89" s="123"/>
      <c r="B89" s="17"/>
      <c r="C89" s="123"/>
      <c r="D89" s="901" t="s">
        <v>1010</v>
      </c>
      <c r="E89" s="462">
        <v>1</v>
      </c>
      <c r="F89" s="896">
        <v>2.5</v>
      </c>
      <c r="G89" s="902">
        <f>(((2.2*0.83)-(1.5*0.95))*1.6*2.39*365*0.7)*8.3*1*(86-60.9)/0.98/3412</f>
        <v>24.410117861497255</v>
      </c>
      <c r="H89" s="800">
        <f>G89/(2.39*1.6/60*365)*(0.13*1.6/180)</f>
        <v>1.2125543348406194E-3</v>
      </c>
      <c r="I89" s="800">
        <f>(((2.2*0.83)-(1.5*0.95))*1.6*2.39*365*0.7)*8.3*1*(86-60.9)/0.8/1000000*10</f>
        <v>1.0202696962570008</v>
      </c>
      <c r="J89" s="800" t="s">
        <v>830</v>
      </c>
      <c r="K89" s="475">
        <f>$K$64</f>
        <v>0.34</v>
      </c>
      <c r="L89" s="475">
        <f>$K$65</f>
        <v>0.65999999999999992</v>
      </c>
      <c r="M89" s="475">
        <v>0.5</v>
      </c>
      <c r="N89" s="475">
        <f>E89*G89*K89*M89</f>
        <v>4.1497200364545339</v>
      </c>
      <c r="O89" s="800">
        <f>E89*H89*K89*M89</f>
        <v>2.0613423692290533E-4</v>
      </c>
      <c r="P89" s="800">
        <f>E89*I89*L89*M89</f>
        <v>0.3366889997648102</v>
      </c>
      <c r="Q89" s="462" t="s">
        <v>834</v>
      </c>
      <c r="R89" s="462" t="s">
        <v>1011</v>
      </c>
      <c r="S89" s="462">
        <v>10</v>
      </c>
      <c r="T89" s="462" t="s">
        <v>836</v>
      </c>
      <c r="U89" s="123"/>
      <c r="V89" s="123"/>
      <c r="W89" s="123"/>
      <c r="X89" s="123"/>
      <c r="Y89" s="123"/>
      <c r="Z89" s="123"/>
      <c r="AA89" s="123"/>
      <c r="AB89" s="317" t="s">
        <v>1096</v>
      </c>
      <c r="AC89" s="317">
        <v>12.5</v>
      </c>
      <c r="AD89" s="317" t="s">
        <v>1097</v>
      </c>
      <c r="AE89" s="317"/>
      <c r="AF89" s="411"/>
      <c r="AG89" s="411"/>
      <c r="AH89" s="411"/>
      <c r="AI89" s="195"/>
      <c r="AJ89" s="195"/>
      <c r="AK89" s="195"/>
      <c r="AL89" s="195"/>
      <c r="AM89" s="195"/>
      <c r="AN89" s="195"/>
      <c r="AO89" s="195"/>
      <c r="AP89" s="195"/>
      <c r="AQ89" s="195"/>
      <c r="AR89" s="195"/>
      <c r="AS89"/>
      <c r="AT89" s="317"/>
      <c r="AU89" s="317"/>
      <c r="AV89" s="317"/>
      <c r="AW89" s="317">
        <v>885</v>
      </c>
      <c r="AX89" s="317"/>
      <c r="AY89" s="317"/>
      <c r="AZ89" s="317"/>
      <c r="BA89"/>
      <c r="BB89" s="123"/>
      <c r="BC89" s="123"/>
      <c r="BD89" s="123"/>
      <c r="BE89" s="123"/>
      <c r="BF89" s="123"/>
      <c r="BG89" s="123"/>
      <c r="BH89" s="123"/>
      <c r="BI89" s="317" t="s">
        <v>1098</v>
      </c>
      <c r="BJ89" s="317">
        <v>0.8</v>
      </c>
      <c r="BK89" s="317"/>
      <c r="BL89" s="317"/>
      <c r="BM89" s="317"/>
      <c r="BN89"/>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row>
    <row r="90" spans="1:168" ht="14.5">
      <c r="A90" s="123"/>
      <c r="B90" s="17"/>
      <c r="C90" s="123"/>
      <c r="D90" s="901" t="s">
        <v>833</v>
      </c>
      <c r="E90" s="462">
        <v>1</v>
      </c>
      <c r="F90" s="896">
        <v>2.5</v>
      </c>
      <c r="G90" s="902">
        <f>(((2.2*0.83)-(1.5*0.95))*4.5*2.39*365*0.5)*8.3*1*(93-60.9)/0.98/3412</f>
        <v>62.714170551602137</v>
      </c>
      <c r="H90" s="800">
        <f>G90/(2.39*4.5/60*365)*(0.13*4.5/180)</f>
        <v>3.1152794832763134E-3</v>
      </c>
      <c r="I90" s="800">
        <f>(((2.2*0.83)-(1.5*0.95))*4.5*2.39*365*0.5)*8.3*1*(93-60.9)/0.8/1000000*10</f>
        <v>2.6212641865453139</v>
      </c>
      <c r="J90" s="800" t="s">
        <v>830</v>
      </c>
      <c r="K90" s="475">
        <f>$K$64</f>
        <v>0.34</v>
      </c>
      <c r="L90" s="475">
        <f>$K$65</f>
        <v>0.65999999999999992</v>
      </c>
      <c r="M90" s="475">
        <v>0.5</v>
      </c>
      <c r="N90" s="475">
        <f>E90*G90*K90*M90</f>
        <v>10.661408993772364</v>
      </c>
      <c r="O90" s="800">
        <f>E90*H90*K90*M90</f>
        <v>5.2959751215697333E-4</v>
      </c>
      <c r="P90" s="800">
        <f>E90*I90*L90*M90</f>
        <v>0.86501718155995344</v>
      </c>
      <c r="Q90" s="462" t="s">
        <v>834</v>
      </c>
      <c r="R90" s="462" t="s">
        <v>835</v>
      </c>
      <c r="S90" s="462">
        <v>10</v>
      </c>
      <c r="T90" s="462" t="s">
        <v>836</v>
      </c>
      <c r="U90" s="123"/>
      <c r="V90" s="123"/>
      <c r="W90" s="123"/>
      <c r="X90" s="123"/>
      <c r="Y90" s="123"/>
      <c r="Z90" s="123"/>
      <c r="AA90" s="123"/>
      <c r="AB90" s="317"/>
      <c r="AC90" s="317"/>
      <c r="AD90" s="317"/>
      <c r="AE90" s="317"/>
      <c r="AF90" s="411"/>
      <c r="AG90" s="411"/>
      <c r="AH90" s="411"/>
      <c r="AI90" s="195"/>
      <c r="AJ90" s="195"/>
      <c r="AK90" s="195"/>
      <c r="AL90" s="195"/>
      <c r="AM90" s="195"/>
      <c r="AN90" s="195"/>
      <c r="AO90" s="195"/>
      <c r="AP90" s="195"/>
      <c r="AQ90" s="195"/>
      <c r="AR90" s="195"/>
      <c r="AS90"/>
      <c r="AT90" s="317"/>
      <c r="AU90" s="317"/>
      <c r="AV90" s="317"/>
      <c r="AW90" s="317">
        <v>815</v>
      </c>
      <c r="AX90" s="317"/>
      <c r="AY90" s="317"/>
      <c r="AZ90" s="317"/>
      <c r="BA90"/>
      <c r="BB90" s="123"/>
      <c r="BC90" s="123"/>
      <c r="BD90" s="123"/>
      <c r="BE90" s="123"/>
      <c r="BF90" s="123"/>
      <c r="BG90" s="123"/>
      <c r="BH90" s="123"/>
      <c r="BI90" s="317" t="s">
        <v>1099</v>
      </c>
      <c r="BJ90" s="415">
        <v>0.47</v>
      </c>
      <c r="BK90" s="317"/>
      <c r="BL90" s="317"/>
      <c r="BM90" s="317"/>
      <c r="BN90"/>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row>
    <row r="91" spans="1:168" ht="14.5">
      <c r="A91" s="123"/>
      <c r="B91" s="17"/>
      <c r="C91" s="123"/>
      <c r="D91" s="901" t="s">
        <v>1027</v>
      </c>
      <c r="E91" s="462">
        <v>0</v>
      </c>
      <c r="F91" s="896">
        <f>6*2</f>
        <v>12</v>
      </c>
      <c r="G91" s="902">
        <f>((43-8.5)/1000)*0.965*365*1.86*$I$107</f>
        <v>21.426959780999997</v>
      </c>
      <c r="H91" s="800">
        <f>((43-8.5)/1000)*0.965*$J$107*0.059</f>
        <v>2.4580718355E-3</v>
      </c>
      <c r="I91" s="800" t="s">
        <v>916</v>
      </c>
      <c r="J91" s="800" t="s">
        <v>916</v>
      </c>
      <c r="K91" s="800" t="s">
        <v>916</v>
      </c>
      <c r="L91" s="800" t="s">
        <v>916</v>
      </c>
      <c r="M91" s="475">
        <v>0.7</v>
      </c>
      <c r="N91" s="475">
        <f>E91*G91*M91</f>
        <v>0</v>
      </c>
      <c r="O91" s="800">
        <f>H91*E91*M91</f>
        <v>0</v>
      </c>
      <c r="P91" s="800" t="s">
        <v>916</v>
      </c>
      <c r="Q91" s="462" t="s">
        <v>1028</v>
      </c>
      <c r="R91" s="462" t="s">
        <v>1029</v>
      </c>
      <c r="S91" s="462">
        <v>16.3</v>
      </c>
      <c r="T91" s="462" t="s">
        <v>1030</v>
      </c>
      <c r="U91" s="123"/>
      <c r="V91" s="123"/>
      <c r="W91" s="123"/>
      <c r="X91" s="123"/>
      <c r="Y91" s="123"/>
      <c r="Z91" s="123"/>
      <c r="AA91" s="123"/>
      <c r="AB91" s="317" t="s">
        <v>1100</v>
      </c>
      <c r="AC91" s="317">
        <v>0.84</v>
      </c>
      <c r="AD91" s="362" t="s">
        <v>1022</v>
      </c>
      <c r="AE91" s="362">
        <f>AVERAGE(AC91:AC95)</f>
        <v>0.78200000000000003</v>
      </c>
      <c r="AF91" s="411"/>
      <c r="AG91" s="411"/>
      <c r="AH91" s="411"/>
      <c r="AI91" s="195"/>
      <c r="AJ91" s="195"/>
      <c r="AK91" s="195"/>
      <c r="AL91" s="195"/>
      <c r="AM91" s="195"/>
      <c r="AN91" s="195"/>
      <c r="AO91" s="195"/>
      <c r="AP91" s="195"/>
      <c r="AQ91" s="195"/>
      <c r="AR91" s="195"/>
      <c r="AS91"/>
      <c r="AT91" s="317"/>
      <c r="AU91" s="317"/>
      <c r="AV91" s="317" t="s">
        <v>1101</v>
      </c>
      <c r="AW91" s="317">
        <f>AVERAGE(AW86:AW90)</f>
        <v>843.8</v>
      </c>
      <c r="AX91" s="317"/>
      <c r="AY91" s="317"/>
      <c r="AZ91" s="317"/>
      <c r="BA91"/>
      <c r="BB91" s="123"/>
      <c r="BC91" s="123"/>
      <c r="BD91" s="123"/>
      <c r="BE91" s="123"/>
      <c r="BF91" s="123"/>
      <c r="BG91" s="123"/>
      <c r="BH91" s="123"/>
      <c r="BI91" s="317" t="s">
        <v>1102</v>
      </c>
      <c r="BJ91" s="317">
        <v>1.1399999999999999</v>
      </c>
      <c r="BK91" s="317"/>
      <c r="BL91" s="317"/>
      <c r="BM91" s="317"/>
      <c r="BN91"/>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row>
    <row r="92" spans="1:168" ht="14.5">
      <c r="A92" s="123"/>
      <c r="B92" s="193"/>
      <c r="C92" s="123"/>
      <c r="D92" s="901" t="s">
        <v>1037</v>
      </c>
      <c r="E92" s="462">
        <v>0</v>
      </c>
      <c r="F92" s="896">
        <v>2.75</v>
      </c>
      <c r="G92" s="902">
        <f>((65-11)/1000)*0.965*365*1.86*$I$107</f>
        <v>33.537850091999985</v>
      </c>
      <c r="H92" s="800">
        <f>((65-11)/1000)*0.965*$J$107*0.059</f>
        <v>3.8474167859999992E-3</v>
      </c>
      <c r="I92" s="800" t="s">
        <v>916</v>
      </c>
      <c r="J92" s="800" t="s">
        <v>916</v>
      </c>
      <c r="K92" s="800" t="s">
        <v>916</v>
      </c>
      <c r="L92" s="800" t="s">
        <v>916</v>
      </c>
      <c r="M92" s="475">
        <v>0.7</v>
      </c>
      <c r="N92" s="475">
        <f>E92*G92*M92</f>
        <v>0</v>
      </c>
      <c r="O92" s="800">
        <f>H92*E92*M92</f>
        <v>0</v>
      </c>
      <c r="P92" s="800" t="s">
        <v>916</v>
      </c>
      <c r="Q92" s="462" t="s">
        <v>1028</v>
      </c>
      <c r="R92" s="462" t="s">
        <v>1038</v>
      </c>
      <c r="S92" s="462">
        <v>16.3</v>
      </c>
      <c r="T92" s="462" t="s">
        <v>1039</v>
      </c>
      <c r="U92" s="123"/>
      <c r="V92" s="123"/>
      <c r="W92" s="123"/>
      <c r="X92" s="123"/>
      <c r="Y92" s="123"/>
      <c r="Z92" s="123"/>
      <c r="AA92" s="123"/>
      <c r="AB92" s="317"/>
      <c r="AC92" s="317">
        <v>0.68</v>
      </c>
      <c r="AD92" s="317"/>
      <c r="AE92" s="317"/>
      <c r="AF92" s="411"/>
      <c r="AG92" s="411"/>
      <c r="AH92" s="411"/>
      <c r="AI92" s="195"/>
      <c r="AJ92" s="195"/>
      <c r="AK92" s="195"/>
      <c r="AL92" s="195"/>
      <c r="AM92" s="195"/>
      <c r="AN92" s="195"/>
      <c r="AO92" s="195"/>
      <c r="AP92" s="195"/>
      <c r="AQ92" s="195"/>
      <c r="AR92" s="195"/>
      <c r="AS92"/>
      <c r="AT92" s="362" t="s">
        <v>1103</v>
      </c>
      <c r="AU92" s="362">
        <f>AU93</f>
        <v>0.18679720279720283</v>
      </c>
      <c r="AV92" s="317"/>
      <c r="AW92" s="317"/>
      <c r="AX92" s="317"/>
      <c r="AY92" s="317"/>
      <c r="AZ92" s="317"/>
      <c r="BA92" s="317"/>
      <c r="BB92" s="123"/>
      <c r="BC92" s="123"/>
      <c r="BD92" s="123"/>
      <c r="BE92" s="123"/>
      <c r="BF92" s="123"/>
      <c r="BG92" s="123"/>
      <c r="BH92" s="123"/>
      <c r="BI92" s="317" t="s">
        <v>1104</v>
      </c>
      <c r="BJ92" s="317">
        <v>1.95</v>
      </c>
      <c r="BK92" s="317"/>
      <c r="BL92" s="317"/>
      <c r="BM92" s="317"/>
      <c r="BN92"/>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row>
    <row r="93" spans="1:168" ht="14.5">
      <c r="A93" s="123"/>
      <c r="B93" s="17"/>
      <c r="C93" s="123"/>
      <c r="D93" s="901" t="s">
        <v>1048</v>
      </c>
      <c r="E93" s="462">
        <v>1</v>
      </c>
      <c r="F93" s="896">
        <v>23</v>
      </c>
      <c r="G93" s="902">
        <f>((2.5-1.5)*7.8*2.39*0.6*365/1.6)*8.3*1*(105-60.9)/0.98/3412</f>
        <v>279.3175470764948</v>
      </c>
      <c r="H93" s="800">
        <f>G93/((7.8*2.39*0.6)/(60*1.6)*365)*0.00371</f>
        <v>2.436726260257914E-2</v>
      </c>
      <c r="I93" s="800">
        <f>((2.5-1.5)*7.8*2.39*0.6*365/1.6)*8.3*1*(105-60.9)/0.8/1000000*10</f>
        <v>11.67463551515625</v>
      </c>
      <c r="J93" s="800" t="s">
        <v>830</v>
      </c>
      <c r="K93" s="475">
        <f>$K$64</f>
        <v>0.34</v>
      </c>
      <c r="L93" s="475">
        <f>$K$65</f>
        <v>0.65999999999999992</v>
      </c>
      <c r="M93" s="475">
        <v>0.5</v>
      </c>
      <c r="N93" s="475">
        <f>E93*G93*K93*M93</f>
        <v>47.48398300300412</v>
      </c>
      <c r="O93" s="800">
        <f>E93*H93*K93*M93</f>
        <v>4.1424346424384544E-3</v>
      </c>
      <c r="P93" s="800">
        <f>E93*I93*L93*M93</f>
        <v>3.8526297200015622</v>
      </c>
      <c r="Q93" s="462" t="s">
        <v>838</v>
      </c>
      <c r="R93" s="462" t="s">
        <v>839</v>
      </c>
      <c r="S93" s="462">
        <v>10</v>
      </c>
      <c r="T93" s="462" t="s">
        <v>1049</v>
      </c>
      <c r="U93" s="123"/>
      <c r="V93" s="123"/>
      <c r="W93" s="123"/>
      <c r="X93" s="123"/>
      <c r="Y93" s="123"/>
      <c r="Z93" s="123"/>
      <c r="AA93" s="123"/>
      <c r="AB93" s="317"/>
      <c r="AC93" s="317">
        <v>0.94</v>
      </c>
      <c r="AD93" s="317"/>
      <c r="AE93" s="317"/>
      <c r="AF93" s="411"/>
      <c r="AG93" s="411"/>
      <c r="AH93" s="411"/>
      <c r="AI93" s="195"/>
      <c r="AJ93" s="195"/>
      <c r="AK93" s="195"/>
      <c r="AL93" s="195"/>
      <c r="AM93" s="195"/>
      <c r="AN93" s="195"/>
      <c r="AO93" s="195"/>
      <c r="AP93" s="195"/>
      <c r="AQ93" s="195"/>
      <c r="AR93" s="195"/>
      <c r="AS93"/>
      <c r="AT93" s="317" t="s">
        <v>1105</v>
      </c>
      <c r="AU93" s="317">
        <f>(AU95/AU103)*((1/AU97)-(1/AU98))*AU102</f>
        <v>0.18679720279720283</v>
      </c>
      <c r="AV93" s="317"/>
      <c r="AW93" s="317"/>
      <c r="AX93" s="317"/>
      <c r="AY93" s="317"/>
      <c r="AZ93" s="317"/>
      <c r="BA93" s="317"/>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row>
    <row r="94" spans="1:168" ht="14.5">
      <c r="A94" s="123"/>
      <c r="B94" s="193"/>
      <c r="C94" s="123"/>
      <c r="D94" s="901" t="s">
        <v>1057</v>
      </c>
      <c r="E94" s="462">
        <v>2</v>
      </c>
      <c r="F94" s="896">
        <f>2*3</f>
        <v>6</v>
      </c>
      <c r="G94" s="902">
        <f>($E$114*$K$68)+($H$114*$K$69)+($F$114*$K$66)+($I$114*$M$69)*11/10</f>
        <v>7.9474498173937285</v>
      </c>
      <c r="H94" s="800">
        <f>G94*$E$127</f>
        <v>1.3510664689569339E-4</v>
      </c>
      <c r="I94" s="800">
        <f>($G$114*$K$67)*11/10</f>
        <v>0.39800434079999997</v>
      </c>
      <c r="J94" s="800" t="s">
        <v>1058</v>
      </c>
      <c r="K94" s="800" t="s">
        <v>1059</v>
      </c>
      <c r="L94" s="800"/>
      <c r="M94" s="475">
        <v>0.3</v>
      </c>
      <c r="N94" s="475">
        <f>E94*G94*M94</f>
        <v>4.7684698904362373</v>
      </c>
      <c r="O94" s="800">
        <f>H94*E94*M94</f>
        <v>8.1063988137416028E-5</v>
      </c>
      <c r="P94" s="800">
        <f>E94*I94*M94</f>
        <v>0.23880260447999996</v>
      </c>
      <c r="Q94" s="462" t="s">
        <v>1106</v>
      </c>
      <c r="R94" s="984" t="s">
        <v>916</v>
      </c>
      <c r="S94" s="462">
        <v>15</v>
      </c>
      <c r="T94" s="462" t="s">
        <v>1061</v>
      </c>
      <c r="U94" s="123"/>
      <c r="V94" s="123"/>
      <c r="W94" s="123"/>
      <c r="X94" s="123"/>
      <c r="Y94" s="123"/>
      <c r="Z94" s="123"/>
      <c r="AA94" s="123"/>
      <c r="AB94" s="317"/>
      <c r="AC94" s="317">
        <v>0.81</v>
      </c>
      <c r="AD94" s="317"/>
      <c r="AE94" s="317"/>
      <c r="AF94" s="411"/>
      <c r="AG94" s="411"/>
      <c r="AH94" s="411"/>
      <c r="AI94" s="195"/>
      <c r="AJ94" s="195"/>
      <c r="AK94" s="195"/>
      <c r="AL94" s="195"/>
      <c r="AM94" s="195"/>
      <c r="AN94" s="195"/>
      <c r="AO94" s="195"/>
      <c r="AP94" s="195"/>
      <c r="AQ94" s="195"/>
      <c r="AR94" s="195"/>
      <c r="AS94"/>
      <c r="AT94" s="317" t="s">
        <v>1107</v>
      </c>
      <c r="AU94" s="317">
        <f>(AU96/AU103)*((1/AU99)-(1/AU100))*AU101</f>
        <v>0.14621538461538411</v>
      </c>
      <c r="AV94" s="317"/>
      <c r="AW94" s="317"/>
      <c r="AX94" s="317"/>
      <c r="AY94" s="317"/>
      <c r="AZ94" s="317"/>
      <c r="BA94" s="317"/>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row>
    <row r="95" spans="1:168" ht="14.5">
      <c r="A95" s="123"/>
      <c r="B95" s="17"/>
      <c r="C95" s="123"/>
      <c r="D95" s="901" t="s">
        <v>1069</v>
      </c>
      <c r="E95" s="462">
        <v>2</v>
      </c>
      <c r="F95" s="896">
        <f>5*2</f>
        <v>10</v>
      </c>
      <c r="G95" s="902">
        <f>($E$115*$K$68)+($H$115*$K$69)+($F$115*$K$66)+($I$115*$M$69)*17/10</f>
        <v>8.9799666216864118</v>
      </c>
      <c r="H95" s="800">
        <f>G95*$E$127</f>
        <v>1.5265943256866901E-4</v>
      </c>
      <c r="I95" s="800">
        <f>($G$115*$K$67)*17/10</f>
        <v>0.61509761759999992</v>
      </c>
      <c r="J95" s="800" t="s">
        <v>1058</v>
      </c>
      <c r="K95" s="800" t="s">
        <v>1059</v>
      </c>
      <c r="L95" s="800"/>
      <c r="M95" s="475">
        <v>0.3</v>
      </c>
      <c r="N95" s="475">
        <f>E95*G95*M95</f>
        <v>5.3879799730118467</v>
      </c>
      <c r="O95" s="800">
        <f>H95*E95*M95</f>
        <v>9.1595659541201404E-5</v>
      </c>
      <c r="P95" s="800">
        <f>E95*I95*M95</f>
        <v>0.36905857055999997</v>
      </c>
      <c r="Q95" s="462" t="s">
        <v>1106</v>
      </c>
      <c r="R95" s="984" t="s">
        <v>916</v>
      </c>
      <c r="S95" s="462">
        <v>15</v>
      </c>
      <c r="T95" s="462" t="s">
        <v>1070</v>
      </c>
      <c r="U95" s="123"/>
      <c r="V95" s="123"/>
      <c r="W95" s="123"/>
      <c r="X95" s="123"/>
      <c r="Y95" s="123"/>
      <c r="Z95" s="123"/>
      <c r="AA95" s="123"/>
      <c r="AB95" s="317"/>
      <c r="AC95" s="317">
        <v>0.64</v>
      </c>
      <c r="AD95" s="317"/>
      <c r="AE95" s="317"/>
      <c r="AF95" s="411"/>
      <c r="AG95" s="411"/>
      <c r="AH95" s="411"/>
      <c r="AI95" s="195"/>
      <c r="AJ95" s="195"/>
      <c r="AK95" s="195"/>
      <c r="AL95" s="195"/>
      <c r="AM95" s="195"/>
      <c r="AN95" s="195"/>
      <c r="AO95" s="195"/>
      <c r="AP95" s="195"/>
      <c r="AQ95" s="195"/>
      <c r="AR95" s="195"/>
      <c r="AS95"/>
      <c r="AT95" s="317" t="s">
        <v>1108</v>
      </c>
      <c r="AU95" s="317">
        <f>AZ81</f>
        <v>36000</v>
      </c>
      <c r="AV95" s="317"/>
      <c r="AW95" s="317"/>
      <c r="AX95" s="317"/>
      <c r="AY95" s="317"/>
      <c r="AZ95" s="317"/>
      <c r="BA95" s="317"/>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row>
    <row r="96" spans="1:168" ht="14.5">
      <c r="A96" s="123"/>
      <c r="B96" s="17"/>
      <c r="C96" s="123"/>
      <c r="D96" s="901" t="s">
        <v>1075</v>
      </c>
      <c r="E96" s="462">
        <v>1</v>
      </c>
      <c r="F96" s="896">
        <v>8</v>
      </c>
      <c r="G96" s="902">
        <f>($E$116*$K$68)+($H$116*$K$69)+($F$116*$K$66)+($I$116*$M$69)*3</f>
        <v>18.413399581742162</v>
      </c>
      <c r="H96" s="800">
        <f>G96*$E$127</f>
        <v>3.1302779288961677E-4</v>
      </c>
      <c r="I96" s="800">
        <f>($G$116*$K$67)*3</f>
        <v>1.7819238240000002</v>
      </c>
      <c r="J96" s="800" t="s">
        <v>1058</v>
      </c>
      <c r="K96" s="800" t="s">
        <v>1059</v>
      </c>
      <c r="L96" s="800"/>
      <c r="M96" s="475">
        <v>0.3</v>
      </c>
      <c r="N96" s="475">
        <f>E96*G96*M96</f>
        <v>5.5240198745226481</v>
      </c>
      <c r="O96" s="800">
        <f>H96*E96*M96</f>
        <v>9.3908337866885033E-5</v>
      </c>
      <c r="P96" s="800">
        <f>E96*I96*M96</f>
        <v>0.53457714720000005</v>
      </c>
      <c r="Q96" s="462" t="s">
        <v>1106</v>
      </c>
      <c r="R96" s="984" t="s">
        <v>916</v>
      </c>
      <c r="S96" s="462">
        <v>15</v>
      </c>
      <c r="T96" s="462" t="s">
        <v>1076</v>
      </c>
      <c r="U96" s="123"/>
      <c r="V96" s="123"/>
      <c r="W96" s="123"/>
      <c r="X96" s="123"/>
      <c r="Y96" s="123"/>
      <c r="Z96" s="123"/>
      <c r="AA96" s="123"/>
      <c r="AB96" s="317"/>
      <c r="AC96" s="317"/>
      <c r="AD96" s="317"/>
      <c r="AE96" s="317"/>
      <c r="AF96" s="411"/>
      <c r="AG96" s="411"/>
      <c r="AH96" s="411"/>
      <c r="AI96" s="195"/>
      <c r="AJ96" s="195"/>
      <c r="AK96" s="195"/>
      <c r="AL96" s="195"/>
      <c r="AM96" s="195"/>
      <c r="AN96" s="195"/>
      <c r="AO96" s="195"/>
      <c r="AP96" s="195"/>
      <c r="AQ96" s="195"/>
      <c r="AR96" s="195"/>
      <c r="AS96"/>
      <c r="AT96" s="317" t="s">
        <v>1046</v>
      </c>
      <c r="AU96" s="317">
        <f>AZ81</f>
        <v>36000</v>
      </c>
      <c r="AV96" s="317"/>
      <c r="AW96" s="317"/>
      <c r="AX96" s="317"/>
      <c r="AY96" s="317"/>
      <c r="AZ96" s="317" t="s">
        <v>1109</v>
      </c>
      <c r="BA96" s="317">
        <v>0.73</v>
      </c>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row>
    <row r="97" spans="1:168" ht="14.5">
      <c r="A97" s="123"/>
      <c r="B97" s="17"/>
      <c r="C97" s="123"/>
      <c r="D97" s="901" t="s">
        <v>1079</v>
      </c>
      <c r="E97" s="462">
        <v>1</v>
      </c>
      <c r="F97" s="896">
        <v>2.5</v>
      </c>
      <c r="G97" s="902">
        <f>8.82*6</f>
        <v>52.92</v>
      </c>
      <c r="H97" s="800">
        <v>7.1000000000000002E-4</v>
      </c>
      <c r="I97" s="800">
        <f>(G97*(0.88/0.6)/(1/3412*100000))</f>
        <v>2.6482579200000007</v>
      </c>
      <c r="J97" s="800" t="s">
        <v>830</v>
      </c>
      <c r="K97" s="475">
        <f>$K$64</f>
        <v>0.34</v>
      </c>
      <c r="L97" s="475">
        <f>$K$65</f>
        <v>0.65999999999999992</v>
      </c>
      <c r="M97" s="475">
        <v>0.3</v>
      </c>
      <c r="N97" s="475">
        <f>E97*G97*K97*M97</f>
        <v>5.3978400000000004</v>
      </c>
      <c r="O97" s="800">
        <f>E97*H97*K97*M97</f>
        <v>7.2420000000000001E-5</v>
      </c>
      <c r="P97" s="800">
        <f>E97*I97*L97*M97</f>
        <v>0.5243550681600001</v>
      </c>
      <c r="Q97" s="462" t="s">
        <v>1080</v>
      </c>
      <c r="R97" s="462" t="s">
        <v>1081</v>
      </c>
      <c r="S97" s="462">
        <v>13</v>
      </c>
      <c r="T97" s="462" t="s">
        <v>1082</v>
      </c>
      <c r="U97" s="123"/>
      <c r="V97" s="123"/>
      <c r="W97" s="123"/>
      <c r="X97" s="123"/>
      <c r="Y97" s="123"/>
      <c r="Z97" s="123"/>
      <c r="AA97" s="123"/>
      <c r="AB97" s="412" t="s">
        <v>1110</v>
      </c>
      <c r="AC97" s="317"/>
      <c r="AD97" s="317"/>
      <c r="AE97" s="317"/>
      <c r="AF97" s="411"/>
      <c r="AG97" s="411"/>
      <c r="AH97" s="411"/>
      <c r="AI97" s="195"/>
      <c r="AJ97" s="195"/>
      <c r="AK97" s="195"/>
      <c r="AL97" s="195"/>
      <c r="AM97" s="195"/>
      <c r="AN97" s="195"/>
      <c r="AO97" s="195"/>
      <c r="AP97" s="195"/>
      <c r="AQ97" s="195"/>
      <c r="AR97" s="195"/>
      <c r="AT97" s="317" t="s">
        <v>1111</v>
      </c>
      <c r="AU97" s="1334">
        <v>11</v>
      </c>
      <c r="AV97" s="317" t="s">
        <v>1112</v>
      </c>
      <c r="AW97" s="317"/>
      <c r="AX97" s="317"/>
      <c r="AY97" s="317"/>
      <c r="AZ97" s="317"/>
      <c r="BA97" s="317">
        <v>0.53</v>
      </c>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row>
    <row r="98" spans="1:168" ht="14.5">
      <c r="A98" s="123"/>
      <c r="B98" s="17"/>
      <c r="C98" s="123"/>
      <c r="D98" s="901" t="s">
        <v>1085</v>
      </c>
      <c r="E98" s="462">
        <v>1</v>
      </c>
      <c r="F98" s="896">
        <v>30</v>
      </c>
      <c r="G98" s="462">
        <v>112.3</v>
      </c>
      <c r="H98" s="800">
        <v>0.01</v>
      </c>
      <c r="I98" s="800">
        <v>0</v>
      </c>
      <c r="J98" s="800" t="s">
        <v>916</v>
      </c>
      <c r="K98" s="475">
        <v>1</v>
      </c>
      <c r="L98" s="475">
        <f>1-K98</f>
        <v>0</v>
      </c>
      <c r="M98" s="475">
        <v>0.45</v>
      </c>
      <c r="N98" s="475">
        <f>E98*G98*M98</f>
        <v>50.534999999999997</v>
      </c>
      <c r="O98" s="800">
        <f>H98*E98*M98</f>
        <v>4.5000000000000005E-3</v>
      </c>
      <c r="P98" s="800">
        <f>E98*I98*L98*M98</f>
        <v>0</v>
      </c>
      <c r="Q98" s="462" t="s">
        <v>1086</v>
      </c>
      <c r="R98" s="462" t="s">
        <v>1087</v>
      </c>
      <c r="S98" s="462">
        <v>5</v>
      </c>
      <c r="T98" s="462" t="s">
        <v>1088</v>
      </c>
      <c r="U98" s="123"/>
      <c r="V98" s="123"/>
      <c r="W98" s="123"/>
      <c r="X98" s="123"/>
      <c r="Y98" s="123"/>
      <c r="Z98" s="123"/>
      <c r="AA98" s="123"/>
      <c r="AB98" s="317"/>
      <c r="AC98" s="317"/>
      <c r="AD98" s="317"/>
      <c r="AE98" s="317"/>
      <c r="AF98" s="411"/>
      <c r="AG98" s="411"/>
      <c r="AH98" s="411"/>
      <c r="AI98" s="195"/>
      <c r="AJ98" s="195"/>
      <c r="AK98" s="195"/>
      <c r="AL98" s="195"/>
      <c r="AM98" s="195"/>
      <c r="AN98" s="195"/>
      <c r="AO98" s="195"/>
      <c r="AP98" s="195"/>
      <c r="AQ98" s="195"/>
      <c r="AR98" s="195"/>
      <c r="AT98" s="317" t="s">
        <v>1113</v>
      </c>
      <c r="AU98" s="1334">
        <v>11.7</v>
      </c>
      <c r="AV98" s="317" t="s">
        <v>1097</v>
      </c>
      <c r="AW98" s="317"/>
      <c r="AX98" s="317"/>
      <c r="AY98" s="317"/>
      <c r="AZ98" s="317"/>
      <c r="BA98" s="317">
        <v>0.94</v>
      </c>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row>
    <row r="99" spans="1:168" ht="14.5">
      <c r="B99" s="17"/>
      <c r="D99" s="198" t="s">
        <v>326</v>
      </c>
      <c r="E99"/>
      <c r="F99"/>
      <c r="G99" s="190"/>
      <c r="H99" s="190"/>
      <c r="N99" s="200">
        <f>SUM(N89:N98)</f>
        <v>133.90842177120174</v>
      </c>
      <c r="O99" s="199">
        <f>SUM(O89:O98)</f>
        <v>9.7171543770638354E-3</v>
      </c>
      <c r="P99" s="199">
        <f>SUM(P89:P98)</f>
        <v>6.7211292917263261</v>
      </c>
      <c r="S99" s="208">
        <f>MROUND(SUMPRODUCT(N89:N98,S89:S98)/SUM(N99),1)</f>
        <v>9</v>
      </c>
      <c r="T99" s="2"/>
      <c r="AB99" s="312"/>
      <c r="AC99" s="312"/>
      <c r="AD99" s="312"/>
      <c r="AE99" s="312"/>
      <c r="AF99" s="312"/>
      <c r="AG99" s="312"/>
      <c r="AH99" s="312"/>
      <c r="AK99" s="3"/>
      <c r="AT99" s="317" t="s">
        <v>999</v>
      </c>
      <c r="AU99" s="317">
        <f>AU74</f>
        <v>7.5</v>
      </c>
      <c r="AV99" s="317"/>
      <c r="AW99" s="317"/>
      <c r="AX99" s="317"/>
      <c r="AY99" s="317"/>
      <c r="AZ99" s="317"/>
      <c r="BA99" s="317">
        <v>0.89</v>
      </c>
    </row>
    <row r="100" spans="1:168" ht="14.5">
      <c r="B100" s="17"/>
      <c r="D100"/>
      <c r="E100"/>
      <c r="F100"/>
      <c r="G100"/>
      <c r="H100"/>
      <c r="T100" s="2"/>
      <c r="AB100" s="312"/>
      <c r="AC100" s="312"/>
      <c r="AD100" s="312"/>
      <c r="AE100" s="312"/>
      <c r="AF100" s="312"/>
      <c r="AG100" s="312"/>
      <c r="AH100" s="312"/>
      <c r="AK100" s="3"/>
      <c r="AT100" s="317" t="s">
        <v>1014</v>
      </c>
      <c r="AU100" s="317">
        <v>7.8</v>
      </c>
      <c r="AV100" s="317"/>
      <c r="AW100" s="317"/>
      <c r="AX100" s="317"/>
      <c r="AY100" s="317"/>
      <c r="AZ100" s="317"/>
      <c r="BA100" s="317">
        <v>0.87</v>
      </c>
    </row>
    <row r="101" spans="1:168" ht="14.5">
      <c r="B101" s="193"/>
      <c r="D101"/>
      <c r="E101"/>
      <c r="F101"/>
      <c r="G101" s="537" t="s">
        <v>1114</v>
      </c>
      <c r="H101" s="462" t="s">
        <v>1115</v>
      </c>
      <c r="I101" s="462" t="s">
        <v>1116</v>
      </c>
      <c r="J101" s="462" t="s">
        <v>1117</v>
      </c>
      <c r="K101" s="803" t="s">
        <v>901</v>
      </c>
      <c r="T101" s="2"/>
      <c r="AB101" s="312"/>
      <c r="AC101" s="312"/>
      <c r="AD101" s="312"/>
      <c r="AE101" s="312"/>
      <c r="AF101" s="312"/>
      <c r="AG101" s="312"/>
      <c r="AH101" s="312"/>
      <c r="AK101" s="3"/>
      <c r="AT101" s="317" t="s">
        <v>1118</v>
      </c>
      <c r="AU101" s="317">
        <f>BA101</f>
        <v>0.79200000000000004</v>
      </c>
      <c r="AV101" s="317"/>
      <c r="AW101" s="317"/>
      <c r="AX101" s="317"/>
      <c r="AY101" s="317"/>
      <c r="AZ101" s="317" t="s">
        <v>1101</v>
      </c>
      <c r="BA101" s="317">
        <f>AVERAGE(BA96:BA100)</f>
        <v>0.79200000000000004</v>
      </c>
    </row>
    <row r="102" spans="1:168" ht="14.5">
      <c r="B102" s="17"/>
      <c r="D102" s="191"/>
      <c r="E102" s="192"/>
      <c r="F102"/>
      <c r="G102" s="462" t="s">
        <v>1021</v>
      </c>
      <c r="H102" s="462">
        <v>1.86</v>
      </c>
      <c r="I102" s="462">
        <v>0.95899999999999996</v>
      </c>
      <c r="J102" s="462">
        <v>1.2410000000000001</v>
      </c>
      <c r="K102" s="462">
        <v>5.8999999999999997E-2</v>
      </c>
      <c r="T102" s="2"/>
      <c r="AB102" s="312"/>
      <c r="AC102" s="312"/>
      <c r="AD102" s="312"/>
      <c r="AE102" s="312"/>
      <c r="AF102" s="312"/>
      <c r="AG102" s="312"/>
      <c r="AH102" s="312"/>
      <c r="AK102" s="3"/>
      <c r="AT102" s="317" t="s">
        <v>1119</v>
      </c>
      <c r="AU102" s="317">
        <f>BA108</f>
        <v>0.95399999999999996</v>
      </c>
      <c r="AV102" s="317"/>
      <c r="AW102" s="317"/>
      <c r="AX102" s="317"/>
      <c r="AY102" s="317"/>
      <c r="AZ102" s="317"/>
      <c r="BA102" s="317"/>
    </row>
    <row r="103" spans="1:168" ht="14.5">
      <c r="B103" s="17"/>
      <c r="D103" s="191"/>
      <c r="E103" s="192"/>
      <c r="F103"/>
      <c r="G103" s="462" t="s">
        <v>1032</v>
      </c>
      <c r="H103" s="462">
        <v>1.86</v>
      </c>
      <c r="I103" s="462">
        <v>0.94699999999999995</v>
      </c>
      <c r="J103" s="462">
        <v>1.264</v>
      </c>
      <c r="K103" s="462">
        <v>5.8999999999999997E-2</v>
      </c>
      <c r="T103" s="2"/>
      <c r="AB103" s="312"/>
      <c r="AC103" s="312"/>
      <c r="AD103" s="312"/>
      <c r="AE103" s="312"/>
      <c r="AF103" s="312"/>
      <c r="AG103" s="312"/>
      <c r="AH103" s="312"/>
      <c r="AK103" s="3"/>
      <c r="AT103" s="317" t="s">
        <v>1009</v>
      </c>
      <c r="AU103" s="317">
        <v>1000</v>
      </c>
      <c r="AV103" s="317"/>
      <c r="AW103" s="317"/>
      <c r="AX103" s="317"/>
      <c r="AY103" s="317"/>
      <c r="AZ103" s="317" t="s">
        <v>1120</v>
      </c>
      <c r="BA103" s="317">
        <v>1.0900000000000001</v>
      </c>
    </row>
    <row r="104" spans="1:168" ht="14.5">
      <c r="B104" s="17"/>
      <c r="G104" s="462" t="s">
        <v>1121</v>
      </c>
      <c r="H104" s="462">
        <v>1.86</v>
      </c>
      <c r="I104" s="462">
        <v>0.91500000000000004</v>
      </c>
      <c r="J104" s="462">
        <v>1.2450000000000001</v>
      </c>
      <c r="K104" s="462">
        <v>5.8999999999999997E-2</v>
      </c>
      <c r="T104" s="2"/>
      <c r="AB104" s="312"/>
      <c r="AC104" s="312"/>
      <c r="AD104" s="312"/>
      <c r="AE104" s="312"/>
      <c r="AF104" s="312"/>
      <c r="AG104" s="312"/>
      <c r="AH104" s="312"/>
      <c r="AK104" s="3"/>
      <c r="AT104" s="317"/>
      <c r="AU104" s="317"/>
      <c r="AV104" s="317"/>
      <c r="AW104" s="317"/>
      <c r="AX104" s="317"/>
      <c r="AY104" s="317"/>
      <c r="AZ104" s="317"/>
      <c r="BA104" s="317">
        <v>0.69</v>
      </c>
    </row>
    <row r="105" spans="1:168" ht="14.5">
      <c r="B105" s="17"/>
      <c r="G105" s="462" t="s">
        <v>1122</v>
      </c>
      <c r="H105" s="462">
        <v>1.86</v>
      </c>
      <c r="I105" s="462">
        <v>0.95599999999999996</v>
      </c>
      <c r="J105" s="462">
        <v>1.266</v>
      </c>
      <c r="K105" s="462">
        <v>5.8999999999999997E-2</v>
      </c>
      <c r="T105" s="2"/>
      <c r="AB105" s="312"/>
      <c r="AC105" s="312"/>
      <c r="AD105" s="312"/>
      <c r="AE105" s="312"/>
      <c r="AF105" s="312"/>
      <c r="AG105" s="312"/>
      <c r="AH105" s="312"/>
      <c r="AK105" s="3"/>
      <c r="AT105" s="317"/>
      <c r="AU105" s="317"/>
      <c r="AV105" s="317"/>
      <c r="AW105" s="317"/>
      <c r="AX105" s="317"/>
      <c r="AY105" s="317"/>
      <c r="AZ105" s="317"/>
      <c r="BA105" s="317">
        <v>0.98</v>
      </c>
    </row>
    <row r="106" spans="1:168" ht="14.5">
      <c r="B106" s="17"/>
      <c r="G106" s="462" t="s">
        <v>1064</v>
      </c>
      <c r="H106" s="462">
        <v>1.86</v>
      </c>
      <c r="I106" s="462">
        <v>0.96299999999999997</v>
      </c>
      <c r="J106" s="462">
        <v>1.2410000000000001</v>
      </c>
      <c r="K106" s="462">
        <v>5.8999999999999997E-2</v>
      </c>
      <c r="T106" s="2"/>
      <c r="AB106" s="312"/>
      <c r="AC106" s="312"/>
      <c r="AD106" s="312"/>
      <c r="AE106" s="312"/>
      <c r="AF106" s="312"/>
      <c r="AG106" s="312"/>
      <c r="AH106" s="312"/>
      <c r="AK106" s="3"/>
      <c r="AT106" s="317"/>
      <c r="AU106" s="317"/>
      <c r="AV106" s="317"/>
      <c r="AW106" s="317"/>
      <c r="AX106" s="317"/>
      <c r="AY106" s="317"/>
      <c r="AZ106" s="317"/>
      <c r="BA106" s="317">
        <v>1.1499999999999999</v>
      </c>
    </row>
    <row r="107" spans="1:168" ht="14.5">
      <c r="B107" s="17"/>
      <c r="G107" s="462" t="s">
        <v>1123</v>
      </c>
      <c r="H107" s="462"/>
      <c r="I107" s="537">
        <f>AVERAGE(I102:I106)</f>
        <v>0.94799999999999984</v>
      </c>
      <c r="J107" s="985">
        <f>AVERAGE(J102:J106)</f>
        <v>1.2513999999999998</v>
      </c>
      <c r="K107" s="803"/>
      <c r="T107" s="2"/>
      <c r="AB107" s="312"/>
      <c r="AC107" s="312"/>
      <c r="AD107" s="312"/>
      <c r="AE107" s="312"/>
      <c r="AF107" s="312"/>
      <c r="AG107" s="312"/>
      <c r="AH107" s="312"/>
      <c r="AK107" s="3"/>
      <c r="AT107" s="317"/>
      <c r="AU107" s="317"/>
      <c r="AV107" s="317"/>
      <c r="AW107" s="317"/>
      <c r="AX107" s="317"/>
      <c r="AY107" s="317"/>
      <c r="AZ107" s="317"/>
      <c r="BA107" s="317">
        <v>0.86</v>
      </c>
    </row>
    <row r="108" spans="1:168" ht="14.5">
      <c r="B108" s="17"/>
      <c r="AB108" s="312"/>
      <c r="AC108" s="312"/>
      <c r="AD108" s="312"/>
      <c r="AE108" s="312"/>
      <c r="AF108" s="312"/>
      <c r="AG108" s="312"/>
      <c r="AH108" s="312"/>
      <c r="AT108" s="317"/>
      <c r="AU108" s="317"/>
      <c r="AV108" s="317"/>
      <c r="AW108" s="317"/>
      <c r="AX108" s="317"/>
      <c r="AY108" s="317"/>
      <c r="AZ108" s="317" t="s">
        <v>1101</v>
      </c>
      <c r="BA108" s="317">
        <f>AVERAGE(BA103:BA107)</f>
        <v>0.95399999999999996</v>
      </c>
    </row>
    <row r="109" spans="1:168" ht="39.5">
      <c r="B109" s="17"/>
      <c r="G109" s="823" t="s">
        <v>136</v>
      </c>
      <c r="H109" s="823" t="s">
        <v>137</v>
      </c>
      <c r="I109" s="692" t="s">
        <v>344</v>
      </c>
      <c r="AB109" s="317"/>
      <c r="AC109" s="317"/>
      <c r="AD109" s="317"/>
      <c r="AE109" s="317"/>
      <c r="AF109" s="312"/>
      <c r="AG109" s="312"/>
      <c r="AH109" s="312"/>
      <c r="BA109"/>
    </row>
    <row r="110" spans="1:168" ht="14.5">
      <c r="B110" s="17"/>
      <c r="G110" s="703" t="s">
        <v>561</v>
      </c>
      <c r="H110" s="703" t="s">
        <v>561</v>
      </c>
      <c r="I110" s="986">
        <f>'WeCare V2'!D382</f>
        <v>-0.83289999999999997</v>
      </c>
      <c r="AB110" s="317"/>
      <c r="AC110" s="317"/>
      <c r="AD110" s="317"/>
      <c r="AE110" s="317"/>
      <c r="AF110" s="312"/>
      <c r="AG110" s="312"/>
      <c r="AH110" s="312"/>
      <c r="BA110"/>
    </row>
    <row r="111" spans="1:168" ht="14.5">
      <c r="B111" s="17"/>
      <c r="G111" s="703" t="s">
        <v>562</v>
      </c>
      <c r="H111" s="703" t="s">
        <v>562</v>
      </c>
      <c r="I111" s="986">
        <f>'WeCare V2'!D384</f>
        <v>-0.38829999999999998</v>
      </c>
      <c r="AC111" s="317"/>
      <c r="AD111" s="317"/>
      <c r="AE111" s="317"/>
      <c r="AF111" s="312"/>
      <c r="AG111" s="312"/>
      <c r="AH111" s="312"/>
      <c r="BA111"/>
    </row>
    <row r="112" spans="1:168" ht="14.5">
      <c r="B112" s="16"/>
      <c r="E112" s="197"/>
      <c r="F112" s="197"/>
      <c r="G112"/>
      <c r="H112"/>
      <c r="I112"/>
      <c r="BA112"/>
    </row>
    <row r="113" spans="2:53" ht="43.5">
      <c r="B113" s="17"/>
      <c r="D113" s="5" t="s">
        <v>1124</v>
      </c>
      <c r="E113" s="538" t="s">
        <v>1125</v>
      </c>
      <c r="F113" s="538" t="s">
        <v>1126</v>
      </c>
      <c r="G113" s="538" t="s">
        <v>1127</v>
      </c>
      <c r="H113" s="538" t="s">
        <v>1128</v>
      </c>
      <c r="I113" s="538" t="s">
        <v>1129</v>
      </c>
      <c r="BA113"/>
    </row>
    <row r="114" spans="2:53" ht="14.5">
      <c r="B114" s="17"/>
      <c r="D114" s="987" t="s">
        <v>1057</v>
      </c>
      <c r="E114" s="988">
        <v>3.452</v>
      </c>
      <c r="F114" s="988">
        <v>17.673999999999999</v>
      </c>
      <c r="G114" s="988">
        <f>G119/$E$126/100000</f>
        <v>0.67004097777777771</v>
      </c>
      <c r="H114" s="988">
        <f>E119/($E$123*1000)</f>
        <v>2.9835142857142856</v>
      </c>
      <c r="I114" s="988">
        <f>G119/($E$125*1000)</f>
        <v>7.354108292682926</v>
      </c>
    </row>
    <row r="115" spans="2:53" ht="14.5">
      <c r="B115" s="17"/>
      <c r="D115" s="987" t="s">
        <v>1069</v>
      </c>
      <c r="E115" s="988">
        <v>3.452</v>
      </c>
      <c r="F115" s="988">
        <v>17.673999999999999</v>
      </c>
      <c r="G115" s="988">
        <f>G120/$E$126/100000</f>
        <v>0.67004097777777771</v>
      </c>
      <c r="H115" s="988">
        <f>E120/($E$123*1000)</f>
        <v>2.9835142857142856</v>
      </c>
      <c r="I115" s="988">
        <f>G120/($E$125*1000)</f>
        <v>7.354108292682926</v>
      </c>
    </row>
    <row r="116" spans="2:53" ht="14.5">
      <c r="B116" s="16"/>
      <c r="D116" s="987" t="s">
        <v>1075</v>
      </c>
      <c r="E116" s="988">
        <v>5.6660000000000004</v>
      </c>
      <c r="F116" s="988">
        <v>29.013999999999999</v>
      </c>
      <c r="G116" s="988">
        <f>G121/$E$126/100000</f>
        <v>1.0999529777777777</v>
      </c>
      <c r="H116" s="988">
        <f>E121/($E$123*1000)</f>
        <v>4.8970428571428561</v>
      </c>
      <c r="I116" s="988">
        <f>G121/($E$125*1000)</f>
        <v>12.072654634146341</v>
      </c>
    </row>
    <row r="117" spans="2:53" ht="14.5">
      <c r="B117" s="17"/>
    </row>
    <row r="118" spans="2:53" ht="14.5">
      <c r="B118" s="17"/>
      <c r="D118" s="2" t="s">
        <v>1130</v>
      </c>
      <c r="E118" s="462" t="s">
        <v>1131</v>
      </c>
      <c r="F118" s="462" t="s">
        <v>1132</v>
      </c>
      <c r="G118" s="462" t="s">
        <v>1133</v>
      </c>
    </row>
    <row r="119" spans="2:53" ht="14.5">
      <c r="B119" s="17"/>
      <c r="D119" s="987" t="s">
        <v>1057</v>
      </c>
      <c r="E119" s="988">
        <f>E114*12.1*1000</f>
        <v>41769.199999999997</v>
      </c>
      <c r="F119" s="988">
        <f>$E$119/($E$123*1000)</f>
        <v>2.9835142857142856</v>
      </c>
      <c r="G119" s="988">
        <f>F114*$E$124*1000</f>
        <v>60303.687999999995</v>
      </c>
      <c r="H119" s="189"/>
      <c r="I119" s="189"/>
    </row>
    <row r="120" spans="2:53" ht="14.5">
      <c r="B120" s="17"/>
      <c r="D120" s="987" t="s">
        <v>1069</v>
      </c>
      <c r="E120" s="988">
        <f>E115*12.1*1000</f>
        <v>41769.199999999997</v>
      </c>
      <c r="F120" s="988">
        <f>$E$120/($E$123*1000)</f>
        <v>2.9835142857142856</v>
      </c>
      <c r="G120" s="988">
        <f>F115*$E$124*1000</f>
        <v>60303.687999999995</v>
      </c>
      <c r="H120" s="189"/>
      <c r="I120" s="189"/>
    </row>
    <row r="121" spans="2:53" ht="14.5">
      <c r="B121" s="17"/>
      <c r="D121" s="987" t="s">
        <v>1075</v>
      </c>
      <c r="E121" s="988">
        <f>E116*12.1*1000</f>
        <v>68558.599999999991</v>
      </c>
      <c r="F121" s="988">
        <f>$E$121/($E$123*1000)</f>
        <v>4.8970428571428561</v>
      </c>
      <c r="G121" s="988">
        <f>F116*$E$124*1000</f>
        <v>98995.767999999996</v>
      </c>
      <c r="H121" s="189"/>
      <c r="I121" s="189"/>
    </row>
    <row r="122" spans="2:53" ht="14.5">
      <c r="B122" s="17"/>
    </row>
    <row r="123" spans="2:53" ht="14.5">
      <c r="B123" s="17"/>
      <c r="D123" s="462" t="s">
        <v>1134</v>
      </c>
      <c r="E123" s="462">
        <v>14</v>
      </c>
    </row>
    <row r="124" spans="2:53" ht="14.5">
      <c r="D124" s="462" t="s">
        <v>1135</v>
      </c>
      <c r="E124" s="462">
        <f>1*3.412</f>
        <v>3.4119999999999999</v>
      </c>
    </row>
    <row r="125" spans="2:53" ht="14.5">
      <c r="D125" s="462" t="s">
        <v>1136</v>
      </c>
      <c r="E125" s="462">
        <v>8.1999999999999993</v>
      </c>
      <c r="F125"/>
    </row>
    <row r="126" spans="2:53" ht="14.5">
      <c r="D126" s="462" t="s">
        <v>1137</v>
      </c>
      <c r="E126" s="462">
        <v>0.9</v>
      </c>
    </row>
    <row r="127" spans="2:53" ht="14.5">
      <c r="D127" s="462" t="s">
        <v>1138</v>
      </c>
      <c r="E127" s="462">
        <v>1.7E-5</v>
      </c>
    </row>
    <row r="129" spans="4:4" ht="14.5">
      <c r="D129" t="s">
        <v>1139</v>
      </c>
    </row>
    <row r="152" spans="4:4">
      <c r="D152" s="14"/>
    </row>
    <row r="153" spans="4:4">
      <c r="D153" s="14"/>
    </row>
    <row r="154" spans="4:4">
      <c r="D154" s="14"/>
    </row>
    <row r="155" spans="4:4">
      <c r="D155" s="14"/>
    </row>
    <row r="156" spans="4:4">
      <c r="D156" s="14"/>
    </row>
    <row r="157" spans="4:4">
      <c r="D157" s="14"/>
    </row>
    <row r="158" spans="4:4">
      <c r="D158" s="318"/>
    </row>
    <row r="159" spans="4:4">
      <c r="D159" s="318"/>
    </row>
    <row r="160" spans="4:4">
      <c r="D160" s="318"/>
    </row>
    <row r="161" spans="4:5">
      <c r="D161" s="318"/>
    </row>
    <row r="162" spans="4:5">
      <c r="D162" s="318"/>
    </row>
    <row r="163" spans="4:5">
      <c r="D163" s="318"/>
    </row>
    <row r="165" spans="4:5">
      <c r="D165" s="14"/>
    </row>
    <row r="166" spans="4:5">
      <c r="D166" s="14"/>
    </row>
    <row r="167" spans="4:5">
      <c r="D167" s="14"/>
    </row>
    <row r="168" spans="4:5">
      <c r="D168" s="14"/>
    </row>
    <row r="170" spans="4:5">
      <c r="D170" s="14"/>
    </row>
    <row r="171" spans="4:5" ht="14.5">
      <c r="D171" s="14"/>
      <c r="E171"/>
    </row>
    <row r="172" spans="4:5" ht="14.5">
      <c r="D172" s="14"/>
      <c r="E172"/>
    </row>
  </sheetData>
  <autoFilter ref="A5:ER5" xr:uid="{00000000-0009-0000-0000-000008000000}"/>
  <mergeCells count="14">
    <mergeCell ref="EO2:EU2"/>
    <mergeCell ref="EV4:FC4"/>
    <mergeCell ref="EH2:EK2"/>
    <mergeCell ref="F4:P4"/>
    <mergeCell ref="Q4:T4"/>
    <mergeCell ref="U4:AG4"/>
    <mergeCell ref="AK4:AX4"/>
    <mergeCell ref="AZ4:BA4"/>
    <mergeCell ref="BB2:BS2"/>
    <mergeCell ref="CR2:CU2"/>
    <mergeCell ref="CY2:DP2"/>
    <mergeCell ref="EA2:ED2"/>
    <mergeCell ref="CD2:CJ2"/>
    <mergeCell ref="CK2:CQ2"/>
  </mergeCells>
  <dataValidations disablePrompts="1" count="1">
    <dataValidation type="list" allowBlank="1" showInputMessage="1" showErrorMessage="1" sqref="AS21:AU34 AS6:AU19 AS36:AU49" xr:uid="{DECE2A81-B86C-4595-9C4A-7E2994F90D20}">
      <formula1>#REF!</formula1>
    </dataValidation>
  </dataValidations>
  <hyperlinks>
    <hyperlink ref="T80" r:id="rId1" xr:uid="{23F2A671-E1A6-410C-8E9A-9BAF17D036A6}"/>
    <hyperlink ref="T93" r:id="rId2" xr:uid="{5A644128-7DD0-4EC4-90F3-C61B18FFFFB7}"/>
    <hyperlink ref="AB97" r:id="rId3" xr:uid="{6054F494-DA5C-4A43-87FD-A9F133CD93E8}"/>
  </hyperlinks>
  <pageMargins left="0.7" right="0.7" top="0.75" bottom="0.75" header="0.3" footer="0.3"/>
  <pageSetup orientation="portrait" r:id="rId4"/>
  <headerFooter>
    <oddFooter>&amp;L&amp;1#&amp;"Calibri"&amp;14&amp;K000000Business Use</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F76E-3F76-4B2F-9846-BB789C918574}">
  <sheetPr>
    <tabColor theme="5"/>
  </sheetPr>
  <dimension ref="A1:FZ82"/>
  <sheetViews>
    <sheetView zoomScale="85" zoomScaleNormal="85" workbookViewId="0">
      <selection activeCell="L61" sqref="L61"/>
    </sheetView>
  </sheetViews>
  <sheetFormatPr defaultColWidth="9.1796875" defaultRowHeight="13"/>
  <cols>
    <col min="1" max="1" width="9.1796875" style="2" customWidth="1"/>
    <col min="2" max="2" width="55" style="2" customWidth="1"/>
    <col min="3" max="3" width="34.453125" style="2" bestFit="1" customWidth="1"/>
    <col min="4" max="4" width="47.453125" style="2" customWidth="1"/>
    <col min="5" max="5" width="21.1796875" style="2" customWidth="1"/>
    <col min="6" max="6" width="12.54296875" style="2" customWidth="1"/>
    <col min="7" max="7" width="12.453125" style="2" customWidth="1"/>
    <col min="8" max="8" width="11.81640625" style="2" customWidth="1"/>
    <col min="9" max="9" width="11.54296875" style="2" customWidth="1"/>
    <col min="10" max="10" width="21.26953125" style="2" customWidth="1"/>
    <col min="11" max="11" width="15.453125" style="2" customWidth="1"/>
    <col min="12" max="12" width="35" style="120" customWidth="1"/>
    <col min="13" max="13" width="26.7265625" style="2" customWidth="1"/>
    <col min="14" max="14" width="15" style="2" customWidth="1"/>
    <col min="15" max="15" width="10.7265625" style="2" customWidth="1"/>
    <col min="16" max="16" width="16.453125" style="2" customWidth="1"/>
    <col min="17" max="17" width="26.26953125" style="2" customWidth="1"/>
    <col min="18" max="18" width="18.54296875" style="2" customWidth="1"/>
    <col min="19" max="19" width="12.1796875" style="2" customWidth="1"/>
    <col min="20" max="20" width="29.453125" style="357" customWidth="1"/>
    <col min="21" max="22" width="10.81640625" style="3" customWidth="1"/>
    <col min="23" max="30" width="10.1796875" style="3" customWidth="1"/>
    <col min="31" max="38" width="14.453125" style="2" customWidth="1"/>
    <col min="39" max="39" width="20.81640625" style="2" customWidth="1"/>
    <col min="40" max="40" width="19.26953125" style="2" customWidth="1"/>
    <col min="41" max="41" width="16.453125" style="2" customWidth="1"/>
    <col min="42" max="43" width="12" style="2" customWidth="1"/>
    <col min="44" max="44" width="86.1796875" style="120" customWidth="1"/>
    <col min="45" max="47" width="12" style="2" customWidth="1"/>
    <col min="48" max="50" width="17.81640625" style="2" customWidth="1"/>
    <col min="51" max="54" width="15.7265625" style="2" customWidth="1"/>
    <col min="55" max="61" width="12" style="2" customWidth="1"/>
    <col min="62" max="75" width="11.7265625" style="2" customWidth="1"/>
    <col min="76" max="153" width="15.54296875" style="2" customWidth="1"/>
    <col min="154" max="16384" width="9.1796875" style="2"/>
  </cols>
  <sheetData>
    <row r="1" spans="1:162" ht="15" thickBot="1">
      <c r="A1" t="str">
        <f>A3&amp;"_"&amp;A4&amp;"_"&amp;A5</f>
        <v>Merged  together in Business Rebates. (Small business audit and midstream lighting). Modeled separately for flexibility. _Measure Details_Measure ID</v>
      </c>
      <c r="B1" t="str">
        <f t="shared" ref="B1:BW1" si="0">B3&amp;"_"&amp;B4&amp;"_"&amp;B5</f>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s="65"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s="65" t="str">
        <f t="shared" si="0"/>
        <v>__Energy Savings Source</v>
      </c>
      <c r="U1" t="str">
        <f t="shared" si="0"/>
        <v>_Participation Assumptions_Escalation Rate</v>
      </c>
      <c r="V1" t="str">
        <f t="shared" si="0"/>
        <v>__Number of Unit Per Participant</v>
      </c>
      <c r="W1" t="str">
        <f>W3&amp;"_"&amp;W4&amp;"_"&amp;W5</f>
        <v>__Projected 2023</v>
      </c>
      <c r="X1" t="str">
        <f t="shared" si="0"/>
        <v>__Participation 2024</v>
      </c>
      <c r="Y1" t="str">
        <f t="shared" si="0"/>
        <v>__Participation 2025</v>
      </c>
      <c r="Z1" t="str">
        <f t="shared" si="0"/>
        <v>__Participation 2026</v>
      </c>
      <c r="AA1" t="str">
        <f t="shared" si="0"/>
        <v>__Participation 2027</v>
      </c>
      <c r="AB1" t="str">
        <f>AB3&amp;"_"&amp;AB4&amp;"_"&amp;AB5</f>
        <v>__Participation 2028</v>
      </c>
      <c r="AC1" t="str">
        <f t="shared" si="0"/>
        <v>__Participation 2029</v>
      </c>
      <c r="AD1" t="str">
        <f t="shared" si="0"/>
        <v>__Participation 2030</v>
      </c>
      <c r="AE1" t="str">
        <f t="shared" si="0"/>
        <v>_Modeling Measure-level Inputs_Fuel Type</v>
      </c>
      <c r="AF1" t="str">
        <f t="shared" si="0"/>
        <v>__Sector</v>
      </c>
      <c r="AG1" t="str">
        <f t="shared" si="0"/>
        <v>__Segment</v>
      </c>
      <c r="AH1" t="str">
        <f t="shared" si="0"/>
        <v>__Enduse</v>
      </c>
      <c r="AI1" t="str">
        <f t="shared" si="0"/>
        <v>__Construction Type</v>
      </c>
      <c r="AJ1" t="str">
        <f t="shared" si="0"/>
        <v>__Potential Study Measure Name</v>
      </c>
      <c r="AK1" t="str">
        <f t="shared" si="0"/>
        <v>__Potential Study Measure Description</v>
      </c>
      <c r="AL1" t="str">
        <f t="shared" si="0"/>
        <v>__Potential Study Baseline Description</v>
      </c>
      <c r="AM1" t="str">
        <f t="shared" si="0"/>
        <v>__Electric Load Shape</v>
      </c>
      <c r="AN1" t="str">
        <f t="shared" si="0"/>
        <v>__Natural Gas Load Shape</v>
      </c>
      <c r="AO1" t="str">
        <f t="shared" si="0"/>
        <v>__Customer Rate Class</v>
      </c>
      <c r="AP1" t="str">
        <f t="shared" si="0"/>
        <v>__Measure Life</v>
      </c>
      <c r="AQ1" t="str">
        <f t="shared" si="0"/>
        <v>__Baseline Life</v>
      </c>
      <c r="AR1" s="65" t="str">
        <f t="shared" si="0"/>
        <v>__Life Source</v>
      </c>
      <c r="AS1" t="str">
        <f t="shared" si="0"/>
        <v>_Measure Tier Share_Tier Share</v>
      </c>
      <c r="AT1" t="str">
        <f t="shared" si="0"/>
        <v>_Measure Fuel Weights_Electric Share</v>
      </c>
      <c r="AU1" t="str">
        <f t="shared" si="0"/>
        <v>__Natural Gas Share</v>
      </c>
      <c r="AV1" t="str">
        <f t="shared" si="0"/>
        <v>Per Unit_Incremental Costs_2024</v>
      </c>
      <c r="AW1" t="str">
        <f>AW3&amp;"_"&amp;AW4&amp;"_"&amp;AW5</f>
        <v>Per Unit_Incremental Costs_2025</v>
      </c>
      <c r="AX1" t="str">
        <f t="shared" si="0"/>
        <v>Per Unit_Incremental Costs_2026</v>
      </c>
      <c r="AY1" t="str">
        <f t="shared" si="0"/>
        <v>Per Unit_Incremental Costs_2027</v>
      </c>
      <c r="AZ1" t="str">
        <f t="shared" si="0"/>
        <v>Per Unit_Incremental Costs_2028</v>
      </c>
      <c r="BA1" t="str">
        <f t="shared" si="0"/>
        <v>Per Unit_Incremental Costs_2029</v>
      </c>
      <c r="BB1" t="str">
        <f t="shared" si="0"/>
        <v>Per Unit_Incremental Costs_2030</v>
      </c>
      <c r="BC1" t="str">
        <f t="shared" si="0"/>
        <v>Per Unit_Incremental Annual O&amp;M_2024</v>
      </c>
      <c r="BD1" t="str">
        <f t="shared" si="0"/>
        <v>Per Unit_Incremental Annual O&amp;M_2025</v>
      </c>
      <c r="BE1" t="str">
        <f t="shared" si="0"/>
        <v>Per Unit_Incremental Annual O&amp;M_2026</v>
      </c>
      <c r="BF1" t="str">
        <f t="shared" si="0"/>
        <v>Per Unit_Incremental Annual O&amp;M_2027</v>
      </c>
      <c r="BG1" t="str">
        <f t="shared" si="0"/>
        <v>Per Unit_Incremental Annual O&amp;M_2028</v>
      </c>
      <c r="BH1" t="str">
        <f t="shared" si="0"/>
        <v>Per Unit_Incremental Annual O&amp;M_2029</v>
      </c>
      <c r="BI1" t="str">
        <f t="shared" si="0"/>
        <v>Per Unit_Incremental Annual O&amp;M_2030</v>
      </c>
      <c r="BJ1" t="str">
        <f t="shared" si="0"/>
        <v>Per Unit_Customer &amp; Dealer Incentives_2024</v>
      </c>
      <c r="BK1" t="str">
        <f t="shared" si="0"/>
        <v>Per Unit_Customer &amp; Dealer Incentives_2025</v>
      </c>
      <c r="BL1" t="str">
        <f t="shared" si="0"/>
        <v>Per Unit_Customer &amp; Dealer Incentives_2026</v>
      </c>
      <c r="BM1" t="str">
        <f t="shared" si="0"/>
        <v>Per Unit_Customer &amp; Dealer Incentives_2027</v>
      </c>
      <c r="BN1" t="str">
        <f t="shared" si="0"/>
        <v>Per Unit_Customer &amp; Dealer Incentives_2028</v>
      </c>
      <c r="BO1" t="str">
        <f t="shared" si="0"/>
        <v>Per Unit_Customer &amp; Dealer Incentives_2029</v>
      </c>
      <c r="BP1" t="str">
        <f t="shared" si="0"/>
        <v>Per Unit_Customer &amp; Dealer Incentives_2030</v>
      </c>
      <c r="BQ1" t="str">
        <f t="shared" si="0"/>
        <v>Per Unit_Implementation Cost_2024</v>
      </c>
      <c r="BR1" t="str">
        <f t="shared" si="0"/>
        <v>Per Unit_Implementation Cost_2025</v>
      </c>
      <c r="BS1" t="str">
        <f t="shared" si="0"/>
        <v>Per Unit_Implementation Cost_2026</v>
      </c>
      <c r="BT1" t="str">
        <f t="shared" si="0"/>
        <v>Per Unit_Implementation Cost_2027</v>
      </c>
      <c r="BU1" t="str">
        <f t="shared" si="0"/>
        <v>Per Unit_Implementation Cost_2028</v>
      </c>
      <c r="BV1" t="str">
        <f t="shared" si="0"/>
        <v>Per Unit_Implementation Cost_2029</v>
      </c>
      <c r="BW1" t="str">
        <f t="shared" si="0"/>
        <v>Per Unit_Implementation Cost_2030</v>
      </c>
      <c r="BX1" t="str">
        <f t="shared" ref="BX1:EW1" si="1">BX3&amp;"_"&amp;BX4&amp;"_"&amp;BX5</f>
        <v>Per Unit_kWh _2024</v>
      </c>
      <c r="BY1" t="str">
        <f t="shared" si="1"/>
        <v>Per Unit_kWh _2025</v>
      </c>
      <c r="BZ1" t="str">
        <f t="shared" si="1"/>
        <v>Per Unit_kWh _2026</v>
      </c>
      <c r="CA1" t="str">
        <f t="shared" si="1"/>
        <v>Per Unit_kWh _2027</v>
      </c>
      <c r="CB1" t="str">
        <f t="shared" si="1"/>
        <v>Per Unit_kWh _2028</v>
      </c>
      <c r="CC1" t="str">
        <f t="shared" si="1"/>
        <v>Per Unit_kWh _2029</v>
      </c>
      <c r="CD1" t="str">
        <f t="shared" si="1"/>
        <v>Per Unit_kWh _2030</v>
      </c>
      <c r="CE1" t="str">
        <f t="shared" si="1"/>
        <v>Per Unit_kW_2024</v>
      </c>
      <c r="CF1" t="str">
        <f t="shared" si="1"/>
        <v>Per Unit_kW_2025</v>
      </c>
      <c r="CG1" t="str">
        <f t="shared" si="1"/>
        <v>Per Unit_kW_2026</v>
      </c>
      <c r="CH1" t="str">
        <f t="shared" si="1"/>
        <v>Per Unit_kW_2027</v>
      </c>
      <c r="CI1" t="str">
        <f t="shared" si="1"/>
        <v>Per Unit_kW_2028</v>
      </c>
      <c r="CJ1" t="str">
        <f t="shared" si="1"/>
        <v>Per Unit_kW_2029</v>
      </c>
      <c r="CK1" t="str">
        <f t="shared" si="1"/>
        <v>Per Unit_kW_2030</v>
      </c>
      <c r="CL1" t="str">
        <f t="shared" si="1"/>
        <v>Per Unit_Therms_2024</v>
      </c>
      <c r="CM1" t="str">
        <f t="shared" si="1"/>
        <v>Per Unit_Therms_2025</v>
      </c>
      <c r="CN1" t="str">
        <f t="shared" si="1"/>
        <v>Per Unit_Therms_2026</v>
      </c>
      <c r="CO1" t="str">
        <f t="shared" si="1"/>
        <v>Per Unit_Therms_2027</v>
      </c>
      <c r="CP1" t="str">
        <f t="shared" si="1"/>
        <v>Per Unit_Therms_2028</v>
      </c>
      <c r="CQ1" t="str">
        <f t="shared" si="1"/>
        <v>Per Unit_Therms_2029</v>
      </c>
      <c r="CR1" t="str">
        <f t="shared" si="1"/>
        <v>Per Unit_Therms_2030</v>
      </c>
      <c r="CS1" t="str">
        <f t="shared" si="1"/>
        <v>Program_Incremental Costs_2024</v>
      </c>
      <c r="CT1" t="str">
        <f t="shared" si="1"/>
        <v>Program_Incremental Costs_2025</v>
      </c>
      <c r="CU1" t="str">
        <f t="shared" si="1"/>
        <v>Program_Incremental Costs_2026</v>
      </c>
      <c r="CV1" t="str">
        <f t="shared" si="1"/>
        <v>Program_Incremental Costs_2027</v>
      </c>
      <c r="CW1" t="str">
        <f t="shared" si="1"/>
        <v>Program_Incremental Costs_2028</v>
      </c>
      <c r="CX1" t="str">
        <f t="shared" si="1"/>
        <v>Program_Incremental Costs_2029</v>
      </c>
      <c r="CY1" t="str">
        <f t="shared" si="1"/>
        <v>Program_Incremental Costs_2030</v>
      </c>
      <c r="CZ1" t="str">
        <f t="shared" si="1"/>
        <v>Program_Incremental Annual O&amp;M_2024</v>
      </c>
      <c r="DA1" t="str">
        <f t="shared" si="1"/>
        <v>Program_Incremental Annual O&amp;M_2025</v>
      </c>
      <c r="DB1" t="str">
        <f t="shared" si="1"/>
        <v>Program_Incremental Annual O&amp;M_2026</v>
      </c>
      <c r="DC1" t="str">
        <f t="shared" si="1"/>
        <v>Program_Incremental Annual O&amp;M_2027</v>
      </c>
      <c r="DD1" t="str">
        <f t="shared" si="1"/>
        <v>Program_Incremental Annual O&amp;M_2028</v>
      </c>
      <c r="DE1" t="str">
        <f t="shared" si="1"/>
        <v>Program_Incremental Annual O&amp;M_2029</v>
      </c>
      <c r="DF1" t="str">
        <f t="shared" si="1"/>
        <v>Program_Incremental Annual O&amp;M_2030</v>
      </c>
      <c r="DG1" t="str">
        <f t="shared" si="1"/>
        <v>Program_Customer &amp; Dealer Incentives_2024</v>
      </c>
      <c r="DH1" t="str">
        <f t="shared" si="1"/>
        <v>Program_Customer &amp; Dealer Incentives_2025</v>
      </c>
      <c r="DI1" t="str">
        <f t="shared" si="1"/>
        <v>Program_Customer &amp; Dealer Incentives_2026</v>
      </c>
      <c r="DJ1" t="str">
        <f t="shared" si="1"/>
        <v>Program_Customer &amp; Dealer Incentives_2027</v>
      </c>
      <c r="DK1" t="str">
        <f t="shared" si="1"/>
        <v>Program_Customer &amp; Dealer Incentives_2028</v>
      </c>
      <c r="DL1" t="str">
        <f t="shared" si="1"/>
        <v>Program_Customer &amp; Dealer Incentives_2029</v>
      </c>
      <c r="DM1" t="str">
        <f t="shared" si="1"/>
        <v>Program_Customer &amp; Dealer Incentives_2030</v>
      </c>
      <c r="DN1" t="str">
        <f t="shared" si="1"/>
        <v>Program_Implementation Costs_2024</v>
      </c>
      <c r="DO1" t="str">
        <f t="shared" si="1"/>
        <v>Program_Implementation Costs_2025</v>
      </c>
      <c r="DP1" t="str">
        <f t="shared" si="1"/>
        <v>Program_Implementation Costs_2026</v>
      </c>
      <c r="DQ1" t="str">
        <f t="shared" si="1"/>
        <v>Program_Implementation Costs_2027</v>
      </c>
      <c r="DR1" t="str">
        <f t="shared" si="1"/>
        <v>Program_Implementation Costs_2028</v>
      </c>
      <c r="DS1" t="str">
        <f t="shared" si="1"/>
        <v>Program_Implementation Costs_2029</v>
      </c>
      <c r="DT1" t="str">
        <f t="shared" si="1"/>
        <v>Program_Implementation Costs_2030</v>
      </c>
      <c r="DU1" t="str">
        <f t="shared" si="1"/>
        <v>Program_kWh _2024</v>
      </c>
      <c r="DV1" t="str">
        <f t="shared" si="1"/>
        <v>Program_kWh _2025</v>
      </c>
      <c r="DW1" t="str">
        <f t="shared" si="1"/>
        <v>Program_kWh _2026</v>
      </c>
      <c r="DX1" t="str">
        <f t="shared" si="1"/>
        <v>Program_kWh _2027</v>
      </c>
      <c r="DY1" t="str">
        <f t="shared" si="1"/>
        <v>Program_kWh _2028</v>
      </c>
      <c r="DZ1" t="str">
        <f t="shared" si="1"/>
        <v>Program_kWh _2029</v>
      </c>
      <c r="EA1" t="str">
        <f t="shared" si="1"/>
        <v>Program_kWh _2030</v>
      </c>
      <c r="EB1" t="str">
        <f t="shared" si="1"/>
        <v>Program_kW_2024</v>
      </c>
      <c r="EC1" t="str">
        <f t="shared" si="1"/>
        <v>Program_kW_2025</v>
      </c>
      <c r="ED1" t="str">
        <f t="shared" si="1"/>
        <v>Program_kW_2026</v>
      </c>
      <c r="EE1" t="str">
        <f t="shared" si="1"/>
        <v>Program_kW_2027</v>
      </c>
      <c r="EF1" t="str">
        <f t="shared" si="1"/>
        <v>Program_kW_2028</v>
      </c>
      <c r="EG1" t="str">
        <f t="shared" si="1"/>
        <v>Program_kW_2029</v>
      </c>
      <c r="EH1" t="str">
        <f t="shared" si="1"/>
        <v>Program_kW_2030</v>
      </c>
      <c r="EI1" t="str">
        <f t="shared" si="1"/>
        <v>Program_Therms_2024</v>
      </c>
      <c r="EJ1" t="str">
        <f t="shared" si="1"/>
        <v>Program_Therms_2025</v>
      </c>
      <c r="EK1" t="str">
        <f t="shared" si="1"/>
        <v>Program_Therms_2026</v>
      </c>
      <c r="EL1" t="str">
        <f t="shared" si="1"/>
        <v>Program_Therms_2027</v>
      </c>
      <c r="EM1" t="str">
        <f t="shared" si="1"/>
        <v>Program_Therms_2028</v>
      </c>
      <c r="EN1" t="str">
        <f t="shared" si="1"/>
        <v>Program_Therms_2029</v>
      </c>
      <c r="EO1" t="str">
        <f t="shared" si="1"/>
        <v>Program_Therms_2030</v>
      </c>
      <c r="EP1" t="str">
        <f>EP3&amp;"_"&amp;EP4&amp;"_"&amp;EP5</f>
        <v>_Total Plan Summary 2024-2030_Participation</v>
      </c>
      <c r="EQ1" t="str">
        <f>EQ3&amp;"_"&amp;EQ4&amp;"_"&amp;EQ5</f>
        <v>__Incremental Costs ($)</v>
      </c>
      <c r="ER1" t="str">
        <f t="shared" si="1"/>
        <v>__Incremental Annual O&amp;M ($)</v>
      </c>
      <c r="ES1" t="str">
        <f t="shared" si="1"/>
        <v>__Customer &amp; Dealer Incentives ($)</v>
      </c>
      <c r="ET1" t="str">
        <f t="shared" si="1"/>
        <v>__Implementation Costs ($)</v>
      </c>
      <c r="EU1" t="str">
        <f t="shared" si="1"/>
        <v>__Electric kWh  Benefits</v>
      </c>
      <c r="EV1" t="str">
        <f t="shared" si="1"/>
        <v>__Electric kW Peak Demand Benefits</v>
      </c>
      <c r="EW1" t="str">
        <f t="shared" si="1"/>
        <v>__Natural Gas Therms Benefits</v>
      </c>
    </row>
    <row r="2" spans="1:162" s="5" customFormat="1" ht="16" thickBot="1">
      <c r="A2" s="1" t="s">
        <v>64</v>
      </c>
      <c r="B2" s="4"/>
      <c r="C2" s="4"/>
      <c r="L2" s="358"/>
      <c r="T2" s="358"/>
      <c r="U2" s="6"/>
      <c r="V2" s="6"/>
      <c r="W2" s="6"/>
      <c r="X2" s="6"/>
      <c r="Y2" s="6"/>
      <c r="Z2" s="6"/>
      <c r="AA2" s="6"/>
      <c r="AB2" s="6"/>
      <c r="AC2" s="6"/>
      <c r="AD2" s="6"/>
      <c r="AE2" s="6"/>
      <c r="AF2" s="6"/>
      <c r="AG2" s="6"/>
      <c r="AH2" s="7"/>
      <c r="AI2" s="7"/>
      <c r="AJ2" s="7"/>
      <c r="AK2" s="7"/>
      <c r="AL2" s="7"/>
      <c r="AM2" s="7"/>
      <c r="AN2" s="7"/>
      <c r="AO2" s="7"/>
      <c r="AR2" s="358"/>
      <c r="AV2" s="1384" t="s">
        <v>327</v>
      </c>
      <c r="AW2" s="1385"/>
      <c r="AX2" s="1385"/>
      <c r="AY2" s="1385"/>
      <c r="AZ2" s="1385"/>
      <c r="BA2" s="1385"/>
      <c r="BB2" s="1385"/>
      <c r="BC2" s="1385"/>
      <c r="BD2" s="1385"/>
      <c r="BE2" s="1385"/>
      <c r="BF2" s="1385"/>
      <c r="BG2" s="1385"/>
      <c r="BH2" s="1385"/>
      <c r="BI2" s="1385"/>
      <c r="BJ2" s="1385"/>
      <c r="BK2" s="1385"/>
      <c r="BL2" s="1385"/>
      <c r="BM2" s="1385"/>
      <c r="BN2" s="1385"/>
      <c r="BO2" s="1385"/>
      <c r="BP2" s="1385"/>
      <c r="BQ2" s="1385"/>
      <c r="BR2" s="1385"/>
      <c r="BS2" s="1385"/>
      <c r="BT2" s="1385"/>
      <c r="BU2" s="1385"/>
      <c r="BV2" s="1385"/>
      <c r="BW2" s="1386"/>
      <c r="BX2" s="1381" t="s">
        <v>328</v>
      </c>
      <c r="BY2" s="1382"/>
      <c r="BZ2" s="1382"/>
      <c r="CA2" s="1382"/>
      <c r="CB2" s="1382"/>
      <c r="CC2" s="1382"/>
      <c r="CD2" s="1383"/>
      <c r="CE2" s="1381" t="s">
        <v>329</v>
      </c>
      <c r="CF2" s="1382"/>
      <c r="CG2" s="1382"/>
      <c r="CH2" s="1382"/>
      <c r="CI2" s="1382"/>
      <c r="CJ2" s="1382"/>
      <c r="CK2" s="1383"/>
      <c r="CL2" s="1381" t="s">
        <v>330</v>
      </c>
      <c r="CM2" s="1382"/>
      <c r="CN2" s="1382"/>
      <c r="CO2" s="1382"/>
      <c r="CP2" s="1382"/>
      <c r="CQ2" s="1382"/>
      <c r="CR2" s="1383"/>
      <c r="CS2" s="1384" t="s">
        <v>327</v>
      </c>
      <c r="CT2" s="1385"/>
      <c r="CU2" s="1385"/>
      <c r="CV2" s="1385"/>
      <c r="CW2" s="1385"/>
      <c r="CX2" s="1385"/>
      <c r="CY2" s="1385"/>
      <c r="CZ2" s="1385"/>
      <c r="DA2" s="1385"/>
      <c r="DB2" s="1385"/>
      <c r="DC2" s="1385"/>
      <c r="DD2" s="1385"/>
      <c r="DE2" s="1385"/>
      <c r="DF2" s="1385"/>
      <c r="DG2" s="1385"/>
      <c r="DH2" s="1385"/>
      <c r="DI2" s="1385"/>
      <c r="DJ2" s="1385"/>
      <c r="DK2" s="1385"/>
      <c r="DL2" s="1385"/>
      <c r="DM2" s="1385"/>
      <c r="DN2" s="1385"/>
      <c r="DO2" s="1385"/>
      <c r="DP2" s="1385"/>
      <c r="DQ2" s="1385"/>
      <c r="DR2" s="1385"/>
      <c r="DS2" s="1385"/>
      <c r="DT2" s="1386"/>
      <c r="DU2" s="1381" t="s">
        <v>328</v>
      </c>
      <c r="DV2" s="1382"/>
      <c r="DW2" s="1382"/>
      <c r="DX2" s="1382"/>
      <c r="DY2" s="1382"/>
      <c r="DZ2" s="1382"/>
      <c r="EA2" s="1383"/>
      <c r="EB2" s="1381" t="s">
        <v>329</v>
      </c>
      <c r="EC2" s="1382"/>
      <c r="ED2" s="1382"/>
      <c r="EE2" s="1382"/>
      <c r="EF2" s="1382"/>
      <c r="EG2" s="1382"/>
      <c r="EH2" s="1383"/>
      <c r="EI2" s="1381" t="s">
        <v>330</v>
      </c>
      <c r="EJ2" s="1382"/>
      <c r="EK2" s="1382"/>
      <c r="EL2" s="1382"/>
      <c r="EM2" s="1382"/>
      <c r="EN2" s="1382"/>
      <c r="EO2" s="1383"/>
    </row>
    <row r="3" spans="1:162">
      <c r="A3" s="14" t="s">
        <v>1140</v>
      </c>
      <c r="B3" s="8"/>
      <c r="C3" s="8"/>
      <c r="T3" s="120"/>
      <c r="AE3" s="3"/>
      <c r="AF3" s="3"/>
      <c r="AG3" s="3"/>
      <c r="AH3" s="9"/>
      <c r="AI3" s="9"/>
      <c r="AJ3" s="9"/>
      <c r="AK3" s="9"/>
      <c r="AL3" s="9"/>
      <c r="AM3" s="9"/>
      <c r="AN3" s="9"/>
      <c r="AO3" s="9"/>
      <c r="AV3" s="109" t="s">
        <v>331</v>
      </c>
      <c r="AW3" s="110" t="s">
        <v>331</v>
      </c>
      <c r="AX3" s="110" t="s">
        <v>331</v>
      </c>
      <c r="AY3" s="110" t="s">
        <v>331</v>
      </c>
      <c r="AZ3" s="110" t="s">
        <v>331</v>
      </c>
      <c r="BA3" s="110" t="s">
        <v>331</v>
      </c>
      <c r="BB3" s="111" t="s">
        <v>331</v>
      </c>
      <c r="BC3" s="109" t="s">
        <v>331</v>
      </c>
      <c r="BD3" s="110" t="s">
        <v>331</v>
      </c>
      <c r="BE3" s="110" t="s">
        <v>331</v>
      </c>
      <c r="BF3" s="110" t="s">
        <v>331</v>
      </c>
      <c r="BG3" s="110" t="s">
        <v>331</v>
      </c>
      <c r="BH3" s="110" t="s">
        <v>331</v>
      </c>
      <c r="BI3" s="111" t="s">
        <v>331</v>
      </c>
      <c r="BJ3" s="109" t="s">
        <v>331</v>
      </c>
      <c r="BK3" s="110" t="s">
        <v>331</v>
      </c>
      <c r="BL3" s="110" t="s">
        <v>331</v>
      </c>
      <c r="BM3" s="110" t="s">
        <v>331</v>
      </c>
      <c r="BN3" s="110" t="s">
        <v>331</v>
      </c>
      <c r="BO3" s="110" t="s">
        <v>331</v>
      </c>
      <c r="BP3" s="111" t="s">
        <v>331</v>
      </c>
      <c r="BQ3" s="288" t="s">
        <v>331</v>
      </c>
      <c r="BR3" s="110" t="s">
        <v>331</v>
      </c>
      <c r="BS3" s="110" t="s">
        <v>331</v>
      </c>
      <c r="BT3" s="110" t="s">
        <v>331</v>
      </c>
      <c r="BU3" s="110" t="s">
        <v>331</v>
      </c>
      <c r="BV3" s="110" t="s">
        <v>331</v>
      </c>
      <c r="BW3" s="282" t="s">
        <v>331</v>
      </c>
      <c r="BX3" s="112" t="s">
        <v>331</v>
      </c>
      <c r="BY3" s="113" t="s">
        <v>331</v>
      </c>
      <c r="BZ3" s="113" t="s">
        <v>331</v>
      </c>
      <c r="CA3" s="113" t="s">
        <v>331</v>
      </c>
      <c r="CB3" s="113" t="s">
        <v>331</v>
      </c>
      <c r="CC3" s="113" t="s">
        <v>331</v>
      </c>
      <c r="CD3" s="114" t="s">
        <v>331</v>
      </c>
      <c r="CE3" s="112" t="s">
        <v>331</v>
      </c>
      <c r="CF3" s="113" t="s">
        <v>331</v>
      </c>
      <c r="CG3" s="113" t="s">
        <v>331</v>
      </c>
      <c r="CH3" s="113" t="s">
        <v>331</v>
      </c>
      <c r="CI3" s="113" t="s">
        <v>331</v>
      </c>
      <c r="CJ3" s="113" t="s">
        <v>331</v>
      </c>
      <c r="CK3" s="114" t="s">
        <v>331</v>
      </c>
      <c r="CL3" s="113" t="s">
        <v>331</v>
      </c>
      <c r="CM3" s="113" t="s">
        <v>331</v>
      </c>
      <c r="CN3" s="113" t="s">
        <v>331</v>
      </c>
      <c r="CO3" s="113" t="s">
        <v>331</v>
      </c>
      <c r="CP3" s="113" t="s">
        <v>331</v>
      </c>
      <c r="CQ3" s="113" t="s">
        <v>331</v>
      </c>
      <c r="CR3" s="283" t="s">
        <v>331</v>
      </c>
      <c r="CS3" s="109" t="s">
        <v>0</v>
      </c>
      <c r="CT3" s="110" t="s">
        <v>0</v>
      </c>
      <c r="CU3" s="110" t="s">
        <v>0</v>
      </c>
      <c r="CV3" s="110" t="s">
        <v>0</v>
      </c>
      <c r="CW3" s="110" t="s">
        <v>0</v>
      </c>
      <c r="CX3" s="110" t="s">
        <v>0</v>
      </c>
      <c r="CY3" s="111" t="s">
        <v>0</v>
      </c>
      <c r="CZ3" s="109" t="s">
        <v>0</v>
      </c>
      <c r="DA3" s="110" t="s">
        <v>0</v>
      </c>
      <c r="DB3" s="110" t="s">
        <v>0</v>
      </c>
      <c r="DC3" s="110" t="s">
        <v>0</v>
      </c>
      <c r="DD3" s="110" t="s">
        <v>0</v>
      </c>
      <c r="DE3" s="110" t="s">
        <v>0</v>
      </c>
      <c r="DF3" s="111" t="s">
        <v>0</v>
      </c>
      <c r="DG3" s="109" t="s">
        <v>0</v>
      </c>
      <c r="DH3" s="110" t="s">
        <v>0</v>
      </c>
      <c r="DI3" s="110" t="s">
        <v>0</v>
      </c>
      <c r="DJ3" s="110" t="s">
        <v>0</v>
      </c>
      <c r="DK3" s="110" t="s">
        <v>0</v>
      </c>
      <c r="DL3" s="110" t="s">
        <v>0</v>
      </c>
      <c r="DM3" s="111" t="s">
        <v>0</v>
      </c>
      <c r="DN3" s="109" t="s">
        <v>0</v>
      </c>
      <c r="DO3" s="110" t="s">
        <v>0</v>
      </c>
      <c r="DP3" s="110" t="s">
        <v>0</v>
      </c>
      <c r="DQ3" s="110" t="s">
        <v>0</v>
      </c>
      <c r="DR3" s="110" t="s">
        <v>0</v>
      </c>
      <c r="DS3" s="110" t="s">
        <v>0</v>
      </c>
      <c r="DT3" s="111" t="s">
        <v>0</v>
      </c>
      <c r="DU3" s="116" t="s">
        <v>0</v>
      </c>
      <c r="DV3" s="116" t="s">
        <v>0</v>
      </c>
      <c r="DW3" s="116" t="s">
        <v>0</v>
      </c>
      <c r="DX3" s="116" t="s">
        <v>0</v>
      </c>
      <c r="DY3" s="116" t="s">
        <v>0</v>
      </c>
      <c r="DZ3" s="116" t="s">
        <v>0</v>
      </c>
      <c r="EA3" s="284" t="s">
        <v>0</v>
      </c>
      <c r="EB3" s="115" t="s">
        <v>0</v>
      </c>
      <c r="EC3" s="116" t="s">
        <v>0</v>
      </c>
      <c r="ED3" s="116" t="s">
        <v>0</v>
      </c>
      <c r="EE3" s="116" t="s">
        <v>0</v>
      </c>
      <c r="EF3" s="116" t="s">
        <v>0</v>
      </c>
      <c r="EG3" s="116" t="s">
        <v>0</v>
      </c>
      <c r="EH3" s="117" t="s">
        <v>0</v>
      </c>
      <c r="EI3" s="115" t="s">
        <v>0</v>
      </c>
      <c r="EJ3" s="116" t="s">
        <v>0</v>
      </c>
      <c r="EK3" s="116" t="s">
        <v>0</v>
      </c>
      <c r="EL3" s="116" t="s">
        <v>0</v>
      </c>
      <c r="EM3" s="116" t="s">
        <v>0</v>
      </c>
      <c r="EN3" s="116" t="s">
        <v>0</v>
      </c>
      <c r="EO3" s="117" t="s">
        <v>0</v>
      </c>
    </row>
    <row r="4" spans="1:162"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440"/>
      <c r="AC4" s="440"/>
      <c r="AD4" s="440"/>
      <c r="AE4" s="1376" t="s">
        <v>335</v>
      </c>
      <c r="AF4" s="1377"/>
      <c r="AG4" s="1377"/>
      <c r="AH4" s="1377"/>
      <c r="AI4" s="1377"/>
      <c r="AJ4" s="1377"/>
      <c r="AK4" s="1377"/>
      <c r="AL4" s="1377"/>
      <c r="AM4" s="1377"/>
      <c r="AN4" s="1377"/>
      <c r="AO4" s="1377"/>
      <c r="AP4" s="1377"/>
      <c r="AQ4" s="1377"/>
      <c r="AR4" s="1378"/>
      <c r="AS4" s="687" t="s">
        <v>336</v>
      </c>
      <c r="AT4" s="1376" t="s">
        <v>337</v>
      </c>
      <c r="AU4" s="1377"/>
      <c r="AV4" s="688" t="s">
        <v>128</v>
      </c>
      <c r="AW4" s="476" t="s">
        <v>128</v>
      </c>
      <c r="AX4" s="476" t="s">
        <v>128</v>
      </c>
      <c r="AY4" s="476" t="s">
        <v>128</v>
      </c>
      <c r="AZ4" s="476" t="s">
        <v>128</v>
      </c>
      <c r="BA4" s="476" t="s">
        <v>128</v>
      </c>
      <c r="BB4" s="689" t="s">
        <v>128</v>
      </c>
      <c r="BC4" s="688" t="s">
        <v>129</v>
      </c>
      <c r="BD4" s="476" t="s">
        <v>129</v>
      </c>
      <c r="BE4" s="476" t="s">
        <v>129</v>
      </c>
      <c r="BF4" s="476" t="s">
        <v>129</v>
      </c>
      <c r="BG4" s="476" t="s">
        <v>129</v>
      </c>
      <c r="BH4" s="476" t="s">
        <v>129</v>
      </c>
      <c r="BI4" s="689" t="s">
        <v>129</v>
      </c>
      <c r="BJ4" s="688" t="s">
        <v>130</v>
      </c>
      <c r="BK4" s="476" t="s">
        <v>130</v>
      </c>
      <c r="BL4" s="476" t="s">
        <v>130</v>
      </c>
      <c r="BM4" s="476" t="s">
        <v>130</v>
      </c>
      <c r="BN4" s="476" t="s">
        <v>130</v>
      </c>
      <c r="BO4" s="476" t="s">
        <v>130</v>
      </c>
      <c r="BP4" s="689" t="s">
        <v>130</v>
      </c>
      <c r="BQ4" s="490" t="s">
        <v>338</v>
      </c>
      <c r="BR4" s="476" t="s">
        <v>338</v>
      </c>
      <c r="BS4" s="476" t="s">
        <v>338</v>
      </c>
      <c r="BT4" s="476" t="s">
        <v>338</v>
      </c>
      <c r="BU4" s="476" t="s">
        <v>338</v>
      </c>
      <c r="BV4" s="476" t="s">
        <v>338</v>
      </c>
      <c r="BW4" s="502" t="s">
        <v>338</v>
      </c>
      <c r="BX4" s="690" t="s">
        <v>131</v>
      </c>
      <c r="BY4" s="477" t="s">
        <v>131</v>
      </c>
      <c r="BZ4" s="477" t="s">
        <v>131</v>
      </c>
      <c r="CA4" s="477" t="s">
        <v>131</v>
      </c>
      <c r="CB4" s="477" t="s">
        <v>131</v>
      </c>
      <c r="CC4" s="477" t="s">
        <v>131</v>
      </c>
      <c r="CD4" s="691" t="s">
        <v>131</v>
      </c>
      <c r="CE4" s="690" t="s">
        <v>132</v>
      </c>
      <c r="CF4" s="477" t="s">
        <v>132</v>
      </c>
      <c r="CG4" s="477" t="s">
        <v>132</v>
      </c>
      <c r="CH4" s="477" t="s">
        <v>132</v>
      </c>
      <c r="CI4" s="477" t="s">
        <v>132</v>
      </c>
      <c r="CJ4" s="477" t="s">
        <v>132</v>
      </c>
      <c r="CK4" s="691" t="s">
        <v>132</v>
      </c>
      <c r="CL4" s="477" t="s">
        <v>133</v>
      </c>
      <c r="CM4" s="477" t="s">
        <v>133</v>
      </c>
      <c r="CN4" s="477" t="s">
        <v>133</v>
      </c>
      <c r="CO4" s="477" t="s">
        <v>133</v>
      </c>
      <c r="CP4" s="477" t="s">
        <v>133</v>
      </c>
      <c r="CQ4" s="477" t="s">
        <v>133</v>
      </c>
      <c r="CR4" s="512" t="s">
        <v>133</v>
      </c>
      <c r="CS4" s="688" t="s">
        <v>128</v>
      </c>
      <c r="CT4" s="476" t="s">
        <v>128</v>
      </c>
      <c r="CU4" s="476" t="s">
        <v>128</v>
      </c>
      <c r="CV4" s="476" t="s">
        <v>128</v>
      </c>
      <c r="CW4" s="476" t="s">
        <v>128</v>
      </c>
      <c r="CX4" s="476" t="s">
        <v>128</v>
      </c>
      <c r="CY4" s="689" t="s">
        <v>128</v>
      </c>
      <c r="CZ4" s="688" t="s">
        <v>129</v>
      </c>
      <c r="DA4" s="476" t="s">
        <v>129</v>
      </c>
      <c r="DB4" s="476" t="s">
        <v>129</v>
      </c>
      <c r="DC4" s="476" t="s">
        <v>129</v>
      </c>
      <c r="DD4" s="476" t="s">
        <v>129</v>
      </c>
      <c r="DE4" s="476" t="s">
        <v>129</v>
      </c>
      <c r="DF4" s="689" t="s">
        <v>129</v>
      </c>
      <c r="DG4" s="688" t="s">
        <v>130</v>
      </c>
      <c r="DH4" s="476" t="s">
        <v>130</v>
      </c>
      <c r="DI4" s="476" t="s">
        <v>130</v>
      </c>
      <c r="DJ4" s="476" t="s">
        <v>130</v>
      </c>
      <c r="DK4" s="476" t="s">
        <v>130</v>
      </c>
      <c r="DL4" s="476" t="s">
        <v>130</v>
      </c>
      <c r="DM4" s="689" t="s">
        <v>130</v>
      </c>
      <c r="DN4" s="688" t="s">
        <v>165</v>
      </c>
      <c r="DO4" s="476" t="s">
        <v>165</v>
      </c>
      <c r="DP4" s="476" t="s">
        <v>165</v>
      </c>
      <c r="DQ4" s="476" t="s">
        <v>165</v>
      </c>
      <c r="DR4" s="476" t="s">
        <v>165</v>
      </c>
      <c r="DS4" s="476" t="s">
        <v>165</v>
      </c>
      <c r="DT4" s="689" t="s">
        <v>165</v>
      </c>
      <c r="DU4" s="477" t="s">
        <v>131</v>
      </c>
      <c r="DV4" s="477" t="s">
        <v>131</v>
      </c>
      <c r="DW4" s="477" t="s">
        <v>131</v>
      </c>
      <c r="DX4" s="477" t="s">
        <v>131</v>
      </c>
      <c r="DY4" s="477" t="s">
        <v>131</v>
      </c>
      <c r="DZ4" s="477" t="s">
        <v>131</v>
      </c>
      <c r="EA4" s="512" t="s">
        <v>131</v>
      </c>
      <c r="EB4" s="690" t="s">
        <v>132</v>
      </c>
      <c r="EC4" s="477" t="s">
        <v>132</v>
      </c>
      <c r="ED4" s="477" t="s">
        <v>132</v>
      </c>
      <c r="EE4" s="477" t="s">
        <v>132</v>
      </c>
      <c r="EF4" s="477" t="s">
        <v>132</v>
      </c>
      <c r="EG4" s="477" t="s">
        <v>132</v>
      </c>
      <c r="EH4" s="691" t="s">
        <v>132</v>
      </c>
      <c r="EI4" s="690" t="s">
        <v>133</v>
      </c>
      <c r="EJ4" s="477" t="s">
        <v>133</v>
      </c>
      <c r="EK4" s="477" t="s">
        <v>133</v>
      </c>
      <c r="EL4" s="477" t="s">
        <v>133</v>
      </c>
      <c r="EM4" s="477" t="s">
        <v>133</v>
      </c>
      <c r="EN4" s="477" t="s">
        <v>133</v>
      </c>
      <c r="EO4" s="691" t="s">
        <v>133</v>
      </c>
      <c r="EP4" s="1345" t="s">
        <v>134</v>
      </c>
      <c r="EQ4" s="1342"/>
      <c r="ER4" s="1342"/>
      <c r="ES4" s="1342"/>
      <c r="ET4" s="1342"/>
      <c r="EU4" s="1342"/>
      <c r="EV4" s="1342"/>
      <c r="EW4" s="1342"/>
    </row>
    <row r="5" spans="1:162"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4" t="s">
        <v>390</v>
      </c>
      <c r="X5" s="695" t="s">
        <v>15</v>
      </c>
      <c r="Y5" s="695" t="s">
        <v>16</v>
      </c>
      <c r="Z5" s="695" t="s">
        <v>17</v>
      </c>
      <c r="AA5" s="695" t="s">
        <v>18</v>
      </c>
      <c r="AB5" s="695" t="s">
        <v>19</v>
      </c>
      <c r="AC5" s="695" t="s">
        <v>20</v>
      </c>
      <c r="AD5" s="695" t="s">
        <v>21</v>
      </c>
      <c r="AE5" s="697" t="s">
        <v>359</v>
      </c>
      <c r="AF5" s="697" t="s">
        <v>166</v>
      </c>
      <c r="AG5" s="697" t="s">
        <v>360</v>
      </c>
      <c r="AH5" s="697" t="s">
        <v>361</v>
      </c>
      <c r="AI5" s="697" t="s">
        <v>362</v>
      </c>
      <c r="AJ5" s="697" t="s">
        <v>363</v>
      </c>
      <c r="AK5" s="697" t="s">
        <v>364</v>
      </c>
      <c r="AL5" s="697" t="s">
        <v>365</v>
      </c>
      <c r="AM5" s="698" t="s">
        <v>167</v>
      </c>
      <c r="AN5" s="698" t="s">
        <v>168</v>
      </c>
      <c r="AO5" s="698" t="s">
        <v>169</v>
      </c>
      <c r="AP5" s="697" t="s">
        <v>170</v>
      </c>
      <c r="AQ5" s="697" t="s">
        <v>366</v>
      </c>
      <c r="AR5" s="699" t="s">
        <v>367</v>
      </c>
      <c r="AS5" s="699" t="s">
        <v>368</v>
      </c>
      <c r="AT5" s="699" t="s">
        <v>369</v>
      </c>
      <c r="AU5" s="699" t="s">
        <v>370</v>
      </c>
      <c r="AV5" s="700">
        <v>2024</v>
      </c>
      <c r="AW5" s="486">
        <v>2025</v>
      </c>
      <c r="AX5" s="486">
        <v>2026</v>
      </c>
      <c r="AY5" s="486">
        <v>2027</v>
      </c>
      <c r="AZ5" s="486">
        <v>2028</v>
      </c>
      <c r="BA5" s="486">
        <v>2029</v>
      </c>
      <c r="BB5" s="910">
        <v>2030</v>
      </c>
      <c r="BC5" s="700">
        <v>2024</v>
      </c>
      <c r="BD5" s="486">
        <v>2025</v>
      </c>
      <c r="BE5" s="486">
        <v>2026</v>
      </c>
      <c r="BF5" s="486">
        <v>2027</v>
      </c>
      <c r="BG5" s="486">
        <v>2028</v>
      </c>
      <c r="BH5" s="486">
        <v>2029</v>
      </c>
      <c r="BI5" s="910">
        <v>2030</v>
      </c>
      <c r="BJ5" s="700">
        <v>2024</v>
      </c>
      <c r="BK5" s="486">
        <v>2025</v>
      </c>
      <c r="BL5" s="486">
        <v>2026</v>
      </c>
      <c r="BM5" s="486">
        <v>2027</v>
      </c>
      <c r="BN5" s="486">
        <v>2028</v>
      </c>
      <c r="BO5" s="486">
        <v>2029</v>
      </c>
      <c r="BP5" s="910">
        <v>2030</v>
      </c>
      <c r="BQ5" s="485">
        <v>2024</v>
      </c>
      <c r="BR5" s="486">
        <v>2025</v>
      </c>
      <c r="BS5" s="486">
        <v>2026</v>
      </c>
      <c r="BT5" s="486">
        <v>2027</v>
      </c>
      <c r="BU5" s="486">
        <v>2028</v>
      </c>
      <c r="BV5" s="486">
        <v>2029</v>
      </c>
      <c r="BW5" s="479">
        <v>2030</v>
      </c>
      <c r="BX5" s="700">
        <v>2024</v>
      </c>
      <c r="BY5" s="486">
        <v>2025</v>
      </c>
      <c r="BZ5" s="486">
        <v>2026</v>
      </c>
      <c r="CA5" s="486">
        <v>2027</v>
      </c>
      <c r="CB5" s="486">
        <v>2028</v>
      </c>
      <c r="CC5" s="486">
        <v>2029</v>
      </c>
      <c r="CD5" s="910">
        <v>2030</v>
      </c>
      <c r="CE5" s="700">
        <v>2024</v>
      </c>
      <c r="CF5" s="486">
        <v>2025</v>
      </c>
      <c r="CG5" s="486">
        <v>2026</v>
      </c>
      <c r="CH5" s="486">
        <v>2027</v>
      </c>
      <c r="CI5" s="486">
        <v>2028</v>
      </c>
      <c r="CJ5" s="486">
        <v>2029</v>
      </c>
      <c r="CK5" s="910">
        <v>2030</v>
      </c>
      <c r="CL5" s="486">
        <v>2024</v>
      </c>
      <c r="CM5" s="486">
        <v>2025</v>
      </c>
      <c r="CN5" s="486">
        <v>2026</v>
      </c>
      <c r="CO5" s="486">
        <v>2027</v>
      </c>
      <c r="CP5" s="486">
        <v>2028</v>
      </c>
      <c r="CQ5" s="486">
        <v>2029</v>
      </c>
      <c r="CR5" s="479">
        <v>2030</v>
      </c>
      <c r="CS5" s="700">
        <v>2024</v>
      </c>
      <c r="CT5" s="486">
        <v>2025</v>
      </c>
      <c r="CU5" s="486">
        <v>2026</v>
      </c>
      <c r="CV5" s="486">
        <v>2027</v>
      </c>
      <c r="CW5" s="486">
        <v>2028</v>
      </c>
      <c r="CX5" s="486">
        <v>2029</v>
      </c>
      <c r="CY5" s="910">
        <v>2030</v>
      </c>
      <c r="CZ5" s="700">
        <v>2024</v>
      </c>
      <c r="DA5" s="486">
        <v>2025</v>
      </c>
      <c r="DB5" s="486">
        <v>2026</v>
      </c>
      <c r="DC5" s="486">
        <v>2027</v>
      </c>
      <c r="DD5" s="486">
        <v>2028</v>
      </c>
      <c r="DE5" s="486">
        <v>2029</v>
      </c>
      <c r="DF5" s="910">
        <v>2030</v>
      </c>
      <c r="DG5" s="700">
        <v>2024</v>
      </c>
      <c r="DH5" s="486">
        <v>2025</v>
      </c>
      <c r="DI5" s="486">
        <v>2026</v>
      </c>
      <c r="DJ5" s="486">
        <v>2027</v>
      </c>
      <c r="DK5" s="486">
        <v>2028</v>
      </c>
      <c r="DL5" s="486">
        <v>2029</v>
      </c>
      <c r="DM5" s="910">
        <v>2030</v>
      </c>
      <c r="DN5" s="700">
        <v>2024</v>
      </c>
      <c r="DO5" s="486">
        <v>2025</v>
      </c>
      <c r="DP5" s="486">
        <v>2026</v>
      </c>
      <c r="DQ5" s="486">
        <v>2027</v>
      </c>
      <c r="DR5" s="486">
        <v>2028</v>
      </c>
      <c r="DS5" s="486">
        <v>2029</v>
      </c>
      <c r="DT5" s="910">
        <v>2030</v>
      </c>
      <c r="DU5" s="486">
        <v>2024</v>
      </c>
      <c r="DV5" s="486">
        <v>2025</v>
      </c>
      <c r="DW5" s="486">
        <v>2026</v>
      </c>
      <c r="DX5" s="486">
        <v>2027</v>
      </c>
      <c r="DY5" s="486">
        <v>2028</v>
      </c>
      <c r="DZ5" s="486">
        <v>2029</v>
      </c>
      <c r="EA5" s="479">
        <v>2030</v>
      </c>
      <c r="EB5" s="700">
        <v>2024</v>
      </c>
      <c r="EC5" s="486">
        <v>2025</v>
      </c>
      <c r="ED5" s="486">
        <v>2026</v>
      </c>
      <c r="EE5" s="486">
        <v>2027</v>
      </c>
      <c r="EF5" s="486">
        <v>2028</v>
      </c>
      <c r="EG5" s="486">
        <v>2029</v>
      </c>
      <c r="EH5" s="910">
        <v>2030</v>
      </c>
      <c r="EI5" s="700">
        <v>2024</v>
      </c>
      <c r="EJ5" s="486">
        <v>2025</v>
      </c>
      <c r="EK5" s="486">
        <v>2026</v>
      </c>
      <c r="EL5" s="486">
        <v>2027</v>
      </c>
      <c r="EM5" s="486">
        <v>2028</v>
      </c>
      <c r="EN5" s="486">
        <v>2029</v>
      </c>
      <c r="EO5" s="910">
        <v>2030</v>
      </c>
      <c r="EP5" s="514" t="s">
        <v>9</v>
      </c>
      <c r="EQ5" s="659" t="s">
        <v>139</v>
      </c>
      <c r="ER5" s="659" t="s">
        <v>140</v>
      </c>
      <c r="ES5" s="659" t="s">
        <v>141</v>
      </c>
      <c r="ET5" s="659" t="s">
        <v>142</v>
      </c>
      <c r="EU5" s="659" t="s">
        <v>12</v>
      </c>
      <c r="EV5" s="659" t="s">
        <v>13</v>
      </c>
      <c r="EW5" s="659" t="s">
        <v>14</v>
      </c>
    </row>
    <row r="6" spans="1:162" s="10" customFormat="1" ht="12.75" customHeight="1">
      <c r="A6" s="662">
        <v>1</v>
      </c>
      <c r="B6" s="703" t="s">
        <v>1141</v>
      </c>
      <c r="C6" s="703" t="s">
        <v>1142</v>
      </c>
      <c r="D6" s="703" t="s">
        <v>393</v>
      </c>
      <c r="E6" s="662" t="s">
        <v>1143</v>
      </c>
      <c r="F6" s="704" t="s">
        <v>372</v>
      </c>
      <c r="G6" s="704">
        <v>0</v>
      </c>
      <c r="H6" s="704">
        <v>0</v>
      </c>
      <c r="I6" s="706">
        <f>G6+H6</f>
        <v>0</v>
      </c>
      <c r="J6" s="704">
        <v>0</v>
      </c>
      <c r="K6" s="869" t="s">
        <v>378</v>
      </c>
      <c r="L6" s="913" t="s">
        <v>1144</v>
      </c>
      <c r="M6" s="707">
        <v>0</v>
      </c>
      <c r="N6" s="881">
        <v>0</v>
      </c>
      <c r="O6" s="707">
        <v>0</v>
      </c>
      <c r="P6" s="937">
        <v>750</v>
      </c>
      <c r="Q6" s="710">
        <v>0</v>
      </c>
      <c r="R6" s="710">
        <v>0</v>
      </c>
      <c r="S6" s="710">
        <v>0</v>
      </c>
      <c r="T6" s="913" t="s">
        <v>1145</v>
      </c>
      <c r="U6" s="712">
        <v>0</v>
      </c>
      <c r="V6" s="713">
        <v>1</v>
      </c>
      <c r="W6" s="714">
        <v>100</v>
      </c>
      <c r="X6" s="714">
        <v>100</v>
      </c>
      <c r="Y6" s="714">
        <v>200</v>
      </c>
      <c r="Z6" s="714">
        <v>200</v>
      </c>
      <c r="AA6" s="714">
        <v>200</v>
      </c>
      <c r="AB6" s="714">
        <v>200</v>
      </c>
      <c r="AC6" s="714">
        <v>200</v>
      </c>
      <c r="AD6" s="714">
        <v>200</v>
      </c>
      <c r="AE6" s="711" t="s">
        <v>374</v>
      </c>
      <c r="AF6" s="711" t="s">
        <v>742</v>
      </c>
      <c r="AG6" s="663" t="s">
        <v>1146</v>
      </c>
      <c r="AH6" s="711" t="s">
        <v>377</v>
      </c>
      <c r="AI6" s="711" t="s">
        <v>1</v>
      </c>
      <c r="AJ6" s="711" t="s">
        <v>378</v>
      </c>
      <c r="AK6" s="711" t="s">
        <v>378</v>
      </c>
      <c r="AL6" s="711" t="s">
        <v>378</v>
      </c>
      <c r="AM6" s="715" t="s">
        <v>744</v>
      </c>
      <c r="AN6" s="711" t="s">
        <v>1147</v>
      </c>
      <c r="AO6" s="715" t="s">
        <v>746</v>
      </c>
      <c r="AP6" s="661">
        <v>1</v>
      </c>
      <c r="AQ6" s="661">
        <f>AP6</f>
        <v>1</v>
      </c>
      <c r="AR6" s="913" t="s">
        <v>382</v>
      </c>
      <c r="AS6" s="716">
        <v>1</v>
      </c>
      <c r="AT6" s="716">
        <v>1</v>
      </c>
      <c r="AU6" s="717">
        <v>1</v>
      </c>
      <c r="AV6" s="774">
        <f>I6</f>
        <v>0</v>
      </c>
      <c r="AW6" s="503">
        <f t="shared" ref="AW6:AW11" si="2">AV6</f>
        <v>0</v>
      </c>
      <c r="AX6" s="503">
        <f t="shared" ref="AX6:AX11" si="3">AW6</f>
        <v>0</v>
      </c>
      <c r="AY6" s="503">
        <f t="shared" ref="AY6:AY11" si="4">AX6</f>
        <v>0</v>
      </c>
      <c r="AZ6" s="503">
        <f t="shared" ref="AZ6:AZ11" si="5">AY6</f>
        <v>0</v>
      </c>
      <c r="BA6" s="503">
        <f t="shared" ref="BA6:BA11" si="6">AZ6</f>
        <v>0</v>
      </c>
      <c r="BB6" s="776">
        <f t="shared" ref="BB6:BB11" si="7">BA6</f>
        <v>0</v>
      </c>
      <c r="BC6" s="774">
        <f>J6</f>
        <v>0</v>
      </c>
      <c r="BD6" s="503">
        <f t="shared" ref="BD6:BD11" si="8">BC6</f>
        <v>0</v>
      </c>
      <c r="BE6" s="503">
        <f t="shared" ref="BE6:BE11" si="9">BD6</f>
        <v>0</v>
      </c>
      <c r="BF6" s="503">
        <f t="shared" ref="BF6:BF11" si="10">BE6</f>
        <v>0</v>
      </c>
      <c r="BG6" s="503">
        <f t="shared" ref="BG6:BG11" si="11">BF6</f>
        <v>0</v>
      </c>
      <c r="BH6" s="503">
        <f t="shared" ref="BH6:BH11" si="12">BG6</f>
        <v>0</v>
      </c>
      <c r="BI6" s="776">
        <f t="shared" ref="BI6:BI11" si="13">BH6</f>
        <v>0</v>
      </c>
      <c r="BJ6" s="774">
        <f>N6+O6</f>
        <v>0</v>
      </c>
      <c r="BK6" s="503">
        <f t="shared" ref="BK6:BK11" si="14">BJ6</f>
        <v>0</v>
      </c>
      <c r="BL6" s="503">
        <f t="shared" ref="BL6:BL11" si="15">BK6</f>
        <v>0</v>
      </c>
      <c r="BM6" s="503">
        <f t="shared" ref="BM6:BM11" si="16">BL6</f>
        <v>0</v>
      </c>
      <c r="BN6" s="503">
        <f t="shared" ref="BN6:BN11" si="17">BM6</f>
        <v>0</v>
      </c>
      <c r="BO6" s="503">
        <f t="shared" ref="BO6:BO11" si="18">BN6</f>
        <v>0</v>
      </c>
      <c r="BP6" s="776">
        <f t="shared" ref="BP6:BP11" si="19">BO6</f>
        <v>0</v>
      </c>
      <c r="BQ6" s="497">
        <f t="shared" ref="BQ6:BW20" si="20">$P6</f>
        <v>750</v>
      </c>
      <c r="BR6" s="503">
        <f t="shared" si="20"/>
        <v>750</v>
      </c>
      <c r="BS6" s="503">
        <f t="shared" si="20"/>
        <v>750</v>
      </c>
      <c r="BT6" s="503">
        <f t="shared" si="20"/>
        <v>750</v>
      </c>
      <c r="BU6" s="503">
        <f t="shared" si="20"/>
        <v>750</v>
      </c>
      <c r="BV6" s="503">
        <f t="shared" si="20"/>
        <v>750</v>
      </c>
      <c r="BW6" s="645">
        <f t="shared" si="20"/>
        <v>750</v>
      </c>
      <c r="BX6" s="722">
        <f>Q6*AT6</f>
        <v>0</v>
      </c>
      <c r="BY6" s="511">
        <f t="shared" ref="BY6:BZ6" si="21">BX6</f>
        <v>0</v>
      </c>
      <c r="BZ6" s="511">
        <f t="shared" si="21"/>
        <v>0</v>
      </c>
      <c r="CA6" s="511">
        <f>BZ6</f>
        <v>0</v>
      </c>
      <c r="CB6" s="511">
        <f t="shared" ref="CB6:CD6" si="22">CA6</f>
        <v>0</v>
      </c>
      <c r="CC6" s="511">
        <f t="shared" si="22"/>
        <v>0</v>
      </c>
      <c r="CD6" s="723">
        <f t="shared" si="22"/>
        <v>0</v>
      </c>
      <c r="CE6" s="722">
        <f>R6*AT6</f>
        <v>0</v>
      </c>
      <c r="CF6" s="511">
        <f t="shared" ref="CF6:CF11" si="23">CE6</f>
        <v>0</v>
      </c>
      <c r="CG6" s="511">
        <f t="shared" ref="CG6:CG11" si="24">CF6</f>
        <v>0</v>
      </c>
      <c r="CH6" s="511">
        <f t="shared" ref="CH6:CH11" si="25">CG6</f>
        <v>0</v>
      </c>
      <c r="CI6" s="511">
        <f t="shared" ref="CI6:CI11" si="26">CH6</f>
        <v>0</v>
      </c>
      <c r="CJ6" s="511">
        <f t="shared" ref="CJ6:CJ11" si="27">CI6</f>
        <v>0</v>
      </c>
      <c r="CK6" s="511">
        <f t="shared" ref="CK6:CK11" si="28">CJ6</f>
        <v>0</v>
      </c>
      <c r="CL6" s="511">
        <f>S6*AU6</f>
        <v>0</v>
      </c>
      <c r="CM6" s="511">
        <f t="shared" ref="CM6:CM9" si="29">CL6</f>
        <v>0</v>
      </c>
      <c r="CN6" s="511">
        <f t="shared" ref="CN6:CN11" si="30">CM6</f>
        <v>0</v>
      </c>
      <c r="CO6" s="511">
        <f t="shared" ref="CO6:CO11" si="31">CN6</f>
        <v>0</v>
      </c>
      <c r="CP6" s="511">
        <f t="shared" ref="CP6:CP11" si="32">CO6</f>
        <v>0</v>
      </c>
      <c r="CQ6" s="511">
        <f t="shared" ref="CQ6:CQ11" si="33">CP6</f>
        <v>0</v>
      </c>
      <c r="CR6" s="511">
        <f t="shared" ref="CR6:CR11" si="34">CQ6</f>
        <v>0</v>
      </c>
      <c r="CS6" s="774">
        <f t="shared" ref="CS6:CY11" si="35">X6*AV6</f>
        <v>0</v>
      </c>
      <c r="CT6" s="503">
        <f t="shared" si="35"/>
        <v>0</v>
      </c>
      <c r="CU6" s="503">
        <f t="shared" si="35"/>
        <v>0</v>
      </c>
      <c r="CV6" s="503">
        <f t="shared" si="35"/>
        <v>0</v>
      </c>
      <c r="CW6" s="503">
        <f t="shared" si="35"/>
        <v>0</v>
      </c>
      <c r="CX6" s="503">
        <f t="shared" si="35"/>
        <v>0</v>
      </c>
      <c r="CY6" s="776">
        <f t="shared" si="35"/>
        <v>0</v>
      </c>
      <c r="CZ6" s="774">
        <f t="shared" ref="CZ6:DF6" si="36">X6*BC6</f>
        <v>0</v>
      </c>
      <c r="DA6" s="503">
        <f t="shared" si="36"/>
        <v>0</v>
      </c>
      <c r="DB6" s="503">
        <f t="shared" si="36"/>
        <v>0</v>
      </c>
      <c r="DC6" s="503">
        <f t="shared" si="36"/>
        <v>0</v>
      </c>
      <c r="DD6" s="503">
        <f t="shared" si="36"/>
        <v>0</v>
      </c>
      <c r="DE6" s="503">
        <f t="shared" si="36"/>
        <v>0</v>
      </c>
      <c r="DF6" s="776">
        <f t="shared" si="36"/>
        <v>0</v>
      </c>
      <c r="DG6" s="774">
        <f t="shared" ref="DG6:DM6" si="37">X6*BJ6</f>
        <v>0</v>
      </c>
      <c r="DH6" s="503">
        <f t="shared" si="37"/>
        <v>0</v>
      </c>
      <c r="DI6" s="503">
        <f t="shared" si="37"/>
        <v>0</v>
      </c>
      <c r="DJ6" s="503">
        <f t="shared" si="37"/>
        <v>0</v>
      </c>
      <c r="DK6" s="503">
        <f t="shared" si="37"/>
        <v>0</v>
      </c>
      <c r="DL6" s="503">
        <f t="shared" si="37"/>
        <v>0</v>
      </c>
      <c r="DM6" s="776">
        <f t="shared" si="37"/>
        <v>0</v>
      </c>
      <c r="DN6" s="774">
        <f t="shared" ref="DN6:DT6" si="38">BQ6*X6</f>
        <v>75000</v>
      </c>
      <c r="DO6" s="503">
        <f t="shared" si="38"/>
        <v>150000</v>
      </c>
      <c r="DP6" s="503">
        <f t="shared" si="38"/>
        <v>150000</v>
      </c>
      <c r="DQ6" s="503">
        <f t="shared" si="38"/>
        <v>150000</v>
      </c>
      <c r="DR6" s="503">
        <f t="shared" si="38"/>
        <v>150000</v>
      </c>
      <c r="DS6" s="503">
        <f t="shared" si="38"/>
        <v>150000</v>
      </c>
      <c r="DT6" s="776">
        <f t="shared" si="38"/>
        <v>150000</v>
      </c>
      <c r="DU6" s="511">
        <f t="shared" ref="DU6:EA6" si="39">X6*BX6</f>
        <v>0</v>
      </c>
      <c r="DV6" s="511">
        <f t="shared" si="39"/>
        <v>0</v>
      </c>
      <c r="DW6" s="511">
        <f t="shared" si="39"/>
        <v>0</v>
      </c>
      <c r="DX6" s="511">
        <f t="shared" si="39"/>
        <v>0</v>
      </c>
      <c r="DY6" s="511">
        <f t="shared" si="39"/>
        <v>0</v>
      </c>
      <c r="DZ6" s="511">
        <f t="shared" si="39"/>
        <v>0</v>
      </c>
      <c r="EA6" s="539">
        <f t="shared" si="39"/>
        <v>0</v>
      </c>
      <c r="EB6" s="722">
        <f t="shared" ref="EB6:EH6" si="40">X6*CE6</f>
        <v>0</v>
      </c>
      <c r="EC6" s="511">
        <f t="shared" si="40"/>
        <v>0</v>
      </c>
      <c r="ED6" s="511">
        <f t="shared" si="40"/>
        <v>0</v>
      </c>
      <c r="EE6" s="511">
        <f t="shared" si="40"/>
        <v>0</v>
      </c>
      <c r="EF6" s="511">
        <f t="shared" si="40"/>
        <v>0</v>
      </c>
      <c r="EG6" s="511">
        <f t="shared" si="40"/>
        <v>0</v>
      </c>
      <c r="EH6" s="723">
        <f t="shared" si="40"/>
        <v>0</v>
      </c>
      <c r="EI6" s="722">
        <f t="shared" ref="EI6:EO6" si="41">X6*CL6</f>
        <v>0</v>
      </c>
      <c r="EJ6" s="511">
        <f t="shared" si="41"/>
        <v>0</v>
      </c>
      <c r="EK6" s="511">
        <f t="shared" si="41"/>
        <v>0</v>
      </c>
      <c r="EL6" s="511">
        <f t="shared" si="41"/>
        <v>0</v>
      </c>
      <c r="EM6" s="511">
        <f t="shared" si="41"/>
        <v>0</v>
      </c>
      <c r="EN6" s="511">
        <f t="shared" si="41"/>
        <v>0</v>
      </c>
      <c r="EO6" s="723">
        <f t="shared" si="41"/>
        <v>0</v>
      </c>
      <c r="EP6" s="722">
        <f>SUM(X6:AD6)</f>
        <v>1300</v>
      </c>
      <c r="EQ6" s="503">
        <f>SUM(CS6:CY6)</f>
        <v>0</v>
      </c>
      <c r="ER6" s="503">
        <f>SUM(CZ6:DF6)</f>
        <v>0</v>
      </c>
      <c r="ES6" s="503">
        <f>SUM(DG6:DM6)</f>
        <v>0</v>
      </c>
      <c r="ET6" s="503">
        <f>SUM(DN6:DT6)</f>
        <v>975000</v>
      </c>
      <c r="EU6" s="511">
        <f>SUM(DU6:EA6)</f>
        <v>0</v>
      </c>
      <c r="EV6" s="511">
        <f>SUM(EB6:EH6)</f>
        <v>0</v>
      </c>
      <c r="EW6" s="511">
        <f>SUM(EI6:EO6)</f>
        <v>0</v>
      </c>
      <c r="EY6" s="10" t="b">
        <f t="shared" ref="EY6:FF11" si="42">EP6=SUM(EP13,EP20)</f>
        <v>1</v>
      </c>
      <c r="EZ6" s="10" t="b">
        <f t="shared" si="42"/>
        <v>1</v>
      </c>
      <c r="FA6" s="10" t="b">
        <f t="shared" si="42"/>
        <v>1</v>
      </c>
      <c r="FB6" s="10" t="b">
        <f t="shared" si="42"/>
        <v>1</v>
      </c>
      <c r="FC6" s="10" t="b">
        <f t="shared" si="42"/>
        <v>1</v>
      </c>
      <c r="FD6" s="10" t="b">
        <f t="shared" si="42"/>
        <v>1</v>
      </c>
      <c r="FE6" s="10" t="b">
        <f t="shared" si="42"/>
        <v>1</v>
      </c>
      <c r="FF6" s="10" t="b">
        <f t="shared" si="42"/>
        <v>1</v>
      </c>
    </row>
    <row r="7" spans="1:162" s="10" customFormat="1" ht="12.75" customHeight="1">
      <c r="A7" s="662">
        <v>2</v>
      </c>
      <c r="B7" s="663" t="s">
        <v>1148</v>
      </c>
      <c r="C7" s="663" t="s">
        <v>1149</v>
      </c>
      <c r="D7" s="663" t="s">
        <v>1150</v>
      </c>
      <c r="E7" s="663" t="s">
        <v>331</v>
      </c>
      <c r="F7" s="704" t="s">
        <v>372</v>
      </c>
      <c r="G7" s="989">
        <v>0</v>
      </c>
      <c r="H7" s="989">
        <v>0</v>
      </c>
      <c r="I7" s="989">
        <v>0</v>
      </c>
      <c r="J7" s="989">
        <v>0</v>
      </c>
      <c r="K7" s="989">
        <v>0</v>
      </c>
      <c r="L7" s="990"/>
      <c r="M7" s="707">
        <v>0</v>
      </c>
      <c r="N7" s="707">
        <v>0</v>
      </c>
      <c r="O7" s="707">
        <v>0</v>
      </c>
      <c r="P7" s="937">
        <v>6.333333333333333</v>
      </c>
      <c r="Q7" s="710">
        <v>39.497960266666666</v>
      </c>
      <c r="R7" s="710">
        <v>1.0748249770666666E-2</v>
      </c>
      <c r="S7" s="710">
        <v>0</v>
      </c>
      <c r="T7" s="990" t="s">
        <v>1151</v>
      </c>
      <c r="U7" s="712">
        <v>0</v>
      </c>
      <c r="V7" s="713">
        <v>1</v>
      </c>
      <c r="W7" s="714">
        <v>1875</v>
      </c>
      <c r="X7" s="714">
        <v>1875</v>
      </c>
      <c r="Y7" s="714">
        <v>3750</v>
      </c>
      <c r="Z7" s="714">
        <f>Y7</f>
        <v>3750</v>
      </c>
      <c r="AA7" s="714">
        <f t="shared" ref="Z7:AD11" si="43">Z7</f>
        <v>3750</v>
      </c>
      <c r="AB7" s="883">
        <f t="shared" si="43"/>
        <v>3750</v>
      </c>
      <c r="AC7" s="883">
        <f t="shared" si="43"/>
        <v>3750</v>
      </c>
      <c r="AD7" s="883">
        <f t="shared" si="43"/>
        <v>3750</v>
      </c>
      <c r="AE7" s="711" t="s">
        <v>374</v>
      </c>
      <c r="AF7" s="711" t="s">
        <v>742</v>
      </c>
      <c r="AG7" s="663" t="s">
        <v>1146</v>
      </c>
      <c r="AH7" s="711" t="s">
        <v>1152</v>
      </c>
      <c r="AI7" s="711" t="s">
        <v>1</v>
      </c>
      <c r="AJ7" s="711" t="s">
        <v>378</v>
      </c>
      <c r="AK7" s="711" t="s">
        <v>378</v>
      </c>
      <c r="AL7" s="711" t="s">
        <v>378</v>
      </c>
      <c r="AM7" s="715" t="s">
        <v>1153</v>
      </c>
      <c r="AN7" s="711" t="s">
        <v>1147</v>
      </c>
      <c r="AO7" s="715" t="s">
        <v>746</v>
      </c>
      <c r="AP7" s="711">
        <v>15</v>
      </c>
      <c r="AQ7" s="711">
        <v>15</v>
      </c>
      <c r="AR7" s="913" t="s">
        <v>1154</v>
      </c>
      <c r="AS7" s="716">
        <v>1</v>
      </c>
      <c r="AT7" s="716">
        <v>1</v>
      </c>
      <c r="AU7" s="717">
        <v>0</v>
      </c>
      <c r="AV7" s="774">
        <f t="shared" ref="AV7:AV11" si="44">I7</f>
        <v>0</v>
      </c>
      <c r="AW7" s="503">
        <f t="shared" si="2"/>
        <v>0</v>
      </c>
      <c r="AX7" s="503">
        <f t="shared" si="3"/>
        <v>0</v>
      </c>
      <c r="AY7" s="503">
        <f t="shared" si="4"/>
        <v>0</v>
      </c>
      <c r="AZ7" s="503">
        <f t="shared" si="5"/>
        <v>0</v>
      </c>
      <c r="BA7" s="503">
        <f t="shared" si="6"/>
        <v>0</v>
      </c>
      <c r="BB7" s="776">
        <f t="shared" si="7"/>
        <v>0</v>
      </c>
      <c r="BC7" s="774">
        <f t="shared" ref="BC7:BC11" si="45">J7</f>
        <v>0</v>
      </c>
      <c r="BD7" s="503">
        <f t="shared" si="8"/>
        <v>0</v>
      </c>
      <c r="BE7" s="503">
        <f t="shared" si="9"/>
        <v>0</v>
      </c>
      <c r="BF7" s="503">
        <f t="shared" si="10"/>
        <v>0</v>
      </c>
      <c r="BG7" s="503">
        <f t="shared" si="11"/>
        <v>0</v>
      </c>
      <c r="BH7" s="503">
        <f t="shared" si="12"/>
        <v>0</v>
      </c>
      <c r="BI7" s="776">
        <f t="shared" si="13"/>
        <v>0</v>
      </c>
      <c r="BJ7" s="774">
        <f t="shared" ref="BJ7:BJ11" si="46">N7+O7</f>
        <v>0</v>
      </c>
      <c r="BK7" s="503">
        <f t="shared" si="14"/>
        <v>0</v>
      </c>
      <c r="BL7" s="503">
        <f t="shared" si="15"/>
        <v>0</v>
      </c>
      <c r="BM7" s="503">
        <f t="shared" si="16"/>
        <v>0</v>
      </c>
      <c r="BN7" s="503">
        <f t="shared" si="17"/>
        <v>0</v>
      </c>
      <c r="BO7" s="503">
        <f t="shared" si="18"/>
        <v>0</v>
      </c>
      <c r="BP7" s="776">
        <f t="shared" si="19"/>
        <v>0</v>
      </c>
      <c r="BQ7" s="497">
        <f t="shared" si="20"/>
        <v>6.333333333333333</v>
      </c>
      <c r="BR7" s="503">
        <f t="shared" si="20"/>
        <v>6.333333333333333</v>
      </c>
      <c r="BS7" s="503">
        <f t="shared" si="20"/>
        <v>6.333333333333333</v>
      </c>
      <c r="BT7" s="503">
        <f t="shared" si="20"/>
        <v>6.333333333333333</v>
      </c>
      <c r="BU7" s="503">
        <f t="shared" si="20"/>
        <v>6.333333333333333</v>
      </c>
      <c r="BV7" s="503">
        <f t="shared" si="20"/>
        <v>6.333333333333333</v>
      </c>
      <c r="BW7" s="645">
        <f t="shared" si="20"/>
        <v>6.333333333333333</v>
      </c>
      <c r="BX7" s="722">
        <f t="shared" ref="BX7:BX11" si="47">Q7*AT7</f>
        <v>39.497960266666666</v>
      </c>
      <c r="BY7" s="511">
        <f t="shared" ref="BY7:BY11" si="48">BX7</f>
        <v>39.497960266666666</v>
      </c>
      <c r="BZ7" s="511">
        <f t="shared" ref="BZ7:BZ11" si="49">BY7</f>
        <v>39.497960266666666</v>
      </c>
      <c r="CA7" s="511">
        <f t="shared" ref="CA7:CA11" si="50">BZ7</f>
        <v>39.497960266666666</v>
      </c>
      <c r="CB7" s="511">
        <f t="shared" ref="CB7:CB11" si="51">CA7</f>
        <v>39.497960266666666</v>
      </c>
      <c r="CC7" s="511">
        <f t="shared" ref="CC7:CC11" si="52">CB7</f>
        <v>39.497960266666666</v>
      </c>
      <c r="CD7" s="723">
        <f t="shared" ref="CD7:CD11" si="53">CC7</f>
        <v>39.497960266666666</v>
      </c>
      <c r="CE7" s="722">
        <f t="shared" ref="CE7:CE11" si="54">R7*AT7</f>
        <v>1.0748249770666666E-2</v>
      </c>
      <c r="CF7" s="511">
        <f t="shared" si="23"/>
        <v>1.0748249770666666E-2</v>
      </c>
      <c r="CG7" s="511">
        <f t="shared" si="24"/>
        <v>1.0748249770666666E-2</v>
      </c>
      <c r="CH7" s="511">
        <f t="shared" si="25"/>
        <v>1.0748249770666666E-2</v>
      </c>
      <c r="CI7" s="511">
        <f t="shared" si="26"/>
        <v>1.0748249770666666E-2</v>
      </c>
      <c r="CJ7" s="511">
        <f t="shared" si="27"/>
        <v>1.0748249770666666E-2</v>
      </c>
      <c r="CK7" s="511">
        <f t="shared" si="28"/>
        <v>1.0748249770666666E-2</v>
      </c>
      <c r="CL7" s="511">
        <f t="shared" ref="CL7:CL11" si="55">S7*AU7</f>
        <v>0</v>
      </c>
      <c r="CM7" s="511">
        <f t="shared" si="29"/>
        <v>0</v>
      </c>
      <c r="CN7" s="511">
        <f t="shared" si="30"/>
        <v>0</v>
      </c>
      <c r="CO7" s="511">
        <f t="shared" si="31"/>
        <v>0</v>
      </c>
      <c r="CP7" s="511">
        <f t="shared" si="32"/>
        <v>0</v>
      </c>
      <c r="CQ7" s="511">
        <f t="shared" si="33"/>
        <v>0</v>
      </c>
      <c r="CR7" s="511">
        <f t="shared" si="34"/>
        <v>0</v>
      </c>
      <c r="CS7" s="774">
        <f t="shared" si="35"/>
        <v>0</v>
      </c>
      <c r="CT7" s="503">
        <f t="shared" si="35"/>
        <v>0</v>
      </c>
      <c r="CU7" s="503">
        <f t="shared" ref="CU7:CU11" si="56">Z7*AX7</f>
        <v>0</v>
      </c>
      <c r="CV7" s="503">
        <f t="shared" ref="CV7:CV11" si="57">AA7*AY7</f>
        <v>0</v>
      </c>
      <c r="CW7" s="503">
        <f t="shared" ref="CW7:CW11" si="58">AB7*AZ7</f>
        <v>0</v>
      </c>
      <c r="CX7" s="503">
        <f t="shared" ref="CX7:CX11" si="59">AC7*BA7</f>
        <v>0</v>
      </c>
      <c r="CY7" s="776">
        <f t="shared" ref="CY7:CY11" si="60">AD7*BB7</f>
        <v>0</v>
      </c>
      <c r="CZ7" s="774">
        <f t="shared" ref="CZ7:CZ9" si="61">X7*BC7</f>
        <v>0</v>
      </c>
      <c r="DA7" s="503">
        <f t="shared" ref="DA7:DA9" si="62">Y7*BD7</f>
        <v>0</v>
      </c>
      <c r="DB7" s="503">
        <f t="shared" ref="DB7:DB9" si="63">Z7*BE7</f>
        <v>0</v>
      </c>
      <c r="DC7" s="503">
        <f t="shared" ref="DC7:DC9" si="64">AA7*BF7</f>
        <v>0</v>
      </c>
      <c r="DD7" s="503">
        <f t="shared" ref="DD7:DD9" si="65">AB7*BG7</f>
        <v>0</v>
      </c>
      <c r="DE7" s="503">
        <f t="shared" ref="DE7:DE9" si="66">AC7*BH7</f>
        <v>0</v>
      </c>
      <c r="DF7" s="776">
        <f t="shared" ref="DF7:DF9" si="67">AD7*BI7</f>
        <v>0</v>
      </c>
      <c r="DG7" s="774">
        <f>X7*BJ7</f>
        <v>0</v>
      </c>
      <c r="DH7" s="503">
        <f t="shared" ref="DH7:DH9" si="68">Y7*BK7</f>
        <v>0</v>
      </c>
      <c r="DI7" s="503">
        <f t="shared" ref="DI7:DI9" si="69">Z7*BL7</f>
        <v>0</v>
      </c>
      <c r="DJ7" s="503">
        <f t="shared" ref="DJ7:DJ9" si="70">AA7*BM7</f>
        <v>0</v>
      </c>
      <c r="DK7" s="503">
        <f t="shared" ref="DK7:DK9" si="71">AB7*BN7</f>
        <v>0</v>
      </c>
      <c r="DL7" s="503">
        <f t="shared" ref="DL7:DL9" si="72">AC7*BO7</f>
        <v>0</v>
      </c>
      <c r="DM7" s="776">
        <f t="shared" ref="DM7:DM9" si="73">AD7*BP7</f>
        <v>0</v>
      </c>
      <c r="DN7" s="774">
        <f t="shared" ref="DN7:DN10" si="74">BQ7*X7</f>
        <v>11875</v>
      </c>
      <c r="DO7" s="503">
        <f t="shared" ref="DO7:DO10" si="75">BR7*Y7</f>
        <v>23750</v>
      </c>
      <c r="DP7" s="503">
        <f t="shared" ref="DP7:DP10" si="76">BS7*Z7</f>
        <v>23750</v>
      </c>
      <c r="DQ7" s="503">
        <f t="shared" ref="DQ7:DQ10" si="77">BT7*AA7</f>
        <v>23750</v>
      </c>
      <c r="DR7" s="503">
        <f t="shared" ref="DR7:DR10" si="78">BU7*AB7</f>
        <v>23750</v>
      </c>
      <c r="DS7" s="503">
        <f t="shared" ref="DS7:DS10" si="79">BV7*AC7</f>
        <v>23750</v>
      </c>
      <c r="DT7" s="776">
        <f t="shared" ref="DT7:DT10" si="80">BW7*AD7</f>
        <v>23750</v>
      </c>
      <c r="DU7" s="511">
        <f t="shared" ref="DU7:DU9" si="81">X7*BX7</f>
        <v>74058.675499999998</v>
      </c>
      <c r="DV7" s="511">
        <f t="shared" ref="DV7:DV9" si="82">Y7*BY7</f>
        <v>148117.351</v>
      </c>
      <c r="DW7" s="511">
        <f t="shared" ref="DW7:DW9" si="83">Z7*BZ7</f>
        <v>148117.351</v>
      </c>
      <c r="DX7" s="511">
        <f t="shared" ref="DX7:DX9" si="84">AA7*CA7</f>
        <v>148117.351</v>
      </c>
      <c r="DY7" s="511">
        <f t="shared" ref="DY7:DY9" si="85">AB7*CB7</f>
        <v>148117.351</v>
      </c>
      <c r="DZ7" s="511">
        <f t="shared" ref="DZ7:DZ9" si="86">AC7*CC7</f>
        <v>148117.351</v>
      </c>
      <c r="EA7" s="539">
        <f t="shared" ref="EA7:EA9" si="87">AD7*CD7</f>
        <v>148117.351</v>
      </c>
      <c r="EB7" s="722">
        <f t="shared" ref="EB7:EB9" si="88">X7*CE7</f>
        <v>20.152968319999999</v>
      </c>
      <c r="EC7" s="511">
        <f t="shared" ref="EC7:EC9" si="89">Y7*CF7</f>
        <v>40.305936639999999</v>
      </c>
      <c r="ED7" s="511">
        <f t="shared" ref="ED7:ED9" si="90">Z7*CG7</f>
        <v>40.305936639999999</v>
      </c>
      <c r="EE7" s="511">
        <f t="shared" ref="EE7:EE9" si="91">AA7*CH7</f>
        <v>40.305936639999999</v>
      </c>
      <c r="EF7" s="511">
        <f t="shared" ref="EF7:EF9" si="92">AB7*CI7</f>
        <v>40.305936639999999</v>
      </c>
      <c r="EG7" s="511">
        <f t="shared" ref="EG7:EG9" si="93">AC7*CJ7</f>
        <v>40.305936639999999</v>
      </c>
      <c r="EH7" s="723">
        <f t="shared" ref="EH7:EH9" si="94">AD7*CK7</f>
        <v>40.305936639999999</v>
      </c>
      <c r="EI7" s="722">
        <f t="shared" ref="EI7:EI9" si="95">X7*CL7</f>
        <v>0</v>
      </c>
      <c r="EJ7" s="511">
        <f t="shared" ref="EJ7:EJ9" si="96">Y7*CM7</f>
        <v>0</v>
      </c>
      <c r="EK7" s="511">
        <f t="shared" ref="EK7:EK9" si="97">Z7*CN7</f>
        <v>0</v>
      </c>
      <c r="EL7" s="511">
        <f t="shared" ref="EL7:EL9" si="98">AA7*CO7</f>
        <v>0</v>
      </c>
      <c r="EM7" s="511">
        <f t="shared" ref="EM7:EM9" si="99">AB7*CP7</f>
        <v>0</v>
      </c>
      <c r="EN7" s="511">
        <f t="shared" ref="EN7:EN9" si="100">AC7*CQ7</f>
        <v>0</v>
      </c>
      <c r="EO7" s="723">
        <f t="shared" ref="EO7:EO9" si="101">AD7*CR7</f>
        <v>0</v>
      </c>
      <c r="EP7" s="722">
        <f t="shared" ref="EP7:EP11" si="102">SUM(X7:AD7)</f>
        <v>24375</v>
      </c>
      <c r="EQ7" s="503">
        <f t="shared" ref="EQ7:EQ11" si="103">SUM(CS7:CY7)</f>
        <v>0</v>
      </c>
      <c r="ER7" s="503">
        <f t="shared" ref="ER7:ER11" si="104">SUM(CZ7:DF7)</f>
        <v>0</v>
      </c>
      <c r="ES7" s="503">
        <f t="shared" ref="ES7:ES11" si="105">SUM(DG7:DM7)</f>
        <v>0</v>
      </c>
      <c r="ET7" s="503">
        <f t="shared" ref="ET7:ET11" si="106">SUM(DN7:DT7)</f>
        <v>154375</v>
      </c>
      <c r="EU7" s="511">
        <f t="shared" ref="EU7:EU11" si="107">SUM(DU7:EA7)</f>
        <v>962762.78150000004</v>
      </c>
      <c r="EV7" s="511">
        <f t="shared" ref="EV7:EV11" si="108">SUM(EB7:EH7)</f>
        <v>261.98858815999995</v>
      </c>
      <c r="EW7" s="511">
        <f t="shared" ref="EW7:EW11" si="109">SUM(EI7:EO7)</f>
        <v>0</v>
      </c>
      <c r="EY7" s="10" t="b">
        <f t="shared" si="42"/>
        <v>1</v>
      </c>
      <c r="EZ7" s="10" t="b">
        <f t="shared" si="42"/>
        <v>1</v>
      </c>
      <c r="FA7" s="10" t="b">
        <f t="shared" si="42"/>
        <v>1</v>
      </c>
      <c r="FB7" s="10" t="b">
        <f t="shared" si="42"/>
        <v>1</v>
      </c>
      <c r="FC7" s="10" t="b">
        <f t="shared" si="42"/>
        <v>1</v>
      </c>
      <c r="FD7" s="10" t="b">
        <f t="shared" si="42"/>
        <v>1</v>
      </c>
      <c r="FE7" s="10" t="b">
        <f t="shared" si="42"/>
        <v>1</v>
      </c>
      <c r="FF7" s="10" t="b">
        <f t="shared" si="42"/>
        <v>1</v>
      </c>
    </row>
    <row r="8" spans="1:162" s="10" customFormat="1" ht="12.75" customHeight="1">
      <c r="A8" s="662">
        <v>3</v>
      </c>
      <c r="B8" s="663" t="s">
        <v>1155</v>
      </c>
      <c r="C8" s="663" t="s">
        <v>1156</v>
      </c>
      <c r="D8" s="663" t="s">
        <v>1150</v>
      </c>
      <c r="E8" s="663" t="s">
        <v>331</v>
      </c>
      <c r="F8" s="704" t="s">
        <v>372</v>
      </c>
      <c r="G8" s="989">
        <v>0</v>
      </c>
      <c r="H8" s="989">
        <v>0</v>
      </c>
      <c r="I8" s="989">
        <v>0</v>
      </c>
      <c r="J8" s="989">
        <v>0</v>
      </c>
      <c r="K8" s="989">
        <v>0</v>
      </c>
      <c r="L8" s="990"/>
      <c r="M8" s="707">
        <v>0</v>
      </c>
      <c r="N8" s="707">
        <v>0</v>
      </c>
      <c r="O8" s="707">
        <v>0</v>
      </c>
      <c r="P8" s="937">
        <v>60</v>
      </c>
      <c r="Q8" s="710">
        <v>149.087992364</v>
      </c>
      <c r="R8" s="710">
        <v>4.0570069160960003E-2</v>
      </c>
      <c r="S8" s="710">
        <v>0</v>
      </c>
      <c r="T8" s="990" t="s">
        <v>1151</v>
      </c>
      <c r="U8" s="712">
        <v>0</v>
      </c>
      <c r="V8" s="713">
        <v>1</v>
      </c>
      <c r="W8" s="714">
        <v>937.5</v>
      </c>
      <c r="X8" s="714">
        <v>937.5</v>
      </c>
      <c r="Y8" s="714">
        <v>1875</v>
      </c>
      <c r="Z8" s="714">
        <f t="shared" ref="Z8" si="110">Y8</f>
        <v>1875</v>
      </c>
      <c r="AA8" s="714">
        <f t="shared" ref="AA8" si="111">Z8</f>
        <v>1875</v>
      </c>
      <c r="AB8" s="714">
        <f t="shared" ref="AB8" si="112">AA8</f>
        <v>1875</v>
      </c>
      <c r="AC8" s="714">
        <f t="shared" ref="AC8" si="113">AB8</f>
        <v>1875</v>
      </c>
      <c r="AD8" s="714">
        <f t="shared" ref="AD8" si="114">AC8</f>
        <v>1875</v>
      </c>
      <c r="AE8" s="711" t="s">
        <v>374</v>
      </c>
      <c r="AF8" s="711" t="s">
        <v>742</v>
      </c>
      <c r="AG8" s="663" t="s">
        <v>1146</v>
      </c>
      <c r="AH8" s="711" t="s">
        <v>1152</v>
      </c>
      <c r="AI8" s="711" t="s">
        <v>1</v>
      </c>
      <c r="AJ8" s="711" t="s">
        <v>378</v>
      </c>
      <c r="AK8" s="711" t="s">
        <v>378</v>
      </c>
      <c r="AL8" s="711" t="s">
        <v>378</v>
      </c>
      <c r="AM8" s="715" t="s">
        <v>1153</v>
      </c>
      <c r="AN8" s="711" t="s">
        <v>1147</v>
      </c>
      <c r="AO8" s="715" t="s">
        <v>746</v>
      </c>
      <c r="AP8" s="711">
        <v>15</v>
      </c>
      <c r="AQ8" s="711">
        <v>15</v>
      </c>
      <c r="AR8" s="913" t="s">
        <v>1154</v>
      </c>
      <c r="AS8" s="716">
        <v>1</v>
      </c>
      <c r="AT8" s="716">
        <v>1</v>
      </c>
      <c r="AU8" s="717">
        <v>0</v>
      </c>
      <c r="AV8" s="774">
        <f t="shared" si="44"/>
        <v>0</v>
      </c>
      <c r="AW8" s="503">
        <f t="shared" si="2"/>
        <v>0</v>
      </c>
      <c r="AX8" s="503">
        <f t="shared" si="3"/>
        <v>0</v>
      </c>
      <c r="AY8" s="503">
        <f t="shared" si="4"/>
        <v>0</v>
      </c>
      <c r="AZ8" s="503">
        <f t="shared" si="5"/>
        <v>0</v>
      </c>
      <c r="BA8" s="503">
        <f t="shared" si="6"/>
        <v>0</v>
      </c>
      <c r="BB8" s="776">
        <f t="shared" si="7"/>
        <v>0</v>
      </c>
      <c r="BC8" s="774">
        <f t="shared" si="45"/>
        <v>0</v>
      </c>
      <c r="BD8" s="503">
        <f t="shared" si="8"/>
        <v>0</v>
      </c>
      <c r="BE8" s="503">
        <f t="shared" si="9"/>
        <v>0</v>
      </c>
      <c r="BF8" s="503">
        <f t="shared" si="10"/>
        <v>0</v>
      </c>
      <c r="BG8" s="503">
        <f t="shared" si="11"/>
        <v>0</v>
      </c>
      <c r="BH8" s="503">
        <f t="shared" si="12"/>
        <v>0</v>
      </c>
      <c r="BI8" s="776">
        <f t="shared" si="13"/>
        <v>0</v>
      </c>
      <c r="BJ8" s="774">
        <f t="shared" si="46"/>
        <v>0</v>
      </c>
      <c r="BK8" s="503">
        <f t="shared" si="14"/>
        <v>0</v>
      </c>
      <c r="BL8" s="503">
        <f t="shared" si="15"/>
        <v>0</v>
      </c>
      <c r="BM8" s="503">
        <f t="shared" si="16"/>
        <v>0</v>
      </c>
      <c r="BN8" s="503">
        <f t="shared" si="17"/>
        <v>0</v>
      </c>
      <c r="BO8" s="503">
        <f t="shared" si="18"/>
        <v>0</v>
      </c>
      <c r="BP8" s="776">
        <f t="shared" si="19"/>
        <v>0</v>
      </c>
      <c r="BQ8" s="497">
        <f t="shared" si="20"/>
        <v>60</v>
      </c>
      <c r="BR8" s="503">
        <f t="shared" si="20"/>
        <v>60</v>
      </c>
      <c r="BS8" s="503">
        <f t="shared" si="20"/>
        <v>60</v>
      </c>
      <c r="BT8" s="503">
        <f t="shared" si="20"/>
        <v>60</v>
      </c>
      <c r="BU8" s="503">
        <f t="shared" si="20"/>
        <v>60</v>
      </c>
      <c r="BV8" s="503">
        <f t="shared" si="20"/>
        <v>60</v>
      </c>
      <c r="BW8" s="645">
        <f t="shared" si="20"/>
        <v>60</v>
      </c>
      <c r="BX8" s="722">
        <f t="shared" si="47"/>
        <v>149.087992364</v>
      </c>
      <c r="BY8" s="511">
        <f t="shared" si="48"/>
        <v>149.087992364</v>
      </c>
      <c r="BZ8" s="511">
        <f t="shared" si="49"/>
        <v>149.087992364</v>
      </c>
      <c r="CA8" s="511">
        <f t="shared" si="50"/>
        <v>149.087992364</v>
      </c>
      <c r="CB8" s="511">
        <f t="shared" si="51"/>
        <v>149.087992364</v>
      </c>
      <c r="CC8" s="511">
        <f t="shared" si="52"/>
        <v>149.087992364</v>
      </c>
      <c r="CD8" s="723">
        <f t="shared" si="53"/>
        <v>149.087992364</v>
      </c>
      <c r="CE8" s="722">
        <f t="shared" si="54"/>
        <v>4.0570069160960003E-2</v>
      </c>
      <c r="CF8" s="511">
        <f t="shared" si="23"/>
        <v>4.0570069160960003E-2</v>
      </c>
      <c r="CG8" s="511">
        <f t="shared" si="24"/>
        <v>4.0570069160960003E-2</v>
      </c>
      <c r="CH8" s="511">
        <f t="shared" si="25"/>
        <v>4.0570069160960003E-2</v>
      </c>
      <c r="CI8" s="511">
        <f t="shared" si="26"/>
        <v>4.0570069160960003E-2</v>
      </c>
      <c r="CJ8" s="511">
        <f t="shared" si="27"/>
        <v>4.0570069160960003E-2</v>
      </c>
      <c r="CK8" s="511">
        <f t="shared" si="28"/>
        <v>4.0570069160960003E-2</v>
      </c>
      <c r="CL8" s="511">
        <f t="shared" si="55"/>
        <v>0</v>
      </c>
      <c r="CM8" s="511">
        <f t="shared" si="29"/>
        <v>0</v>
      </c>
      <c r="CN8" s="511">
        <f t="shared" si="30"/>
        <v>0</v>
      </c>
      <c r="CO8" s="511">
        <f t="shared" si="31"/>
        <v>0</v>
      </c>
      <c r="CP8" s="511">
        <f t="shared" si="32"/>
        <v>0</v>
      </c>
      <c r="CQ8" s="511">
        <f t="shared" si="33"/>
        <v>0</v>
      </c>
      <c r="CR8" s="511">
        <f t="shared" si="34"/>
        <v>0</v>
      </c>
      <c r="CS8" s="774">
        <f t="shared" si="35"/>
        <v>0</v>
      </c>
      <c r="CT8" s="503">
        <f t="shared" si="35"/>
        <v>0</v>
      </c>
      <c r="CU8" s="503">
        <f t="shared" si="56"/>
        <v>0</v>
      </c>
      <c r="CV8" s="503">
        <f t="shared" si="57"/>
        <v>0</v>
      </c>
      <c r="CW8" s="503">
        <f t="shared" si="58"/>
        <v>0</v>
      </c>
      <c r="CX8" s="503">
        <f t="shared" si="59"/>
        <v>0</v>
      </c>
      <c r="CY8" s="776">
        <f t="shared" si="60"/>
        <v>0</v>
      </c>
      <c r="CZ8" s="774">
        <f t="shared" si="61"/>
        <v>0</v>
      </c>
      <c r="DA8" s="503">
        <f t="shared" si="62"/>
        <v>0</v>
      </c>
      <c r="DB8" s="503">
        <f t="shared" si="63"/>
        <v>0</v>
      </c>
      <c r="DC8" s="503">
        <f t="shared" si="64"/>
        <v>0</v>
      </c>
      <c r="DD8" s="503">
        <f t="shared" si="65"/>
        <v>0</v>
      </c>
      <c r="DE8" s="503">
        <f t="shared" si="66"/>
        <v>0</v>
      </c>
      <c r="DF8" s="776">
        <f t="shared" si="67"/>
        <v>0</v>
      </c>
      <c r="DG8" s="774">
        <f t="shared" ref="DG8:DG9" si="115">X8*BJ8</f>
        <v>0</v>
      </c>
      <c r="DH8" s="503">
        <f t="shared" si="68"/>
        <v>0</v>
      </c>
      <c r="DI8" s="503">
        <f t="shared" si="69"/>
        <v>0</v>
      </c>
      <c r="DJ8" s="503">
        <f t="shared" si="70"/>
        <v>0</v>
      </c>
      <c r="DK8" s="503">
        <f t="shared" si="71"/>
        <v>0</v>
      </c>
      <c r="DL8" s="503">
        <f t="shared" si="72"/>
        <v>0</v>
      </c>
      <c r="DM8" s="776">
        <f t="shared" si="73"/>
        <v>0</v>
      </c>
      <c r="DN8" s="774">
        <f t="shared" si="74"/>
        <v>56250</v>
      </c>
      <c r="DO8" s="503">
        <f t="shared" si="75"/>
        <v>112500</v>
      </c>
      <c r="DP8" s="503">
        <f t="shared" si="76"/>
        <v>112500</v>
      </c>
      <c r="DQ8" s="503">
        <f t="shared" si="77"/>
        <v>112500</v>
      </c>
      <c r="DR8" s="503">
        <f t="shared" si="78"/>
        <v>112500</v>
      </c>
      <c r="DS8" s="503">
        <f t="shared" si="79"/>
        <v>112500</v>
      </c>
      <c r="DT8" s="776">
        <f t="shared" si="80"/>
        <v>112500</v>
      </c>
      <c r="DU8" s="511">
        <f t="shared" si="81"/>
        <v>139769.99284125</v>
      </c>
      <c r="DV8" s="511">
        <f t="shared" si="82"/>
        <v>279539.9856825</v>
      </c>
      <c r="DW8" s="511">
        <f t="shared" si="83"/>
        <v>279539.9856825</v>
      </c>
      <c r="DX8" s="511">
        <f t="shared" si="84"/>
        <v>279539.9856825</v>
      </c>
      <c r="DY8" s="511">
        <f t="shared" si="85"/>
        <v>279539.9856825</v>
      </c>
      <c r="DZ8" s="511">
        <f t="shared" si="86"/>
        <v>279539.9856825</v>
      </c>
      <c r="EA8" s="539">
        <f t="shared" si="87"/>
        <v>279539.9856825</v>
      </c>
      <c r="EB8" s="722">
        <f t="shared" si="88"/>
        <v>38.034439838400004</v>
      </c>
      <c r="EC8" s="511">
        <f t="shared" si="89"/>
        <v>76.068879676800009</v>
      </c>
      <c r="ED8" s="511">
        <f t="shared" si="90"/>
        <v>76.068879676800009</v>
      </c>
      <c r="EE8" s="511">
        <f t="shared" si="91"/>
        <v>76.068879676800009</v>
      </c>
      <c r="EF8" s="511">
        <f t="shared" si="92"/>
        <v>76.068879676800009</v>
      </c>
      <c r="EG8" s="511">
        <f t="shared" si="93"/>
        <v>76.068879676800009</v>
      </c>
      <c r="EH8" s="723">
        <f t="shared" si="94"/>
        <v>76.068879676800009</v>
      </c>
      <c r="EI8" s="722">
        <f t="shared" si="95"/>
        <v>0</v>
      </c>
      <c r="EJ8" s="511">
        <f t="shared" si="96"/>
        <v>0</v>
      </c>
      <c r="EK8" s="511">
        <f t="shared" si="97"/>
        <v>0</v>
      </c>
      <c r="EL8" s="511">
        <f t="shared" si="98"/>
        <v>0</v>
      </c>
      <c r="EM8" s="511">
        <f t="shared" si="99"/>
        <v>0</v>
      </c>
      <c r="EN8" s="511">
        <f t="shared" si="100"/>
        <v>0</v>
      </c>
      <c r="EO8" s="723">
        <f t="shared" si="101"/>
        <v>0</v>
      </c>
      <c r="EP8" s="722">
        <f t="shared" si="102"/>
        <v>12187.5</v>
      </c>
      <c r="EQ8" s="503">
        <f t="shared" si="103"/>
        <v>0</v>
      </c>
      <c r="ER8" s="503">
        <f t="shared" si="104"/>
        <v>0</v>
      </c>
      <c r="ES8" s="503">
        <f t="shared" si="105"/>
        <v>0</v>
      </c>
      <c r="ET8" s="503">
        <f t="shared" si="106"/>
        <v>731250</v>
      </c>
      <c r="EU8" s="511">
        <f t="shared" si="107"/>
        <v>1817009.9069362502</v>
      </c>
      <c r="EV8" s="511">
        <f t="shared" si="108"/>
        <v>494.44771789920009</v>
      </c>
      <c r="EW8" s="511">
        <f t="shared" si="109"/>
        <v>0</v>
      </c>
      <c r="EY8" s="10" t="b">
        <f t="shared" si="42"/>
        <v>1</v>
      </c>
      <c r="EZ8" s="10" t="b">
        <f t="shared" si="42"/>
        <v>1</v>
      </c>
      <c r="FA8" s="10" t="b">
        <f t="shared" si="42"/>
        <v>1</v>
      </c>
      <c r="FB8" s="10" t="b">
        <f t="shared" si="42"/>
        <v>1</v>
      </c>
      <c r="FC8" s="10" t="b">
        <f t="shared" si="42"/>
        <v>1</v>
      </c>
      <c r="FD8" s="10" t="b">
        <f t="shared" si="42"/>
        <v>1</v>
      </c>
      <c r="FE8" s="10" t="b">
        <f t="shared" si="42"/>
        <v>1</v>
      </c>
      <c r="FF8" s="10" t="b">
        <f t="shared" si="42"/>
        <v>1</v>
      </c>
    </row>
    <row r="9" spans="1:162" s="10" customFormat="1" ht="12.75" customHeight="1">
      <c r="A9" s="662">
        <v>4</v>
      </c>
      <c r="B9" s="663" t="s">
        <v>1157</v>
      </c>
      <c r="C9" s="663" t="s">
        <v>749</v>
      </c>
      <c r="D9" s="663" t="s">
        <v>750</v>
      </c>
      <c r="E9" s="663" t="s">
        <v>331</v>
      </c>
      <c r="F9" s="704" t="s">
        <v>372</v>
      </c>
      <c r="G9" s="989">
        <v>0</v>
      </c>
      <c r="H9" s="989">
        <v>0</v>
      </c>
      <c r="I9" s="989">
        <v>0</v>
      </c>
      <c r="J9" s="989">
        <v>0</v>
      </c>
      <c r="K9" s="989">
        <v>0</v>
      </c>
      <c r="L9" s="990"/>
      <c r="M9" s="707">
        <v>0</v>
      </c>
      <c r="N9" s="707">
        <v>0</v>
      </c>
      <c r="O9" s="707">
        <v>0</v>
      </c>
      <c r="P9" s="989">
        <f>B50</f>
        <v>1.7233333333333334</v>
      </c>
      <c r="Q9" s="710">
        <f>AVERAGE(N65,N72)</f>
        <v>31.662236044613138</v>
      </c>
      <c r="R9" s="710">
        <f>AVERAGE(O65,O72)</f>
        <v>1.5727978776865969E-3</v>
      </c>
      <c r="S9" s="710">
        <f>AVERAGE($P$65,$P$72)</f>
        <v>1.1343312685343101</v>
      </c>
      <c r="T9" s="991" t="s">
        <v>752</v>
      </c>
      <c r="U9" s="712">
        <v>0</v>
      </c>
      <c r="V9" s="713">
        <v>1</v>
      </c>
      <c r="W9" s="714">
        <v>10</v>
      </c>
      <c r="X9" s="714">
        <v>10</v>
      </c>
      <c r="Y9" s="714">
        <v>20</v>
      </c>
      <c r="Z9" s="714">
        <f>Y9</f>
        <v>20</v>
      </c>
      <c r="AA9" s="714">
        <f>Z9</f>
        <v>20</v>
      </c>
      <c r="AB9" s="714">
        <f>AA9</f>
        <v>20</v>
      </c>
      <c r="AC9" s="714">
        <f t="shared" si="43"/>
        <v>20</v>
      </c>
      <c r="AD9" s="714">
        <f t="shared" si="43"/>
        <v>20</v>
      </c>
      <c r="AE9" s="711" t="s">
        <v>374</v>
      </c>
      <c r="AF9" s="711" t="s">
        <v>742</v>
      </c>
      <c r="AG9" s="663" t="s">
        <v>1146</v>
      </c>
      <c r="AH9" s="711" t="s">
        <v>753</v>
      </c>
      <c r="AI9" s="711" t="s">
        <v>1</v>
      </c>
      <c r="AJ9" s="711" t="s">
        <v>378</v>
      </c>
      <c r="AK9" s="711" t="s">
        <v>378</v>
      </c>
      <c r="AL9" s="711" t="s">
        <v>378</v>
      </c>
      <c r="AM9" s="715" t="s">
        <v>1158</v>
      </c>
      <c r="AN9" s="711" t="s">
        <v>1147</v>
      </c>
      <c r="AO9" s="715" t="s">
        <v>746</v>
      </c>
      <c r="AP9" s="711">
        <v>10</v>
      </c>
      <c r="AQ9" s="711">
        <v>10</v>
      </c>
      <c r="AR9" s="913" t="s">
        <v>756</v>
      </c>
      <c r="AS9" s="716">
        <v>1</v>
      </c>
      <c r="AT9" s="716">
        <v>1</v>
      </c>
      <c r="AU9" s="716">
        <v>1</v>
      </c>
      <c r="AV9" s="774">
        <f t="shared" si="44"/>
        <v>0</v>
      </c>
      <c r="AW9" s="503">
        <f t="shared" si="2"/>
        <v>0</v>
      </c>
      <c r="AX9" s="503">
        <f t="shared" si="3"/>
        <v>0</v>
      </c>
      <c r="AY9" s="503">
        <f t="shared" si="4"/>
        <v>0</v>
      </c>
      <c r="AZ9" s="503">
        <f t="shared" si="5"/>
        <v>0</v>
      </c>
      <c r="BA9" s="503">
        <f t="shared" si="6"/>
        <v>0</v>
      </c>
      <c r="BB9" s="776">
        <f t="shared" si="7"/>
        <v>0</v>
      </c>
      <c r="BC9" s="774">
        <f t="shared" si="45"/>
        <v>0</v>
      </c>
      <c r="BD9" s="503">
        <f t="shared" si="8"/>
        <v>0</v>
      </c>
      <c r="BE9" s="503">
        <f t="shared" si="9"/>
        <v>0</v>
      </c>
      <c r="BF9" s="503">
        <f t="shared" si="10"/>
        <v>0</v>
      </c>
      <c r="BG9" s="503">
        <f t="shared" si="11"/>
        <v>0</v>
      </c>
      <c r="BH9" s="503">
        <f t="shared" si="12"/>
        <v>0</v>
      </c>
      <c r="BI9" s="776">
        <f t="shared" si="13"/>
        <v>0</v>
      </c>
      <c r="BJ9" s="774">
        <f t="shared" si="46"/>
        <v>0</v>
      </c>
      <c r="BK9" s="503">
        <f t="shared" si="14"/>
        <v>0</v>
      </c>
      <c r="BL9" s="503">
        <f t="shared" si="15"/>
        <v>0</v>
      </c>
      <c r="BM9" s="503">
        <f t="shared" si="16"/>
        <v>0</v>
      </c>
      <c r="BN9" s="503">
        <f t="shared" si="17"/>
        <v>0</v>
      </c>
      <c r="BO9" s="503">
        <f t="shared" si="18"/>
        <v>0</v>
      </c>
      <c r="BP9" s="776">
        <f t="shared" si="19"/>
        <v>0</v>
      </c>
      <c r="BQ9" s="497">
        <f t="shared" si="20"/>
        <v>1.7233333333333334</v>
      </c>
      <c r="BR9" s="503">
        <f t="shared" si="20"/>
        <v>1.7233333333333334</v>
      </c>
      <c r="BS9" s="503">
        <f t="shared" si="20"/>
        <v>1.7233333333333334</v>
      </c>
      <c r="BT9" s="503">
        <f t="shared" si="20"/>
        <v>1.7233333333333334</v>
      </c>
      <c r="BU9" s="503">
        <f t="shared" si="20"/>
        <v>1.7233333333333334</v>
      </c>
      <c r="BV9" s="503">
        <f t="shared" si="20"/>
        <v>1.7233333333333334</v>
      </c>
      <c r="BW9" s="645">
        <f t="shared" si="20"/>
        <v>1.7233333333333334</v>
      </c>
      <c r="BX9" s="722">
        <f t="shared" si="47"/>
        <v>31.662236044613138</v>
      </c>
      <c r="BY9" s="511">
        <f t="shared" si="48"/>
        <v>31.662236044613138</v>
      </c>
      <c r="BZ9" s="511">
        <f t="shared" si="49"/>
        <v>31.662236044613138</v>
      </c>
      <c r="CA9" s="511">
        <f t="shared" si="50"/>
        <v>31.662236044613138</v>
      </c>
      <c r="CB9" s="511">
        <f t="shared" si="51"/>
        <v>31.662236044613138</v>
      </c>
      <c r="CC9" s="511">
        <f t="shared" si="52"/>
        <v>31.662236044613138</v>
      </c>
      <c r="CD9" s="723">
        <f t="shared" si="53"/>
        <v>31.662236044613138</v>
      </c>
      <c r="CE9" s="722">
        <f t="shared" si="54"/>
        <v>1.5727978776865969E-3</v>
      </c>
      <c r="CF9" s="511">
        <f t="shared" si="23"/>
        <v>1.5727978776865969E-3</v>
      </c>
      <c r="CG9" s="511">
        <f t="shared" si="24"/>
        <v>1.5727978776865969E-3</v>
      </c>
      <c r="CH9" s="511">
        <f t="shared" si="25"/>
        <v>1.5727978776865969E-3</v>
      </c>
      <c r="CI9" s="511">
        <f t="shared" si="26"/>
        <v>1.5727978776865969E-3</v>
      </c>
      <c r="CJ9" s="511">
        <f t="shared" si="27"/>
        <v>1.5727978776865969E-3</v>
      </c>
      <c r="CK9" s="511">
        <f t="shared" si="28"/>
        <v>1.5727978776865969E-3</v>
      </c>
      <c r="CL9" s="511">
        <f t="shared" si="55"/>
        <v>1.1343312685343101</v>
      </c>
      <c r="CM9" s="511">
        <f t="shared" si="29"/>
        <v>1.1343312685343101</v>
      </c>
      <c r="CN9" s="511">
        <f t="shared" si="30"/>
        <v>1.1343312685343101</v>
      </c>
      <c r="CO9" s="511">
        <f t="shared" si="31"/>
        <v>1.1343312685343101</v>
      </c>
      <c r="CP9" s="511">
        <f t="shared" si="32"/>
        <v>1.1343312685343101</v>
      </c>
      <c r="CQ9" s="511">
        <f t="shared" si="33"/>
        <v>1.1343312685343101</v>
      </c>
      <c r="CR9" s="511">
        <f t="shared" si="34"/>
        <v>1.1343312685343101</v>
      </c>
      <c r="CS9" s="774">
        <f t="shared" si="35"/>
        <v>0</v>
      </c>
      <c r="CT9" s="503">
        <f t="shared" si="35"/>
        <v>0</v>
      </c>
      <c r="CU9" s="503">
        <f t="shared" si="56"/>
        <v>0</v>
      </c>
      <c r="CV9" s="503">
        <f t="shared" si="57"/>
        <v>0</v>
      </c>
      <c r="CW9" s="503">
        <f t="shared" si="58"/>
        <v>0</v>
      </c>
      <c r="CX9" s="503">
        <f t="shared" si="59"/>
        <v>0</v>
      </c>
      <c r="CY9" s="776">
        <f t="shared" si="60"/>
        <v>0</v>
      </c>
      <c r="CZ9" s="774">
        <f t="shared" si="61"/>
        <v>0</v>
      </c>
      <c r="DA9" s="503">
        <f t="shared" si="62"/>
        <v>0</v>
      </c>
      <c r="DB9" s="503">
        <f t="shared" si="63"/>
        <v>0</v>
      </c>
      <c r="DC9" s="503">
        <f t="shared" si="64"/>
        <v>0</v>
      </c>
      <c r="DD9" s="503">
        <f t="shared" si="65"/>
        <v>0</v>
      </c>
      <c r="DE9" s="503">
        <f t="shared" si="66"/>
        <v>0</v>
      </c>
      <c r="DF9" s="776">
        <f t="shared" si="67"/>
        <v>0</v>
      </c>
      <c r="DG9" s="774">
        <f t="shared" si="115"/>
        <v>0</v>
      </c>
      <c r="DH9" s="503">
        <f t="shared" si="68"/>
        <v>0</v>
      </c>
      <c r="DI9" s="503">
        <f t="shared" si="69"/>
        <v>0</v>
      </c>
      <c r="DJ9" s="503">
        <f t="shared" si="70"/>
        <v>0</v>
      </c>
      <c r="DK9" s="503">
        <f t="shared" si="71"/>
        <v>0</v>
      </c>
      <c r="DL9" s="503">
        <f t="shared" si="72"/>
        <v>0</v>
      </c>
      <c r="DM9" s="776">
        <f t="shared" si="73"/>
        <v>0</v>
      </c>
      <c r="DN9" s="774">
        <f t="shared" si="74"/>
        <v>17.233333333333334</v>
      </c>
      <c r="DO9" s="503">
        <f t="shared" si="75"/>
        <v>34.466666666666669</v>
      </c>
      <c r="DP9" s="503">
        <f t="shared" si="76"/>
        <v>34.466666666666669</v>
      </c>
      <c r="DQ9" s="503">
        <f t="shared" si="77"/>
        <v>34.466666666666669</v>
      </c>
      <c r="DR9" s="503">
        <f t="shared" si="78"/>
        <v>34.466666666666669</v>
      </c>
      <c r="DS9" s="503">
        <f t="shared" si="79"/>
        <v>34.466666666666669</v>
      </c>
      <c r="DT9" s="776">
        <f t="shared" si="80"/>
        <v>34.466666666666669</v>
      </c>
      <c r="DU9" s="511">
        <f t="shared" si="81"/>
        <v>316.62236044613138</v>
      </c>
      <c r="DV9" s="511">
        <f t="shared" si="82"/>
        <v>633.24472089226276</v>
      </c>
      <c r="DW9" s="511">
        <f t="shared" si="83"/>
        <v>633.24472089226276</v>
      </c>
      <c r="DX9" s="511">
        <f t="shared" si="84"/>
        <v>633.24472089226276</v>
      </c>
      <c r="DY9" s="511">
        <f t="shared" si="85"/>
        <v>633.24472089226276</v>
      </c>
      <c r="DZ9" s="511">
        <f t="shared" si="86"/>
        <v>633.24472089226276</v>
      </c>
      <c r="EA9" s="539">
        <f t="shared" si="87"/>
        <v>633.24472089226276</v>
      </c>
      <c r="EB9" s="722">
        <f t="shared" si="88"/>
        <v>1.5727978776865971E-2</v>
      </c>
      <c r="EC9" s="511">
        <f t="shared" si="89"/>
        <v>3.1455957553731942E-2</v>
      </c>
      <c r="ED9" s="511">
        <f t="shared" si="90"/>
        <v>3.1455957553731942E-2</v>
      </c>
      <c r="EE9" s="511">
        <f t="shared" si="91"/>
        <v>3.1455957553731942E-2</v>
      </c>
      <c r="EF9" s="511">
        <f t="shared" si="92"/>
        <v>3.1455957553731942E-2</v>
      </c>
      <c r="EG9" s="511">
        <f t="shared" si="93"/>
        <v>3.1455957553731942E-2</v>
      </c>
      <c r="EH9" s="723">
        <f t="shared" si="94"/>
        <v>3.1455957553731942E-2</v>
      </c>
      <c r="EI9" s="722">
        <f t="shared" si="95"/>
        <v>11.343312685343101</v>
      </c>
      <c r="EJ9" s="511">
        <f t="shared" si="96"/>
        <v>22.686625370686201</v>
      </c>
      <c r="EK9" s="511">
        <f t="shared" si="97"/>
        <v>22.686625370686201</v>
      </c>
      <c r="EL9" s="511">
        <f t="shared" si="98"/>
        <v>22.686625370686201</v>
      </c>
      <c r="EM9" s="511">
        <f t="shared" si="99"/>
        <v>22.686625370686201</v>
      </c>
      <c r="EN9" s="511">
        <f t="shared" si="100"/>
        <v>22.686625370686201</v>
      </c>
      <c r="EO9" s="723">
        <f t="shared" si="101"/>
        <v>22.686625370686201</v>
      </c>
      <c r="EP9" s="722">
        <f t="shared" si="102"/>
        <v>130</v>
      </c>
      <c r="EQ9" s="503">
        <f t="shared" si="103"/>
        <v>0</v>
      </c>
      <c r="ER9" s="503">
        <f t="shared" si="104"/>
        <v>0</v>
      </c>
      <c r="ES9" s="503">
        <f t="shared" si="105"/>
        <v>0</v>
      </c>
      <c r="ET9" s="503">
        <f t="shared" si="106"/>
        <v>224.03333333333336</v>
      </c>
      <c r="EU9" s="511">
        <f t="shared" si="107"/>
        <v>4116.0906857997079</v>
      </c>
      <c r="EV9" s="511">
        <f t="shared" si="108"/>
        <v>0.20446372409925762</v>
      </c>
      <c r="EW9" s="511">
        <f t="shared" si="109"/>
        <v>147.46306490946029</v>
      </c>
      <c r="EY9" s="10" t="b">
        <f t="shared" si="42"/>
        <v>1</v>
      </c>
      <c r="EZ9" s="10" t="b">
        <f t="shared" si="42"/>
        <v>1</v>
      </c>
      <c r="FA9" s="10" t="b">
        <f t="shared" si="42"/>
        <v>1</v>
      </c>
      <c r="FB9" s="10" t="b">
        <f t="shared" si="42"/>
        <v>1</v>
      </c>
      <c r="FC9" s="10" t="b">
        <f t="shared" si="42"/>
        <v>1</v>
      </c>
      <c r="FD9" s="10" t="b">
        <f t="shared" si="42"/>
        <v>1</v>
      </c>
      <c r="FE9" s="10" t="b">
        <f t="shared" si="42"/>
        <v>1</v>
      </c>
      <c r="FF9" s="10" t="b">
        <f t="shared" si="42"/>
        <v>1</v>
      </c>
    </row>
    <row r="10" spans="1:162" s="10" customFormat="1" ht="12.75" customHeight="1">
      <c r="A10" s="662">
        <v>5</v>
      </c>
      <c r="B10" s="663" t="s">
        <v>1159</v>
      </c>
      <c r="C10" s="663" t="s">
        <v>760</v>
      </c>
      <c r="D10" s="663" t="s">
        <v>761</v>
      </c>
      <c r="E10" s="663" t="s">
        <v>331</v>
      </c>
      <c r="F10" s="704" t="s">
        <v>372</v>
      </c>
      <c r="G10" s="989">
        <v>0</v>
      </c>
      <c r="H10" s="989">
        <v>0</v>
      </c>
      <c r="I10" s="989">
        <v>0</v>
      </c>
      <c r="J10" s="989">
        <v>0</v>
      </c>
      <c r="K10" s="989">
        <v>0</v>
      </c>
      <c r="L10" s="990"/>
      <c r="M10" s="707">
        <v>0</v>
      </c>
      <c r="N10" s="707">
        <v>0</v>
      </c>
      <c r="O10" s="707">
        <v>0</v>
      </c>
      <c r="P10" s="989">
        <f>B43</f>
        <v>8.1166666666666654</v>
      </c>
      <c r="Q10" s="710">
        <f t="shared" ref="Q10:R11" si="116">AVERAGE(N67,N74)</f>
        <v>107.53725562445049</v>
      </c>
      <c r="R10" s="710">
        <f t="shared" si="116"/>
        <v>9.3813961019929698E-3</v>
      </c>
      <c r="S10" s="710">
        <f>AVERAGE(P67,P74)</f>
        <v>3.8526297200015622</v>
      </c>
      <c r="T10" s="992" t="s">
        <v>762</v>
      </c>
      <c r="U10" s="712">
        <v>0</v>
      </c>
      <c r="V10" s="713">
        <v>1</v>
      </c>
      <c r="W10" s="714">
        <v>4</v>
      </c>
      <c r="X10" s="714">
        <v>4</v>
      </c>
      <c r="Y10" s="714">
        <v>8</v>
      </c>
      <c r="Z10" s="714">
        <f t="shared" si="43"/>
        <v>8</v>
      </c>
      <c r="AA10" s="714">
        <f t="shared" si="43"/>
        <v>8</v>
      </c>
      <c r="AB10" s="714">
        <f t="shared" si="43"/>
        <v>8</v>
      </c>
      <c r="AC10" s="714">
        <f t="shared" si="43"/>
        <v>8</v>
      </c>
      <c r="AD10" s="714">
        <f t="shared" si="43"/>
        <v>8</v>
      </c>
      <c r="AE10" s="711" t="s">
        <v>374</v>
      </c>
      <c r="AF10" s="711" t="s">
        <v>742</v>
      </c>
      <c r="AG10" s="663" t="s">
        <v>1146</v>
      </c>
      <c r="AH10" s="711" t="s">
        <v>753</v>
      </c>
      <c r="AI10" s="711" t="s">
        <v>1</v>
      </c>
      <c r="AJ10" s="711" t="s">
        <v>378</v>
      </c>
      <c r="AK10" s="711" t="s">
        <v>378</v>
      </c>
      <c r="AL10" s="711" t="s">
        <v>378</v>
      </c>
      <c r="AM10" s="715" t="s">
        <v>1158</v>
      </c>
      <c r="AN10" s="711" t="s">
        <v>1147</v>
      </c>
      <c r="AO10" s="715" t="s">
        <v>746</v>
      </c>
      <c r="AP10" s="711">
        <v>10</v>
      </c>
      <c r="AQ10" s="711">
        <v>10</v>
      </c>
      <c r="AR10" s="913" t="s">
        <v>756</v>
      </c>
      <c r="AS10" s="716">
        <v>1</v>
      </c>
      <c r="AT10" s="716">
        <v>1</v>
      </c>
      <c r="AU10" s="716">
        <v>1</v>
      </c>
      <c r="AV10" s="774">
        <f t="shared" si="44"/>
        <v>0</v>
      </c>
      <c r="AW10" s="503">
        <f t="shared" si="2"/>
        <v>0</v>
      </c>
      <c r="AX10" s="503">
        <f t="shared" si="3"/>
        <v>0</v>
      </c>
      <c r="AY10" s="503">
        <f t="shared" si="4"/>
        <v>0</v>
      </c>
      <c r="AZ10" s="503">
        <f t="shared" si="5"/>
        <v>0</v>
      </c>
      <c r="BA10" s="503">
        <f t="shared" si="6"/>
        <v>0</v>
      </c>
      <c r="BB10" s="776">
        <f t="shared" si="7"/>
        <v>0</v>
      </c>
      <c r="BC10" s="774">
        <f t="shared" si="45"/>
        <v>0</v>
      </c>
      <c r="BD10" s="503">
        <f t="shared" si="8"/>
        <v>0</v>
      </c>
      <c r="BE10" s="503">
        <f t="shared" si="9"/>
        <v>0</v>
      </c>
      <c r="BF10" s="503">
        <f t="shared" si="10"/>
        <v>0</v>
      </c>
      <c r="BG10" s="503">
        <f t="shared" si="11"/>
        <v>0</v>
      </c>
      <c r="BH10" s="503">
        <f t="shared" si="12"/>
        <v>0</v>
      </c>
      <c r="BI10" s="776">
        <f t="shared" si="13"/>
        <v>0</v>
      </c>
      <c r="BJ10" s="774">
        <f t="shared" si="46"/>
        <v>0</v>
      </c>
      <c r="BK10" s="503">
        <f t="shared" si="14"/>
        <v>0</v>
      </c>
      <c r="BL10" s="503">
        <f t="shared" si="15"/>
        <v>0</v>
      </c>
      <c r="BM10" s="503">
        <f t="shared" si="16"/>
        <v>0</v>
      </c>
      <c r="BN10" s="503">
        <f t="shared" si="17"/>
        <v>0</v>
      </c>
      <c r="BO10" s="503">
        <f t="shared" si="18"/>
        <v>0</v>
      </c>
      <c r="BP10" s="776">
        <f t="shared" si="19"/>
        <v>0</v>
      </c>
      <c r="BQ10" s="497">
        <f t="shared" si="20"/>
        <v>8.1166666666666654</v>
      </c>
      <c r="BR10" s="503">
        <f t="shared" si="20"/>
        <v>8.1166666666666654</v>
      </c>
      <c r="BS10" s="503">
        <f t="shared" si="20"/>
        <v>8.1166666666666654</v>
      </c>
      <c r="BT10" s="503">
        <f t="shared" si="20"/>
        <v>8.1166666666666654</v>
      </c>
      <c r="BU10" s="503">
        <f t="shared" si="20"/>
        <v>8.1166666666666654</v>
      </c>
      <c r="BV10" s="503">
        <f t="shared" si="20"/>
        <v>8.1166666666666654</v>
      </c>
      <c r="BW10" s="645">
        <f t="shared" si="20"/>
        <v>8.1166666666666654</v>
      </c>
      <c r="BX10" s="722">
        <f t="shared" si="47"/>
        <v>107.53725562445049</v>
      </c>
      <c r="BY10" s="511">
        <f t="shared" si="48"/>
        <v>107.53725562445049</v>
      </c>
      <c r="BZ10" s="511">
        <f t="shared" si="49"/>
        <v>107.53725562445049</v>
      </c>
      <c r="CA10" s="511">
        <f t="shared" si="50"/>
        <v>107.53725562445049</v>
      </c>
      <c r="CB10" s="511">
        <f t="shared" si="51"/>
        <v>107.53725562445049</v>
      </c>
      <c r="CC10" s="511">
        <f t="shared" si="52"/>
        <v>107.53725562445049</v>
      </c>
      <c r="CD10" s="723">
        <f t="shared" si="53"/>
        <v>107.53725562445049</v>
      </c>
      <c r="CE10" s="722">
        <f t="shared" si="54"/>
        <v>9.3813961019929698E-3</v>
      </c>
      <c r="CF10" s="511">
        <f t="shared" si="23"/>
        <v>9.3813961019929698E-3</v>
      </c>
      <c r="CG10" s="511">
        <f t="shared" si="24"/>
        <v>9.3813961019929698E-3</v>
      </c>
      <c r="CH10" s="511">
        <f t="shared" si="25"/>
        <v>9.3813961019929698E-3</v>
      </c>
      <c r="CI10" s="511">
        <f t="shared" si="26"/>
        <v>9.3813961019929698E-3</v>
      </c>
      <c r="CJ10" s="511">
        <f t="shared" si="27"/>
        <v>9.3813961019929698E-3</v>
      </c>
      <c r="CK10" s="511">
        <f t="shared" si="28"/>
        <v>9.3813961019929698E-3</v>
      </c>
      <c r="CL10" s="511">
        <f t="shared" si="55"/>
        <v>3.8526297200015622</v>
      </c>
      <c r="CM10" s="511">
        <f t="shared" ref="CM10:CM11" si="117">CL10</f>
        <v>3.8526297200015622</v>
      </c>
      <c r="CN10" s="511">
        <f t="shared" si="30"/>
        <v>3.8526297200015622</v>
      </c>
      <c r="CO10" s="511">
        <f t="shared" si="31"/>
        <v>3.8526297200015622</v>
      </c>
      <c r="CP10" s="511">
        <f t="shared" si="32"/>
        <v>3.8526297200015622</v>
      </c>
      <c r="CQ10" s="511">
        <f t="shared" si="33"/>
        <v>3.8526297200015622</v>
      </c>
      <c r="CR10" s="511">
        <f t="shared" si="34"/>
        <v>3.8526297200015622</v>
      </c>
      <c r="CS10" s="774">
        <f t="shared" si="35"/>
        <v>0</v>
      </c>
      <c r="CT10" s="503">
        <f t="shared" si="35"/>
        <v>0</v>
      </c>
      <c r="CU10" s="503">
        <f t="shared" si="56"/>
        <v>0</v>
      </c>
      <c r="CV10" s="503">
        <f t="shared" si="57"/>
        <v>0</v>
      </c>
      <c r="CW10" s="503">
        <f t="shared" si="58"/>
        <v>0</v>
      </c>
      <c r="CX10" s="503">
        <f t="shared" si="59"/>
        <v>0</v>
      </c>
      <c r="CY10" s="776">
        <f t="shared" si="60"/>
        <v>0</v>
      </c>
      <c r="CZ10" s="774">
        <f t="shared" ref="CZ10:CZ11" si="118">X10*BC10</f>
        <v>0</v>
      </c>
      <c r="DA10" s="503">
        <f t="shared" ref="DA10:DA11" si="119">Y10*BD10</f>
        <v>0</v>
      </c>
      <c r="DB10" s="503">
        <f t="shared" ref="DB10:DB11" si="120">Z10*BE10</f>
        <v>0</v>
      </c>
      <c r="DC10" s="503">
        <f t="shared" ref="DC10:DC11" si="121">AA10*BF10</f>
        <v>0</v>
      </c>
      <c r="DD10" s="503">
        <f t="shared" ref="DD10:DD11" si="122">AB10*BG10</f>
        <v>0</v>
      </c>
      <c r="DE10" s="503">
        <f t="shared" ref="DE10:DE11" si="123">AC10*BH10</f>
        <v>0</v>
      </c>
      <c r="DF10" s="776">
        <f t="shared" ref="DF10:DF11" si="124">AD10*BI10</f>
        <v>0</v>
      </c>
      <c r="DG10" s="774">
        <f t="shared" ref="DG10:DG11" si="125">X10*BJ10</f>
        <v>0</v>
      </c>
      <c r="DH10" s="503">
        <f t="shared" ref="DH10:DH11" si="126">Y10*BK10</f>
        <v>0</v>
      </c>
      <c r="DI10" s="503">
        <f t="shared" ref="DI10:DI11" si="127">Z10*BL10</f>
        <v>0</v>
      </c>
      <c r="DJ10" s="503">
        <f t="shared" ref="DJ10:DJ11" si="128">AA10*BM10</f>
        <v>0</v>
      </c>
      <c r="DK10" s="503">
        <f t="shared" ref="DK10:DK11" si="129">AB10*BN10</f>
        <v>0</v>
      </c>
      <c r="DL10" s="503">
        <f t="shared" ref="DL10:DL11" si="130">AC10*BO10</f>
        <v>0</v>
      </c>
      <c r="DM10" s="776">
        <f t="shared" ref="DM10:DM11" si="131">AD10*BP10</f>
        <v>0</v>
      </c>
      <c r="DN10" s="774">
        <f t="shared" si="74"/>
        <v>32.466666666666661</v>
      </c>
      <c r="DO10" s="503">
        <f t="shared" si="75"/>
        <v>64.933333333333323</v>
      </c>
      <c r="DP10" s="503">
        <f t="shared" si="76"/>
        <v>64.933333333333323</v>
      </c>
      <c r="DQ10" s="503">
        <f t="shared" si="77"/>
        <v>64.933333333333323</v>
      </c>
      <c r="DR10" s="503">
        <f t="shared" si="78"/>
        <v>64.933333333333323</v>
      </c>
      <c r="DS10" s="503">
        <f t="shared" si="79"/>
        <v>64.933333333333323</v>
      </c>
      <c r="DT10" s="776">
        <f t="shared" si="80"/>
        <v>64.933333333333323</v>
      </c>
      <c r="DU10" s="511">
        <f t="shared" ref="DU10:DU11" si="132">X10*BX10</f>
        <v>430.14902249780198</v>
      </c>
      <c r="DV10" s="511">
        <f t="shared" ref="DV10:DV11" si="133">Y10*BY10</f>
        <v>860.29804499560396</v>
      </c>
      <c r="DW10" s="511">
        <f t="shared" ref="DW10:DW11" si="134">Z10*BZ10</f>
        <v>860.29804499560396</v>
      </c>
      <c r="DX10" s="511">
        <f t="shared" ref="DX10:DX11" si="135">AA10*CA10</f>
        <v>860.29804499560396</v>
      </c>
      <c r="DY10" s="511">
        <f t="shared" ref="DY10:DY11" si="136">AB10*CB10</f>
        <v>860.29804499560396</v>
      </c>
      <c r="DZ10" s="511">
        <f t="shared" ref="DZ10:DZ11" si="137">AC10*CC10</f>
        <v>860.29804499560396</v>
      </c>
      <c r="EA10" s="539">
        <f t="shared" ref="EA10:EA11" si="138">AD10*CD10</f>
        <v>860.29804499560396</v>
      </c>
      <c r="EB10" s="722">
        <f t="shared" ref="EB10:EB11" si="139">X10*CE10</f>
        <v>3.7525584407971879E-2</v>
      </c>
      <c r="EC10" s="511">
        <f t="shared" ref="EC10:EC11" si="140">Y10*CF10</f>
        <v>7.5051168815943758E-2</v>
      </c>
      <c r="ED10" s="511">
        <f t="shared" ref="ED10:ED11" si="141">Z10*CG10</f>
        <v>7.5051168815943758E-2</v>
      </c>
      <c r="EE10" s="511">
        <f t="shared" ref="EE10:EE11" si="142">AA10*CH10</f>
        <v>7.5051168815943758E-2</v>
      </c>
      <c r="EF10" s="511">
        <f t="shared" ref="EF10:EF11" si="143">AB10*CI10</f>
        <v>7.5051168815943758E-2</v>
      </c>
      <c r="EG10" s="511">
        <f t="shared" ref="EG10:EG11" si="144">AC10*CJ10</f>
        <v>7.5051168815943758E-2</v>
      </c>
      <c r="EH10" s="723">
        <f t="shared" ref="EH10:EH11" si="145">AD10*CK10</f>
        <v>7.5051168815943758E-2</v>
      </c>
      <c r="EI10" s="722">
        <f t="shared" ref="EI10:EI11" si="146">X10*CL10</f>
        <v>15.410518880006249</v>
      </c>
      <c r="EJ10" s="511">
        <f t="shared" ref="EJ10:EJ11" si="147">Y10*CM10</f>
        <v>30.821037760012498</v>
      </c>
      <c r="EK10" s="511">
        <f t="shared" ref="EK10:EK11" si="148">Z10*CN10</f>
        <v>30.821037760012498</v>
      </c>
      <c r="EL10" s="511">
        <f t="shared" ref="EL10:EL11" si="149">AA10*CO10</f>
        <v>30.821037760012498</v>
      </c>
      <c r="EM10" s="511">
        <f t="shared" ref="EM10:EM11" si="150">AB10*CP10</f>
        <v>30.821037760012498</v>
      </c>
      <c r="EN10" s="511">
        <f t="shared" ref="EN10:EN11" si="151">AC10*CQ10</f>
        <v>30.821037760012498</v>
      </c>
      <c r="EO10" s="723">
        <f t="shared" ref="EO10:EO11" si="152">AD10*CR10</f>
        <v>30.821037760012498</v>
      </c>
      <c r="EP10" s="722">
        <f t="shared" si="102"/>
        <v>52</v>
      </c>
      <c r="EQ10" s="503">
        <f t="shared" si="103"/>
        <v>0</v>
      </c>
      <c r="ER10" s="503">
        <f t="shared" si="104"/>
        <v>0</v>
      </c>
      <c r="ES10" s="503">
        <f t="shared" si="105"/>
        <v>0</v>
      </c>
      <c r="ET10" s="503">
        <f t="shared" si="106"/>
        <v>422.06666666666666</v>
      </c>
      <c r="EU10" s="511">
        <f t="shared" si="107"/>
        <v>5591.9372924714253</v>
      </c>
      <c r="EV10" s="511">
        <f t="shared" si="108"/>
        <v>0.48783259730363443</v>
      </c>
      <c r="EW10" s="511">
        <f t="shared" si="109"/>
        <v>200.33674544008124</v>
      </c>
      <c r="EY10" s="10" t="b">
        <f t="shared" si="42"/>
        <v>1</v>
      </c>
      <c r="EZ10" s="10" t="b">
        <f t="shared" si="42"/>
        <v>1</v>
      </c>
      <c r="FA10" s="10" t="b">
        <f t="shared" si="42"/>
        <v>1</v>
      </c>
      <c r="FB10" s="10" t="b">
        <f t="shared" si="42"/>
        <v>1</v>
      </c>
      <c r="FC10" s="10" t="b">
        <f t="shared" si="42"/>
        <v>1</v>
      </c>
      <c r="FD10" s="10" t="b">
        <f t="shared" si="42"/>
        <v>1</v>
      </c>
      <c r="FE10" s="10" t="b">
        <f t="shared" si="42"/>
        <v>1</v>
      </c>
      <c r="FF10" s="10" t="b">
        <f t="shared" si="42"/>
        <v>1</v>
      </c>
    </row>
    <row r="11" spans="1:162" s="10" customFormat="1" ht="12.75" customHeight="1">
      <c r="A11" s="662">
        <v>6</v>
      </c>
      <c r="B11" s="663" t="s">
        <v>1160</v>
      </c>
      <c r="C11" s="663" t="s">
        <v>1161</v>
      </c>
      <c r="D11" s="663" t="s">
        <v>1162</v>
      </c>
      <c r="E11" s="663" t="s">
        <v>331</v>
      </c>
      <c r="F11" s="704" t="s">
        <v>372</v>
      </c>
      <c r="G11" s="989">
        <v>0</v>
      </c>
      <c r="H11" s="989">
        <v>0</v>
      </c>
      <c r="I11" s="989">
        <v>0</v>
      </c>
      <c r="J11" s="989">
        <v>0</v>
      </c>
      <c r="K11" s="989">
        <v>0</v>
      </c>
      <c r="L11" s="990"/>
      <c r="M11" s="707">
        <v>0</v>
      </c>
      <c r="N11" s="707">
        <v>0</v>
      </c>
      <c r="O11" s="707">
        <v>0</v>
      </c>
      <c r="P11" s="989">
        <f>B57</f>
        <v>43.49</v>
      </c>
      <c r="Q11" s="710">
        <f t="shared" si="116"/>
        <v>922.21347445032825</v>
      </c>
      <c r="R11" s="710">
        <f t="shared" si="116"/>
        <v>0</v>
      </c>
      <c r="S11" s="710">
        <f>AVERAGE(P68,P75)</f>
        <v>34.892447436000005</v>
      </c>
      <c r="T11" s="992" t="s">
        <v>1163</v>
      </c>
      <c r="U11" s="712">
        <v>0</v>
      </c>
      <c r="V11" s="713">
        <v>1</v>
      </c>
      <c r="W11" s="714">
        <v>4</v>
      </c>
      <c r="X11" s="714">
        <v>4</v>
      </c>
      <c r="Y11" s="714">
        <v>8</v>
      </c>
      <c r="Z11" s="714">
        <f t="shared" si="43"/>
        <v>8</v>
      </c>
      <c r="AA11" s="714">
        <f t="shared" si="43"/>
        <v>8</v>
      </c>
      <c r="AB11" s="714">
        <f t="shared" si="43"/>
        <v>8</v>
      </c>
      <c r="AC11" s="714">
        <f t="shared" si="43"/>
        <v>8</v>
      </c>
      <c r="AD11" s="714">
        <f t="shared" si="43"/>
        <v>8</v>
      </c>
      <c r="AE11" s="711" t="s">
        <v>374</v>
      </c>
      <c r="AF11" s="711" t="s">
        <v>742</v>
      </c>
      <c r="AG11" s="663" t="s">
        <v>1146</v>
      </c>
      <c r="AH11" s="711" t="s">
        <v>753</v>
      </c>
      <c r="AI11" s="711" t="s">
        <v>1</v>
      </c>
      <c r="AJ11" s="711" t="s">
        <v>378</v>
      </c>
      <c r="AK11" s="711" t="s">
        <v>378</v>
      </c>
      <c r="AL11" s="711" t="s">
        <v>378</v>
      </c>
      <c r="AM11" s="715" t="s">
        <v>1158</v>
      </c>
      <c r="AN11" s="711" t="s">
        <v>1147</v>
      </c>
      <c r="AO11" s="715" t="s">
        <v>746</v>
      </c>
      <c r="AP11" s="711">
        <v>5</v>
      </c>
      <c r="AQ11" s="711">
        <v>5</v>
      </c>
      <c r="AR11" s="913" t="s">
        <v>756</v>
      </c>
      <c r="AS11" s="716">
        <v>1</v>
      </c>
      <c r="AT11" s="716">
        <v>1</v>
      </c>
      <c r="AU11" s="716">
        <v>1</v>
      </c>
      <c r="AV11" s="774">
        <f t="shared" si="44"/>
        <v>0</v>
      </c>
      <c r="AW11" s="503">
        <f t="shared" si="2"/>
        <v>0</v>
      </c>
      <c r="AX11" s="503">
        <f t="shared" si="3"/>
        <v>0</v>
      </c>
      <c r="AY11" s="503">
        <f t="shared" si="4"/>
        <v>0</v>
      </c>
      <c r="AZ11" s="503">
        <f t="shared" si="5"/>
        <v>0</v>
      </c>
      <c r="BA11" s="503">
        <f t="shared" si="6"/>
        <v>0</v>
      </c>
      <c r="BB11" s="776">
        <f t="shared" si="7"/>
        <v>0</v>
      </c>
      <c r="BC11" s="774">
        <f t="shared" si="45"/>
        <v>0</v>
      </c>
      <c r="BD11" s="503">
        <f t="shared" si="8"/>
        <v>0</v>
      </c>
      <c r="BE11" s="503">
        <f t="shared" si="9"/>
        <v>0</v>
      </c>
      <c r="BF11" s="503">
        <f t="shared" si="10"/>
        <v>0</v>
      </c>
      <c r="BG11" s="503">
        <f t="shared" si="11"/>
        <v>0</v>
      </c>
      <c r="BH11" s="503">
        <f t="shared" si="12"/>
        <v>0</v>
      </c>
      <c r="BI11" s="776">
        <f t="shared" si="13"/>
        <v>0</v>
      </c>
      <c r="BJ11" s="774">
        <f t="shared" si="46"/>
        <v>0</v>
      </c>
      <c r="BK11" s="503">
        <f t="shared" si="14"/>
        <v>0</v>
      </c>
      <c r="BL11" s="503">
        <f t="shared" si="15"/>
        <v>0</v>
      </c>
      <c r="BM11" s="503">
        <f t="shared" si="16"/>
        <v>0</v>
      </c>
      <c r="BN11" s="503">
        <f t="shared" si="17"/>
        <v>0</v>
      </c>
      <c r="BO11" s="503">
        <f t="shared" si="18"/>
        <v>0</v>
      </c>
      <c r="BP11" s="776">
        <f t="shared" si="19"/>
        <v>0</v>
      </c>
      <c r="BQ11" s="497">
        <f t="shared" si="20"/>
        <v>43.49</v>
      </c>
      <c r="BR11" s="503">
        <f t="shared" si="20"/>
        <v>43.49</v>
      </c>
      <c r="BS11" s="503">
        <f t="shared" si="20"/>
        <v>43.49</v>
      </c>
      <c r="BT11" s="503">
        <f t="shared" si="20"/>
        <v>43.49</v>
      </c>
      <c r="BU11" s="503">
        <f t="shared" si="20"/>
        <v>43.49</v>
      </c>
      <c r="BV11" s="503">
        <f t="shared" si="20"/>
        <v>43.49</v>
      </c>
      <c r="BW11" s="645">
        <f t="shared" si="20"/>
        <v>43.49</v>
      </c>
      <c r="BX11" s="722">
        <f t="shared" si="47"/>
        <v>922.21347445032825</v>
      </c>
      <c r="BY11" s="511">
        <f t="shared" si="48"/>
        <v>922.21347445032825</v>
      </c>
      <c r="BZ11" s="511">
        <f t="shared" si="49"/>
        <v>922.21347445032825</v>
      </c>
      <c r="CA11" s="511">
        <f t="shared" si="50"/>
        <v>922.21347445032825</v>
      </c>
      <c r="CB11" s="511">
        <f t="shared" si="51"/>
        <v>922.21347445032825</v>
      </c>
      <c r="CC11" s="511">
        <f t="shared" si="52"/>
        <v>922.21347445032825</v>
      </c>
      <c r="CD11" s="723">
        <f t="shared" si="53"/>
        <v>922.21347445032825</v>
      </c>
      <c r="CE11" s="722">
        <f t="shared" si="54"/>
        <v>0</v>
      </c>
      <c r="CF11" s="511">
        <f t="shared" si="23"/>
        <v>0</v>
      </c>
      <c r="CG11" s="511">
        <f t="shared" si="24"/>
        <v>0</v>
      </c>
      <c r="CH11" s="511">
        <f t="shared" si="25"/>
        <v>0</v>
      </c>
      <c r="CI11" s="511">
        <f t="shared" si="26"/>
        <v>0</v>
      </c>
      <c r="CJ11" s="511">
        <f t="shared" si="27"/>
        <v>0</v>
      </c>
      <c r="CK11" s="511">
        <f t="shared" si="28"/>
        <v>0</v>
      </c>
      <c r="CL11" s="511">
        <f t="shared" si="55"/>
        <v>34.892447436000005</v>
      </c>
      <c r="CM11" s="511">
        <f t="shared" si="117"/>
        <v>34.892447436000005</v>
      </c>
      <c r="CN11" s="511">
        <f t="shared" si="30"/>
        <v>34.892447436000005</v>
      </c>
      <c r="CO11" s="511">
        <f t="shared" si="31"/>
        <v>34.892447436000005</v>
      </c>
      <c r="CP11" s="511">
        <f t="shared" si="32"/>
        <v>34.892447436000005</v>
      </c>
      <c r="CQ11" s="511">
        <f t="shared" si="33"/>
        <v>34.892447436000005</v>
      </c>
      <c r="CR11" s="511">
        <f t="shared" si="34"/>
        <v>34.892447436000005</v>
      </c>
      <c r="CS11" s="774">
        <f t="shared" si="35"/>
        <v>0</v>
      </c>
      <c r="CT11" s="503">
        <f t="shared" si="35"/>
        <v>0</v>
      </c>
      <c r="CU11" s="503">
        <f t="shared" si="56"/>
        <v>0</v>
      </c>
      <c r="CV11" s="503">
        <f t="shared" si="57"/>
        <v>0</v>
      </c>
      <c r="CW11" s="503">
        <f t="shared" si="58"/>
        <v>0</v>
      </c>
      <c r="CX11" s="503">
        <f t="shared" si="59"/>
        <v>0</v>
      </c>
      <c r="CY11" s="776">
        <f t="shared" si="60"/>
        <v>0</v>
      </c>
      <c r="CZ11" s="774">
        <f t="shared" si="118"/>
        <v>0</v>
      </c>
      <c r="DA11" s="503">
        <f t="shared" si="119"/>
        <v>0</v>
      </c>
      <c r="DB11" s="503">
        <f t="shared" si="120"/>
        <v>0</v>
      </c>
      <c r="DC11" s="503">
        <f t="shared" si="121"/>
        <v>0</v>
      </c>
      <c r="DD11" s="503">
        <f t="shared" si="122"/>
        <v>0</v>
      </c>
      <c r="DE11" s="503">
        <f t="shared" si="123"/>
        <v>0</v>
      </c>
      <c r="DF11" s="776">
        <f t="shared" si="124"/>
        <v>0</v>
      </c>
      <c r="DG11" s="774">
        <f t="shared" si="125"/>
        <v>0</v>
      </c>
      <c r="DH11" s="503">
        <f t="shared" si="126"/>
        <v>0</v>
      </c>
      <c r="DI11" s="503">
        <f t="shared" si="127"/>
        <v>0</v>
      </c>
      <c r="DJ11" s="503">
        <f t="shared" si="128"/>
        <v>0</v>
      </c>
      <c r="DK11" s="503">
        <f t="shared" si="129"/>
        <v>0</v>
      </c>
      <c r="DL11" s="503">
        <f t="shared" si="130"/>
        <v>0</v>
      </c>
      <c r="DM11" s="776">
        <f t="shared" si="131"/>
        <v>0</v>
      </c>
      <c r="DN11" s="774">
        <f t="shared" ref="DN11" si="153">BQ11*X11</f>
        <v>173.96</v>
      </c>
      <c r="DO11" s="503">
        <f t="shared" ref="DO11" si="154">BR11*Y11</f>
        <v>347.92</v>
      </c>
      <c r="DP11" s="503">
        <f t="shared" ref="DP11" si="155">BS11*Z11</f>
        <v>347.92</v>
      </c>
      <c r="DQ11" s="503">
        <f t="shared" ref="DQ11" si="156">BT11*AA11</f>
        <v>347.92</v>
      </c>
      <c r="DR11" s="503">
        <f t="shared" ref="DR11" si="157">BU11*AB11</f>
        <v>347.92</v>
      </c>
      <c r="DS11" s="503">
        <f t="shared" ref="DS11" si="158">BV11*AC11</f>
        <v>347.92</v>
      </c>
      <c r="DT11" s="776">
        <f t="shared" ref="DT11" si="159">BW11*AD11</f>
        <v>347.92</v>
      </c>
      <c r="DU11" s="511">
        <f t="shared" si="132"/>
        <v>3688.853897801313</v>
      </c>
      <c r="DV11" s="511">
        <f t="shared" si="133"/>
        <v>7377.707795602626</v>
      </c>
      <c r="DW11" s="511">
        <f t="shared" si="134"/>
        <v>7377.707795602626</v>
      </c>
      <c r="DX11" s="511">
        <f t="shared" si="135"/>
        <v>7377.707795602626</v>
      </c>
      <c r="DY11" s="511">
        <f t="shared" si="136"/>
        <v>7377.707795602626</v>
      </c>
      <c r="DZ11" s="511">
        <f t="shared" si="137"/>
        <v>7377.707795602626</v>
      </c>
      <c r="EA11" s="539">
        <f t="shared" si="138"/>
        <v>7377.707795602626</v>
      </c>
      <c r="EB11" s="722">
        <f t="shared" si="139"/>
        <v>0</v>
      </c>
      <c r="EC11" s="511">
        <f t="shared" si="140"/>
        <v>0</v>
      </c>
      <c r="ED11" s="511">
        <f t="shared" si="141"/>
        <v>0</v>
      </c>
      <c r="EE11" s="511">
        <f t="shared" si="142"/>
        <v>0</v>
      </c>
      <c r="EF11" s="511">
        <f t="shared" si="143"/>
        <v>0</v>
      </c>
      <c r="EG11" s="511">
        <f t="shared" si="144"/>
        <v>0</v>
      </c>
      <c r="EH11" s="723">
        <f t="shared" si="145"/>
        <v>0</v>
      </c>
      <c r="EI11" s="722">
        <f t="shared" si="146"/>
        <v>139.56978974400002</v>
      </c>
      <c r="EJ11" s="511">
        <f t="shared" si="147"/>
        <v>279.13957948800004</v>
      </c>
      <c r="EK11" s="511">
        <f t="shared" si="148"/>
        <v>279.13957948800004</v>
      </c>
      <c r="EL11" s="511">
        <f t="shared" si="149"/>
        <v>279.13957948800004</v>
      </c>
      <c r="EM11" s="511">
        <f t="shared" si="150"/>
        <v>279.13957948800004</v>
      </c>
      <c r="EN11" s="511">
        <f t="shared" si="151"/>
        <v>279.13957948800004</v>
      </c>
      <c r="EO11" s="723">
        <f t="shared" si="152"/>
        <v>279.13957948800004</v>
      </c>
      <c r="EP11" s="722">
        <f t="shared" si="102"/>
        <v>52</v>
      </c>
      <c r="EQ11" s="503">
        <f t="shared" si="103"/>
        <v>0</v>
      </c>
      <c r="ER11" s="503">
        <f t="shared" si="104"/>
        <v>0</v>
      </c>
      <c r="ES11" s="503">
        <f t="shared" si="105"/>
        <v>0</v>
      </c>
      <c r="ET11" s="503">
        <f t="shared" si="106"/>
        <v>2261.48</v>
      </c>
      <c r="EU11" s="511">
        <f t="shared" si="107"/>
        <v>47955.100671417065</v>
      </c>
      <c r="EV11" s="511">
        <f t="shared" si="108"/>
        <v>0</v>
      </c>
      <c r="EW11" s="511">
        <f t="shared" si="109"/>
        <v>1814.4072666720001</v>
      </c>
      <c r="EY11" s="10" t="b">
        <f t="shared" si="42"/>
        <v>1</v>
      </c>
      <c r="EZ11" s="10" t="b">
        <f t="shared" si="42"/>
        <v>1</v>
      </c>
      <c r="FA11" s="10" t="b">
        <f t="shared" si="42"/>
        <v>1</v>
      </c>
      <c r="FB11" s="10" t="b">
        <f t="shared" si="42"/>
        <v>1</v>
      </c>
      <c r="FC11" s="10" t="b">
        <f t="shared" si="42"/>
        <v>1</v>
      </c>
      <c r="FD11" s="10" t="b">
        <f t="shared" si="42"/>
        <v>1</v>
      </c>
      <c r="FE11" s="10" t="b">
        <f t="shared" si="42"/>
        <v>1</v>
      </c>
      <c r="FF11" s="10" t="b">
        <f t="shared" si="42"/>
        <v>1</v>
      </c>
    </row>
    <row r="12" spans="1:162" s="10" customFormat="1" ht="12.75" customHeight="1">
      <c r="A12" s="729"/>
      <c r="B12" s="730"/>
      <c r="C12" s="730"/>
      <c r="D12" s="730"/>
      <c r="E12" s="730"/>
      <c r="F12" s="731"/>
      <c r="G12" s="731"/>
      <c r="H12" s="731"/>
      <c r="I12" s="732"/>
      <c r="J12" s="731"/>
      <c r="K12" s="732"/>
      <c r="L12" s="993"/>
      <c r="M12" s="734"/>
      <c r="N12" s="734"/>
      <c r="O12" s="734"/>
      <c r="P12" s="735"/>
      <c r="Q12" s="736"/>
      <c r="R12" s="737"/>
      <c r="S12" s="737"/>
      <c r="T12" s="993"/>
      <c r="U12" s="738"/>
      <c r="V12" s="739"/>
      <c r="W12" s="742"/>
      <c r="X12" s="742"/>
      <c r="Y12" s="742"/>
      <c r="Z12" s="742"/>
      <c r="AA12" s="742"/>
      <c r="AB12" s="742"/>
      <c r="AC12" s="742"/>
      <c r="AD12" s="742"/>
      <c r="AE12" s="733"/>
      <c r="AF12" s="733"/>
      <c r="AG12" s="733"/>
      <c r="AH12" s="733"/>
      <c r="AI12" s="733"/>
      <c r="AJ12" s="733"/>
      <c r="AK12" s="733"/>
      <c r="AL12" s="733"/>
      <c r="AM12" s="743"/>
      <c r="AN12" s="743"/>
      <c r="AO12" s="743"/>
      <c r="AP12" s="740"/>
      <c r="AQ12" s="740"/>
      <c r="AR12" s="993"/>
      <c r="AS12" s="733"/>
      <c r="AT12" s="733"/>
      <c r="AU12" s="744"/>
      <c r="AV12" s="745"/>
      <c r="AW12" s="746"/>
      <c r="AX12" s="746"/>
      <c r="AY12" s="746"/>
      <c r="AZ12" s="746"/>
      <c r="BA12" s="746"/>
      <c r="BB12" s="747"/>
      <c r="BC12" s="745"/>
      <c r="BD12" s="746"/>
      <c r="BE12" s="746"/>
      <c r="BF12" s="746"/>
      <c r="BG12" s="746"/>
      <c r="BH12" s="746"/>
      <c r="BI12" s="747"/>
      <c r="BJ12" s="745"/>
      <c r="BK12" s="746"/>
      <c r="BL12" s="746"/>
      <c r="BM12" s="746"/>
      <c r="BN12" s="746"/>
      <c r="BO12" s="746"/>
      <c r="BP12" s="747"/>
      <c r="BQ12" s="748"/>
      <c r="BR12" s="746"/>
      <c r="BS12" s="746"/>
      <c r="BT12" s="746"/>
      <c r="BU12" s="746"/>
      <c r="BV12" s="746"/>
      <c r="BW12" s="749"/>
      <c r="BX12" s="750"/>
      <c r="BY12" s="487"/>
      <c r="BZ12" s="487"/>
      <c r="CA12" s="487"/>
      <c r="CB12" s="487"/>
      <c r="CC12" s="487"/>
      <c r="CD12" s="751"/>
      <c r="CE12" s="750"/>
      <c r="CF12" s="487"/>
      <c r="CG12" s="487"/>
      <c r="CH12" s="487"/>
      <c r="CI12" s="487"/>
      <c r="CJ12" s="487"/>
      <c r="CK12" s="751"/>
      <c r="CL12" s="487"/>
      <c r="CM12" s="487"/>
      <c r="CN12" s="487"/>
      <c r="CO12" s="487"/>
      <c r="CP12" s="487"/>
      <c r="CQ12" s="487"/>
      <c r="CR12" s="513"/>
      <c r="CS12" s="752"/>
      <c r="CT12" s="492"/>
      <c r="CU12" s="492"/>
      <c r="CV12" s="492"/>
      <c r="CW12" s="492"/>
      <c r="CX12" s="492"/>
      <c r="CY12" s="753"/>
      <c r="CZ12" s="752"/>
      <c r="DA12" s="492"/>
      <c r="DB12" s="492"/>
      <c r="DC12" s="492"/>
      <c r="DD12" s="492"/>
      <c r="DE12" s="492"/>
      <c r="DF12" s="753"/>
      <c r="DG12" s="752"/>
      <c r="DH12" s="492"/>
      <c r="DI12" s="492"/>
      <c r="DJ12" s="492"/>
      <c r="DK12" s="492"/>
      <c r="DL12" s="492"/>
      <c r="DM12" s="753"/>
      <c r="DN12" s="752"/>
      <c r="DO12" s="492"/>
      <c r="DP12" s="492"/>
      <c r="DQ12" s="492"/>
      <c r="DR12" s="492"/>
      <c r="DS12" s="492"/>
      <c r="DT12" s="753"/>
      <c r="DU12" s="487"/>
      <c r="DV12" s="487"/>
      <c r="DW12" s="487"/>
      <c r="DX12" s="487"/>
      <c r="DY12" s="487"/>
      <c r="DZ12" s="487"/>
      <c r="EA12" s="513"/>
      <c r="EB12" s="750"/>
      <c r="EC12" s="487"/>
      <c r="ED12" s="487"/>
      <c r="EE12" s="487"/>
      <c r="EF12" s="487"/>
      <c r="EG12" s="487"/>
      <c r="EH12" s="751"/>
      <c r="EI12" s="750"/>
      <c r="EJ12" s="487"/>
      <c r="EK12" s="487"/>
      <c r="EL12" s="487"/>
      <c r="EM12" s="487"/>
      <c r="EN12" s="487"/>
      <c r="EO12" s="751"/>
      <c r="EP12" s="515"/>
      <c r="EQ12" s="755"/>
      <c r="ER12" s="755"/>
      <c r="ES12" s="755"/>
      <c r="ET12" s="755"/>
      <c r="EU12" s="756"/>
      <c r="EV12" s="756"/>
      <c r="EW12" s="757"/>
    </row>
    <row r="13" spans="1:162" s="10" customFormat="1" ht="12.75" customHeight="1">
      <c r="A13" s="661" t="s">
        <v>171</v>
      </c>
      <c r="B13" s="703" t="str">
        <f t="shared" ref="B13:B18" si="160">"KU-"&amp;B6</f>
        <v>KU-Small Business Audit - On Site</v>
      </c>
      <c r="C13" s="703" t="str">
        <f t="shared" ref="C13:J13" si="161">C6</f>
        <v>In person audit with no cost to customer</v>
      </c>
      <c r="D13" s="703" t="str">
        <f t="shared" si="161"/>
        <v>Existing conditions</v>
      </c>
      <c r="E13" s="703" t="str">
        <f t="shared" si="161"/>
        <v>Per Audit</v>
      </c>
      <c r="F13" s="704" t="str">
        <f t="shared" si="161"/>
        <v>Full Cost</v>
      </c>
      <c r="G13" s="704">
        <f t="shared" si="161"/>
        <v>0</v>
      </c>
      <c r="H13" s="704">
        <f t="shared" si="161"/>
        <v>0</v>
      </c>
      <c r="I13" s="869">
        <f t="shared" si="161"/>
        <v>0</v>
      </c>
      <c r="J13" s="704">
        <f t="shared" si="161"/>
        <v>0</v>
      </c>
      <c r="K13" s="994">
        <f t="shared" ref="K13" si="162">I13*0.5</f>
        <v>0</v>
      </c>
      <c r="L13" s="913" t="str">
        <f t="shared" ref="L13:V13" si="163">L6</f>
        <v>No cost audit</v>
      </c>
      <c r="M13" s="707">
        <f t="shared" si="163"/>
        <v>0</v>
      </c>
      <c r="N13" s="707">
        <f t="shared" si="163"/>
        <v>0</v>
      </c>
      <c r="O13" s="881">
        <f t="shared" si="163"/>
        <v>0</v>
      </c>
      <c r="P13" s="881">
        <f t="shared" si="163"/>
        <v>750</v>
      </c>
      <c r="Q13" s="710">
        <f t="shared" si="163"/>
        <v>0</v>
      </c>
      <c r="R13" s="710">
        <f t="shared" si="163"/>
        <v>0</v>
      </c>
      <c r="S13" s="710">
        <f t="shared" si="163"/>
        <v>0</v>
      </c>
      <c r="T13" s="995" t="str">
        <f t="shared" si="163"/>
        <v>No savings for the audit</v>
      </c>
      <c r="U13" s="712">
        <f t="shared" si="163"/>
        <v>0</v>
      </c>
      <c r="V13" s="996">
        <f t="shared" si="163"/>
        <v>1</v>
      </c>
      <c r="W13" s="996">
        <f t="shared" ref="W13:AD13" si="164">W6*0.5</f>
        <v>50</v>
      </c>
      <c r="X13" s="996">
        <f t="shared" si="164"/>
        <v>50</v>
      </c>
      <c r="Y13" s="996">
        <f t="shared" si="164"/>
        <v>100</v>
      </c>
      <c r="Z13" s="996">
        <f t="shared" si="164"/>
        <v>100</v>
      </c>
      <c r="AA13" s="996">
        <f t="shared" si="164"/>
        <v>100</v>
      </c>
      <c r="AB13" s="996">
        <f t="shared" si="164"/>
        <v>100</v>
      </c>
      <c r="AC13" s="996">
        <f t="shared" si="164"/>
        <v>100</v>
      </c>
      <c r="AD13" s="996">
        <f t="shared" si="164"/>
        <v>100</v>
      </c>
      <c r="AE13" s="997" t="s">
        <v>384</v>
      </c>
      <c r="AF13" s="711" t="s">
        <v>742</v>
      </c>
      <c r="AG13" s="663" t="s">
        <v>1146</v>
      </c>
      <c r="AH13" s="711" t="s">
        <v>377</v>
      </c>
      <c r="AI13" s="998" t="str">
        <f t="shared" ref="AI13:AL13" si="165">AI6</f>
        <v>Existing</v>
      </c>
      <c r="AJ13" s="998" t="str">
        <f t="shared" si="165"/>
        <v>NA</v>
      </c>
      <c r="AK13" s="998" t="str">
        <f t="shared" si="165"/>
        <v>NA</v>
      </c>
      <c r="AL13" s="998" t="str">
        <f t="shared" si="165"/>
        <v>NA</v>
      </c>
      <c r="AM13" s="715" t="s">
        <v>744</v>
      </c>
      <c r="AN13" s="998" t="str">
        <f t="shared" ref="AN13:AN18" si="166">AN6</f>
        <v>OFFSMGasDHW</v>
      </c>
      <c r="AO13" s="715" t="s">
        <v>771</v>
      </c>
      <c r="AP13" s="711">
        <f t="shared" ref="AP13:AT13" si="167">AP6</f>
        <v>1</v>
      </c>
      <c r="AQ13" s="711">
        <f t="shared" si="167"/>
        <v>1</v>
      </c>
      <c r="AR13" s="999" t="str">
        <f t="shared" si="167"/>
        <v>Annual program life</v>
      </c>
      <c r="AS13" s="998">
        <f t="shared" si="167"/>
        <v>1</v>
      </c>
      <c r="AT13" s="998">
        <f t="shared" si="167"/>
        <v>1</v>
      </c>
      <c r="AU13" s="998">
        <v>0</v>
      </c>
      <c r="AV13" s="774">
        <f t="shared" ref="AV13:AV18" si="168">I13</f>
        <v>0</v>
      </c>
      <c r="AW13" s="503">
        <f t="shared" ref="AW13:AX18" si="169">AV13</f>
        <v>0</v>
      </c>
      <c r="AX13" s="503">
        <f t="shared" si="169"/>
        <v>0</v>
      </c>
      <c r="AY13" s="503">
        <f t="shared" ref="AY13:BB18" si="170">AV13</f>
        <v>0</v>
      </c>
      <c r="AZ13" s="503">
        <f t="shared" si="170"/>
        <v>0</v>
      </c>
      <c r="BA13" s="503">
        <f t="shared" si="170"/>
        <v>0</v>
      </c>
      <c r="BB13" s="776">
        <f t="shared" si="170"/>
        <v>0</v>
      </c>
      <c r="BC13" s="774">
        <f t="shared" ref="BC13:BC18" si="171">J13</f>
        <v>0</v>
      </c>
      <c r="BD13" s="503">
        <f t="shared" ref="BD13:BF18" si="172">BC13</f>
        <v>0</v>
      </c>
      <c r="BE13" s="503">
        <f t="shared" si="172"/>
        <v>0</v>
      </c>
      <c r="BF13" s="503">
        <f>BE13</f>
        <v>0</v>
      </c>
      <c r="BG13" s="503">
        <f t="shared" ref="BG13:BI18" si="173">BF13</f>
        <v>0</v>
      </c>
      <c r="BH13" s="503">
        <f>BG13</f>
        <v>0</v>
      </c>
      <c r="BI13" s="776">
        <f>BH13</f>
        <v>0</v>
      </c>
      <c r="BJ13" s="774">
        <f t="shared" ref="BJ13:BJ18" si="174">N13+O13</f>
        <v>0</v>
      </c>
      <c r="BK13" s="503">
        <f t="shared" ref="BK13:BM18" si="175">BJ13</f>
        <v>0</v>
      </c>
      <c r="BL13" s="503">
        <f t="shared" si="175"/>
        <v>0</v>
      </c>
      <c r="BM13" s="503">
        <f>BL13</f>
        <v>0</v>
      </c>
      <c r="BN13" s="503">
        <f t="shared" ref="BN13:BP18" si="176">BM13</f>
        <v>0</v>
      </c>
      <c r="BO13" s="503">
        <f t="shared" si="176"/>
        <v>0</v>
      </c>
      <c r="BP13" s="776">
        <f t="shared" si="176"/>
        <v>0</v>
      </c>
      <c r="BQ13" s="497">
        <f t="shared" si="20"/>
        <v>750</v>
      </c>
      <c r="BR13" s="503">
        <f t="shared" si="20"/>
        <v>750</v>
      </c>
      <c r="BS13" s="503">
        <f t="shared" si="20"/>
        <v>750</v>
      </c>
      <c r="BT13" s="503">
        <f t="shared" si="20"/>
        <v>750</v>
      </c>
      <c r="BU13" s="503">
        <f t="shared" si="20"/>
        <v>750</v>
      </c>
      <c r="BV13" s="503">
        <f t="shared" si="20"/>
        <v>750</v>
      </c>
      <c r="BW13" s="645">
        <f t="shared" si="20"/>
        <v>750</v>
      </c>
      <c r="BX13" s="722">
        <f t="shared" ref="BX13:BX18" si="177">Q13*AT13</f>
        <v>0</v>
      </c>
      <c r="BY13" s="511">
        <f t="shared" ref="BY13:CA18" si="178">BX13</f>
        <v>0</v>
      </c>
      <c r="BZ13" s="511">
        <f t="shared" si="178"/>
        <v>0</v>
      </c>
      <c r="CA13" s="511">
        <f>BZ13</f>
        <v>0</v>
      </c>
      <c r="CB13" s="511">
        <f t="shared" ref="CB13:CD18" si="179">CA13</f>
        <v>0</v>
      </c>
      <c r="CC13" s="511">
        <f t="shared" si="179"/>
        <v>0</v>
      </c>
      <c r="CD13" s="723">
        <f t="shared" si="179"/>
        <v>0</v>
      </c>
      <c r="CE13" s="722">
        <f t="shared" ref="CE13:CE18" si="180">R13*AT13</f>
        <v>0</v>
      </c>
      <c r="CF13" s="511">
        <f t="shared" ref="CF13:CH18" si="181">CE13</f>
        <v>0</v>
      </c>
      <c r="CG13" s="511">
        <f t="shared" si="181"/>
        <v>0</v>
      </c>
      <c r="CH13" s="511">
        <f>CG13</f>
        <v>0</v>
      </c>
      <c r="CI13" s="511">
        <f t="shared" ref="CI13:CK18" si="182">CH13</f>
        <v>0</v>
      </c>
      <c r="CJ13" s="511">
        <f t="shared" si="182"/>
        <v>0</v>
      </c>
      <c r="CK13" s="723">
        <f t="shared" si="182"/>
        <v>0</v>
      </c>
      <c r="CL13" s="511">
        <f t="shared" ref="CL13:CL18" si="183">S13*AU13</f>
        <v>0</v>
      </c>
      <c r="CM13" s="511">
        <f t="shared" ref="CM13:CO18" si="184">CL13</f>
        <v>0</v>
      </c>
      <c r="CN13" s="511">
        <f t="shared" si="184"/>
        <v>0</v>
      </c>
      <c r="CO13" s="511">
        <f>CN13</f>
        <v>0</v>
      </c>
      <c r="CP13" s="511">
        <f t="shared" ref="CP13:CR18" si="185">CO13</f>
        <v>0</v>
      </c>
      <c r="CQ13" s="511">
        <f t="shared" si="185"/>
        <v>0</v>
      </c>
      <c r="CR13" s="539">
        <f t="shared" si="185"/>
        <v>0</v>
      </c>
      <c r="CS13" s="774">
        <f t="shared" ref="CS13:CY13" si="186">X13*AV13</f>
        <v>0</v>
      </c>
      <c r="CT13" s="503">
        <f t="shared" si="186"/>
        <v>0</v>
      </c>
      <c r="CU13" s="503">
        <f t="shared" si="186"/>
        <v>0</v>
      </c>
      <c r="CV13" s="503">
        <f t="shared" si="186"/>
        <v>0</v>
      </c>
      <c r="CW13" s="503">
        <f t="shared" si="186"/>
        <v>0</v>
      </c>
      <c r="CX13" s="503">
        <f t="shared" si="186"/>
        <v>0</v>
      </c>
      <c r="CY13" s="776">
        <f t="shared" si="186"/>
        <v>0</v>
      </c>
      <c r="CZ13" s="774">
        <f t="shared" ref="CZ13:DF13" si="187">X13*BC13</f>
        <v>0</v>
      </c>
      <c r="DA13" s="503">
        <f t="shared" si="187"/>
        <v>0</v>
      </c>
      <c r="DB13" s="503">
        <f t="shared" si="187"/>
        <v>0</v>
      </c>
      <c r="DC13" s="503">
        <f t="shared" si="187"/>
        <v>0</v>
      </c>
      <c r="DD13" s="503">
        <f t="shared" si="187"/>
        <v>0</v>
      </c>
      <c r="DE13" s="503">
        <f t="shared" si="187"/>
        <v>0</v>
      </c>
      <c r="DF13" s="776">
        <f t="shared" si="187"/>
        <v>0</v>
      </c>
      <c r="DG13" s="774">
        <f t="shared" ref="DG13:DM13" si="188">X13*BJ13</f>
        <v>0</v>
      </c>
      <c r="DH13" s="503">
        <f t="shared" si="188"/>
        <v>0</v>
      </c>
      <c r="DI13" s="503">
        <f t="shared" si="188"/>
        <v>0</v>
      </c>
      <c r="DJ13" s="503">
        <f t="shared" si="188"/>
        <v>0</v>
      </c>
      <c r="DK13" s="503">
        <f t="shared" si="188"/>
        <v>0</v>
      </c>
      <c r="DL13" s="503">
        <f t="shared" si="188"/>
        <v>0</v>
      </c>
      <c r="DM13" s="776">
        <f t="shared" si="188"/>
        <v>0</v>
      </c>
      <c r="DN13" s="774">
        <f t="shared" ref="DN13:DT13" si="189">BQ13*X13</f>
        <v>37500</v>
      </c>
      <c r="DO13" s="503">
        <f t="shared" si="189"/>
        <v>75000</v>
      </c>
      <c r="DP13" s="503">
        <f t="shared" si="189"/>
        <v>75000</v>
      </c>
      <c r="DQ13" s="503">
        <f t="shared" si="189"/>
        <v>75000</v>
      </c>
      <c r="DR13" s="503">
        <f t="shared" si="189"/>
        <v>75000</v>
      </c>
      <c r="DS13" s="503">
        <f t="shared" si="189"/>
        <v>75000</v>
      </c>
      <c r="DT13" s="776">
        <f t="shared" si="189"/>
        <v>75000</v>
      </c>
      <c r="DU13" s="511">
        <f t="shared" ref="DU13:EA13" si="190">X13*BX13</f>
        <v>0</v>
      </c>
      <c r="DV13" s="511">
        <f t="shared" si="190"/>
        <v>0</v>
      </c>
      <c r="DW13" s="511">
        <f t="shared" si="190"/>
        <v>0</v>
      </c>
      <c r="DX13" s="511">
        <f t="shared" si="190"/>
        <v>0</v>
      </c>
      <c r="DY13" s="511">
        <f t="shared" si="190"/>
        <v>0</v>
      </c>
      <c r="DZ13" s="511">
        <f t="shared" si="190"/>
        <v>0</v>
      </c>
      <c r="EA13" s="539">
        <f t="shared" si="190"/>
        <v>0</v>
      </c>
      <c r="EB13" s="722">
        <f t="shared" ref="EB13:EH13" si="191">X13*CE13</f>
        <v>0</v>
      </c>
      <c r="EC13" s="511">
        <f t="shared" si="191"/>
        <v>0</v>
      </c>
      <c r="ED13" s="511">
        <f t="shared" si="191"/>
        <v>0</v>
      </c>
      <c r="EE13" s="511">
        <f t="shared" si="191"/>
        <v>0</v>
      </c>
      <c r="EF13" s="511">
        <f t="shared" si="191"/>
        <v>0</v>
      </c>
      <c r="EG13" s="511">
        <f t="shared" si="191"/>
        <v>0</v>
      </c>
      <c r="EH13" s="723">
        <f t="shared" si="191"/>
        <v>0</v>
      </c>
      <c r="EI13" s="722">
        <f t="shared" ref="EI13:EO13" si="192">X13*CL13</f>
        <v>0</v>
      </c>
      <c r="EJ13" s="511">
        <f t="shared" si="192"/>
        <v>0</v>
      </c>
      <c r="EK13" s="511">
        <f t="shared" si="192"/>
        <v>0</v>
      </c>
      <c r="EL13" s="511">
        <f t="shared" si="192"/>
        <v>0</v>
      </c>
      <c r="EM13" s="511">
        <f t="shared" si="192"/>
        <v>0</v>
      </c>
      <c r="EN13" s="511">
        <f t="shared" si="192"/>
        <v>0</v>
      </c>
      <c r="EO13" s="723">
        <f t="shared" si="192"/>
        <v>0</v>
      </c>
      <c r="EP13" s="722">
        <f>SUM(X13:AD13)</f>
        <v>650</v>
      </c>
      <c r="EQ13" s="503">
        <f>SUM(CS13:CY13)</f>
        <v>0</v>
      </c>
      <c r="ER13" s="503">
        <f>SUM(CZ13:DF13)</f>
        <v>0</v>
      </c>
      <c r="ES13" s="503">
        <f>SUM(DG13:DM13)</f>
        <v>0</v>
      </c>
      <c r="ET13" s="503">
        <f>SUM(DN13:DT13)</f>
        <v>487500</v>
      </c>
      <c r="EU13" s="511">
        <f>SUM(DU13:EA13)</f>
        <v>0</v>
      </c>
      <c r="EV13" s="511">
        <f>SUM(EB13:EH13)</f>
        <v>0</v>
      </c>
      <c r="EW13" s="511">
        <f>SUM(EI13:EO13)</f>
        <v>0</v>
      </c>
    </row>
    <row r="14" spans="1:162" s="10" customFormat="1" ht="12.75" customHeight="1">
      <c r="A14" s="661" t="s">
        <v>173</v>
      </c>
      <c r="B14" s="703" t="str">
        <f t="shared" si="160"/>
        <v>KU-Small Business Direct Install - LED Lighting Bulbs</v>
      </c>
      <c r="C14" s="703" t="str">
        <f t="shared" ref="C14:J14" si="193">C7</f>
        <v>Linear LED Direct Install Bulbs</v>
      </c>
      <c r="D14" s="703" t="str">
        <f t="shared" si="193"/>
        <v>Existing Lighting</v>
      </c>
      <c r="E14" s="703" t="str">
        <f t="shared" si="193"/>
        <v>Per Unit</v>
      </c>
      <c r="F14" s="704" t="str">
        <f t="shared" si="193"/>
        <v>Full Cost</v>
      </c>
      <c r="G14" s="704">
        <f t="shared" si="193"/>
        <v>0</v>
      </c>
      <c r="H14" s="704">
        <f t="shared" si="193"/>
        <v>0</v>
      </c>
      <c r="I14" s="869">
        <f t="shared" si="193"/>
        <v>0</v>
      </c>
      <c r="J14" s="704">
        <f t="shared" si="193"/>
        <v>0</v>
      </c>
      <c r="K14" s="994">
        <f t="shared" ref="K14:K18" si="194">I14*0.5</f>
        <v>0</v>
      </c>
      <c r="L14" s="913"/>
      <c r="M14" s="707">
        <f t="shared" ref="M14:V18" si="195">M7</f>
        <v>0</v>
      </c>
      <c r="N14" s="707">
        <f t="shared" si="195"/>
        <v>0</v>
      </c>
      <c r="O14" s="881">
        <f t="shared" si="195"/>
        <v>0</v>
      </c>
      <c r="P14" s="881">
        <f t="shared" si="195"/>
        <v>6.333333333333333</v>
      </c>
      <c r="Q14" s="710">
        <f t="shared" si="195"/>
        <v>39.497960266666666</v>
      </c>
      <c r="R14" s="710">
        <f t="shared" si="195"/>
        <v>1.0748249770666666E-2</v>
      </c>
      <c r="S14" s="710">
        <v>0</v>
      </c>
      <c r="T14" s="990" t="s">
        <v>1151</v>
      </c>
      <c r="U14" s="712">
        <f t="shared" si="195"/>
        <v>0</v>
      </c>
      <c r="V14" s="996">
        <f t="shared" si="195"/>
        <v>1</v>
      </c>
      <c r="W14" s="996">
        <f t="shared" ref="W14:AD14" si="196">W7*0.5</f>
        <v>937.5</v>
      </c>
      <c r="X14" s="996">
        <f t="shared" si="196"/>
        <v>937.5</v>
      </c>
      <c r="Y14" s="996">
        <f t="shared" si="196"/>
        <v>1875</v>
      </c>
      <c r="Z14" s="996">
        <f t="shared" si="196"/>
        <v>1875</v>
      </c>
      <c r="AA14" s="996">
        <f t="shared" si="196"/>
        <v>1875</v>
      </c>
      <c r="AB14" s="996">
        <f t="shared" si="196"/>
        <v>1875</v>
      </c>
      <c r="AC14" s="996">
        <f t="shared" si="196"/>
        <v>1875</v>
      </c>
      <c r="AD14" s="996">
        <f t="shared" si="196"/>
        <v>1875</v>
      </c>
      <c r="AE14" s="997" t="s">
        <v>384</v>
      </c>
      <c r="AF14" s="711" t="s">
        <v>742</v>
      </c>
      <c r="AG14" s="663" t="s">
        <v>1146</v>
      </c>
      <c r="AH14" s="711" t="s">
        <v>1152</v>
      </c>
      <c r="AI14" s="998" t="str">
        <f t="shared" ref="AI14:AL14" si="197">AI7</f>
        <v>Existing</v>
      </c>
      <c r="AJ14" s="998" t="str">
        <f t="shared" si="197"/>
        <v>NA</v>
      </c>
      <c r="AK14" s="998" t="str">
        <f t="shared" si="197"/>
        <v>NA</v>
      </c>
      <c r="AL14" s="998" t="str">
        <f t="shared" si="197"/>
        <v>NA</v>
      </c>
      <c r="AM14" s="715" t="s">
        <v>1153</v>
      </c>
      <c r="AN14" s="998" t="str">
        <f t="shared" si="166"/>
        <v>OFFSMGasDHW</v>
      </c>
      <c r="AO14" s="715" t="s">
        <v>771</v>
      </c>
      <c r="AP14" s="711">
        <f t="shared" ref="AP14:AT14" si="198">AP7</f>
        <v>15</v>
      </c>
      <c r="AQ14" s="711">
        <f t="shared" si="198"/>
        <v>15</v>
      </c>
      <c r="AR14" s="999" t="str">
        <f t="shared" si="198"/>
        <v>Measure life is not to exceed 15 years based on Mid Atlantic TRM v10, p.279 (Even though the rated hours may last longer than 15 years, due to remodeling effects a maximum of 15 years is assumed) &amp; PA TRM Vol 3 p.1. New Linear Fluorescent Fixture: 15 years (PA TRM v3, p.1)</v>
      </c>
      <c r="AS14" s="998">
        <f t="shared" si="198"/>
        <v>1</v>
      </c>
      <c r="AT14" s="998">
        <f t="shared" si="198"/>
        <v>1</v>
      </c>
      <c r="AU14" s="998">
        <v>0</v>
      </c>
      <c r="AV14" s="774">
        <f t="shared" si="168"/>
        <v>0</v>
      </c>
      <c r="AW14" s="503">
        <f t="shared" si="169"/>
        <v>0</v>
      </c>
      <c r="AX14" s="503">
        <f t="shared" si="169"/>
        <v>0</v>
      </c>
      <c r="AY14" s="503">
        <f t="shared" si="170"/>
        <v>0</v>
      </c>
      <c r="AZ14" s="503">
        <f t="shared" si="170"/>
        <v>0</v>
      </c>
      <c r="BA14" s="503">
        <f t="shared" si="170"/>
        <v>0</v>
      </c>
      <c r="BB14" s="776">
        <f t="shared" si="170"/>
        <v>0</v>
      </c>
      <c r="BC14" s="774">
        <f t="shared" si="171"/>
        <v>0</v>
      </c>
      <c r="BD14" s="503">
        <f t="shared" si="172"/>
        <v>0</v>
      </c>
      <c r="BE14" s="503">
        <f t="shared" si="172"/>
        <v>0</v>
      </c>
      <c r="BF14" s="503">
        <f t="shared" si="172"/>
        <v>0</v>
      </c>
      <c r="BG14" s="503">
        <f t="shared" si="173"/>
        <v>0</v>
      </c>
      <c r="BH14" s="503">
        <f t="shared" si="173"/>
        <v>0</v>
      </c>
      <c r="BI14" s="776">
        <f t="shared" si="173"/>
        <v>0</v>
      </c>
      <c r="BJ14" s="774">
        <f t="shared" si="174"/>
        <v>0</v>
      </c>
      <c r="BK14" s="503">
        <f t="shared" si="175"/>
        <v>0</v>
      </c>
      <c r="BL14" s="503">
        <f t="shared" si="175"/>
        <v>0</v>
      </c>
      <c r="BM14" s="503">
        <f t="shared" si="175"/>
        <v>0</v>
      </c>
      <c r="BN14" s="503">
        <f t="shared" si="176"/>
        <v>0</v>
      </c>
      <c r="BO14" s="503">
        <f t="shared" si="176"/>
        <v>0</v>
      </c>
      <c r="BP14" s="776">
        <f t="shared" si="176"/>
        <v>0</v>
      </c>
      <c r="BQ14" s="497">
        <f t="shared" ref="BQ14:BW18" si="199">$P14</f>
        <v>6.333333333333333</v>
      </c>
      <c r="BR14" s="503">
        <f t="shared" si="199"/>
        <v>6.333333333333333</v>
      </c>
      <c r="BS14" s="503">
        <f t="shared" si="199"/>
        <v>6.333333333333333</v>
      </c>
      <c r="BT14" s="503">
        <f t="shared" si="199"/>
        <v>6.333333333333333</v>
      </c>
      <c r="BU14" s="503">
        <f t="shared" si="199"/>
        <v>6.333333333333333</v>
      </c>
      <c r="BV14" s="503">
        <f t="shared" si="199"/>
        <v>6.333333333333333</v>
      </c>
      <c r="BW14" s="645">
        <f t="shared" si="199"/>
        <v>6.333333333333333</v>
      </c>
      <c r="BX14" s="722">
        <f t="shared" si="177"/>
        <v>39.497960266666666</v>
      </c>
      <c r="BY14" s="511">
        <f t="shared" si="178"/>
        <v>39.497960266666666</v>
      </c>
      <c r="BZ14" s="511">
        <f t="shared" si="178"/>
        <v>39.497960266666666</v>
      </c>
      <c r="CA14" s="511">
        <f t="shared" si="178"/>
        <v>39.497960266666666</v>
      </c>
      <c r="CB14" s="511">
        <f t="shared" si="179"/>
        <v>39.497960266666666</v>
      </c>
      <c r="CC14" s="511">
        <f t="shared" si="179"/>
        <v>39.497960266666666</v>
      </c>
      <c r="CD14" s="723">
        <f t="shared" si="179"/>
        <v>39.497960266666666</v>
      </c>
      <c r="CE14" s="722">
        <f t="shared" si="180"/>
        <v>1.0748249770666666E-2</v>
      </c>
      <c r="CF14" s="511">
        <f t="shared" si="181"/>
        <v>1.0748249770666666E-2</v>
      </c>
      <c r="CG14" s="511">
        <f t="shared" si="181"/>
        <v>1.0748249770666666E-2</v>
      </c>
      <c r="CH14" s="511">
        <f t="shared" si="181"/>
        <v>1.0748249770666666E-2</v>
      </c>
      <c r="CI14" s="511">
        <f t="shared" si="182"/>
        <v>1.0748249770666666E-2</v>
      </c>
      <c r="CJ14" s="511">
        <f t="shared" si="182"/>
        <v>1.0748249770666666E-2</v>
      </c>
      <c r="CK14" s="723">
        <f t="shared" si="182"/>
        <v>1.0748249770666666E-2</v>
      </c>
      <c r="CL14" s="511">
        <f t="shared" si="183"/>
        <v>0</v>
      </c>
      <c r="CM14" s="511">
        <f t="shared" si="184"/>
        <v>0</v>
      </c>
      <c r="CN14" s="511">
        <f t="shared" si="184"/>
        <v>0</v>
      </c>
      <c r="CO14" s="511">
        <f t="shared" si="184"/>
        <v>0</v>
      </c>
      <c r="CP14" s="511">
        <f t="shared" si="185"/>
        <v>0</v>
      </c>
      <c r="CQ14" s="511">
        <f t="shared" si="185"/>
        <v>0</v>
      </c>
      <c r="CR14" s="539">
        <f t="shared" si="185"/>
        <v>0</v>
      </c>
      <c r="CS14" s="774">
        <f t="shared" ref="CS14:CY18" si="200">X14*AV14</f>
        <v>0</v>
      </c>
      <c r="CT14" s="503">
        <f t="shared" si="200"/>
        <v>0</v>
      </c>
      <c r="CU14" s="503">
        <f t="shared" si="200"/>
        <v>0</v>
      </c>
      <c r="CV14" s="503">
        <f t="shared" si="200"/>
        <v>0</v>
      </c>
      <c r="CW14" s="503">
        <f t="shared" si="200"/>
        <v>0</v>
      </c>
      <c r="CX14" s="503">
        <f t="shared" si="200"/>
        <v>0</v>
      </c>
      <c r="CY14" s="776">
        <f t="shared" si="200"/>
        <v>0</v>
      </c>
      <c r="CZ14" s="774">
        <f t="shared" ref="CZ14:DF18" si="201">X14*BC14</f>
        <v>0</v>
      </c>
      <c r="DA14" s="503">
        <f t="shared" si="201"/>
        <v>0</v>
      </c>
      <c r="DB14" s="503">
        <f t="shared" si="201"/>
        <v>0</v>
      </c>
      <c r="DC14" s="503">
        <f t="shared" si="201"/>
        <v>0</v>
      </c>
      <c r="DD14" s="503">
        <f t="shared" si="201"/>
        <v>0</v>
      </c>
      <c r="DE14" s="503">
        <f t="shared" si="201"/>
        <v>0</v>
      </c>
      <c r="DF14" s="776">
        <f t="shared" si="201"/>
        <v>0</v>
      </c>
      <c r="DG14" s="774">
        <f t="shared" ref="DG14:DM18" si="202">X14*BJ14</f>
        <v>0</v>
      </c>
      <c r="DH14" s="503">
        <f t="shared" si="202"/>
        <v>0</v>
      </c>
      <c r="DI14" s="503">
        <f t="shared" si="202"/>
        <v>0</v>
      </c>
      <c r="DJ14" s="503">
        <f t="shared" si="202"/>
        <v>0</v>
      </c>
      <c r="DK14" s="503">
        <f t="shared" si="202"/>
        <v>0</v>
      </c>
      <c r="DL14" s="503">
        <f t="shared" si="202"/>
        <v>0</v>
      </c>
      <c r="DM14" s="776">
        <f t="shared" si="202"/>
        <v>0</v>
      </c>
      <c r="DN14" s="774">
        <f t="shared" ref="DN14:DT18" si="203">BQ14*X14</f>
        <v>5937.5</v>
      </c>
      <c r="DO14" s="503">
        <f t="shared" si="203"/>
        <v>11875</v>
      </c>
      <c r="DP14" s="503">
        <f t="shared" si="203"/>
        <v>11875</v>
      </c>
      <c r="DQ14" s="503">
        <f t="shared" si="203"/>
        <v>11875</v>
      </c>
      <c r="DR14" s="503">
        <f t="shared" si="203"/>
        <v>11875</v>
      </c>
      <c r="DS14" s="503">
        <f t="shared" si="203"/>
        <v>11875</v>
      </c>
      <c r="DT14" s="776">
        <f t="shared" si="203"/>
        <v>11875</v>
      </c>
      <c r="DU14" s="511">
        <f t="shared" ref="DU14:EA18" si="204">X14*BX14</f>
        <v>37029.337749999999</v>
      </c>
      <c r="DV14" s="511">
        <f t="shared" si="204"/>
        <v>74058.675499999998</v>
      </c>
      <c r="DW14" s="511">
        <f t="shared" si="204"/>
        <v>74058.675499999998</v>
      </c>
      <c r="DX14" s="511">
        <f t="shared" si="204"/>
        <v>74058.675499999998</v>
      </c>
      <c r="DY14" s="511">
        <f t="shared" si="204"/>
        <v>74058.675499999998</v>
      </c>
      <c r="DZ14" s="511">
        <f t="shared" si="204"/>
        <v>74058.675499999998</v>
      </c>
      <c r="EA14" s="539">
        <f t="shared" si="204"/>
        <v>74058.675499999998</v>
      </c>
      <c r="EB14" s="722">
        <f t="shared" ref="EB14:EH18" si="205">X14*CE14</f>
        <v>10.07648416</v>
      </c>
      <c r="EC14" s="511">
        <f t="shared" si="205"/>
        <v>20.152968319999999</v>
      </c>
      <c r="ED14" s="511">
        <f t="shared" si="205"/>
        <v>20.152968319999999</v>
      </c>
      <c r="EE14" s="511">
        <f t="shared" si="205"/>
        <v>20.152968319999999</v>
      </c>
      <c r="EF14" s="511">
        <f t="shared" si="205"/>
        <v>20.152968319999999</v>
      </c>
      <c r="EG14" s="511">
        <f t="shared" si="205"/>
        <v>20.152968319999999</v>
      </c>
      <c r="EH14" s="723">
        <f t="shared" si="205"/>
        <v>20.152968319999999</v>
      </c>
      <c r="EI14" s="722">
        <f t="shared" ref="EI14:EO18" si="206">X14*CL14</f>
        <v>0</v>
      </c>
      <c r="EJ14" s="511">
        <f t="shared" si="206"/>
        <v>0</v>
      </c>
      <c r="EK14" s="511">
        <f t="shared" si="206"/>
        <v>0</v>
      </c>
      <c r="EL14" s="511">
        <f t="shared" si="206"/>
        <v>0</v>
      </c>
      <c r="EM14" s="511">
        <f t="shared" si="206"/>
        <v>0</v>
      </c>
      <c r="EN14" s="511">
        <f t="shared" si="206"/>
        <v>0</v>
      </c>
      <c r="EO14" s="723">
        <f t="shared" si="206"/>
        <v>0</v>
      </c>
      <c r="EP14" s="722">
        <f t="shared" ref="EP14:EP18" si="207">SUM(X14:AD14)</f>
        <v>12187.5</v>
      </c>
      <c r="EQ14" s="503">
        <f t="shared" ref="EQ14:EQ18" si="208">SUM(CS14:CY14)</f>
        <v>0</v>
      </c>
      <c r="ER14" s="503">
        <f t="shared" ref="ER14:ER18" si="209">SUM(CZ14:DF14)</f>
        <v>0</v>
      </c>
      <c r="ES14" s="503">
        <f t="shared" ref="ES14:ES18" si="210">SUM(DG14:DM14)</f>
        <v>0</v>
      </c>
      <c r="ET14" s="503">
        <f t="shared" ref="ET14:ET18" si="211">SUM(DN14:DT14)</f>
        <v>77187.5</v>
      </c>
      <c r="EU14" s="511">
        <f t="shared" ref="EU14:EU18" si="212">SUM(DU14:EA14)</f>
        <v>481381.39075000002</v>
      </c>
      <c r="EV14" s="511">
        <f t="shared" ref="EV14:EV18" si="213">SUM(EB14:EH14)</f>
        <v>130.99429407999997</v>
      </c>
      <c r="EW14" s="511">
        <f t="shared" ref="EW14:EW18" si="214">SUM(EI14:EO14)</f>
        <v>0</v>
      </c>
    </row>
    <row r="15" spans="1:162" s="10" customFormat="1" ht="12.75" customHeight="1">
      <c r="A15" s="661" t="s">
        <v>175</v>
      </c>
      <c r="B15" s="703" t="str">
        <f t="shared" si="160"/>
        <v>KU-Small Business Direct Install - LED Lighting Retrofit Fixtures</v>
      </c>
      <c r="C15" s="703" t="str">
        <f t="shared" ref="C15:J15" si="215">C8</f>
        <v>Linear LED Direct Install Retrofits</v>
      </c>
      <c r="D15" s="703" t="str">
        <f t="shared" si="215"/>
        <v>Existing Lighting</v>
      </c>
      <c r="E15" s="703" t="str">
        <f t="shared" si="215"/>
        <v>Per Unit</v>
      </c>
      <c r="F15" s="704" t="str">
        <f t="shared" si="215"/>
        <v>Full Cost</v>
      </c>
      <c r="G15" s="704">
        <f t="shared" si="215"/>
        <v>0</v>
      </c>
      <c r="H15" s="704">
        <f t="shared" si="215"/>
        <v>0</v>
      </c>
      <c r="I15" s="869">
        <f t="shared" si="215"/>
        <v>0</v>
      </c>
      <c r="J15" s="704">
        <f t="shared" si="215"/>
        <v>0</v>
      </c>
      <c r="K15" s="994">
        <f t="shared" si="194"/>
        <v>0</v>
      </c>
      <c r="L15" s="913"/>
      <c r="M15" s="707">
        <f t="shared" si="195"/>
        <v>0</v>
      </c>
      <c r="N15" s="707">
        <f t="shared" si="195"/>
        <v>0</v>
      </c>
      <c r="O15" s="881">
        <f t="shared" si="195"/>
        <v>0</v>
      </c>
      <c r="P15" s="881">
        <f t="shared" si="195"/>
        <v>60</v>
      </c>
      <c r="Q15" s="710">
        <f t="shared" si="195"/>
        <v>149.087992364</v>
      </c>
      <c r="R15" s="710">
        <f t="shared" si="195"/>
        <v>4.0570069160960003E-2</v>
      </c>
      <c r="S15" s="710">
        <v>0</v>
      </c>
      <c r="T15" s="990" t="s">
        <v>1151</v>
      </c>
      <c r="U15" s="712">
        <f t="shared" si="195"/>
        <v>0</v>
      </c>
      <c r="V15" s="996">
        <f t="shared" si="195"/>
        <v>1</v>
      </c>
      <c r="W15" s="996">
        <f t="shared" ref="W15:AD15" si="216">W8*0.5</f>
        <v>468.75</v>
      </c>
      <c r="X15" s="996">
        <f t="shared" si="216"/>
        <v>468.75</v>
      </c>
      <c r="Y15" s="996">
        <f t="shared" si="216"/>
        <v>937.5</v>
      </c>
      <c r="Z15" s="996">
        <f t="shared" si="216"/>
        <v>937.5</v>
      </c>
      <c r="AA15" s="996">
        <f t="shared" si="216"/>
        <v>937.5</v>
      </c>
      <c r="AB15" s="996">
        <f t="shared" si="216"/>
        <v>937.5</v>
      </c>
      <c r="AC15" s="996">
        <f t="shared" si="216"/>
        <v>937.5</v>
      </c>
      <c r="AD15" s="996">
        <f t="shared" si="216"/>
        <v>937.5</v>
      </c>
      <c r="AE15" s="997" t="s">
        <v>384</v>
      </c>
      <c r="AF15" s="711" t="s">
        <v>742</v>
      </c>
      <c r="AG15" s="663" t="s">
        <v>1146</v>
      </c>
      <c r="AH15" s="711" t="s">
        <v>1152</v>
      </c>
      <c r="AI15" s="998" t="str">
        <f t="shared" ref="AI15:AL15" si="217">AI8</f>
        <v>Existing</v>
      </c>
      <c r="AJ15" s="998" t="str">
        <f t="shared" si="217"/>
        <v>NA</v>
      </c>
      <c r="AK15" s="998" t="str">
        <f t="shared" si="217"/>
        <v>NA</v>
      </c>
      <c r="AL15" s="998" t="str">
        <f t="shared" si="217"/>
        <v>NA</v>
      </c>
      <c r="AM15" s="715" t="s">
        <v>1153</v>
      </c>
      <c r="AN15" s="998" t="str">
        <f t="shared" si="166"/>
        <v>OFFSMGasDHW</v>
      </c>
      <c r="AO15" s="715" t="s">
        <v>771</v>
      </c>
      <c r="AP15" s="711">
        <f t="shared" ref="AP15:AT15" si="218">AP8</f>
        <v>15</v>
      </c>
      <c r="AQ15" s="711">
        <f t="shared" si="218"/>
        <v>15</v>
      </c>
      <c r="AR15" s="999" t="str">
        <f t="shared" si="218"/>
        <v>Measure life is not to exceed 15 years based on Mid Atlantic TRM v10, p.279 (Even though the rated hours may last longer than 15 years, due to remodeling effects a maximum of 15 years is assumed) &amp; PA TRM Vol 3 p.1. New Linear Fluorescent Fixture: 15 years (PA TRM v3, p.1)</v>
      </c>
      <c r="AS15" s="998">
        <f t="shared" si="218"/>
        <v>1</v>
      </c>
      <c r="AT15" s="998">
        <f t="shared" si="218"/>
        <v>1</v>
      </c>
      <c r="AU15" s="998">
        <v>0</v>
      </c>
      <c r="AV15" s="774">
        <f t="shared" si="168"/>
        <v>0</v>
      </c>
      <c r="AW15" s="503">
        <f t="shared" si="169"/>
        <v>0</v>
      </c>
      <c r="AX15" s="503">
        <f t="shared" si="169"/>
        <v>0</v>
      </c>
      <c r="AY15" s="503">
        <f t="shared" si="170"/>
        <v>0</v>
      </c>
      <c r="AZ15" s="503">
        <f t="shared" si="170"/>
        <v>0</v>
      </c>
      <c r="BA15" s="503">
        <f t="shared" si="170"/>
        <v>0</v>
      </c>
      <c r="BB15" s="776">
        <f t="shared" si="170"/>
        <v>0</v>
      </c>
      <c r="BC15" s="774">
        <f t="shared" si="171"/>
        <v>0</v>
      </c>
      <c r="BD15" s="503">
        <f t="shared" si="172"/>
        <v>0</v>
      </c>
      <c r="BE15" s="503">
        <f t="shared" si="172"/>
        <v>0</v>
      </c>
      <c r="BF15" s="503">
        <f t="shared" si="172"/>
        <v>0</v>
      </c>
      <c r="BG15" s="503">
        <f t="shared" si="173"/>
        <v>0</v>
      </c>
      <c r="BH15" s="503">
        <f t="shared" si="173"/>
        <v>0</v>
      </c>
      <c r="BI15" s="776">
        <f t="shared" si="173"/>
        <v>0</v>
      </c>
      <c r="BJ15" s="774">
        <f t="shared" si="174"/>
        <v>0</v>
      </c>
      <c r="BK15" s="503">
        <f t="shared" si="175"/>
        <v>0</v>
      </c>
      <c r="BL15" s="503">
        <f t="shared" si="175"/>
        <v>0</v>
      </c>
      <c r="BM15" s="503">
        <f t="shared" si="175"/>
        <v>0</v>
      </c>
      <c r="BN15" s="503">
        <f t="shared" si="176"/>
        <v>0</v>
      </c>
      <c r="BO15" s="503">
        <f t="shared" si="176"/>
        <v>0</v>
      </c>
      <c r="BP15" s="776">
        <f t="shared" si="176"/>
        <v>0</v>
      </c>
      <c r="BQ15" s="497">
        <f t="shared" si="199"/>
        <v>60</v>
      </c>
      <c r="BR15" s="503">
        <f t="shared" si="199"/>
        <v>60</v>
      </c>
      <c r="BS15" s="503">
        <f t="shared" si="199"/>
        <v>60</v>
      </c>
      <c r="BT15" s="503">
        <f t="shared" si="199"/>
        <v>60</v>
      </c>
      <c r="BU15" s="503">
        <f t="shared" si="199"/>
        <v>60</v>
      </c>
      <c r="BV15" s="503">
        <f t="shared" si="199"/>
        <v>60</v>
      </c>
      <c r="BW15" s="645">
        <f t="shared" si="199"/>
        <v>60</v>
      </c>
      <c r="BX15" s="722">
        <f t="shared" si="177"/>
        <v>149.087992364</v>
      </c>
      <c r="BY15" s="511">
        <f t="shared" si="178"/>
        <v>149.087992364</v>
      </c>
      <c r="BZ15" s="511">
        <f t="shared" si="178"/>
        <v>149.087992364</v>
      </c>
      <c r="CA15" s="511">
        <f t="shared" si="178"/>
        <v>149.087992364</v>
      </c>
      <c r="CB15" s="511">
        <f t="shared" si="179"/>
        <v>149.087992364</v>
      </c>
      <c r="CC15" s="511">
        <f t="shared" si="179"/>
        <v>149.087992364</v>
      </c>
      <c r="CD15" s="723">
        <f t="shared" si="179"/>
        <v>149.087992364</v>
      </c>
      <c r="CE15" s="722">
        <f t="shared" si="180"/>
        <v>4.0570069160960003E-2</v>
      </c>
      <c r="CF15" s="511">
        <f t="shared" si="181"/>
        <v>4.0570069160960003E-2</v>
      </c>
      <c r="CG15" s="511">
        <f t="shared" si="181"/>
        <v>4.0570069160960003E-2</v>
      </c>
      <c r="CH15" s="511">
        <f t="shared" si="181"/>
        <v>4.0570069160960003E-2</v>
      </c>
      <c r="CI15" s="511">
        <f t="shared" si="182"/>
        <v>4.0570069160960003E-2</v>
      </c>
      <c r="CJ15" s="511">
        <f t="shared" si="182"/>
        <v>4.0570069160960003E-2</v>
      </c>
      <c r="CK15" s="723">
        <f t="shared" si="182"/>
        <v>4.0570069160960003E-2</v>
      </c>
      <c r="CL15" s="511">
        <f t="shared" si="183"/>
        <v>0</v>
      </c>
      <c r="CM15" s="511">
        <f t="shared" si="184"/>
        <v>0</v>
      </c>
      <c r="CN15" s="511">
        <f t="shared" si="184"/>
        <v>0</v>
      </c>
      <c r="CO15" s="511">
        <f t="shared" si="184"/>
        <v>0</v>
      </c>
      <c r="CP15" s="511">
        <f t="shared" si="185"/>
        <v>0</v>
      </c>
      <c r="CQ15" s="511">
        <f t="shared" si="185"/>
        <v>0</v>
      </c>
      <c r="CR15" s="539">
        <f t="shared" si="185"/>
        <v>0</v>
      </c>
      <c r="CS15" s="774">
        <f t="shared" si="200"/>
        <v>0</v>
      </c>
      <c r="CT15" s="503">
        <f t="shared" si="200"/>
        <v>0</v>
      </c>
      <c r="CU15" s="503">
        <f t="shared" si="200"/>
        <v>0</v>
      </c>
      <c r="CV15" s="503">
        <f t="shared" si="200"/>
        <v>0</v>
      </c>
      <c r="CW15" s="503">
        <f t="shared" si="200"/>
        <v>0</v>
      </c>
      <c r="CX15" s="503">
        <f t="shared" si="200"/>
        <v>0</v>
      </c>
      <c r="CY15" s="776">
        <f t="shared" si="200"/>
        <v>0</v>
      </c>
      <c r="CZ15" s="774">
        <f t="shared" si="201"/>
        <v>0</v>
      </c>
      <c r="DA15" s="503">
        <f t="shared" si="201"/>
        <v>0</v>
      </c>
      <c r="DB15" s="503">
        <f t="shared" si="201"/>
        <v>0</v>
      </c>
      <c r="DC15" s="503">
        <f t="shared" si="201"/>
        <v>0</v>
      </c>
      <c r="DD15" s="503">
        <f t="shared" si="201"/>
        <v>0</v>
      </c>
      <c r="DE15" s="503">
        <f t="shared" si="201"/>
        <v>0</v>
      </c>
      <c r="DF15" s="776">
        <f t="shared" si="201"/>
        <v>0</v>
      </c>
      <c r="DG15" s="774">
        <f t="shared" si="202"/>
        <v>0</v>
      </c>
      <c r="DH15" s="503">
        <f t="shared" si="202"/>
        <v>0</v>
      </c>
      <c r="DI15" s="503">
        <f t="shared" si="202"/>
        <v>0</v>
      </c>
      <c r="DJ15" s="503">
        <f t="shared" si="202"/>
        <v>0</v>
      </c>
      <c r="DK15" s="503">
        <f t="shared" si="202"/>
        <v>0</v>
      </c>
      <c r="DL15" s="503">
        <f t="shared" si="202"/>
        <v>0</v>
      </c>
      <c r="DM15" s="776">
        <f t="shared" si="202"/>
        <v>0</v>
      </c>
      <c r="DN15" s="774">
        <f t="shared" si="203"/>
        <v>28125</v>
      </c>
      <c r="DO15" s="503">
        <f t="shared" si="203"/>
        <v>56250</v>
      </c>
      <c r="DP15" s="503">
        <f t="shared" si="203"/>
        <v>56250</v>
      </c>
      <c r="DQ15" s="503">
        <f t="shared" si="203"/>
        <v>56250</v>
      </c>
      <c r="DR15" s="503">
        <f t="shared" si="203"/>
        <v>56250</v>
      </c>
      <c r="DS15" s="503">
        <f t="shared" si="203"/>
        <v>56250</v>
      </c>
      <c r="DT15" s="776">
        <f t="shared" si="203"/>
        <v>56250</v>
      </c>
      <c r="DU15" s="511">
        <f t="shared" si="204"/>
        <v>69884.996420625001</v>
      </c>
      <c r="DV15" s="511">
        <f t="shared" si="204"/>
        <v>139769.99284125</v>
      </c>
      <c r="DW15" s="511">
        <f t="shared" si="204"/>
        <v>139769.99284125</v>
      </c>
      <c r="DX15" s="511">
        <f t="shared" si="204"/>
        <v>139769.99284125</v>
      </c>
      <c r="DY15" s="511">
        <f t="shared" si="204"/>
        <v>139769.99284125</v>
      </c>
      <c r="DZ15" s="511">
        <f t="shared" si="204"/>
        <v>139769.99284125</v>
      </c>
      <c r="EA15" s="539">
        <f t="shared" si="204"/>
        <v>139769.99284125</v>
      </c>
      <c r="EB15" s="722">
        <f t="shared" si="205"/>
        <v>19.017219919200002</v>
      </c>
      <c r="EC15" s="511">
        <f t="shared" si="205"/>
        <v>38.034439838400004</v>
      </c>
      <c r="ED15" s="511">
        <f t="shared" si="205"/>
        <v>38.034439838400004</v>
      </c>
      <c r="EE15" s="511">
        <f t="shared" si="205"/>
        <v>38.034439838400004</v>
      </c>
      <c r="EF15" s="511">
        <f t="shared" si="205"/>
        <v>38.034439838400004</v>
      </c>
      <c r="EG15" s="511">
        <f t="shared" si="205"/>
        <v>38.034439838400004</v>
      </c>
      <c r="EH15" s="723">
        <f t="shared" si="205"/>
        <v>38.034439838400004</v>
      </c>
      <c r="EI15" s="722">
        <f t="shared" si="206"/>
        <v>0</v>
      </c>
      <c r="EJ15" s="511">
        <f t="shared" si="206"/>
        <v>0</v>
      </c>
      <c r="EK15" s="511">
        <f t="shared" si="206"/>
        <v>0</v>
      </c>
      <c r="EL15" s="511">
        <f t="shared" si="206"/>
        <v>0</v>
      </c>
      <c r="EM15" s="511">
        <f t="shared" si="206"/>
        <v>0</v>
      </c>
      <c r="EN15" s="511">
        <f t="shared" si="206"/>
        <v>0</v>
      </c>
      <c r="EO15" s="723">
        <f t="shared" si="206"/>
        <v>0</v>
      </c>
      <c r="EP15" s="722">
        <f t="shared" si="207"/>
        <v>6093.75</v>
      </c>
      <c r="EQ15" s="503">
        <f t="shared" si="208"/>
        <v>0</v>
      </c>
      <c r="ER15" s="503">
        <f t="shared" si="209"/>
        <v>0</v>
      </c>
      <c r="ES15" s="503">
        <f t="shared" si="210"/>
        <v>0</v>
      </c>
      <c r="ET15" s="503">
        <f t="shared" si="211"/>
        <v>365625</v>
      </c>
      <c r="EU15" s="511">
        <f t="shared" si="212"/>
        <v>908504.95346812508</v>
      </c>
      <c r="EV15" s="511">
        <f t="shared" si="213"/>
        <v>247.22385894960004</v>
      </c>
      <c r="EW15" s="511">
        <f t="shared" si="214"/>
        <v>0</v>
      </c>
    </row>
    <row r="16" spans="1:162" s="10" customFormat="1" ht="12.75" customHeight="1">
      <c r="A16" s="661" t="s">
        <v>176</v>
      </c>
      <c r="B16" s="703" t="str">
        <f t="shared" si="160"/>
        <v>KU-Small Business Direct Install - Water Conservation Aerators</v>
      </c>
      <c r="C16" s="703" t="str">
        <f t="shared" ref="C16:J16" si="219">C9</f>
        <v>Aerators 0.5 GPM</v>
      </c>
      <c r="D16" s="703" t="str">
        <f t="shared" si="219"/>
        <v>Existing 2.2 GPM</v>
      </c>
      <c r="E16" s="703" t="str">
        <f t="shared" si="219"/>
        <v>Per Unit</v>
      </c>
      <c r="F16" s="704" t="str">
        <f t="shared" si="219"/>
        <v>Full Cost</v>
      </c>
      <c r="G16" s="704">
        <f t="shared" si="219"/>
        <v>0</v>
      </c>
      <c r="H16" s="704">
        <f t="shared" si="219"/>
        <v>0</v>
      </c>
      <c r="I16" s="869">
        <f t="shared" si="219"/>
        <v>0</v>
      </c>
      <c r="J16" s="704">
        <f t="shared" si="219"/>
        <v>0</v>
      </c>
      <c r="K16" s="994">
        <f t="shared" si="194"/>
        <v>0</v>
      </c>
      <c r="L16" s="913"/>
      <c r="M16" s="707">
        <f t="shared" si="195"/>
        <v>0</v>
      </c>
      <c r="N16" s="707">
        <f t="shared" si="195"/>
        <v>0</v>
      </c>
      <c r="O16" s="881">
        <f t="shared" si="195"/>
        <v>0</v>
      </c>
      <c r="P16" s="881">
        <f t="shared" si="195"/>
        <v>1.7233333333333334</v>
      </c>
      <c r="Q16" s="710">
        <f t="shared" si="195"/>
        <v>31.662236044613138</v>
      </c>
      <c r="R16" s="710">
        <f t="shared" si="195"/>
        <v>1.5727978776865969E-3</v>
      </c>
      <c r="S16" s="710">
        <v>0</v>
      </c>
      <c r="T16" s="995" t="str">
        <f t="shared" si="195"/>
        <v>Based on the Mid Atlantic TRM v10 (p 133) for the residential measure "Faucet Aerators" for the bathroom. Engineering Calculation.</v>
      </c>
      <c r="U16" s="712">
        <f t="shared" si="195"/>
        <v>0</v>
      </c>
      <c r="V16" s="996">
        <f t="shared" si="195"/>
        <v>1</v>
      </c>
      <c r="W16" s="996">
        <f t="shared" ref="W16:AD16" si="220">W9*0.5</f>
        <v>5</v>
      </c>
      <c r="X16" s="996">
        <f t="shared" si="220"/>
        <v>5</v>
      </c>
      <c r="Y16" s="996">
        <f t="shared" si="220"/>
        <v>10</v>
      </c>
      <c r="Z16" s="996">
        <f t="shared" si="220"/>
        <v>10</v>
      </c>
      <c r="AA16" s="996">
        <f t="shared" si="220"/>
        <v>10</v>
      </c>
      <c r="AB16" s="996">
        <f t="shared" si="220"/>
        <v>10</v>
      </c>
      <c r="AC16" s="996">
        <f t="shared" si="220"/>
        <v>10</v>
      </c>
      <c r="AD16" s="996">
        <f t="shared" si="220"/>
        <v>10</v>
      </c>
      <c r="AE16" s="997" t="s">
        <v>384</v>
      </c>
      <c r="AF16" s="711" t="s">
        <v>742</v>
      </c>
      <c r="AG16" s="663" t="s">
        <v>1146</v>
      </c>
      <c r="AH16" s="711" t="s">
        <v>753</v>
      </c>
      <c r="AI16" s="998" t="str">
        <f t="shared" ref="AI16:AL16" si="221">AI9</f>
        <v>Existing</v>
      </c>
      <c r="AJ16" s="998" t="str">
        <f t="shared" si="221"/>
        <v>NA</v>
      </c>
      <c r="AK16" s="998" t="str">
        <f t="shared" si="221"/>
        <v>NA</v>
      </c>
      <c r="AL16" s="998" t="str">
        <f t="shared" si="221"/>
        <v>NA</v>
      </c>
      <c r="AM16" s="715" t="s">
        <v>1158</v>
      </c>
      <c r="AN16" s="998" t="str">
        <f t="shared" si="166"/>
        <v>OFFSMGasDHW</v>
      </c>
      <c r="AO16" s="715" t="s">
        <v>771</v>
      </c>
      <c r="AP16" s="711">
        <f t="shared" ref="AP16:AT16" si="222">AP9</f>
        <v>10</v>
      </c>
      <c r="AQ16" s="711">
        <f t="shared" si="222"/>
        <v>10</v>
      </c>
      <c r="AR16" s="999" t="str">
        <f t="shared" si="222"/>
        <v>Mid Atlantic TRM v10</v>
      </c>
      <c r="AS16" s="998">
        <f t="shared" si="222"/>
        <v>1</v>
      </c>
      <c r="AT16" s="998">
        <f t="shared" si="222"/>
        <v>1</v>
      </c>
      <c r="AU16" s="998">
        <v>0</v>
      </c>
      <c r="AV16" s="774">
        <f t="shared" si="168"/>
        <v>0</v>
      </c>
      <c r="AW16" s="503">
        <f t="shared" si="169"/>
        <v>0</v>
      </c>
      <c r="AX16" s="503">
        <f t="shared" si="169"/>
        <v>0</v>
      </c>
      <c r="AY16" s="503">
        <f t="shared" si="170"/>
        <v>0</v>
      </c>
      <c r="AZ16" s="503">
        <f t="shared" si="170"/>
        <v>0</v>
      </c>
      <c r="BA16" s="503">
        <f t="shared" si="170"/>
        <v>0</v>
      </c>
      <c r="BB16" s="776">
        <f t="shared" si="170"/>
        <v>0</v>
      </c>
      <c r="BC16" s="774">
        <f t="shared" si="171"/>
        <v>0</v>
      </c>
      <c r="BD16" s="503">
        <f t="shared" si="172"/>
        <v>0</v>
      </c>
      <c r="BE16" s="503">
        <f t="shared" si="172"/>
        <v>0</v>
      </c>
      <c r="BF16" s="503">
        <f t="shared" si="172"/>
        <v>0</v>
      </c>
      <c r="BG16" s="503">
        <f t="shared" si="173"/>
        <v>0</v>
      </c>
      <c r="BH16" s="503">
        <f t="shared" si="173"/>
        <v>0</v>
      </c>
      <c r="BI16" s="776">
        <f t="shared" si="173"/>
        <v>0</v>
      </c>
      <c r="BJ16" s="774">
        <f t="shared" si="174"/>
        <v>0</v>
      </c>
      <c r="BK16" s="503">
        <f t="shared" si="175"/>
        <v>0</v>
      </c>
      <c r="BL16" s="503">
        <f t="shared" si="175"/>
        <v>0</v>
      </c>
      <c r="BM16" s="503">
        <f t="shared" si="175"/>
        <v>0</v>
      </c>
      <c r="BN16" s="503">
        <f t="shared" si="176"/>
        <v>0</v>
      </c>
      <c r="BO16" s="503">
        <f t="shared" si="176"/>
        <v>0</v>
      </c>
      <c r="BP16" s="776">
        <f t="shared" si="176"/>
        <v>0</v>
      </c>
      <c r="BQ16" s="497">
        <f t="shared" si="199"/>
        <v>1.7233333333333334</v>
      </c>
      <c r="BR16" s="503">
        <f t="shared" si="199"/>
        <v>1.7233333333333334</v>
      </c>
      <c r="BS16" s="503">
        <f t="shared" si="199"/>
        <v>1.7233333333333334</v>
      </c>
      <c r="BT16" s="503">
        <f t="shared" si="199"/>
        <v>1.7233333333333334</v>
      </c>
      <c r="BU16" s="503">
        <f t="shared" si="199"/>
        <v>1.7233333333333334</v>
      </c>
      <c r="BV16" s="503">
        <f t="shared" si="199"/>
        <v>1.7233333333333334</v>
      </c>
      <c r="BW16" s="645">
        <f t="shared" si="199"/>
        <v>1.7233333333333334</v>
      </c>
      <c r="BX16" s="722">
        <f t="shared" si="177"/>
        <v>31.662236044613138</v>
      </c>
      <c r="BY16" s="511">
        <f t="shared" si="178"/>
        <v>31.662236044613138</v>
      </c>
      <c r="BZ16" s="511">
        <f t="shared" si="178"/>
        <v>31.662236044613138</v>
      </c>
      <c r="CA16" s="511">
        <f t="shared" si="178"/>
        <v>31.662236044613138</v>
      </c>
      <c r="CB16" s="511">
        <f t="shared" si="179"/>
        <v>31.662236044613138</v>
      </c>
      <c r="CC16" s="511">
        <f t="shared" si="179"/>
        <v>31.662236044613138</v>
      </c>
      <c r="CD16" s="723">
        <f t="shared" si="179"/>
        <v>31.662236044613138</v>
      </c>
      <c r="CE16" s="722">
        <f t="shared" si="180"/>
        <v>1.5727978776865969E-3</v>
      </c>
      <c r="CF16" s="511">
        <f t="shared" si="181"/>
        <v>1.5727978776865969E-3</v>
      </c>
      <c r="CG16" s="511">
        <f t="shared" si="181"/>
        <v>1.5727978776865969E-3</v>
      </c>
      <c r="CH16" s="511">
        <f t="shared" si="181"/>
        <v>1.5727978776865969E-3</v>
      </c>
      <c r="CI16" s="511">
        <f t="shared" si="182"/>
        <v>1.5727978776865969E-3</v>
      </c>
      <c r="CJ16" s="511">
        <f t="shared" si="182"/>
        <v>1.5727978776865969E-3</v>
      </c>
      <c r="CK16" s="723">
        <f t="shared" si="182"/>
        <v>1.5727978776865969E-3</v>
      </c>
      <c r="CL16" s="511">
        <f t="shared" si="183"/>
        <v>0</v>
      </c>
      <c r="CM16" s="511">
        <f t="shared" si="184"/>
        <v>0</v>
      </c>
      <c r="CN16" s="511">
        <f t="shared" si="184"/>
        <v>0</v>
      </c>
      <c r="CO16" s="511">
        <f t="shared" si="184"/>
        <v>0</v>
      </c>
      <c r="CP16" s="511">
        <f t="shared" si="185"/>
        <v>0</v>
      </c>
      <c r="CQ16" s="511">
        <f t="shared" si="185"/>
        <v>0</v>
      </c>
      <c r="CR16" s="539">
        <f t="shared" si="185"/>
        <v>0</v>
      </c>
      <c r="CS16" s="774">
        <f t="shared" si="200"/>
        <v>0</v>
      </c>
      <c r="CT16" s="503">
        <f t="shared" si="200"/>
        <v>0</v>
      </c>
      <c r="CU16" s="503">
        <f t="shared" si="200"/>
        <v>0</v>
      </c>
      <c r="CV16" s="503">
        <f t="shared" si="200"/>
        <v>0</v>
      </c>
      <c r="CW16" s="503">
        <f t="shared" si="200"/>
        <v>0</v>
      </c>
      <c r="CX16" s="503">
        <f t="shared" si="200"/>
        <v>0</v>
      </c>
      <c r="CY16" s="776">
        <f t="shared" si="200"/>
        <v>0</v>
      </c>
      <c r="CZ16" s="774">
        <f t="shared" si="201"/>
        <v>0</v>
      </c>
      <c r="DA16" s="503">
        <f t="shared" si="201"/>
        <v>0</v>
      </c>
      <c r="DB16" s="503">
        <f t="shared" si="201"/>
        <v>0</v>
      </c>
      <c r="DC16" s="503">
        <f t="shared" si="201"/>
        <v>0</v>
      </c>
      <c r="DD16" s="503">
        <f t="shared" si="201"/>
        <v>0</v>
      </c>
      <c r="DE16" s="503">
        <f t="shared" si="201"/>
        <v>0</v>
      </c>
      <c r="DF16" s="776">
        <f t="shared" si="201"/>
        <v>0</v>
      </c>
      <c r="DG16" s="774">
        <f t="shared" si="202"/>
        <v>0</v>
      </c>
      <c r="DH16" s="503">
        <f t="shared" si="202"/>
        <v>0</v>
      </c>
      <c r="DI16" s="503">
        <f t="shared" si="202"/>
        <v>0</v>
      </c>
      <c r="DJ16" s="503">
        <f t="shared" si="202"/>
        <v>0</v>
      </c>
      <c r="DK16" s="503">
        <f t="shared" si="202"/>
        <v>0</v>
      </c>
      <c r="DL16" s="503">
        <f t="shared" si="202"/>
        <v>0</v>
      </c>
      <c r="DM16" s="776">
        <f t="shared" si="202"/>
        <v>0</v>
      </c>
      <c r="DN16" s="774">
        <f t="shared" si="203"/>
        <v>8.6166666666666671</v>
      </c>
      <c r="DO16" s="503">
        <f t="shared" si="203"/>
        <v>17.233333333333334</v>
      </c>
      <c r="DP16" s="503">
        <f t="shared" si="203"/>
        <v>17.233333333333334</v>
      </c>
      <c r="DQ16" s="503">
        <f t="shared" si="203"/>
        <v>17.233333333333334</v>
      </c>
      <c r="DR16" s="503">
        <f t="shared" si="203"/>
        <v>17.233333333333334</v>
      </c>
      <c r="DS16" s="503">
        <f t="shared" si="203"/>
        <v>17.233333333333334</v>
      </c>
      <c r="DT16" s="776">
        <f t="shared" si="203"/>
        <v>17.233333333333334</v>
      </c>
      <c r="DU16" s="511">
        <f t="shared" si="204"/>
        <v>158.31118022306569</v>
      </c>
      <c r="DV16" s="511">
        <f t="shared" si="204"/>
        <v>316.62236044613138</v>
      </c>
      <c r="DW16" s="511">
        <f t="shared" si="204"/>
        <v>316.62236044613138</v>
      </c>
      <c r="DX16" s="511">
        <f t="shared" si="204"/>
        <v>316.62236044613138</v>
      </c>
      <c r="DY16" s="511">
        <f t="shared" si="204"/>
        <v>316.62236044613138</v>
      </c>
      <c r="DZ16" s="511">
        <f t="shared" si="204"/>
        <v>316.62236044613138</v>
      </c>
      <c r="EA16" s="539">
        <f t="shared" si="204"/>
        <v>316.62236044613138</v>
      </c>
      <c r="EB16" s="722">
        <f t="shared" si="205"/>
        <v>7.8639893884329855E-3</v>
      </c>
      <c r="EC16" s="511">
        <f t="shared" si="205"/>
        <v>1.5727978776865971E-2</v>
      </c>
      <c r="ED16" s="511">
        <f t="shared" si="205"/>
        <v>1.5727978776865971E-2</v>
      </c>
      <c r="EE16" s="511">
        <f t="shared" si="205"/>
        <v>1.5727978776865971E-2</v>
      </c>
      <c r="EF16" s="511">
        <f t="shared" si="205"/>
        <v>1.5727978776865971E-2</v>
      </c>
      <c r="EG16" s="511">
        <f t="shared" si="205"/>
        <v>1.5727978776865971E-2</v>
      </c>
      <c r="EH16" s="723">
        <f t="shared" si="205"/>
        <v>1.5727978776865971E-2</v>
      </c>
      <c r="EI16" s="722">
        <f t="shared" si="206"/>
        <v>0</v>
      </c>
      <c r="EJ16" s="511">
        <f t="shared" si="206"/>
        <v>0</v>
      </c>
      <c r="EK16" s="511">
        <f t="shared" si="206"/>
        <v>0</v>
      </c>
      <c r="EL16" s="511">
        <f t="shared" si="206"/>
        <v>0</v>
      </c>
      <c r="EM16" s="511">
        <f t="shared" si="206"/>
        <v>0</v>
      </c>
      <c r="EN16" s="511">
        <f t="shared" si="206"/>
        <v>0</v>
      </c>
      <c r="EO16" s="723">
        <f t="shared" si="206"/>
        <v>0</v>
      </c>
      <c r="EP16" s="722">
        <f t="shared" si="207"/>
        <v>65</v>
      </c>
      <c r="EQ16" s="503">
        <f t="shared" si="208"/>
        <v>0</v>
      </c>
      <c r="ER16" s="503">
        <f t="shared" si="209"/>
        <v>0</v>
      </c>
      <c r="ES16" s="503">
        <f t="shared" si="210"/>
        <v>0</v>
      </c>
      <c r="ET16" s="503">
        <f t="shared" si="211"/>
        <v>112.01666666666668</v>
      </c>
      <c r="EU16" s="511">
        <f t="shared" si="212"/>
        <v>2058.0453428998539</v>
      </c>
      <c r="EV16" s="511">
        <f t="shared" si="213"/>
        <v>0.10223186204962881</v>
      </c>
      <c r="EW16" s="511">
        <f t="shared" si="214"/>
        <v>0</v>
      </c>
    </row>
    <row r="17" spans="1:153" s="10" customFormat="1" ht="12.75" customHeight="1">
      <c r="A17" s="661" t="s">
        <v>177</v>
      </c>
      <c r="B17" s="703" t="str">
        <f t="shared" si="160"/>
        <v>KU-Small Business Direct Install - Water Conservation Showerheads</v>
      </c>
      <c r="C17" s="703" t="str">
        <f t="shared" ref="C17:J17" si="223">C10</f>
        <v>Showerhead 1.5 GPM</v>
      </c>
      <c r="D17" s="703" t="str">
        <f t="shared" si="223"/>
        <v>Existing 2.5 GPM</v>
      </c>
      <c r="E17" s="703" t="str">
        <f t="shared" si="223"/>
        <v>Per Unit</v>
      </c>
      <c r="F17" s="704" t="str">
        <f t="shared" si="223"/>
        <v>Full Cost</v>
      </c>
      <c r="G17" s="704">
        <f t="shared" si="223"/>
        <v>0</v>
      </c>
      <c r="H17" s="704">
        <f t="shared" si="223"/>
        <v>0</v>
      </c>
      <c r="I17" s="869">
        <f t="shared" si="223"/>
        <v>0</v>
      </c>
      <c r="J17" s="704">
        <f t="shared" si="223"/>
        <v>0</v>
      </c>
      <c r="K17" s="994">
        <f t="shared" si="194"/>
        <v>0</v>
      </c>
      <c r="L17" s="913"/>
      <c r="M17" s="707">
        <f t="shared" si="195"/>
        <v>0</v>
      </c>
      <c r="N17" s="707">
        <f t="shared" si="195"/>
        <v>0</v>
      </c>
      <c r="O17" s="881">
        <f t="shared" si="195"/>
        <v>0</v>
      </c>
      <c r="P17" s="881">
        <f t="shared" si="195"/>
        <v>8.1166666666666654</v>
      </c>
      <c r="Q17" s="710">
        <f t="shared" si="195"/>
        <v>107.53725562445049</v>
      </c>
      <c r="R17" s="710">
        <f t="shared" si="195"/>
        <v>9.3813961019929698E-3</v>
      </c>
      <c r="S17" s="710">
        <v>0</v>
      </c>
      <c r="T17" s="995" t="str">
        <f t="shared" si="195"/>
        <v>Based on the Mid Atlantic TRM v10 (p 137) for the residential measure "Low Flow Showerhead". Engineering Calculation</v>
      </c>
      <c r="U17" s="712">
        <f t="shared" si="195"/>
        <v>0</v>
      </c>
      <c r="V17" s="996">
        <f t="shared" si="195"/>
        <v>1</v>
      </c>
      <c r="W17" s="996">
        <f t="shared" ref="W17:AD17" si="224">W10*0.5</f>
        <v>2</v>
      </c>
      <c r="X17" s="996">
        <f t="shared" si="224"/>
        <v>2</v>
      </c>
      <c r="Y17" s="996">
        <f t="shared" si="224"/>
        <v>4</v>
      </c>
      <c r="Z17" s="996">
        <f t="shared" si="224"/>
        <v>4</v>
      </c>
      <c r="AA17" s="996">
        <f t="shared" si="224"/>
        <v>4</v>
      </c>
      <c r="AB17" s="996">
        <f t="shared" si="224"/>
        <v>4</v>
      </c>
      <c r="AC17" s="996">
        <f t="shared" si="224"/>
        <v>4</v>
      </c>
      <c r="AD17" s="996">
        <f t="shared" si="224"/>
        <v>4</v>
      </c>
      <c r="AE17" s="997" t="s">
        <v>384</v>
      </c>
      <c r="AF17" s="711" t="s">
        <v>742</v>
      </c>
      <c r="AG17" s="663" t="s">
        <v>1146</v>
      </c>
      <c r="AH17" s="711" t="s">
        <v>753</v>
      </c>
      <c r="AI17" s="998" t="str">
        <f t="shared" ref="AI17:AL17" si="225">AI10</f>
        <v>Existing</v>
      </c>
      <c r="AJ17" s="998" t="str">
        <f t="shared" si="225"/>
        <v>NA</v>
      </c>
      <c r="AK17" s="998" t="str">
        <f t="shared" si="225"/>
        <v>NA</v>
      </c>
      <c r="AL17" s="998" t="str">
        <f t="shared" si="225"/>
        <v>NA</v>
      </c>
      <c r="AM17" s="715" t="s">
        <v>1158</v>
      </c>
      <c r="AN17" s="998" t="str">
        <f t="shared" si="166"/>
        <v>OFFSMGasDHW</v>
      </c>
      <c r="AO17" s="715" t="s">
        <v>771</v>
      </c>
      <c r="AP17" s="711">
        <f t="shared" ref="AP17:AT17" si="226">AP10</f>
        <v>10</v>
      </c>
      <c r="AQ17" s="711">
        <f t="shared" si="226"/>
        <v>10</v>
      </c>
      <c r="AR17" s="999" t="str">
        <f t="shared" si="226"/>
        <v>Mid Atlantic TRM v10</v>
      </c>
      <c r="AS17" s="998">
        <f t="shared" si="226"/>
        <v>1</v>
      </c>
      <c r="AT17" s="998">
        <f t="shared" si="226"/>
        <v>1</v>
      </c>
      <c r="AU17" s="998">
        <v>0</v>
      </c>
      <c r="AV17" s="774">
        <f t="shared" si="168"/>
        <v>0</v>
      </c>
      <c r="AW17" s="503">
        <f t="shared" si="169"/>
        <v>0</v>
      </c>
      <c r="AX17" s="503">
        <f t="shared" si="169"/>
        <v>0</v>
      </c>
      <c r="AY17" s="503">
        <f t="shared" si="170"/>
        <v>0</v>
      </c>
      <c r="AZ17" s="503">
        <f t="shared" si="170"/>
        <v>0</v>
      </c>
      <c r="BA17" s="503">
        <f t="shared" si="170"/>
        <v>0</v>
      </c>
      <c r="BB17" s="776">
        <f t="shared" si="170"/>
        <v>0</v>
      </c>
      <c r="BC17" s="774">
        <f t="shared" si="171"/>
        <v>0</v>
      </c>
      <c r="BD17" s="503">
        <f t="shared" si="172"/>
        <v>0</v>
      </c>
      <c r="BE17" s="503">
        <f t="shared" si="172"/>
        <v>0</v>
      </c>
      <c r="BF17" s="503">
        <f t="shared" si="172"/>
        <v>0</v>
      </c>
      <c r="BG17" s="503">
        <f t="shared" si="173"/>
        <v>0</v>
      </c>
      <c r="BH17" s="503">
        <f t="shared" si="173"/>
        <v>0</v>
      </c>
      <c r="BI17" s="776">
        <f t="shared" si="173"/>
        <v>0</v>
      </c>
      <c r="BJ17" s="774">
        <f t="shared" si="174"/>
        <v>0</v>
      </c>
      <c r="BK17" s="503">
        <f t="shared" si="175"/>
        <v>0</v>
      </c>
      <c r="BL17" s="503">
        <f t="shared" si="175"/>
        <v>0</v>
      </c>
      <c r="BM17" s="503">
        <f t="shared" si="175"/>
        <v>0</v>
      </c>
      <c r="BN17" s="503">
        <f t="shared" si="176"/>
        <v>0</v>
      </c>
      <c r="BO17" s="503">
        <f t="shared" si="176"/>
        <v>0</v>
      </c>
      <c r="BP17" s="776">
        <f t="shared" si="176"/>
        <v>0</v>
      </c>
      <c r="BQ17" s="497">
        <f t="shared" si="199"/>
        <v>8.1166666666666654</v>
      </c>
      <c r="BR17" s="503">
        <f t="shared" si="199"/>
        <v>8.1166666666666654</v>
      </c>
      <c r="BS17" s="503">
        <f t="shared" si="199"/>
        <v>8.1166666666666654</v>
      </c>
      <c r="BT17" s="503">
        <f t="shared" si="199"/>
        <v>8.1166666666666654</v>
      </c>
      <c r="BU17" s="503">
        <f t="shared" si="199"/>
        <v>8.1166666666666654</v>
      </c>
      <c r="BV17" s="503">
        <f t="shared" si="199"/>
        <v>8.1166666666666654</v>
      </c>
      <c r="BW17" s="645">
        <f t="shared" si="199"/>
        <v>8.1166666666666654</v>
      </c>
      <c r="BX17" s="722">
        <f t="shared" si="177"/>
        <v>107.53725562445049</v>
      </c>
      <c r="BY17" s="511">
        <f t="shared" si="178"/>
        <v>107.53725562445049</v>
      </c>
      <c r="BZ17" s="511">
        <f t="shared" si="178"/>
        <v>107.53725562445049</v>
      </c>
      <c r="CA17" s="511">
        <f t="shared" si="178"/>
        <v>107.53725562445049</v>
      </c>
      <c r="CB17" s="511">
        <f t="shared" si="179"/>
        <v>107.53725562445049</v>
      </c>
      <c r="CC17" s="511">
        <f t="shared" si="179"/>
        <v>107.53725562445049</v>
      </c>
      <c r="CD17" s="723">
        <f t="shared" si="179"/>
        <v>107.53725562445049</v>
      </c>
      <c r="CE17" s="722">
        <f t="shared" si="180"/>
        <v>9.3813961019929698E-3</v>
      </c>
      <c r="CF17" s="511">
        <f t="shared" si="181"/>
        <v>9.3813961019929698E-3</v>
      </c>
      <c r="CG17" s="511">
        <f t="shared" si="181"/>
        <v>9.3813961019929698E-3</v>
      </c>
      <c r="CH17" s="511">
        <f t="shared" si="181"/>
        <v>9.3813961019929698E-3</v>
      </c>
      <c r="CI17" s="511">
        <f t="shared" si="182"/>
        <v>9.3813961019929698E-3</v>
      </c>
      <c r="CJ17" s="511">
        <f t="shared" si="182"/>
        <v>9.3813961019929698E-3</v>
      </c>
      <c r="CK17" s="723">
        <f t="shared" si="182"/>
        <v>9.3813961019929698E-3</v>
      </c>
      <c r="CL17" s="511">
        <f t="shared" si="183"/>
        <v>0</v>
      </c>
      <c r="CM17" s="511">
        <f t="shared" si="184"/>
        <v>0</v>
      </c>
      <c r="CN17" s="511">
        <f t="shared" si="184"/>
        <v>0</v>
      </c>
      <c r="CO17" s="511">
        <f t="shared" si="184"/>
        <v>0</v>
      </c>
      <c r="CP17" s="511">
        <f t="shared" si="185"/>
        <v>0</v>
      </c>
      <c r="CQ17" s="511">
        <f t="shared" si="185"/>
        <v>0</v>
      </c>
      <c r="CR17" s="539">
        <f t="shared" si="185"/>
        <v>0</v>
      </c>
      <c r="CS17" s="774">
        <f t="shared" si="200"/>
        <v>0</v>
      </c>
      <c r="CT17" s="503">
        <f t="shared" si="200"/>
        <v>0</v>
      </c>
      <c r="CU17" s="503">
        <f t="shared" si="200"/>
        <v>0</v>
      </c>
      <c r="CV17" s="503">
        <f t="shared" si="200"/>
        <v>0</v>
      </c>
      <c r="CW17" s="503">
        <f t="shared" si="200"/>
        <v>0</v>
      </c>
      <c r="CX17" s="503">
        <f t="shared" si="200"/>
        <v>0</v>
      </c>
      <c r="CY17" s="776">
        <f t="shared" si="200"/>
        <v>0</v>
      </c>
      <c r="CZ17" s="774">
        <f t="shared" si="201"/>
        <v>0</v>
      </c>
      <c r="DA17" s="503">
        <f t="shared" si="201"/>
        <v>0</v>
      </c>
      <c r="DB17" s="503">
        <f t="shared" si="201"/>
        <v>0</v>
      </c>
      <c r="DC17" s="503">
        <f t="shared" si="201"/>
        <v>0</v>
      </c>
      <c r="DD17" s="503">
        <f t="shared" si="201"/>
        <v>0</v>
      </c>
      <c r="DE17" s="503">
        <f t="shared" si="201"/>
        <v>0</v>
      </c>
      <c r="DF17" s="776">
        <f t="shared" si="201"/>
        <v>0</v>
      </c>
      <c r="DG17" s="774">
        <f t="shared" si="202"/>
        <v>0</v>
      </c>
      <c r="DH17" s="503">
        <f t="shared" si="202"/>
        <v>0</v>
      </c>
      <c r="DI17" s="503">
        <f t="shared" si="202"/>
        <v>0</v>
      </c>
      <c r="DJ17" s="503">
        <f t="shared" si="202"/>
        <v>0</v>
      </c>
      <c r="DK17" s="503">
        <f t="shared" si="202"/>
        <v>0</v>
      </c>
      <c r="DL17" s="503">
        <f t="shared" si="202"/>
        <v>0</v>
      </c>
      <c r="DM17" s="776">
        <f t="shared" si="202"/>
        <v>0</v>
      </c>
      <c r="DN17" s="774">
        <f t="shared" si="203"/>
        <v>16.233333333333331</v>
      </c>
      <c r="DO17" s="503">
        <f t="shared" si="203"/>
        <v>32.466666666666661</v>
      </c>
      <c r="DP17" s="503">
        <f t="shared" si="203"/>
        <v>32.466666666666661</v>
      </c>
      <c r="DQ17" s="503">
        <f t="shared" si="203"/>
        <v>32.466666666666661</v>
      </c>
      <c r="DR17" s="503">
        <f t="shared" si="203"/>
        <v>32.466666666666661</v>
      </c>
      <c r="DS17" s="503">
        <f t="shared" si="203"/>
        <v>32.466666666666661</v>
      </c>
      <c r="DT17" s="776">
        <f t="shared" si="203"/>
        <v>32.466666666666661</v>
      </c>
      <c r="DU17" s="511">
        <f t="shared" si="204"/>
        <v>215.07451124890099</v>
      </c>
      <c r="DV17" s="511">
        <f t="shared" si="204"/>
        <v>430.14902249780198</v>
      </c>
      <c r="DW17" s="511">
        <f t="shared" si="204"/>
        <v>430.14902249780198</v>
      </c>
      <c r="DX17" s="511">
        <f t="shared" si="204"/>
        <v>430.14902249780198</v>
      </c>
      <c r="DY17" s="511">
        <f t="shared" si="204"/>
        <v>430.14902249780198</v>
      </c>
      <c r="DZ17" s="511">
        <f t="shared" si="204"/>
        <v>430.14902249780198</v>
      </c>
      <c r="EA17" s="539">
        <f t="shared" si="204"/>
        <v>430.14902249780198</v>
      </c>
      <c r="EB17" s="722">
        <f t="shared" si="205"/>
        <v>1.876279220398594E-2</v>
      </c>
      <c r="EC17" s="511">
        <f t="shared" si="205"/>
        <v>3.7525584407971879E-2</v>
      </c>
      <c r="ED17" s="511">
        <f t="shared" si="205"/>
        <v>3.7525584407971879E-2</v>
      </c>
      <c r="EE17" s="511">
        <f t="shared" si="205"/>
        <v>3.7525584407971879E-2</v>
      </c>
      <c r="EF17" s="511">
        <f t="shared" si="205"/>
        <v>3.7525584407971879E-2</v>
      </c>
      <c r="EG17" s="511">
        <f t="shared" si="205"/>
        <v>3.7525584407971879E-2</v>
      </c>
      <c r="EH17" s="723">
        <f t="shared" si="205"/>
        <v>3.7525584407971879E-2</v>
      </c>
      <c r="EI17" s="722">
        <f t="shared" si="206"/>
        <v>0</v>
      </c>
      <c r="EJ17" s="511">
        <f t="shared" si="206"/>
        <v>0</v>
      </c>
      <c r="EK17" s="511">
        <f t="shared" si="206"/>
        <v>0</v>
      </c>
      <c r="EL17" s="511">
        <f t="shared" si="206"/>
        <v>0</v>
      </c>
      <c r="EM17" s="511">
        <f t="shared" si="206"/>
        <v>0</v>
      </c>
      <c r="EN17" s="511">
        <f t="shared" si="206"/>
        <v>0</v>
      </c>
      <c r="EO17" s="723">
        <f t="shared" si="206"/>
        <v>0</v>
      </c>
      <c r="EP17" s="722">
        <f t="shared" si="207"/>
        <v>26</v>
      </c>
      <c r="EQ17" s="503">
        <f t="shared" si="208"/>
        <v>0</v>
      </c>
      <c r="ER17" s="503">
        <f t="shared" si="209"/>
        <v>0</v>
      </c>
      <c r="ES17" s="503">
        <f t="shared" si="210"/>
        <v>0</v>
      </c>
      <c r="ET17" s="503">
        <f t="shared" si="211"/>
        <v>211.03333333333333</v>
      </c>
      <c r="EU17" s="511">
        <f t="shared" si="212"/>
        <v>2795.9686462357126</v>
      </c>
      <c r="EV17" s="511">
        <f t="shared" si="213"/>
        <v>0.24391629865181721</v>
      </c>
      <c r="EW17" s="511">
        <f t="shared" si="214"/>
        <v>0</v>
      </c>
    </row>
    <row r="18" spans="1:153" s="10" customFormat="1" ht="12.75" customHeight="1">
      <c r="A18" s="661" t="s">
        <v>178</v>
      </c>
      <c r="B18" s="703" t="str">
        <f t="shared" si="160"/>
        <v>KU-Small Business Direct Install - Water Conservation Sprayers</v>
      </c>
      <c r="C18" s="703" t="str">
        <f t="shared" ref="C18:J18" si="227">C11</f>
        <v>Pre-rinse Spray Valves 1.15GPM</v>
      </c>
      <c r="D18" s="703" t="str">
        <f t="shared" si="227"/>
        <v>Existing 1.6 GPM</v>
      </c>
      <c r="E18" s="703" t="str">
        <f t="shared" si="227"/>
        <v>Per Unit</v>
      </c>
      <c r="F18" s="704" t="str">
        <f t="shared" si="227"/>
        <v>Full Cost</v>
      </c>
      <c r="G18" s="704">
        <f t="shared" si="227"/>
        <v>0</v>
      </c>
      <c r="H18" s="704">
        <f t="shared" si="227"/>
        <v>0</v>
      </c>
      <c r="I18" s="869">
        <f t="shared" si="227"/>
        <v>0</v>
      </c>
      <c r="J18" s="704">
        <f t="shared" si="227"/>
        <v>0</v>
      </c>
      <c r="K18" s="994">
        <f t="shared" si="194"/>
        <v>0</v>
      </c>
      <c r="L18" s="913"/>
      <c r="M18" s="707">
        <f t="shared" si="195"/>
        <v>0</v>
      </c>
      <c r="N18" s="707">
        <f t="shared" si="195"/>
        <v>0</v>
      </c>
      <c r="O18" s="881">
        <f t="shared" si="195"/>
        <v>0</v>
      </c>
      <c r="P18" s="881">
        <f t="shared" si="195"/>
        <v>43.49</v>
      </c>
      <c r="Q18" s="710">
        <f t="shared" si="195"/>
        <v>922.21347445032825</v>
      </c>
      <c r="R18" s="710">
        <f t="shared" si="195"/>
        <v>0</v>
      </c>
      <c r="S18" s="710">
        <v>0</v>
      </c>
      <c r="T18" s="995" t="str">
        <f t="shared" si="195"/>
        <v>Based on the Mid Atlantic TRM v10 (p 355) "Pre Rinse Spray Valve". Engineering Calculation</v>
      </c>
      <c r="U18" s="712">
        <f t="shared" si="195"/>
        <v>0</v>
      </c>
      <c r="V18" s="996">
        <f t="shared" si="195"/>
        <v>1</v>
      </c>
      <c r="W18" s="996">
        <f t="shared" ref="W18:AD18" si="228">W11*0.5</f>
        <v>2</v>
      </c>
      <c r="X18" s="996">
        <f t="shared" si="228"/>
        <v>2</v>
      </c>
      <c r="Y18" s="996">
        <f t="shared" si="228"/>
        <v>4</v>
      </c>
      <c r="Z18" s="996">
        <f t="shared" si="228"/>
        <v>4</v>
      </c>
      <c r="AA18" s="996">
        <f t="shared" si="228"/>
        <v>4</v>
      </c>
      <c r="AB18" s="996">
        <f t="shared" si="228"/>
        <v>4</v>
      </c>
      <c r="AC18" s="996">
        <f t="shared" si="228"/>
        <v>4</v>
      </c>
      <c r="AD18" s="996">
        <f t="shared" si="228"/>
        <v>4</v>
      </c>
      <c r="AE18" s="997" t="s">
        <v>384</v>
      </c>
      <c r="AF18" s="711" t="s">
        <v>742</v>
      </c>
      <c r="AG18" s="663" t="s">
        <v>1146</v>
      </c>
      <c r="AH18" s="711" t="s">
        <v>753</v>
      </c>
      <c r="AI18" s="998" t="str">
        <f t="shared" ref="AI18:AL18" si="229">AI11</f>
        <v>Existing</v>
      </c>
      <c r="AJ18" s="998" t="str">
        <f t="shared" si="229"/>
        <v>NA</v>
      </c>
      <c r="AK18" s="998" t="str">
        <f t="shared" si="229"/>
        <v>NA</v>
      </c>
      <c r="AL18" s="998" t="str">
        <f t="shared" si="229"/>
        <v>NA</v>
      </c>
      <c r="AM18" s="715" t="s">
        <v>1158</v>
      </c>
      <c r="AN18" s="998" t="str">
        <f t="shared" si="166"/>
        <v>OFFSMGasDHW</v>
      </c>
      <c r="AO18" s="715" t="s">
        <v>771</v>
      </c>
      <c r="AP18" s="711">
        <f t="shared" ref="AP18:AT18" si="230">AP11</f>
        <v>5</v>
      </c>
      <c r="AQ18" s="711">
        <f t="shared" si="230"/>
        <v>5</v>
      </c>
      <c r="AR18" s="999" t="str">
        <f t="shared" si="230"/>
        <v>Mid Atlantic TRM v10</v>
      </c>
      <c r="AS18" s="998">
        <f t="shared" si="230"/>
        <v>1</v>
      </c>
      <c r="AT18" s="998">
        <f t="shared" si="230"/>
        <v>1</v>
      </c>
      <c r="AU18" s="998">
        <v>0</v>
      </c>
      <c r="AV18" s="774">
        <f t="shared" si="168"/>
        <v>0</v>
      </c>
      <c r="AW18" s="503">
        <f t="shared" si="169"/>
        <v>0</v>
      </c>
      <c r="AX18" s="503">
        <f t="shared" si="169"/>
        <v>0</v>
      </c>
      <c r="AY18" s="503">
        <f t="shared" si="170"/>
        <v>0</v>
      </c>
      <c r="AZ18" s="503">
        <f t="shared" si="170"/>
        <v>0</v>
      </c>
      <c r="BA18" s="503">
        <f t="shared" si="170"/>
        <v>0</v>
      </c>
      <c r="BB18" s="776">
        <f t="shared" si="170"/>
        <v>0</v>
      </c>
      <c r="BC18" s="774">
        <f t="shared" si="171"/>
        <v>0</v>
      </c>
      <c r="BD18" s="503">
        <f t="shared" si="172"/>
        <v>0</v>
      </c>
      <c r="BE18" s="503">
        <f t="shared" si="172"/>
        <v>0</v>
      </c>
      <c r="BF18" s="503">
        <f t="shared" si="172"/>
        <v>0</v>
      </c>
      <c r="BG18" s="503">
        <f t="shared" si="173"/>
        <v>0</v>
      </c>
      <c r="BH18" s="503">
        <f t="shared" si="173"/>
        <v>0</v>
      </c>
      <c r="BI18" s="776">
        <f t="shared" si="173"/>
        <v>0</v>
      </c>
      <c r="BJ18" s="774">
        <f t="shared" si="174"/>
        <v>0</v>
      </c>
      <c r="BK18" s="503">
        <f t="shared" si="175"/>
        <v>0</v>
      </c>
      <c r="BL18" s="503">
        <f t="shared" si="175"/>
        <v>0</v>
      </c>
      <c r="BM18" s="503">
        <f t="shared" si="175"/>
        <v>0</v>
      </c>
      <c r="BN18" s="503">
        <f t="shared" si="176"/>
        <v>0</v>
      </c>
      <c r="BO18" s="503">
        <f t="shared" si="176"/>
        <v>0</v>
      </c>
      <c r="BP18" s="776">
        <f t="shared" si="176"/>
        <v>0</v>
      </c>
      <c r="BQ18" s="497">
        <f t="shared" si="199"/>
        <v>43.49</v>
      </c>
      <c r="BR18" s="503">
        <f t="shared" si="199"/>
        <v>43.49</v>
      </c>
      <c r="BS18" s="503">
        <f t="shared" si="199"/>
        <v>43.49</v>
      </c>
      <c r="BT18" s="503">
        <f t="shared" si="199"/>
        <v>43.49</v>
      </c>
      <c r="BU18" s="503">
        <f t="shared" si="199"/>
        <v>43.49</v>
      </c>
      <c r="BV18" s="503">
        <f t="shared" si="199"/>
        <v>43.49</v>
      </c>
      <c r="BW18" s="645">
        <f t="shared" si="199"/>
        <v>43.49</v>
      </c>
      <c r="BX18" s="722">
        <f t="shared" si="177"/>
        <v>922.21347445032825</v>
      </c>
      <c r="BY18" s="511">
        <f t="shared" si="178"/>
        <v>922.21347445032825</v>
      </c>
      <c r="BZ18" s="511">
        <f t="shared" si="178"/>
        <v>922.21347445032825</v>
      </c>
      <c r="CA18" s="511">
        <f t="shared" si="178"/>
        <v>922.21347445032825</v>
      </c>
      <c r="CB18" s="511">
        <f t="shared" si="179"/>
        <v>922.21347445032825</v>
      </c>
      <c r="CC18" s="511">
        <f t="shared" si="179"/>
        <v>922.21347445032825</v>
      </c>
      <c r="CD18" s="723">
        <f t="shared" si="179"/>
        <v>922.21347445032825</v>
      </c>
      <c r="CE18" s="722">
        <f t="shared" si="180"/>
        <v>0</v>
      </c>
      <c r="CF18" s="511">
        <f t="shared" si="181"/>
        <v>0</v>
      </c>
      <c r="CG18" s="511">
        <f t="shared" si="181"/>
        <v>0</v>
      </c>
      <c r="CH18" s="511">
        <f t="shared" si="181"/>
        <v>0</v>
      </c>
      <c r="CI18" s="511">
        <f t="shared" si="182"/>
        <v>0</v>
      </c>
      <c r="CJ18" s="511">
        <f t="shared" si="182"/>
        <v>0</v>
      </c>
      <c r="CK18" s="723">
        <f t="shared" si="182"/>
        <v>0</v>
      </c>
      <c r="CL18" s="511">
        <f t="shared" si="183"/>
        <v>0</v>
      </c>
      <c r="CM18" s="511">
        <f t="shared" si="184"/>
        <v>0</v>
      </c>
      <c r="CN18" s="511">
        <f t="shared" si="184"/>
        <v>0</v>
      </c>
      <c r="CO18" s="511">
        <f t="shared" si="184"/>
        <v>0</v>
      </c>
      <c r="CP18" s="511">
        <f t="shared" si="185"/>
        <v>0</v>
      </c>
      <c r="CQ18" s="511">
        <f t="shared" si="185"/>
        <v>0</v>
      </c>
      <c r="CR18" s="539">
        <f t="shared" si="185"/>
        <v>0</v>
      </c>
      <c r="CS18" s="774">
        <f t="shared" si="200"/>
        <v>0</v>
      </c>
      <c r="CT18" s="503">
        <f t="shared" si="200"/>
        <v>0</v>
      </c>
      <c r="CU18" s="503">
        <f t="shared" si="200"/>
        <v>0</v>
      </c>
      <c r="CV18" s="503">
        <f t="shared" si="200"/>
        <v>0</v>
      </c>
      <c r="CW18" s="503">
        <f t="shared" si="200"/>
        <v>0</v>
      </c>
      <c r="CX18" s="503">
        <f t="shared" si="200"/>
        <v>0</v>
      </c>
      <c r="CY18" s="776">
        <f t="shared" si="200"/>
        <v>0</v>
      </c>
      <c r="CZ18" s="774">
        <f t="shared" si="201"/>
        <v>0</v>
      </c>
      <c r="DA18" s="503">
        <f t="shared" si="201"/>
        <v>0</v>
      </c>
      <c r="DB18" s="503">
        <f t="shared" si="201"/>
        <v>0</v>
      </c>
      <c r="DC18" s="503">
        <f t="shared" si="201"/>
        <v>0</v>
      </c>
      <c r="DD18" s="503">
        <f t="shared" si="201"/>
        <v>0</v>
      </c>
      <c r="DE18" s="503">
        <f t="shared" si="201"/>
        <v>0</v>
      </c>
      <c r="DF18" s="776">
        <f t="shared" si="201"/>
        <v>0</v>
      </c>
      <c r="DG18" s="774">
        <f t="shared" si="202"/>
        <v>0</v>
      </c>
      <c r="DH18" s="503">
        <f t="shared" si="202"/>
        <v>0</v>
      </c>
      <c r="DI18" s="503">
        <f t="shared" si="202"/>
        <v>0</v>
      </c>
      <c r="DJ18" s="503">
        <f t="shared" si="202"/>
        <v>0</v>
      </c>
      <c r="DK18" s="503">
        <f t="shared" si="202"/>
        <v>0</v>
      </c>
      <c r="DL18" s="503">
        <f t="shared" si="202"/>
        <v>0</v>
      </c>
      <c r="DM18" s="776">
        <f t="shared" si="202"/>
        <v>0</v>
      </c>
      <c r="DN18" s="774">
        <f t="shared" si="203"/>
        <v>86.98</v>
      </c>
      <c r="DO18" s="503">
        <f t="shared" si="203"/>
        <v>173.96</v>
      </c>
      <c r="DP18" s="503">
        <f t="shared" si="203"/>
        <v>173.96</v>
      </c>
      <c r="DQ18" s="503">
        <f t="shared" si="203"/>
        <v>173.96</v>
      </c>
      <c r="DR18" s="503">
        <f t="shared" si="203"/>
        <v>173.96</v>
      </c>
      <c r="DS18" s="503">
        <f t="shared" si="203"/>
        <v>173.96</v>
      </c>
      <c r="DT18" s="776">
        <f t="shared" si="203"/>
        <v>173.96</v>
      </c>
      <c r="DU18" s="511">
        <f t="shared" si="204"/>
        <v>1844.4269489006565</v>
      </c>
      <c r="DV18" s="511">
        <f t="shared" si="204"/>
        <v>3688.853897801313</v>
      </c>
      <c r="DW18" s="511">
        <f t="shared" si="204"/>
        <v>3688.853897801313</v>
      </c>
      <c r="DX18" s="511">
        <f t="shared" si="204"/>
        <v>3688.853897801313</v>
      </c>
      <c r="DY18" s="511">
        <f t="shared" si="204"/>
        <v>3688.853897801313</v>
      </c>
      <c r="DZ18" s="511">
        <f t="shared" si="204"/>
        <v>3688.853897801313</v>
      </c>
      <c r="EA18" s="539">
        <f t="shared" si="204"/>
        <v>3688.853897801313</v>
      </c>
      <c r="EB18" s="722">
        <f t="shared" si="205"/>
        <v>0</v>
      </c>
      <c r="EC18" s="511">
        <f t="shared" si="205"/>
        <v>0</v>
      </c>
      <c r="ED18" s="511">
        <f t="shared" si="205"/>
        <v>0</v>
      </c>
      <c r="EE18" s="511">
        <f t="shared" si="205"/>
        <v>0</v>
      </c>
      <c r="EF18" s="511">
        <f t="shared" si="205"/>
        <v>0</v>
      </c>
      <c r="EG18" s="511">
        <f t="shared" si="205"/>
        <v>0</v>
      </c>
      <c r="EH18" s="723">
        <f t="shared" si="205"/>
        <v>0</v>
      </c>
      <c r="EI18" s="722">
        <f t="shared" si="206"/>
        <v>0</v>
      </c>
      <c r="EJ18" s="511">
        <f t="shared" si="206"/>
        <v>0</v>
      </c>
      <c r="EK18" s="511">
        <f t="shared" si="206"/>
        <v>0</v>
      </c>
      <c r="EL18" s="511">
        <f t="shared" si="206"/>
        <v>0</v>
      </c>
      <c r="EM18" s="511">
        <f t="shared" si="206"/>
        <v>0</v>
      </c>
      <c r="EN18" s="511">
        <f t="shared" si="206"/>
        <v>0</v>
      </c>
      <c r="EO18" s="723">
        <f t="shared" si="206"/>
        <v>0</v>
      </c>
      <c r="EP18" s="722">
        <f t="shared" si="207"/>
        <v>26</v>
      </c>
      <c r="EQ18" s="503">
        <f t="shared" si="208"/>
        <v>0</v>
      </c>
      <c r="ER18" s="503">
        <f t="shared" si="209"/>
        <v>0</v>
      </c>
      <c r="ES18" s="503">
        <f t="shared" si="210"/>
        <v>0</v>
      </c>
      <c r="ET18" s="503">
        <f t="shared" si="211"/>
        <v>1130.74</v>
      </c>
      <c r="EU18" s="511">
        <f t="shared" si="212"/>
        <v>23977.550335708533</v>
      </c>
      <c r="EV18" s="511">
        <f t="shared" si="213"/>
        <v>0</v>
      </c>
      <c r="EW18" s="511">
        <f t="shared" si="214"/>
        <v>0</v>
      </c>
    </row>
    <row r="19" spans="1:153" s="10" customFormat="1" ht="12.75" customHeight="1">
      <c r="A19" s="740"/>
      <c r="B19" s="730"/>
      <c r="C19" s="730"/>
      <c r="D19" s="730"/>
      <c r="E19" s="730"/>
      <c r="F19" s="731"/>
      <c r="G19" s="731"/>
      <c r="H19" s="731"/>
      <c r="I19" s="732"/>
      <c r="J19" s="731"/>
      <c r="K19" s="732"/>
      <c r="L19" s="993"/>
      <c r="M19" s="734"/>
      <c r="N19" s="734"/>
      <c r="O19" s="734"/>
      <c r="P19" s="735"/>
      <c r="Q19" s="736"/>
      <c r="R19" s="758"/>
      <c r="S19" s="737"/>
      <c r="T19" s="993"/>
      <c r="U19" s="738"/>
      <c r="V19" s="739"/>
      <c r="W19" s="742"/>
      <c r="X19" s="742"/>
      <c r="Y19" s="742"/>
      <c r="Z19" s="742"/>
      <c r="AA19" s="742"/>
      <c r="AB19" s="742"/>
      <c r="AC19" s="742"/>
      <c r="AD19" s="742"/>
      <c r="AE19" s="733"/>
      <c r="AF19" s="733"/>
      <c r="AG19" s="733"/>
      <c r="AH19" s="733"/>
      <c r="AI19" s="733"/>
      <c r="AJ19" s="733"/>
      <c r="AK19" s="733"/>
      <c r="AL19" s="733"/>
      <c r="AM19" s="743"/>
      <c r="AN19" s="743"/>
      <c r="AO19" s="743"/>
      <c r="AP19" s="733"/>
      <c r="AQ19" s="733"/>
      <c r="AR19" s="993"/>
      <c r="AS19" s="733"/>
      <c r="AT19" s="733"/>
      <c r="AU19" s="744"/>
      <c r="AV19" s="745"/>
      <c r="AW19" s="746"/>
      <c r="AX19" s="746"/>
      <c r="AY19" s="746"/>
      <c r="AZ19" s="746"/>
      <c r="BA19" s="746"/>
      <c r="BB19" s="747"/>
      <c r="BC19" s="745"/>
      <c r="BD19" s="746"/>
      <c r="BE19" s="746"/>
      <c r="BF19" s="746"/>
      <c r="BG19" s="746"/>
      <c r="BH19" s="746"/>
      <c r="BI19" s="747"/>
      <c r="BJ19" s="745"/>
      <c r="BK19" s="746"/>
      <c r="BL19" s="746"/>
      <c r="BM19" s="746"/>
      <c r="BN19" s="746"/>
      <c r="BO19" s="746"/>
      <c r="BP19" s="747"/>
      <c r="BQ19" s="748"/>
      <c r="BR19" s="746"/>
      <c r="BS19" s="746"/>
      <c r="BT19" s="746"/>
      <c r="BU19" s="746"/>
      <c r="BV19" s="746"/>
      <c r="BW19" s="749"/>
      <c r="BX19" s="750"/>
      <c r="BY19" s="487"/>
      <c r="BZ19" s="487"/>
      <c r="CA19" s="487"/>
      <c r="CB19" s="487"/>
      <c r="CC19" s="487"/>
      <c r="CD19" s="751"/>
      <c r="CE19" s="750"/>
      <c r="CF19" s="487"/>
      <c r="CG19" s="487"/>
      <c r="CH19" s="487"/>
      <c r="CI19" s="487"/>
      <c r="CJ19" s="487"/>
      <c r="CK19" s="751"/>
      <c r="CL19" s="487"/>
      <c r="CM19" s="487"/>
      <c r="CN19" s="487"/>
      <c r="CO19" s="487"/>
      <c r="CP19" s="487"/>
      <c r="CQ19" s="487"/>
      <c r="CR19" s="513"/>
      <c r="CS19" s="752"/>
      <c r="CT19" s="492"/>
      <c r="CU19" s="492"/>
      <c r="CV19" s="492"/>
      <c r="CW19" s="492"/>
      <c r="CX19" s="492"/>
      <c r="CY19" s="753"/>
      <c r="CZ19" s="752"/>
      <c r="DA19" s="492"/>
      <c r="DB19" s="492"/>
      <c r="DC19" s="492"/>
      <c r="DD19" s="492"/>
      <c r="DE19" s="492"/>
      <c r="DF19" s="753"/>
      <c r="DG19" s="752"/>
      <c r="DH19" s="492"/>
      <c r="DI19" s="492"/>
      <c r="DJ19" s="492"/>
      <c r="DK19" s="492"/>
      <c r="DL19" s="492"/>
      <c r="DM19" s="753"/>
      <c r="DN19" s="752"/>
      <c r="DO19" s="492"/>
      <c r="DP19" s="492"/>
      <c r="DQ19" s="492"/>
      <c r="DR19" s="492"/>
      <c r="DS19" s="492"/>
      <c r="DT19" s="753"/>
      <c r="DU19" s="487"/>
      <c r="DV19" s="487"/>
      <c r="DW19" s="487"/>
      <c r="DX19" s="487"/>
      <c r="DY19" s="487"/>
      <c r="DZ19" s="487"/>
      <c r="EA19" s="513"/>
      <c r="EB19" s="750"/>
      <c r="EC19" s="487"/>
      <c r="ED19" s="487"/>
      <c r="EE19" s="487"/>
      <c r="EF19" s="487"/>
      <c r="EG19" s="487"/>
      <c r="EH19" s="751"/>
      <c r="EI19" s="750"/>
      <c r="EJ19" s="487"/>
      <c r="EK19" s="487"/>
      <c r="EL19" s="487"/>
      <c r="EM19" s="487"/>
      <c r="EN19" s="487"/>
      <c r="EO19" s="751"/>
      <c r="EP19" s="515"/>
      <c r="EQ19" s="755"/>
      <c r="ER19" s="755"/>
      <c r="ES19" s="755"/>
      <c r="ET19" s="755"/>
      <c r="EU19" s="756"/>
      <c r="EV19" s="756"/>
      <c r="EW19" s="757"/>
    </row>
    <row r="20" spans="1:153" s="10" customFormat="1" ht="12.75" customHeight="1">
      <c r="A20" s="661" t="s">
        <v>172</v>
      </c>
      <c r="B20" s="703" t="str">
        <f>"LG&amp;E-"&amp;B6</f>
        <v>LG&amp;E-Small Business Audit - On Site</v>
      </c>
      <c r="C20" s="703" t="str">
        <f t="shared" ref="C20:J20" si="231">C6</f>
        <v>In person audit with no cost to customer</v>
      </c>
      <c r="D20" s="703" t="str">
        <f t="shared" si="231"/>
        <v>Existing conditions</v>
      </c>
      <c r="E20" s="703" t="str">
        <f t="shared" si="231"/>
        <v>Per Audit</v>
      </c>
      <c r="F20" s="704" t="str">
        <f t="shared" si="231"/>
        <v>Full Cost</v>
      </c>
      <c r="G20" s="704">
        <f t="shared" si="231"/>
        <v>0</v>
      </c>
      <c r="H20" s="704">
        <f t="shared" si="231"/>
        <v>0</v>
      </c>
      <c r="I20" s="869">
        <f t="shared" si="231"/>
        <v>0</v>
      </c>
      <c r="J20" s="704">
        <f t="shared" si="231"/>
        <v>0</v>
      </c>
      <c r="K20" s="706">
        <f>I20*0.5</f>
        <v>0</v>
      </c>
      <c r="L20" s="913" t="str">
        <f t="shared" ref="L20:V20" si="232">L6</f>
        <v>No cost audit</v>
      </c>
      <c r="M20" s="707">
        <f t="shared" si="232"/>
        <v>0</v>
      </c>
      <c r="N20" s="881">
        <f t="shared" si="232"/>
        <v>0</v>
      </c>
      <c r="O20" s="707">
        <f t="shared" si="232"/>
        <v>0</v>
      </c>
      <c r="P20" s="881">
        <f t="shared" si="232"/>
        <v>750</v>
      </c>
      <c r="Q20" s="710">
        <f t="shared" si="232"/>
        <v>0</v>
      </c>
      <c r="R20" s="710">
        <f t="shared" si="232"/>
        <v>0</v>
      </c>
      <c r="S20" s="710">
        <f t="shared" si="232"/>
        <v>0</v>
      </c>
      <c r="T20" s="995" t="str">
        <f t="shared" si="232"/>
        <v>No savings for the audit</v>
      </c>
      <c r="U20" s="712">
        <f t="shared" si="232"/>
        <v>0</v>
      </c>
      <c r="V20" s="996">
        <f t="shared" si="232"/>
        <v>1</v>
      </c>
      <c r="W20" s="996">
        <f t="shared" ref="W20:AD20" si="233">W6*0.5</f>
        <v>50</v>
      </c>
      <c r="X20" s="996">
        <f t="shared" si="233"/>
        <v>50</v>
      </c>
      <c r="Y20" s="996">
        <f t="shared" si="233"/>
        <v>100</v>
      </c>
      <c r="Z20" s="996">
        <f t="shared" si="233"/>
        <v>100</v>
      </c>
      <c r="AA20" s="996">
        <f t="shared" si="233"/>
        <v>100</v>
      </c>
      <c r="AB20" s="996">
        <f t="shared" si="233"/>
        <v>100</v>
      </c>
      <c r="AC20" s="996">
        <f t="shared" si="233"/>
        <v>100</v>
      </c>
      <c r="AD20" s="996">
        <f t="shared" si="233"/>
        <v>100</v>
      </c>
      <c r="AE20" s="711" t="s">
        <v>374</v>
      </c>
      <c r="AF20" s="711" t="s">
        <v>742</v>
      </c>
      <c r="AG20" s="663" t="s">
        <v>1146</v>
      </c>
      <c r="AH20" s="711" t="s">
        <v>377</v>
      </c>
      <c r="AI20" s="998" t="str">
        <f t="shared" ref="AI20:AL20" si="234">AI6</f>
        <v>Existing</v>
      </c>
      <c r="AJ20" s="998" t="str">
        <f t="shared" si="234"/>
        <v>NA</v>
      </c>
      <c r="AK20" s="998" t="str">
        <f t="shared" si="234"/>
        <v>NA</v>
      </c>
      <c r="AL20" s="998" t="str">
        <f t="shared" si="234"/>
        <v>NA</v>
      </c>
      <c r="AM20" s="715" t="s">
        <v>744</v>
      </c>
      <c r="AN20" s="998" t="str">
        <f>AN13</f>
        <v>OFFSMGasDHW</v>
      </c>
      <c r="AO20" s="715" t="s">
        <v>746</v>
      </c>
      <c r="AP20" s="711">
        <f t="shared" ref="AP20:AU20" si="235">AP6</f>
        <v>1</v>
      </c>
      <c r="AQ20" s="711">
        <f t="shared" si="235"/>
        <v>1</v>
      </c>
      <c r="AR20" s="999" t="str">
        <f t="shared" si="235"/>
        <v>Annual program life</v>
      </c>
      <c r="AS20" s="998">
        <f t="shared" si="235"/>
        <v>1</v>
      </c>
      <c r="AT20" s="998">
        <f t="shared" si="235"/>
        <v>1</v>
      </c>
      <c r="AU20" s="998">
        <f t="shared" si="235"/>
        <v>1</v>
      </c>
      <c r="AV20" s="774">
        <f t="shared" ref="AV20:AV25" si="236">I20</f>
        <v>0</v>
      </c>
      <c r="AW20" s="503">
        <f t="shared" ref="AW20:AX25" si="237">AV20</f>
        <v>0</v>
      </c>
      <c r="AX20" s="503">
        <f t="shared" si="237"/>
        <v>0</v>
      </c>
      <c r="AY20" s="503">
        <f t="shared" ref="AY20:BB25" si="238">AV20</f>
        <v>0</v>
      </c>
      <c r="AZ20" s="503">
        <f t="shared" si="238"/>
        <v>0</v>
      </c>
      <c r="BA20" s="503">
        <f t="shared" si="238"/>
        <v>0</v>
      </c>
      <c r="BB20" s="776">
        <f t="shared" si="238"/>
        <v>0</v>
      </c>
      <c r="BC20" s="774">
        <f t="shared" ref="BC20:BC25" si="239">J20</f>
        <v>0</v>
      </c>
      <c r="BD20" s="503">
        <f t="shared" ref="BD20:BF25" si="240">BC20</f>
        <v>0</v>
      </c>
      <c r="BE20" s="503">
        <f t="shared" si="240"/>
        <v>0</v>
      </c>
      <c r="BF20" s="503">
        <f>BE20</f>
        <v>0</v>
      </c>
      <c r="BG20" s="503">
        <f t="shared" ref="BG20:BI25" si="241">BF20</f>
        <v>0</v>
      </c>
      <c r="BH20" s="503">
        <f>BG20</f>
        <v>0</v>
      </c>
      <c r="BI20" s="776">
        <f>BH20</f>
        <v>0</v>
      </c>
      <c r="BJ20" s="774">
        <f t="shared" ref="BJ20:BJ25" si="242">N20+O20</f>
        <v>0</v>
      </c>
      <c r="BK20" s="503">
        <f t="shared" ref="BK20:BM25" si="243">BJ20</f>
        <v>0</v>
      </c>
      <c r="BL20" s="503">
        <f t="shared" si="243"/>
        <v>0</v>
      </c>
      <c r="BM20" s="503">
        <f>BL20</f>
        <v>0</v>
      </c>
      <c r="BN20" s="503">
        <f t="shared" ref="BN20:BP25" si="244">BM20</f>
        <v>0</v>
      </c>
      <c r="BO20" s="503">
        <f t="shared" si="244"/>
        <v>0</v>
      </c>
      <c r="BP20" s="776">
        <f t="shared" si="244"/>
        <v>0</v>
      </c>
      <c r="BQ20" s="497">
        <f t="shared" si="20"/>
        <v>750</v>
      </c>
      <c r="BR20" s="503">
        <f t="shared" si="20"/>
        <v>750</v>
      </c>
      <c r="BS20" s="503">
        <f t="shared" si="20"/>
        <v>750</v>
      </c>
      <c r="BT20" s="503">
        <f t="shared" si="20"/>
        <v>750</v>
      </c>
      <c r="BU20" s="503">
        <f t="shared" si="20"/>
        <v>750</v>
      </c>
      <c r="BV20" s="503">
        <f t="shared" si="20"/>
        <v>750</v>
      </c>
      <c r="BW20" s="645">
        <f t="shared" si="20"/>
        <v>750</v>
      </c>
      <c r="BX20" s="722">
        <f t="shared" ref="BX20:BX25" si="245">Q20*AT20</f>
        <v>0</v>
      </c>
      <c r="BY20" s="511">
        <f t="shared" ref="BY20:CA25" si="246">BX20</f>
        <v>0</v>
      </c>
      <c r="BZ20" s="511">
        <f t="shared" si="246"/>
        <v>0</v>
      </c>
      <c r="CA20" s="511">
        <f>BZ20</f>
        <v>0</v>
      </c>
      <c r="CB20" s="511">
        <f t="shared" ref="CB20:CD25" si="247">CA20</f>
        <v>0</v>
      </c>
      <c r="CC20" s="511">
        <f t="shared" si="247"/>
        <v>0</v>
      </c>
      <c r="CD20" s="723">
        <f t="shared" si="247"/>
        <v>0</v>
      </c>
      <c r="CE20" s="722">
        <f t="shared" ref="CE20:CE25" si="248">R20*AT20</f>
        <v>0</v>
      </c>
      <c r="CF20" s="511">
        <f t="shared" ref="CF20:CH25" si="249">CE20</f>
        <v>0</v>
      </c>
      <c r="CG20" s="511">
        <f t="shared" si="249"/>
        <v>0</v>
      </c>
      <c r="CH20" s="511">
        <f>CG20</f>
        <v>0</v>
      </c>
      <c r="CI20" s="511">
        <f t="shared" ref="CI20:CK25" si="250">CH20</f>
        <v>0</v>
      </c>
      <c r="CJ20" s="511">
        <f t="shared" si="250"/>
        <v>0</v>
      </c>
      <c r="CK20" s="723">
        <f t="shared" si="250"/>
        <v>0</v>
      </c>
      <c r="CL20" s="511">
        <f t="shared" ref="CL20:CL25" si="251">S20*AU20</f>
        <v>0</v>
      </c>
      <c r="CM20" s="511">
        <f t="shared" ref="CM20:CO25" si="252">CL20</f>
        <v>0</v>
      </c>
      <c r="CN20" s="511">
        <f t="shared" si="252"/>
        <v>0</v>
      </c>
      <c r="CO20" s="511">
        <f>CN20</f>
        <v>0</v>
      </c>
      <c r="CP20" s="511">
        <f t="shared" ref="CP20:CR25" si="253">CO20</f>
        <v>0</v>
      </c>
      <c r="CQ20" s="511">
        <f t="shared" si="253"/>
        <v>0</v>
      </c>
      <c r="CR20" s="539">
        <f t="shared" si="253"/>
        <v>0</v>
      </c>
      <c r="CS20" s="774">
        <f t="shared" ref="CS20:CY20" si="254">X20*AV20</f>
        <v>0</v>
      </c>
      <c r="CT20" s="503">
        <f t="shared" si="254"/>
        <v>0</v>
      </c>
      <c r="CU20" s="503">
        <f t="shared" si="254"/>
        <v>0</v>
      </c>
      <c r="CV20" s="503">
        <f t="shared" si="254"/>
        <v>0</v>
      </c>
      <c r="CW20" s="503">
        <f t="shared" si="254"/>
        <v>0</v>
      </c>
      <c r="CX20" s="503">
        <f t="shared" si="254"/>
        <v>0</v>
      </c>
      <c r="CY20" s="776">
        <f t="shared" si="254"/>
        <v>0</v>
      </c>
      <c r="CZ20" s="774">
        <f t="shared" ref="CZ20:DF20" si="255">X20*BC20</f>
        <v>0</v>
      </c>
      <c r="DA20" s="503">
        <f t="shared" si="255"/>
        <v>0</v>
      </c>
      <c r="DB20" s="503">
        <f t="shared" si="255"/>
        <v>0</v>
      </c>
      <c r="DC20" s="503">
        <f t="shared" si="255"/>
        <v>0</v>
      </c>
      <c r="DD20" s="503">
        <f t="shared" si="255"/>
        <v>0</v>
      </c>
      <c r="DE20" s="503">
        <f t="shared" si="255"/>
        <v>0</v>
      </c>
      <c r="DF20" s="776">
        <f t="shared" si="255"/>
        <v>0</v>
      </c>
      <c r="DG20" s="774">
        <f t="shared" ref="DG20:DM20" si="256">X20*BJ20</f>
        <v>0</v>
      </c>
      <c r="DH20" s="503">
        <f t="shared" si="256"/>
        <v>0</v>
      </c>
      <c r="DI20" s="503">
        <f t="shared" si="256"/>
        <v>0</v>
      </c>
      <c r="DJ20" s="503">
        <f t="shared" si="256"/>
        <v>0</v>
      </c>
      <c r="DK20" s="503">
        <f t="shared" si="256"/>
        <v>0</v>
      </c>
      <c r="DL20" s="503">
        <f t="shared" si="256"/>
        <v>0</v>
      </c>
      <c r="DM20" s="776">
        <f t="shared" si="256"/>
        <v>0</v>
      </c>
      <c r="DN20" s="774">
        <f t="shared" ref="DN20:DT20" si="257">BQ20*X20</f>
        <v>37500</v>
      </c>
      <c r="DO20" s="503">
        <f t="shared" si="257"/>
        <v>75000</v>
      </c>
      <c r="DP20" s="503">
        <f t="shared" si="257"/>
        <v>75000</v>
      </c>
      <c r="DQ20" s="503">
        <f t="shared" si="257"/>
        <v>75000</v>
      </c>
      <c r="DR20" s="503">
        <f t="shared" si="257"/>
        <v>75000</v>
      </c>
      <c r="DS20" s="503">
        <f t="shared" si="257"/>
        <v>75000</v>
      </c>
      <c r="DT20" s="776">
        <f t="shared" si="257"/>
        <v>75000</v>
      </c>
      <c r="DU20" s="511">
        <f t="shared" ref="DU20:EA20" si="258">X20*BX20</f>
        <v>0</v>
      </c>
      <c r="DV20" s="511">
        <f t="shared" si="258"/>
        <v>0</v>
      </c>
      <c r="DW20" s="511">
        <f t="shared" si="258"/>
        <v>0</v>
      </c>
      <c r="DX20" s="511">
        <f t="shared" si="258"/>
        <v>0</v>
      </c>
      <c r="DY20" s="511">
        <f t="shared" si="258"/>
        <v>0</v>
      </c>
      <c r="DZ20" s="511">
        <f t="shared" si="258"/>
        <v>0</v>
      </c>
      <c r="EA20" s="539">
        <f t="shared" si="258"/>
        <v>0</v>
      </c>
      <c r="EB20" s="722">
        <f t="shared" ref="EB20:EH20" si="259">X20*CE20</f>
        <v>0</v>
      </c>
      <c r="EC20" s="511">
        <f t="shared" si="259"/>
        <v>0</v>
      </c>
      <c r="ED20" s="511">
        <f t="shared" si="259"/>
        <v>0</v>
      </c>
      <c r="EE20" s="511">
        <f t="shared" si="259"/>
        <v>0</v>
      </c>
      <c r="EF20" s="511">
        <f t="shared" si="259"/>
        <v>0</v>
      </c>
      <c r="EG20" s="511">
        <f t="shared" si="259"/>
        <v>0</v>
      </c>
      <c r="EH20" s="723">
        <f t="shared" si="259"/>
        <v>0</v>
      </c>
      <c r="EI20" s="722">
        <f t="shared" ref="EI20:EO20" si="260">X20*CL20</f>
        <v>0</v>
      </c>
      <c r="EJ20" s="511">
        <f t="shared" si="260"/>
        <v>0</v>
      </c>
      <c r="EK20" s="511">
        <f t="shared" si="260"/>
        <v>0</v>
      </c>
      <c r="EL20" s="511">
        <f t="shared" si="260"/>
        <v>0</v>
      </c>
      <c r="EM20" s="511">
        <f t="shared" si="260"/>
        <v>0</v>
      </c>
      <c r="EN20" s="511">
        <f t="shared" si="260"/>
        <v>0</v>
      </c>
      <c r="EO20" s="723">
        <f t="shared" si="260"/>
        <v>0</v>
      </c>
      <c r="EP20" s="722">
        <f>SUM(X20:AD20)</f>
        <v>650</v>
      </c>
      <c r="EQ20" s="503">
        <f>SUM(CS20:CY20)</f>
        <v>0</v>
      </c>
      <c r="ER20" s="503">
        <f>SUM(CZ20:DF20)</f>
        <v>0</v>
      </c>
      <c r="ES20" s="503">
        <f>SUM(DG20:DM20)</f>
        <v>0</v>
      </c>
      <c r="ET20" s="503">
        <f>SUM(DN20:DT20)</f>
        <v>487500</v>
      </c>
      <c r="EU20" s="511">
        <f>SUM(DU20:EA20)</f>
        <v>0</v>
      </c>
      <c r="EV20" s="511">
        <f>SUM(EB20:EH20)</f>
        <v>0</v>
      </c>
      <c r="EW20" s="511">
        <f>SUM(EI20:EO20)</f>
        <v>0</v>
      </c>
    </row>
    <row r="21" spans="1:153" s="10" customFormat="1" ht="12.75" customHeight="1">
      <c r="A21" s="661" t="s">
        <v>174</v>
      </c>
      <c r="B21" s="703" t="str">
        <f t="shared" ref="B21:B25" si="261">"LG&amp;E-"&amp;B7</f>
        <v>LG&amp;E-Small Business Direct Install - LED Lighting Bulbs</v>
      </c>
      <c r="C21" s="703" t="str">
        <f t="shared" ref="C21:J25" si="262">C7</f>
        <v>Linear LED Direct Install Bulbs</v>
      </c>
      <c r="D21" s="703" t="str">
        <f t="shared" si="262"/>
        <v>Existing Lighting</v>
      </c>
      <c r="E21" s="703" t="str">
        <f t="shared" si="262"/>
        <v>Per Unit</v>
      </c>
      <c r="F21" s="704" t="str">
        <f t="shared" si="262"/>
        <v>Full Cost</v>
      </c>
      <c r="G21" s="704">
        <f t="shared" si="262"/>
        <v>0</v>
      </c>
      <c r="H21" s="704">
        <f t="shared" si="262"/>
        <v>0</v>
      </c>
      <c r="I21" s="869">
        <f t="shared" si="262"/>
        <v>0</v>
      </c>
      <c r="J21" s="704">
        <f t="shared" si="262"/>
        <v>0</v>
      </c>
      <c r="K21" s="706">
        <f t="shared" ref="K21:K25" si="263">I21*0.5</f>
        <v>0</v>
      </c>
      <c r="L21" s="913"/>
      <c r="M21" s="707">
        <f t="shared" ref="M21:V25" si="264">M7</f>
        <v>0</v>
      </c>
      <c r="N21" s="881">
        <f t="shared" si="264"/>
        <v>0</v>
      </c>
      <c r="O21" s="707">
        <f t="shared" si="264"/>
        <v>0</v>
      </c>
      <c r="P21" s="881">
        <f t="shared" si="264"/>
        <v>6.333333333333333</v>
      </c>
      <c r="Q21" s="710">
        <f t="shared" si="264"/>
        <v>39.497960266666666</v>
      </c>
      <c r="R21" s="710">
        <f t="shared" si="264"/>
        <v>1.0748249770666666E-2</v>
      </c>
      <c r="S21" s="710">
        <v>0</v>
      </c>
      <c r="T21" s="990" t="s">
        <v>1151</v>
      </c>
      <c r="U21" s="712">
        <f t="shared" si="264"/>
        <v>0</v>
      </c>
      <c r="V21" s="996">
        <f t="shared" si="264"/>
        <v>1</v>
      </c>
      <c r="W21" s="996">
        <f t="shared" ref="W21:AD21" si="265">W7*0.5</f>
        <v>937.5</v>
      </c>
      <c r="X21" s="996">
        <f t="shared" si="265"/>
        <v>937.5</v>
      </c>
      <c r="Y21" s="996">
        <f t="shared" si="265"/>
        <v>1875</v>
      </c>
      <c r="Z21" s="996">
        <f t="shared" si="265"/>
        <v>1875</v>
      </c>
      <c r="AA21" s="996">
        <f t="shared" si="265"/>
        <v>1875</v>
      </c>
      <c r="AB21" s="996">
        <f t="shared" si="265"/>
        <v>1875</v>
      </c>
      <c r="AC21" s="996">
        <f t="shared" si="265"/>
        <v>1875</v>
      </c>
      <c r="AD21" s="996">
        <f t="shared" si="265"/>
        <v>1875</v>
      </c>
      <c r="AE21" s="711" t="s">
        <v>374</v>
      </c>
      <c r="AF21" s="711" t="s">
        <v>742</v>
      </c>
      <c r="AG21" s="663" t="s">
        <v>1146</v>
      </c>
      <c r="AH21" s="711" t="s">
        <v>1152</v>
      </c>
      <c r="AI21" s="998" t="str">
        <f t="shared" ref="AI21:AN21" si="266">AI7</f>
        <v>Existing</v>
      </c>
      <c r="AJ21" s="998" t="str">
        <f t="shared" si="266"/>
        <v>NA</v>
      </c>
      <c r="AK21" s="998" t="str">
        <f t="shared" si="266"/>
        <v>NA</v>
      </c>
      <c r="AL21" s="998" t="str">
        <f t="shared" si="266"/>
        <v>NA</v>
      </c>
      <c r="AM21" s="715" t="s">
        <v>1153</v>
      </c>
      <c r="AN21" s="998" t="str">
        <f t="shared" si="266"/>
        <v>OFFSMGasDHW</v>
      </c>
      <c r="AO21" s="715" t="s">
        <v>746</v>
      </c>
      <c r="AP21" s="711">
        <f t="shared" ref="AP21:AU21" si="267">AP7</f>
        <v>15</v>
      </c>
      <c r="AQ21" s="711">
        <f t="shared" si="267"/>
        <v>15</v>
      </c>
      <c r="AR21" s="999" t="str">
        <f t="shared" si="267"/>
        <v>Measure life is not to exceed 15 years based on Mid Atlantic TRM v10, p.279 (Even though the rated hours may last longer than 15 years, due to remodeling effects a maximum of 15 years is assumed) &amp; PA TRM Vol 3 p.1. New Linear Fluorescent Fixture: 15 years (PA TRM v3, p.1)</v>
      </c>
      <c r="AS21" s="998">
        <f t="shared" si="267"/>
        <v>1</v>
      </c>
      <c r="AT21" s="998">
        <f t="shared" si="267"/>
        <v>1</v>
      </c>
      <c r="AU21" s="998">
        <f t="shared" si="267"/>
        <v>0</v>
      </c>
      <c r="AV21" s="774">
        <f t="shared" si="236"/>
        <v>0</v>
      </c>
      <c r="AW21" s="503">
        <f t="shared" si="237"/>
        <v>0</v>
      </c>
      <c r="AX21" s="503">
        <f t="shared" si="237"/>
        <v>0</v>
      </c>
      <c r="AY21" s="503">
        <f t="shared" si="238"/>
        <v>0</v>
      </c>
      <c r="AZ21" s="503">
        <f t="shared" si="238"/>
        <v>0</v>
      </c>
      <c r="BA21" s="503">
        <f t="shared" si="238"/>
        <v>0</v>
      </c>
      <c r="BB21" s="776">
        <f t="shared" si="238"/>
        <v>0</v>
      </c>
      <c r="BC21" s="774">
        <f t="shared" si="239"/>
        <v>0</v>
      </c>
      <c r="BD21" s="503">
        <f t="shared" si="240"/>
        <v>0</v>
      </c>
      <c r="BE21" s="503">
        <f t="shared" si="240"/>
        <v>0</v>
      </c>
      <c r="BF21" s="503">
        <f t="shared" si="240"/>
        <v>0</v>
      </c>
      <c r="BG21" s="503">
        <f t="shared" si="241"/>
        <v>0</v>
      </c>
      <c r="BH21" s="503">
        <f t="shared" si="241"/>
        <v>0</v>
      </c>
      <c r="BI21" s="776">
        <f t="shared" si="241"/>
        <v>0</v>
      </c>
      <c r="BJ21" s="774">
        <f t="shared" si="242"/>
        <v>0</v>
      </c>
      <c r="BK21" s="503">
        <f t="shared" si="243"/>
        <v>0</v>
      </c>
      <c r="BL21" s="503">
        <f t="shared" si="243"/>
        <v>0</v>
      </c>
      <c r="BM21" s="503">
        <f t="shared" si="243"/>
        <v>0</v>
      </c>
      <c r="BN21" s="503">
        <f t="shared" si="244"/>
        <v>0</v>
      </c>
      <c r="BO21" s="503">
        <f t="shared" si="244"/>
        <v>0</v>
      </c>
      <c r="BP21" s="776">
        <f t="shared" si="244"/>
        <v>0</v>
      </c>
      <c r="BQ21" s="497">
        <f t="shared" ref="BQ21:BW25" si="268">$P21</f>
        <v>6.333333333333333</v>
      </c>
      <c r="BR21" s="503">
        <f t="shared" si="268"/>
        <v>6.333333333333333</v>
      </c>
      <c r="BS21" s="503">
        <f t="shared" si="268"/>
        <v>6.333333333333333</v>
      </c>
      <c r="BT21" s="503">
        <f t="shared" si="268"/>
        <v>6.333333333333333</v>
      </c>
      <c r="BU21" s="503">
        <f t="shared" si="268"/>
        <v>6.333333333333333</v>
      </c>
      <c r="BV21" s="503">
        <f t="shared" si="268"/>
        <v>6.333333333333333</v>
      </c>
      <c r="BW21" s="645">
        <f t="shared" si="268"/>
        <v>6.333333333333333</v>
      </c>
      <c r="BX21" s="722">
        <f t="shared" si="245"/>
        <v>39.497960266666666</v>
      </c>
      <c r="BY21" s="511">
        <f t="shared" si="246"/>
        <v>39.497960266666666</v>
      </c>
      <c r="BZ21" s="511">
        <f t="shared" si="246"/>
        <v>39.497960266666666</v>
      </c>
      <c r="CA21" s="511">
        <f t="shared" si="246"/>
        <v>39.497960266666666</v>
      </c>
      <c r="CB21" s="511">
        <f t="shared" si="247"/>
        <v>39.497960266666666</v>
      </c>
      <c r="CC21" s="511">
        <f t="shared" si="247"/>
        <v>39.497960266666666</v>
      </c>
      <c r="CD21" s="723">
        <f t="shared" si="247"/>
        <v>39.497960266666666</v>
      </c>
      <c r="CE21" s="722">
        <f t="shared" si="248"/>
        <v>1.0748249770666666E-2</v>
      </c>
      <c r="CF21" s="511">
        <f t="shared" si="249"/>
        <v>1.0748249770666666E-2</v>
      </c>
      <c r="CG21" s="511">
        <f t="shared" si="249"/>
        <v>1.0748249770666666E-2</v>
      </c>
      <c r="CH21" s="511">
        <f t="shared" si="249"/>
        <v>1.0748249770666666E-2</v>
      </c>
      <c r="CI21" s="511">
        <f t="shared" si="250"/>
        <v>1.0748249770666666E-2</v>
      </c>
      <c r="CJ21" s="511">
        <f t="shared" si="250"/>
        <v>1.0748249770666666E-2</v>
      </c>
      <c r="CK21" s="723">
        <f t="shared" si="250"/>
        <v>1.0748249770666666E-2</v>
      </c>
      <c r="CL21" s="511">
        <f t="shared" si="251"/>
        <v>0</v>
      </c>
      <c r="CM21" s="511">
        <f t="shared" si="252"/>
        <v>0</v>
      </c>
      <c r="CN21" s="511">
        <f t="shared" si="252"/>
        <v>0</v>
      </c>
      <c r="CO21" s="511">
        <f t="shared" si="252"/>
        <v>0</v>
      </c>
      <c r="CP21" s="511">
        <f t="shared" si="253"/>
        <v>0</v>
      </c>
      <c r="CQ21" s="511">
        <f t="shared" si="253"/>
        <v>0</v>
      </c>
      <c r="CR21" s="539">
        <f t="shared" si="253"/>
        <v>0</v>
      </c>
      <c r="CS21" s="774">
        <f t="shared" ref="CS21:CY25" si="269">X21*AV21</f>
        <v>0</v>
      </c>
      <c r="CT21" s="503">
        <f t="shared" si="269"/>
        <v>0</v>
      </c>
      <c r="CU21" s="503">
        <f t="shared" si="269"/>
        <v>0</v>
      </c>
      <c r="CV21" s="503">
        <f t="shared" si="269"/>
        <v>0</v>
      </c>
      <c r="CW21" s="503">
        <f t="shared" si="269"/>
        <v>0</v>
      </c>
      <c r="CX21" s="503">
        <f t="shared" si="269"/>
        <v>0</v>
      </c>
      <c r="CY21" s="776">
        <f t="shared" si="269"/>
        <v>0</v>
      </c>
      <c r="CZ21" s="774">
        <f t="shared" ref="CZ21:DF25" si="270">X21*BC21</f>
        <v>0</v>
      </c>
      <c r="DA21" s="503">
        <f t="shared" si="270"/>
        <v>0</v>
      </c>
      <c r="DB21" s="503">
        <f t="shared" si="270"/>
        <v>0</v>
      </c>
      <c r="DC21" s="503">
        <f t="shared" si="270"/>
        <v>0</v>
      </c>
      <c r="DD21" s="503">
        <f t="shared" si="270"/>
        <v>0</v>
      </c>
      <c r="DE21" s="503">
        <f t="shared" si="270"/>
        <v>0</v>
      </c>
      <c r="DF21" s="776">
        <f t="shared" si="270"/>
        <v>0</v>
      </c>
      <c r="DG21" s="774">
        <f t="shared" ref="DG21:DM25" si="271">X21*BJ21</f>
        <v>0</v>
      </c>
      <c r="DH21" s="503">
        <f t="shared" si="271"/>
        <v>0</v>
      </c>
      <c r="DI21" s="503">
        <f t="shared" si="271"/>
        <v>0</v>
      </c>
      <c r="DJ21" s="503">
        <f t="shared" si="271"/>
        <v>0</v>
      </c>
      <c r="DK21" s="503">
        <f t="shared" si="271"/>
        <v>0</v>
      </c>
      <c r="DL21" s="503">
        <f t="shared" si="271"/>
        <v>0</v>
      </c>
      <c r="DM21" s="776">
        <f t="shared" si="271"/>
        <v>0</v>
      </c>
      <c r="DN21" s="774">
        <f t="shared" ref="DN21:DT25" si="272">BQ21*X21</f>
        <v>5937.5</v>
      </c>
      <c r="DO21" s="503">
        <f t="shared" si="272"/>
        <v>11875</v>
      </c>
      <c r="DP21" s="503">
        <f t="shared" si="272"/>
        <v>11875</v>
      </c>
      <c r="DQ21" s="503">
        <f t="shared" si="272"/>
        <v>11875</v>
      </c>
      <c r="DR21" s="503">
        <f t="shared" si="272"/>
        <v>11875</v>
      </c>
      <c r="DS21" s="503">
        <f t="shared" si="272"/>
        <v>11875</v>
      </c>
      <c r="DT21" s="776">
        <f t="shared" si="272"/>
        <v>11875</v>
      </c>
      <c r="DU21" s="511">
        <f t="shared" ref="DU21:EA25" si="273">X21*BX21</f>
        <v>37029.337749999999</v>
      </c>
      <c r="DV21" s="511">
        <f t="shared" si="273"/>
        <v>74058.675499999998</v>
      </c>
      <c r="DW21" s="511">
        <f t="shared" si="273"/>
        <v>74058.675499999998</v>
      </c>
      <c r="DX21" s="511">
        <f t="shared" si="273"/>
        <v>74058.675499999998</v>
      </c>
      <c r="DY21" s="511">
        <f t="shared" si="273"/>
        <v>74058.675499999998</v>
      </c>
      <c r="DZ21" s="511">
        <f t="shared" si="273"/>
        <v>74058.675499999998</v>
      </c>
      <c r="EA21" s="539">
        <f t="shared" si="273"/>
        <v>74058.675499999998</v>
      </c>
      <c r="EB21" s="722">
        <f t="shared" ref="EB21:EH25" si="274">X21*CE21</f>
        <v>10.07648416</v>
      </c>
      <c r="EC21" s="511">
        <f t="shared" si="274"/>
        <v>20.152968319999999</v>
      </c>
      <c r="ED21" s="511">
        <f t="shared" si="274"/>
        <v>20.152968319999999</v>
      </c>
      <c r="EE21" s="511">
        <f t="shared" si="274"/>
        <v>20.152968319999999</v>
      </c>
      <c r="EF21" s="511">
        <f t="shared" si="274"/>
        <v>20.152968319999999</v>
      </c>
      <c r="EG21" s="511">
        <f t="shared" si="274"/>
        <v>20.152968319999999</v>
      </c>
      <c r="EH21" s="723">
        <f t="shared" si="274"/>
        <v>20.152968319999999</v>
      </c>
      <c r="EI21" s="722">
        <f t="shared" ref="EI21:EO25" si="275">X21*CL21</f>
        <v>0</v>
      </c>
      <c r="EJ21" s="511">
        <f t="shared" si="275"/>
        <v>0</v>
      </c>
      <c r="EK21" s="511">
        <f t="shared" si="275"/>
        <v>0</v>
      </c>
      <c r="EL21" s="511">
        <f t="shared" si="275"/>
        <v>0</v>
      </c>
      <c r="EM21" s="511">
        <f t="shared" si="275"/>
        <v>0</v>
      </c>
      <c r="EN21" s="511">
        <f t="shared" si="275"/>
        <v>0</v>
      </c>
      <c r="EO21" s="723">
        <f t="shared" si="275"/>
        <v>0</v>
      </c>
      <c r="EP21" s="722">
        <f t="shared" ref="EP21:EP25" si="276">SUM(X21:AD21)</f>
        <v>12187.5</v>
      </c>
      <c r="EQ21" s="503">
        <f t="shared" ref="EQ21:EQ25" si="277">SUM(CS21:CY21)</f>
        <v>0</v>
      </c>
      <c r="ER21" s="503">
        <f t="shared" ref="ER21:ER25" si="278">SUM(CZ21:DF21)</f>
        <v>0</v>
      </c>
      <c r="ES21" s="503">
        <f t="shared" ref="ES21:ES25" si="279">SUM(DG21:DM21)</f>
        <v>0</v>
      </c>
      <c r="ET21" s="503">
        <f t="shared" ref="ET21:ET25" si="280">SUM(DN21:DT21)</f>
        <v>77187.5</v>
      </c>
      <c r="EU21" s="511">
        <f t="shared" ref="EU21:EU25" si="281">SUM(DU21:EA21)</f>
        <v>481381.39075000002</v>
      </c>
      <c r="EV21" s="511">
        <f t="shared" ref="EV21:EV25" si="282">SUM(EB21:EH21)</f>
        <v>130.99429407999997</v>
      </c>
      <c r="EW21" s="511">
        <f t="shared" ref="EW21:EW25" si="283">SUM(EI21:EO21)</f>
        <v>0</v>
      </c>
    </row>
    <row r="22" spans="1:153" s="10" customFormat="1" ht="12.75" customHeight="1">
      <c r="A22" s="661" t="s">
        <v>179</v>
      </c>
      <c r="B22" s="703" t="str">
        <f t="shared" si="261"/>
        <v>LG&amp;E-Small Business Direct Install - LED Lighting Retrofit Fixtures</v>
      </c>
      <c r="C22" s="703" t="str">
        <f t="shared" si="262"/>
        <v>Linear LED Direct Install Retrofits</v>
      </c>
      <c r="D22" s="703" t="str">
        <f t="shared" si="262"/>
        <v>Existing Lighting</v>
      </c>
      <c r="E22" s="703" t="str">
        <f t="shared" si="262"/>
        <v>Per Unit</v>
      </c>
      <c r="F22" s="704" t="str">
        <f t="shared" si="262"/>
        <v>Full Cost</v>
      </c>
      <c r="G22" s="704">
        <f t="shared" si="262"/>
        <v>0</v>
      </c>
      <c r="H22" s="704">
        <f t="shared" si="262"/>
        <v>0</v>
      </c>
      <c r="I22" s="869">
        <f t="shared" si="262"/>
        <v>0</v>
      </c>
      <c r="J22" s="704">
        <f t="shared" si="262"/>
        <v>0</v>
      </c>
      <c r="K22" s="706">
        <f t="shared" si="263"/>
        <v>0</v>
      </c>
      <c r="L22" s="913"/>
      <c r="M22" s="707">
        <f t="shared" si="264"/>
        <v>0</v>
      </c>
      <c r="N22" s="881">
        <f t="shared" si="264"/>
        <v>0</v>
      </c>
      <c r="O22" s="707">
        <f t="shared" si="264"/>
        <v>0</v>
      </c>
      <c r="P22" s="881">
        <f t="shared" si="264"/>
        <v>60</v>
      </c>
      <c r="Q22" s="710">
        <f t="shared" si="264"/>
        <v>149.087992364</v>
      </c>
      <c r="R22" s="710">
        <f t="shared" si="264"/>
        <v>4.0570069160960003E-2</v>
      </c>
      <c r="S22" s="710">
        <v>0</v>
      </c>
      <c r="T22" s="990" t="s">
        <v>1151</v>
      </c>
      <c r="U22" s="712">
        <f t="shared" si="264"/>
        <v>0</v>
      </c>
      <c r="V22" s="996">
        <f t="shared" si="264"/>
        <v>1</v>
      </c>
      <c r="W22" s="996">
        <f t="shared" ref="W22:AD22" si="284">W8*0.5</f>
        <v>468.75</v>
      </c>
      <c r="X22" s="996">
        <f t="shared" si="284"/>
        <v>468.75</v>
      </c>
      <c r="Y22" s="996">
        <f t="shared" si="284"/>
        <v>937.5</v>
      </c>
      <c r="Z22" s="996">
        <f t="shared" si="284"/>
        <v>937.5</v>
      </c>
      <c r="AA22" s="996">
        <f t="shared" si="284"/>
        <v>937.5</v>
      </c>
      <c r="AB22" s="996">
        <f t="shared" si="284"/>
        <v>937.5</v>
      </c>
      <c r="AC22" s="996">
        <f t="shared" si="284"/>
        <v>937.5</v>
      </c>
      <c r="AD22" s="996">
        <f t="shared" si="284"/>
        <v>937.5</v>
      </c>
      <c r="AE22" s="711" t="s">
        <v>374</v>
      </c>
      <c r="AF22" s="711" t="s">
        <v>742</v>
      </c>
      <c r="AG22" s="663" t="s">
        <v>1146</v>
      </c>
      <c r="AH22" s="711" t="s">
        <v>1152</v>
      </c>
      <c r="AI22" s="998" t="str">
        <f t="shared" ref="AI22:AL22" si="285">AI8</f>
        <v>Existing</v>
      </c>
      <c r="AJ22" s="998" t="str">
        <f t="shared" si="285"/>
        <v>NA</v>
      </c>
      <c r="AK22" s="998" t="str">
        <f t="shared" si="285"/>
        <v>NA</v>
      </c>
      <c r="AL22" s="998" t="str">
        <f t="shared" si="285"/>
        <v>NA</v>
      </c>
      <c r="AM22" s="715" t="s">
        <v>1153</v>
      </c>
      <c r="AN22" s="998" t="str">
        <f>AN8</f>
        <v>OFFSMGasDHW</v>
      </c>
      <c r="AO22" s="715" t="s">
        <v>746</v>
      </c>
      <c r="AP22" s="711">
        <f t="shared" ref="AP22:AU22" si="286">AP8</f>
        <v>15</v>
      </c>
      <c r="AQ22" s="711">
        <f t="shared" si="286"/>
        <v>15</v>
      </c>
      <c r="AR22" s="999" t="str">
        <f t="shared" si="286"/>
        <v>Measure life is not to exceed 15 years based on Mid Atlantic TRM v10, p.279 (Even though the rated hours may last longer than 15 years, due to remodeling effects a maximum of 15 years is assumed) &amp; PA TRM Vol 3 p.1. New Linear Fluorescent Fixture: 15 years (PA TRM v3, p.1)</v>
      </c>
      <c r="AS22" s="998">
        <f t="shared" si="286"/>
        <v>1</v>
      </c>
      <c r="AT22" s="998">
        <f t="shared" si="286"/>
        <v>1</v>
      </c>
      <c r="AU22" s="998">
        <f t="shared" si="286"/>
        <v>0</v>
      </c>
      <c r="AV22" s="774">
        <f t="shared" si="236"/>
        <v>0</v>
      </c>
      <c r="AW22" s="503">
        <f t="shared" si="237"/>
        <v>0</v>
      </c>
      <c r="AX22" s="503">
        <f t="shared" si="237"/>
        <v>0</v>
      </c>
      <c r="AY22" s="503">
        <f t="shared" si="238"/>
        <v>0</v>
      </c>
      <c r="AZ22" s="503">
        <f t="shared" si="238"/>
        <v>0</v>
      </c>
      <c r="BA22" s="503">
        <f t="shared" si="238"/>
        <v>0</v>
      </c>
      <c r="BB22" s="776">
        <f t="shared" si="238"/>
        <v>0</v>
      </c>
      <c r="BC22" s="774">
        <f t="shared" si="239"/>
        <v>0</v>
      </c>
      <c r="BD22" s="503">
        <f t="shared" si="240"/>
        <v>0</v>
      </c>
      <c r="BE22" s="503">
        <f t="shared" si="240"/>
        <v>0</v>
      </c>
      <c r="BF22" s="503">
        <f t="shared" si="240"/>
        <v>0</v>
      </c>
      <c r="BG22" s="503">
        <f t="shared" si="241"/>
        <v>0</v>
      </c>
      <c r="BH22" s="503">
        <f t="shared" si="241"/>
        <v>0</v>
      </c>
      <c r="BI22" s="776">
        <f t="shared" si="241"/>
        <v>0</v>
      </c>
      <c r="BJ22" s="774">
        <f t="shared" si="242"/>
        <v>0</v>
      </c>
      <c r="BK22" s="503">
        <f t="shared" si="243"/>
        <v>0</v>
      </c>
      <c r="BL22" s="503">
        <f t="shared" si="243"/>
        <v>0</v>
      </c>
      <c r="BM22" s="503">
        <f t="shared" si="243"/>
        <v>0</v>
      </c>
      <c r="BN22" s="503">
        <f t="shared" si="244"/>
        <v>0</v>
      </c>
      <c r="BO22" s="503">
        <f t="shared" si="244"/>
        <v>0</v>
      </c>
      <c r="BP22" s="776">
        <f t="shared" si="244"/>
        <v>0</v>
      </c>
      <c r="BQ22" s="497">
        <f t="shared" si="268"/>
        <v>60</v>
      </c>
      <c r="BR22" s="503">
        <f t="shared" si="268"/>
        <v>60</v>
      </c>
      <c r="BS22" s="503">
        <f t="shared" si="268"/>
        <v>60</v>
      </c>
      <c r="BT22" s="503">
        <f t="shared" si="268"/>
        <v>60</v>
      </c>
      <c r="BU22" s="503">
        <f t="shared" si="268"/>
        <v>60</v>
      </c>
      <c r="BV22" s="503">
        <f t="shared" si="268"/>
        <v>60</v>
      </c>
      <c r="BW22" s="645">
        <f t="shared" si="268"/>
        <v>60</v>
      </c>
      <c r="BX22" s="722">
        <f t="shared" si="245"/>
        <v>149.087992364</v>
      </c>
      <c r="BY22" s="511">
        <f t="shared" si="246"/>
        <v>149.087992364</v>
      </c>
      <c r="BZ22" s="511">
        <f t="shared" si="246"/>
        <v>149.087992364</v>
      </c>
      <c r="CA22" s="511">
        <f t="shared" si="246"/>
        <v>149.087992364</v>
      </c>
      <c r="CB22" s="511">
        <f t="shared" si="247"/>
        <v>149.087992364</v>
      </c>
      <c r="CC22" s="511">
        <f t="shared" si="247"/>
        <v>149.087992364</v>
      </c>
      <c r="CD22" s="723">
        <f t="shared" si="247"/>
        <v>149.087992364</v>
      </c>
      <c r="CE22" s="722">
        <f t="shared" si="248"/>
        <v>4.0570069160960003E-2</v>
      </c>
      <c r="CF22" s="511">
        <f t="shared" si="249"/>
        <v>4.0570069160960003E-2</v>
      </c>
      <c r="CG22" s="511">
        <f t="shared" si="249"/>
        <v>4.0570069160960003E-2</v>
      </c>
      <c r="CH22" s="511">
        <f t="shared" si="249"/>
        <v>4.0570069160960003E-2</v>
      </c>
      <c r="CI22" s="511">
        <f t="shared" si="250"/>
        <v>4.0570069160960003E-2</v>
      </c>
      <c r="CJ22" s="511">
        <f t="shared" si="250"/>
        <v>4.0570069160960003E-2</v>
      </c>
      <c r="CK22" s="723">
        <f t="shared" si="250"/>
        <v>4.0570069160960003E-2</v>
      </c>
      <c r="CL22" s="511">
        <f t="shared" si="251"/>
        <v>0</v>
      </c>
      <c r="CM22" s="511">
        <f t="shared" si="252"/>
        <v>0</v>
      </c>
      <c r="CN22" s="511">
        <f t="shared" si="252"/>
        <v>0</v>
      </c>
      <c r="CO22" s="511">
        <f t="shared" si="252"/>
        <v>0</v>
      </c>
      <c r="CP22" s="511">
        <f t="shared" si="253"/>
        <v>0</v>
      </c>
      <c r="CQ22" s="511">
        <f t="shared" si="253"/>
        <v>0</v>
      </c>
      <c r="CR22" s="539">
        <f t="shared" si="253"/>
        <v>0</v>
      </c>
      <c r="CS22" s="774">
        <f t="shared" si="269"/>
        <v>0</v>
      </c>
      <c r="CT22" s="503">
        <f t="shared" si="269"/>
        <v>0</v>
      </c>
      <c r="CU22" s="503">
        <f t="shared" si="269"/>
        <v>0</v>
      </c>
      <c r="CV22" s="503">
        <f t="shared" si="269"/>
        <v>0</v>
      </c>
      <c r="CW22" s="503">
        <f t="shared" si="269"/>
        <v>0</v>
      </c>
      <c r="CX22" s="503">
        <f t="shared" si="269"/>
        <v>0</v>
      </c>
      <c r="CY22" s="776">
        <f t="shared" si="269"/>
        <v>0</v>
      </c>
      <c r="CZ22" s="774">
        <f t="shared" si="270"/>
        <v>0</v>
      </c>
      <c r="DA22" s="503">
        <f t="shared" si="270"/>
        <v>0</v>
      </c>
      <c r="DB22" s="503">
        <f t="shared" si="270"/>
        <v>0</v>
      </c>
      <c r="DC22" s="503">
        <f t="shared" si="270"/>
        <v>0</v>
      </c>
      <c r="DD22" s="503">
        <f t="shared" si="270"/>
        <v>0</v>
      </c>
      <c r="DE22" s="503">
        <f t="shared" si="270"/>
        <v>0</v>
      </c>
      <c r="DF22" s="776">
        <f t="shared" si="270"/>
        <v>0</v>
      </c>
      <c r="DG22" s="774">
        <f t="shared" si="271"/>
        <v>0</v>
      </c>
      <c r="DH22" s="503">
        <f t="shared" si="271"/>
        <v>0</v>
      </c>
      <c r="DI22" s="503">
        <f t="shared" si="271"/>
        <v>0</v>
      </c>
      <c r="DJ22" s="503">
        <f t="shared" si="271"/>
        <v>0</v>
      </c>
      <c r="DK22" s="503">
        <f t="shared" si="271"/>
        <v>0</v>
      </c>
      <c r="DL22" s="503">
        <f t="shared" si="271"/>
        <v>0</v>
      </c>
      <c r="DM22" s="776">
        <f t="shared" si="271"/>
        <v>0</v>
      </c>
      <c r="DN22" s="774">
        <f t="shared" si="272"/>
        <v>28125</v>
      </c>
      <c r="DO22" s="503">
        <f t="shared" si="272"/>
        <v>56250</v>
      </c>
      <c r="DP22" s="503">
        <f t="shared" si="272"/>
        <v>56250</v>
      </c>
      <c r="DQ22" s="503">
        <f t="shared" si="272"/>
        <v>56250</v>
      </c>
      <c r="DR22" s="503">
        <f t="shared" si="272"/>
        <v>56250</v>
      </c>
      <c r="DS22" s="503">
        <f t="shared" si="272"/>
        <v>56250</v>
      </c>
      <c r="DT22" s="776">
        <f t="shared" si="272"/>
        <v>56250</v>
      </c>
      <c r="DU22" s="511">
        <f t="shared" si="273"/>
        <v>69884.996420625001</v>
      </c>
      <c r="DV22" s="511">
        <f t="shared" si="273"/>
        <v>139769.99284125</v>
      </c>
      <c r="DW22" s="511">
        <f t="shared" si="273"/>
        <v>139769.99284125</v>
      </c>
      <c r="DX22" s="511">
        <f t="shared" si="273"/>
        <v>139769.99284125</v>
      </c>
      <c r="DY22" s="511">
        <f t="shared" si="273"/>
        <v>139769.99284125</v>
      </c>
      <c r="DZ22" s="511">
        <f t="shared" si="273"/>
        <v>139769.99284125</v>
      </c>
      <c r="EA22" s="539">
        <f t="shared" si="273"/>
        <v>139769.99284125</v>
      </c>
      <c r="EB22" s="722">
        <f t="shared" si="274"/>
        <v>19.017219919200002</v>
      </c>
      <c r="EC22" s="511">
        <f t="shared" si="274"/>
        <v>38.034439838400004</v>
      </c>
      <c r="ED22" s="511">
        <f t="shared" si="274"/>
        <v>38.034439838400004</v>
      </c>
      <c r="EE22" s="511">
        <f t="shared" si="274"/>
        <v>38.034439838400004</v>
      </c>
      <c r="EF22" s="511">
        <f t="shared" si="274"/>
        <v>38.034439838400004</v>
      </c>
      <c r="EG22" s="511">
        <f t="shared" si="274"/>
        <v>38.034439838400004</v>
      </c>
      <c r="EH22" s="723">
        <f t="shared" si="274"/>
        <v>38.034439838400004</v>
      </c>
      <c r="EI22" s="722">
        <f t="shared" si="275"/>
        <v>0</v>
      </c>
      <c r="EJ22" s="511">
        <f t="shared" si="275"/>
        <v>0</v>
      </c>
      <c r="EK22" s="511">
        <f t="shared" si="275"/>
        <v>0</v>
      </c>
      <c r="EL22" s="511">
        <f t="shared" si="275"/>
        <v>0</v>
      </c>
      <c r="EM22" s="511">
        <f t="shared" si="275"/>
        <v>0</v>
      </c>
      <c r="EN22" s="511">
        <f t="shared" si="275"/>
        <v>0</v>
      </c>
      <c r="EO22" s="723">
        <f t="shared" si="275"/>
        <v>0</v>
      </c>
      <c r="EP22" s="722">
        <f t="shared" si="276"/>
        <v>6093.75</v>
      </c>
      <c r="EQ22" s="503">
        <f t="shared" si="277"/>
        <v>0</v>
      </c>
      <c r="ER22" s="503">
        <f t="shared" si="278"/>
        <v>0</v>
      </c>
      <c r="ES22" s="503">
        <f t="shared" si="279"/>
        <v>0</v>
      </c>
      <c r="ET22" s="503">
        <f t="shared" si="280"/>
        <v>365625</v>
      </c>
      <c r="EU22" s="511">
        <f t="shared" si="281"/>
        <v>908504.95346812508</v>
      </c>
      <c r="EV22" s="511">
        <f t="shared" si="282"/>
        <v>247.22385894960004</v>
      </c>
      <c r="EW22" s="511">
        <f t="shared" si="283"/>
        <v>0</v>
      </c>
    </row>
    <row r="23" spans="1:153" s="10" customFormat="1" ht="12.75" customHeight="1">
      <c r="A23" s="661" t="s">
        <v>180</v>
      </c>
      <c r="B23" s="703" t="str">
        <f t="shared" si="261"/>
        <v>LG&amp;E-Small Business Direct Install - Water Conservation Aerators</v>
      </c>
      <c r="C23" s="703" t="str">
        <f t="shared" si="262"/>
        <v>Aerators 0.5 GPM</v>
      </c>
      <c r="D23" s="703" t="str">
        <f t="shared" si="262"/>
        <v>Existing 2.2 GPM</v>
      </c>
      <c r="E23" s="703" t="str">
        <f t="shared" si="262"/>
        <v>Per Unit</v>
      </c>
      <c r="F23" s="704" t="str">
        <f t="shared" si="262"/>
        <v>Full Cost</v>
      </c>
      <c r="G23" s="704">
        <f t="shared" si="262"/>
        <v>0</v>
      </c>
      <c r="H23" s="704">
        <f t="shared" si="262"/>
        <v>0</v>
      </c>
      <c r="I23" s="869">
        <f t="shared" si="262"/>
        <v>0</v>
      </c>
      <c r="J23" s="704">
        <f t="shared" si="262"/>
        <v>0</v>
      </c>
      <c r="K23" s="706">
        <f t="shared" si="263"/>
        <v>0</v>
      </c>
      <c r="L23" s="913"/>
      <c r="M23" s="707">
        <f t="shared" si="264"/>
        <v>0</v>
      </c>
      <c r="N23" s="881">
        <f t="shared" si="264"/>
        <v>0</v>
      </c>
      <c r="O23" s="707">
        <f t="shared" si="264"/>
        <v>0</v>
      </c>
      <c r="P23" s="881">
        <f t="shared" si="264"/>
        <v>1.7233333333333334</v>
      </c>
      <c r="Q23" s="710">
        <f t="shared" si="264"/>
        <v>31.662236044613138</v>
      </c>
      <c r="R23" s="710">
        <f t="shared" si="264"/>
        <v>1.5727978776865969E-3</v>
      </c>
      <c r="S23" s="710">
        <f>AVERAGE($P$72)</f>
        <v>2.2686625370686202</v>
      </c>
      <c r="T23" s="995" t="str">
        <f t="shared" si="264"/>
        <v>Based on the Mid Atlantic TRM v10 (p 133) for the residential measure "Faucet Aerators" for the bathroom. Engineering Calculation.</v>
      </c>
      <c r="U23" s="712">
        <f t="shared" si="264"/>
        <v>0</v>
      </c>
      <c r="V23" s="996">
        <f t="shared" si="264"/>
        <v>1</v>
      </c>
      <c r="W23" s="996">
        <f t="shared" ref="W23:AD23" si="287">W9*0.5</f>
        <v>5</v>
      </c>
      <c r="X23" s="996">
        <f t="shared" si="287"/>
        <v>5</v>
      </c>
      <c r="Y23" s="996">
        <f t="shared" si="287"/>
        <v>10</v>
      </c>
      <c r="Z23" s="996">
        <f t="shared" si="287"/>
        <v>10</v>
      </c>
      <c r="AA23" s="996">
        <f t="shared" si="287"/>
        <v>10</v>
      </c>
      <c r="AB23" s="996">
        <f t="shared" si="287"/>
        <v>10</v>
      </c>
      <c r="AC23" s="996">
        <f t="shared" si="287"/>
        <v>10</v>
      </c>
      <c r="AD23" s="996">
        <f t="shared" si="287"/>
        <v>10</v>
      </c>
      <c r="AE23" s="711" t="s">
        <v>374</v>
      </c>
      <c r="AF23" s="711" t="s">
        <v>742</v>
      </c>
      <c r="AG23" s="663" t="s">
        <v>1146</v>
      </c>
      <c r="AH23" s="711" t="s">
        <v>753</v>
      </c>
      <c r="AI23" s="998" t="str">
        <f t="shared" ref="AI23:AN23" si="288">AI9</f>
        <v>Existing</v>
      </c>
      <c r="AJ23" s="998" t="str">
        <f t="shared" si="288"/>
        <v>NA</v>
      </c>
      <c r="AK23" s="998" t="str">
        <f t="shared" si="288"/>
        <v>NA</v>
      </c>
      <c r="AL23" s="998" t="str">
        <f t="shared" si="288"/>
        <v>NA</v>
      </c>
      <c r="AM23" s="715" t="s">
        <v>1158</v>
      </c>
      <c r="AN23" s="998" t="str">
        <f t="shared" si="288"/>
        <v>OFFSMGasDHW</v>
      </c>
      <c r="AO23" s="715" t="s">
        <v>746</v>
      </c>
      <c r="AP23" s="711">
        <f t="shared" ref="AP23:AU23" si="289">AP9</f>
        <v>10</v>
      </c>
      <c r="AQ23" s="711">
        <f t="shared" si="289"/>
        <v>10</v>
      </c>
      <c r="AR23" s="999" t="str">
        <f t="shared" si="289"/>
        <v>Mid Atlantic TRM v10</v>
      </c>
      <c r="AS23" s="998">
        <f t="shared" si="289"/>
        <v>1</v>
      </c>
      <c r="AT23" s="998">
        <f t="shared" si="289"/>
        <v>1</v>
      </c>
      <c r="AU23" s="998">
        <f t="shared" si="289"/>
        <v>1</v>
      </c>
      <c r="AV23" s="774">
        <f t="shared" si="236"/>
        <v>0</v>
      </c>
      <c r="AW23" s="503">
        <f t="shared" si="237"/>
        <v>0</v>
      </c>
      <c r="AX23" s="503">
        <f t="shared" si="237"/>
        <v>0</v>
      </c>
      <c r="AY23" s="503">
        <f t="shared" si="238"/>
        <v>0</v>
      </c>
      <c r="AZ23" s="503">
        <f t="shared" si="238"/>
        <v>0</v>
      </c>
      <c r="BA23" s="503">
        <f t="shared" si="238"/>
        <v>0</v>
      </c>
      <c r="BB23" s="776">
        <f t="shared" si="238"/>
        <v>0</v>
      </c>
      <c r="BC23" s="774">
        <f t="shared" si="239"/>
        <v>0</v>
      </c>
      <c r="BD23" s="503">
        <f t="shared" si="240"/>
        <v>0</v>
      </c>
      <c r="BE23" s="503">
        <f t="shared" si="240"/>
        <v>0</v>
      </c>
      <c r="BF23" s="503">
        <f t="shared" si="240"/>
        <v>0</v>
      </c>
      <c r="BG23" s="503">
        <f t="shared" si="241"/>
        <v>0</v>
      </c>
      <c r="BH23" s="503">
        <f t="shared" si="241"/>
        <v>0</v>
      </c>
      <c r="BI23" s="776">
        <f t="shared" si="241"/>
        <v>0</v>
      </c>
      <c r="BJ23" s="774">
        <f t="shared" si="242"/>
        <v>0</v>
      </c>
      <c r="BK23" s="503">
        <f t="shared" si="243"/>
        <v>0</v>
      </c>
      <c r="BL23" s="503">
        <f t="shared" si="243"/>
        <v>0</v>
      </c>
      <c r="BM23" s="503">
        <f t="shared" si="243"/>
        <v>0</v>
      </c>
      <c r="BN23" s="503">
        <f t="shared" si="244"/>
        <v>0</v>
      </c>
      <c r="BO23" s="503">
        <f t="shared" si="244"/>
        <v>0</v>
      </c>
      <c r="BP23" s="776">
        <f t="shared" si="244"/>
        <v>0</v>
      </c>
      <c r="BQ23" s="497">
        <f t="shared" si="268"/>
        <v>1.7233333333333334</v>
      </c>
      <c r="BR23" s="503">
        <f t="shared" si="268"/>
        <v>1.7233333333333334</v>
      </c>
      <c r="BS23" s="503">
        <f t="shared" si="268"/>
        <v>1.7233333333333334</v>
      </c>
      <c r="BT23" s="503">
        <f t="shared" si="268"/>
        <v>1.7233333333333334</v>
      </c>
      <c r="BU23" s="503">
        <f t="shared" si="268"/>
        <v>1.7233333333333334</v>
      </c>
      <c r="BV23" s="503">
        <f t="shared" si="268"/>
        <v>1.7233333333333334</v>
      </c>
      <c r="BW23" s="645">
        <f t="shared" si="268"/>
        <v>1.7233333333333334</v>
      </c>
      <c r="BX23" s="722">
        <f t="shared" si="245"/>
        <v>31.662236044613138</v>
      </c>
      <c r="BY23" s="511">
        <f t="shared" si="246"/>
        <v>31.662236044613138</v>
      </c>
      <c r="BZ23" s="511">
        <f t="shared" si="246"/>
        <v>31.662236044613138</v>
      </c>
      <c r="CA23" s="511">
        <f t="shared" si="246"/>
        <v>31.662236044613138</v>
      </c>
      <c r="CB23" s="511">
        <f t="shared" si="247"/>
        <v>31.662236044613138</v>
      </c>
      <c r="CC23" s="511">
        <f t="shared" si="247"/>
        <v>31.662236044613138</v>
      </c>
      <c r="CD23" s="723">
        <f t="shared" si="247"/>
        <v>31.662236044613138</v>
      </c>
      <c r="CE23" s="722">
        <f t="shared" si="248"/>
        <v>1.5727978776865969E-3</v>
      </c>
      <c r="CF23" s="511">
        <f t="shared" si="249"/>
        <v>1.5727978776865969E-3</v>
      </c>
      <c r="CG23" s="511">
        <f t="shared" si="249"/>
        <v>1.5727978776865969E-3</v>
      </c>
      <c r="CH23" s="511">
        <f t="shared" si="249"/>
        <v>1.5727978776865969E-3</v>
      </c>
      <c r="CI23" s="511">
        <f t="shared" si="250"/>
        <v>1.5727978776865969E-3</v>
      </c>
      <c r="CJ23" s="511">
        <f t="shared" si="250"/>
        <v>1.5727978776865969E-3</v>
      </c>
      <c r="CK23" s="723">
        <f t="shared" si="250"/>
        <v>1.5727978776865969E-3</v>
      </c>
      <c r="CL23" s="511">
        <f t="shared" si="251"/>
        <v>2.2686625370686202</v>
      </c>
      <c r="CM23" s="511">
        <f t="shared" si="252"/>
        <v>2.2686625370686202</v>
      </c>
      <c r="CN23" s="511">
        <f t="shared" si="252"/>
        <v>2.2686625370686202</v>
      </c>
      <c r="CO23" s="511">
        <f t="shared" si="252"/>
        <v>2.2686625370686202</v>
      </c>
      <c r="CP23" s="511">
        <f t="shared" si="253"/>
        <v>2.2686625370686202</v>
      </c>
      <c r="CQ23" s="511">
        <f t="shared" si="253"/>
        <v>2.2686625370686202</v>
      </c>
      <c r="CR23" s="539">
        <f t="shared" si="253"/>
        <v>2.2686625370686202</v>
      </c>
      <c r="CS23" s="774">
        <f t="shared" si="269"/>
        <v>0</v>
      </c>
      <c r="CT23" s="503">
        <f t="shared" si="269"/>
        <v>0</v>
      </c>
      <c r="CU23" s="503">
        <f t="shared" si="269"/>
        <v>0</v>
      </c>
      <c r="CV23" s="503">
        <f t="shared" si="269"/>
        <v>0</v>
      </c>
      <c r="CW23" s="503">
        <f t="shared" si="269"/>
        <v>0</v>
      </c>
      <c r="CX23" s="503">
        <f t="shared" si="269"/>
        <v>0</v>
      </c>
      <c r="CY23" s="776">
        <f t="shared" si="269"/>
        <v>0</v>
      </c>
      <c r="CZ23" s="774">
        <f t="shared" si="270"/>
        <v>0</v>
      </c>
      <c r="DA23" s="503">
        <f t="shared" si="270"/>
        <v>0</v>
      </c>
      <c r="DB23" s="503">
        <f t="shared" si="270"/>
        <v>0</v>
      </c>
      <c r="DC23" s="503">
        <f t="shared" si="270"/>
        <v>0</v>
      </c>
      <c r="DD23" s="503">
        <f t="shared" si="270"/>
        <v>0</v>
      </c>
      <c r="DE23" s="503">
        <f t="shared" si="270"/>
        <v>0</v>
      </c>
      <c r="DF23" s="776">
        <f t="shared" si="270"/>
        <v>0</v>
      </c>
      <c r="DG23" s="774">
        <f t="shared" si="271"/>
        <v>0</v>
      </c>
      <c r="DH23" s="503">
        <f t="shared" si="271"/>
        <v>0</v>
      </c>
      <c r="DI23" s="503">
        <f t="shared" si="271"/>
        <v>0</v>
      </c>
      <c r="DJ23" s="503">
        <f t="shared" si="271"/>
        <v>0</v>
      </c>
      <c r="DK23" s="503">
        <f t="shared" si="271"/>
        <v>0</v>
      </c>
      <c r="DL23" s="503">
        <f t="shared" si="271"/>
        <v>0</v>
      </c>
      <c r="DM23" s="776">
        <f t="shared" si="271"/>
        <v>0</v>
      </c>
      <c r="DN23" s="774">
        <f t="shared" si="272"/>
        <v>8.6166666666666671</v>
      </c>
      <c r="DO23" s="503">
        <f t="shared" si="272"/>
        <v>17.233333333333334</v>
      </c>
      <c r="DP23" s="503">
        <f t="shared" si="272"/>
        <v>17.233333333333334</v>
      </c>
      <c r="DQ23" s="503">
        <f t="shared" si="272"/>
        <v>17.233333333333334</v>
      </c>
      <c r="DR23" s="503">
        <f t="shared" si="272"/>
        <v>17.233333333333334</v>
      </c>
      <c r="DS23" s="503">
        <f t="shared" si="272"/>
        <v>17.233333333333334</v>
      </c>
      <c r="DT23" s="776">
        <f t="shared" si="272"/>
        <v>17.233333333333334</v>
      </c>
      <c r="DU23" s="511">
        <f t="shared" si="273"/>
        <v>158.31118022306569</v>
      </c>
      <c r="DV23" s="511">
        <f t="shared" si="273"/>
        <v>316.62236044613138</v>
      </c>
      <c r="DW23" s="511">
        <f t="shared" si="273"/>
        <v>316.62236044613138</v>
      </c>
      <c r="DX23" s="511">
        <f t="shared" si="273"/>
        <v>316.62236044613138</v>
      </c>
      <c r="DY23" s="511">
        <f t="shared" si="273"/>
        <v>316.62236044613138</v>
      </c>
      <c r="DZ23" s="511">
        <f t="shared" si="273"/>
        <v>316.62236044613138</v>
      </c>
      <c r="EA23" s="539">
        <f t="shared" si="273"/>
        <v>316.62236044613138</v>
      </c>
      <c r="EB23" s="722">
        <f t="shared" si="274"/>
        <v>7.8639893884329855E-3</v>
      </c>
      <c r="EC23" s="511">
        <f t="shared" si="274"/>
        <v>1.5727978776865971E-2</v>
      </c>
      <c r="ED23" s="511">
        <f t="shared" si="274"/>
        <v>1.5727978776865971E-2</v>
      </c>
      <c r="EE23" s="511">
        <f t="shared" si="274"/>
        <v>1.5727978776865971E-2</v>
      </c>
      <c r="EF23" s="511">
        <f t="shared" si="274"/>
        <v>1.5727978776865971E-2</v>
      </c>
      <c r="EG23" s="511">
        <f t="shared" si="274"/>
        <v>1.5727978776865971E-2</v>
      </c>
      <c r="EH23" s="723">
        <f t="shared" si="274"/>
        <v>1.5727978776865971E-2</v>
      </c>
      <c r="EI23" s="722">
        <f t="shared" si="275"/>
        <v>11.343312685343101</v>
      </c>
      <c r="EJ23" s="511">
        <f t="shared" si="275"/>
        <v>22.686625370686201</v>
      </c>
      <c r="EK23" s="511">
        <f t="shared" si="275"/>
        <v>22.686625370686201</v>
      </c>
      <c r="EL23" s="511">
        <f t="shared" si="275"/>
        <v>22.686625370686201</v>
      </c>
      <c r="EM23" s="511">
        <f t="shared" si="275"/>
        <v>22.686625370686201</v>
      </c>
      <c r="EN23" s="511">
        <f t="shared" si="275"/>
        <v>22.686625370686201</v>
      </c>
      <c r="EO23" s="723">
        <f t="shared" si="275"/>
        <v>22.686625370686201</v>
      </c>
      <c r="EP23" s="722">
        <f t="shared" si="276"/>
        <v>65</v>
      </c>
      <c r="EQ23" s="503">
        <f t="shared" si="277"/>
        <v>0</v>
      </c>
      <c r="ER23" s="503">
        <f t="shared" si="278"/>
        <v>0</v>
      </c>
      <c r="ES23" s="503">
        <f t="shared" si="279"/>
        <v>0</v>
      </c>
      <c r="ET23" s="503">
        <f t="shared" si="280"/>
        <v>112.01666666666668</v>
      </c>
      <c r="EU23" s="511">
        <f t="shared" si="281"/>
        <v>2058.0453428998539</v>
      </c>
      <c r="EV23" s="511">
        <f t="shared" si="282"/>
        <v>0.10223186204962881</v>
      </c>
      <c r="EW23" s="511">
        <f t="shared" si="283"/>
        <v>147.46306490946029</v>
      </c>
    </row>
    <row r="24" spans="1:153" s="10" customFormat="1" ht="12.75" customHeight="1">
      <c r="A24" s="661" t="s">
        <v>181</v>
      </c>
      <c r="B24" s="703" t="str">
        <f t="shared" si="261"/>
        <v>LG&amp;E-Small Business Direct Install - Water Conservation Showerheads</v>
      </c>
      <c r="C24" s="703" t="str">
        <f t="shared" si="262"/>
        <v>Showerhead 1.5 GPM</v>
      </c>
      <c r="D24" s="703" t="str">
        <f t="shared" si="262"/>
        <v>Existing 2.5 GPM</v>
      </c>
      <c r="E24" s="703" t="str">
        <f t="shared" si="262"/>
        <v>Per Unit</v>
      </c>
      <c r="F24" s="704" t="str">
        <f t="shared" si="262"/>
        <v>Full Cost</v>
      </c>
      <c r="G24" s="704">
        <f t="shared" si="262"/>
        <v>0</v>
      </c>
      <c r="H24" s="704">
        <f t="shared" si="262"/>
        <v>0</v>
      </c>
      <c r="I24" s="869">
        <f t="shared" si="262"/>
        <v>0</v>
      </c>
      <c r="J24" s="704">
        <f t="shared" si="262"/>
        <v>0</v>
      </c>
      <c r="K24" s="706">
        <f t="shared" si="263"/>
        <v>0</v>
      </c>
      <c r="L24" s="913"/>
      <c r="M24" s="707">
        <f t="shared" si="264"/>
        <v>0</v>
      </c>
      <c r="N24" s="881">
        <f t="shared" si="264"/>
        <v>0</v>
      </c>
      <c r="O24" s="707">
        <f t="shared" si="264"/>
        <v>0</v>
      </c>
      <c r="P24" s="881">
        <f t="shared" si="264"/>
        <v>8.1166666666666654</v>
      </c>
      <c r="Q24" s="710">
        <f t="shared" si="264"/>
        <v>107.53725562445049</v>
      </c>
      <c r="R24" s="710">
        <f t="shared" si="264"/>
        <v>9.3813961019929698E-3</v>
      </c>
      <c r="S24" s="710">
        <f>AVERAGE(P74)</f>
        <v>7.7052594400031245</v>
      </c>
      <c r="T24" s="995" t="str">
        <f t="shared" si="264"/>
        <v>Based on the Mid Atlantic TRM v10 (p 137) for the residential measure "Low Flow Showerhead". Engineering Calculation</v>
      </c>
      <c r="U24" s="712">
        <f t="shared" si="264"/>
        <v>0</v>
      </c>
      <c r="V24" s="996">
        <f t="shared" si="264"/>
        <v>1</v>
      </c>
      <c r="W24" s="996">
        <f t="shared" ref="W24:AD24" si="290">W10*0.5</f>
        <v>2</v>
      </c>
      <c r="X24" s="996">
        <f t="shared" si="290"/>
        <v>2</v>
      </c>
      <c r="Y24" s="996">
        <f t="shared" si="290"/>
        <v>4</v>
      </c>
      <c r="Z24" s="996">
        <f t="shared" si="290"/>
        <v>4</v>
      </c>
      <c r="AA24" s="996">
        <f t="shared" si="290"/>
        <v>4</v>
      </c>
      <c r="AB24" s="996">
        <f t="shared" si="290"/>
        <v>4</v>
      </c>
      <c r="AC24" s="996">
        <f t="shared" si="290"/>
        <v>4</v>
      </c>
      <c r="AD24" s="996">
        <f t="shared" si="290"/>
        <v>4</v>
      </c>
      <c r="AE24" s="711" t="s">
        <v>374</v>
      </c>
      <c r="AF24" s="711" t="s">
        <v>742</v>
      </c>
      <c r="AG24" s="663" t="s">
        <v>1146</v>
      </c>
      <c r="AH24" s="711" t="s">
        <v>753</v>
      </c>
      <c r="AI24" s="998" t="str">
        <f t="shared" ref="AI24:AL24" si="291">AI10</f>
        <v>Existing</v>
      </c>
      <c r="AJ24" s="998" t="str">
        <f t="shared" si="291"/>
        <v>NA</v>
      </c>
      <c r="AK24" s="998" t="str">
        <f t="shared" si="291"/>
        <v>NA</v>
      </c>
      <c r="AL24" s="998" t="str">
        <f t="shared" si="291"/>
        <v>NA</v>
      </c>
      <c r="AM24" s="715" t="s">
        <v>1158</v>
      </c>
      <c r="AN24" s="998" t="str">
        <f>AN10</f>
        <v>OFFSMGasDHW</v>
      </c>
      <c r="AO24" s="715" t="s">
        <v>746</v>
      </c>
      <c r="AP24" s="711">
        <f t="shared" ref="AP24:AU24" si="292">AP10</f>
        <v>10</v>
      </c>
      <c r="AQ24" s="711">
        <f t="shared" si="292"/>
        <v>10</v>
      </c>
      <c r="AR24" s="999" t="str">
        <f t="shared" si="292"/>
        <v>Mid Atlantic TRM v10</v>
      </c>
      <c r="AS24" s="998">
        <f t="shared" si="292"/>
        <v>1</v>
      </c>
      <c r="AT24" s="998">
        <f t="shared" si="292"/>
        <v>1</v>
      </c>
      <c r="AU24" s="998">
        <f t="shared" si="292"/>
        <v>1</v>
      </c>
      <c r="AV24" s="774">
        <f t="shared" si="236"/>
        <v>0</v>
      </c>
      <c r="AW24" s="503">
        <f t="shared" si="237"/>
        <v>0</v>
      </c>
      <c r="AX24" s="503">
        <f t="shared" si="237"/>
        <v>0</v>
      </c>
      <c r="AY24" s="503">
        <f t="shared" si="238"/>
        <v>0</v>
      </c>
      <c r="AZ24" s="503">
        <f t="shared" si="238"/>
        <v>0</v>
      </c>
      <c r="BA24" s="503">
        <f t="shared" si="238"/>
        <v>0</v>
      </c>
      <c r="BB24" s="776">
        <f t="shared" si="238"/>
        <v>0</v>
      </c>
      <c r="BC24" s="774">
        <f t="shared" si="239"/>
        <v>0</v>
      </c>
      <c r="BD24" s="503">
        <f t="shared" si="240"/>
        <v>0</v>
      </c>
      <c r="BE24" s="503">
        <f t="shared" si="240"/>
        <v>0</v>
      </c>
      <c r="BF24" s="503">
        <f t="shared" si="240"/>
        <v>0</v>
      </c>
      <c r="BG24" s="503">
        <f t="shared" si="241"/>
        <v>0</v>
      </c>
      <c r="BH24" s="503">
        <f t="shared" si="241"/>
        <v>0</v>
      </c>
      <c r="BI24" s="776">
        <f t="shared" si="241"/>
        <v>0</v>
      </c>
      <c r="BJ24" s="774">
        <f t="shared" si="242"/>
        <v>0</v>
      </c>
      <c r="BK24" s="503">
        <f t="shared" si="243"/>
        <v>0</v>
      </c>
      <c r="BL24" s="503">
        <f t="shared" si="243"/>
        <v>0</v>
      </c>
      <c r="BM24" s="503">
        <f t="shared" si="243"/>
        <v>0</v>
      </c>
      <c r="BN24" s="503">
        <f t="shared" si="244"/>
        <v>0</v>
      </c>
      <c r="BO24" s="503">
        <f t="shared" si="244"/>
        <v>0</v>
      </c>
      <c r="BP24" s="776">
        <f t="shared" si="244"/>
        <v>0</v>
      </c>
      <c r="BQ24" s="497">
        <f t="shared" si="268"/>
        <v>8.1166666666666654</v>
      </c>
      <c r="BR24" s="503">
        <f t="shared" si="268"/>
        <v>8.1166666666666654</v>
      </c>
      <c r="BS24" s="503">
        <f t="shared" si="268"/>
        <v>8.1166666666666654</v>
      </c>
      <c r="BT24" s="503">
        <f t="shared" si="268"/>
        <v>8.1166666666666654</v>
      </c>
      <c r="BU24" s="503">
        <f t="shared" si="268"/>
        <v>8.1166666666666654</v>
      </c>
      <c r="BV24" s="503">
        <f t="shared" si="268"/>
        <v>8.1166666666666654</v>
      </c>
      <c r="BW24" s="645">
        <f t="shared" si="268"/>
        <v>8.1166666666666654</v>
      </c>
      <c r="BX24" s="722">
        <f t="shared" si="245"/>
        <v>107.53725562445049</v>
      </c>
      <c r="BY24" s="511">
        <f t="shared" si="246"/>
        <v>107.53725562445049</v>
      </c>
      <c r="BZ24" s="511">
        <f t="shared" si="246"/>
        <v>107.53725562445049</v>
      </c>
      <c r="CA24" s="511">
        <f t="shared" si="246"/>
        <v>107.53725562445049</v>
      </c>
      <c r="CB24" s="511">
        <f t="shared" si="247"/>
        <v>107.53725562445049</v>
      </c>
      <c r="CC24" s="511">
        <f t="shared" si="247"/>
        <v>107.53725562445049</v>
      </c>
      <c r="CD24" s="723">
        <f t="shared" si="247"/>
        <v>107.53725562445049</v>
      </c>
      <c r="CE24" s="722">
        <f t="shared" si="248"/>
        <v>9.3813961019929698E-3</v>
      </c>
      <c r="CF24" s="511">
        <f t="shared" si="249"/>
        <v>9.3813961019929698E-3</v>
      </c>
      <c r="CG24" s="511">
        <f t="shared" si="249"/>
        <v>9.3813961019929698E-3</v>
      </c>
      <c r="CH24" s="511">
        <f t="shared" si="249"/>
        <v>9.3813961019929698E-3</v>
      </c>
      <c r="CI24" s="511">
        <f t="shared" si="250"/>
        <v>9.3813961019929698E-3</v>
      </c>
      <c r="CJ24" s="511">
        <f t="shared" si="250"/>
        <v>9.3813961019929698E-3</v>
      </c>
      <c r="CK24" s="723">
        <f t="shared" si="250"/>
        <v>9.3813961019929698E-3</v>
      </c>
      <c r="CL24" s="511">
        <f t="shared" si="251"/>
        <v>7.7052594400031245</v>
      </c>
      <c r="CM24" s="511">
        <f t="shared" si="252"/>
        <v>7.7052594400031245</v>
      </c>
      <c r="CN24" s="511">
        <f t="shared" si="252"/>
        <v>7.7052594400031245</v>
      </c>
      <c r="CO24" s="511">
        <f t="shared" si="252"/>
        <v>7.7052594400031245</v>
      </c>
      <c r="CP24" s="511">
        <f t="shared" si="253"/>
        <v>7.7052594400031245</v>
      </c>
      <c r="CQ24" s="511">
        <f t="shared" si="253"/>
        <v>7.7052594400031245</v>
      </c>
      <c r="CR24" s="539">
        <f t="shared" si="253"/>
        <v>7.7052594400031245</v>
      </c>
      <c r="CS24" s="774">
        <f t="shared" si="269"/>
        <v>0</v>
      </c>
      <c r="CT24" s="503">
        <f t="shared" si="269"/>
        <v>0</v>
      </c>
      <c r="CU24" s="503">
        <f t="shared" si="269"/>
        <v>0</v>
      </c>
      <c r="CV24" s="503">
        <f t="shared" si="269"/>
        <v>0</v>
      </c>
      <c r="CW24" s="503">
        <f t="shared" si="269"/>
        <v>0</v>
      </c>
      <c r="CX24" s="503">
        <f t="shared" si="269"/>
        <v>0</v>
      </c>
      <c r="CY24" s="776">
        <f t="shared" si="269"/>
        <v>0</v>
      </c>
      <c r="CZ24" s="774">
        <f t="shared" si="270"/>
        <v>0</v>
      </c>
      <c r="DA24" s="503">
        <f t="shared" si="270"/>
        <v>0</v>
      </c>
      <c r="DB24" s="503">
        <f t="shared" si="270"/>
        <v>0</v>
      </c>
      <c r="DC24" s="503">
        <f t="shared" si="270"/>
        <v>0</v>
      </c>
      <c r="DD24" s="503">
        <f t="shared" si="270"/>
        <v>0</v>
      </c>
      <c r="DE24" s="503">
        <f t="shared" si="270"/>
        <v>0</v>
      </c>
      <c r="DF24" s="776">
        <f t="shared" si="270"/>
        <v>0</v>
      </c>
      <c r="DG24" s="774">
        <f t="shared" si="271"/>
        <v>0</v>
      </c>
      <c r="DH24" s="503">
        <f t="shared" si="271"/>
        <v>0</v>
      </c>
      <c r="DI24" s="503">
        <f t="shared" si="271"/>
        <v>0</v>
      </c>
      <c r="DJ24" s="503">
        <f t="shared" si="271"/>
        <v>0</v>
      </c>
      <c r="DK24" s="503">
        <f t="shared" si="271"/>
        <v>0</v>
      </c>
      <c r="DL24" s="503">
        <f t="shared" si="271"/>
        <v>0</v>
      </c>
      <c r="DM24" s="776">
        <f t="shared" si="271"/>
        <v>0</v>
      </c>
      <c r="DN24" s="774">
        <f t="shared" si="272"/>
        <v>16.233333333333331</v>
      </c>
      <c r="DO24" s="503">
        <f t="shared" si="272"/>
        <v>32.466666666666661</v>
      </c>
      <c r="DP24" s="503">
        <f t="shared" si="272"/>
        <v>32.466666666666661</v>
      </c>
      <c r="DQ24" s="503">
        <f t="shared" si="272"/>
        <v>32.466666666666661</v>
      </c>
      <c r="DR24" s="503">
        <f t="shared" si="272"/>
        <v>32.466666666666661</v>
      </c>
      <c r="DS24" s="503">
        <f t="shared" si="272"/>
        <v>32.466666666666661</v>
      </c>
      <c r="DT24" s="776">
        <f t="shared" si="272"/>
        <v>32.466666666666661</v>
      </c>
      <c r="DU24" s="511">
        <f t="shared" si="273"/>
        <v>215.07451124890099</v>
      </c>
      <c r="DV24" s="511">
        <f t="shared" si="273"/>
        <v>430.14902249780198</v>
      </c>
      <c r="DW24" s="511">
        <f t="shared" si="273"/>
        <v>430.14902249780198</v>
      </c>
      <c r="DX24" s="511">
        <f t="shared" si="273"/>
        <v>430.14902249780198</v>
      </c>
      <c r="DY24" s="511">
        <f t="shared" si="273"/>
        <v>430.14902249780198</v>
      </c>
      <c r="DZ24" s="511">
        <f t="shared" si="273"/>
        <v>430.14902249780198</v>
      </c>
      <c r="EA24" s="539">
        <f t="shared" si="273"/>
        <v>430.14902249780198</v>
      </c>
      <c r="EB24" s="722">
        <f t="shared" si="274"/>
        <v>1.876279220398594E-2</v>
      </c>
      <c r="EC24" s="511">
        <f t="shared" si="274"/>
        <v>3.7525584407971879E-2</v>
      </c>
      <c r="ED24" s="511">
        <f t="shared" si="274"/>
        <v>3.7525584407971879E-2</v>
      </c>
      <c r="EE24" s="511">
        <f t="shared" si="274"/>
        <v>3.7525584407971879E-2</v>
      </c>
      <c r="EF24" s="511">
        <f t="shared" si="274"/>
        <v>3.7525584407971879E-2</v>
      </c>
      <c r="EG24" s="511">
        <f t="shared" si="274"/>
        <v>3.7525584407971879E-2</v>
      </c>
      <c r="EH24" s="723">
        <f t="shared" si="274"/>
        <v>3.7525584407971879E-2</v>
      </c>
      <c r="EI24" s="722">
        <f t="shared" si="275"/>
        <v>15.410518880006249</v>
      </c>
      <c r="EJ24" s="511">
        <f t="shared" si="275"/>
        <v>30.821037760012498</v>
      </c>
      <c r="EK24" s="511">
        <f t="shared" si="275"/>
        <v>30.821037760012498</v>
      </c>
      <c r="EL24" s="511">
        <f t="shared" si="275"/>
        <v>30.821037760012498</v>
      </c>
      <c r="EM24" s="511">
        <f t="shared" si="275"/>
        <v>30.821037760012498</v>
      </c>
      <c r="EN24" s="511">
        <f t="shared" si="275"/>
        <v>30.821037760012498</v>
      </c>
      <c r="EO24" s="723">
        <f t="shared" si="275"/>
        <v>30.821037760012498</v>
      </c>
      <c r="EP24" s="722">
        <f t="shared" si="276"/>
        <v>26</v>
      </c>
      <c r="EQ24" s="503">
        <f t="shared" si="277"/>
        <v>0</v>
      </c>
      <c r="ER24" s="503">
        <f t="shared" si="278"/>
        <v>0</v>
      </c>
      <c r="ES24" s="503">
        <f t="shared" si="279"/>
        <v>0</v>
      </c>
      <c r="ET24" s="503">
        <f t="shared" si="280"/>
        <v>211.03333333333333</v>
      </c>
      <c r="EU24" s="511">
        <f t="shared" si="281"/>
        <v>2795.9686462357126</v>
      </c>
      <c r="EV24" s="511">
        <f t="shared" si="282"/>
        <v>0.24391629865181721</v>
      </c>
      <c r="EW24" s="511">
        <f t="shared" si="283"/>
        <v>200.33674544008124</v>
      </c>
    </row>
    <row r="25" spans="1:153" s="10" customFormat="1" ht="12.75" customHeight="1">
      <c r="A25" s="661" t="s">
        <v>182</v>
      </c>
      <c r="B25" s="703" t="str">
        <f t="shared" si="261"/>
        <v>LG&amp;E-Small Business Direct Install - Water Conservation Sprayers</v>
      </c>
      <c r="C25" s="703" t="str">
        <f t="shared" si="262"/>
        <v>Pre-rinse Spray Valves 1.15GPM</v>
      </c>
      <c r="D25" s="703" t="str">
        <f t="shared" si="262"/>
        <v>Existing 1.6 GPM</v>
      </c>
      <c r="E25" s="703" t="str">
        <f t="shared" si="262"/>
        <v>Per Unit</v>
      </c>
      <c r="F25" s="704" t="str">
        <f t="shared" si="262"/>
        <v>Full Cost</v>
      </c>
      <c r="G25" s="704">
        <f t="shared" si="262"/>
        <v>0</v>
      </c>
      <c r="H25" s="704">
        <f t="shared" si="262"/>
        <v>0</v>
      </c>
      <c r="I25" s="869">
        <f t="shared" si="262"/>
        <v>0</v>
      </c>
      <c r="J25" s="704">
        <f t="shared" si="262"/>
        <v>0</v>
      </c>
      <c r="K25" s="706">
        <f t="shared" si="263"/>
        <v>0</v>
      </c>
      <c r="L25" s="913"/>
      <c r="M25" s="707">
        <f t="shared" si="264"/>
        <v>0</v>
      </c>
      <c r="N25" s="881">
        <f t="shared" si="264"/>
        <v>0</v>
      </c>
      <c r="O25" s="707">
        <f t="shared" si="264"/>
        <v>0</v>
      </c>
      <c r="P25" s="881">
        <f t="shared" si="264"/>
        <v>43.49</v>
      </c>
      <c r="Q25" s="710">
        <f t="shared" si="264"/>
        <v>922.21347445032825</v>
      </c>
      <c r="R25" s="710">
        <f t="shared" si="264"/>
        <v>0</v>
      </c>
      <c r="S25" s="710">
        <f>AVERAGE(P75)</f>
        <v>69.78489487200001</v>
      </c>
      <c r="T25" s="995" t="str">
        <f t="shared" si="264"/>
        <v>Based on the Mid Atlantic TRM v10 (p 355) "Pre Rinse Spray Valve". Engineering Calculation</v>
      </c>
      <c r="U25" s="712">
        <f t="shared" si="264"/>
        <v>0</v>
      </c>
      <c r="V25" s="996">
        <f t="shared" si="264"/>
        <v>1</v>
      </c>
      <c r="W25" s="996">
        <f t="shared" ref="W25:AD25" si="293">W11*0.5</f>
        <v>2</v>
      </c>
      <c r="X25" s="996">
        <f t="shared" si="293"/>
        <v>2</v>
      </c>
      <c r="Y25" s="996">
        <f t="shared" si="293"/>
        <v>4</v>
      </c>
      <c r="Z25" s="996">
        <f t="shared" si="293"/>
        <v>4</v>
      </c>
      <c r="AA25" s="996">
        <f t="shared" si="293"/>
        <v>4</v>
      </c>
      <c r="AB25" s="996">
        <f t="shared" si="293"/>
        <v>4</v>
      </c>
      <c r="AC25" s="996">
        <f t="shared" si="293"/>
        <v>4</v>
      </c>
      <c r="AD25" s="996">
        <f t="shared" si="293"/>
        <v>4</v>
      </c>
      <c r="AE25" s="711" t="s">
        <v>374</v>
      </c>
      <c r="AF25" s="711" t="s">
        <v>742</v>
      </c>
      <c r="AG25" s="663" t="s">
        <v>1146</v>
      </c>
      <c r="AH25" s="711" t="s">
        <v>753</v>
      </c>
      <c r="AI25" s="998" t="str">
        <f t="shared" ref="AI25:AL25" si="294">AI11</f>
        <v>Existing</v>
      </c>
      <c r="AJ25" s="998" t="str">
        <f t="shared" si="294"/>
        <v>NA</v>
      </c>
      <c r="AK25" s="998" t="str">
        <f t="shared" si="294"/>
        <v>NA</v>
      </c>
      <c r="AL25" s="998" t="str">
        <f t="shared" si="294"/>
        <v>NA</v>
      </c>
      <c r="AM25" s="715" t="s">
        <v>1158</v>
      </c>
      <c r="AN25" s="998" t="str">
        <f>AN11</f>
        <v>OFFSMGasDHW</v>
      </c>
      <c r="AO25" s="715" t="s">
        <v>746</v>
      </c>
      <c r="AP25" s="711">
        <f t="shared" ref="AP25:AU25" si="295">AP11</f>
        <v>5</v>
      </c>
      <c r="AQ25" s="711">
        <f t="shared" si="295"/>
        <v>5</v>
      </c>
      <c r="AR25" s="999" t="str">
        <f t="shared" si="295"/>
        <v>Mid Atlantic TRM v10</v>
      </c>
      <c r="AS25" s="998">
        <f t="shared" si="295"/>
        <v>1</v>
      </c>
      <c r="AT25" s="998">
        <f t="shared" si="295"/>
        <v>1</v>
      </c>
      <c r="AU25" s="998">
        <f t="shared" si="295"/>
        <v>1</v>
      </c>
      <c r="AV25" s="774">
        <f t="shared" si="236"/>
        <v>0</v>
      </c>
      <c r="AW25" s="503">
        <f t="shared" si="237"/>
        <v>0</v>
      </c>
      <c r="AX25" s="503">
        <f t="shared" si="237"/>
        <v>0</v>
      </c>
      <c r="AY25" s="503">
        <f t="shared" si="238"/>
        <v>0</v>
      </c>
      <c r="AZ25" s="503">
        <f t="shared" si="238"/>
        <v>0</v>
      </c>
      <c r="BA25" s="503">
        <f t="shared" si="238"/>
        <v>0</v>
      </c>
      <c r="BB25" s="776">
        <f t="shared" si="238"/>
        <v>0</v>
      </c>
      <c r="BC25" s="774">
        <f t="shared" si="239"/>
        <v>0</v>
      </c>
      <c r="BD25" s="503">
        <f t="shared" si="240"/>
        <v>0</v>
      </c>
      <c r="BE25" s="503">
        <f t="shared" si="240"/>
        <v>0</v>
      </c>
      <c r="BF25" s="503">
        <f t="shared" si="240"/>
        <v>0</v>
      </c>
      <c r="BG25" s="503">
        <f t="shared" si="241"/>
        <v>0</v>
      </c>
      <c r="BH25" s="503">
        <f t="shared" si="241"/>
        <v>0</v>
      </c>
      <c r="BI25" s="776">
        <f t="shared" si="241"/>
        <v>0</v>
      </c>
      <c r="BJ25" s="774">
        <f t="shared" si="242"/>
        <v>0</v>
      </c>
      <c r="BK25" s="503">
        <f t="shared" si="243"/>
        <v>0</v>
      </c>
      <c r="BL25" s="503">
        <f t="shared" si="243"/>
        <v>0</v>
      </c>
      <c r="BM25" s="503">
        <f t="shared" si="243"/>
        <v>0</v>
      </c>
      <c r="BN25" s="503">
        <f t="shared" si="244"/>
        <v>0</v>
      </c>
      <c r="BO25" s="503">
        <f t="shared" si="244"/>
        <v>0</v>
      </c>
      <c r="BP25" s="776">
        <f t="shared" si="244"/>
        <v>0</v>
      </c>
      <c r="BQ25" s="497">
        <f t="shared" si="268"/>
        <v>43.49</v>
      </c>
      <c r="BR25" s="503">
        <f t="shared" si="268"/>
        <v>43.49</v>
      </c>
      <c r="BS25" s="503">
        <f t="shared" si="268"/>
        <v>43.49</v>
      </c>
      <c r="BT25" s="503">
        <f t="shared" si="268"/>
        <v>43.49</v>
      </c>
      <c r="BU25" s="503">
        <f t="shared" si="268"/>
        <v>43.49</v>
      </c>
      <c r="BV25" s="503">
        <f t="shared" si="268"/>
        <v>43.49</v>
      </c>
      <c r="BW25" s="645">
        <f t="shared" si="268"/>
        <v>43.49</v>
      </c>
      <c r="BX25" s="722">
        <f t="shared" si="245"/>
        <v>922.21347445032825</v>
      </c>
      <c r="BY25" s="511">
        <f t="shared" si="246"/>
        <v>922.21347445032825</v>
      </c>
      <c r="BZ25" s="511">
        <f t="shared" si="246"/>
        <v>922.21347445032825</v>
      </c>
      <c r="CA25" s="511">
        <f t="shared" si="246"/>
        <v>922.21347445032825</v>
      </c>
      <c r="CB25" s="511">
        <f t="shared" si="247"/>
        <v>922.21347445032825</v>
      </c>
      <c r="CC25" s="511">
        <f t="shared" si="247"/>
        <v>922.21347445032825</v>
      </c>
      <c r="CD25" s="723">
        <f t="shared" si="247"/>
        <v>922.21347445032825</v>
      </c>
      <c r="CE25" s="722">
        <f t="shared" si="248"/>
        <v>0</v>
      </c>
      <c r="CF25" s="511">
        <f t="shared" si="249"/>
        <v>0</v>
      </c>
      <c r="CG25" s="511">
        <f t="shared" si="249"/>
        <v>0</v>
      </c>
      <c r="CH25" s="511">
        <f t="shared" si="249"/>
        <v>0</v>
      </c>
      <c r="CI25" s="511">
        <f t="shared" si="250"/>
        <v>0</v>
      </c>
      <c r="CJ25" s="511">
        <f t="shared" si="250"/>
        <v>0</v>
      </c>
      <c r="CK25" s="723">
        <f t="shared" si="250"/>
        <v>0</v>
      </c>
      <c r="CL25" s="511">
        <f t="shared" si="251"/>
        <v>69.78489487200001</v>
      </c>
      <c r="CM25" s="511">
        <f t="shared" si="252"/>
        <v>69.78489487200001</v>
      </c>
      <c r="CN25" s="511">
        <f t="shared" si="252"/>
        <v>69.78489487200001</v>
      </c>
      <c r="CO25" s="511">
        <f t="shared" si="252"/>
        <v>69.78489487200001</v>
      </c>
      <c r="CP25" s="511">
        <f t="shared" si="253"/>
        <v>69.78489487200001</v>
      </c>
      <c r="CQ25" s="511">
        <f t="shared" si="253"/>
        <v>69.78489487200001</v>
      </c>
      <c r="CR25" s="539">
        <f t="shared" si="253"/>
        <v>69.78489487200001</v>
      </c>
      <c r="CS25" s="774">
        <f t="shared" si="269"/>
        <v>0</v>
      </c>
      <c r="CT25" s="503">
        <f t="shared" si="269"/>
        <v>0</v>
      </c>
      <c r="CU25" s="503">
        <f t="shared" si="269"/>
        <v>0</v>
      </c>
      <c r="CV25" s="503">
        <f t="shared" si="269"/>
        <v>0</v>
      </c>
      <c r="CW25" s="503">
        <f t="shared" si="269"/>
        <v>0</v>
      </c>
      <c r="CX25" s="503">
        <f t="shared" si="269"/>
        <v>0</v>
      </c>
      <c r="CY25" s="776">
        <f t="shared" si="269"/>
        <v>0</v>
      </c>
      <c r="CZ25" s="774">
        <f t="shared" si="270"/>
        <v>0</v>
      </c>
      <c r="DA25" s="503">
        <f t="shared" si="270"/>
        <v>0</v>
      </c>
      <c r="DB25" s="503">
        <f t="shared" si="270"/>
        <v>0</v>
      </c>
      <c r="DC25" s="503">
        <f t="shared" si="270"/>
        <v>0</v>
      </c>
      <c r="DD25" s="503">
        <f t="shared" si="270"/>
        <v>0</v>
      </c>
      <c r="DE25" s="503">
        <f t="shared" si="270"/>
        <v>0</v>
      </c>
      <c r="DF25" s="776">
        <f t="shared" si="270"/>
        <v>0</v>
      </c>
      <c r="DG25" s="774">
        <f t="shared" si="271"/>
        <v>0</v>
      </c>
      <c r="DH25" s="503">
        <f t="shared" si="271"/>
        <v>0</v>
      </c>
      <c r="DI25" s="503">
        <f t="shared" si="271"/>
        <v>0</v>
      </c>
      <c r="DJ25" s="503">
        <f t="shared" si="271"/>
        <v>0</v>
      </c>
      <c r="DK25" s="503">
        <f t="shared" si="271"/>
        <v>0</v>
      </c>
      <c r="DL25" s="503">
        <f t="shared" si="271"/>
        <v>0</v>
      </c>
      <c r="DM25" s="776">
        <f t="shared" si="271"/>
        <v>0</v>
      </c>
      <c r="DN25" s="774">
        <f t="shared" si="272"/>
        <v>86.98</v>
      </c>
      <c r="DO25" s="503">
        <f t="shared" si="272"/>
        <v>173.96</v>
      </c>
      <c r="DP25" s="503">
        <f t="shared" si="272"/>
        <v>173.96</v>
      </c>
      <c r="DQ25" s="503">
        <f t="shared" si="272"/>
        <v>173.96</v>
      </c>
      <c r="DR25" s="503">
        <f t="shared" si="272"/>
        <v>173.96</v>
      </c>
      <c r="DS25" s="503">
        <f t="shared" si="272"/>
        <v>173.96</v>
      </c>
      <c r="DT25" s="776">
        <f t="shared" si="272"/>
        <v>173.96</v>
      </c>
      <c r="DU25" s="511">
        <f t="shared" si="273"/>
        <v>1844.4269489006565</v>
      </c>
      <c r="DV25" s="511">
        <f t="shared" si="273"/>
        <v>3688.853897801313</v>
      </c>
      <c r="DW25" s="511">
        <f t="shared" si="273"/>
        <v>3688.853897801313</v>
      </c>
      <c r="DX25" s="511">
        <f t="shared" si="273"/>
        <v>3688.853897801313</v>
      </c>
      <c r="DY25" s="511">
        <f t="shared" si="273"/>
        <v>3688.853897801313</v>
      </c>
      <c r="DZ25" s="511">
        <f t="shared" si="273"/>
        <v>3688.853897801313</v>
      </c>
      <c r="EA25" s="539">
        <f t="shared" si="273"/>
        <v>3688.853897801313</v>
      </c>
      <c r="EB25" s="722">
        <f t="shared" si="274"/>
        <v>0</v>
      </c>
      <c r="EC25" s="511">
        <f t="shared" si="274"/>
        <v>0</v>
      </c>
      <c r="ED25" s="511">
        <f t="shared" si="274"/>
        <v>0</v>
      </c>
      <c r="EE25" s="511">
        <f t="shared" si="274"/>
        <v>0</v>
      </c>
      <c r="EF25" s="511">
        <f t="shared" si="274"/>
        <v>0</v>
      </c>
      <c r="EG25" s="511">
        <f t="shared" si="274"/>
        <v>0</v>
      </c>
      <c r="EH25" s="723">
        <f t="shared" si="274"/>
        <v>0</v>
      </c>
      <c r="EI25" s="722">
        <f t="shared" si="275"/>
        <v>139.56978974400002</v>
      </c>
      <c r="EJ25" s="511">
        <f t="shared" si="275"/>
        <v>279.13957948800004</v>
      </c>
      <c r="EK25" s="511">
        <f t="shared" si="275"/>
        <v>279.13957948800004</v>
      </c>
      <c r="EL25" s="511">
        <f t="shared" si="275"/>
        <v>279.13957948800004</v>
      </c>
      <c r="EM25" s="511">
        <f t="shared" si="275"/>
        <v>279.13957948800004</v>
      </c>
      <c r="EN25" s="511">
        <f t="shared" si="275"/>
        <v>279.13957948800004</v>
      </c>
      <c r="EO25" s="723">
        <f t="shared" si="275"/>
        <v>279.13957948800004</v>
      </c>
      <c r="EP25" s="722">
        <f t="shared" si="276"/>
        <v>26</v>
      </c>
      <c r="EQ25" s="503">
        <f t="shared" si="277"/>
        <v>0</v>
      </c>
      <c r="ER25" s="503">
        <f t="shared" si="278"/>
        <v>0</v>
      </c>
      <c r="ES25" s="503">
        <f t="shared" si="279"/>
        <v>0</v>
      </c>
      <c r="ET25" s="503">
        <f t="shared" si="280"/>
        <v>1130.74</v>
      </c>
      <c r="EU25" s="511">
        <f t="shared" si="281"/>
        <v>23977.550335708533</v>
      </c>
      <c r="EV25" s="511">
        <f t="shared" si="282"/>
        <v>0</v>
      </c>
      <c r="EW25" s="511">
        <f t="shared" si="283"/>
        <v>1814.4072666720001</v>
      </c>
    </row>
    <row r="26" spans="1:153" s="10" customFormat="1" ht="12.75" customHeight="1" thickBot="1">
      <c r="A26" s="729"/>
      <c r="B26" s="730"/>
      <c r="C26" s="730"/>
      <c r="D26" s="730"/>
      <c r="E26" s="730"/>
      <c r="F26" s="731"/>
      <c r="G26" s="731"/>
      <c r="H26" s="731"/>
      <c r="I26" s="731"/>
      <c r="J26" s="731"/>
      <c r="K26" s="731"/>
      <c r="L26" s="993"/>
      <c r="M26" s="734"/>
      <c r="N26" s="734"/>
      <c r="O26" s="734"/>
      <c r="P26" s="734"/>
      <c r="Q26" s="736"/>
      <c r="R26" s="758"/>
      <c r="S26" s="737"/>
      <c r="T26" s="993"/>
      <c r="U26" s="738"/>
      <c r="V26" s="739"/>
      <c r="W26" s="742"/>
      <c r="X26" s="742"/>
      <c r="Y26" s="742"/>
      <c r="Z26" s="742"/>
      <c r="AA26" s="742"/>
      <c r="AB26" s="742"/>
      <c r="AC26" s="742"/>
      <c r="AD26" s="742"/>
      <c r="AE26" s="733"/>
      <c r="AF26" s="733"/>
      <c r="AG26" s="733"/>
      <c r="AH26" s="733"/>
      <c r="AI26" s="733"/>
      <c r="AJ26" s="733"/>
      <c r="AK26" s="733"/>
      <c r="AL26" s="733"/>
      <c r="AM26" s="743"/>
      <c r="AN26" s="743"/>
      <c r="AO26" s="743"/>
      <c r="AP26" s="733"/>
      <c r="AQ26" s="733"/>
      <c r="AR26" s="993"/>
      <c r="AS26" s="733"/>
      <c r="AT26" s="733"/>
      <c r="AU26" s="744"/>
      <c r="AV26" s="761"/>
      <c r="AW26" s="762"/>
      <c r="AX26" s="762"/>
      <c r="AY26" s="762"/>
      <c r="AZ26" s="762"/>
      <c r="BA26" s="762"/>
      <c r="BB26" s="763"/>
      <c r="BC26" s="761"/>
      <c r="BD26" s="762"/>
      <c r="BE26" s="762"/>
      <c r="BF26" s="762"/>
      <c r="BG26" s="762"/>
      <c r="BH26" s="762"/>
      <c r="BI26" s="763"/>
      <c r="BJ26" s="761"/>
      <c r="BK26" s="762"/>
      <c r="BL26" s="762"/>
      <c r="BM26" s="762"/>
      <c r="BN26" s="762"/>
      <c r="BO26" s="762"/>
      <c r="BP26" s="763"/>
      <c r="BQ26" s="764"/>
      <c r="BR26" s="762"/>
      <c r="BS26" s="762"/>
      <c r="BT26" s="762"/>
      <c r="BU26" s="762"/>
      <c r="BV26" s="762"/>
      <c r="BW26" s="765"/>
      <c r="BX26" s="488"/>
      <c r="BY26" s="766"/>
      <c r="BZ26" s="766"/>
      <c r="CA26" s="766"/>
      <c r="CB26" s="766"/>
      <c r="CC26" s="766"/>
      <c r="CD26" s="489"/>
      <c r="CE26" s="488"/>
      <c r="CF26" s="766"/>
      <c r="CG26" s="766"/>
      <c r="CH26" s="766"/>
      <c r="CI26" s="766"/>
      <c r="CJ26" s="766"/>
      <c r="CK26" s="489"/>
      <c r="CL26" s="766"/>
      <c r="CM26" s="766"/>
      <c r="CN26" s="766"/>
      <c r="CO26" s="766"/>
      <c r="CP26" s="766"/>
      <c r="CQ26" s="766"/>
      <c r="CR26" s="768"/>
      <c r="CS26" s="493"/>
      <c r="CT26" s="769"/>
      <c r="CU26" s="769"/>
      <c r="CV26" s="769"/>
      <c r="CW26" s="769"/>
      <c r="CX26" s="769"/>
      <c r="CY26" s="494"/>
      <c r="CZ26" s="493"/>
      <c r="DA26" s="769"/>
      <c r="DB26" s="769"/>
      <c r="DC26" s="769"/>
      <c r="DD26" s="769"/>
      <c r="DE26" s="769"/>
      <c r="DF26" s="494"/>
      <c r="DG26" s="493"/>
      <c r="DH26" s="769"/>
      <c r="DI26" s="769"/>
      <c r="DJ26" s="769"/>
      <c r="DK26" s="769"/>
      <c r="DL26" s="769"/>
      <c r="DM26" s="494"/>
      <c r="DN26" s="493"/>
      <c r="DO26" s="769"/>
      <c r="DP26" s="769"/>
      <c r="DQ26" s="769"/>
      <c r="DR26" s="769"/>
      <c r="DS26" s="769"/>
      <c r="DT26" s="494"/>
      <c r="DU26" s="766"/>
      <c r="DV26" s="766"/>
      <c r="DW26" s="766"/>
      <c r="DX26" s="766"/>
      <c r="DY26" s="766"/>
      <c r="DZ26" s="766"/>
      <c r="EA26" s="768"/>
      <c r="EB26" s="488"/>
      <c r="EC26" s="766"/>
      <c r="ED26" s="766"/>
      <c r="EE26" s="766"/>
      <c r="EF26" s="766"/>
      <c r="EG26" s="766"/>
      <c r="EH26" s="489"/>
      <c r="EI26" s="488"/>
      <c r="EJ26" s="766"/>
      <c r="EK26" s="766"/>
      <c r="EL26" s="766"/>
      <c r="EM26" s="766"/>
      <c r="EN26" s="766"/>
      <c r="EO26" s="489"/>
      <c r="EP26" s="515"/>
      <c r="EQ26" s="755"/>
      <c r="ER26" s="755"/>
      <c r="ES26" s="755"/>
      <c r="ET26" s="755"/>
      <c r="EU26" s="756"/>
      <c r="EV26" s="756"/>
      <c r="EW26" s="487"/>
    </row>
    <row r="27" spans="1:153">
      <c r="AE27" s="3"/>
    </row>
    <row r="28" spans="1:153" ht="14.5">
      <c r="A28" s="203"/>
      <c r="B28" s="594" t="s">
        <v>1164</v>
      </c>
      <c r="C28" s="281"/>
      <c r="D28" s="281"/>
      <c r="E28" s="281"/>
      <c r="F28" s="281"/>
      <c r="V28" s="595"/>
      <c r="AE28" s="3"/>
    </row>
    <row r="29" spans="1:153" ht="14.5">
      <c r="B29" s="203" t="s">
        <v>1165</v>
      </c>
      <c r="C29" s="281"/>
      <c r="D29" s="281"/>
      <c r="E29" s="281"/>
      <c r="F29" s="281"/>
      <c r="AE29" s="3"/>
    </row>
    <row r="30" spans="1:153" ht="14.5">
      <c r="A30" s="203"/>
      <c r="B30" s="203" t="s">
        <v>1166</v>
      </c>
      <c r="C30" s="203"/>
      <c r="D30" s="203"/>
      <c r="E30" s="281"/>
      <c r="F30" s="281"/>
      <c r="AE30" s="3"/>
    </row>
    <row r="31" spans="1:153" ht="14.5">
      <c r="A31" s="123"/>
      <c r="B31" s="203"/>
      <c r="C31" s="203"/>
      <c r="D31" s="203"/>
      <c r="E31" s="281"/>
      <c r="F31" s="281"/>
    </row>
    <row r="32" spans="1:153" ht="14.5">
      <c r="A32" s="203"/>
      <c r="B32" s="203"/>
      <c r="C32" s="203"/>
      <c r="D32" s="203"/>
      <c r="E32" s="281"/>
      <c r="F32" s="281"/>
    </row>
    <row r="33" spans="1:6" ht="14.5">
      <c r="A33" s="203"/>
      <c r="B33" s="203"/>
      <c r="C33" s="203"/>
      <c r="D33" s="203"/>
      <c r="E33" s="281"/>
      <c r="F33" s="281"/>
    </row>
    <row r="34" spans="1:6" ht="14.5">
      <c r="A34" s="203"/>
      <c r="B34" s="203"/>
      <c r="C34" s="203"/>
      <c r="D34" s="203"/>
      <c r="E34" s="281"/>
      <c r="F34" s="281"/>
    </row>
    <row r="35" spans="1:6" ht="14.5">
      <c r="A35" s="203"/>
      <c r="B35" s="203"/>
      <c r="C35" s="203"/>
      <c r="D35" s="203"/>
      <c r="E35" s="281"/>
      <c r="F35" s="281"/>
    </row>
    <row r="36" spans="1:6" ht="14.5">
      <c r="A36" s="203"/>
      <c r="B36" s="203"/>
      <c r="C36" s="203"/>
      <c r="D36" s="203"/>
      <c r="E36" s="281"/>
      <c r="F36" s="281"/>
    </row>
    <row r="37" spans="1:6" ht="14.5">
      <c r="A37" s="203"/>
      <c r="B37" s="203"/>
      <c r="C37" s="203"/>
      <c r="D37" s="203"/>
      <c r="E37" s="281"/>
      <c r="F37" s="281"/>
    </row>
    <row r="38" spans="1:6" ht="14.5">
      <c r="A38" s="203"/>
      <c r="B38" s="203" t="s">
        <v>840</v>
      </c>
      <c r="C38" s="203"/>
      <c r="D38" s="203"/>
      <c r="E38" s="281"/>
      <c r="F38" s="281"/>
    </row>
    <row r="39" spans="1:6" ht="14.5">
      <c r="A39" s="203"/>
      <c r="B39" s="685" t="s">
        <v>841</v>
      </c>
      <c r="C39" s="685" t="s">
        <v>842</v>
      </c>
      <c r="D39" s="203"/>
      <c r="E39" s="281"/>
      <c r="F39" s="281"/>
    </row>
    <row r="40" spans="1:6" ht="14.5">
      <c r="A40" s="203"/>
      <c r="B40" s="685">
        <v>5.95</v>
      </c>
      <c r="C40" s="685" t="s">
        <v>843</v>
      </c>
      <c r="D40" s="203"/>
      <c r="E40" s="281"/>
      <c r="F40" s="281"/>
    </row>
    <row r="41" spans="1:6" ht="14.5">
      <c r="A41" s="203"/>
      <c r="B41" s="685">
        <v>8.9499999999999993</v>
      </c>
      <c r="C41" s="685" t="s">
        <v>844</v>
      </c>
      <c r="D41" s="203"/>
    </row>
    <row r="42" spans="1:6" ht="14.5">
      <c r="A42" s="203"/>
      <c r="B42" s="685">
        <v>9.4499999999999993</v>
      </c>
      <c r="C42" s="685" t="s">
        <v>845</v>
      </c>
      <c r="D42" s="203"/>
    </row>
    <row r="43" spans="1:6" ht="14.5">
      <c r="A43" s="203"/>
      <c r="B43" s="1000">
        <f>AVERAGE(B40:B42)</f>
        <v>8.1166666666666654</v>
      </c>
      <c r="C43" s="685" t="s">
        <v>846</v>
      </c>
      <c r="D43" s="203"/>
    </row>
    <row r="44" spans="1:6" ht="14.5">
      <c r="A44" s="203"/>
      <c r="B44" s="203"/>
      <c r="C44" s="203"/>
      <c r="D44" s="203"/>
    </row>
    <row r="45" spans="1:6" ht="14.5">
      <c r="A45" s="203"/>
      <c r="B45" s="203" t="s">
        <v>1167</v>
      </c>
      <c r="C45" s="203"/>
      <c r="D45" s="203"/>
    </row>
    <row r="46" spans="1:6" ht="14.5">
      <c r="A46" s="203"/>
      <c r="B46" s="685" t="s">
        <v>841</v>
      </c>
      <c r="C46" s="685" t="s">
        <v>842</v>
      </c>
      <c r="D46" s="203"/>
    </row>
    <row r="47" spans="1:6" ht="14.5">
      <c r="A47" s="203"/>
      <c r="B47" s="685">
        <v>1.86</v>
      </c>
      <c r="C47" s="1001" t="s">
        <v>848</v>
      </c>
      <c r="D47" s="203"/>
    </row>
    <row r="48" spans="1:6" ht="14.5">
      <c r="A48" s="203"/>
      <c r="B48" s="685">
        <v>1.05</v>
      </c>
      <c r="C48" s="1001" t="s">
        <v>849</v>
      </c>
      <c r="D48" s="203"/>
    </row>
    <row r="49" spans="1:182" ht="14.5">
      <c r="A49" s="203"/>
      <c r="B49" s="685">
        <v>2.2599999999999998</v>
      </c>
      <c r="C49" s="1001" t="s">
        <v>850</v>
      </c>
      <c r="D49" s="203"/>
    </row>
    <row r="50" spans="1:182" ht="14.5">
      <c r="A50" s="123"/>
      <c r="B50" s="1000">
        <f>AVERAGE(B47:B49)</f>
        <v>1.7233333333333334</v>
      </c>
      <c r="C50" s="685" t="s">
        <v>846</v>
      </c>
      <c r="D50" s="123"/>
      <c r="E50" s="123"/>
      <c r="F50" s="123"/>
      <c r="G50" s="123"/>
      <c r="H50" s="123"/>
      <c r="I50" s="123"/>
      <c r="J50" s="203" t="s">
        <v>1168</v>
      </c>
      <c r="K50" s="123"/>
      <c r="L50" s="123"/>
      <c r="M50" s="123"/>
      <c r="N50" s="123"/>
      <c r="O50" s="123"/>
      <c r="P50" s="123"/>
      <c r="Q50" s="123"/>
      <c r="R50" s="123"/>
      <c r="S50" s="123"/>
      <c r="T50" s="195"/>
      <c r="U50" s="195"/>
      <c r="V50" s="195"/>
      <c r="W50" s="195"/>
      <c r="X50" s="195"/>
      <c r="Y50" s="195"/>
      <c r="Z50" s="195"/>
      <c r="AA50" s="195"/>
      <c r="AB50" s="195"/>
      <c r="AC50" s="195"/>
      <c r="AD50" s="195"/>
      <c r="AE50" s="195"/>
      <c r="AF50" s="195"/>
      <c r="AG50" s="195"/>
      <c r="AH50" s="195"/>
      <c r="AI50" s="195"/>
      <c r="AJ50" s="195"/>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359"/>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row>
    <row r="51" spans="1:182" ht="14.5">
      <c r="A51" s="123"/>
      <c r="B51" s="547"/>
      <c r="C51" s="123"/>
      <c r="D51" s="203"/>
      <c r="E51" s="203"/>
      <c r="F51" s="203"/>
      <c r="G51" s="203"/>
      <c r="H51" s="203"/>
      <c r="I51" s="203"/>
      <c r="J51" s="123"/>
      <c r="K51" s="123"/>
      <c r="L51" s="123"/>
      <c r="M51" s="123"/>
      <c r="N51" s="123"/>
      <c r="O51" s="356" t="s">
        <v>285</v>
      </c>
      <c r="P51" s="596" t="s">
        <v>467</v>
      </c>
      <c r="Q51" s="123"/>
      <c r="R51" s="123"/>
      <c r="S51" s="123"/>
      <c r="T51" s="195"/>
      <c r="U51" s="195"/>
      <c r="V51" s="195"/>
      <c r="W51" s="195"/>
      <c r="X51" s="195"/>
      <c r="Y51" s="195"/>
      <c r="Z51" s="195"/>
      <c r="AA51" s="195"/>
      <c r="AB51" s="195"/>
      <c r="AC51" s="195"/>
      <c r="AD51" s="195"/>
      <c r="AE51" s="195"/>
      <c r="AF51" s="195"/>
      <c r="AG51" s="195"/>
      <c r="AH51" s="195"/>
      <c r="AI51" s="195"/>
      <c r="AJ51" s="195"/>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359"/>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row>
    <row r="52" spans="1:182" ht="14.5">
      <c r="A52" s="123"/>
      <c r="B52" s="203" t="s">
        <v>1169</v>
      </c>
      <c r="C52" s="203"/>
      <c r="D52" s="203"/>
      <c r="E52" s="203"/>
      <c r="F52" s="597"/>
      <c r="G52" s="203"/>
      <c r="H52" s="203"/>
      <c r="I52" s="123"/>
      <c r="J52" s="1002" t="s">
        <v>481</v>
      </c>
      <c r="K52" s="801"/>
      <c r="L52" s="1002" t="s">
        <v>482</v>
      </c>
      <c r="M52" s="801"/>
      <c r="N52" s="123"/>
      <c r="O52" s="123"/>
      <c r="P52" s="123"/>
      <c r="Q52" s="123"/>
      <c r="R52" s="123"/>
      <c r="S52" s="123"/>
      <c r="T52" s="195"/>
      <c r="U52" s="195"/>
      <c r="V52" s="195"/>
      <c r="W52" s="195"/>
      <c r="X52" s="195"/>
      <c r="Y52" s="195"/>
      <c r="Z52" s="195"/>
      <c r="AA52" s="195"/>
      <c r="AB52" s="195"/>
      <c r="AC52" s="195"/>
      <c r="AD52" s="195"/>
      <c r="AE52" s="195"/>
      <c r="AF52" s="195"/>
      <c r="AG52" s="195"/>
      <c r="AH52" s="195"/>
      <c r="AI52" s="195"/>
      <c r="AJ52" s="195"/>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row>
    <row r="53" spans="1:182" ht="14.5">
      <c r="A53" s="123"/>
      <c r="B53" s="685" t="s">
        <v>841</v>
      </c>
      <c r="C53" s="685" t="s">
        <v>1170</v>
      </c>
      <c r="D53" s="203"/>
      <c r="E53" s="203"/>
      <c r="F53" s="598"/>
      <c r="G53" s="203"/>
      <c r="H53" s="203"/>
      <c r="I53" s="123"/>
      <c r="J53" s="1002" t="s">
        <v>812</v>
      </c>
      <c r="K53" s="1003">
        <f>0.16+0.13+0.05</f>
        <v>0.34</v>
      </c>
      <c r="L53" s="1002" t="s">
        <v>812</v>
      </c>
      <c r="M53" s="1003">
        <f>0.16+0.16+0.11</f>
        <v>0.43</v>
      </c>
      <c r="N53" s="596"/>
      <c r="O53" s="596"/>
      <c r="P53" s="599"/>
      <c r="Q53" s="123"/>
      <c r="R53" s="123"/>
      <c r="S53" s="123"/>
      <c r="T53" s="195"/>
      <c r="U53" s="195"/>
      <c r="V53" s="195"/>
      <c r="W53" s="195"/>
      <c r="X53" s="195"/>
      <c r="Y53" s="195"/>
      <c r="Z53" s="195"/>
      <c r="AA53" s="195"/>
      <c r="AB53" s="195"/>
      <c r="AC53" s="195"/>
      <c r="AD53" s="195"/>
      <c r="AE53" s="195"/>
      <c r="AF53" s="195"/>
      <c r="AG53" s="195"/>
      <c r="AH53" s="195"/>
      <c r="AI53" s="195"/>
      <c r="AJ53" s="195"/>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row>
    <row r="54" spans="1:182" ht="14.5">
      <c r="A54" s="123"/>
      <c r="B54" s="685">
        <v>42.99</v>
      </c>
      <c r="C54" s="1001" t="s">
        <v>1171</v>
      </c>
      <c r="D54" s="203"/>
      <c r="E54" s="203"/>
      <c r="F54" s="598"/>
      <c r="G54" s="203"/>
      <c r="H54" s="203"/>
      <c r="I54" s="123"/>
      <c r="J54" s="1002" t="s">
        <v>813</v>
      </c>
      <c r="K54" s="1003">
        <f>1-K53</f>
        <v>0.65999999999999992</v>
      </c>
      <c r="L54" s="1002" t="s">
        <v>813</v>
      </c>
      <c r="M54" s="1003">
        <f>1-M53</f>
        <v>0.57000000000000006</v>
      </c>
      <c r="N54" s="596"/>
      <c r="O54" s="175"/>
      <c r="P54" s="599"/>
      <c r="Q54" s="123"/>
      <c r="R54" s="123"/>
      <c r="S54" s="123"/>
      <c r="T54" s="195"/>
      <c r="U54" s="195"/>
      <c r="V54" s="195"/>
      <c r="W54" s="195"/>
      <c r="X54" s="195"/>
      <c r="Y54" s="195"/>
      <c r="Z54" s="195"/>
      <c r="AA54" s="195"/>
      <c r="AB54" s="195"/>
      <c r="AC54" s="195"/>
      <c r="AD54" s="195"/>
      <c r="AE54" s="195"/>
      <c r="AF54" s="195"/>
      <c r="AG54" s="195"/>
      <c r="AH54" s="195"/>
      <c r="AI54" s="195"/>
      <c r="AJ54" s="195"/>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row>
    <row r="55" spans="1:182" ht="14.5">
      <c r="A55" s="123"/>
      <c r="B55" s="685">
        <v>27.99</v>
      </c>
      <c r="C55" s="1001" t="s">
        <v>1172</v>
      </c>
      <c r="D55" s="203"/>
      <c r="E55" s="203"/>
      <c r="F55" s="598"/>
      <c r="G55" s="203"/>
      <c r="H55" s="203"/>
      <c r="I55" s="123"/>
      <c r="J55" s="1002" t="s">
        <v>483</v>
      </c>
      <c r="K55" s="1003">
        <v>0.16400000000000001</v>
      </c>
      <c r="L55" s="1002" t="s">
        <v>483</v>
      </c>
      <c r="M55" s="1003">
        <v>0.16400000000000001</v>
      </c>
      <c r="N55" s="596"/>
      <c r="O55" s="175"/>
      <c r="P55" s="599"/>
      <c r="Q55" s="123"/>
      <c r="R55" s="123"/>
      <c r="S55" s="123"/>
      <c r="T55" s="195"/>
      <c r="U55" s="195"/>
      <c r="V55" s="195"/>
      <c r="W55" s="195"/>
      <c r="X55" s="195"/>
      <c r="Y55" s="195"/>
      <c r="Z55" s="195"/>
      <c r="AA55" s="195"/>
      <c r="AB55" s="195"/>
      <c r="AC55" s="195"/>
      <c r="AD55" s="195"/>
      <c r="AE55" s="195"/>
      <c r="AF55" s="195"/>
      <c r="AG55" s="195"/>
      <c r="AH55" s="195"/>
      <c r="AI55" s="195"/>
      <c r="AJ55" s="195"/>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row>
    <row r="56" spans="1:182" ht="14.5">
      <c r="A56" s="123"/>
      <c r="B56" s="685">
        <v>59.49</v>
      </c>
      <c r="C56" s="1001" t="s">
        <v>1173</v>
      </c>
      <c r="D56" s="203"/>
      <c r="E56" s="203"/>
      <c r="F56" s="598"/>
      <c r="G56" s="203"/>
      <c r="H56" s="203"/>
      <c r="I56" s="123"/>
      <c r="J56" s="1002" t="s">
        <v>484</v>
      </c>
      <c r="K56" s="1003">
        <v>0.54</v>
      </c>
      <c r="L56" s="1002" t="s">
        <v>484</v>
      </c>
      <c r="M56" s="1003">
        <v>0.54</v>
      </c>
      <c r="N56" s="123"/>
      <c r="O56" s="600" t="s">
        <v>283</v>
      </c>
      <c r="P56" s="596" t="s">
        <v>475</v>
      </c>
      <c r="Q56" s="123"/>
      <c r="R56" s="123"/>
      <c r="S56" s="123"/>
      <c r="T56" s="195"/>
      <c r="U56" s="195"/>
      <c r="V56" s="195"/>
      <c r="W56" s="195"/>
      <c r="X56" s="195"/>
      <c r="Y56" s="195"/>
      <c r="Z56" s="195"/>
      <c r="AA56" s="195"/>
      <c r="AB56" s="195"/>
      <c r="AC56" s="195"/>
      <c r="AD56" s="195"/>
      <c r="AE56" s="195"/>
      <c r="AF56" s="195"/>
      <c r="AG56" s="195"/>
      <c r="AH56" s="195"/>
      <c r="AI56" s="195"/>
      <c r="AJ56" s="195"/>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row>
    <row r="57" spans="1:182" ht="14.5">
      <c r="A57" s="123"/>
      <c r="B57" s="1000">
        <f>AVERAGE(B54:B56)</f>
        <v>43.49</v>
      </c>
      <c r="C57" s="685" t="s">
        <v>846</v>
      </c>
      <c r="D57" s="203"/>
      <c r="E57" s="203"/>
      <c r="F57" s="598"/>
      <c r="G57" s="203"/>
      <c r="H57" s="203"/>
      <c r="I57" s="123"/>
      <c r="J57" s="1002" t="s">
        <v>454</v>
      </c>
      <c r="K57" s="1003">
        <v>0.71199999999999997</v>
      </c>
      <c r="L57" s="1002" t="s">
        <v>454</v>
      </c>
      <c r="M57" s="1003">
        <v>0.71199999999999997</v>
      </c>
      <c r="N57" s="596"/>
      <c r="O57" s="175"/>
      <c r="P57" s="599"/>
      <c r="Q57" s="123"/>
      <c r="R57" s="123"/>
      <c r="S57" s="123"/>
      <c r="T57" s="195"/>
      <c r="U57" s="195"/>
      <c r="V57" s="195"/>
      <c r="W57" s="195"/>
      <c r="X57" s="195"/>
      <c r="Y57" s="195"/>
      <c r="Z57" s="195"/>
      <c r="AA57" s="195"/>
      <c r="AB57" s="195"/>
      <c r="AC57" s="195"/>
      <c r="AD57" s="195"/>
      <c r="AE57" s="195"/>
      <c r="AF57" s="195"/>
      <c r="AG57" s="195"/>
      <c r="AH57" s="195"/>
      <c r="AI57" s="195"/>
      <c r="AJ57" s="195"/>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row>
    <row r="58" spans="1:182" ht="14.5">
      <c r="A58" s="123"/>
      <c r="B58" s="547"/>
      <c r="C58" s="123"/>
      <c r="D58" s="203"/>
      <c r="E58" s="203"/>
      <c r="F58" s="598"/>
      <c r="G58" s="203"/>
      <c r="H58" s="203"/>
      <c r="I58" s="123"/>
      <c r="J58" s="1002" t="s">
        <v>485</v>
      </c>
      <c r="K58" s="1003">
        <v>0.23400000000000001</v>
      </c>
      <c r="L58" s="1002" t="s">
        <v>485</v>
      </c>
      <c r="M58" s="1003">
        <v>0.23400000000000001</v>
      </c>
      <c r="N58" s="596"/>
      <c r="O58" s="175"/>
      <c r="P58" s="599"/>
      <c r="Q58" s="123"/>
      <c r="R58" s="123"/>
      <c r="S58" s="123"/>
      <c r="T58" s="195"/>
      <c r="U58" s="195"/>
      <c r="V58" s="195"/>
      <c r="W58" s="195"/>
      <c r="X58" s="195"/>
      <c r="Y58" s="195"/>
      <c r="Z58" s="195"/>
      <c r="AA58" s="195"/>
      <c r="AB58" s="195"/>
      <c r="AC58" s="195"/>
      <c r="AD58" s="195"/>
      <c r="AE58" s="195"/>
      <c r="AF58" s="195"/>
      <c r="AG58" s="195"/>
      <c r="AH58" s="195"/>
      <c r="AI58" s="195"/>
      <c r="AJ58" s="195"/>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row>
    <row r="59" spans="1:182" ht="14.5">
      <c r="A59" s="123"/>
      <c r="B59" s="123"/>
      <c r="C59" s="123"/>
      <c r="D59" s="203"/>
      <c r="E59" s="203"/>
      <c r="F59" s="598"/>
      <c r="G59" s="203"/>
      <c r="H59" s="203"/>
      <c r="I59" s="123"/>
      <c r="J59" s="123"/>
      <c r="K59" s="123"/>
      <c r="L59" s="123"/>
      <c r="M59" s="123"/>
      <c r="N59" s="123"/>
      <c r="O59" s="123"/>
      <c r="P59" s="123"/>
      <c r="Q59" s="123"/>
      <c r="R59" s="123"/>
      <c r="S59" s="123"/>
      <c r="T59" s="195"/>
      <c r="U59" s="195"/>
      <c r="V59" s="195"/>
      <c r="W59" s="195"/>
      <c r="X59" s="195"/>
      <c r="Y59" s="195"/>
      <c r="Z59" s="195"/>
      <c r="AA59" s="195"/>
      <c r="AB59" s="195"/>
      <c r="AC59" s="195"/>
      <c r="AD59" s="195"/>
      <c r="AE59" s="195"/>
      <c r="AF59" s="195"/>
      <c r="AG59" s="195"/>
      <c r="AH59" s="195"/>
      <c r="AI59" s="195"/>
      <c r="AJ59" s="195"/>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row>
    <row r="60" spans="1:182" ht="14.5">
      <c r="A60" s="123"/>
      <c r="B60" s="123"/>
      <c r="C60" s="123"/>
      <c r="D60" s="203"/>
      <c r="E60" s="203"/>
      <c r="F60" s="598"/>
      <c r="G60" s="203"/>
      <c r="H60" s="203"/>
      <c r="I60" s="123"/>
      <c r="J60" s="123"/>
      <c r="K60" s="123"/>
      <c r="L60" s="123"/>
      <c r="M60" s="123"/>
      <c r="N60" s="123"/>
      <c r="O60" s="123"/>
      <c r="P60" s="123"/>
      <c r="Q60" s="123"/>
      <c r="R60" s="123"/>
      <c r="S60" s="123"/>
      <c r="T60" s="195"/>
      <c r="U60" s="195"/>
      <c r="V60" s="195"/>
      <c r="W60" s="195"/>
      <c r="X60" s="195"/>
      <c r="Y60" s="195"/>
      <c r="Z60" s="195"/>
      <c r="AA60" s="195"/>
      <c r="AB60" s="195"/>
      <c r="AC60" s="195"/>
      <c r="AD60" s="195"/>
      <c r="AE60" s="195"/>
      <c r="AF60" s="195"/>
      <c r="AG60" s="195"/>
      <c r="AH60" s="195"/>
      <c r="AI60" s="195"/>
      <c r="AJ60" s="195"/>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row>
    <row r="61" spans="1:182" ht="14.5">
      <c r="A61" s="123"/>
      <c r="B61" s="123"/>
      <c r="C61" s="123"/>
      <c r="D61" s="594"/>
      <c r="E61" s="123"/>
      <c r="F61" s="601"/>
      <c r="G61" s="594"/>
      <c r="H61" s="203"/>
      <c r="I61" s="123"/>
      <c r="J61" s="123"/>
      <c r="K61" s="123"/>
      <c r="L61" s="123"/>
      <c r="M61" s="123"/>
      <c r="N61" s="123"/>
      <c r="O61" s="123"/>
      <c r="P61" s="123"/>
      <c r="Q61" s="123"/>
      <c r="R61" s="123"/>
      <c r="S61" s="123"/>
      <c r="T61" s="195"/>
      <c r="U61" s="195"/>
      <c r="V61" s="195"/>
      <c r="W61" s="195"/>
      <c r="X61" s="195"/>
      <c r="Y61" s="195"/>
      <c r="Z61" s="195"/>
      <c r="AA61" s="195"/>
      <c r="AB61" s="195"/>
      <c r="AC61" s="195"/>
      <c r="AD61" s="195"/>
      <c r="AE61" s="195"/>
      <c r="AF61" s="195"/>
      <c r="AG61" s="195"/>
      <c r="AH61" s="195"/>
      <c r="AI61" s="195"/>
      <c r="AJ61" s="195"/>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row>
    <row r="62" spans="1:182" ht="14.5">
      <c r="A62" s="123"/>
      <c r="B62" s="123"/>
      <c r="C62" s="123"/>
      <c r="D62" s="123"/>
      <c r="E62" s="123"/>
      <c r="F62" s="123"/>
      <c r="G62" s="203"/>
      <c r="H62" s="203"/>
      <c r="I62" s="123"/>
      <c r="J62" s="123"/>
      <c r="K62" s="123"/>
      <c r="L62" s="123"/>
      <c r="M62" s="123"/>
      <c r="N62" s="123"/>
      <c r="O62" s="123"/>
      <c r="P62" s="123"/>
      <c r="Q62" s="123"/>
      <c r="R62" s="123"/>
      <c r="S62" s="123"/>
      <c r="T62" s="195"/>
      <c r="U62" s="195"/>
      <c r="V62" s="195"/>
      <c r="W62" s="195"/>
      <c r="X62" s="195"/>
      <c r="Y62" s="195"/>
      <c r="Z62" s="195"/>
      <c r="AA62" s="195"/>
      <c r="AB62" s="195"/>
      <c r="AC62" s="195"/>
      <c r="AD62" s="195"/>
      <c r="AE62" s="195"/>
      <c r="AF62" s="195"/>
      <c r="AG62" s="195"/>
      <c r="AH62" s="195"/>
      <c r="AI62" s="195"/>
      <c r="AJ62" s="195"/>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row>
    <row r="63" spans="1:182" ht="14.5">
      <c r="A63" s="123"/>
      <c r="B63" s="123"/>
      <c r="C63" s="123"/>
      <c r="D63" s="602" t="s">
        <v>283</v>
      </c>
      <c r="E63" s="203"/>
      <c r="F63" s="203"/>
      <c r="G63" s="203"/>
      <c r="H63" s="203"/>
      <c r="I63" s="123"/>
      <c r="J63" s="123"/>
      <c r="K63" s="123"/>
      <c r="L63" s="123"/>
      <c r="M63" s="123"/>
      <c r="N63" s="123"/>
      <c r="O63" s="123"/>
      <c r="P63" s="123"/>
      <c r="Q63" s="123"/>
      <c r="R63" s="123"/>
      <c r="S63" s="123"/>
      <c r="T63" s="195"/>
      <c r="U63" s="195"/>
      <c r="V63" s="195"/>
      <c r="W63" s="195"/>
      <c r="X63" s="195"/>
      <c r="Y63" s="195"/>
      <c r="Z63" s="195"/>
      <c r="AA63" s="195"/>
      <c r="AB63" s="195"/>
      <c r="AC63" s="195"/>
      <c r="AD63" s="195"/>
      <c r="AE63" s="195"/>
      <c r="AF63" s="195"/>
      <c r="AG63" s="195"/>
      <c r="AH63" s="195"/>
      <c r="AI63" s="195"/>
      <c r="AJ63" s="195"/>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row>
    <row r="64" spans="1:182" ht="14.5">
      <c r="A64" s="123"/>
      <c r="B64" s="123"/>
      <c r="C64" s="123"/>
      <c r="D64" s="1004" t="s">
        <v>814</v>
      </c>
      <c r="E64" s="1004" t="s">
        <v>76</v>
      </c>
      <c r="F64" s="686" t="s">
        <v>815</v>
      </c>
      <c r="G64" s="686" t="s">
        <v>816</v>
      </c>
      <c r="H64" s="686" t="s">
        <v>817</v>
      </c>
      <c r="I64" s="686" t="s">
        <v>818</v>
      </c>
      <c r="J64" s="686" t="s">
        <v>819</v>
      </c>
      <c r="K64" s="686" t="s">
        <v>820</v>
      </c>
      <c r="L64" s="686" t="s">
        <v>821</v>
      </c>
      <c r="M64" s="686" t="s">
        <v>822</v>
      </c>
      <c r="N64" s="686" t="s">
        <v>823</v>
      </c>
      <c r="O64" s="686" t="s">
        <v>824</v>
      </c>
      <c r="P64" s="686" t="s">
        <v>825</v>
      </c>
      <c r="Q64" s="686" t="s">
        <v>826</v>
      </c>
      <c r="R64" s="686" t="s">
        <v>827</v>
      </c>
      <c r="S64" s="686" t="s">
        <v>828</v>
      </c>
      <c r="T64" s="686"/>
      <c r="U64" s="123"/>
      <c r="V64" s="123"/>
      <c r="W64" s="123"/>
      <c r="X64" s="123"/>
      <c r="Y64" s="123"/>
      <c r="Z64" s="123"/>
      <c r="AA64" s="123"/>
      <c r="AB64" s="123"/>
      <c r="AC64" s="123"/>
      <c r="AD64" s="195"/>
      <c r="AE64" s="195"/>
      <c r="AF64" s="195"/>
      <c r="AG64" s="195"/>
      <c r="AH64" s="195"/>
      <c r="AI64" s="195"/>
      <c r="AJ64" s="195"/>
      <c r="AK64" s="195"/>
      <c r="AL64" s="195"/>
      <c r="AM64" s="195"/>
      <c r="AN64" s="195"/>
      <c r="AO64" s="195"/>
      <c r="AP64" s="195"/>
      <c r="AQ64" s="195"/>
      <c r="AR64" s="195"/>
      <c r="AS64" s="195"/>
      <c r="AT64" s="195"/>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row>
    <row r="65" spans="1:182" ht="14.5">
      <c r="A65" s="123"/>
      <c r="B65" s="547"/>
      <c r="C65" s="123"/>
      <c r="D65" s="1005" t="s">
        <v>829</v>
      </c>
      <c r="E65" s="685">
        <v>1</v>
      </c>
      <c r="F65" s="1006"/>
      <c r="G65" s="1007">
        <f>(((2.2*0.83)-(0.5*0.95))*1.6*2.39*365*0.7)*8.3*1*(86-60.9)/0.98/3412</f>
        <v>82.239574141852302</v>
      </c>
      <c r="H65" s="1002">
        <f>G65/(2.39*1.6/60*365)*(0.13*1.6/180)</f>
        <v>4.0851892926924592E-3</v>
      </c>
      <c r="I65" s="1002">
        <v>0</v>
      </c>
      <c r="J65" s="1002" t="s">
        <v>830</v>
      </c>
      <c r="K65" s="1008">
        <f>$M$53</f>
        <v>0.43</v>
      </c>
      <c r="L65" s="1008">
        <f>M54</f>
        <v>0.57000000000000006</v>
      </c>
      <c r="M65" s="1008">
        <v>1</v>
      </c>
      <c r="N65" s="1008">
        <f>E65*G65*K65*M65</f>
        <v>35.36301688099649</v>
      </c>
      <c r="O65" s="1002">
        <f>E65*H65*K65*M65</f>
        <v>1.7566313958577574E-3</v>
      </c>
      <c r="P65" s="1002">
        <f>E65*I65*L65*M65</f>
        <v>0</v>
      </c>
      <c r="Q65" s="685" t="s">
        <v>831</v>
      </c>
      <c r="R65" s="685" t="s">
        <v>832</v>
      </c>
      <c r="S65" s="685">
        <v>10</v>
      </c>
      <c r="T65" s="685"/>
      <c r="U65" s="123"/>
      <c r="V65" s="123"/>
      <c r="W65" s="123"/>
      <c r="X65" s="123"/>
      <c r="Y65" s="123"/>
      <c r="Z65" s="123"/>
      <c r="AA65" s="123"/>
      <c r="AB65" s="123"/>
      <c r="AC65" s="123"/>
      <c r="AD65" s="195"/>
      <c r="AE65" s="195"/>
      <c r="AF65" s="195"/>
      <c r="AG65" s="195"/>
      <c r="AH65" s="195"/>
      <c r="AI65" s="195"/>
      <c r="AJ65" s="195"/>
      <c r="AK65" s="195"/>
      <c r="AL65" s="195"/>
      <c r="AM65" s="195"/>
      <c r="AN65" s="195"/>
      <c r="AO65" s="195"/>
      <c r="AP65" s="195"/>
      <c r="AQ65" s="195"/>
      <c r="AR65" s="195"/>
      <c r="AS65" s="195"/>
      <c r="AT65" s="195"/>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row>
    <row r="66" spans="1:182" ht="14.5">
      <c r="A66" s="123"/>
      <c r="B66" s="547"/>
      <c r="C66" s="123"/>
      <c r="D66" s="1005" t="s">
        <v>1174</v>
      </c>
      <c r="E66" s="685">
        <v>1</v>
      </c>
      <c r="F66" s="1006"/>
      <c r="G66" s="1007">
        <f>(((2.2*0.83)-(0.5*0.95))*4.5*2.39*365*0.5)*8.3*1*(93-60.9)/0.98/3412</f>
        <v>211.28888881599607</v>
      </c>
      <c r="H66" s="1002">
        <f>G66/(2.39*4.5/60*365)*(0.13*4.5/180)</f>
        <v>1.0495617411237647E-2</v>
      </c>
      <c r="I66" s="1002">
        <v>0</v>
      </c>
      <c r="J66" s="1002" t="s">
        <v>830</v>
      </c>
      <c r="K66" s="1008">
        <f>M53</f>
        <v>0.43</v>
      </c>
      <c r="L66" s="1008">
        <f>M54</f>
        <v>0.57000000000000006</v>
      </c>
      <c r="M66" s="1008">
        <v>1</v>
      </c>
      <c r="N66" s="1008">
        <f>E66*G66*K66*M66</f>
        <v>90.854222190878318</v>
      </c>
      <c r="O66" s="1002">
        <f>E66*H66*K66*M66</f>
        <v>4.5131154868321881E-3</v>
      </c>
      <c r="P66" s="1002">
        <f>E66*I66*L66*M66</f>
        <v>0</v>
      </c>
      <c r="Q66" s="685" t="s">
        <v>834</v>
      </c>
      <c r="R66" s="685" t="s">
        <v>832</v>
      </c>
      <c r="S66" s="685">
        <v>10</v>
      </c>
      <c r="T66" s="685"/>
      <c r="U66" s="123"/>
      <c r="V66" s="123"/>
      <c r="W66" s="123"/>
      <c r="X66" s="123"/>
      <c r="Y66" s="123"/>
      <c r="Z66" s="123"/>
      <c r="AA66" s="123"/>
      <c r="AB66" s="123"/>
      <c r="AC66" s="123"/>
      <c r="AD66" s="195"/>
      <c r="AE66" s="195"/>
      <c r="AF66" s="195"/>
      <c r="AG66" s="195"/>
      <c r="AH66" s="195"/>
      <c r="AI66" s="195"/>
      <c r="AJ66" s="195"/>
      <c r="AK66" s="195"/>
      <c r="AL66" s="195"/>
      <c r="AM66" s="195"/>
      <c r="AN66" s="195"/>
      <c r="AO66" s="195"/>
      <c r="AP66" s="195"/>
      <c r="AQ66" s="195"/>
      <c r="AR66" s="195"/>
      <c r="AS66" s="195"/>
      <c r="AT66" s="195"/>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row>
    <row r="67" spans="1:182" ht="14.5">
      <c r="A67" s="123"/>
      <c r="B67" s="547"/>
      <c r="C67" s="123"/>
      <c r="D67" s="1005" t="s">
        <v>837</v>
      </c>
      <c r="E67" s="685">
        <v>1</v>
      </c>
      <c r="F67" s="1006"/>
      <c r="G67" s="1007">
        <f>((2.5-1.5)*7.8*2.39*0.6*365/1.6)*8.3*1*(105-60.9)/0.98/3412</f>
        <v>279.3175470764948</v>
      </c>
      <c r="H67" s="1002">
        <f>G67/((7.8*2.39*0.6)/(60*1.6)*365)*0.00371</f>
        <v>2.436726260257914E-2</v>
      </c>
      <c r="I67" s="1002">
        <v>0</v>
      </c>
      <c r="J67" s="1002" t="s">
        <v>830</v>
      </c>
      <c r="K67" s="1008">
        <f>M53</f>
        <v>0.43</v>
      </c>
      <c r="L67" s="1008">
        <f>M54</f>
        <v>0.57000000000000006</v>
      </c>
      <c r="M67" s="1008">
        <v>1</v>
      </c>
      <c r="N67" s="1008">
        <f>E67*G67*K67*M67</f>
        <v>120.10654524289276</v>
      </c>
      <c r="O67" s="1002">
        <f>E67*H67*K67*M67</f>
        <v>1.0477922919109031E-2</v>
      </c>
      <c r="P67" s="1002">
        <f>E67*I67*L67*M67</f>
        <v>0</v>
      </c>
      <c r="Q67" s="685" t="s">
        <v>838</v>
      </c>
      <c r="R67" s="685" t="s">
        <v>839</v>
      </c>
      <c r="S67" s="685">
        <v>10</v>
      </c>
      <c r="T67" s="685"/>
      <c r="U67" s="123"/>
      <c r="V67" s="123"/>
      <c r="W67" s="123"/>
      <c r="X67" s="123"/>
      <c r="Y67" s="123"/>
      <c r="Z67" s="123"/>
      <c r="AA67" s="123"/>
      <c r="AB67" s="123"/>
      <c r="AC67" s="123"/>
      <c r="AD67" s="195"/>
      <c r="AE67" s="195"/>
      <c r="AF67" s="195"/>
      <c r="AG67" s="195"/>
      <c r="AH67" s="195"/>
      <c r="AI67" s="195"/>
      <c r="AJ67" s="195"/>
      <c r="AK67" s="195"/>
      <c r="AL67" s="195"/>
      <c r="AM67" s="195"/>
      <c r="AN67" s="195"/>
      <c r="AO67" s="195"/>
      <c r="AP67" s="195"/>
      <c r="AQ67" s="195"/>
      <c r="AR67" s="195"/>
      <c r="AS67" s="195"/>
      <c r="AT67" s="195"/>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row>
    <row r="68" spans="1:182" ht="14.5">
      <c r="A68" s="123"/>
      <c r="B68" s="547"/>
      <c r="C68" s="123"/>
      <c r="D68" s="1005" t="s">
        <v>1175</v>
      </c>
      <c r="E68" s="685">
        <v>1</v>
      </c>
      <c r="F68" s="1006"/>
      <c r="G68" s="1009">
        <f>((1.6-1.15)*60*2*365)*0.69*8.33*70*(1/0.97)/3413</f>
        <v>2395.3596738969563</v>
      </c>
      <c r="H68" s="1002">
        <v>0</v>
      </c>
      <c r="I68" s="1007">
        <v>0</v>
      </c>
      <c r="J68" s="1002" t="s">
        <v>830</v>
      </c>
      <c r="K68" s="1008">
        <f>M53</f>
        <v>0.43</v>
      </c>
      <c r="L68" s="1008">
        <f>M54</f>
        <v>0.57000000000000006</v>
      </c>
      <c r="M68" s="1008">
        <v>1</v>
      </c>
      <c r="N68" s="1008">
        <f>E68*G68*K68*M68</f>
        <v>1030.0046597756912</v>
      </c>
      <c r="O68" s="1002">
        <f>E68*H68*K68*M68</f>
        <v>0</v>
      </c>
      <c r="P68" s="1002">
        <f>E68*I68*L68*M68</f>
        <v>0</v>
      </c>
      <c r="Q68" s="685" t="s">
        <v>1176</v>
      </c>
      <c r="R68" s="685" t="s">
        <v>1177</v>
      </c>
      <c r="S68" s="685">
        <v>5</v>
      </c>
      <c r="T68" s="685"/>
      <c r="U68" s="123"/>
      <c r="V68" s="123"/>
      <c r="W68" s="123"/>
      <c r="X68" s="123"/>
      <c r="Y68" s="123"/>
      <c r="Z68" s="123"/>
      <c r="AA68" s="123"/>
      <c r="AB68" s="123"/>
      <c r="AC68" s="123"/>
      <c r="AD68" s="195"/>
      <c r="AE68" s="195"/>
      <c r="AF68" s="195"/>
      <c r="AG68" s="195"/>
      <c r="AH68" s="195"/>
      <c r="AI68" s="195"/>
      <c r="AJ68" s="195"/>
      <c r="AK68" s="195"/>
      <c r="AL68" s="195"/>
      <c r="AM68" s="195"/>
      <c r="AN68" s="195"/>
      <c r="AO68" s="195"/>
      <c r="AP68" s="195"/>
      <c r="AQ68" s="195"/>
      <c r="AR68" s="195"/>
      <c r="AS68" s="195"/>
      <c r="AT68" s="195"/>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row>
    <row r="69" spans="1:182" ht="14.5">
      <c r="A69" s="123"/>
      <c r="B69" s="547"/>
      <c r="C69" s="123"/>
      <c r="D69" s="603"/>
      <c r="E69" s="203"/>
      <c r="F69" s="203"/>
      <c r="G69" s="203"/>
      <c r="H69" s="203"/>
      <c r="I69" s="123"/>
      <c r="J69" s="123"/>
      <c r="K69" s="123"/>
      <c r="L69" s="123"/>
      <c r="M69" s="123"/>
      <c r="N69" s="199"/>
      <c r="O69" s="199"/>
      <c r="P69" s="360"/>
      <c r="Q69" s="123"/>
      <c r="R69" s="123"/>
      <c r="S69" s="208"/>
      <c r="T69" s="123"/>
      <c r="U69" s="195"/>
      <c r="V69" s="195"/>
      <c r="W69" s="195"/>
      <c r="X69" s="195"/>
      <c r="Y69" s="195"/>
      <c r="Z69" s="195"/>
      <c r="AA69" s="195"/>
      <c r="AB69" s="195"/>
      <c r="AC69" s="195"/>
      <c r="AD69" s="195"/>
      <c r="AE69" s="195"/>
      <c r="AF69" s="195"/>
      <c r="AG69" s="195"/>
      <c r="AH69" s="195"/>
      <c r="AI69" s="195"/>
      <c r="AJ69" s="195"/>
      <c r="AK69" s="195"/>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row>
    <row r="70" spans="1:182" ht="14.5">
      <c r="A70" s="123"/>
      <c r="B70" s="547"/>
      <c r="C70" s="123"/>
      <c r="D70" s="594" t="s">
        <v>285</v>
      </c>
      <c r="E70" s="203"/>
      <c r="F70" s="203"/>
      <c r="G70" s="203"/>
      <c r="H70" s="203"/>
      <c r="I70" s="123"/>
      <c r="J70" s="123"/>
      <c r="K70" s="123"/>
      <c r="L70" s="123"/>
      <c r="M70" s="123"/>
      <c r="N70" s="123"/>
      <c r="O70" s="123"/>
      <c r="P70" s="361"/>
      <c r="Q70" s="123"/>
      <c r="R70" s="123"/>
      <c r="S70" s="123"/>
      <c r="T70" s="123"/>
      <c r="U70" s="195"/>
      <c r="V70" s="195"/>
      <c r="W70" s="195"/>
      <c r="X70" s="195"/>
      <c r="Y70" s="195"/>
      <c r="Z70" s="195"/>
      <c r="AA70" s="195"/>
      <c r="AB70" s="195"/>
      <c r="AC70" s="195"/>
      <c r="AD70" s="195"/>
      <c r="AE70" s="195"/>
      <c r="AF70" s="195"/>
      <c r="AG70" s="195"/>
      <c r="AH70" s="195"/>
      <c r="AI70" s="195"/>
      <c r="AJ70" s="195"/>
      <c r="AK70" s="195"/>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row>
    <row r="71" spans="1:182" ht="14.5">
      <c r="A71" s="123"/>
      <c r="B71" s="123"/>
      <c r="C71" s="123"/>
      <c r="D71" s="1004" t="s">
        <v>814</v>
      </c>
      <c r="E71" s="1004" t="s">
        <v>76</v>
      </c>
      <c r="F71" s="686" t="s">
        <v>815</v>
      </c>
      <c r="G71" s="686" t="s">
        <v>816</v>
      </c>
      <c r="H71" s="686" t="s">
        <v>817</v>
      </c>
      <c r="I71" s="686" t="s">
        <v>818</v>
      </c>
      <c r="J71" s="686" t="s">
        <v>819</v>
      </c>
      <c r="K71" s="686" t="s">
        <v>820</v>
      </c>
      <c r="L71" s="686" t="s">
        <v>821</v>
      </c>
      <c r="M71" s="686" t="s">
        <v>822</v>
      </c>
      <c r="N71" s="686" t="s">
        <v>823</v>
      </c>
      <c r="O71" s="686" t="s">
        <v>824</v>
      </c>
      <c r="P71" s="1010" t="s">
        <v>825</v>
      </c>
      <c r="Q71" s="686" t="s">
        <v>826</v>
      </c>
      <c r="R71" s="686" t="s">
        <v>827</v>
      </c>
      <c r="S71" s="686" t="s">
        <v>828</v>
      </c>
      <c r="T71" s="686"/>
      <c r="U71" s="123"/>
      <c r="V71" s="123"/>
      <c r="W71" s="123"/>
      <c r="X71" s="123"/>
      <c r="Y71" s="123"/>
      <c r="Z71" s="123"/>
      <c r="AA71" s="123"/>
      <c r="AB71" s="123"/>
      <c r="AC71" s="123"/>
      <c r="AD71" s="195"/>
      <c r="AE71" s="195"/>
      <c r="AF71" s="195"/>
      <c r="AG71" s="195"/>
      <c r="AH71" s="195"/>
      <c r="AI71" s="195"/>
      <c r="AJ71" s="195"/>
      <c r="AK71" s="195"/>
      <c r="AL71" s="195"/>
      <c r="AM71" s="195"/>
      <c r="AN71" s="195"/>
      <c r="AO71" s="195"/>
      <c r="AP71" s="195"/>
      <c r="AQ71" s="195"/>
      <c r="AR71" s="195"/>
      <c r="AS71" s="195"/>
      <c r="AT71" s="195"/>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row>
    <row r="72" spans="1:182" ht="14.5">
      <c r="A72" s="123"/>
      <c r="B72" s="547"/>
      <c r="C72" s="123"/>
      <c r="D72" s="1005" t="s">
        <v>829</v>
      </c>
      <c r="E72" s="685">
        <v>1</v>
      </c>
      <c r="F72" s="1011"/>
      <c r="G72" s="1007">
        <f>(((2.2*0.83)-(0.5*0.95))*1.6*2.39*365*0.7)*8.3*1*(86-60.9)/0.98/3412</f>
        <v>82.239574141852302</v>
      </c>
      <c r="H72" s="1002">
        <f>G72/(2.39*1.6/60*365)*(0.13*1.6/180)</f>
        <v>4.0851892926924592E-3</v>
      </c>
      <c r="I72" s="1002">
        <f>(((2.2*0.83)-(0.5*0.95))*1.6*2.39*365*0.7)*8.3*1*(86-60.9)/0.8/1000000*10</f>
        <v>3.4373674804070005</v>
      </c>
      <c r="J72" s="1002" t="s">
        <v>830</v>
      </c>
      <c r="K72" s="1008">
        <f>K53</f>
        <v>0.34</v>
      </c>
      <c r="L72" s="1008">
        <f>K54</f>
        <v>0.65999999999999992</v>
      </c>
      <c r="M72" s="1008">
        <v>1</v>
      </c>
      <c r="N72" s="1008">
        <f>E72*G72*K72*M72</f>
        <v>27.961455208229786</v>
      </c>
      <c r="O72" s="1002">
        <f>E72*H72*K72*M72</f>
        <v>1.3889643595154362E-3</v>
      </c>
      <c r="P72" s="1002">
        <f>E72*I72*L72*M72</f>
        <v>2.2686625370686202</v>
      </c>
      <c r="Q72" s="685" t="s">
        <v>834</v>
      </c>
      <c r="R72" s="685" t="s">
        <v>832</v>
      </c>
      <c r="S72" s="685">
        <v>10</v>
      </c>
      <c r="T72" s="685"/>
      <c r="U72" s="123"/>
      <c r="V72" s="123"/>
      <c r="W72" s="123"/>
      <c r="X72" s="123"/>
      <c r="Y72" s="123"/>
      <c r="Z72" s="123"/>
      <c r="AA72" s="123"/>
      <c r="AB72" s="123"/>
      <c r="AC72" s="123"/>
      <c r="AD72" s="195"/>
      <c r="AE72" s="195"/>
      <c r="AF72" s="195"/>
      <c r="AG72" s="195"/>
      <c r="AH72" s="195"/>
      <c r="AI72" s="195"/>
      <c r="AJ72" s="195"/>
      <c r="AK72" s="195"/>
      <c r="AL72" s="195"/>
      <c r="AM72" s="195"/>
      <c r="AN72" s="195"/>
      <c r="AO72" s="195"/>
      <c r="AP72" s="195"/>
      <c r="AQ72" s="195"/>
      <c r="AR72" s="195"/>
      <c r="AS72" s="195"/>
      <c r="AT72" s="195"/>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row>
    <row r="73" spans="1:182" ht="14.5">
      <c r="A73" s="123"/>
      <c r="B73" s="547"/>
      <c r="C73" s="123"/>
      <c r="D73" s="1005" t="s">
        <v>1174</v>
      </c>
      <c r="E73" s="685">
        <v>1</v>
      </c>
      <c r="F73" s="1011"/>
      <c r="G73" s="1007">
        <f>(((2.2*0.83)-(0.5*0.95))*4.5*2.39*365*0.5)*8.3*1*(93-60.9)/0.98/3412</f>
        <v>211.28888881599607</v>
      </c>
      <c r="H73" s="1002">
        <f>G73/(2.39*4.5/60*365)*(0.13*4.5/180)</f>
        <v>1.0495617411237647E-2</v>
      </c>
      <c r="I73" s="1002">
        <f>(((2.2*0.83)-(0.5*0.95))*4.5*2.39*365*0.5)*8.3*1*(93-60.9)/0.8/1000000*10</f>
        <v>8.8312416858421887</v>
      </c>
      <c r="J73" s="1002" t="s">
        <v>830</v>
      </c>
      <c r="K73" s="1008">
        <f>K53</f>
        <v>0.34</v>
      </c>
      <c r="L73" s="1008">
        <f>K54</f>
        <v>0.65999999999999992</v>
      </c>
      <c r="M73" s="1008">
        <v>1</v>
      </c>
      <c r="N73" s="1008">
        <f>E73*G73*K73*M73</f>
        <v>71.838222197438668</v>
      </c>
      <c r="O73" s="1002">
        <f>E73*H73*K73*M73</f>
        <v>3.5685099198208003E-3</v>
      </c>
      <c r="P73" s="1002">
        <f>E73*I73*L73*M73</f>
        <v>5.8286195126558438</v>
      </c>
      <c r="Q73" s="685" t="s">
        <v>834</v>
      </c>
      <c r="R73" s="685" t="s">
        <v>832</v>
      </c>
      <c r="S73" s="685">
        <v>10</v>
      </c>
      <c r="T73" s="685"/>
      <c r="U73" s="123"/>
      <c r="V73" s="123"/>
      <c r="W73" s="123"/>
      <c r="X73" s="123"/>
      <c r="Y73" s="123"/>
      <c r="Z73" s="123"/>
      <c r="AA73" s="123"/>
      <c r="AB73" s="123"/>
      <c r="AC73" s="123"/>
      <c r="AD73" s="195"/>
      <c r="AE73" s="195"/>
      <c r="AF73" s="195"/>
      <c r="AG73" s="195"/>
      <c r="AH73" s="195"/>
      <c r="AI73" s="195"/>
      <c r="AJ73" s="195"/>
      <c r="AK73" s="195"/>
      <c r="AL73" s="195"/>
      <c r="AM73" s="195"/>
      <c r="AN73" s="195"/>
      <c r="AO73" s="195"/>
      <c r="AP73" s="195"/>
      <c r="AQ73" s="195"/>
      <c r="AR73" s="195"/>
      <c r="AS73" s="195"/>
      <c r="AT73" s="195"/>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row>
    <row r="74" spans="1:182" ht="14.5">
      <c r="A74" s="123"/>
      <c r="B74" s="547"/>
      <c r="C74" s="123"/>
      <c r="D74" s="1005" t="s">
        <v>837</v>
      </c>
      <c r="E74" s="685">
        <v>1</v>
      </c>
      <c r="F74" s="1011"/>
      <c r="G74" s="1007">
        <f>((2.5-1.5)*7.8*2.39*0.6*365/1.6)*8.3*1*(105-60.9)/0.98/3412</f>
        <v>279.3175470764948</v>
      </c>
      <c r="H74" s="1002">
        <f>G74/((7.8*2.39*0.6)/(60*1.6)*365)*0.00371</f>
        <v>2.436726260257914E-2</v>
      </c>
      <c r="I74" s="1002">
        <f>((2.5-1.5)*7.8*2.39*0.6*365/1.6)*8.3*1*(105-60.9)/0.8/1000000*10</f>
        <v>11.67463551515625</v>
      </c>
      <c r="J74" s="1002" t="s">
        <v>830</v>
      </c>
      <c r="K74" s="1008">
        <f>K53</f>
        <v>0.34</v>
      </c>
      <c r="L74" s="1008">
        <f>K54</f>
        <v>0.65999999999999992</v>
      </c>
      <c r="M74" s="1008">
        <v>1</v>
      </c>
      <c r="N74" s="1008">
        <f>E74*G74*K74*M74</f>
        <v>94.96796600600824</v>
      </c>
      <c r="O74" s="1002">
        <f>E74*H74*K74*M74</f>
        <v>8.2848692848769088E-3</v>
      </c>
      <c r="P74" s="1002">
        <f>E74*I74*L74*M74</f>
        <v>7.7052594400031245</v>
      </c>
      <c r="Q74" s="685" t="s">
        <v>838</v>
      </c>
      <c r="R74" s="685" t="s">
        <v>839</v>
      </c>
      <c r="S74" s="685">
        <v>10</v>
      </c>
      <c r="T74" s="685"/>
      <c r="U74" s="123"/>
      <c r="V74" s="123"/>
      <c r="W74" s="123"/>
      <c r="X74" s="123"/>
      <c r="Y74" s="123"/>
      <c r="Z74" s="123"/>
      <c r="AA74" s="123"/>
      <c r="AB74" s="123"/>
      <c r="AC74" s="123"/>
      <c r="AD74" s="195"/>
      <c r="AE74" s="195"/>
      <c r="AF74" s="195"/>
      <c r="AG74" s="195"/>
      <c r="AH74" s="195"/>
      <c r="AI74" s="195"/>
      <c r="AJ74" s="195"/>
      <c r="AK74" s="195"/>
      <c r="AL74" s="195"/>
      <c r="AM74" s="195"/>
      <c r="AN74" s="195"/>
      <c r="AO74" s="195"/>
      <c r="AP74" s="195"/>
      <c r="AQ74" s="195"/>
      <c r="AR74" s="195"/>
      <c r="AS74" s="195"/>
      <c r="AT74" s="195"/>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row>
    <row r="75" spans="1:182" ht="14.5">
      <c r="A75" s="123"/>
      <c r="B75" s="547"/>
      <c r="C75" s="123"/>
      <c r="D75" s="1005" t="s">
        <v>1175</v>
      </c>
      <c r="E75" s="685">
        <v>1</v>
      </c>
      <c r="F75" s="1011"/>
      <c r="G75" s="1009">
        <f>((1.6-1.15)*60*2*365)*0.69*8.33*70*(1/0.97)/3413</f>
        <v>2395.3596738969563</v>
      </c>
      <c r="H75" s="1002">
        <v>0</v>
      </c>
      <c r="I75" s="1012">
        <f>((1.6-1.15)*60*2*365)*0.69*8.33*70*(1/0.75)/1000000*10</f>
        <v>105.73468920000002</v>
      </c>
      <c r="J75" s="1002" t="s">
        <v>830</v>
      </c>
      <c r="K75" s="1008">
        <f>K53</f>
        <v>0.34</v>
      </c>
      <c r="L75" s="1008">
        <f>K54</f>
        <v>0.65999999999999992</v>
      </c>
      <c r="M75" s="1008">
        <v>1</v>
      </c>
      <c r="N75" s="1008">
        <f>E75*G75*K75*M75</f>
        <v>814.42228912496523</v>
      </c>
      <c r="O75" s="1002">
        <f>E75*H75*K75*M75</f>
        <v>0</v>
      </c>
      <c r="P75" s="1002">
        <f>E75*I75*L75*M75</f>
        <v>69.78489487200001</v>
      </c>
      <c r="Q75" s="685" t="s">
        <v>1176</v>
      </c>
      <c r="R75" s="685" t="s">
        <v>1177</v>
      </c>
      <c r="S75" s="685">
        <v>5</v>
      </c>
      <c r="T75" s="685"/>
      <c r="U75" s="123"/>
      <c r="V75" s="123"/>
      <c r="W75" s="123"/>
      <c r="X75" s="123"/>
      <c r="Y75" s="123"/>
      <c r="Z75" s="123"/>
      <c r="AA75" s="123"/>
      <c r="AB75" s="123"/>
      <c r="AC75" s="123"/>
      <c r="AD75" s="195"/>
      <c r="AE75" s="195"/>
      <c r="AF75" s="195"/>
      <c r="AG75" s="195"/>
      <c r="AH75" s="195"/>
      <c r="AI75" s="195"/>
      <c r="AJ75" s="195"/>
      <c r="AK75" s="195"/>
      <c r="AL75" s="195"/>
      <c r="AM75" s="195"/>
      <c r="AN75" s="195"/>
      <c r="AO75" s="195"/>
      <c r="AP75" s="195"/>
      <c r="AQ75" s="195"/>
      <c r="AR75" s="195"/>
      <c r="AS75" s="195"/>
      <c r="AT75" s="195"/>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row>
    <row r="76" spans="1:182" ht="14.5">
      <c r="A76" s="123"/>
      <c r="B76" s="547"/>
      <c r="C76" s="123"/>
      <c r="D76" s="603"/>
      <c r="E76" s="203"/>
      <c r="F76" s="203"/>
      <c r="G76" s="604"/>
      <c r="H76" s="604"/>
      <c r="I76" s="123"/>
      <c r="J76" s="123"/>
      <c r="K76" s="123"/>
      <c r="L76" s="123"/>
      <c r="M76" s="123"/>
      <c r="N76" s="199"/>
      <c r="O76" s="199"/>
      <c r="P76" s="360"/>
      <c r="Q76" s="123"/>
      <c r="R76" s="123"/>
      <c r="S76" s="208"/>
      <c r="T76" s="123"/>
      <c r="U76" s="195"/>
      <c r="V76" s="195"/>
      <c r="W76" s="195"/>
      <c r="X76" s="195"/>
      <c r="Y76" s="195"/>
      <c r="Z76" s="195"/>
      <c r="AA76" s="195"/>
      <c r="AB76" s="195"/>
      <c r="AC76" s="195"/>
      <c r="AD76" s="195"/>
      <c r="AE76" s="195"/>
      <c r="AF76" s="195"/>
      <c r="AG76" s="195"/>
      <c r="AH76" s="195"/>
      <c r="AI76" s="195"/>
      <c r="AJ76" s="195"/>
      <c r="AK76" s="195"/>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row>
    <row r="77" spans="1:182" ht="14.5">
      <c r="A77" s="123"/>
      <c r="B77" s="547"/>
      <c r="C77" s="123"/>
      <c r="D77" s="203"/>
      <c r="E77" s="203"/>
      <c r="F77" s="203"/>
      <c r="G77" s="203"/>
      <c r="H77" s="203"/>
      <c r="I77" s="123"/>
      <c r="J77" s="123"/>
      <c r="K77" s="123"/>
      <c r="L77" s="123"/>
      <c r="M77" s="123"/>
      <c r="N77" s="123"/>
      <c r="O77" s="123"/>
      <c r="P77" s="123"/>
      <c r="Q77" s="123"/>
      <c r="R77" s="123"/>
      <c r="S77" s="123"/>
      <c r="T77" s="123"/>
      <c r="U77" s="195"/>
      <c r="V77" s="195"/>
      <c r="W77" s="195"/>
      <c r="X77" s="195"/>
      <c r="Y77" s="195"/>
      <c r="Z77" s="195"/>
      <c r="AA77" s="195"/>
      <c r="AB77" s="195"/>
      <c r="AC77" s="195"/>
      <c r="AD77" s="195"/>
      <c r="AE77" s="195"/>
      <c r="AF77" s="195"/>
      <c r="AG77" s="195"/>
      <c r="AH77" s="195"/>
      <c r="AI77" s="195"/>
      <c r="AJ77" s="195"/>
      <c r="AK77" s="195"/>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row>
    <row r="78" spans="1:182">
      <c r="A78" s="123"/>
      <c r="B78" s="123"/>
      <c r="C78" s="123"/>
      <c r="D78" s="123"/>
      <c r="E78" s="123"/>
      <c r="F78" s="123"/>
      <c r="G78" s="123"/>
      <c r="H78" s="123"/>
      <c r="I78" s="123"/>
      <c r="J78" s="123"/>
      <c r="K78" s="123"/>
      <c r="L78" s="123"/>
      <c r="M78" s="123"/>
      <c r="N78" s="123"/>
      <c r="O78" s="123"/>
      <c r="P78" s="123"/>
      <c r="Q78" s="123"/>
      <c r="R78" s="123"/>
      <c r="S78" s="123"/>
      <c r="T78" s="195"/>
      <c r="U78" s="195"/>
      <c r="V78" s="195"/>
      <c r="W78" s="195"/>
      <c r="X78" s="195"/>
      <c r="Y78" s="195"/>
      <c r="Z78" s="195"/>
      <c r="AA78" s="195"/>
      <c r="AB78" s="195"/>
      <c r="AC78" s="195"/>
      <c r="AD78" s="195"/>
      <c r="AE78" s="195"/>
      <c r="AF78" s="195"/>
      <c r="AG78" s="195"/>
      <c r="AH78" s="195"/>
      <c r="AI78" s="195"/>
      <c r="AJ78" s="195"/>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row>
    <row r="79" spans="1:182">
      <c r="A79" s="123"/>
      <c r="B79" s="123"/>
      <c r="C79" s="123"/>
      <c r="D79" s="281" t="s">
        <v>1178</v>
      </c>
      <c r="E79" s="123"/>
      <c r="F79" s="123"/>
      <c r="G79" s="123"/>
      <c r="H79" s="123"/>
      <c r="I79" s="123"/>
      <c r="J79" s="123"/>
      <c r="K79" s="123"/>
      <c r="L79" s="123"/>
      <c r="M79" s="123"/>
      <c r="N79" s="123"/>
      <c r="O79" s="123"/>
      <c r="P79" s="123"/>
      <c r="Q79" s="123"/>
      <c r="R79" s="123"/>
      <c r="S79" s="123"/>
      <c r="T79" s="195"/>
      <c r="U79" s="195"/>
      <c r="V79" s="195"/>
      <c r="W79" s="195"/>
      <c r="X79" s="195"/>
      <c r="Y79" s="195"/>
      <c r="Z79" s="195"/>
      <c r="AA79" s="195"/>
      <c r="AB79" s="195"/>
      <c r="AC79" s="195"/>
      <c r="AD79" s="195"/>
      <c r="AE79" s="195"/>
      <c r="AF79" s="195"/>
      <c r="AG79" s="195"/>
      <c r="AH79" s="195"/>
      <c r="AI79" s="195"/>
      <c r="AJ79" s="195"/>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row>
    <row r="80" spans="1:182">
      <c r="A80" s="123"/>
      <c r="B80" s="123"/>
      <c r="C80" s="123"/>
      <c r="D80" s="281" t="s">
        <v>1179</v>
      </c>
      <c r="E80" s="123"/>
      <c r="F80" s="123"/>
      <c r="G80" s="123"/>
      <c r="H80" s="123"/>
      <c r="I80" s="123"/>
      <c r="J80" s="123"/>
      <c r="K80" s="123"/>
      <c r="L80" s="123"/>
      <c r="M80" s="123"/>
      <c r="N80" s="123"/>
      <c r="O80" s="123"/>
      <c r="P80" s="123"/>
      <c r="Q80" s="123"/>
      <c r="R80" s="123"/>
      <c r="S80" s="123"/>
      <c r="T80" s="195"/>
      <c r="U80" s="195"/>
      <c r="V80" s="195"/>
      <c r="W80" s="195"/>
      <c r="X80" s="195"/>
      <c r="Y80" s="195"/>
      <c r="Z80" s="195"/>
      <c r="AA80" s="195"/>
      <c r="AB80" s="195"/>
      <c r="AC80" s="195"/>
      <c r="AD80" s="195"/>
      <c r="AE80" s="195"/>
      <c r="AF80" s="195"/>
      <c r="AG80" s="195"/>
      <c r="AH80" s="195"/>
      <c r="AI80" s="195"/>
      <c r="AJ80" s="195"/>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row>
    <row r="81" spans="1:182">
      <c r="A81" s="123"/>
      <c r="B81" s="123"/>
      <c r="C81" s="123"/>
      <c r="D81" s="123"/>
      <c r="E81" s="123"/>
      <c r="F81" s="123"/>
      <c r="G81" s="123"/>
      <c r="H81" s="123"/>
      <c r="I81" s="123"/>
      <c r="J81" s="123"/>
      <c r="K81" s="123"/>
      <c r="L81" s="123"/>
      <c r="M81" s="123"/>
      <c r="N81" s="123"/>
      <c r="O81" s="123"/>
      <c r="P81" s="123"/>
      <c r="Q81" s="123"/>
      <c r="R81" s="123"/>
      <c r="S81" s="123"/>
      <c r="T81" s="195"/>
      <c r="U81" s="195"/>
      <c r="V81" s="195"/>
      <c r="W81" s="195"/>
      <c r="X81" s="195"/>
      <c r="Y81" s="195"/>
      <c r="Z81" s="195"/>
      <c r="AA81" s="195"/>
      <c r="AB81" s="195"/>
      <c r="AC81" s="195"/>
      <c r="AD81" s="195"/>
      <c r="AE81" s="195"/>
      <c r="AF81" s="195"/>
      <c r="AG81" s="195"/>
      <c r="AH81" s="195"/>
      <c r="AI81" s="195"/>
      <c r="AJ81" s="195"/>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row>
    <row r="82" spans="1:182">
      <c r="A82" s="123"/>
      <c r="B82" s="123"/>
      <c r="C82" s="123"/>
      <c r="D82" s="123"/>
      <c r="E82" s="123"/>
      <c r="F82" s="123"/>
      <c r="G82" s="123"/>
      <c r="H82" s="123"/>
      <c r="I82" s="123"/>
      <c r="J82" s="123"/>
      <c r="K82" s="123"/>
      <c r="L82" s="123"/>
      <c r="M82" s="123"/>
      <c r="N82" s="123"/>
      <c r="O82" s="123"/>
      <c r="P82" s="123"/>
      <c r="Q82" s="123"/>
      <c r="R82" s="123"/>
      <c r="S82" s="123"/>
      <c r="T82" s="195"/>
      <c r="U82" s="195"/>
      <c r="V82" s="195"/>
      <c r="W82" s="195"/>
      <c r="X82" s="195"/>
      <c r="Y82" s="195"/>
      <c r="Z82" s="195"/>
      <c r="AA82" s="195"/>
      <c r="AB82" s="195"/>
      <c r="AC82" s="195"/>
      <c r="AD82" s="195"/>
      <c r="AE82" s="195"/>
      <c r="AF82" s="195"/>
      <c r="AG82" s="195"/>
      <c r="AH82" s="195"/>
      <c r="AI82" s="195"/>
      <c r="AJ82" s="195"/>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row>
  </sheetData>
  <mergeCells count="14">
    <mergeCell ref="AV2:BW2"/>
    <mergeCell ref="BX2:CD2"/>
    <mergeCell ref="CE2:CK2"/>
    <mergeCell ref="CL2:CR2"/>
    <mergeCell ref="F4:P4"/>
    <mergeCell ref="Q4:T4"/>
    <mergeCell ref="U4:AA4"/>
    <mergeCell ref="AE4:AR4"/>
    <mergeCell ref="AT4:AU4"/>
    <mergeCell ref="CS2:DT2"/>
    <mergeCell ref="DU2:EA2"/>
    <mergeCell ref="EP4:EW4"/>
    <mergeCell ref="EB2:EH2"/>
    <mergeCell ref="EI2:EO2"/>
  </mergeCells>
  <dataValidations count="1">
    <dataValidation type="list" allowBlank="1" showInputMessage="1" showErrorMessage="1" sqref="AO6:AO11 AO20:AO25 AO13:AO18 AM13:AM18 AM6:AM11 AM20:AM25" xr:uid="{B09B1942-FAE1-475B-9EBA-ABA6A5277201}">
      <formula1>#REF!</formula1>
    </dataValidation>
  </dataValidations>
  <hyperlinks>
    <hyperlink ref="C47" r:id="rId1" xr:uid="{09A9C231-279A-4417-BFD7-69BED0956552}"/>
    <hyperlink ref="C48" r:id="rId2" xr:uid="{F2162B6C-E804-496C-B61A-1B0403A639CB}"/>
    <hyperlink ref="C49" r:id="rId3" xr:uid="{ADA71530-802A-410B-BCFE-C133FB90291E}"/>
  </hyperlinks>
  <pageMargins left="0.7" right="0.7" top="0.75" bottom="0.75" header="0.3" footer="0.3"/>
  <pageSetup orientation="portrait" r:id="rId4"/>
  <headerFooter>
    <oddFooter>&amp;L&amp;1#&amp;"Calibri"&amp;14&amp;K000000Business Use</oddFooter>
  </headerFooter>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D3EF-6C71-46E5-8D10-0CE28B1FCA9D}">
  <sheetPr>
    <tabColor rgb="FFFFC000"/>
  </sheetPr>
  <dimension ref="A2:N15"/>
  <sheetViews>
    <sheetView zoomScale="85" zoomScaleNormal="85" workbookViewId="0">
      <selection activeCell="F4" sqref="F4"/>
    </sheetView>
  </sheetViews>
  <sheetFormatPr defaultRowHeight="14.5"/>
  <cols>
    <col min="1" max="1" width="32.90625" customWidth="1"/>
    <col min="7" max="7" width="10.81640625" customWidth="1"/>
    <col min="9" max="14" width="10.1796875" customWidth="1"/>
  </cols>
  <sheetData>
    <row r="2" spans="1:14">
      <c r="A2" s="2"/>
      <c r="B2" s="2"/>
      <c r="C2" s="2"/>
      <c r="D2" s="2"/>
      <c r="E2" s="2"/>
      <c r="F2" s="2"/>
      <c r="G2" s="2"/>
      <c r="H2" s="2">
        <v>283</v>
      </c>
      <c r="I2" s="2" t="s">
        <v>2744</v>
      </c>
      <c r="J2" s="2"/>
      <c r="K2" s="2"/>
      <c r="L2" s="2"/>
      <c r="M2" s="2"/>
      <c r="N2" s="2"/>
    </row>
    <row r="3" spans="1:14">
      <c r="A3" s="2"/>
      <c r="B3" s="2"/>
      <c r="C3" s="2"/>
      <c r="D3" s="2"/>
      <c r="E3" s="2"/>
      <c r="F3" s="2"/>
      <c r="G3" s="2"/>
      <c r="H3" s="1310">
        <f>E8/'Business Rebates'!R7</f>
        <v>2.60772837188853</v>
      </c>
      <c r="I3" s="2" t="s">
        <v>2747</v>
      </c>
      <c r="J3" s="2"/>
      <c r="K3" s="2"/>
      <c r="L3" s="2"/>
      <c r="M3" s="2"/>
      <c r="N3" s="2"/>
    </row>
    <row r="4" spans="1:14">
      <c r="A4" s="2"/>
      <c r="B4" s="2"/>
      <c r="C4" s="2"/>
      <c r="D4" s="2"/>
      <c r="E4" s="2"/>
      <c r="F4" s="2"/>
      <c r="G4" s="2"/>
      <c r="H4" s="1310">
        <f>E9/'Business Rebates'!R7</f>
        <v>6.9539423250360821</v>
      </c>
      <c r="I4" s="2" t="s">
        <v>2746</v>
      </c>
      <c r="J4" s="2"/>
      <c r="K4" s="2"/>
      <c r="L4" s="2"/>
      <c r="M4" s="2"/>
      <c r="N4" s="2"/>
    </row>
    <row r="5" spans="1:14">
      <c r="A5" s="2"/>
      <c r="B5" s="2"/>
      <c r="C5" s="2"/>
      <c r="D5" s="2"/>
      <c r="E5" s="2"/>
      <c r="F5" s="2"/>
      <c r="G5" s="2"/>
      <c r="H5" s="1310">
        <f>F8/'Business Rebates'!R7</f>
        <v>1.2857650162337668</v>
      </c>
      <c r="I5" s="1310">
        <f>F9/'Business Rebates'!R7</f>
        <v>3.4287067099567126</v>
      </c>
      <c r="J5" s="2"/>
      <c r="K5" s="2"/>
      <c r="L5" s="2"/>
      <c r="M5" s="2"/>
      <c r="N5" s="2"/>
    </row>
    <row r="6" spans="1:14">
      <c r="A6" s="2"/>
      <c r="B6" s="2" t="s">
        <v>2329</v>
      </c>
      <c r="C6" s="2"/>
      <c r="D6" s="2" t="s">
        <v>1479</v>
      </c>
      <c r="E6" s="2"/>
      <c r="F6" s="2"/>
      <c r="G6" s="2"/>
      <c r="H6" s="2"/>
      <c r="I6" s="2" t="s">
        <v>2740</v>
      </c>
      <c r="J6" s="2"/>
      <c r="K6" s="2"/>
      <c r="L6" s="2"/>
      <c r="M6" s="2"/>
      <c r="N6" s="2"/>
    </row>
    <row r="7" spans="1:14">
      <c r="A7" s="2" t="s">
        <v>2731</v>
      </c>
      <c r="B7" s="2" t="s">
        <v>2730</v>
      </c>
      <c r="C7" s="2" t="s">
        <v>1041</v>
      </c>
      <c r="D7" s="2" t="s">
        <v>2728</v>
      </c>
      <c r="E7" s="2" t="s">
        <v>2729</v>
      </c>
      <c r="F7" s="2" t="s">
        <v>2743</v>
      </c>
      <c r="G7" s="2"/>
      <c r="H7" s="2"/>
      <c r="I7" s="2">
        <v>2025</v>
      </c>
      <c r="J7" s="2">
        <v>2026</v>
      </c>
      <c r="K7" s="2">
        <v>2027</v>
      </c>
      <c r="L7" s="2">
        <v>2028</v>
      </c>
      <c r="M7" s="2">
        <v>2029</v>
      </c>
      <c r="N7" s="2">
        <v>2030</v>
      </c>
    </row>
    <row r="8" spans="1:14">
      <c r="A8" s="2" t="s">
        <v>2738</v>
      </c>
      <c r="B8" s="2">
        <v>16</v>
      </c>
      <c r="C8" s="2">
        <v>14</v>
      </c>
      <c r="D8" s="2">
        <f>1*(12/$C8-12/$B8)*C13</f>
        <v>208.61989425668662</v>
      </c>
      <c r="E8" s="2">
        <f>1*(12/$C8-12/$B8)*C14</f>
        <v>239.31492328426282</v>
      </c>
      <c r="F8" s="2">
        <f>1*(12/$C8-12/$B8)*C15</f>
        <v>117.99647522289025</v>
      </c>
      <c r="G8" s="542">
        <f>D8*'Business Rebates'!$AD$7</f>
        <v>59039.430074642311</v>
      </c>
      <c r="H8" s="2" t="s">
        <v>2741</v>
      </c>
      <c r="I8" s="267">
        <f>H2*AVERAGE(F8:F9)</f>
        <v>61220.504561476235</v>
      </c>
      <c r="J8" s="267">
        <f t="shared" ref="J8:N9" si="0">I8</f>
        <v>61220.504561476235</v>
      </c>
      <c r="K8" s="267">
        <f t="shared" si="0"/>
        <v>61220.504561476235</v>
      </c>
      <c r="L8" s="267">
        <f t="shared" si="0"/>
        <v>61220.504561476235</v>
      </c>
      <c r="M8" s="267">
        <f t="shared" si="0"/>
        <v>61220.504561476235</v>
      </c>
      <c r="N8" s="267">
        <f t="shared" si="0"/>
        <v>61220.504561476235</v>
      </c>
    </row>
    <row r="9" spans="1:14">
      <c r="A9" s="2" t="s">
        <v>2739</v>
      </c>
      <c r="B9" s="2">
        <v>21</v>
      </c>
      <c r="C9" s="2">
        <v>14</v>
      </c>
      <c r="D9" s="2">
        <f>1*(12/C9-12/B9)*C13</f>
        <v>556.31971801783118</v>
      </c>
      <c r="E9" s="2">
        <f>1*(12/$C9-12/$B9)*C14</f>
        <v>638.17312875803441</v>
      </c>
      <c r="F9" s="2">
        <f>1*(12/$C9-12/$B9)*C15</f>
        <v>314.65726726104077</v>
      </c>
      <c r="G9" s="542">
        <f>D9*'Business Rebates'!$AD$7</f>
        <v>157438.48019904623</v>
      </c>
      <c r="H9" s="2" t="s">
        <v>2745</v>
      </c>
      <c r="I9" s="267">
        <f>AVERAGE(D8:D9)*2*H2</f>
        <v>216477.91027368853</v>
      </c>
      <c r="J9" s="267">
        <f t="shared" si="0"/>
        <v>216477.91027368853</v>
      </c>
      <c r="K9" s="267">
        <f t="shared" si="0"/>
        <v>216477.91027368853</v>
      </c>
      <c r="L9" s="267">
        <f t="shared" si="0"/>
        <v>216477.91027368853</v>
      </c>
      <c r="M9" s="267">
        <f t="shared" si="0"/>
        <v>216477.91027368853</v>
      </c>
      <c r="N9" s="267">
        <f t="shared" si="0"/>
        <v>216477.91027368853</v>
      </c>
    </row>
    <row r="10" spans="1:14">
      <c r="A10" s="2"/>
      <c r="B10" s="2"/>
      <c r="C10" s="2"/>
      <c r="D10" s="2"/>
      <c r="E10" s="2"/>
      <c r="F10" s="2"/>
      <c r="G10" s="2"/>
      <c r="H10" s="2" t="s">
        <v>148</v>
      </c>
      <c r="I10" s="267">
        <f t="shared" ref="I10:N10" si="1">SUM(I8:I9)</f>
        <v>277698.41483516479</v>
      </c>
      <c r="J10" s="267">
        <f t="shared" si="1"/>
        <v>277698.41483516479</v>
      </c>
      <c r="K10" s="267">
        <f t="shared" si="1"/>
        <v>277698.41483516479</v>
      </c>
      <c r="L10" s="267">
        <f t="shared" si="1"/>
        <v>277698.41483516479</v>
      </c>
      <c r="M10" s="267">
        <f t="shared" si="1"/>
        <v>277698.41483516479</v>
      </c>
      <c r="N10" s="267">
        <f t="shared" si="1"/>
        <v>277698.41483516479</v>
      </c>
    </row>
    <row r="11" spans="1:14">
      <c r="A11" s="2" t="s">
        <v>2733</v>
      </c>
      <c r="B11" s="2"/>
      <c r="C11" s="2"/>
      <c r="D11" s="2"/>
      <c r="E11" s="2"/>
      <c r="F11" s="2"/>
      <c r="G11" s="2"/>
      <c r="H11" s="2"/>
      <c r="I11" s="542">
        <f>'Business Rebates'!EB7</f>
        <v>25971.31051666964</v>
      </c>
      <c r="J11" s="542">
        <f>'Business Rebates'!EC7</f>
        <v>25971.31051666964</v>
      </c>
      <c r="K11" s="542">
        <f>'Business Rebates'!ED7</f>
        <v>25971.31051666964</v>
      </c>
      <c r="L11" s="542">
        <f>'Business Rebates'!EE7</f>
        <v>25971.31051666964</v>
      </c>
      <c r="M11" s="542">
        <f>'Business Rebates'!EF7</f>
        <v>25971.31051666964</v>
      </c>
      <c r="N11" s="542">
        <f>'Business Rebates'!EG7</f>
        <v>25971.31051666964</v>
      </c>
    </row>
    <row r="12" spans="1:14">
      <c r="A12" s="2" t="s">
        <v>2734</v>
      </c>
      <c r="B12" s="2" t="s">
        <v>2735</v>
      </c>
      <c r="C12" s="2" t="s">
        <v>2736</v>
      </c>
      <c r="D12" s="2" t="s">
        <v>2737</v>
      </c>
      <c r="E12" s="2" t="s">
        <v>324</v>
      </c>
      <c r="F12" s="2"/>
      <c r="G12" s="2"/>
      <c r="H12" s="2"/>
      <c r="I12" s="542"/>
      <c r="J12" s="542"/>
      <c r="K12" s="542"/>
      <c r="L12" s="542"/>
      <c r="M12" s="542"/>
      <c r="N12" s="542"/>
    </row>
    <row r="13" spans="1:14">
      <c r="A13" s="2" t="s">
        <v>2728</v>
      </c>
      <c r="B13" s="2">
        <v>1570</v>
      </c>
      <c r="C13" s="2">
        <f>B13*BizRebates_Costs!$R$5</f>
        <v>1947.1190130624093</v>
      </c>
      <c r="D13" s="2"/>
      <c r="E13" s="2"/>
      <c r="F13" s="2"/>
      <c r="G13" s="2"/>
      <c r="H13" s="2"/>
      <c r="I13" s="2"/>
      <c r="J13" s="2"/>
      <c r="K13" s="2"/>
      <c r="L13" s="2"/>
      <c r="M13" s="2"/>
      <c r="N13" s="2"/>
    </row>
    <row r="14" spans="1:14">
      <c r="A14" s="2" t="s">
        <v>2729</v>
      </c>
      <c r="B14" s="2">
        <v>1801</v>
      </c>
      <c r="C14" s="2">
        <f>B14*BizRebates_Costs!$R$5</f>
        <v>2233.6059506531205</v>
      </c>
      <c r="D14" s="2" t="s">
        <v>2732</v>
      </c>
      <c r="E14" s="156" t="s">
        <v>2444</v>
      </c>
      <c r="F14" s="2"/>
      <c r="G14" s="2"/>
      <c r="H14" s="2"/>
      <c r="I14" s="2"/>
      <c r="J14" s="2"/>
      <c r="K14" s="2"/>
      <c r="L14" s="2"/>
      <c r="M14" s="2"/>
      <c r="N14" s="2"/>
    </row>
    <row r="15" spans="1:14">
      <c r="A15" s="2" t="s">
        <v>2741</v>
      </c>
      <c r="B15" s="2">
        <v>888</v>
      </c>
      <c r="C15" s="2">
        <f>B15*BizRebates_Costs!$R$5</f>
        <v>1101.3004354136428</v>
      </c>
      <c r="D15" s="2" t="s">
        <v>2742</v>
      </c>
      <c r="E15" s="2"/>
      <c r="F15" s="2"/>
      <c r="G15" s="2"/>
      <c r="H15" s="2"/>
      <c r="I15" s="2"/>
      <c r="J15" s="2"/>
      <c r="K15" s="2"/>
      <c r="L15" s="2"/>
      <c r="M15" s="2"/>
      <c r="N15" s="2"/>
    </row>
  </sheetData>
  <hyperlinks>
    <hyperlink ref="E14" r:id="rId1" xr:uid="{4B36CAB6-DBDF-41BD-B95D-8422FA52E53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sheetPr>
  <dimension ref="A1:FN211"/>
  <sheetViews>
    <sheetView topLeftCell="F196" zoomScale="70" zoomScaleNormal="70" workbookViewId="0">
      <selection activeCell="G204" sqref="G204:T217"/>
    </sheetView>
  </sheetViews>
  <sheetFormatPr defaultColWidth="9.1796875" defaultRowHeight="13"/>
  <cols>
    <col min="1" max="1" width="9" style="2" customWidth="1"/>
    <col min="2" max="2" width="58.81640625" style="2" customWidth="1"/>
    <col min="3" max="3" width="56.453125" style="2" customWidth="1"/>
    <col min="4" max="4" width="48.453125" style="2" customWidth="1"/>
    <col min="5" max="5" width="16.81640625" style="2" customWidth="1"/>
    <col min="6" max="6" width="29" style="2" customWidth="1"/>
    <col min="7" max="7" width="17" style="2" customWidth="1"/>
    <col min="8" max="12" width="13" style="2" customWidth="1"/>
    <col min="13" max="13" width="45" style="2" customWidth="1"/>
    <col min="14" max="14" width="15.26953125" style="2" customWidth="1"/>
    <col min="15" max="15" width="15" style="2" customWidth="1"/>
    <col min="16" max="17" width="10.7265625" style="2" customWidth="1"/>
    <col min="18" max="18" width="13.453125" style="2" customWidth="1"/>
    <col min="19" max="20" width="12.1796875" style="2" customWidth="1"/>
    <col min="21" max="21" width="91.81640625" style="3" customWidth="1"/>
    <col min="22" max="23" width="10.81640625" style="3" customWidth="1"/>
    <col min="24" max="24" width="10.81640625" style="82" customWidth="1"/>
    <col min="25" max="27" width="11.26953125" style="82" customWidth="1"/>
    <col min="28" max="28" width="17.7265625" style="82" customWidth="1"/>
    <col min="29" max="29" width="20.453125" style="82" customWidth="1"/>
    <col min="30" max="33" width="19" style="3" customWidth="1"/>
    <col min="34" max="34" width="21.7265625" style="3" customWidth="1"/>
    <col min="35" max="36" width="19" style="3" customWidth="1"/>
    <col min="37" max="39" width="14.453125" style="2" customWidth="1"/>
    <col min="40" max="40" width="20.54296875" style="2" customWidth="1"/>
    <col min="41" max="46" width="14.453125" style="2" customWidth="1"/>
    <col min="47" max="47" width="16.453125" style="2" customWidth="1"/>
    <col min="48" max="53" width="12" style="2" customWidth="1"/>
    <col min="54" max="54" width="15.26953125" style="2" customWidth="1"/>
    <col min="55" max="57" width="17.81640625" style="2" customWidth="1"/>
    <col min="58" max="60" width="15.7265625" style="2" customWidth="1"/>
    <col min="61" max="67" width="12" style="2" customWidth="1"/>
    <col min="68" max="68" width="13.26953125" style="2" customWidth="1"/>
    <col min="69" max="81" width="11.7265625" style="2" customWidth="1"/>
    <col min="82" max="115" width="15.54296875" style="2" customWidth="1"/>
    <col min="116" max="116" width="15.54296875" style="123" customWidth="1"/>
    <col min="117" max="156" width="15.54296875" style="2" customWidth="1"/>
    <col min="157" max="157" width="19" style="2" customWidth="1"/>
    <col min="158" max="159" width="15.54296875" style="2" customWidth="1"/>
    <col min="160" max="168" width="9.1796875" style="2"/>
    <col min="169" max="169" width="11" style="2" bestFit="1" customWidth="1"/>
    <col min="170" max="170" width="12.453125" style="2" bestFit="1" customWidth="1"/>
    <col min="171" max="16384" width="9.1796875" style="2"/>
  </cols>
  <sheetData>
    <row r="1" spans="1:168" ht="14.5">
      <c r="A1" t="str">
        <f>A3&amp;"_"&amp;A4&amp;"_"&amp;A5</f>
        <v>Merged  together in Business Rebates. (Small business audit and midstream lighting). Modeled separately for flexibility. _Measure Details_Measure ID</v>
      </c>
      <c r="B1" t="str">
        <f t="shared" ref="B1:CD1" si="0">B3&amp;"_"&amp;B4&amp;"_"&amp;B5</f>
        <v>__Measure Name</v>
      </c>
      <c r="C1" t="str">
        <f t="shared" si="0"/>
        <v>__Measure Description/Qualification</v>
      </c>
      <c r="D1" t="str">
        <f t="shared" si="0"/>
        <v>__Base Equipment</v>
      </c>
      <c r="E1" t="str">
        <f t="shared" si="0"/>
        <v>__Old Per Unit Assumption</v>
      </c>
      <c r="F1" t="str">
        <f t="shared" si="0"/>
        <v>__Per Unit Assumption</v>
      </c>
      <c r="G1" t="str">
        <f t="shared" si="0"/>
        <v>_First Year Costs_Full or Incremental Cost</v>
      </c>
      <c r="H1" t="str">
        <f t="shared" si="0"/>
        <v>__Full/Incremental Equipment Cost (Per Unit)</v>
      </c>
      <c r="I1" t="str">
        <f t="shared" si="0"/>
        <v>__Full/Incremental Labor Cost (Per Unit)</v>
      </c>
      <c r="J1" t="str">
        <f t="shared" si="0"/>
        <v>__Full/Incremental Cost (Per Unit)</v>
      </c>
      <c r="K1" t="str">
        <f t="shared" si="0"/>
        <v>__Incremental Annual O&amp;M (Per Unit)</v>
      </c>
      <c r="L1" t="str">
        <f t="shared" si="0"/>
        <v>__50% of Incremental Cost</v>
      </c>
      <c r="M1" t="str">
        <f t="shared" si="0"/>
        <v>__Cost Sources</v>
      </c>
      <c r="N1" t="str">
        <f t="shared" si="0"/>
        <v>__Current Incentive</v>
      </c>
      <c r="O1" t="str">
        <f t="shared" si="0"/>
        <v>__Proposed Incentive Level</v>
      </c>
      <c r="P1" t="str">
        <f t="shared" si="0"/>
        <v>__Dealer Incentive</v>
      </c>
      <c r="Q1" t="str">
        <f t="shared" si="0"/>
        <v>__Implementation Cost</v>
      </c>
      <c r="R1" t="str">
        <f t="shared" si="0"/>
        <v>_First Year Energy Savings_Electric kWh Savings Per Unit</v>
      </c>
      <c r="S1" t="str">
        <f t="shared" si="0"/>
        <v>__Electric kW Savings Per Unit</v>
      </c>
      <c r="T1" t="str">
        <f t="shared" si="0"/>
        <v>__Natural Gas Therms Savings Per Unit</v>
      </c>
      <c r="U1" t="str">
        <f t="shared" si="0"/>
        <v>__Energy Savings Source</v>
      </c>
      <c r="V1" t="str">
        <f t="shared" si="0"/>
        <v>_Participation Assumptions_Escalation Rate</v>
      </c>
      <c r="W1" t="str">
        <f t="shared" si="0"/>
        <v>__Number of Unit Per Participant</v>
      </c>
      <c r="X1" s="21" t="str">
        <f t="shared" si="0"/>
        <v>__2018</v>
      </c>
      <c r="Y1" s="21" t="str">
        <f t="shared" si="0"/>
        <v>__2019</v>
      </c>
      <c r="Z1" s="21" t="str">
        <f t="shared" si="0"/>
        <v>__2020</v>
      </c>
      <c r="AA1" s="21" t="str">
        <f t="shared" si="0"/>
        <v>__2021</v>
      </c>
      <c r="AB1" s="21" t="str">
        <f t="shared" si="0"/>
        <v>__Projected 2022</v>
      </c>
      <c r="AC1" s="21" t="str">
        <f t="shared" si="0"/>
        <v>__Projected 2023</v>
      </c>
      <c r="AD1" t="str">
        <f t="shared" si="0"/>
        <v>__Participation 2024</v>
      </c>
      <c r="AE1" t="str">
        <f t="shared" si="0"/>
        <v>__Participation 2025</v>
      </c>
      <c r="AF1" t="str">
        <f t="shared" si="0"/>
        <v>__Participation 2026</v>
      </c>
      <c r="AG1" t="str">
        <f t="shared" si="0"/>
        <v>__Participation 2027</v>
      </c>
      <c r="AH1" t="str">
        <f t="shared" si="0"/>
        <v>__Participation 2028</v>
      </c>
      <c r="AI1" t="str">
        <f t="shared" si="0"/>
        <v>__Participation 2029</v>
      </c>
      <c r="AJ1" t="str">
        <f>AJ3&amp;"_"&amp;AJ4&amp;"_"&amp;AJ5</f>
        <v>__Participation 2030</v>
      </c>
      <c r="AK1" t="str">
        <f t="shared" si="0"/>
        <v>_Modeling Measure-level Inputs_Fuel Type</v>
      </c>
      <c r="AL1" t="str">
        <f t="shared" si="0"/>
        <v>__Sector</v>
      </c>
      <c r="AM1" t="str">
        <f t="shared" si="0"/>
        <v>__Segment</v>
      </c>
      <c r="AN1" t="str">
        <f t="shared" si="0"/>
        <v>__Enduse</v>
      </c>
      <c r="AO1" t="str">
        <f t="shared" si="0"/>
        <v>__Construction Type</v>
      </c>
      <c r="AP1" t="str">
        <f t="shared" si="0"/>
        <v>__Potential Study Measure Name</v>
      </c>
      <c r="AQ1" t="str">
        <f t="shared" si="0"/>
        <v>__Potential Study Measure Description</v>
      </c>
      <c r="AR1" t="str">
        <f t="shared" si="0"/>
        <v>__Potential Study Baseline Description</v>
      </c>
      <c r="AS1" t="str">
        <f t="shared" si="0"/>
        <v>__Electric Load Shape</v>
      </c>
      <c r="AT1" t="str">
        <f t="shared" si="0"/>
        <v>__Natural Gas Load Shape</v>
      </c>
      <c r="AU1" t="str">
        <f t="shared" si="0"/>
        <v>__Customer Rate Class</v>
      </c>
      <c r="AV1" t="str">
        <f t="shared" si="0"/>
        <v>__Measure Life</v>
      </c>
      <c r="AW1" t="str">
        <f t="shared" si="0"/>
        <v>__Baseline Life</v>
      </c>
      <c r="AX1" t="str">
        <f t="shared" si="0"/>
        <v>__Life Source</v>
      </c>
      <c r="AY1" t="str">
        <f t="shared" si="0"/>
        <v>_Measure Tier Share_Tier Share</v>
      </c>
      <c r="AZ1" t="str">
        <f t="shared" si="0"/>
        <v>_Measure Fuel Weights_Electric Share</v>
      </c>
      <c r="BA1" t="str">
        <f t="shared" si="0"/>
        <v>__Natural Gas Share</v>
      </c>
      <c r="BB1" t="str">
        <f t="shared" si="0"/>
        <v>Per Unit_Incremental Costs_2024</v>
      </c>
      <c r="BC1" t="str">
        <f t="shared" si="0"/>
        <v>Per Unit_Incremental Costs_2025</v>
      </c>
      <c r="BD1" t="str">
        <f t="shared" si="0"/>
        <v>Per Unit_Incremental Costs_2026</v>
      </c>
      <c r="BE1" t="str">
        <f t="shared" si="0"/>
        <v>Per Unit_Incremental Costs_2027</v>
      </c>
      <c r="BF1" t="str">
        <f t="shared" si="0"/>
        <v>Per Unit_Incremental Costs_2028</v>
      </c>
      <c r="BG1" t="str">
        <f t="shared" si="0"/>
        <v>Per Unit_Incremental Costs_2029</v>
      </c>
      <c r="BH1" t="str">
        <f t="shared" si="0"/>
        <v>Per Unit_Incremental Costs_2030</v>
      </c>
      <c r="BI1" t="str">
        <f t="shared" si="0"/>
        <v>Per Unit_Incremental Annual O&amp;M_2024</v>
      </c>
      <c r="BJ1" t="str">
        <f t="shared" si="0"/>
        <v>Per Unit_Incremental Annual O&amp;M_2025</v>
      </c>
      <c r="BK1" t="str">
        <f t="shared" si="0"/>
        <v>Per Unit_Incremental Annual O&amp;M_2026</v>
      </c>
      <c r="BL1" t="str">
        <f t="shared" si="0"/>
        <v>Per Unit_Incremental Annual O&amp;M_2027</v>
      </c>
      <c r="BM1" t="str">
        <f t="shared" si="0"/>
        <v>Per Unit_Incremental Annual O&amp;M_2028</v>
      </c>
      <c r="BN1" t="str">
        <f t="shared" si="0"/>
        <v>Per Unit_Incremental Annual O&amp;M_2029</v>
      </c>
      <c r="BO1" t="str">
        <f t="shared" si="0"/>
        <v>Per Unit_Incremental Annual O&amp;M_2030</v>
      </c>
      <c r="BP1" t="str">
        <f t="shared" si="0"/>
        <v>Per Unit_Customer &amp; Dealer Incentives_2024</v>
      </c>
      <c r="BQ1" t="str">
        <f t="shared" si="0"/>
        <v>Per Unit_Customer &amp; Dealer Incentives_2025</v>
      </c>
      <c r="BR1" t="str">
        <f t="shared" si="0"/>
        <v>Per Unit_Customer &amp; Dealer Incentives_2026</v>
      </c>
      <c r="BS1" t="str">
        <f t="shared" si="0"/>
        <v>Per Unit_Customer &amp; Dealer Incentives_2027</v>
      </c>
      <c r="BT1" t="str">
        <f t="shared" si="0"/>
        <v>Per Unit_Customer &amp; Dealer Incentives_2028</v>
      </c>
      <c r="BU1" t="str">
        <f t="shared" si="0"/>
        <v>Per Unit_Customer &amp; Dealer Incentives_2029</v>
      </c>
      <c r="BV1" t="str">
        <f t="shared" si="0"/>
        <v>Per Unit_Customer &amp; Dealer Incentives_2030</v>
      </c>
      <c r="BW1" t="str">
        <f t="shared" si="0"/>
        <v>Per Unit_Implementation Cost_2024</v>
      </c>
      <c r="BX1" t="str">
        <f t="shared" si="0"/>
        <v>Per Unit_Implementation Cost_2025</v>
      </c>
      <c r="BY1" t="str">
        <f t="shared" si="0"/>
        <v>Per Unit_Implementation Cost_2026</v>
      </c>
      <c r="BZ1" t="str">
        <f t="shared" si="0"/>
        <v>Per Unit_Implementation Cost_2027</v>
      </c>
      <c r="CA1" t="str">
        <f t="shared" si="0"/>
        <v>Per Unit_Implementation Cost_2028</v>
      </c>
      <c r="CB1" t="str">
        <f t="shared" si="0"/>
        <v>Per Unit_Implementation Cost_2029</v>
      </c>
      <c r="CC1" t="str">
        <f t="shared" si="0"/>
        <v>Per Unit_Implementation Cost_2030</v>
      </c>
      <c r="CD1" t="str">
        <f t="shared" si="0"/>
        <v>Per Unit_kWh _2024</v>
      </c>
      <c r="CE1" t="str">
        <f t="shared" ref="CE1:FB1" si="1">CE3&amp;"_"&amp;CE4&amp;"_"&amp;CE5</f>
        <v>Per Unit_kWh _2025</v>
      </c>
      <c r="CF1" t="str">
        <f t="shared" si="1"/>
        <v>Per Unit_kWh _2026</v>
      </c>
      <c r="CG1" t="str">
        <f t="shared" si="1"/>
        <v>Per Unit_kWh _2027</v>
      </c>
      <c r="CH1" t="str">
        <f t="shared" si="1"/>
        <v>Per Unit_kWh _2028</v>
      </c>
      <c r="CI1" t="str">
        <f t="shared" si="1"/>
        <v>Per Unit_kWh _2029</v>
      </c>
      <c r="CJ1" t="str">
        <f t="shared" si="1"/>
        <v>Per Unit_kWh _2030</v>
      </c>
      <c r="CK1" t="str">
        <f t="shared" si="1"/>
        <v>Per Unit_kW_2024</v>
      </c>
      <c r="CL1" t="str">
        <f t="shared" si="1"/>
        <v>Per Unit_kW_2025</v>
      </c>
      <c r="CM1" t="str">
        <f t="shared" si="1"/>
        <v>Per Unit_kW_2026</v>
      </c>
      <c r="CN1" t="str">
        <f t="shared" si="1"/>
        <v>Per Unit_kW_2027</v>
      </c>
      <c r="CO1" t="str">
        <f t="shared" si="1"/>
        <v>Per Unit_kW_2028</v>
      </c>
      <c r="CP1" t="str">
        <f t="shared" si="1"/>
        <v>Per Unit_kW_2029</v>
      </c>
      <c r="CQ1" t="str">
        <f t="shared" si="1"/>
        <v>Per Unit_kW_2030</v>
      </c>
      <c r="CR1" t="str">
        <f t="shared" si="1"/>
        <v>Per Unit_Therms_2024</v>
      </c>
      <c r="CS1" t="str">
        <f t="shared" si="1"/>
        <v>Per Unit_Therms_2025</v>
      </c>
      <c r="CT1" t="str">
        <f t="shared" si="1"/>
        <v>Per Unit_Therms_2026</v>
      </c>
      <c r="CU1" t="str">
        <f t="shared" si="1"/>
        <v>Per Unit_Therms_2027</v>
      </c>
      <c r="CV1" t="str">
        <f t="shared" si="1"/>
        <v>Per Unit_Therms_2028</v>
      </c>
      <c r="CW1" t="str">
        <f t="shared" si="1"/>
        <v>Per Unit_Therms_2029</v>
      </c>
      <c r="CX1" t="str">
        <f t="shared" si="1"/>
        <v>Per Unit_Therms_2030</v>
      </c>
      <c r="CY1" t="str">
        <f t="shared" si="1"/>
        <v>Program_Incremental Costs_2024</v>
      </c>
      <c r="CZ1" t="str">
        <f t="shared" si="1"/>
        <v>Program_Incremental Costs_2025</v>
      </c>
      <c r="DA1" t="str">
        <f t="shared" si="1"/>
        <v>Program_Incremental Costs_2026</v>
      </c>
      <c r="DB1" t="str">
        <f t="shared" si="1"/>
        <v>Program_Incremental Costs_2027</v>
      </c>
      <c r="DC1" t="str">
        <f t="shared" si="1"/>
        <v>Program_Incremental Costs_2028</v>
      </c>
      <c r="DD1" t="str">
        <f t="shared" si="1"/>
        <v>Program_Incremental Costs_2029</v>
      </c>
      <c r="DE1" t="str">
        <f t="shared" si="1"/>
        <v>Program_Incremental Costs_2030</v>
      </c>
      <c r="DF1" t="str">
        <f t="shared" si="1"/>
        <v>Program_Incremental Annual O&amp;M_2024</v>
      </c>
      <c r="DG1" t="str">
        <f t="shared" si="1"/>
        <v>Program_Incremental Annual O&amp;M_2025</v>
      </c>
      <c r="DH1" t="str">
        <f t="shared" si="1"/>
        <v>Program_Incremental Annual O&amp;M_2026</v>
      </c>
      <c r="DI1" t="str">
        <f t="shared" si="1"/>
        <v>Program_Incremental Annual O&amp;M_2027</v>
      </c>
      <c r="DJ1" t="str">
        <f t="shared" si="1"/>
        <v>Program_Incremental Annual O&amp;M_2028</v>
      </c>
      <c r="DK1" t="str">
        <f t="shared" si="1"/>
        <v>Program_Incremental Annual O&amp;M_2029</v>
      </c>
      <c r="DL1" t="str">
        <f>DL3&amp;"_"&amp;DL4&amp;"_"&amp;DL5</f>
        <v>Program_Incremental Annual O&amp;M_2030</v>
      </c>
      <c r="DM1" t="str">
        <f t="shared" si="1"/>
        <v>Program_Customer &amp; Dealer Incentives_2024</v>
      </c>
      <c r="DN1" t="str">
        <f t="shared" si="1"/>
        <v>Program_Customer &amp; Dealer Incentives_2025</v>
      </c>
      <c r="DO1" t="str">
        <f t="shared" si="1"/>
        <v>Program_Customer &amp; Dealer Incentives_2026</v>
      </c>
      <c r="DP1" t="str">
        <f t="shared" si="1"/>
        <v>Program_Customer &amp; Dealer Incentives_2027</v>
      </c>
      <c r="DQ1" t="str">
        <f t="shared" si="1"/>
        <v>Program_Customer &amp; Dealer Incentives_2028</v>
      </c>
      <c r="DR1" t="str">
        <f t="shared" si="1"/>
        <v>Program_Customer &amp; Dealer Incentives_2029</v>
      </c>
      <c r="DS1" t="str">
        <f t="shared" si="1"/>
        <v>Program_Customer &amp; Dealer Incentives_2030</v>
      </c>
      <c r="DT1" t="str">
        <f t="shared" si="1"/>
        <v>Program_Implementation Costs_2024</v>
      </c>
      <c r="DU1" t="str">
        <f t="shared" si="1"/>
        <v>Program_Implementation Costs_2025</v>
      </c>
      <c r="DV1" t="str">
        <f t="shared" si="1"/>
        <v>Program_Implementation Costs_2026</v>
      </c>
      <c r="DW1" t="str">
        <f t="shared" si="1"/>
        <v>Program_Implementation Costs_2027</v>
      </c>
      <c r="DX1" t="str">
        <f t="shared" si="1"/>
        <v>Program_Implementation Costs_2028</v>
      </c>
      <c r="DY1" t="str">
        <f t="shared" si="1"/>
        <v>Program_Implementation Costs_2029</v>
      </c>
      <c r="DZ1" t="str">
        <f t="shared" si="1"/>
        <v>Program_Implementation Costs_2030</v>
      </c>
      <c r="EA1" t="str">
        <f t="shared" si="1"/>
        <v>Program_kWh _2024</v>
      </c>
      <c r="EB1" t="str">
        <f t="shared" si="1"/>
        <v>Program_kWh _2025</v>
      </c>
      <c r="EC1" t="str">
        <f t="shared" si="1"/>
        <v>Program_kWh _2026</v>
      </c>
      <c r="ED1" t="str">
        <f t="shared" si="1"/>
        <v>Program_kWh _2027</v>
      </c>
      <c r="EE1" t="str">
        <f t="shared" si="1"/>
        <v>Program_kWh _2028</v>
      </c>
      <c r="EF1" t="str">
        <f t="shared" si="1"/>
        <v>Program_kWh _2029</v>
      </c>
      <c r="EG1" t="str">
        <f t="shared" si="1"/>
        <v>Program_kWh _2030</v>
      </c>
      <c r="EH1" t="str">
        <f t="shared" si="1"/>
        <v>Program_kW_2024</v>
      </c>
      <c r="EI1" t="str">
        <f t="shared" si="1"/>
        <v>Program_kW_2025</v>
      </c>
      <c r="EJ1" t="str">
        <f t="shared" si="1"/>
        <v>Program_kW_2026</v>
      </c>
      <c r="EK1" t="str">
        <f t="shared" si="1"/>
        <v>Program_kW_2027</v>
      </c>
      <c r="EL1" t="str">
        <f t="shared" si="1"/>
        <v>Program_kW_2028</v>
      </c>
      <c r="EM1" t="str">
        <f t="shared" si="1"/>
        <v>Program_kW_2029</v>
      </c>
      <c r="EN1" t="str">
        <f t="shared" si="1"/>
        <v>Program_kW_2030</v>
      </c>
      <c r="EO1" t="str">
        <f t="shared" si="1"/>
        <v>Program_Therms_2024</v>
      </c>
      <c r="EP1" t="str">
        <f t="shared" si="1"/>
        <v>Program_Therms_2025</v>
      </c>
      <c r="EQ1" t="str">
        <f t="shared" si="1"/>
        <v>Program_Therms_2026</v>
      </c>
      <c r="ER1" t="str">
        <f t="shared" si="1"/>
        <v>Program_Therms_2027</v>
      </c>
      <c r="ES1" t="str">
        <f t="shared" si="1"/>
        <v>Program_Therms_2028</v>
      </c>
      <c r="ET1" t="str">
        <f t="shared" si="1"/>
        <v>Program_Therms_2029</v>
      </c>
      <c r="EU1" t="str">
        <f t="shared" si="1"/>
        <v>Program_Therms_2030</v>
      </c>
      <c r="EV1" t="str">
        <f t="shared" si="1"/>
        <v>_Total Plan Summary 2024 - 2030_Participation</v>
      </c>
      <c r="EW1" t="str">
        <f t="shared" si="1"/>
        <v>__Incremental Costs ($)</v>
      </c>
      <c r="EX1" t="str">
        <f t="shared" si="1"/>
        <v>__Incremental Annual O&amp;M ($)</v>
      </c>
      <c r="EY1" t="str">
        <f t="shared" si="1"/>
        <v>__Customer &amp; Dealer Incentives ($)</v>
      </c>
      <c r="EZ1" t="str">
        <f t="shared" si="1"/>
        <v>__Implementation Costs ($)</v>
      </c>
      <c r="FA1" t="str">
        <f t="shared" si="1"/>
        <v>__Electric kWh  Benefits</v>
      </c>
      <c r="FB1" t="str">
        <f t="shared" si="1"/>
        <v>__Electric kW Peak Demand Benefits</v>
      </c>
      <c r="FC1" t="str">
        <f>FC3&amp;"_"&amp;FC4&amp;"_"&amp;FC5</f>
        <v>__Natural Gas Therms Benefits</v>
      </c>
    </row>
    <row r="2" spans="1:168" s="5" customFormat="1" ht="16" thickBot="1">
      <c r="A2" s="1" t="s">
        <v>5</v>
      </c>
      <c r="B2" s="4"/>
      <c r="V2" s="6"/>
      <c r="W2" s="6"/>
      <c r="X2" s="81"/>
      <c r="Y2" s="81"/>
      <c r="Z2" s="81"/>
      <c r="AA2" s="81"/>
      <c r="AB2" s="81"/>
      <c r="AC2" s="81"/>
      <c r="AD2" s="6"/>
      <c r="AE2" s="6"/>
      <c r="AF2" s="6"/>
      <c r="AG2" s="6"/>
      <c r="AH2" s="6"/>
      <c r="AI2" s="6"/>
      <c r="AJ2" s="6"/>
      <c r="AK2" s="6"/>
      <c r="AL2" s="6"/>
      <c r="AM2" s="6"/>
      <c r="AN2" s="7"/>
      <c r="AO2" s="7"/>
      <c r="AP2" s="7"/>
      <c r="AQ2" s="7"/>
      <c r="AR2" s="7"/>
      <c r="AS2" s="7"/>
      <c r="AT2" s="7"/>
      <c r="AU2" s="7"/>
      <c r="BB2" s="1379" t="s">
        <v>327</v>
      </c>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408" t="s">
        <v>328</v>
      </c>
      <c r="CE2" s="1408"/>
      <c r="CF2" s="1408"/>
      <c r="CG2" s="1408"/>
      <c r="CH2" s="1408"/>
      <c r="CI2" s="1408"/>
      <c r="CJ2" s="1408"/>
      <c r="CK2" s="1408" t="s">
        <v>329</v>
      </c>
      <c r="CL2" s="1408"/>
      <c r="CM2" s="1408"/>
      <c r="CN2" s="1408"/>
      <c r="CO2" s="1408"/>
      <c r="CP2" s="1408"/>
      <c r="CQ2" s="1408"/>
      <c r="CR2" s="1408" t="s">
        <v>330</v>
      </c>
      <c r="CS2" s="1408"/>
      <c r="CT2" s="1408"/>
      <c r="CU2" s="1408"/>
      <c r="CV2" s="1408"/>
      <c r="CW2" s="1408"/>
      <c r="CX2" s="1408"/>
      <c r="CY2" s="1379" t="s">
        <v>327</v>
      </c>
      <c r="CZ2" s="1379"/>
      <c r="DA2" s="1379"/>
      <c r="DB2" s="1379"/>
      <c r="DC2" s="1379"/>
      <c r="DD2" s="1379"/>
      <c r="DE2" s="1379"/>
      <c r="DF2" s="1379"/>
      <c r="DG2" s="1379"/>
      <c r="DH2" s="1379"/>
      <c r="DI2" s="1379"/>
      <c r="DJ2" s="1379"/>
      <c r="DK2" s="1379"/>
      <c r="DL2" s="1380"/>
      <c r="DM2" s="1379"/>
      <c r="DN2" s="1379"/>
      <c r="DO2" s="1379"/>
      <c r="DP2" s="1379"/>
      <c r="DQ2" s="1379"/>
      <c r="DR2" s="1379"/>
      <c r="DS2" s="1379"/>
      <c r="DT2" s="1379"/>
      <c r="DU2" s="1379"/>
      <c r="DV2" s="1379"/>
      <c r="DW2" s="1379"/>
      <c r="DX2" s="1379"/>
      <c r="DY2" s="1379"/>
      <c r="DZ2" s="1379"/>
      <c r="EA2" s="1408" t="s">
        <v>328</v>
      </c>
      <c r="EB2" s="1409"/>
      <c r="EC2" s="1409"/>
      <c r="ED2" s="1409"/>
      <c r="EE2" s="1409"/>
      <c r="EF2" s="1409"/>
      <c r="EG2" s="1410"/>
      <c r="EH2" s="1408" t="s">
        <v>329</v>
      </c>
      <c r="EI2" s="1409"/>
      <c r="EJ2" s="1409"/>
      <c r="EK2" s="1409"/>
      <c r="EL2" s="1409"/>
      <c r="EM2" s="1409"/>
      <c r="EN2" s="1410"/>
      <c r="EO2" s="1367" t="s">
        <v>330</v>
      </c>
      <c r="EP2" s="1367"/>
      <c r="EQ2" s="1367"/>
      <c r="ER2" s="1367"/>
      <c r="ES2" s="1367"/>
      <c r="ET2" s="1367"/>
      <c r="EU2" s="1367"/>
    </row>
    <row r="3" spans="1:168">
      <c r="A3" s="14" t="s">
        <v>1140</v>
      </c>
      <c r="B3" s="8"/>
      <c r="C3" s="8"/>
      <c r="U3" s="2"/>
      <c r="AK3" s="3"/>
      <c r="AL3" s="3"/>
      <c r="AM3" s="3"/>
      <c r="AN3" s="9"/>
      <c r="AO3" s="9"/>
      <c r="AP3" s="9"/>
      <c r="AQ3" s="9"/>
      <c r="AR3" s="9"/>
      <c r="AS3" s="9"/>
      <c r="AT3" s="9"/>
      <c r="AU3" s="9"/>
      <c r="BB3" s="109" t="s">
        <v>331</v>
      </c>
      <c r="BC3" s="110" t="s">
        <v>331</v>
      </c>
      <c r="BD3" s="110" t="s">
        <v>331</v>
      </c>
      <c r="BE3" s="110" t="s">
        <v>331</v>
      </c>
      <c r="BF3" s="110" t="s">
        <v>331</v>
      </c>
      <c r="BG3" s="110" t="s">
        <v>331</v>
      </c>
      <c r="BH3" s="110" t="s">
        <v>331</v>
      </c>
      <c r="BI3" s="109" t="s">
        <v>331</v>
      </c>
      <c r="BJ3" s="110" t="s">
        <v>331</v>
      </c>
      <c r="BK3" s="110" t="s">
        <v>331</v>
      </c>
      <c r="BL3" s="110" t="s">
        <v>331</v>
      </c>
      <c r="BM3" s="110" t="s">
        <v>331</v>
      </c>
      <c r="BN3" s="110" t="s">
        <v>331</v>
      </c>
      <c r="BO3" s="110" t="s">
        <v>331</v>
      </c>
      <c r="BP3" s="109" t="s">
        <v>331</v>
      </c>
      <c r="BQ3" s="110" t="s">
        <v>331</v>
      </c>
      <c r="BR3" s="110" t="s">
        <v>331</v>
      </c>
      <c r="BS3" s="110" t="s">
        <v>331</v>
      </c>
      <c r="BT3" s="110" t="s">
        <v>331</v>
      </c>
      <c r="BU3" s="110" t="s">
        <v>331</v>
      </c>
      <c r="BV3" s="110" t="s">
        <v>331</v>
      </c>
      <c r="BW3" s="109" t="s">
        <v>331</v>
      </c>
      <c r="BX3" s="110" t="s">
        <v>331</v>
      </c>
      <c r="BY3" s="110" t="s">
        <v>331</v>
      </c>
      <c r="BZ3" s="110" t="s">
        <v>331</v>
      </c>
      <c r="CA3" s="110" t="s">
        <v>331</v>
      </c>
      <c r="CB3" s="110" t="s">
        <v>331</v>
      </c>
      <c r="CC3" s="110" t="s">
        <v>331</v>
      </c>
      <c r="CD3" s="112" t="s">
        <v>331</v>
      </c>
      <c r="CE3" s="113" t="s">
        <v>331</v>
      </c>
      <c r="CF3" s="113" t="s">
        <v>331</v>
      </c>
      <c r="CG3" s="113" t="s">
        <v>331</v>
      </c>
      <c r="CH3" s="113" t="s">
        <v>331</v>
      </c>
      <c r="CI3" s="113" t="s">
        <v>331</v>
      </c>
      <c r="CJ3" s="113" t="s">
        <v>331</v>
      </c>
      <c r="CK3" s="112" t="s">
        <v>331</v>
      </c>
      <c r="CL3" s="113" t="s">
        <v>331</v>
      </c>
      <c r="CM3" s="113" t="s">
        <v>331</v>
      </c>
      <c r="CN3" s="113" t="s">
        <v>331</v>
      </c>
      <c r="CO3" s="113" t="s">
        <v>331</v>
      </c>
      <c r="CP3" s="113" t="s">
        <v>331</v>
      </c>
      <c r="CQ3" s="113" t="s">
        <v>331</v>
      </c>
      <c r="CR3" s="112" t="s">
        <v>331</v>
      </c>
      <c r="CS3" s="113" t="s">
        <v>331</v>
      </c>
      <c r="CT3" s="113" t="s">
        <v>331</v>
      </c>
      <c r="CU3" s="113" t="s">
        <v>331</v>
      </c>
      <c r="CV3" s="113" t="s">
        <v>331</v>
      </c>
      <c r="CW3" s="113" t="s">
        <v>331</v>
      </c>
      <c r="CX3" s="283" t="s">
        <v>331</v>
      </c>
      <c r="CY3" s="109" t="s">
        <v>0</v>
      </c>
      <c r="CZ3" s="110" t="s">
        <v>0</v>
      </c>
      <c r="DA3" s="110" t="s">
        <v>0</v>
      </c>
      <c r="DB3" s="110" t="s">
        <v>0</v>
      </c>
      <c r="DC3" s="110" t="s">
        <v>0</v>
      </c>
      <c r="DD3" s="110" t="s">
        <v>0</v>
      </c>
      <c r="DE3" s="111" t="s">
        <v>0</v>
      </c>
      <c r="DF3" s="109" t="s">
        <v>0</v>
      </c>
      <c r="DG3" s="110" t="s">
        <v>0</v>
      </c>
      <c r="DH3" s="110" t="s">
        <v>0</v>
      </c>
      <c r="DI3" s="110" t="s">
        <v>0</v>
      </c>
      <c r="DJ3" s="110" t="s">
        <v>0</v>
      </c>
      <c r="DK3" s="110" t="s">
        <v>0</v>
      </c>
      <c r="DL3" s="110" t="s">
        <v>0</v>
      </c>
      <c r="DM3" s="109" t="s">
        <v>0</v>
      </c>
      <c r="DN3" s="110" t="s">
        <v>0</v>
      </c>
      <c r="DO3" s="110" t="s">
        <v>0</v>
      </c>
      <c r="DP3" s="110" t="s">
        <v>0</v>
      </c>
      <c r="DQ3" s="110" t="s">
        <v>0</v>
      </c>
      <c r="DR3" s="110" t="s">
        <v>0</v>
      </c>
      <c r="DS3" s="110" t="s">
        <v>0</v>
      </c>
      <c r="DT3" s="109" t="s">
        <v>0</v>
      </c>
      <c r="DU3" s="110" t="s">
        <v>0</v>
      </c>
      <c r="DV3" s="110" t="s">
        <v>0</v>
      </c>
      <c r="DW3" s="110" t="s">
        <v>0</v>
      </c>
      <c r="DX3" s="110" t="s">
        <v>0</v>
      </c>
      <c r="DY3" s="110" t="s">
        <v>0</v>
      </c>
      <c r="DZ3" s="110" t="s">
        <v>0</v>
      </c>
      <c r="EA3" s="115" t="s">
        <v>0</v>
      </c>
      <c r="EB3" s="116" t="s">
        <v>0</v>
      </c>
      <c r="EC3" s="116" t="s">
        <v>0</v>
      </c>
      <c r="ED3" s="116" t="s">
        <v>0</v>
      </c>
      <c r="EE3" s="116" t="s">
        <v>0</v>
      </c>
      <c r="EF3" s="116" t="s">
        <v>0</v>
      </c>
      <c r="EG3" s="116" t="s">
        <v>0</v>
      </c>
      <c r="EH3" s="115" t="s">
        <v>0</v>
      </c>
      <c r="EI3" s="116" t="s">
        <v>0</v>
      </c>
      <c r="EJ3" s="116" t="s">
        <v>0</v>
      </c>
      <c r="EK3" s="116" t="s">
        <v>0</v>
      </c>
      <c r="EL3" s="116" t="s">
        <v>0</v>
      </c>
      <c r="EM3" s="116" t="s">
        <v>0</v>
      </c>
      <c r="EN3" s="116" t="s">
        <v>0</v>
      </c>
      <c r="EO3" s="115" t="s">
        <v>0</v>
      </c>
      <c r="EP3" s="116" t="s">
        <v>0</v>
      </c>
      <c r="EQ3" s="116" t="s">
        <v>0</v>
      </c>
      <c r="ER3" s="116" t="s">
        <v>0</v>
      </c>
      <c r="ES3" s="116" t="s">
        <v>0</v>
      </c>
      <c r="ET3" s="116" t="s">
        <v>0</v>
      </c>
      <c r="EU3" s="116" t="s">
        <v>0</v>
      </c>
    </row>
    <row r="4" spans="1:168" ht="38.25" customHeight="1">
      <c r="A4" s="656" t="s">
        <v>127</v>
      </c>
      <c r="B4" s="656"/>
      <c r="C4" s="656"/>
      <c r="D4" s="656"/>
      <c r="E4" s="656"/>
      <c r="F4" s="1013"/>
      <c r="G4" s="1370" t="s">
        <v>332</v>
      </c>
      <c r="H4" s="1370"/>
      <c r="I4" s="1370"/>
      <c r="J4" s="1370"/>
      <c r="K4" s="1370"/>
      <c r="L4" s="1370"/>
      <c r="M4" s="1370"/>
      <c r="N4" s="1370"/>
      <c r="O4" s="1370"/>
      <c r="P4" s="1370"/>
      <c r="Q4" s="1370"/>
      <c r="R4" s="1373" t="s">
        <v>333</v>
      </c>
      <c r="S4" s="1373"/>
      <c r="T4" s="1373"/>
      <c r="U4" s="1373"/>
      <c r="V4" s="1374" t="s">
        <v>334</v>
      </c>
      <c r="W4" s="1374"/>
      <c r="X4" s="1374"/>
      <c r="Y4" s="1374"/>
      <c r="Z4" s="1374"/>
      <c r="AA4" s="1374"/>
      <c r="AB4" s="1374"/>
      <c r="AC4" s="1374"/>
      <c r="AD4" s="1374"/>
      <c r="AE4" s="1374"/>
      <c r="AF4" s="1374"/>
      <c r="AG4" s="1374"/>
      <c r="AH4" s="1374"/>
      <c r="AI4" s="1374"/>
      <c r="AJ4" s="1374"/>
      <c r="AK4" s="1376" t="s">
        <v>335</v>
      </c>
      <c r="AL4" s="1376"/>
      <c r="AM4" s="1376"/>
      <c r="AN4" s="1376"/>
      <c r="AO4" s="1376"/>
      <c r="AP4" s="1376"/>
      <c r="AQ4" s="1376"/>
      <c r="AR4" s="1376"/>
      <c r="AS4" s="1376"/>
      <c r="AT4" s="1376"/>
      <c r="AU4" s="1376"/>
      <c r="AV4" s="1376"/>
      <c r="AW4" s="1376"/>
      <c r="AX4" s="1376"/>
      <c r="AY4" s="687" t="s">
        <v>336</v>
      </c>
      <c r="AZ4" s="1376" t="s">
        <v>337</v>
      </c>
      <c r="BA4" s="1376"/>
      <c r="BB4" s="688" t="s">
        <v>128</v>
      </c>
      <c r="BC4" s="476" t="s">
        <v>128</v>
      </c>
      <c r="BD4" s="476" t="s">
        <v>128</v>
      </c>
      <c r="BE4" s="476" t="s">
        <v>128</v>
      </c>
      <c r="BF4" s="476" t="s">
        <v>128</v>
      </c>
      <c r="BG4" s="476" t="s">
        <v>128</v>
      </c>
      <c r="BH4" s="476" t="s">
        <v>128</v>
      </c>
      <c r="BI4" s="688" t="s">
        <v>129</v>
      </c>
      <c r="BJ4" s="476" t="s">
        <v>129</v>
      </c>
      <c r="BK4" s="476" t="s">
        <v>129</v>
      </c>
      <c r="BL4" s="476" t="s">
        <v>129</v>
      </c>
      <c r="BM4" s="476" t="s">
        <v>129</v>
      </c>
      <c r="BN4" s="476" t="s">
        <v>129</v>
      </c>
      <c r="BO4" s="476" t="s">
        <v>129</v>
      </c>
      <c r="BP4" s="688" t="s">
        <v>130</v>
      </c>
      <c r="BQ4" s="476" t="s">
        <v>130</v>
      </c>
      <c r="BR4" s="476" t="s">
        <v>130</v>
      </c>
      <c r="BS4" s="476" t="s">
        <v>130</v>
      </c>
      <c r="BT4" s="476" t="s">
        <v>130</v>
      </c>
      <c r="BU4" s="476" t="s">
        <v>130</v>
      </c>
      <c r="BV4" s="476" t="s">
        <v>130</v>
      </c>
      <c r="BW4" s="688" t="s">
        <v>338</v>
      </c>
      <c r="BX4" s="476" t="s">
        <v>338</v>
      </c>
      <c r="BY4" s="476" t="s">
        <v>338</v>
      </c>
      <c r="BZ4" s="476" t="s">
        <v>338</v>
      </c>
      <c r="CA4" s="476" t="s">
        <v>338</v>
      </c>
      <c r="CB4" s="476" t="s">
        <v>338</v>
      </c>
      <c r="CC4" s="476" t="s">
        <v>338</v>
      </c>
      <c r="CD4" s="690" t="s">
        <v>131</v>
      </c>
      <c r="CE4" s="477" t="s">
        <v>131</v>
      </c>
      <c r="CF4" s="477" t="s">
        <v>131</v>
      </c>
      <c r="CG4" s="477" t="s">
        <v>131</v>
      </c>
      <c r="CH4" s="477" t="s">
        <v>131</v>
      </c>
      <c r="CI4" s="477" t="s">
        <v>131</v>
      </c>
      <c r="CJ4" s="477" t="s">
        <v>131</v>
      </c>
      <c r="CK4" s="690" t="s">
        <v>132</v>
      </c>
      <c r="CL4" s="477" t="s">
        <v>132</v>
      </c>
      <c r="CM4" s="477" t="s">
        <v>132</v>
      </c>
      <c r="CN4" s="477" t="s">
        <v>132</v>
      </c>
      <c r="CO4" s="477" t="s">
        <v>132</v>
      </c>
      <c r="CP4" s="477" t="s">
        <v>132</v>
      </c>
      <c r="CQ4" s="477" t="s">
        <v>132</v>
      </c>
      <c r="CR4" s="690" t="s">
        <v>133</v>
      </c>
      <c r="CS4" s="477" t="s">
        <v>133</v>
      </c>
      <c r="CT4" s="477" t="s">
        <v>133</v>
      </c>
      <c r="CU4" s="477" t="s">
        <v>133</v>
      </c>
      <c r="CV4" s="477" t="s">
        <v>133</v>
      </c>
      <c r="CW4" s="477" t="s">
        <v>133</v>
      </c>
      <c r="CX4" s="512" t="s">
        <v>133</v>
      </c>
      <c r="CY4" s="688" t="s">
        <v>128</v>
      </c>
      <c r="CZ4" s="476" t="s">
        <v>128</v>
      </c>
      <c r="DA4" s="476" t="s">
        <v>128</v>
      </c>
      <c r="DB4" s="476" t="s">
        <v>128</v>
      </c>
      <c r="DC4" s="476" t="s">
        <v>128</v>
      </c>
      <c r="DD4" s="476" t="s">
        <v>128</v>
      </c>
      <c r="DE4" s="689" t="s">
        <v>128</v>
      </c>
      <c r="DF4" s="688" t="s">
        <v>129</v>
      </c>
      <c r="DG4" s="476" t="s">
        <v>129</v>
      </c>
      <c r="DH4" s="476" t="s">
        <v>129</v>
      </c>
      <c r="DI4" s="476" t="s">
        <v>129</v>
      </c>
      <c r="DJ4" s="476" t="s">
        <v>129</v>
      </c>
      <c r="DK4" s="476" t="s">
        <v>129</v>
      </c>
      <c r="DL4" s="476" t="s">
        <v>129</v>
      </c>
      <c r="DM4" s="688" t="s">
        <v>130</v>
      </c>
      <c r="DN4" s="476" t="s">
        <v>130</v>
      </c>
      <c r="DO4" s="476" t="s">
        <v>130</v>
      </c>
      <c r="DP4" s="476" t="s">
        <v>130</v>
      </c>
      <c r="DQ4" s="476" t="s">
        <v>130</v>
      </c>
      <c r="DR4" s="476" t="s">
        <v>130</v>
      </c>
      <c r="DS4" s="476" t="s">
        <v>130</v>
      </c>
      <c r="DT4" s="688" t="s">
        <v>165</v>
      </c>
      <c r="DU4" s="476" t="s">
        <v>165</v>
      </c>
      <c r="DV4" s="476" t="s">
        <v>165</v>
      </c>
      <c r="DW4" s="476" t="s">
        <v>165</v>
      </c>
      <c r="DX4" s="476" t="s">
        <v>165</v>
      </c>
      <c r="DY4" s="476" t="s">
        <v>165</v>
      </c>
      <c r="DZ4" s="476" t="s">
        <v>165</v>
      </c>
      <c r="EA4" s="690" t="s">
        <v>131</v>
      </c>
      <c r="EB4" s="477" t="s">
        <v>131</v>
      </c>
      <c r="EC4" s="477" t="s">
        <v>131</v>
      </c>
      <c r="ED4" s="477" t="s">
        <v>131</v>
      </c>
      <c r="EE4" s="477" t="s">
        <v>131</v>
      </c>
      <c r="EF4" s="477" t="s">
        <v>131</v>
      </c>
      <c r="EG4" s="477" t="s">
        <v>131</v>
      </c>
      <c r="EH4" s="690" t="s">
        <v>132</v>
      </c>
      <c r="EI4" s="477" t="s">
        <v>132</v>
      </c>
      <c r="EJ4" s="477" t="s">
        <v>132</v>
      </c>
      <c r="EK4" s="477" t="s">
        <v>132</v>
      </c>
      <c r="EL4" s="477" t="s">
        <v>132</v>
      </c>
      <c r="EM4" s="477" t="s">
        <v>132</v>
      </c>
      <c r="EN4" s="477" t="s">
        <v>132</v>
      </c>
      <c r="EO4" s="690" t="s">
        <v>133</v>
      </c>
      <c r="EP4" s="477" t="s">
        <v>133</v>
      </c>
      <c r="EQ4" s="477" t="s">
        <v>133</v>
      </c>
      <c r="ER4" s="477" t="s">
        <v>133</v>
      </c>
      <c r="ES4" s="477" t="s">
        <v>133</v>
      </c>
      <c r="ET4" s="477" t="s">
        <v>133</v>
      </c>
      <c r="EU4" s="477" t="s">
        <v>133</v>
      </c>
      <c r="EV4" s="1345" t="s">
        <v>738</v>
      </c>
      <c r="EW4" s="1342"/>
      <c r="EX4" s="1342"/>
      <c r="EY4" s="1342"/>
      <c r="EZ4" s="1342"/>
      <c r="FA4" s="1342"/>
      <c r="FB4" s="1342"/>
      <c r="FC4" s="1342"/>
    </row>
    <row r="5" spans="1:168" ht="39.5" thickBot="1">
      <c r="A5" s="443" t="s">
        <v>135</v>
      </c>
      <c r="B5" s="443" t="s">
        <v>136</v>
      </c>
      <c r="C5" s="443" t="s">
        <v>137</v>
      </c>
      <c r="D5" s="443" t="s">
        <v>339</v>
      </c>
      <c r="E5" s="443" t="s">
        <v>1180</v>
      </c>
      <c r="F5" s="443" t="s">
        <v>138</v>
      </c>
      <c r="G5" s="692" t="s">
        <v>340</v>
      </c>
      <c r="H5" s="692" t="s">
        <v>341</v>
      </c>
      <c r="I5" s="692" t="s">
        <v>342</v>
      </c>
      <c r="J5" s="692" t="s">
        <v>343</v>
      </c>
      <c r="K5" s="692" t="s">
        <v>344</v>
      </c>
      <c r="L5" s="692" t="s">
        <v>345</v>
      </c>
      <c r="M5" s="692" t="s">
        <v>346</v>
      </c>
      <c r="N5" s="692" t="s">
        <v>347</v>
      </c>
      <c r="O5" s="692" t="s">
        <v>348</v>
      </c>
      <c r="P5" s="692" t="s">
        <v>349</v>
      </c>
      <c r="Q5" s="692" t="s">
        <v>338</v>
      </c>
      <c r="R5" s="693" t="s">
        <v>350</v>
      </c>
      <c r="S5" s="693" t="s">
        <v>351</v>
      </c>
      <c r="T5" s="693" t="s">
        <v>352</v>
      </c>
      <c r="U5" s="693" t="s">
        <v>353</v>
      </c>
      <c r="V5" s="658" t="s">
        <v>354</v>
      </c>
      <c r="W5" s="658" t="s">
        <v>355</v>
      </c>
      <c r="X5" s="1014">
        <v>2018</v>
      </c>
      <c r="Y5" s="1014">
        <v>2019</v>
      </c>
      <c r="Z5" s="1014">
        <v>2020</v>
      </c>
      <c r="AA5" s="1014">
        <v>2021</v>
      </c>
      <c r="AB5" s="1015" t="s">
        <v>357</v>
      </c>
      <c r="AC5" s="1015" t="s">
        <v>390</v>
      </c>
      <c r="AD5" s="658" t="s">
        <v>15</v>
      </c>
      <c r="AE5" s="658" t="s">
        <v>16</v>
      </c>
      <c r="AF5" s="658" t="s">
        <v>17</v>
      </c>
      <c r="AG5" s="658" t="s">
        <v>18</v>
      </c>
      <c r="AH5" s="658" t="s">
        <v>19</v>
      </c>
      <c r="AI5" s="658" t="s">
        <v>20</v>
      </c>
      <c r="AJ5" s="658" t="s">
        <v>21</v>
      </c>
      <c r="AK5" s="697" t="s">
        <v>359</v>
      </c>
      <c r="AL5" s="697" t="s">
        <v>166</v>
      </c>
      <c r="AM5" s="697" t="s">
        <v>360</v>
      </c>
      <c r="AN5" s="697" t="s">
        <v>361</v>
      </c>
      <c r="AO5" s="697" t="s">
        <v>362</v>
      </c>
      <c r="AP5" s="697" t="s">
        <v>363</v>
      </c>
      <c r="AQ5" s="697" t="s">
        <v>364</v>
      </c>
      <c r="AR5" s="697" t="s">
        <v>365</v>
      </c>
      <c r="AS5" s="698" t="s">
        <v>167</v>
      </c>
      <c r="AT5" s="698" t="s">
        <v>168</v>
      </c>
      <c r="AU5" s="698" t="s">
        <v>169</v>
      </c>
      <c r="AV5" s="697" t="s">
        <v>170</v>
      </c>
      <c r="AW5" s="697" t="s">
        <v>366</v>
      </c>
      <c r="AX5" s="699" t="s">
        <v>367</v>
      </c>
      <c r="AY5" s="699" t="s">
        <v>368</v>
      </c>
      <c r="AZ5" s="699" t="s">
        <v>369</v>
      </c>
      <c r="BA5" s="699" t="s">
        <v>370</v>
      </c>
      <c r="BB5" s="1016">
        <v>2024</v>
      </c>
      <c r="BC5" s="1016">
        <v>2025</v>
      </c>
      <c r="BD5" s="1016">
        <v>2026</v>
      </c>
      <c r="BE5" s="1016">
        <v>2027</v>
      </c>
      <c r="BF5" s="1016">
        <v>2028</v>
      </c>
      <c r="BG5" s="1016">
        <v>2029</v>
      </c>
      <c r="BH5" s="1017">
        <v>2030</v>
      </c>
      <c r="BI5" s="1016">
        <v>2024</v>
      </c>
      <c r="BJ5" s="1016">
        <v>2025</v>
      </c>
      <c r="BK5" s="1016">
        <v>2026</v>
      </c>
      <c r="BL5" s="1016">
        <v>2027</v>
      </c>
      <c r="BM5" s="1016">
        <v>2028</v>
      </c>
      <c r="BN5" s="1016">
        <v>2029</v>
      </c>
      <c r="BO5" s="1017">
        <v>2030</v>
      </c>
      <c r="BP5" s="1016">
        <v>2024</v>
      </c>
      <c r="BQ5" s="391">
        <v>2025</v>
      </c>
      <c r="BR5" s="1016">
        <v>2026</v>
      </c>
      <c r="BS5" s="1016">
        <v>2027</v>
      </c>
      <c r="BT5" s="1016">
        <v>2028</v>
      </c>
      <c r="BU5" s="1016">
        <v>2029</v>
      </c>
      <c r="BV5" s="1017">
        <v>2030</v>
      </c>
      <c r="BW5" s="1016">
        <v>2024</v>
      </c>
      <c r="BX5" s="1016">
        <v>2025</v>
      </c>
      <c r="BY5" s="1016">
        <v>2026</v>
      </c>
      <c r="BZ5" s="1016">
        <v>2027</v>
      </c>
      <c r="CA5" s="1016">
        <v>2028</v>
      </c>
      <c r="CB5" s="1016">
        <v>2029</v>
      </c>
      <c r="CC5" s="1017">
        <v>2030</v>
      </c>
      <c r="CD5" s="1018">
        <v>2024</v>
      </c>
      <c r="CE5" s="1018">
        <v>2025</v>
      </c>
      <c r="CF5" s="1018">
        <v>2026</v>
      </c>
      <c r="CG5" s="1018">
        <v>2027</v>
      </c>
      <c r="CH5" s="1018">
        <v>2028</v>
      </c>
      <c r="CI5" s="1018">
        <v>2029</v>
      </c>
      <c r="CJ5" s="1019">
        <v>2030</v>
      </c>
      <c r="CK5" s="1018">
        <v>2024</v>
      </c>
      <c r="CL5" s="1018">
        <v>2025</v>
      </c>
      <c r="CM5" s="1018">
        <v>2026</v>
      </c>
      <c r="CN5" s="1018">
        <v>2027</v>
      </c>
      <c r="CO5" s="1018">
        <v>2028</v>
      </c>
      <c r="CP5" s="1018">
        <v>2029</v>
      </c>
      <c r="CQ5" s="1019">
        <v>2030</v>
      </c>
      <c r="CR5" s="1018">
        <v>2024</v>
      </c>
      <c r="CS5" s="1018">
        <v>2025</v>
      </c>
      <c r="CT5" s="1018">
        <v>2026</v>
      </c>
      <c r="CU5" s="1018">
        <v>2027</v>
      </c>
      <c r="CV5" s="1018">
        <v>2028</v>
      </c>
      <c r="CW5" s="1018">
        <v>2029</v>
      </c>
      <c r="CX5" s="1020">
        <v>2030</v>
      </c>
      <c r="CY5" s="394">
        <v>2024</v>
      </c>
      <c r="CZ5" s="391">
        <v>2025</v>
      </c>
      <c r="DA5" s="391">
        <v>2026</v>
      </c>
      <c r="DB5" s="391">
        <v>2027</v>
      </c>
      <c r="DC5" s="391">
        <v>2028</v>
      </c>
      <c r="DD5" s="391">
        <v>2029</v>
      </c>
      <c r="DE5" s="543">
        <v>2030</v>
      </c>
      <c r="DF5" s="391">
        <v>2024</v>
      </c>
      <c r="DG5" s="391">
        <v>2025</v>
      </c>
      <c r="DH5" s="391">
        <v>2026</v>
      </c>
      <c r="DI5" s="391">
        <v>2027</v>
      </c>
      <c r="DJ5" s="391">
        <v>2028</v>
      </c>
      <c r="DK5" s="391">
        <v>2029</v>
      </c>
      <c r="DL5" s="543">
        <v>2030</v>
      </c>
      <c r="DM5" s="391">
        <v>2024</v>
      </c>
      <c r="DN5" s="1016">
        <v>2025</v>
      </c>
      <c r="DO5" s="1016">
        <v>2026</v>
      </c>
      <c r="DP5" s="1016">
        <v>2027</v>
      </c>
      <c r="DQ5" s="1016">
        <v>2028</v>
      </c>
      <c r="DR5" s="1016">
        <v>2029</v>
      </c>
      <c r="DS5" s="1017">
        <v>2030</v>
      </c>
      <c r="DT5" s="391">
        <v>2024</v>
      </c>
      <c r="DU5" s="391">
        <v>2025</v>
      </c>
      <c r="DV5" s="391">
        <v>2026</v>
      </c>
      <c r="DW5" s="391">
        <v>2027</v>
      </c>
      <c r="DX5" s="391">
        <v>2028</v>
      </c>
      <c r="DY5" s="391">
        <v>2029</v>
      </c>
      <c r="DZ5" s="543">
        <v>2030</v>
      </c>
      <c r="EA5" s="355">
        <v>2024</v>
      </c>
      <c r="EB5" s="355">
        <v>2025</v>
      </c>
      <c r="EC5" s="355">
        <v>2026</v>
      </c>
      <c r="ED5" s="355">
        <v>2027</v>
      </c>
      <c r="EE5" s="355">
        <v>2028</v>
      </c>
      <c r="EF5" s="355">
        <v>2029</v>
      </c>
      <c r="EG5" s="544">
        <v>2030</v>
      </c>
      <c r="EH5" s="355">
        <v>2024</v>
      </c>
      <c r="EI5" s="355">
        <v>2025</v>
      </c>
      <c r="EJ5" s="355">
        <v>2026</v>
      </c>
      <c r="EK5" s="355">
        <v>2027</v>
      </c>
      <c r="EL5" s="355">
        <v>2028</v>
      </c>
      <c r="EM5" s="355">
        <v>2029</v>
      </c>
      <c r="EN5" s="544">
        <v>2030</v>
      </c>
      <c r="EO5" s="355">
        <v>2024</v>
      </c>
      <c r="EP5" s="355">
        <v>2025</v>
      </c>
      <c r="EQ5" s="355">
        <v>2026</v>
      </c>
      <c r="ER5" s="355">
        <v>2027</v>
      </c>
      <c r="ES5" s="355">
        <v>2028</v>
      </c>
      <c r="ET5" s="355">
        <v>2029</v>
      </c>
      <c r="EU5" s="544">
        <v>2030</v>
      </c>
      <c r="EV5" s="514" t="s">
        <v>9</v>
      </c>
      <c r="EW5" s="659" t="s">
        <v>139</v>
      </c>
      <c r="EX5" s="659" t="s">
        <v>140</v>
      </c>
      <c r="EY5" s="659" t="s">
        <v>141</v>
      </c>
      <c r="EZ5" s="659" t="s">
        <v>142</v>
      </c>
      <c r="FA5" s="659" t="s">
        <v>12</v>
      </c>
      <c r="FB5" s="659" t="s">
        <v>13</v>
      </c>
      <c r="FC5" s="659" t="s">
        <v>14</v>
      </c>
    </row>
    <row r="6" spans="1:168" s="10" customFormat="1" ht="12.75" customHeight="1">
      <c r="A6" s="662">
        <v>1</v>
      </c>
      <c r="B6" s="789" t="s">
        <v>1181</v>
      </c>
      <c r="C6" s="789" t="s">
        <v>1182</v>
      </c>
      <c r="D6" s="789" t="s">
        <v>1183</v>
      </c>
      <c r="E6" s="789" t="s">
        <v>1143</v>
      </c>
      <c r="F6" s="789" t="s">
        <v>1143</v>
      </c>
      <c r="G6" s="704" t="s">
        <v>372</v>
      </c>
      <c r="H6" s="704">
        <v>0</v>
      </c>
      <c r="I6" s="704">
        <f>O6/25%</f>
        <v>12000</v>
      </c>
      <c r="J6" s="704">
        <f>H6+I6</f>
        <v>12000</v>
      </c>
      <c r="K6" s="704">
        <v>0</v>
      </c>
      <c r="L6" s="704">
        <v>0</v>
      </c>
      <c r="M6" s="711" t="s">
        <v>1184</v>
      </c>
      <c r="N6" s="707">
        <v>3000</v>
      </c>
      <c r="O6" s="707">
        <v>3000</v>
      </c>
      <c r="P6" s="707">
        <v>0</v>
      </c>
      <c r="Q6" s="707">
        <v>0</v>
      </c>
      <c r="R6" s="1021">
        <v>0</v>
      </c>
      <c r="S6" s="872">
        <v>0</v>
      </c>
      <c r="T6" s="1022">
        <v>0</v>
      </c>
      <c r="U6" s="711" t="s">
        <v>1185</v>
      </c>
      <c r="V6" s="716">
        <v>0</v>
      </c>
      <c r="W6" s="711">
        <v>1</v>
      </c>
      <c r="X6" s="781">
        <v>161717</v>
      </c>
      <c r="Y6" s="781">
        <v>76844</v>
      </c>
      <c r="Z6" s="781">
        <v>124722</v>
      </c>
      <c r="AA6" s="781">
        <v>10285.714285714284</v>
      </c>
      <c r="AB6" s="781">
        <f>AVERAGE(Z6:AA6)</f>
        <v>67503.857142857145</v>
      </c>
      <c r="AC6" s="781">
        <f>10</f>
        <v>10</v>
      </c>
      <c r="AD6" s="781">
        <f>ROUND((AC6+($V6*AC6))*IndustrialAdder,-1)</f>
        <v>10</v>
      </c>
      <c r="AE6" s="781">
        <f t="shared" ref="AE6:AH6" si="2">ROUND((AD6+($V6*AD6))*1,-1)</f>
        <v>10</v>
      </c>
      <c r="AF6" s="781">
        <f t="shared" si="2"/>
        <v>10</v>
      </c>
      <c r="AG6" s="781">
        <f t="shared" si="2"/>
        <v>10</v>
      </c>
      <c r="AH6" s="781">
        <f t="shared" si="2"/>
        <v>10</v>
      </c>
      <c r="AI6" s="781">
        <f t="shared" ref="AI6:AJ6" si="3">ROUND((AH6+($V6*AH6))*1,-1)</f>
        <v>10</v>
      </c>
      <c r="AJ6" s="781">
        <f t="shared" si="3"/>
        <v>10</v>
      </c>
      <c r="AK6" s="711" t="s">
        <v>374</v>
      </c>
      <c r="AL6" s="711" t="s">
        <v>742</v>
      </c>
      <c r="AM6" s="715" t="s">
        <v>1186</v>
      </c>
      <c r="AN6" s="711" t="s">
        <v>377</v>
      </c>
      <c r="AO6" s="711" t="s">
        <v>1</v>
      </c>
      <c r="AP6" s="711"/>
      <c r="AQ6" s="711"/>
      <c r="AR6" s="711"/>
      <c r="AS6" s="715" t="s">
        <v>1187</v>
      </c>
      <c r="AT6" s="715" t="s">
        <v>745</v>
      </c>
      <c r="AU6" s="715" t="s">
        <v>746</v>
      </c>
      <c r="AV6" s="715">
        <v>1</v>
      </c>
      <c r="AW6" s="715">
        <v>1</v>
      </c>
      <c r="AX6" s="711" t="s">
        <v>1188</v>
      </c>
      <c r="AY6" s="716">
        <v>1</v>
      </c>
      <c r="AZ6" s="716">
        <v>1</v>
      </c>
      <c r="BA6" s="717">
        <v>1</v>
      </c>
      <c r="BB6" s="305">
        <f>J6</f>
        <v>12000</v>
      </c>
      <c r="BC6" s="304">
        <f t="shared" ref="BC6:BE6" si="4">BB6</f>
        <v>12000</v>
      </c>
      <c r="BD6" s="304">
        <f t="shared" si="4"/>
        <v>12000</v>
      </c>
      <c r="BE6" s="304">
        <f t="shared" si="4"/>
        <v>12000</v>
      </c>
      <c r="BF6" s="304">
        <f>BC6</f>
        <v>12000</v>
      </c>
      <c r="BG6" s="304">
        <f t="shared" ref="BG6:BH6" si="5">BD6</f>
        <v>12000</v>
      </c>
      <c r="BH6" s="304">
        <f t="shared" si="5"/>
        <v>12000</v>
      </c>
      <c r="BI6" s="305">
        <f t="shared" ref="BI6:BI37" si="6">K6</f>
        <v>0</v>
      </c>
      <c r="BJ6" s="306">
        <f>BI6</f>
        <v>0</v>
      </c>
      <c r="BK6" s="304">
        <f>BJ6</f>
        <v>0</v>
      </c>
      <c r="BL6" s="304">
        <f>BK6</f>
        <v>0</v>
      </c>
      <c r="BM6" s="304">
        <f>BL6</f>
        <v>0</v>
      </c>
      <c r="BN6" s="304">
        <f>BM6</f>
        <v>0</v>
      </c>
      <c r="BO6" s="304">
        <f t="shared" ref="BO6" si="7">BN6</f>
        <v>0</v>
      </c>
      <c r="BP6" s="392">
        <f t="shared" ref="BP6:BP37" si="8">O6+P6</f>
        <v>3000</v>
      </c>
      <c r="BQ6" s="503">
        <f>O6+P6</f>
        <v>3000</v>
      </c>
      <c r="BR6" s="304">
        <f>BQ6</f>
        <v>3000</v>
      </c>
      <c r="BS6" s="304">
        <f t="shared" ref="BS6" si="9">BR6</f>
        <v>3000</v>
      </c>
      <c r="BT6" s="304">
        <f>BS6</f>
        <v>3000</v>
      </c>
      <c r="BU6" s="304">
        <f t="shared" ref="BU6" si="10">BT6</f>
        <v>3000</v>
      </c>
      <c r="BV6" s="304">
        <f t="shared" ref="BV6" si="11">BU6</f>
        <v>3000</v>
      </c>
      <c r="BW6" s="305">
        <f>$Q6</f>
        <v>0</v>
      </c>
      <c r="BX6" s="306">
        <f t="shared" ref="BX6:CC21" si="12">$Q6</f>
        <v>0</v>
      </c>
      <c r="BY6" s="306">
        <f t="shared" si="12"/>
        <v>0</v>
      </c>
      <c r="BZ6" s="306">
        <f t="shared" si="12"/>
        <v>0</v>
      </c>
      <c r="CA6" s="306">
        <f t="shared" si="12"/>
        <v>0</v>
      </c>
      <c r="CB6" s="306">
        <f t="shared" si="12"/>
        <v>0</v>
      </c>
      <c r="CC6" s="306">
        <f t="shared" si="12"/>
        <v>0</v>
      </c>
      <c r="CD6" s="301">
        <f t="shared" ref="CD6:CD37" si="13">R6*AZ6</f>
        <v>0</v>
      </c>
      <c r="CE6" s="302">
        <f>CD6</f>
        <v>0</v>
      </c>
      <c r="CF6" s="302">
        <f>CE6</f>
        <v>0</v>
      </c>
      <c r="CG6" s="302">
        <f>CF6</f>
        <v>0</v>
      </c>
      <c r="CH6" s="302">
        <f>CG6</f>
        <v>0</v>
      </c>
      <c r="CI6" s="302">
        <f t="shared" ref="CI6:CJ6" si="14">CH6</f>
        <v>0</v>
      </c>
      <c r="CJ6" s="302">
        <f t="shared" si="14"/>
        <v>0</v>
      </c>
      <c r="CK6" s="301">
        <f t="shared" ref="CK6:CK37" si="15">S6*AZ6</f>
        <v>0</v>
      </c>
      <c r="CL6" s="302">
        <f>CK6</f>
        <v>0</v>
      </c>
      <c r="CM6" s="302">
        <f>CL6</f>
        <v>0</v>
      </c>
      <c r="CN6" s="302">
        <f>CM6</f>
        <v>0</v>
      </c>
      <c r="CO6" s="302">
        <f>CN6</f>
        <v>0</v>
      </c>
      <c r="CP6" s="302">
        <f t="shared" ref="CP6:CQ6" si="16">CO6</f>
        <v>0</v>
      </c>
      <c r="CQ6" s="302">
        <f t="shared" si="16"/>
        <v>0</v>
      </c>
      <c r="CR6" s="301">
        <f t="shared" ref="CR6:CR37" si="17">T6*BA6</f>
        <v>0</v>
      </c>
      <c r="CS6" s="302">
        <f>CR6</f>
        <v>0</v>
      </c>
      <c r="CT6" s="302">
        <f>CS6</f>
        <v>0</v>
      </c>
      <c r="CU6" s="302">
        <f>CT6</f>
        <v>0</v>
      </c>
      <c r="CV6" s="302">
        <f>CU6</f>
        <v>0</v>
      </c>
      <c r="CW6" s="302">
        <f t="shared" ref="CW6:CX6" si="18">CV6</f>
        <v>0</v>
      </c>
      <c r="CX6" s="393">
        <f t="shared" si="18"/>
        <v>0</v>
      </c>
      <c r="CY6" s="307">
        <f t="shared" ref="CY6:CY37" si="19">AD6*BB6*$W6</f>
        <v>120000</v>
      </c>
      <c r="CZ6" s="308">
        <f t="shared" ref="CZ6:CZ37" si="20">AE6*BC6*$W6</f>
        <v>120000</v>
      </c>
      <c r="DA6" s="308">
        <f t="shared" ref="DA6:DA37" si="21">AF6*BD6*$W6</f>
        <v>120000</v>
      </c>
      <c r="DB6" s="308">
        <f t="shared" ref="DB6:DB37" si="22">AG6*BE6*$W6</f>
        <v>120000</v>
      </c>
      <c r="DC6" s="308">
        <f t="shared" ref="DC6:DC37" si="23">AH6*BF6*$W6</f>
        <v>120000</v>
      </c>
      <c r="DD6" s="308">
        <f t="shared" ref="DD6:DD37" si="24">AI6*BG6*$W6</f>
        <v>120000</v>
      </c>
      <c r="DE6" s="353">
        <f t="shared" ref="DE6:DE37" si="25">AJ6*BH6*$W6</f>
        <v>120000</v>
      </c>
      <c r="DF6" s="307">
        <f t="shared" ref="DF6:DF37" si="26">AD6*BI6*$W6</f>
        <v>0</v>
      </c>
      <c r="DG6" s="395">
        <f t="shared" ref="DG6:DG37" si="27">AE6*BJ6*$W6</f>
        <v>0</v>
      </c>
      <c r="DH6" s="395">
        <f t="shared" ref="DH6:DH37" si="28">AF6*BK6*$W6</f>
        <v>0</v>
      </c>
      <c r="DI6" s="395">
        <f t="shared" ref="DI6:DI37" si="29">AG6*BL6*$W6</f>
        <v>0</v>
      </c>
      <c r="DJ6" s="395">
        <f t="shared" ref="DJ6:DJ37" si="30">AH6*BM6*$W6</f>
        <v>0</v>
      </c>
      <c r="DK6" s="395">
        <f t="shared" ref="DK6:DK37" si="31">AI6*BN6*$W6</f>
        <v>0</v>
      </c>
      <c r="DL6" s="396">
        <f t="shared" ref="DL6:DL37" si="32">AJ6*BO6*$W6</f>
        <v>0</v>
      </c>
      <c r="DM6" s="509">
        <f t="shared" ref="DM6:DM37" si="33">AD6*BP6*$W6</f>
        <v>30000</v>
      </c>
      <c r="DN6" s="509">
        <f t="shared" ref="DN6:DN37" si="34">AE6*BQ6*$W6</f>
        <v>30000</v>
      </c>
      <c r="DO6" s="509">
        <f t="shared" ref="DO6:DO37" si="35">AF6*BR6*$W6</f>
        <v>30000</v>
      </c>
      <c r="DP6" s="509">
        <f t="shared" ref="DP6:DP37" si="36">AG6*BS6*$W6</f>
        <v>30000</v>
      </c>
      <c r="DQ6" s="509">
        <f t="shared" ref="DQ6:DQ37" si="37">AH6*BT6*$W6</f>
        <v>30000</v>
      </c>
      <c r="DR6" s="509">
        <f t="shared" ref="DR6:DR37" si="38">AI6*BU6*$W6</f>
        <v>30000</v>
      </c>
      <c r="DS6" s="450">
        <f t="shared" ref="DS6:DS37" si="39">AJ6*BV6*$W6</f>
        <v>30000</v>
      </c>
      <c r="DT6" s="307">
        <f t="shared" ref="DT6:DT37" si="40">BW6*AD6*$W6</f>
        <v>0</v>
      </c>
      <c r="DU6" s="308">
        <f t="shared" ref="DU6:DU37" si="41">BX6*AE6*$W6</f>
        <v>0</v>
      </c>
      <c r="DV6" s="308">
        <f t="shared" ref="DV6:DV37" si="42">BY6*AF6*$W6</f>
        <v>0</v>
      </c>
      <c r="DW6" s="308">
        <f t="shared" ref="DW6:DW37" si="43">BZ6*AG6*$W6</f>
        <v>0</v>
      </c>
      <c r="DX6" s="308">
        <f t="shared" ref="DX6:DX37" si="44">CA6*AH6*$W6</f>
        <v>0</v>
      </c>
      <c r="DY6" s="308">
        <f t="shared" ref="DY6:DY37" si="45">CB6*AI6*$W6</f>
        <v>0</v>
      </c>
      <c r="DZ6" s="353">
        <f t="shared" ref="DZ6:DZ37" si="46">CC6*AJ6*$W6</f>
        <v>0</v>
      </c>
      <c r="EA6" s="301">
        <f t="shared" ref="EA6:EA37" si="47">AD6*CD6*$W6</f>
        <v>0</v>
      </c>
      <c r="EB6" s="302">
        <f t="shared" ref="EB6:EB37" si="48">AE6*CE6*$W6</f>
        <v>0</v>
      </c>
      <c r="EC6" s="302">
        <f t="shared" ref="EC6:EC37" si="49">AF6*CF6*$W6</f>
        <v>0</v>
      </c>
      <c r="ED6" s="302">
        <f t="shared" ref="ED6:ED37" si="50">AG6*CG6*$W6</f>
        <v>0</v>
      </c>
      <c r="EE6" s="302">
        <f t="shared" ref="EE6:EE37" si="51">AH6*CH6*$W6</f>
        <v>0</v>
      </c>
      <c r="EF6" s="302">
        <f t="shared" ref="EF6:EF37" si="52">AI6*CI6*$W6</f>
        <v>0</v>
      </c>
      <c r="EG6" s="303">
        <f t="shared" ref="EG6:EG37" si="53">AJ6*CJ6*$W6</f>
        <v>0</v>
      </c>
      <c r="EH6" s="397">
        <f>AD6*CK6*$W6</f>
        <v>0</v>
      </c>
      <c r="EI6" s="397">
        <f t="shared" ref="EI6:EI37" si="54">AE6*CL6*$W6</f>
        <v>0</v>
      </c>
      <c r="EJ6" s="397">
        <f t="shared" ref="EJ6:EJ37" si="55">AF6*CM6*$W6</f>
        <v>0</v>
      </c>
      <c r="EK6" s="397">
        <f t="shared" ref="EK6:EK37" si="56">AG6*CN6*$W6</f>
        <v>0</v>
      </c>
      <c r="EL6" s="397">
        <f t="shared" ref="EL6:EL37" si="57">AH6*CO6*$W6</f>
        <v>0</v>
      </c>
      <c r="EM6" s="397">
        <f t="shared" ref="EM6:EM37" si="58">AI6*CP6*$W6</f>
        <v>0</v>
      </c>
      <c r="EN6" s="398">
        <f t="shared" ref="EN6:EN37" si="59">AJ6*CQ6*$W6</f>
        <v>0</v>
      </c>
      <c r="EO6" s="301">
        <f t="shared" ref="EO6:EO37" si="60">AD6*CR6*$W6</f>
        <v>0</v>
      </c>
      <c r="EP6" s="302">
        <f t="shared" ref="EP6:EP37" si="61">AE6*CS6*$W6</f>
        <v>0</v>
      </c>
      <c r="EQ6" s="302">
        <f t="shared" ref="EQ6:EQ37" si="62">AF6*CT6*$W6</f>
        <v>0</v>
      </c>
      <c r="ER6" s="302">
        <f t="shared" ref="ER6:ER37" si="63">AG6*CU6*$W6</f>
        <v>0</v>
      </c>
      <c r="ES6" s="302">
        <f t="shared" ref="ES6:ES37" si="64">AH6*CV6*$W6</f>
        <v>0</v>
      </c>
      <c r="ET6" s="302">
        <f t="shared" ref="ET6:ET37" si="65">AI6*CW6*$W6</f>
        <v>0</v>
      </c>
      <c r="EU6" s="303">
        <f t="shared" ref="EU6:EU37" si="66">AJ6*CX6*$W6</f>
        <v>0</v>
      </c>
      <c r="EV6" s="727">
        <f t="shared" ref="EV6:EV37" si="67">SUM(AD6:AF6)</f>
        <v>30</v>
      </c>
      <c r="EW6" s="728">
        <f t="shared" ref="EW6:EW37" si="68">SUM(CY6:DE6)</f>
        <v>840000</v>
      </c>
      <c r="EX6" s="728">
        <f t="shared" ref="EX6:EX37" si="69">SUM(DF6:DL6)</f>
        <v>0</v>
      </c>
      <c r="EY6" s="728">
        <f t="shared" ref="EY6:EY37" si="70">SUM(DM6:DS6)</f>
        <v>210000</v>
      </c>
      <c r="EZ6" s="728">
        <f t="shared" ref="EZ6:EZ37" si="71">SUM(DT6:DZ6)</f>
        <v>0</v>
      </c>
      <c r="FA6" s="777">
        <f t="shared" ref="FA6:FA37" si="72">SUM(EA6:EG6)</f>
        <v>0</v>
      </c>
      <c r="FB6" s="777">
        <f t="shared" ref="FB6:FB37" si="73">SUM(EH6:EN6)</f>
        <v>0</v>
      </c>
      <c r="FC6" s="778">
        <f t="shared" ref="FC6:FC37" si="74">SUM(EO6:EU6)</f>
        <v>0</v>
      </c>
      <c r="FE6" s="10" t="b">
        <f>EV6=SUM(EV63,EV120)</f>
        <v>1</v>
      </c>
      <c r="FF6" s="10" t="b">
        <f t="shared" ref="FF6:FF37" si="75">EW6=SUM(EW63,EW120)</f>
        <v>1</v>
      </c>
      <c r="FG6" s="10" t="b">
        <f t="shared" ref="FG6:FG37" si="76">EX6=SUM(EX63,EX120)</f>
        <v>1</v>
      </c>
      <c r="FH6" s="10" t="b">
        <f t="shared" ref="FH6:FH37" si="77">EY6=SUM(EY63,EY120)</f>
        <v>1</v>
      </c>
      <c r="FI6" s="10" t="b">
        <f t="shared" ref="FI6:FI37" si="78">EZ6=SUM(EZ63,EZ120)</f>
        <v>1</v>
      </c>
      <c r="FJ6" s="10" t="b">
        <f t="shared" ref="FJ6:FJ37" si="79">FA6=SUM(FA63,FA120)</f>
        <v>1</v>
      </c>
      <c r="FK6" s="10" t="b">
        <f t="shared" ref="FK6:FK37" si="80">FB6=SUM(FB63,FB120)</f>
        <v>1</v>
      </c>
      <c r="FL6" s="10" t="b">
        <f t="shared" ref="FL6:FL41" si="81">FC6=SUM(FC63,FC120)</f>
        <v>1</v>
      </c>
    </row>
    <row r="7" spans="1:168">
      <c r="A7" s="662">
        <v>2</v>
      </c>
      <c r="B7" s="789" t="s">
        <v>1189</v>
      </c>
      <c r="C7" s="789" t="s">
        <v>1190</v>
      </c>
      <c r="D7" s="789" t="s">
        <v>1191</v>
      </c>
      <c r="E7" s="789" t="s">
        <v>331</v>
      </c>
      <c r="F7" s="789" t="s">
        <v>1192</v>
      </c>
      <c r="G7" s="704" t="s">
        <v>402</v>
      </c>
      <c r="H7" s="704">
        <f>BizRebates_Costs!G15</f>
        <v>109</v>
      </c>
      <c r="I7" s="704">
        <v>0</v>
      </c>
      <c r="J7" s="704">
        <f t="shared" ref="J7:J8" si="82">H7+I7</f>
        <v>109</v>
      </c>
      <c r="K7" s="704">
        <v>0</v>
      </c>
      <c r="L7" s="704">
        <f t="shared" ref="L7" si="83">J7*0.5</f>
        <v>54.5</v>
      </c>
      <c r="M7" s="1023" t="s">
        <v>1193</v>
      </c>
      <c r="N7" s="1024">
        <v>5</v>
      </c>
      <c r="O7" s="1024">
        <v>5</v>
      </c>
      <c r="P7" s="707">
        <v>0</v>
      </c>
      <c r="Q7" s="707">
        <v>0</v>
      </c>
      <c r="R7" s="1021">
        <f>1*(12/12.5-12/13.7)*880*BizRebates_Costs!R5</f>
        <v>91.771415253249614</v>
      </c>
      <c r="S7" s="1025">
        <f>1*(12/9.562-12/10.1)*0.808</f>
        <v>5.4013804643380146E-2</v>
      </c>
      <c r="T7" s="1022">
        <v>0</v>
      </c>
      <c r="U7" s="1026" t="s">
        <v>1194</v>
      </c>
      <c r="V7" s="716">
        <v>0</v>
      </c>
      <c r="W7" s="711">
        <v>1</v>
      </c>
      <c r="X7" s="781">
        <v>582</v>
      </c>
      <c r="Y7" s="781">
        <v>0</v>
      </c>
      <c r="Z7" s="781">
        <v>566</v>
      </c>
      <c r="AA7" s="781">
        <v>0</v>
      </c>
      <c r="AB7" s="1027">
        <v>283</v>
      </c>
      <c r="AC7" s="1027">
        <f>AB7</f>
        <v>283</v>
      </c>
      <c r="AD7" s="1027">
        <f>AC7</f>
        <v>283</v>
      </c>
      <c r="AE7" s="1027">
        <f t="shared" ref="AE7:AJ7" si="84">AD7</f>
        <v>283</v>
      </c>
      <c r="AF7" s="1027">
        <f t="shared" si="84"/>
        <v>283</v>
      </c>
      <c r="AG7" s="1027">
        <f t="shared" si="84"/>
        <v>283</v>
      </c>
      <c r="AH7" s="1027">
        <f t="shared" si="84"/>
        <v>283</v>
      </c>
      <c r="AI7" s="1027">
        <f t="shared" si="84"/>
        <v>283</v>
      </c>
      <c r="AJ7" s="1027">
        <f t="shared" si="84"/>
        <v>283</v>
      </c>
      <c r="AK7" s="715" t="s">
        <v>384</v>
      </c>
      <c r="AL7" s="711" t="s">
        <v>742</v>
      </c>
      <c r="AM7" s="715" t="s">
        <v>1195</v>
      </c>
      <c r="AN7" s="715" t="s">
        <v>1196</v>
      </c>
      <c r="AO7" s="711" t="s">
        <v>1</v>
      </c>
      <c r="AP7" s="715"/>
      <c r="AQ7" s="715"/>
      <c r="AR7" s="715"/>
      <c r="AS7" s="715" t="s">
        <v>1187</v>
      </c>
      <c r="AT7" s="715" t="s">
        <v>745</v>
      </c>
      <c r="AU7" s="715" t="s">
        <v>746</v>
      </c>
      <c r="AV7" s="715">
        <v>20</v>
      </c>
      <c r="AW7" s="715">
        <v>20</v>
      </c>
      <c r="AX7" s="715" t="s">
        <v>1197</v>
      </c>
      <c r="AY7" s="716">
        <v>1</v>
      </c>
      <c r="AZ7" s="716">
        <v>1</v>
      </c>
      <c r="BA7" s="717">
        <v>0</v>
      </c>
      <c r="BB7" s="721">
        <f t="shared" ref="BB7:BB12" si="85">J7</f>
        <v>109</v>
      </c>
      <c r="BC7" s="499">
        <f t="shared" ref="BC7:BC12" si="86">BB7</f>
        <v>109</v>
      </c>
      <c r="BD7" s="499">
        <f t="shared" ref="BD7:BD12" si="87">BC7</f>
        <v>109</v>
      </c>
      <c r="BE7" s="499">
        <f t="shared" ref="BE7:BE12" si="88">BD7</f>
        <v>109</v>
      </c>
      <c r="BF7" s="499">
        <f t="shared" ref="BF7:BF12" si="89">BC7</f>
        <v>109</v>
      </c>
      <c r="BG7" s="499">
        <f t="shared" ref="BG7:BG12" si="90">BD7</f>
        <v>109</v>
      </c>
      <c r="BH7" s="499">
        <f t="shared" ref="BH7:BH12" si="91">BE7</f>
        <v>109</v>
      </c>
      <c r="BI7" s="721">
        <f t="shared" si="6"/>
        <v>0</v>
      </c>
      <c r="BJ7" s="499">
        <f t="shared" ref="BJ7:BM7" si="92">BI7</f>
        <v>0</v>
      </c>
      <c r="BK7" s="499">
        <f t="shared" si="92"/>
        <v>0</v>
      </c>
      <c r="BL7" s="499">
        <f t="shared" si="92"/>
        <v>0</v>
      </c>
      <c r="BM7" s="499">
        <f t="shared" si="92"/>
        <v>0</v>
      </c>
      <c r="BN7" s="499">
        <f t="shared" ref="BN7:BN12" si="93">BM7</f>
        <v>0</v>
      </c>
      <c r="BO7" s="499">
        <f t="shared" ref="BO7:BO12" si="94">BN7</f>
        <v>0</v>
      </c>
      <c r="BP7" s="721">
        <f t="shared" si="8"/>
        <v>5</v>
      </c>
      <c r="BQ7" s="499">
        <f t="shared" ref="BQ7:BQ38" si="95">BP7</f>
        <v>5</v>
      </c>
      <c r="BR7" s="499">
        <f t="shared" ref="BR7:BR12" si="96">BQ7</f>
        <v>5</v>
      </c>
      <c r="BS7" s="499">
        <f t="shared" ref="BS7:BS12" si="97">BR7</f>
        <v>5</v>
      </c>
      <c r="BT7" s="499">
        <f t="shared" ref="BT7:BT12" si="98">BS7</f>
        <v>5</v>
      </c>
      <c r="BU7" s="499">
        <f t="shared" ref="BU7:BU12" si="99">BT7</f>
        <v>5</v>
      </c>
      <c r="BV7" s="499">
        <f t="shared" ref="BV7:BV12" si="100">BU7</f>
        <v>5</v>
      </c>
      <c r="BW7" s="774">
        <f t="shared" ref="BW7:CC22" si="101">$Q7</f>
        <v>0</v>
      </c>
      <c r="BX7" s="503">
        <f t="shared" si="12"/>
        <v>0</v>
      </c>
      <c r="BY7" s="503">
        <f t="shared" si="12"/>
        <v>0</v>
      </c>
      <c r="BZ7" s="503">
        <f t="shared" si="12"/>
        <v>0</v>
      </c>
      <c r="CA7" s="503">
        <f t="shared" si="12"/>
        <v>0</v>
      </c>
      <c r="CB7" s="503">
        <f t="shared" si="12"/>
        <v>0</v>
      </c>
      <c r="CC7" s="503">
        <f t="shared" si="12"/>
        <v>0</v>
      </c>
      <c r="CD7" s="722">
        <f>R7*AZ7</f>
        <v>91.771415253249614</v>
      </c>
      <c r="CE7" s="511">
        <f t="shared" ref="CE7:CH7" si="102">CD7</f>
        <v>91.771415253249614</v>
      </c>
      <c r="CF7" s="511">
        <f t="shared" si="102"/>
        <v>91.771415253249614</v>
      </c>
      <c r="CG7" s="511">
        <f t="shared" si="102"/>
        <v>91.771415253249614</v>
      </c>
      <c r="CH7" s="511">
        <f t="shared" si="102"/>
        <v>91.771415253249614</v>
      </c>
      <c r="CI7" s="511">
        <f t="shared" ref="CI7:CI61" si="103">CH7</f>
        <v>91.771415253249614</v>
      </c>
      <c r="CJ7" s="511">
        <f t="shared" ref="CJ7:CJ61" si="104">CI7</f>
        <v>91.771415253249614</v>
      </c>
      <c r="CK7" s="722">
        <f t="shared" si="15"/>
        <v>5.4013804643380146E-2</v>
      </c>
      <c r="CL7" s="511">
        <f t="shared" ref="CL7:CO7" si="105">CK7</f>
        <v>5.4013804643380146E-2</v>
      </c>
      <c r="CM7" s="511">
        <f t="shared" si="105"/>
        <v>5.4013804643380146E-2</v>
      </c>
      <c r="CN7" s="511">
        <f t="shared" si="105"/>
        <v>5.4013804643380146E-2</v>
      </c>
      <c r="CO7" s="511">
        <f t="shared" si="105"/>
        <v>5.4013804643380146E-2</v>
      </c>
      <c r="CP7" s="511">
        <f t="shared" ref="CP7:CP61" si="106">CO7</f>
        <v>5.4013804643380146E-2</v>
      </c>
      <c r="CQ7" s="511">
        <f t="shared" ref="CQ7:CQ61" si="107">CP7</f>
        <v>5.4013804643380146E-2</v>
      </c>
      <c r="CR7" s="722">
        <f t="shared" si="17"/>
        <v>0</v>
      </c>
      <c r="CS7" s="511">
        <f t="shared" ref="CS7:CV7" si="108">CR7</f>
        <v>0</v>
      </c>
      <c r="CT7" s="511">
        <f t="shared" si="108"/>
        <v>0</v>
      </c>
      <c r="CU7" s="511">
        <f t="shared" si="108"/>
        <v>0</v>
      </c>
      <c r="CV7" s="511">
        <f t="shared" si="108"/>
        <v>0</v>
      </c>
      <c r="CW7" s="511">
        <f t="shared" ref="CW7:CW61" si="109">CV7</f>
        <v>0</v>
      </c>
      <c r="CX7" s="539">
        <f t="shared" ref="CX7:CX61" si="110">CW7</f>
        <v>0</v>
      </c>
      <c r="CY7" s="724">
        <f t="shared" si="19"/>
        <v>30847</v>
      </c>
      <c r="CZ7" s="508">
        <f t="shared" si="20"/>
        <v>30847</v>
      </c>
      <c r="DA7" s="508">
        <f t="shared" si="21"/>
        <v>30847</v>
      </c>
      <c r="DB7" s="508">
        <f t="shared" si="22"/>
        <v>30847</v>
      </c>
      <c r="DC7" s="508">
        <f t="shared" si="23"/>
        <v>30847</v>
      </c>
      <c r="DD7" s="508">
        <f t="shared" si="24"/>
        <v>30847</v>
      </c>
      <c r="DE7" s="726">
        <f t="shared" si="25"/>
        <v>30847</v>
      </c>
      <c r="DF7" s="724">
        <f t="shared" si="26"/>
        <v>0</v>
      </c>
      <c r="DG7" s="509">
        <f t="shared" si="27"/>
        <v>0</v>
      </c>
      <c r="DH7" s="509">
        <f t="shared" si="28"/>
        <v>0</v>
      </c>
      <c r="DI7" s="509">
        <f t="shared" si="29"/>
        <v>0</v>
      </c>
      <c r="DJ7" s="509">
        <f t="shared" si="30"/>
        <v>0</v>
      </c>
      <c r="DK7" s="509">
        <f t="shared" si="31"/>
        <v>0</v>
      </c>
      <c r="DL7" s="451">
        <f t="shared" si="32"/>
        <v>0</v>
      </c>
      <c r="DM7" s="509">
        <f t="shared" si="33"/>
        <v>1415</v>
      </c>
      <c r="DN7" s="509">
        <f t="shared" si="34"/>
        <v>1415</v>
      </c>
      <c r="DO7" s="509">
        <f t="shared" si="35"/>
        <v>1415</v>
      </c>
      <c r="DP7" s="509">
        <f t="shared" si="36"/>
        <v>1415</v>
      </c>
      <c r="DQ7" s="509">
        <f t="shared" si="37"/>
        <v>1415</v>
      </c>
      <c r="DR7" s="509">
        <f t="shared" si="38"/>
        <v>1415</v>
      </c>
      <c r="DS7" s="450">
        <f t="shared" si="39"/>
        <v>1415</v>
      </c>
      <c r="DT7" s="724">
        <f t="shared" si="40"/>
        <v>0</v>
      </c>
      <c r="DU7" s="508">
        <f t="shared" si="41"/>
        <v>0</v>
      </c>
      <c r="DV7" s="508">
        <f t="shared" si="42"/>
        <v>0</v>
      </c>
      <c r="DW7" s="508">
        <f t="shared" si="43"/>
        <v>0</v>
      </c>
      <c r="DX7" s="508">
        <f t="shared" si="44"/>
        <v>0</v>
      </c>
      <c r="DY7" s="508">
        <f t="shared" si="45"/>
        <v>0</v>
      </c>
      <c r="DZ7" s="726">
        <f t="shared" si="46"/>
        <v>0</v>
      </c>
      <c r="EA7" s="722">
        <f t="shared" si="47"/>
        <v>25971.31051666964</v>
      </c>
      <c r="EB7" s="511">
        <f t="shared" si="48"/>
        <v>25971.31051666964</v>
      </c>
      <c r="EC7" s="511">
        <f t="shared" si="49"/>
        <v>25971.31051666964</v>
      </c>
      <c r="ED7" s="511">
        <f t="shared" si="50"/>
        <v>25971.31051666964</v>
      </c>
      <c r="EE7" s="511">
        <f t="shared" si="51"/>
        <v>25971.31051666964</v>
      </c>
      <c r="EF7" s="511">
        <f t="shared" si="52"/>
        <v>25971.31051666964</v>
      </c>
      <c r="EG7" s="723">
        <f t="shared" si="53"/>
        <v>25971.31051666964</v>
      </c>
      <c r="EH7" s="397">
        <f t="shared" ref="EH7:EH37" si="111">AD7*CK7*$W7</f>
        <v>15.285906714076582</v>
      </c>
      <c r="EI7" s="397">
        <f t="shared" si="54"/>
        <v>15.285906714076582</v>
      </c>
      <c r="EJ7" s="397">
        <f t="shared" si="55"/>
        <v>15.285906714076582</v>
      </c>
      <c r="EK7" s="397">
        <f t="shared" si="56"/>
        <v>15.285906714076582</v>
      </c>
      <c r="EL7" s="397">
        <f t="shared" si="57"/>
        <v>15.285906714076582</v>
      </c>
      <c r="EM7" s="397">
        <f t="shared" si="58"/>
        <v>15.285906714076582</v>
      </c>
      <c r="EN7" s="398">
        <f t="shared" si="59"/>
        <v>15.285906714076582</v>
      </c>
      <c r="EO7" s="722">
        <f t="shared" si="60"/>
        <v>0</v>
      </c>
      <c r="EP7" s="511">
        <f t="shared" si="61"/>
        <v>0</v>
      </c>
      <c r="EQ7" s="511">
        <f t="shared" si="62"/>
        <v>0</v>
      </c>
      <c r="ER7" s="511">
        <f t="shared" si="63"/>
        <v>0</v>
      </c>
      <c r="ES7" s="511">
        <f t="shared" si="64"/>
        <v>0</v>
      </c>
      <c r="ET7" s="511">
        <f t="shared" si="65"/>
        <v>0</v>
      </c>
      <c r="EU7" s="723">
        <f t="shared" si="66"/>
        <v>0</v>
      </c>
      <c r="EV7" s="727">
        <f t="shared" si="67"/>
        <v>849</v>
      </c>
      <c r="EW7" s="728">
        <f t="shared" si="68"/>
        <v>215929</v>
      </c>
      <c r="EX7" s="728">
        <f t="shared" si="69"/>
        <v>0</v>
      </c>
      <c r="EY7" s="728">
        <f t="shared" si="70"/>
        <v>9905</v>
      </c>
      <c r="EZ7" s="728">
        <f t="shared" si="71"/>
        <v>0</v>
      </c>
      <c r="FA7" s="777">
        <f t="shared" si="72"/>
        <v>181799.17361668751</v>
      </c>
      <c r="FB7" s="777">
        <f t="shared" si="73"/>
        <v>107.00134699853609</v>
      </c>
      <c r="FC7" s="778">
        <f t="shared" si="74"/>
        <v>0</v>
      </c>
      <c r="FE7" s="10" t="b">
        <f t="shared" ref="FE7:FE37" si="112">EV7=SUM(EV64,EV121)</f>
        <v>1</v>
      </c>
      <c r="FF7" s="10" t="b">
        <f t="shared" si="75"/>
        <v>1</v>
      </c>
      <c r="FG7" s="10" t="b">
        <f t="shared" si="76"/>
        <v>1</v>
      </c>
      <c r="FH7" s="10" t="b">
        <f t="shared" si="77"/>
        <v>1</v>
      </c>
      <c r="FI7" s="10" t="b">
        <f t="shared" si="78"/>
        <v>1</v>
      </c>
      <c r="FJ7" s="10" t="b">
        <f t="shared" si="79"/>
        <v>1</v>
      </c>
      <c r="FK7" s="10" t="b">
        <f t="shared" si="80"/>
        <v>1</v>
      </c>
      <c r="FL7" s="10" t="b">
        <f t="shared" si="81"/>
        <v>1</v>
      </c>
    </row>
    <row r="8" spans="1:168">
      <c r="A8" s="662">
        <v>3</v>
      </c>
      <c r="B8" s="789" t="s">
        <v>1198</v>
      </c>
      <c r="C8" s="789" t="s">
        <v>1199</v>
      </c>
      <c r="D8" s="789" t="s">
        <v>1200</v>
      </c>
      <c r="E8" s="789" t="s">
        <v>331</v>
      </c>
      <c r="F8" s="789" t="s">
        <v>1192</v>
      </c>
      <c r="G8" s="704" t="s">
        <v>402</v>
      </c>
      <c r="H8" s="704">
        <v>104</v>
      </c>
      <c r="I8" s="704">
        <v>0</v>
      </c>
      <c r="J8" s="704">
        <f t="shared" si="82"/>
        <v>104</v>
      </c>
      <c r="K8" s="704">
        <v>0</v>
      </c>
      <c r="L8" s="704">
        <f>J8*0.5</f>
        <v>52</v>
      </c>
      <c r="M8" s="1023" t="s">
        <v>1201</v>
      </c>
      <c r="N8" s="1024">
        <v>3</v>
      </c>
      <c r="O8" s="1024">
        <v>3</v>
      </c>
      <c r="P8" s="707">
        <v>0</v>
      </c>
      <c r="Q8" s="707">
        <v>0</v>
      </c>
      <c r="R8" s="1021">
        <f>1*(0.56-0.54)*880*BizRebates_Costs!R5</f>
        <v>21.827576197387536</v>
      </c>
      <c r="S8" s="1025">
        <f>1*(0.72-0.66)*0.808</f>
        <v>4.8479999999999954E-2</v>
      </c>
      <c r="T8" s="1022">
        <v>0</v>
      </c>
      <c r="U8" s="1026" t="s">
        <v>1194</v>
      </c>
      <c r="V8" s="716">
        <v>0</v>
      </c>
      <c r="W8" s="711">
        <v>100</v>
      </c>
      <c r="X8" s="781">
        <v>0</v>
      </c>
      <c r="Y8" s="781">
        <v>0</v>
      </c>
      <c r="Z8" s="781">
        <v>0</v>
      </c>
      <c r="AA8" s="781">
        <v>0</v>
      </c>
      <c r="AB8" s="1027">
        <f t="shared" ref="AB8:AB39" si="113">AVERAGE(Z8:AA8)</f>
        <v>0</v>
      </c>
      <c r="AC8" s="1028">
        <v>1</v>
      </c>
      <c r="AD8" s="781">
        <v>0</v>
      </c>
      <c r="AE8" s="781">
        <v>0</v>
      </c>
      <c r="AF8" s="781">
        <v>1</v>
      </c>
      <c r="AG8" s="781">
        <v>0</v>
      </c>
      <c r="AH8" s="781">
        <v>0</v>
      </c>
      <c r="AI8" s="781">
        <v>1</v>
      </c>
      <c r="AJ8" s="781">
        <v>0</v>
      </c>
      <c r="AK8" s="715" t="s">
        <v>384</v>
      </c>
      <c r="AL8" s="711" t="s">
        <v>742</v>
      </c>
      <c r="AM8" s="715" t="s">
        <v>1195</v>
      </c>
      <c r="AN8" s="715" t="s">
        <v>1196</v>
      </c>
      <c r="AO8" s="711" t="s">
        <v>1</v>
      </c>
      <c r="AP8" s="715"/>
      <c r="AQ8" s="715"/>
      <c r="AR8" s="715"/>
      <c r="AS8" s="715" t="s">
        <v>1187</v>
      </c>
      <c r="AT8" s="715" t="s">
        <v>745</v>
      </c>
      <c r="AU8" s="715" t="s">
        <v>746</v>
      </c>
      <c r="AV8" s="715">
        <v>20</v>
      </c>
      <c r="AW8" s="715">
        <v>20</v>
      </c>
      <c r="AX8" s="715" t="s">
        <v>2711</v>
      </c>
      <c r="AY8" s="716">
        <v>1</v>
      </c>
      <c r="AZ8" s="716">
        <v>1</v>
      </c>
      <c r="BA8" s="717">
        <v>0</v>
      </c>
      <c r="BB8" s="721">
        <f t="shared" si="85"/>
        <v>104</v>
      </c>
      <c r="BC8" s="499">
        <f t="shared" si="86"/>
        <v>104</v>
      </c>
      <c r="BD8" s="499">
        <f t="shared" si="87"/>
        <v>104</v>
      </c>
      <c r="BE8" s="499">
        <f t="shared" si="88"/>
        <v>104</v>
      </c>
      <c r="BF8" s="499">
        <f t="shared" si="89"/>
        <v>104</v>
      </c>
      <c r="BG8" s="499">
        <f t="shared" si="90"/>
        <v>104</v>
      </c>
      <c r="BH8" s="499">
        <f t="shared" si="91"/>
        <v>104</v>
      </c>
      <c r="BI8" s="721">
        <f t="shared" si="6"/>
        <v>0</v>
      </c>
      <c r="BJ8" s="499">
        <f t="shared" ref="BJ8:BM8" si="114">BI8</f>
        <v>0</v>
      </c>
      <c r="BK8" s="499">
        <f t="shared" si="114"/>
        <v>0</v>
      </c>
      <c r="BL8" s="499">
        <f t="shared" si="114"/>
        <v>0</v>
      </c>
      <c r="BM8" s="499">
        <f t="shared" si="114"/>
        <v>0</v>
      </c>
      <c r="BN8" s="499">
        <f t="shared" si="93"/>
        <v>0</v>
      </c>
      <c r="BO8" s="499">
        <f t="shared" si="94"/>
        <v>0</v>
      </c>
      <c r="BP8" s="721">
        <f t="shared" si="8"/>
        <v>3</v>
      </c>
      <c r="BQ8" s="499">
        <f t="shared" si="95"/>
        <v>3</v>
      </c>
      <c r="BR8" s="499">
        <f t="shared" si="96"/>
        <v>3</v>
      </c>
      <c r="BS8" s="499">
        <f t="shared" si="97"/>
        <v>3</v>
      </c>
      <c r="BT8" s="499">
        <f t="shared" si="98"/>
        <v>3</v>
      </c>
      <c r="BU8" s="499">
        <f t="shared" si="99"/>
        <v>3</v>
      </c>
      <c r="BV8" s="499">
        <f t="shared" si="100"/>
        <v>3</v>
      </c>
      <c r="BW8" s="774">
        <f t="shared" si="101"/>
        <v>0</v>
      </c>
      <c r="BX8" s="503">
        <f t="shared" si="12"/>
        <v>0</v>
      </c>
      <c r="BY8" s="503">
        <f t="shared" si="12"/>
        <v>0</v>
      </c>
      <c r="BZ8" s="503">
        <f t="shared" si="12"/>
        <v>0</v>
      </c>
      <c r="CA8" s="503">
        <f t="shared" si="12"/>
        <v>0</v>
      </c>
      <c r="CB8" s="503">
        <f t="shared" si="12"/>
        <v>0</v>
      </c>
      <c r="CC8" s="503">
        <f t="shared" si="12"/>
        <v>0</v>
      </c>
      <c r="CD8" s="722">
        <f t="shared" si="13"/>
        <v>21.827576197387536</v>
      </c>
      <c r="CE8" s="511">
        <f t="shared" ref="CE8:CH8" si="115">CD8</f>
        <v>21.827576197387536</v>
      </c>
      <c r="CF8" s="511">
        <f t="shared" si="115"/>
        <v>21.827576197387536</v>
      </c>
      <c r="CG8" s="511">
        <f t="shared" si="115"/>
        <v>21.827576197387536</v>
      </c>
      <c r="CH8" s="511">
        <f t="shared" si="115"/>
        <v>21.827576197387536</v>
      </c>
      <c r="CI8" s="511">
        <f t="shared" si="103"/>
        <v>21.827576197387536</v>
      </c>
      <c r="CJ8" s="511">
        <f t="shared" si="104"/>
        <v>21.827576197387536</v>
      </c>
      <c r="CK8" s="722">
        <f t="shared" si="15"/>
        <v>4.8479999999999954E-2</v>
      </c>
      <c r="CL8" s="511">
        <f t="shared" ref="CL8:CO8" si="116">CK8</f>
        <v>4.8479999999999954E-2</v>
      </c>
      <c r="CM8" s="511">
        <f t="shared" si="116"/>
        <v>4.8479999999999954E-2</v>
      </c>
      <c r="CN8" s="511">
        <f t="shared" si="116"/>
        <v>4.8479999999999954E-2</v>
      </c>
      <c r="CO8" s="511">
        <f t="shared" si="116"/>
        <v>4.8479999999999954E-2</v>
      </c>
      <c r="CP8" s="511">
        <f t="shared" si="106"/>
        <v>4.8479999999999954E-2</v>
      </c>
      <c r="CQ8" s="511">
        <f t="shared" si="107"/>
        <v>4.8479999999999954E-2</v>
      </c>
      <c r="CR8" s="722">
        <f t="shared" si="17"/>
        <v>0</v>
      </c>
      <c r="CS8" s="511">
        <f t="shared" ref="CS8:CV8" si="117">CR8</f>
        <v>0</v>
      </c>
      <c r="CT8" s="511">
        <f t="shared" si="117"/>
        <v>0</v>
      </c>
      <c r="CU8" s="511">
        <f t="shared" si="117"/>
        <v>0</v>
      </c>
      <c r="CV8" s="511">
        <f t="shared" si="117"/>
        <v>0</v>
      </c>
      <c r="CW8" s="511">
        <f t="shared" si="109"/>
        <v>0</v>
      </c>
      <c r="CX8" s="539">
        <f t="shared" si="110"/>
        <v>0</v>
      </c>
      <c r="CY8" s="724">
        <f t="shared" si="19"/>
        <v>0</v>
      </c>
      <c r="CZ8" s="508">
        <f t="shared" si="20"/>
        <v>0</v>
      </c>
      <c r="DA8" s="508">
        <f t="shared" si="21"/>
        <v>10400</v>
      </c>
      <c r="DB8" s="508">
        <f t="shared" si="22"/>
        <v>0</v>
      </c>
      <c r="DC8" s="508">
        <f t="shared" si="23"/>
        <v>0</v>
      </c>
      <c r="DD8" s="508">
        <f t="shared" si="24"/>
        <v>10400</v>
      </c>
      <c r="DE8" s="726">
        <f t="shared" si="25"/>
        <v>0</v>
      </c>
      <c r="DF8" s="724">
        <f t="shared" si="26"/>
        <v>0</v>
      </c>
      <c r="DG8" s="509">
        <f t="shared" si="27"/>
        <v>0</v>
      </c>
      <c r="DH8" s="509">
        <f t="shared" si="28"/>
        <v>0</v>
      </c>
      <c r="DI8" s="509">
        <f t="shared" si="29"/>
        <v>0</v>
      </c>
      <c r="DJ8" s="509">
        <f t="shared" si="30"/>
        <v>0</v>
      </c>
      <c r="DK8" s="509">
        <f t="shared" si="31"/>
        <v>0</v>
      </c>
      <c r="DL8" s="451">
        <f t="shared" si="32"/>
        <v>0</v>
      </c>
      <c r="DM8" s="509">
        <f t="shared" si="33"/>
        <v>0</v>
      </c>
      <c r="DN8" s="509">
        <f t="shared" si="34"/>
        <v>0</v>
      </c>
      <c r="DO8" s="509">
        <f t="shared" si="35"/>
        <v>300</v>
      </c>
      <c r="DP8" s="509">
        <f t="shared" si="36"/>
        <v>0</v>
      </c>
      <c r="DQ8" s="509">
        <f t="shared" si="37"/>
        <v>0</v>
      </c>
      <c r="DR8" s="509">
        <f t="shared" si="38"/>
        <v>300</v>
      </c>
      <c r="DS8" s="450">
        <f t="shared" si="39"/>
        <v>0</v>
      </c>
      <c r="DT8" s="724">
        <f t="shared" si="40"/>
        <v>0</v>
      </c>
      <c r="DU8" s="508">
        <f t="shared" si="41"/>
        <v>0</v>
      </c>
      <c r="DV8" s="508">
        <f t="shared" si="42"/>
        <v>0</v>
      </c>
      <c r="DW8" s="508">
        <f t="shared" si="43"/>
        <v>0</v>
      </c>
      <c r="DX8" s="508">
        <f t="shared" si="44"/>
        <v>0</v>
      </c>
      <c r="DY8" s="508">
        <f t="shared" si="45"/>
        <v>0</v>
      </c>
      <c r="DZ8" s="726">
        <f t="shared" si="46"/>
        <v>0</v>
      </c>
      <c r="EA8" s="722">
        <f t="shared" si="47"/>
        <v>0</v>
      </c>
      <c r="EB8" s="511">
        <f t="shared" si="48"/>
        <v>0</v>
      </c>
      <c r="EC8" s="511">
        <f t="shared" si="49"/>
        <v>2182.7576197387534</v>
      </c>
      <c r="ED8" s="511">
        <f t="shared" si="50"/>
        <v>0</v>
      </c>
      <c r="EE8" s="511">
        <f t="shared" si="51"/>
        <v>0</v>
      </c>
      <c r="EF8" s="511">
        <f t="shared" si="52"/>
        <v>2182.7576197387534</v>
      </c>
      <c r="EG8" s="723">
        <f t="shared" si="53"/>
        <v>0</v>
      </c>
      <c r="EH8" s="397">
        <f t="shared" si="111"/>
        <v>0</v>
      </c>
      <c r="EI8" s="397">
        <f t="shared" si="54"/>
        <v>0</v>
      </c>
      <c r="EJ8" s="397">
        <f t="shared" si="55"/>
        <v>4.8479999999999954</v>
      </c>
      <c r="EK8" s="397">
        <f t="shared" si="56"/>
        <v>0</v>
      </c>
      <c r="EL8" s="397">
        <f t="shared" si="57"/>
        <v>0</v>
      </c>
      <c r="EM8" s="397">
        <f t="shared" si="58"/>
        <v>4.8479999999999954</v>
      </c>
      <c r="EN8" s="398">
        <f t="shared" si="59"/>
        <v>0</v>
      </c>
      <c r="EO8" s="722">
        <f t="shared" si="60"/>
        <v>0</v>
      </c>
      <c r="EP8" s="511">
        <f t="shared" si="61"/>
        <v>0</v>
      </c>
      <c r="EQ8" s="511">
        <f t="shared" si="62"/>
        <v>0</v>
      </c>
      <c r="ER8" s="511">
        <f t="shared" si="63"/>
        <v>0</v>
      </c>
      <c r="ES8" s="511">
        <f t="shared" si="64"/>
        <v>0</v>
      </c>
      <c r="ET8" s="511">
        <f t="shared" si="65"/>
        <v>0</v>
      </c>
      <c r="EU8" s="723">
        <f t="shared" si="66"/>
        <v>0</v>
      </c>
      <c r="EV8" s="727">
        <f t="shared" si="67"/>
        <v>1</v>
      </c>
      <c r="EW8" s="728">
        <f t="shared" si="68"/>
        <v>20800</v>
      </c>
      <c r="EX8" s="728">
        <f t="shared" si="69"/>
        <v>0</v>
      </c>
      <c r="EY8" s="728">
        <f t="shared" si="70"/>
        <v>600</v>
      </c>
      <c r="EZ8" s="728">
        <f t="shared" si="71"/>
        <v>0</v>
      </c>
      <c r="FA8" s="777">
        <f t="shared" si="72"/>
        <v>4365.5152394775068</v>
      </c>
      <c r="FB8" s="777">
        <f t="shared" si="73"/>
        <v>9.6959999999999908</v>
      </c>
      <c r="FC8" s="778">
        <f t="shared" si="74"/>
        <v>0</v>
      </c>
      <c r="FE8" s="10" t="b">
        <f t="shared" si="112"/>
        <v>1</v>
      </c>
      <c r="FF8" s="10" t="b">
        <f t="shared" si="75"/>
        <v>1</v>
      </c>
      <c r="FG8" s="10" t="b">
        <f t="shared" si="76"/>
        <v>1</v>
      </c>
      <c r="FH8" s="10" t="b">
        <f t="shared" si="77"/>
        <v>1</v>
      </c>
      <c r="FI8" s="10" t="b">
        <f t="shared" si="78"/>
        <v>1</v>
      </c>
      <c r="FJ8" s="10" t="b">
        <f t="shared" si="79"/>
        <v>1</v>
      </c>
      <c r="FK8" s="10" t="b">
        <f t="shared" si="80"/>
        <v>1</v>
      </c>
      <c r="FL8" s="10" t="b">
        <f t="shared" si="81"/>
        <v>1</v>
      </c>
    </row>
    <row r="9" spans="1:168">
      <c r="A9" s="662">
        <v>4</v>
      </c>
      <c r="B9" s="789" t="s">
        <v>1202</v>
      </c>
      <c r="C9" s="789" t="s">
        <v>1203</v>
      </c>
      <c r="D9" s="789" t="s">
        <v>1204</v>
      </c>
      <c r="E9" s="789" t="s">
        <v>331</v>
      </c>
      <c r="F9" s="789" t="s">
        <v>1192</v>
      </c>
      <c r="G9" s="704" t="s">
        <v>402</v>
      </c>
      <c r="H9" s="704">
        <v>78</v>
      </c>
      <c r="I9" s="704">
        <v>0</v>
      </c>
      <c r="J9" s="704">
        <f t="shared" ref="J9:J20" si="118">H9+I9</f>
        <v>78</v>
      </c>
      <c r="K9" s="704">
        <v>0</v>
      </c>
      <c r="L9" s="704">
        <f t="shared" ref="L9:L61" si="119">J9*0.5</f>
        <v>39</v>
      </c>
      <c r="M9" s="1023" t="s">
        <v>1205</v>
      </c>
      <c r="N9" s="1024">
        <v>3</v>
      </c>
      <c r="O9" s="1024">
        <v>3</v>
      </c>
      <c r="P9" s="707">
        <v>0</v>
      </c>
      <c r="Q9" s="707">
        <v>0</v>
      </c>
      <c r="R9" s="1021">
        <f>1*(0.54-0.49)*880*BizRebates_Costs!R5</f>
        <v>54.568940493468844</v>
      </c>
      <c r="S9" s="1025">
        <f>1*(0.66-0.58)*0.808</f>
        <v>6.4640000000000059E-2</v>
      </c>
      <c r="T9" s="1022">
        <v>0</v>
      </c>
      <c r="U9" s="1026" t="s">
        <v>1194</v>
      </c>
      <c r="V9" s="716">
        <v>0</v>
      </c>
      <c r="W9" s="711">
        <v>200</v>
      </c>
      <c r="X9" s="781">
        <v>300</v>
      </c>
      <c r="Y9" s="781">
        <v>0</v>
      </c>
      <c r="Z9" s="781">
        <v>0</v>
      </c>
      <c r="AA9" s="781">
        <v>0</v>
      </c>
      <c r="AB9" s="1027">
        <f t="shared" si="113"/>
        <v>0</v>
      </c>
      <c r="AC9" s="1028">
        <v>0</v>
      </c>
      <c r="AD9" s="781">
        <v>1</v>
      </c>
      <c r="AE9" s="781">
        <v>0</v>
      </c>
      <c r="AF9" s="781">
        <v>0</v>
      </c>
      <c r="AG9" s="781">
        <v>1</v>
      </c>
      <c r="AH9" s="781">
        <v>0</v>
      </c>
      <c r="AI9" s="781">
        <v>0</v>
      </c>
      <c r="AJ9" s="781">
        <v>1</v>
      </c>
      <c r="AK9" s="715" t="s">
        <v>384</v>
      </c>
      <c r="AL9" s="711" t="s">
        <v>742</v>
      </c>
      <c r="AM9" s="715" t="s">
        <v>1206</v>
      </c>
      <c r="AN9" s="715" t="s">
        <v>1196</v>
      </c>
      <c r="AO9" s="711" t="s">
        <v>1</v>
      </c>
      <c r="AP9" s="715"/>
      <c r="AQ9" s="715"/>
      <c r="AR9" s="715"/>
      <c r="AS9" s="715" t="s">
        <v>1207</v>
      </c>
      <c r="AT9" s="715" t="s">
        <v>745</v>
      </c>
      <c r="AU9" s="715" t="s">
        <v>746</v>
      </c>
      <c r="AV9" s="715">
        <v>20</v>
      </c>
      <c r="AW9" s="715">
        <v>20</v>
      </c>
      <c r="AX9" s="715" t="s">
        <v>2711</v>
      </c>
      <c r="AY9" s="716">
        <v>1</v>
      </c>
      <c r="AZ9" s="716">
        <v>1</v>
      </c>
      <c r="BA9" s="717">
        <v>0</v>
      </c>
      <c r="BB9" s="721">
        <f t="shared" si="85"/>
        <v>78</v>
      </c>
      <c r="BC9" s="499">
        <f t="shared" si="86"/>
        <v>78</v>
      </c>
      <c r="BD9" s="499">
        <f t="shared" si="87"/>
        <v>78</v>
      </c>
      <c r="BE9" s="499">
        <f t="shared" si="88"/>
        <v>78</v>
      </c>
      <c r="BF9" s="499">
        <f t="shared" si="89"/>
        <v>78</v>
      </c>
      <c r="BG9" s="499">
        <f t="shared" si="90"/>
        <v>78</v>
      </c>
      <c r="BH9" s="499">
        <f t="shared" si="91"/>
        <v>78</v>
      </c>
      <c r="BI9" s="721">
        <f t="shared" si="6"/>
        <v>0</v>
      </c>
      <c r="BJ9" s="499">
        <f t="shared" ref="BJ9:BM9" si="120">BI9</f>
        <v>0</v>
      </c>
      <c r="BK9" s="499">
        <f t="shared" si="120"/>
        <v>0</v>
      </c>
      <c r="BL9" s="499">
        <f t="shared" si="120"/>
        <v>0</v>
      </c>
      <c r="BM9" s="499">
        <f t="shared" si="120"/>
        <v>0</v>
      </c>
      <c r="BN9" s="499">
        <f t="shared" si="93"/>
        <v>0</v>
      </c>
      <c r="BO9" s="499">
        <f t="shared" si="94"/>
        <v>0</v>
      </c>
      <c r="BP9" s="721">
        <f t="shared" si="8"/>
        <v>3</v>
      </c>
      <c r="BQ9" s="499">
        <f t="shared" si="95"/>
        <v>3</v>
      </c>
      <c r="BR9" s="499">
        <f t="shared" si="96"/>
        <v>3</v>
      </c>
      <c r="BS9" s="499">
        <f t="shared" si="97"/>
        <v>3</v>
      </c>
      <c r="BT9" s="499">
        <f t="shared" si="98"/>
        <v>3</v>
      </c>
      <c r="BU9" s="499">
        <f t="shared" si="99"/>
        <v>3</v>
      </c>
      <c r="BV9" s="499">
        <f t="shared" si="100"/>
        <v>3</v>
      </c>
      <c r="BW9" s="774">
        <f t="shared" si="101"/>
        <v>0</v>
      </c>
      <c r="BX9" s="503">
        <f t="shared" si="12"/>
        <v>0</v>
      </c>
      <c r="BY9" s="503">
        <f t="shared" si="12"/>
        <v>0</v>
      </c>
      <c r="BZ9" s="503">
        <f t="shared" si="12"/>
        <v>0</v>
      </c>
      <c r="CA9" s="503">
        <f t="shared" si="12"/>
        <v>0</v>
      </c>
      <c r="CB9" s="503">
        <f t="shared" si="12"/>
        <v>0</v>
      </c>
      <c r="CC9" s="503">
        <f t="shared" si="12"/>
        <v>0</v>
      </c>
      <c r="CD9" s="722">
        <f t="shared" si="13"/>
        <v>54.568940493468844</v>
      </c>
      <c r="CE9" s="511">
        <f t="shared" ref="CE9:CH9" si="121">CD9</f>
        <v>54.568940493468844</v>
      </c>
      <c r="CF9" s="511">
        <f t="shared" si="121"/>
        <v>54.568940493468844</v>
      </c>
      <c r="CG9" s="511">
        <f t="shared" si="121"/>
        <v>54.568940493468844</v>
      </c>
      <c r="CH9" s="511">
        <f t="shared" si="121"/>
        <v>54.568940493468844</v>
      </c>
      <c r="CI9" s="511">
        <f t="shared" si="103"/>
        <v>54.568940493468844</v>
      </c>
      <c r="CJ9" s="511">
        <f t="shared" si="104"/>
        <v>54.568940493468844</v>
      </c>
      <c r="CK9" s="722">
        <f t="shared" si="15"/>
        <v>6.4640000000000059E-2</v>
      </c>
      <c r="CL9" s="511">
        <f t="shared" ref="CL9:CO9" si="122">CK9</f>
        <v>6.4640000000000059E-2</v>
      </c>
      <c r="CM9" s="511">
        <f t="shared" si="122"/>
        <v>6.4640000000000059E-2</v>
      </c>
      <c r="CN9" s="511">
        <f t="shared" si="122"/>
        <v>6.4640000000000059E-2</v>
      </c>
      <c r="CO9" s="511">
        <f t="shared" si="122"/>
        <v>6.4640000000000059E-2</v>
      </c>
      <c r="CP9" s="511">
        <f t="shared" si="106"/>
        <v>6.4640000000000059E-2</v>
      </c>
      <c r="CQ9" s="511">
        <f t="shared" si="107"/>
        <v>6.4640000000000059E-2</v>
      </c>
      <c r="CR9" s="722">
        <f t="shared" si="17"/>
        <v>0</v>
      </c>
      <c r="CS9" s="511">
        <f t="shared" ref="CS9:CV9" si="123">CR9</f>
        <v>0</v>
      </c>
      <c r="CT9" s="511">
        <f t="shared" si="123"/>
        <v>0</v>
      </c>
      <c r="CU9" s="511">
        <f t="shared" si="123"/>
        <v>0</v>
      </c>
      <c r="CV9" s="511">
        <f t="shared" si="123"/>
        <v>0</v>
      </c>
      <c r="CW9" s="511">
        <f t="shared" si="109"/>
        <v>0</v>
      </c>
      <c r="CX9" s="539">
        <f t="shared" si="110"/>
        <v>0</v>
      </c>
      <c r="CY9" s="724">
        <f t="shared" si="19"/>
        <v>15600</v>
      </c>
      <c r="CZ9" s="508">
        <f t="shared" si="20"/>
        <v>0</v>
      </c>
      <c r="DA9" s="508">
        <f t="shared" si="21"/>
        <v>0</v>
      </c>
      <c r="DB9" s="508">
        <f t="shared" si="22"/>
        <v>15600</v>
      </c>
      <c r="DC9" s="508">
        <f t="shared" si="23"/>
        <v>0</v>
      </c>
      <c r="DD9" s="508">
        <f t="shared" si="24"/>
        <v>0</v>
      </c>
      <c r="DE9" s="726">
        <f t="shared" si="25"/>
        <v>15600</v>
      </c>
      <c r="DF9" s="724">
        <f t="shared" si="26"/>
        <v>0</v>
      </c>
      <c r="DG9" s="509">
        <f t="shared" si="27"/>
        <v>0</v>
      </c>
      <c r="DH9" s="509">
        <f t="shared" si="28"/>
        <v>0</v>
      </c>
      <c r="DI9" s="509">
        <f t="shared" si="29"/>
        <v>0</v>
      </c>
      <c r="DJ9" s="509">
        <f t="shared" si="30"/>
        <v>0</v>
      </c>
      <c r="DK9" s="509">
        <f t="shared" si="31"/>
        <v>0</v>
      </c>
      <c r="DL9" s="451">
        <f t="shared" si="32"/>
        <v>0</v>
      </c>
      <c r="DM9" s="509">
        <f t="shared" si="33"/>
        <v>600</v>
      </c>
      <c r="DN9" s="509">
        <f t="shared" si="34"/>
        <v>0</v>
      </c>
      <c r="DO9" s="509">
        <f t="shared" si="35"/>
        <v>0</v>
      </c>
      <c r="DP9" s="509">
        <f t="shared" si="36"/>
        <v>600</v>
      </c>
      <c r="DQ9" s="509">
        <f t="shared" si="37"/>
        <v>0</v>
      </c>
      <c r="DR9" s="509">
        <f t="shared" si="38"/>
        <v>0</v>
      </c>
      <c r="DS9" s="450">
        <f t="shared" si="39"/>
        <v>600</v>
      </c>
      <c r="DT9" s="724">
        <f t="shared" si="40"/>
        <v>0</v>
      </c>
      <c r="DU9" s="508">
        <f t="shared" si="41"/>
        <v>0</v>
      </c>
      <c r="DV9" s="508">
        <f t="shared" si="42"/>
        <v>0</v>
      </c>
      <c r="DW9" s="508">
        <f t="shared" si="43"/>
        <v>0</v>
      </c>
      <c r="DX9" s="508">
        <f t="shared" si="44"/>
        <v>0</v>
      </c>
      <c r="DY9" s="508">
        <f t="shared" si="45"/>
        <v>0</v>
      </c>
      <c r="DZ9" s="726">
        <f t="shared" si="46"/>
        <v>0</v>
      </c>
      <c r="EA9" s="722">
        <f t="shared" si="47"/>
        <v>10913.788098693769</v>
      </c>
      <c r="EB9" s="511">
        <f t="shared" si="48"/>
        <v>0</v>
      </c>
      <c r="EC9" s="511">
        <f t="shared" si="49"/>
        <v>0</v>
      </c>
      <c r="ED9" s="511">
        <f t="shared" si="50"/>
        <v>10913.788098693769</v>
      </c>
      <c r="EE9" s="511">
        <f t="shared" si="51"/>
        <v>0</v>
      </c>
      <c r="EF9" s="511">
        <f t="shared" si="52"/>
        <v>0</v>
      </c>
      <c r="EG9" s="723">
        <f t="shared" si="53"/>
        <v>10913.788098693769</v>
      </c>
      <c r="EH9" s="397">
        <f t="shared" si="111"/>
        <v>12.928000000000011</v>
      </c>
      <c r="EI9" s="397">
        <f t="shared" si="54"/>
        <v>0</v>
      </c>
      <c r="EJ9" s="397">
        <f t="shared" si="55"/>
        <v>0</v>
      </c>
      <c r="EK9" s="397">
        <f t="shared" si="56"/>
        <v>12.928000000000011</v>
      </c>
      <c r="EL9" s="397">
        <f t="shared" si="57"/>
        <v>0</v>
      </c>
      <c r="EM9" s="397">
        <f t="shared" si="58"/>
        <v>0</v>
      </c>
      <c r="EN9" s="398">
        <f t="shared" si="59"/>
        <v>12.928000000000011</v>
      </c>
      <c r="EO9" s="722">
        <f t="shared" si="60"/>
        <v>0</v>
      </c>
      <c r="EP9" s="511">
        <f t="shared" si="61"/>
        <v>0</v>
      </c>
      <c r="EQ9" s="511">
        <f t="shared" si="62"/>
        <v>0</v>
      </c>
      <c r="ER9" s="511">
        <f t="shared" si="63"/>
        <v>0</v>
      </c>
      <c r="ES9" s="511">
        <f t="shared" si="64"/>
        <v>0</v>
      </c>
      <c r="ET9" s="511">
        <f t="shared" si="65"/>
        <v>0</v>
      </c>
      <c r="EU9" s="723">
        <f t="shared" si="66"/>
        <v>0</v>
      </c>
      <c r="EV9" s="727">
        <f t="shared" si="67"/>
        <v>1</v>
      </c>
      <c r="EW9" s="728">
        <f t="shared" si="68"/>
        <v>46800</v>
      </c>
      <c r="EX9" s="728">
        <f t="shared" si="69"/>
        <v>0</v>
      </c>
      <c r="EY9" s="728">
        <f t="shared" si="70"/>
        <v>1800</v>
      </c>
      <c r="EZ9" s="728">
        <f t="shared" si="71"/>
        <v>0</v>
      </c>
      <c r="FA9" s="777">
        <f t="shared" si="72"/>
        <v>32741.364296081309</v>
      </c>
      <c r="FB9" s="777">
        <f t="shared" si="73"/>
        <v>38.784000000000034</v>
      </c>
      <c r="FC9" s="778">
        <f t="shared" si="74"/>
        <v>0</v>
      </c>
      <c r="FE9" s="10" t="b">
        <f t="shared" si="112"/>
        <v>1</v>
      </c>
      <c r="FF9" s="10" t="b">
        <f t="shared" si="75"/>
        <v>1</v>
      </c>
      <c r="FG9" s="10" t="b">
        <f t="shared" si="76"/>
        <v>1</v>
      </c>
      <c r="FH9" s="10" t="b">
        <f t="shared" si="77"/>
        <v>1</v>
      </c>
      <c r="FI9" s="10" t="b">
        <f t="shared" si="78"/>
        <v>1</v>
      </c>
      <c r="FJ9" s="10" t="b">
        <f t="shared" si="79"/>
        <v>1</v>
      </c>
      <c r="FK9" s="10" t="b">
        <f t="shared" si="80"/>
        <v>1</v>
      </c>
      <c r="FL9" s="10" t="b">
        <f t="shared" si="81"/>
        <v>1</v>
      </c>
    </row>
    <row r="10" spans="1:168">
      <c r="A10" s="662">
        <v>5</v>
      </c>
      <c r="B10" s="789" t="s">
        <v>1208</v>
      </c>
      <c r="C10" s="789" t="s">
        <v>1209</v>
      </c>
      <c r="D10" s="789" t="s">
        <v>1210</v>
      </c>
      <c r="E10" s="789" t="s">
        <v>331</v>
      </c>
      <c r="F10" s="789" t="s">
        <v>1192</v>
      </c>
      <c r="G10" s="704" t="s">
        <v>402</v>
      </c>
      <c r="H10" s="704">
        <f>BizRebates_Costs!G19</f>
        <v>14.33</v>
      </c>
      <c r="I10" s="704">
        <v>0</v>
      </c>
      <c r="J10" s="704">
        <f t="shared" si="118"/>
        <v>14.33</v>
      </c>
      <c r="K10" s="704">
        <v>0</v>
      </c>
      <c r="L10" s="704">
        <f t="shared" ref="L10:L18" si="124">J10*0.5</f>
        <v>7.165</v>
      </c>
      <c r="M10" s="1023" t="s">
        <v>1211</v>
      </c>
      <c r="N10" s="1024">
        <v>3</v>
      </c>
      <c r="O10" s="1024">
        <v>3</v>
      </c>
      <c r="P10" s="707">
        <v>0</v>
      </c>
      <c r="Q10" s="707">
        <v>0</v>
      </c>
      <c r="R10" s="1021">
        <f>LGE_KU_ComReb_Report_Data!G85</f>
        <v>128.30384226491407</v>
      </c>
      <c r="S10" s="872">
        <f>LGE_KU_ComReb_Report_Data!H85</f>
        <v>5.3837209302325578E-2</v>
      </c>
      <c r="T10" s="1022">
        <v>0</v>
      </c>
      <c r="U10" s="1026" t="s">
        <v>1212</v>
      </c>
      <c r="V10" s="716">
        <v>0</v>
      </c>
      <c r="W10" s="711">
        <v>400</v>
      </c>
      <c r="X10" s="781">
        <v>2428</v>
      </c>
      <c r="Y10" s="781">
        <v>0</v>
      </c>
      <c r="Z10" s="781">
        <v>0</v>
      </c>
      <c r="AA10" s="781">
        <v>0</v>
      </c>
      <c r="AB10" s="1027">
        <f t="shared" si="113"/>
        <v>0</v>
      </c>
      <c r="AC10" s="1028">
        <v>0</v>
      </c>
      <c r="AD10" s="781">
        <v>0</v>
      </c>
      <c r="AE10" s="781">
        <v>1</v>
      </c>
      <c r="AF10" s="781">
        <v>0</v>
      </c>
      <c r="AG10" s="781">
        <v>0</v>
      </c>
      <c r="AH10" s="781">
        <v>1</v>
      </c>
      <c r="AI10" s="781">
        <v>0</v>
      </c>
      <c r="AJ10" s="781">
        <v>0</v>
      </c>
      <c r="AK10" s="715" t="s">
        <v>384</v>
      </c>
      <c r="AL10" s="711" t="s">
        <v>742</v>
      </c>
      <c r="AM10" s="715" t="s">
        <v>1186</v>
      </c>
      <c r="AN10" s="715" t="s">
        <v>1196</v>
      </c>
      <c r="AO10" s="711" t="s">
        <v>1</v>
      </c>
      <c r="AP10" s="715"/>
      <c r="AQ10" s="715"/>
      <c r="AR10" s="715"/>
      <c r="AS10" s="715" t="s">
        <v>1207</v>
      </c>
      <c r="AT10" s="715" t="s">
        <v>745</v>
      </c>
      <c r="AU10" s="715" t="s">
        <v>746</v>
      </c>
      <c r="AV10" s="715">
        <v>20</v>
      </c>
      <c r="AW10" s="715">
        <v>20</v>
      </c>
      <c r="AX10" s="715" t="s">
        <v>2711</v>
      </c>
      <c r="AY10" s="716">
        <v>1</v>
      </c>
      <c r="AZ10" s="716">
        <v>1</v>
      </c>
      <c r="BA10" s="717">
        <v>0</v>
      </c>
      <c r="BB10" s="721">
        <f t="shared" si="85"/>
        <v>14.33</v>
      </c>
      <c r="BC10" s="499">
        <f t="shared" si="86"/>
        <v>14.33</v>
      </c>
      <c r="BD10" s="499">
        <f t="shared" si="87"/>
        <v>14.33</v>
      </c>
      <c r="BE10" s="499">
        <f t="shared" si="88"/>
        <v>14.33</v>
      </c>
      <c r="BF10" s="499">
        <f t="shared" si="89"/>
        <v>14.33</v>
      </c>
      <c r="BG10" s="499">
        <f t="shared" si="90"/>
        <v>14.33</v>
      </c>
      <c r="BH10" s="499">
        <f t="shared" si="91"/>
        <v>14.33</v>
      </c>
      <c r="BI10" s="721">
        <f t="shared" si="6"/>
        <v>0</v>
      </c>
      <c r="BJ10" s="499">
        <f t="shared" ref="BJ10:BM10" si="125">BI10</f>
        <v>0</v>
      </c>
      <c r="BK10" s="499">
        <f t="shared" si="125"/>
        <v>0</v>
      </c>
      <c r="BL10" s="499">
        <f t="shared" si="125"/>
        <v>0</v>
      </c>
      <c r="BM10" s="499">
        <f t="shared" si="125"/>
        <v>0</v>
      </c>
      <c r="BN10" s="499">
        <f t="shared" si="93"/>
        <v>0</v>
      </c>
      <c r="BO10" s="499">
        <f t="shared" si="94"/>
        <v>0</v>
      </c>
      <c r="BP10" s="721">
        <f t="shared" si="8"/>
        <v>3</v>
      </c>
      <c r="BQ10" s="499">
        <f t="shared" si="95"/>
        <v>3</v>
      </c>
      <c r="BR10" s="499">
        <f t="shared" si="96"/>
        <v>3</v>
      </c>
      <c r="BS10" s="499">
        <f t="shared" si="97"/>
        <v>3</v>
      </c>
      <c r="BT10" s="499">
        <f t="shared" si="98"/>
        <v>3</v>
      </c>
      <c r="BU10" s="499">
        <f t="shared" si="99"/>
        <v>3</v>
      </c>
      <c r="BV10" s="499">
        <f t="shared" si="100"/>
        <v>3</v>
      </c>
      <c r="BW10" s="774">
        <f t="shared" si="101"/>
        <v>0</v>
      </c>
      <c r="BX10" s="503">
        <f t="shared" si="12"/>
        <v>0</v>
      </c>
      <c r="BY10" s="503">
        <f t="shared" si="12"/>
        <v>0</v>
      </c>
      <c r="BZ10" s="503">
        <f t="shared" si="12"/>
        <v>0</v>
      </c>
      <c r="CA10" s="503">
        <f t="shared" si="12"/>
        <v>0</v>
      </c>
      <c r="CB10" s="503">
        <f t="shared" si="12"/>
        <v>0</v>
      </c>
      <c r="CC10" s="503">
        <f t="shared" si="12"/>
        <v>0</v>
      </c>
      <c r="CD10" s="722">
        <f t="shared" si="13"/>
        <v>128.30384226491407</v>
      </c>
      <c r="CE10" s="511">
        <f t="shared" ref="CE10:CH10" si="126">CD10</f>
        <v>128.30384226491407</v>
      </c>
      <c r="CF10" s="511">
        <f t="shared" si="126"/>
        <v>128.30384226491407</v>
      </c>
      <c r="CG10" s="511">
        <f t="shared" si="126"/>
        <v>128.30384226491407</v>
      </c>
      <c r="CH10" s="511">
        <f t="shared" si="126"/>
        <v>128.30384226491407</v>
      </c>
      <c r="CI10" s="511">
        <f t="shared" si="103"/>
        <v>128.30384226491407</v>
      </c>
      <c r="CJ10" s="511">
        <f t="shared" si="104"/>
        <v>128.30384226491407</v>
      </c>
      <c r="CK10" s="722">
        <f t="shared" si="15"/>
        <v>5.3837209302325578E-2</v>
      </c>
      <c r="CL10" s="511">
        <f t="shared" ref="CL10:CO10" si="127">CK10</f>
        <v>5.3837209302325578E-2</v>
      </c>
      <c r="CM10" s="511">
        <f t="shared" si="127"/>
        <v>5.3837209302325578E-2</v>
      </c>
      <c r="CN10" s="511">
        <f t="shared" si="127"/>
        <v>5.3837209302325578E-2</v>
      </c>
      <c r="CO10" s="511">
        <f t="shared" si="127"/>
        <v>5.3837209302325578E-2</v>
      </c>
      <c r="CP10" s="511">
        <f t="shared" si="106"/>
        <v>5.3837209302325578E-2</v>
      </c>
      <c r="CQ10" s="511">
        <f t="shared" si="107"/>
        <v>5.3837209302325578E-2</v>
      </c>
      <c r="CR10" s="722">
        <f t="shared" si="17"/>
        <v>0</v>
      </c>
      <c r="CS10" s="511">
        <f t="shared" ref="CS10:CV10" si="128">CR10</f>
        <v>0</v>
      </c>
      <c r="CT10" s="511">
        <f t="shared" si="128"/>
        <v>0</v>
      </c>
      <c r="CU10" s="511">
        <f t="shared" si="128"/>
        <v>0</v>
      </c>
      <c r="CV10" s="511">
        <f t="shared" si="128"/>
        <v>0</v>
      </c>
      <c r="CW10" s="511">
        <f t="shared" si="109"/>
        <v>0</v>
      </c>
      <c r="CX10" s="539">
        <f t="shared" si="110"/>
        <v>0</v>
      </c>
      <c r="CY10" s="724">
        <f t="shared" si="19"/>
        <v>0</v>
      </c>
      <c r="CZ10" s="508">
        <f t="shared" si="20"/>
        <v>5732</v>
      </c>
      <c r="DA10" s="508">
        <f t="shared" si="21"/>
        <v>0</v>
      </c>
      <c r="DB10" s="508">
        <f t="shared" si="22"/>
        <v>0</v>
      </c>
      <c r="DC10" s="508">
        <f t="shared" si="23"/>
        <v>5732</v>
      </c>
      <c r="DD10" s="508">
        <f t="shared" si="24"/>
        <v>0</v>
      </c>
      <c r="DE10" s="726">
        <f t="shared" si="25"/>
        <v>0</v>
      </c>
      <c r="DF10" s="724">
        <f t="shared" si="26"/>
        <v>0</v>
      </c>
      <c r="DG10" s="509">
        <f t="shared" si="27"/>
        <v>0</v>
      </c>
      <c r="DH10" s="509">
        <f t="shared" si="28"/>
        <v>0</v>
      </c>
      <c r="DI10" s="509">
        <f t="shared" si="29"/>
        <v>0</v>
      </c>
      <c r="DJ10" s="509">
        <f t="shared" si="30"/>
        <v>0</v>
      </c>
      <c r="DK10" s="509">
        <f t="shared" si="31"/>
        <v>0</v>
      </c>
      <c r="DL10" s="451">
        <f t="shared" si="32"/>
        <v>0</v>
      </c>
      <c r="DM10" s="509">
        <f t="shared" si="33"/>
        <v>0</v>
      </c>
      <c r="DN10" s="509">
        <f t="shared" si="34"/>
        <v>1200</v>
      </c>
      <c r="DO10" s="509">
        <f t="shared" si="35"/>
        <v>0</v>
      </c>
      <c r="DP10" s="509">
        <f t="shared" si="36"/>
        <v>0</v>
      </c>
      <c r="DQ10" s="509">
        <f t="shared" si="37"/>
        <v>1200</v>
      </c>
      <c r="DR10" s="509">
        <f t="shared" si="38"/>
        <v>0</v>
      </c>
      <c r="DS10" s="450">
        <f t="shared" si="39"/>
        <v>0</v>
      </c>
      <c r="DT10" s="724">
        <f t="shared" si="40"/>
        <v>0</v>
      </c>
      <c r="DU10" s="508">
        <f t="shared" si="41"/>
        <v>0</v>
      </c>
      <c r="DV10" s="508">
        <f t="shared" si="42"/>
        <v>0</v>
      </c>
      <c r="DW10" s="508">
        <f t="shared" si="43"/>
        <v>0</v>
      </c>
      <c r="DX10" s="508">
        <f t="shared" si="44"/>
        <v>0</v>
      </c>
      <c r="DY10" s="508">
        <f t="shared" si="45"/>
        <v>0</v>
      </c>
      <c r="DZ10" s="726">
        <f t="shared" si="46"/>
        <v>0</v>
      </c>
      <c r="EA10" s="722">
        <f t="shared" si="47"/>
        <v>0</v>
      </c>
      <c r="EB10" s="511">
        <f t="shared" si="48"/>
        <v>51321.53690596563</v>
      </c>
      <c r="EC10" s="511">
        <f t="shared" si="49"/>
        <v>0</v>
      </c>
      <c r="ED10" s="511">
        <f t="shared" si="50"/>
        <v>0</v>
      </c>
      <c r="EE10" s="511">
        <f t="shared" si="51"/>
        <v>51321.53690596563</v>
      </c>
      <c r="EF10" s="511">
        <f t="shared" si="52"/>
        <v>0</v>
      </c>
      <c r="EG10" s="723">
        <f t="shared" si="53"/>
        <v>0</v>
      </c>
      <c r="EH10" s="397">
        <f t="shared" si="111"/>
        <v>0</v>
      </c>
      <c r="EI10" s="397">
        <f t="shared" si="54"/>
        <v>21.534883720930232</v>
      </c>
      <c r="EJ10" s="397">
        <f t="shared" si="55"/>
        <v>0</v>
      </c>
      <c r="EK10" s="397">
        <f t="shared" si="56"/>
        <v>0</v>
      </c>
      <c r="EL10" s="397">
        <f t="shared" si="57"/>
        <v>21.534883720930232</v>
      </c>
      <c r="EM10" s="397">
        <f t="shared" si="58"/>
        <v>0</v>
      </c>
      <c r="EN10" s="398">
        <f t="shared" si="59"/>
        <v>0</v>
      </c>
      <c r="EO10" s="722">
        <f t="shared" si="60"/>
        <v>0</v>
      </c>
      <c r="EP10" s="511">
        <f t="shared" si="61"/>
        <v>0</v>
      </c>
      <c r="EQ10" s="511">
        <f t="shared" si="62"/>
        <v>0</v>
      </c>
      <c r="ER10" s="511">
        <f t="shared" si="63"/>
        <v>0</v>
      </c>
      <c r="ES10" s="511">
        <f t="shared" si="64"/>
        <v>0</v>
      </c>
      <c r="ET10" s="511">
        <f t="shared" si="65"/>
        <v>0</v>
      </c>
      <c r="EU10" s="723">
        <f t="shared" si="66"/>
        <v>0</v>
      </c>
      <c r="EV10" s="727">
        <f t="shared" si="67"/>
        <v>1</v>
      </c>
      <c r="EW10" s="728">
        <f t="shared" si="68"/>
        <v>11464</v>
      </c>
      <c r="EX10" s="728">
        <f t="shared" si="69"/>
        <v>0</v>
      </c>
      <c r="EY10" s="728">
        <f t="shared" si="70"/>
        <v>2400</v>
      </c>
      <c r="EZ10" s="728">
        <f t="shared" si="71"/>
        <v>0</v>
      </c>
      <c r="FA10" s="777">
        <f t="shared" si="72"/>
        <v>102643.07381193126</v>
      </c>
      <c r="FB10" s="777">
        <f t="shared" si="73"/>
        <v>43.069767441860463</v>
      </c>
      <c r="FC10" s="778">
        <f t="shared" si="74"/>
        <v>0</v>
      </c>
      <c r="FE10" s="10" t="b">
        <f t="shared" si="112"/>
        <v>1</v>
      </c>
      <c r="FF10" s="10" t="b">
        <f t="shared" si="75"/>
        <v>1</v>
      </c>
      <c r="FG10" s="10" t="b">
        <f t="shared" si="76"/>
        <v>1</v>
      </c>
      <c r="FH10" s="10" t="b">
        <f t="shared" si="77"/>
        <v>1</v>
      </c>
      <c r="FI10" s="10" t="b">
        <f t="shared" si="78"/>
        <v>1</v>
      </c>
      <c r="FJ10" s="10" t="b">
        <f t="shared" si="79"/>
        <v>1</v>
      </c>
      <c r="FK10" s="10" t="b">
        <f t="shared" si="80"/>
        <v>1</v>
      </c>
      <c r="FL10" s="10" t="b">
        <f t="shared" si="81"/>
        <v>1</v>
      </c>
    </row>
    <row r="11" spans="1:168">
      <c r="A11" s="662">
        <v>6</v>
      </c>
      <c r="B11" s="789" t="s">
        <v>1213</v>
      </c>
      <c r="C11" s="789" t="s">
        <v>1214</v>
      </c>
      <c r="D11" s="789" t="s">
        <v>1215</v>
      </c>
      <c r="E11" s="789" t="s">
        <v>331</v>
      </c>
      <c r="F11" s="789" t="s">
        <v>331</v>
      </c>
      <c r="G11" s="704" t="s">
        <v>402</v>
      </c>
      <c r="H11" s="704">
        <f t="shared" ref="H11:H18" si="129">O11/25%</f>
        <v>400</v>
      </c>
      <c r="I11" s="704">
        <v>0</v>
      </c>
      <c r="J11" s="704">
        <f t="shared" ref="J11:J18" si="130">H11</f>
        <v>400</v>
      </c>
      <c r="K11" s="704">
        <v>0</v>
      </c>
      <c r="L11" s="704">
        <f t="shared" si="124"/>
        <v>200</v>
      </c>
      <c r="M11" s="711" t="s">
        <v>1216</v>
      </c>
      <c r="N11" s="1024">
        <v>100</v>
      </c>
      <c r="O11" s="1024">
        <v>100</v>
      </c>
      <c r="P11" s="707">
        <v>0</v>
      </c>
      <c r="Q11" s="707">
        <v>0</v>
      </c>
      <c r="R11" s="871">
        <f>'Water Reset Reference'!C23</f>
        <v>2825.8201326315789</v>
      </c>
      <c r="S11" s="872">
        <f>'Water Reset Reference'!$W$80/'Water Reset Reference'!$V$80*R11</f>
        <v>1.79571110984056</v>
      </c>
      <c r="T11" s="1022">
        <v>0</v>
      </c>
      <c r="U11" s="1029" t="s">
        <v>1217</v>
      </c>
      <c r="V11" s="716">
        <v>0</v>
      </c>
      <c r="W11" s="711">
        <v>1</v>
      </c>
      <c r="X11" s="781">
        <v>0</v>
      </c>
      <c r="Y11" s="781">
        <v>0</v>
      </c>
      <c r="Z11" s="781">
        <v>0</v>
      </c>
      <c r="AA11" s="781">
        <v>0</v>
      </c>
      <c r="AB11" s="1027">
        <f t="shared" si="113"/>
        <v>0</v>
      </c>
      <c r="AC11" s="1028">
        <v>0</v>
      </c>
      <c r="AD11" s="781">
        <v>0</v>
      </c>
      <c r="AE11" s="781">
        <v>1</v>
      </c>
      <c r="AF11" s="781">
        <v>0</v>
      </c>
      <c r="AG11" s="781">
        <v>0</v>
      </c>
      <c r="AH11" s="781">
        <v>1</v>
      </c>
      <c r="AI11" s="781">
        <v>0</v>
      </c>
      <c r="AJ11" s="781">
        <v>0</v>
      </c>
      <c r="AK11" s="715" t="s">
        <v>384</v>
      </c>
      <c r="AL11" s="711" t="s">
        <v>742</v>
      </c>
      <c r="AM11" s="715" t="s">
        <v>1195</v>
      </c>
      <c r="AN11" s="715" t="s">
        <v>1196</v>
      </c>
      <c r="AO11" s="711" t="s">
        <v>1</v>
      </c>
      <c r="AP11" s="715"/>
      <c r="AQ11" s="715"/>
      <c r="AR11" s="715"/>
      <c r="AS11" s="715" t="s">
        <v>1187</v>
      </c>
      <c r="AT11" s="715" t="s">
        <v>745</v>
      </c>
      <c r="AU11" s="715" t="s">
        <v>746</v>
      </c>
      <c r="AV11" s="715">
        <v>10</v>
      </c>
      <c r="AW11" s="715">
        <v>10</v>
      </c>
      <c r="AX11" s="715" t="s">
        <v>2712</v>
      </c>
      <c r="AY11" s="716">
        <v>1</v>
      </c>
      <c r="AZ11" s="716">
        <v>1</v>
      </c>
      <c r="BA11" s="717">
        <v>0</v>
      </c>
      <c r="BB11" s="721">
        <f t="shared" si="85"/>
        <v>400</v>
      </c>
      <c r="BC11" s="499">
        <f t="shared" si="86"/>
        <v>400</v>
      </c>
      <c r="BD11" s="499">
        <f t="shared" si="87"/>
        <v>400</v>
      </c>
      <c r="BE11" s="499">
        <f t="shared" si="88"/>
        <v>400</v>
      </c>
      <c r="BF11" s="499">
        <f t="shared" si="89"/>
        <v>400</v>
      </c>
      <c r="BG11" s="499">
        <f t="shared" si="90"/>
        <v>400</v>
      </c>
      <c r="BH11" s="499">
        <f t="shared" si="91"/>
        <v>400</v>
      </c>
      <c r="BI11" s="721">
        <f t="shared" si="6"/>
        <v>0</v>
      </c>
      <c r="BJ11" s="499">
        <f t="shared" ref="BJ11:BM11" si="131">BI11</f>
        <v>0</v>
      </c>
      <c r="BK11" s="499">
        <f t="shared" si="131"/>
        <v>0</v>
      </c>
      <c r="BL11" s="499">
        <f t="shared" si="131"/>
        <v>0</v>
      </c>
      <c r="BM11" s="499">
        <f t="shared" si="131"/>
        <v>0</v>
      </c>
      <c r="BN11" s="499">
        <f t="shared" si="93"/>
        <v>0</v>
      </c>
      <c r="BO11" s="499">
        <f t="shared" si="94"/>
        <v>0</v>
      </c>
      <c r="BP11" s="721">
        <f t="shared" si="8"/>
        <v>100</v>
      </c>
      <c r="BQ11" s="499">
        <f t="shared" si="95"/>
        <v>100</v>
      </c>
      <c r="BR11" s="499">
        <f t="shared" si="96"/>
        <v>100</v>
      </c>
      <c r="BS11" s="499">
        <f t="shared" si="97"/>
        <v>100</v>
      </c>
      <c r="BT11" s="499">
        <f t="shared" si="98"/>
        <v>100</v>
      </c>
      <c r="BU11" s="499">
        <f t="shared" si="99"/>
        <v>100</v>
      </c>
      <c r="BV11" s="499">
        <f t="shared" si="100"/>
        <v>100</v>
      </c>
      <c r="BW11" s="774">
        <f t="shared" si="101"/>
        <v>0</v>
      </c>
      <c r="BX11" s="503">
        <f t="shared" si="12"/>
        <v>0</v>
      </c>
      <c r="BY11" s="503">
        <f t="shared" si="12"/>
        <v>0</v>
      </c>
      <c r="BZ11" s="503">
        <f t="shared" si="12"/>
        <v>0</v>
      </c>
      <c r="CA11" s="503">
        <f t="shared" si="12"/>
        <v>0</v>
      </c>
      <c r="CB11" s="503">
        <f t="shared" si="12"/>
        <v>0</v>
      </c>
      <c r="CC11" s="503">
        <f t="shared" si="12"/>
        <v>0</v>
      </c>
      <c r="CD11" s="722">
        <f t="shared" si="13"/>
        <v>2825.8201326315789</v>
      </c>
      <c r="CE11" s="511">
        <f t="shared" ref="CE11:CH11" si="132">CD11</f>
        <v>2825.8201326315789</v>
      </c>
      <c r="CF11" s="511">
        <f t="shared" si="132"/>
        <v>2825.8201326315789</v>
      </c>
      <c r="CG11" s="511">
        <f t="shared" si="132"/>
        <v>2825.8201326315789</v>
      </c>
      <c r="CH11" s="511">
        <f t="shared" si="132"/>
        <v>2825.8201326315789</v>
      </c>
      <c r="CI11" s="511">
        <f t="shared" si="103"/>
        <v>2825.8201326315789</v>
      </c>
      <c r="CJ11" s="511">
        <f t="shared" si="104"/>
        <v>2825.8201326315789</v>
      </c>
      <c r="CK11" s="722">
        <f t="shared" si="15"/>
        <v>1.79571110984056</v>
      </c>
      <c r="CL11" s="511">
        <f t="shared" ref="CL11:CO11" si="133">CK11</f>
        <v>1.79571110984056</v>
      </c>
      <c r="CM11" s="511">
        <f t="shared" si="133"/>
        <v>1.79571110984056</v>
      </c>
      <c r="CN11" s="511">
        <f t="shared" si="133"/>
        <v>1.79571110984056</v>
      </c>
      <c r="CO11" s="511">
        <f t="shared" si="133"/>
        <v>1.79571110984056</v>
      </c>
      <c r="CP11" s="511">
        <f t="shared" si="106"/>
        <v>1.79571110984056</v>
      </c>
      <c r="CQ11" s="511">
        <f t="shared" si="107"/>
        <v>1.79571110984056</v>
      </c>
      <c r="CR11" s="722">
        <f t="shared" si="17"/>
        <v>0</v>
      </c>
      <c r="CS11" s="511">
        <f t="shared" ref="CS11:CV11" si="134">CR11</f>
        <v>0</v>
      </c>
      <c r="CT11" s="511">
        <f t="shared" si="134"/>
        <v>0</v>
      </c>
      <c r="CU11" s="511">
        <f t="shared" si="134"/>
        <v>0</v>
      </c>
      <c r="CV11" s="511">
        <f t="shared" si="134"/>
        <v>0</v>
      </c>
      <c r="CW11" s="511">
        <f t="shared" si="109"/>
        <v>0</v>
      </c>
      <c r="CX11" s="539">
        <f t="shared" si="110"/>
        <v>0</v>
      </c>
      <c r="CY11" s="724">
        <f t="shared" si="19"/>
        <v>0</v>
      </c>
      <c r="CZ11" s="508">
        <f t="shared" si="20"/>
        <v>400</v>
      </c>
      <c r="DA11" s="508">
        <f t="shared" si="21"/>
        <v>0</v>
      </c>
      <c r="DB11" s="508">
        <f t="shared" si="22"/>
        <v>0</v>
      </c>
      <c r="DC11" s="508">
        <f t="shared" si="23"/>
        <v>400</v>
      </c>
      <c r="DD11" s="508">
        <f t="shared" si="24"/>
        <v>0</v>
      </c>
      <c r="DE11" s="726">
        <f t="shared" si="25"/>
        <v>0</v>
      </c>
      <c r="DF11" s="724">
        <f t="shared" si="26"/>
        <v>0</v>
      </c>
      <c r="DG11" s="509">
        <f t="shared" si="27"/>
        <v>0</v>
      </c>
      <c r="DH11" s="509">
        <f t="shared" si="28"/>
        <v>0</v>
      </c>
      <c r="DI11" s="509">
        <f t="shared" si="29"/>
        <v>0</v>
      </c>
      <c r="DJ11" s="509">
        <f t="shared" si="30"/>
        <v>0</v>
      </c>
      <c r="DK11" s="509">
        <f t="shared" si="31"/>
        <v>0</v>
      </c>
      <c r="DL11" s="451">
        <f t="shared" si="32"/>
        <v>0</v>
      </c>
      <c r="DM11" s="509">
        <f t="shared" si="33"/>
        <v>0</v>
      </c>
      <c r="DN11" s="509">
        <f t="shared" si="34"/>
        <v>100</v>
      </c>
      <c r="DO11" s="509">
        <f t="shared" si="35"/>
        <v>0</v>
      </c>
      <c r="DP11" s="509">
        <f t="shared" si="36"/>
        <v>0</v>
      </c>
      <c r="DQ11" s="509">
        <f t="shared" si="37"/>
        <v>100</v>
      </c>
      <c r="DR11" s="509">
        <f t="shared" si="38"/>
        <v>0</v>
      </c>
      <c r="DS11" s="450">
        <f t="shared" si="39"/>
        <v>0</v>
      </c>
      <c r="DT11" s="724">
        <f t="shared" si="40"/>
        <v>0</v>
      </c>
      <c r="DU11" s="508">
        <f t="shared" si="41"/>
        <v>0</v>
      </c>
      <c r="DV11" s="508">
        <f t="shared" si="42"/>
        <v>0</v>
      </c>
      <c r="DW11" s="508">
        <f t="shared" si="43"/>
        <v>0</v>
      </c>
      <c r="DX11" s="508">
        <f t="shared" si="44"/>
        <v>0</v>
      </c>
      <c r="DY11" s="508">
        <f t="shared" si="45"/>
        <v>0</v>
      </c>
      <c r="DZ11" s="726">
        <f t="shared" si="46"/>
        <v>0</v>
      </c>
      <c r="EA11" s="722">
        <f t="shared" si="47"/>
        <v>0</v>
      </c>
      <c r="EB11" s="511">
        <f t="shared" si="48"/>
        <v>2825.8201326315789</v>
      </c>
      <c r="EC11" s="511">
        <f t="shared" si="49"/>
        <v>0</v>
      </c>
      <c r="ED11" s="511">
        <f t="shared" si="50"/>
        <v>0</v>
      </c>
      <c r="EE11" s="511">
        <f t="shared" si="51"/>
        <v>2825.8201326315789</v>
      </c>
      <c r="EF11" s="511">
        <f t="shared" si="52"/>
        <v>0</v>
      </c>
      <c r="EG11" s="723">
        <f t="shared" si="53"/>
        <v>0</v>
      </c>
      <c r="EH11" s="397">
        <f t="shared" si="111"/>
        <v>0</v>
      </c>
      <c r="EI11" s="397">
        <f t="shared" si="54"/>
        <v>1.79571110984056</v>
      </c>
      <c r="EJ11" s="397">
        <f t="shared" si="55"/>
        <v>0</v>
      </c>
      <c r="EK11" s="397">
        <f t="shared" si="56"/>
        <v>0</v>
      </c>
      <c r="EL11" s="397">
        <f t="shared" si="57"/>
        <v>1.79571110984056</v>
      </c>
      <c r="EM11" s="397">
        <f t="shared" si="58"/>
        <v>0</v>
      </c>
      <c r="EN11" s="398">
        <f t="shared" si="59"/>
        <v>0</v>
      </c>
      <c r="EO11" s="722">
        <f t="shared" si="60"/>
        <v>0</v>
      </c>
      <c r="EP11" s="511">
        <f t="shared" si="61"/>
        <v>0</v>
      </c>
      <c r="EQ11" s="511">
        <f t="shared" si="62"/>
        <v>0</v>
      </c>
      <c r="ER11" s="511">
        <f t="shared" si="63"/>
        <v>0</v>
      </c>
      <c r="ES11" s="511">
        <f t="shared" si="64"/>
        <v>0</v>
      </c>
      <c r="ET11" s="511">
        <f t="shared" si="65"/>
        <v>0</v>
      </c>
      <c r="EU11" s="723">
        <f t="shared" si="66"/>
        <v>0</v>
      </c>
      <c r="EV11" s="727">
        <f t="shared" si="67"/>
        <v>1</v>
      </c>
      <c r="EW11" s="728">
        <f t="shared" si="68"/>
        <v>800</v>
      </c>
      <c r="EX11" s="728">
        <f t="shared" si="69"/>
        <v>0</v>
      </c>
      <c r="EY11" s="728">
        <f t="shared" si="70"/>
        <v>200</v>
      </c>
      <c r="EZ11" s="728">
        <f t="shared" si="71"/>
        <v>0</v>
      </c>
      <c r="FA11" s="777">
        <f t="shared" si="72"/>
        <v>5651.6402652631577</v>
      </c>
      <c r="FB11" s="777">
        <f t="shared" si="73"/>
        <v>3.5914222196811201</v>
      </c>
      <c r="FC11" s="778">
        <f t="shared" si="74"/>
        <v>0</v>
      </c>
      <c r="FE11" s="10" t="b">
        <f t="shared" si="112"/>
        <v>1</v>
      </c>
      <c r="FF11" s="10" t="b">
        <f t="shared" si="75"/>
        <v>1</v>
      </c>
      <c r="FG11" s="10" t="b">
        <f t="shared" si="76"/>
        <v>1</v>
      </c>
      <c r="FH11" s="10" t="b">
        <f t="shared" si="77"/>
        <v>1</v>
      </c>
      <c r="FI11" s="10" t="b">
        <f t="shared" si="78"/>
        <v>1</v>
      </c>
      <c r="FJ11" s="10" t="b">
        <f t="shared" si="79"/>
        <v>1</v>
      </c>
      <c r="FK11" s="10" t="b">
        <f t="shared" si="80"/>
        <v>1</v>
      </c>
      <c r="FL11" s="10" t="b">
        <f t="shared" si="81"/>
        <v>1</v>
      </c>
    </row>
    <row r="12" spans="1:168">
      <c r="A12" s="662">
        <v>7</v>
      </c>
      <c r="B12" s="789" t="s">
        <v>1218</v>
      </c>
      <c r="C12" s="789" t="s">
        <v>1214</v>
      </c>
      <c r="D12" s="789" t="s">
        <v>1215</v>
      </c>
      <c r="E12" s="789" t="s">
        <v>331</v>
      </c>
      <c r="F12" s="789" t="s">
        <v>331</v>
      </c>
      <c r="G12" s="704" t="s">
        <v>402</v>
      </c>
      <c r="H12" s="704">
        <f t="shared" si="129"/>
        <v>800</v>
      </c>
      <c r="I12" s="704">
        <v>0</v>
      </c>
      <c r="J12" s="704">
        <f t="shared" si="130"/>
        <v>800</v>
      </c>
      <c r="K12" s="704">
        <v>0</v>
      </c>
      <c r="L12" s="704">
        <f t="shared" si="124"/>
        <v>400</v>
      </c>
      <c r="M12" s="711" t="s">
        <v>1216</v>
      </c>
      <c r="N12" s="1024">
        <v>200</v>
      </c>
      <c r="O12" s="1024">
        <v>200</v>
      </c>
      <c r="P12" s="707">
        <v>0</v>
      </c>
      <c r="Q12" s="707">
        <v>0</v>
      </c>
      <c r="R12" s="871">
        <f>'Water Reset Reference'!D23</f>
        <v>6704.3425865131576</v>
      </c>
      <c r="S12" s="872">
        <f>'Water Reset Reference'!$W$80/'Water Reset Reference'!$V$80*R12</f>
        <v>4.2603781917171606</v>
      </c>
      <c r="T12" s="1022">
        <v>0</v>
      </c>
      <c r="U12" s="1029" t="s">
        <v>1217</v>
      </c>
      <c r="V12" s="716">
        <v>0</v>
      </c>
      <c r="W12" s="711">
        <v>1</v>
      </c>
      <c r="X12" s="781">
        <v>0</v>
      </c>
      <c r="Y12" s="781">
        <v>0</v>
      </c>
      <c r="Z12" s="781">
        <v>0</v>
      </c>
      <c r="AA12" s="781">
        <v>0</v>
      </c>
      <c r="AB12" s="1027">
        <f t="shared" si="113"/>
        <v>0</v>
      </c>
      <c r="AC12" s="1028">
        <v>1</v>
      </c>
      <c r="AD12" s="781">
        <v>0</v>
      </c>
      <c r="AE12" s="781">
        <v>0</v>
      </c>
      <c r="AF12" s="781">
        <v>1</v>
      </c>
      <c r="AG12" s="781">
        <v>0</v>
      </c>
      <c r="AH12" s="781">
        <v>0</v>
      </c>
      <c r="AI12" s="781">
        <v>1</v>
      </c>
      <c r="AJ12" s="781">
        <v>0</v>
      </c>
      <c r="AK12" s="715" t="s">
        <v>384</v>
      </c>
      <c r="AL12" s="711" t="s">
        <v>742</v>
      </c>
      <c r="AM12" s="715" t="s">
        <v>1195</v>
      </c>
      <c r="AN12" s="715" t="s">
        <v>1196</v>
      </c>
      <c r="AO12" s="711" t="s">
        <v>1</v>
      </c>
      <c r="AP12" s="715"/>
      <c r="AQ12" s="715"/>
      <c r="AR12" s="715"/>
      <c r="AS12" s="715" t="s">
        <v>1207</v>
      </c>
      <c r="AT12" s="715" t="s">
        <v>745</v>
      </c>
      <c r="AU12" s="715" t="s">
        <v>746</v>
      </c>
      <c r="AV12" s="715">
        <v>10</v>
      </c>
      <c r="AW12" s="715">
        <v>10</v>
      </c>
      <c r="AX12" s="715" t="s">
        <v>2712</v>
      </c>
      <c r="AY12" s="716">
        <v>1</v>
      </c>
      <c r="AZ12" s="716">
        <v>1</v>
      </c>
      <c r="BA12" s="717">
        <v>0</v>
      </c>
      <c r="BB12" s="721">
        <f t="shared" si="85"/>
        <v>800</v>
      </c>
      <c r="BC12" s="499">
        <f t="shared" si="86"/>
        <v>800</v>
      </c>
      <c r="BD12" s="499">
        <f t="shared" si="87"/>
        <v>800</v>
      </c>
      <c r="BE12" s="499">
        <f t="shared" si="88"/>
        <v>800</v>
      </c>
      <c r="BF12" s="499">
        <f t="shared" si="89"/>
        <v>800</v>
      </c>
      <c r="BG12" s="499">
        <f t="shared" si="90"/>
        <v>800</v>
      </c>
      <c r="BH12" s="499">
        <f t="shared" si="91"/>
        <v>800</v>
      </c>
      <c r="BI12" s="721">
        <f t="shared" si="6"/>
        <v>0</v>
      </c>
      <c r="BJ12" s="499">
        <f t="shared" ref="BJ12:BM12" si="135">BI12</f>
        <v>0</v>
      </c>
      <c r="BK12" s="499">
        <f t="shared" si="135"/>
        <v>0</v>
      </c>
      <c r="BL12" s="499">
        <f t="shared" si="135"/>
        <v>0</v>
      </c>
      <c r="BM12" s="499">
        <f t="shared" si="135"/>
        <v>0</v>
      </c>
      <c r="BN12" s="499">
        <f t="shared" si="93"/>
        <v>0</v>
      </c>
      <c r="BO12" s="499">
        <f t="shared" si="94"/>
        <v>0</v>
      </c>
      <c r="BP12" s="721">
        <f t="shared" si="8"/>
        <v>200</v>
      </c>
      <c r="BQ12" s="499">
        <f t="shared" si="95"/>
        <v>200</v>
      </c>
      <c r="BR12" s="499">
        <f t="shared" si="96"/>
        <v>200</v>
      </c>
      <c r="BS12" s="499">
        <f t="shared" si="97"/>
        <v>200</v>
      </c>
      <c r="BT12" s="499">
        <f t="shared" si="98"/>
        <v>200</v>
      </c>
      <c r="BU12" s="499">
        <f t="shared" si="99"/>
        <v>200</v>
      </c>
      <c r="BV12" s="499">
        <f t="shared" si="100"/>
        <v>200</v>
      </c>
      <c r="BW12" s="774">
        <f t="shared" si="101"/>
        <v>0</v>
      </c>
      <c r="BX12" s="503">
        <f t="shared" si="12"/>
        <v>0</v>
      </c>
      <c r="BY12" s="503">
        <f t="shared" si="12"/>
        <v>0</v>
      </c>
      <c r="BZ12" s="503">
        <f t="shared" si="12"/>
        <v>0</v>
      </c>
      <c r="CA12" s="503">
        <f t="shared" si="12"/>
        <v>0</v>
      </c>
      <c r="CB12" s="503">
        <f t="shared" si="12"/>
        <v>0</v>
      </c>
      <c r="CC12" s="503">
        <f t="shared" si="12"/>
        <v>0</v>
      </c>
      <c r="CD12" s="722">
        <f t="shared" si="13"/>
        <v>6704.3425865131576</v>
      </c>
      <c r="CE12" s="511">
        <f t="shared" ref="CE12:CH12" si="136">CD12</f>
        <v>6704.3425865131576</v>
      </c>
      <c r="CF12" s="511">
        <f t="shared" si="136"/>
        <v>6704.3425865131576</v>
      </c>
      <c r="CG12" s="511">
        <f t="shared" si="136"/>
        <v>6704.3425865131576</v>
      </c>
      <c r="CH12" s="511">
        <f t="shared" si="136"/>
        <v>6704.3425865131576</v>
      </c>
      <c r="CI12" s="511">
        <f t="shared" si="103"/>
        <v>6704.3425865131576</v>
      </c>
      <c r="CJ12" s="511">
        <f t="shared" si="104"/>
        <v>6704.3425865131576</v>
      </c>
      <c r="CK12" s="722">
        <f t="shared" si="15"/>
        <v>4.2603781917171606</v>
      </c>
      <c r="CL12" s="511">
        <f t="shared" ref="CL12:CO12" si="137">CK12</f>
        <v>4.2603781917171606</v>
      </c>
      <c r="CM12" s="511">
        <f t="shared" si="137"/>
        <v>4.2603781917171606</v>
      </c>
      <c r="CN12" s="511">
        <f t="shared" si="137"/>
        <v>4.2603781917171606</v>
      </c>
      <c r="CO12" s="511">
        <f t="shared" si="137"/>
        <v>4.2603781917171606</v>
      </c>
      <c r="CP12" s="511">
        <f t="shared" si="106"/>
        <v>4.2603781917171606</v>
      </c>
      <c r="CQ12" s="511">
        <f t="shared" si="107"/>
        <v>4.2603781917171606</v>
      </c>
      <c r="CR12" s="722">
        <f t="shared" si="17"/>
        <v>0</v>
      </c>
      <c r="CS12" s="511">
        <f t="shared" ref="CS12:CV12" si="138">CR12</f>
        <v>0</v>
      </c>
      <c r="CT12" s="511">
        <f t="shared" si="138"/>
        <v>0</v>
      </c>
      <c r="CU12" s="511">
        <f t="shared" si="138"/>
        <v>0</v>
      </c>
      <c r="CV12" s="511">
        <f t="shared" si="138"/>
        <v>0</v>
      </c>
      <c r="CW12" s="511">
        <f t="shared" si="109"/>
        <v>0</v>
      </c>
      <c r="CX12" s="539">
        <f t="shared" si="110"/>
        <v>0</v>
      </c>
      <c r="CY12" s="724">
        <f t="shared" si="19"/>
        <v>0</v>
      </c>
      <c r="CZ12" s="508">
        <f t="shared" si="20"/>
        <v>0</v>
      </c>
      <c r="DA12" s="508">
        <f t="shared" si="21"/>
        <v>800</v>
      </c>
      <c r="DB12" s="508">
        <f t="shared" si="22"/>
        <v>0</v>
      </c>
      <c r="DC12" s="508">
        <f t="shared" si="23"/>
        <v>0</v>
      </c>
      <c r="DD12" s="508">
        <f t="shared" si="24"/>
        <v>800</v>
      </c>
      <c r="DE12" s="726">
        <f t="shared" si="25"/>
        <v>0</v>
      </c>
      <c r="DF12" s="724">
        <f t="shared" si="26"/>
        <v>0</v>
      </c>
      <c r="DG12" s="509">
        <f t="shared" si="27"/>
        <v>0</v>
      </c>
      <c r="DH12" s="509">
        <f t="shared" si="28"/>
        <v>0</v>
      </c>
      <c r="DI12" s="509">
        <f t="shared" si="29"/>
        <v>0</v>
      </c>
      <c r="DJ12" s="509">
        <f t="shared" si="30"/>
        <v>0</v>
      </c>
      <c r="DK12" s="509">
        <f t="shared" si="31"/>
        <v>0</v>
      </c>
      <c r="DL12" s="451">
        <f t="shared" si="32"/>
        <v>0</v>
      </c>
      <c r="DM12" s="509">
        <f t="shared" si="33"/>
        <v>0</v>
      </c>
      <c r="DN12" s="509">
        <f t="shared" si="34"/>
        <v>0</v>
      </c>
      <c r="DO12" s="509">
        <f t="shared" si="35"/>
        <v>200</v>
      </c>
      <c r="DP12" s="509">
        <f t="shared" si="36"/>
        <v>0</v>
      </c>
      <c r="DQ12" s="509">
        <f t="shared" si="37"/>
        <v>0</v>
      </c>
      <c r="DR12" s="509">
        <f t="shared" si="38"/>
        <v>200</v>
      </c>
      <c r="DS12" s="450">
        <f t="shared" si="39"/>
        <v>0</v>
      </c>
      <c r="DT12" s="724">
        <f t="shared" si="40"/>
        <v>0</v>
      </c>
      <c r="DU12" s="508">
        <f t="shared" si="41"/>
        <v>0</v>
      </c>
      <c r="DV12" s="508">
        <f t="shared" si="42"/>
        <v>0</v>
      </c>
      <c r="DW12" s="508">
        <f t="shared" si="43"/>
        <v>0</v>
      </c>
      <c r="DX12" s="508">
        <f t="shared" si="44"/>
        <v>0</v>
      </c>
      <c r="DY12" s="508">
        <f t="shared" si="45"/>
        <v>0</v>
      </c>
      <c r="DZ12" s="726">
        <f t="shared" si="46"/>
        <v>0</v>
      </c>
      <c r="EA12" s="722">
        <f t="shared" si="47"/>
        <v>0</v>
      </c>
      <c r="EB12" s="511">
        <f t="shared" si="48"/>
        <v>0</v>
      </c>
      <c r="EC12" s="511">
        <f t="shared" si="49"/>
        <v>6704.3425865131576</v>
      </c>
      <c r="ED12" s="511">
        <f t="shared" si="50"/>
        <v>0</v>
      </c>
      <c r="EE12" s="511">
        <f t="shared" si="51"/>
        <v>0</v>
      </c>
      <c r="EF12" s="511">
        <f t="shared" si="52"/>
        <v>6704.3425865131576</v>
      </c>
      <c r="EG12" s="723">
        <f t="shared" si="53"/>
        <v>0</v>
      </c>
      <c r="EH12" s="397">
        <f t="shared" si="111"/>
        <v>0</v>
      </c>
      <c r="EI12" s="397">
        <f t="shared" si="54"/>
        <v>0</v>
      </c>
      <c r="EJ12" s="397">
        <f t="shared" si="55"/>
        <v>4.2603781917171606</v>
      </c>
      <c r="EK12" s="397">
        <f t="shared" si="56"/>
        <v>0</v>
      </c>
      <c r="EL12" s="397">
        <f t="shared" si="57"/>
        <v>0</v>
      </c>
      <c r="EM12" s="397">
        <f t="shared" si="58"/>
        <v>4.2603781917171606</v>
      </c>
      <c r="EN12" s="398">
        <f t="shared" si="59"/>
        <v>0</v>
      </c>
      <c r="EO12" s="722">
        <f t="shared" si="60"/>
        <v>0</v>
      </c>
      <c r="EP12" s="511">
        <f t="shared" si="61"/>
        <v>0</v>
      </c>
      <c r="EQ12" s="511">
        <f t="shared" si="62"/>
        <v>0</v>
      </c>
      <c r="ER12" s="511">
        <f t="shared" si="63"/>
        <v>0</v>
      </c>
      <c r="ES12" s="511">
        <f t="shared" si="64"/>
        <v>0</v>
      </c>
      <c r="ET12" s="511">
        <f t="shared" si="65"/>
        <v>0</v>
      </c>
      <c r="EU12" s="723">
        <f t="shared" si="66"/>
        <v>0</v>
      </c>
      <c r="EV12" s="727">
        <f t="shared" si="67"/>
        <v>1</v>
      </c>
      <c r="EW12" s="728">
        <f t="shared" si="68"/>
        <v>1600</v>
      </c>
      <c r="EX12" s="728">
        <f t="shared" si="69"/>
        <v>0</v>
      </c>
      <c r="EY12" s="728">
        <f t="shared" si="70"/>
        <v>400</v>
      </c>
      <c r="EZ12" s="728">
        <f t="shared" si="71"/>
        <v>0</v>
      </c>
      <c r="FA12" s="777">
        <f t="shared" si="72"/>
        <v>13408.685173026315</v>
      </c>
      <c r="FB12" s="777">
        <f t="shared" si="73"/>
        <v>8.5207563834343212</v>
      </c>
      <c r="FC12" s="778">
        <f t="shared" si="74"/>
        <v>0</v>
      </c>
      <c r="FE12" s="10" t="b">
        <f t="shared" si="112"/>
        <v>1</v>
      </c>
      <c r="FF12" s="10" t="b">
        <f t="shared" si="75"/>
        <v>1</v>
      </c>
      <c r="FG12" s="10" t="b">
        <f t="shared" si="76"/>
        <v>1</v>
      </c>
      <c r="FH12" s="10" t="b">
        <f t="shared" si="77"/>
        <v>1</v>
      </c>
      <c r="FI12" s="10" t="b">
        <f t="shared" si="78"/>
        <v>1</v>
      </c>
      <c r="FJ12" s="10" t="b">
        <f t="shared" si="79"/>
        <v>1</v>
      </c>
      <c r="FK12" s="10" t="b">
        <f t="shared" si="80"/>
        <v>1</v>
      </c>
      <c r="FL12" s="10" t="b">
        <f t="shared" si="81"/>
        <v>1</v>
      </c>
    </row>
    <row r="13" spans="1:168">
      <c r="A13" s="662">
        <v>8</v>
      </c>
      <c r="B13" s="789" t="s">
        <v>1219</v>
      </c>
      <c r="C13" s="789" t="s">
        <v>1214</v>
      </c>
      <c r="D13" s="789" t="s">
        <v>1215</v>
      </c>
      <c r="E13" s="789" t="s">
        <v>331</v>
      </c>
      <c r="F13" s="789" t="s">
        <v>331</v>
      </c>
      <c r="G13" s="704" t="s">
        <v>402</v>
      </c>
      <c r="H13" s="704">
        <f>O13/25%</f>
        <v>1200</v>
      </c>
      <c r="I13" s="704">
        <v>0</v>
      </c>
      <c r="J13" s="704">
        <f t="shared" si="130"/>
        <v>1200</v>
      </c>
      <c r="K13" s="704">
        <v>0</v>
      </c>
      <c r="L13" s="704">
        <f t="shared" si="124"/>
        <v>600</v>
      </c>
      <c r="M13" s="711" t="s">
        <v>1216</v>
      </c>
      <c r="N13" s="1024">
        <v>300</v>
      </c>
      <c r="O13" s="1024">
        <v>300</v>
      </c>
      <c r="P13" s="707">
        <v>0</v>
      </c>
      <c r="Q13" s="707">
        <v>0</v>
      </c>
      <c r="R13" s="871">
        <f>'Water Reset Reference'!E23</f>
        <v>10141.441894736843</v>
      </c>
      <c r="S13" s="872">
        <f>'Water Reset Reference'!$W$80/'Water Reset Reference'!$V$80*R13</f>
        <v>6.4445361082561696</v>
      </c>
      <c r="T13" s="1022">
        <v>0</v>
      </c>
      <c r="U13" s="1029" t="s">
        <v>1217</v>
      </c>
      <c r="V13" s="716">
        <v>0</v>
      </c>
      <c r="W13" s="711">
        <v>1</v>
      </c>
      <c r="X13" s="781">
        <v>0</v>
      </c>
      <c r="Y13" s="781">
        <v>0</v>
      </c>
      <c r="Z13" s="781">
        <v>0</v>
      </c>
      <c r="AA13" s="781">
        <v>0</v>
      </c>
      <c r="AB13" s="1027">
        <f t="shared" si="113"/>
        <v>0</v>
      </c>
      <c r="AC13" s="1028">
        <v>0</v>
      </c>
      <c r="AD13" s="781">
        <v>1</v>
      </c>
      <c r="AE13" s="781">
        <v>0</v>
      </c>
      <c r="AF13" s="781">
        <v>0</v>
      </c>
      <c r="AG13" s="781">
        <v>1</v>
      </c>
      <c r="AH13" s="781">
        <v>0</v>
      </c>
      <c r="AI13" s="781">
        <v>0</v>
      </c>
      <c r="AJ13" s="781">
        <v>1</v>
      </c>
      <c r="AK13" s="715" t="s">
        <v>384</v>
      </c>
      <c r="AL13" s="711" t="s">
        <v>742</v>
      </c>
      <c r="AM13" s="715" t="s">
        <v>1195</v>
      </c>
      <c r="AN13" s="715" t="s">
        <v>1196</v>
      </c>
      <c r="AO13" s="711" t="s">
        <v>1</v>
      </c>
      <c r="AP13" s="715"/>
      <c r="AQ13" s="715"/>
      <c r="AR13" s="715"/>
      <c r="AS13" s="715" t="s">
        <v>1207</v>
      </c>
      <c r="AT13" s="715" t="s">
        <v>745</v>
      </c>
      <c r="AU13" s="715" t="s">
        <v>746</v>
      </c>
      <c r="AV13" s="715">
        <v>10</v>
      </c>
      <c r="AW13" s="715">
        <v>10</v>
      </c>
      <c r="AX13" s="715" t="s">
        <v>2712</v>
      </c>
      <c r="AY13" s="716">
        <v>1</v>
      </c>
      <c r="AZ13" s="716">
        <v>1</v>
      </c>
      <c r="BA13" s="717">
        <v>0</v>
      </c>
      <c r="BB13" s="721">
        <f t="shared" ref="BB13:BB61" si="139">J13</f>
        <v>1200</v>
      </c>
      <c r="BC13" s="499">
        <f t="shared" ref="BC13:BC61" si="140">BB13</f>
        <v>1200</v>
      </c>
      <c r="BD13" s="499">
        <f t="shared" ref="BD13:BD61" si="141">BC13</f>
        <v>1200</v>
      </c>
      <c r="BE13" s="499">
        <f t="shared" ref="BE13:BE61" si="142">BD13</f>
        <v>1200</v>
      </c>
      <c r="BF13" s="499">
        <f t="shared" ref="BF13:BF61" si="143">BC13</f>
        <v>1200</v>
      </c>
      <c r="BG13" s="499">
        <f t="shared" ref="BG13:BG61" si="144">BD13</f>
        <v>1200</v>
      </c>
      <c r="BH13" s="499">
        <f t="shared" ref="BH13:BH61" si="145">BE13</f>
        <v>1200</v>
      </c>
      <c r="BI13" s="721">
        <f t="shared" si="6"/>
        <v>0</v>
      </c>
      <c r="BJ13" s="499">
        <f t="shared" ref="BJ13:BM13" si="146">BI13</f>
        <v>0</v>
      </c>
      <c r="BK13" s="499">
        <f t="shared" si="146"/>
        <v>0</v>
      </c>
      <c r="BL13" s="499">
        <f t="shared" si="146"/>
        <v>0</v>
      </c>
      <c r="BM13" s="499">
        <f t="shared" si="146"/>
        <v>0</v>
      </c>
      <c r="BN13" s="499">
        <f t="shared" ref="BN13:BN61" si="147">BM13</f>
        <v>0</v>
      </c>
      <c r="BO13" s="499">
        <f t="shared" ref="BO13:BO61" si="148">BN13</f>
        <v>0</v>
      </c>
      <c r="BP13" s="721">
        <f t="shared" si="8"/>
        <v>300</v>
      </c>
      <c r="BQ13" s="499">
        <f t="shared" si="95"/>
        <v>300</v>
      </c>
      <c r="BR13" s="499">
        <f t="shared" ref="BR13:BR61" si="149">BQ13</f>
        <v>300</v>
      </c>
      <c r="BS13" s="499">
        <f t="shared" ref="BS13:BS61" si="150">BR13</f>
        <v>300</v>
      </c>
      <c r="BT13" s="499">
        <f t="shared" ref="BT13:BT61" si="151">BS13</f>
        <v>300</v>
      </c>
      <c r="BU13" s="499">
        <f t="shared" ref="BU13:BU61" si="152">BT13</f>
        <v>300</v>
      </c>
      <c r="BV13" s="499">
        <f t="shared" ref="BV13:BV61" si="153">BU13</f>
        <v>300</v>
      </c>
      <c r="BW13" s="774">
        <f t="shared" si="101"/>
        <v>0</v>
      </c>
      <c r="BX13" s="503">
        <f t="shared" si="12"/>
        <v>0</v>
      </c>
      <c r="BY13" s="503">
        <f t="shared" si="12"/>
        <v>0</v>
      </c>
      <c r="BZ13" s="503">
        <f t="shared" si="12"/>
        <v>0</v>
      </c>
      <c r="CA13" s="503">
        <f t="shared" si="12"/>
        <v>0</v>
      </c>
      <c r="CB13" s="503">
        <f t="shared" si="12"/>
        <v>0</v>
      </c>
      <c r="CC13" s="503">
        <f t="shared" si="12"/>
        <v>0</v>
      </c>
      <c r="CD13" s="722">
        <f t="shared" si="13"/>
        <v>10141.441894736843</v>
      </c>
      <c r="CE13" s="511">
        <f t="shared" ref="CE13:CH13" si="154">CD13</f>
        <v>10141.441894736843</v>
      </c>
      <c r="CF13" s="511">
        <f t="shared" si="154"/>
        <v>10141.441894736843</v>
      </c>
      <c r="CG13" s="511">
        <f t="shared" si="154"/>
        <v>10141.441894736843</v>
      </c>
      <c r="CH13" s="511">
        <f t="shared" si="154"/>
        <v>10141.441894736843</v>
      </c>
      <c r="CI13" s="511">
        <f t="shared" si="103"/>
        <v>10141.441894736843</v>
      </c>
      <c r="CJ13" s="511">
        <f t="shared" si="104"/>
        <v>10141.441894736843</v>
      </c>
      <c r="CK13" s="722">
        <f t="shared" si="15"/>
        <v>6.4445361082561696</v>
      </c>
      <c r="CL13" s="511">
        <f t="shared" ref="CL13:CO13" si="155">CK13</f>
        <v>6.4445361082561696</v>
      </c>
      <c r="CM13" s="511">
        <f t="shared" si="155"/>
        <v>6.4445361082561696</v>
      </c>
      <c r="CN13" s="511">
        <f t="shared" si="155"/>
        <v>6.4445361082561696</v>
      </c>
      <c r="CO13" s="511">
        <f t="shared" si="155"/>
        <v>6.4445361082561696</v>
      </c>
      <c r="CP13" s="511">
        <f t="shared" si="106"/>
        <v>6.4445361082561696</v>
      </c>
      <c r="CQ13" s="511">
        <f t="shared" si="107"/>
        <v>6.4445361082561696</v>
      </c>
      <c r="CR13" s="722">
        <f t="shared" si="17"/>
        <v>0</v>
      </c>
      <c r="CS13" s="511">
        <f t="shared" ref="CS13:CV13" si="156">CR13</f>
        <v>0</v>
      </c>
      <c r="CT13" s="511">
        <f t="shared" si="156"/>
        <v>0</v>
      </c>
      <c r="CU13" s="511">
        <f t="shared" si="156"/>
        <v>0</v>
      </c>
      <c r="CV13" s="511">
        <f t="shared" si="156"/>
        <v>0</v>
      </c>
      <c r="CW13" s="511">
        <f t="shared" si="109"/>
        <v>0</v>
      </c>
      <c r="CX13" s="539">
        <f t="shared" si="110"/>
        <v>0</v>
      </c>
      <c r="CY13" s="724">
        <f t="shared" si="19"/>
        <v>1200</v>
      </c>
      <c r="CZ13" s="508">
        <f t="shared" si="20"/>
        <v>0</v>
      </c>
      <c r="DA13" s="508">
        <f t="shared" si="21"/>
        <v>0</v>
      </c>
      <c r="DB13" s="508">
        <f t="shared" si="22"/>
        <v>1200</v>
      </c>
      <c r="DC13" s="508">
        <f t="shared" si="23"/>
        <v>0</v>
      </c>
      <c r="DD13" s="508">
        <f t="shared" si="24"/>
        <v>0</v>
      </c>
      <c r="DE13" s="726">
        <f t="shared" si="25"/>
        <v>1200</v>
      </c>
      <c r="DF13" s="724">
        <f t="shared" si="26"/>
        <v>0</v>
      </c>
      <c r="DG13" s="509">
        <f t="shared" si="27"/>
        <v>0</v>
      </c>
      <c r="DH13" s="509">
        <f t="shared" si="28"/>
        <v>0</v>
      </c>
      <c r="DI13" s="509">
        <f t="shared" si="29"/>
        <v>0</v>
      </c>
      <c r="DJ13" s="509">
        <f t="shared" si="30"/>
        <v>0</v>
      </c>
      <c r="DK13" s="509">
        <f t="shared" si="31"/>
        <v>0</v>
      </c>
      <c r="DL13" s="451">
        <f t="shared" si="32"/>
        <v>0</v>
      </c>
      <c r="DM13" s="509">
        <f t="shared" si="33"/>
        <v>300</v>
      </c>
      <c r="DN13" s="509">
        <f t="shared" si="34"/>
        <v>0</v>
      </c>
      <c r="DO13" s="509">
        <f t="shared" si="35"/>
        <v>0</v>
      </c>
      <c r="DP13" s="509">
        <f t="shared" si="36"/>
        <v>300</v>
      </c>
      <c r="DQ13" s="509">
        <f t="shared" si="37"/>
        <v>0</v>
      </c>
      <c r="DR13" s="509">
        <f t="shared" si="38"/>
        <v>0</v>
      </c>
      <c r="DS13" s="450">
        <f t="shared" si="39"/>
        <v>300</v>
      </c>
      <c r="DT13" s="724">
        <f t="shared" si="40"/>
        <v>0</v>
      </c>
      <c r="DU13" s="508">
        <f t="shared" si="41"/>
        <v>0</v>
      </c>
      <c r="DV13" s="508">
        <f t="shared" si="42"/>
        <v>0</v>
      </c>
      <c r="DW13" s="508">
        <f t="shared" si="43"/>
        <v>0</v>
      </c>
      <c r="DX13" s="508">
        <f t="shared" si="44"/>
        <v>0</v>
      </c>
      <c r="DY13" s="508">
        <f t="shared" si="45"/>
        <v>0</v>
      </c>
      <c r="DZ13" s="726">
        <f t="shared" si="46"/>
        <v>0</v>
      </c>
      <c r="EA13" s="722">
        <f t="shared" si="47"/>
        <v>10141.441894736843</v>
      </c>
      <c r="EB13" s="511">
        <f t="shared" si="48"/>
        <v>0</v>
      </c>
      <c r="EC13" s="511">
        <f t="shared" si="49"/>
        <v>0</v>
      </c>
      <c r="ED13" s="511">
        <f t="shared" si="50"/>
        <v>10141.441894736843</v>
      </c>
      <c r="EE13" s="511">
        <f t="shared" si="51"/>
        <v>0</v>
      </c>
      <c r="EF13" s="511">
        <f t="shared" si="52"/>
        <v>0</v>
      </c>
      <c r="EG13" s="723">
        <f t="shared" si="53"/>
        <v>10141.441894736843</v>
      </c>
      <c r="EH13" s="397">
        <f t="shared" si="111"/>
        <v>6.4445361082561696</v>
      </c>
      <c r="EI13" s="397">
        <f t="shared" si="54"/>
        <v>0</v>
      </c>
      <c r="EJ13" s="397">
        <f t="shared" si="55"/>
        <v>0</v>
      </c>
      <c r="EK13" s="397">
        <f t="shared" si="56"/>
        <v>6.4445361082561696</v>
      </c>
      <c r="EL13" s="397">
        <f t="shared" si="57"/>
        <v>0</v>
      </c>
      <c r="EM13" s="397">
        <f t="shared" si="58"/>
        <v>0</v>
      </c>
      <c r="EN13" s="398">
        <f t="shared" si="59"/>
        <v>6.4445361082561696</v>
      </c>
      <c r="EO13" s="722">
        <f t="shared" si="60"/>
        <v>0</v>
      </c>
      <c r="EP13" s="511">
        <f t="shared" si="61"/>
        <v>0</v>
      </c>
      <c r="EQ13" s="511">
        <f t="shared" si="62"/>
        <v>0</v>
      </c>
      <c r="ER13" s="511">
        <f t="shared" si="63"/>
        <v>0</v>
      </c>
      <c r="ES13" s="511">
        <f t="shared" si="64"/>
        <v>0</v>
      </c>
      <c r="ET13" s="511">
        <f t="shared" si="65"/>
        <v>0</v>
      </c>
      <c r="EU13" s="723">
        <f t="shared" si="66"/>
        <v>0</v>
      </c>
      <c r="EV13" s="727">
        <f t="shared" si="67"/>
        <v>1</v>
      </c>
      <c r="EW13" s="728">
        <f t="shared" si="68"/>
        <v>3600</v>
      </c>
      <c r="EX13" s="728">
        <f t="shared" si="69"/>
        <v>0</v>
      </c>
      <c r="EY13" s="728">
        <f t="shared" si="70"/>
        <v>900</v>
      </c>
      <c r="EZ13" s="728">
        <f t="shared" si="71"/>
        <v>0</v>
      </c>
      <c r="FA13" s="777">
        <f t="shared" si="72"/>
        <v>30424.325684210529</v>
      </c>
      <c r="FB13" s="777">
        <f t="shared" si="73"/>
        <v>19.333608324768509</v>
      </c>
      <c r="FC13" s="778">
        <f t="shared" si="74"/>
        <v>0</v>
      </c>
      <c r="FE13" s="10" t="b">
        <f t="shared" si="112"/>
        <v>1</v>
      </c>
      <c r="FF13" s="10" t="b">
        <f t="shared" si="75"/>
        <v>1</v>
      </c>
      <c r="FG13" s="10" t="b">
        <f t="shared" si="76"/>
        <v>1</v>
      </c>
      <c r="FH13" s="10" t="b">
        <f t="shared" si="77"/>
        <v>1</v>
      </c>
      <c r="FI13" s="10" t="b">
        <f t="shared" si="78"/>
        <v>1</v>
      </c>
      <c r="FJ13" s="10" t="b">
        <f t="shared" si="79"/>
        <v>1</v>
      </c>
      <c r="FK13" s="10" t="b">
        <f t="shared" si="80"/>
        <v>1</v>
      </c>
      <c r="FL13" s="10" t="b">
        <f t="shared" si="81"/>
        <v>1</v>
      </c>
    </row>
    <row r="14" spans="1:168">
      <c r="A14" s="662">
        <v>9</v>
      </c>
      <c r="B14" s="789" t="s">
        <v>1220</v>
      </c>
      <c r="C14" s="789" t="s">
        <v>1214</v>
      </c>
      <c r="D14" s="789" t="s">
        <v>1215</v>
      </c>
      <c r="E14" s="789" t="s">
        <v>331</v>
      </c>
      <c r="F14" s="789" t="s">
        <v>331</v>
      </c>
      <c r="G14" s="704" t="s">
        <v>402</v>
      </c>
      <c r="H14" s="704">
        <f t="shared" si="129"/>
        <v>2000</v>
      </c>
      <c r="I14" s="704">
        <v>0</v>
      </c>
      <c r="J14" s="704">
        <f t="shared" si="130"/>
        <v>2000</v>
      </c>
      <c r="K14" s="704">
        <v>0</v>
      </c>
      <c r="L14" s="704">
        <f t="shared" si="124"/>
        <v>1000</v>
      </c>
      <c r="M14" s="711" t="s">
        <v>1216</v>
      </c>
      <c r="N14" s="1024">
        <v>500</v>
      </c>
      <c r="O14" s="1024">
        <v>500</v>
      </c>
      <c r="P14" s="707">
        <v>0</v>
      </c>
      <c r="Q14" s="707">
        <v>0</v>
      </c>
      <c r="R14" s="871">
        <f>'Water Reset Reference'!F23</f>
        <v>15974.368421052633</v>
      </c>
      <c r="S14" s="872">
        <f>'Water Reset Reference'!$W$80/'Water Reset Reference'!$V$80*R14</f>
        <v>10.151159486452112</v>
      </c>
      <c r="T14" s="1022">
        <v>0</v>
      </c>
      <c r="U14" s="1029" t="s">
        <v>1217</v>
      </c>
      <c r="V14" s="716">
        <v>0</v>
      </c>
      <c r="W14" s="711">
        <v>1</v>
      </c>
      <c r="X14" s="781">
        <v>0</v>
      </c>
      <c r="Y14" s="781">
        <v>0</v>
      </c>
      <c r="Z14" s="781">
        <v>0</v>
      </c>
      <c r="AA14" s="781">
        <v>0</v>
      </c>
      <c r="AB14" s="1027">
        <f t="shared" si="113"/>
        <v>0</v>
      </c>
      <c r="AC14" s="1028">
        <v>0</v>
      </c>
      <c r="AD14" s="781">
        <v>0</v>
      </c>
      <c r="AE14" s="781">
        <v>1</v>
      </c>
      <c r="AF14" s="781">
        <v>0</v>
      </c>
      <c r="AG14" s="781">
        <v>0</v>
      </c>
      <c r="AH14" s="781">
        <v>1</v>
      </c>
      <c r="AI14" s="781">
        <v>0</v>
      </c>
      <c r="AJ14" s="781">
        <v>0</v>
      </c>
      <c r="AK14" s="715" t="s">
        <v>384</v>
      </c>
      <c r="AL14" s="711" t="s">
        <v>742</v>
      </c>
      <c r="AM14" s="715" t="s">
        <v>1195</v>
      </c>
      <c r="AN14" s="715" t="s">
        <v>1196</v>
      </c>
      <c r="AO14" s="711" t="s">
        <v>1</v>
      </c>
      <c r="AP14" s="715"/>
      <c r="AQ14" s="715"/>
      <c r="AR14" s="715"/>
      <c r="AS14" s="715" t="s">
        <v>1207</v>
      </c>
      <c r="AT14" s="715" t="s">
        <v>745</v>
      </c>
      <c r="AU14" s="715" t="s">
        <v>746</v>
      </c>
      <c r="AV14" s="715">
        <v>10</v>
      </c>
      <c r="AW14" s="715">
        <v>10</v>
      </c>
      <c r="AX14" s="715" t="s">
        <v>2712</v>
      </c>
      <c r="AY14" s="716">
        <v>1</v>
      </c>
      <c r="AZ14" s="716">
        <v>1</v>
      </c>
      <c r="BA14" s="717">
        <v>0</v>
      </c>
      <c r="BB14" s="721">
        <f t="shared" si="139"/>
        <v>2000</v>
      </c>
      <c r="BC14" s="499">
        <f t="shared" si="140"/>
        <v>2000</v>
      </c>
      <c r="BD14" s="499">
        <f t="shared" si="141"/>
        <v>2000</v>
      </c>
      <c r="BE14" s="499">
        <f t="shared" si="142"/>
        <v>2000</v>
      </c>
      <c r="BF14" s="499">
        <f t="shared" si="143"/>
        <v>2000</v>
      </c>
      <c r="BG14" s="499">
        <f t="shared" si="144"/>
        <v>2000</v>
      </c>
      <c r="BH14" s="499">
        <f t="shared" si="145"/>
        <v>2000</v>
      </c>
      <c r="BI14" s="721">
        <f t="shared" si="6"/>
        <v>0</v>
      </c>
      <c r="BJ14" s="499">
        <f t="shared" ref="BJ14:BM14" si="157">BI14</f>
        <v>0</v>
      </c>
      <c r="BK14" s="499">
        <f t="shared" si="157"/>
        <v>0</v>
      </c>
      <c r="BL14" s="499">
        <f t="shared" si="157"/>
        <v>0</v>
      </c>
      <c r="BM14" s="499">
        <f t="shared" si="157"/>
        <v>0</v>
      </c>
      <c r="BN14" s="499">
        <f t="shared" si="147"/>
        <v>0</v>
      </c>
      <c r="BO14" s="499">
        <f t="shared" si="148"/>
        <v>0</v>
      </c>
      <c r="BP14" s="721">
        <f t="shared" si="8"/>
        <v>500</v>
      </c>
      <c r="BQ14" s="499">
        <f t="shared" si="95"/>
        <v>500</v>
      </c>
      <c r="BR14" s="499">
        <f t="shared" si="149"/>
        <v>500</v>
      </c>
      <c r="BS14" s="499">
        <f t="shared" si="150"/>
        <v>500</v>
      </c>
      <c r="BT14" s="499">
        <f t="shared" si="151"/>
        <v>500</v>
      </c>
      <c r="BU14" s="499">
        <f t="shared" si="152"/>
        <v>500</v>
      </c>
      <c r="BV14" s="499">
        <f t="shared" si="153"/>
        <v>500</v>
      </c>
      <c r="BW14" s="774">
        <f t="shared" si="101"/>
        <v>0</v>
      </c>
      <c r="BX14" s="503">
        <f t="shared" si="12"/>
        <v>0</v>
      </c>
      <c r="BY14" s="503">
        <f t="shared" si="12"/>
        <v>0</v>
      </c>
      <c r="BZ14" s="503">
        <f t="shared" si="12"/>
        <v>0</v>
      </c>
      <c r="CA14" s="503">
        <f t="shared" si="12"/>
        <v>0</v>
      </c>
      <c r="CB14" s="503">
        <f t="shared" si="12"/>
        <v>0</v>
      </c>
      <c r="CC14" s="503">
        <f t="shared" si="12"/>
        <v>0</v>
      </c>
      <c r="CD14" s="722">
        <f t="shared" si="13"/>
        <v>15974.368421052633</v>
      </c>
      <c r="CE14" s="511">
        <f t="shared" ref="CE14:CH14" si="158">CD14</f>
        <v>15974.368421052633</v>
      </c>
      <c r="CF14" s="511">
        <f t="shared" si="158"/>
        <v>15974.368421052633</v>
      </c>
      <c r="CG14" s="511">
        <f t="shared" si="158"/>
        <v>15974.368421052633</v>
      </c>
      <c r="CH14" s="511">
        <f t="shared" si="158"/>
        <v>15974.368421052633</v>
      </c>
      <c r="CI14" s="511">
        <f t="shared" si="103"/>
        <v>15974.368421052633</v>
      </c>
      <c r="CJ14" s="511">
        <f t="shared" si="104"/>
        <v>15974.368421052633</v>
      </c>
      <c r="CK14" s="722">
        <f t="shared" si="15"/>
        <v>10.151159486452112</v>
      </c>
      <c r="CL14" s="511">
        <f t="shared" ref="CL14:CO14" si="159">CK14</f>
        <v>10.151159486452112</v>
      </c>
      <c r="CM14" s="511">
        <f t="shared" si="159"/>
        <v>10.151159486452112</v>
      </c>
      <c r="CN14" s="511">
        <f t="shared" si="159"/>
        <v>10.151159486452112</v>
      </c>
      <c r="CO14" s="511">
        <f t="shared" si="159"/>
        <v>10.151159486452112</v>
      </c>
      <c r="CP14" s="511">
        <f t="shared" si="106"/>
        <v>10.151159486452112</v>
      </c>
      <c r="CQ14" s="511">
        <f t="shared" si="107"/>
        <v>10.151159486452112</v>
      </c>
      <c r="CR14" s="722">
        <f t="shared" si="17"/>
        <v>0</v>
      </c>
      <c r="CS14" s="511">
        <f t="shared" ref="CS14:CV14" si="160">CR14</f>
        <v>0</v>
      </c>
      <c r="CT14" s="511">
        <f t="shared" si="160"/>
        <v>0</v>
      </c>
      <c r="CU14" s="511">
        <f t="shared" si="160"/>
        <v>0</v>
      </c>
      <c r="CV14" s="511">
        <f t="shared" si="160"/>
        <v>0</v>
      </c>
      <c r="CW14" s="511">
        <f t="shared" si="109"/>
        <v>0</v>
      </c>
      <c r="CX14" s="539">
        <f t="shared" si="110"/>
        <v>0</v>
      </c>
      <c r="CY14" s="724">
        <f t="shared" si="19"/>
        <v>0</v>
      </c>
      <c r="CZ14" s="508">
        <f t="shared" si="20"/>
        <v>2000</v>
      </c>
      <c r="DA14" s="508">
        <f t="shared" si="21"/>
        <v>0</v>
      </c>
      <c r="DB14" s="508">
        <f t="shared" si="22"/>
        <v>0</v>
      </c>
      <c r="DC14" s="508">
        <f t="shared" si="23"/>
        <v>2000</v>
      </c>
      <c r="DD14" s="508">
        <f t="shared" si="24"/>
        <v>0</v>
      </c>
      <c r="DE14" s="726">
        <f t="shared" si="25"/>
        <v>0</v>
      </c>
      <c r="DF14" s="724">
        <f t="shared" si="26"/>
        <v>0</v>
      </c>
      <c r="DG14" s="509">
        <f t="shared" si="27"/>
        <v>0</v>
      </c>
      <c r="DH14" s="509">
        <f t="shared" si="28"/>
        <v>0</v>
      </c>
      <c r="DI14" s="509">
        <f t="shared" si="29"/>
        <v>0</v>
      </c>
      <c r="DJ14" s="509">
        <f t="shared" si="30"/>
        <v>0</v>
      </c>
      <c r="DK14" s="509">
        <f t="shared" si="31"/>
        <v>0</v>
      </c>
      <c r="DL14" s="451">
        <f t="shared" si="32"/>
        <v>0</v>
      </c>
      <c r="DM14" s="509">
        <f t="shared" si="33"/>
        <v>0</v>
      </c>
      <c r="DN14" s="509">
        <f t="shared" si="34"/>
        <v>500</v>
      </c>
      <c r="DO14" s="509">
        <f t="shared" si="35"/>
        <v>0</v>
      </c>
      <c r="DP14" s="509">
        <f t="shared" si="36"/>
        <v>0</v>
      </c>
      <c r="DQ14" s="509">
        <f t="shared" si="37"/>
        <v>500</v>
      </c>
      <c r="DR14" s="509">
        <f t="shared" si="38"/>
        <v>0</v>
      </c>
      <c r="DS14" s="450">
        <f t="shared" si="39"/>
        <v>0</v>
      </c>
      <c r="DT14" s="724">
        <f t="shared" si="40"/>
        <v>0</v>
      </c>
      <c r="DU14" s="508">
        <f t="shared" si="41"/>
        <v>0</v>
      </c>
      <c r="DV14" s="508">
        <f t="shared" si="42"/>
        <v>0</v>
      </c>
      <c r="DW14" s="508">
        <f t="shared" si="43"/>
        <v>0</v>
      </c>
      <c r="DX14" s="508">
        <f t="shared" si="44"/>
        <v>0</v>
      </c>
      <c r="DY14" s="508">
        <f t="shared" si="45"/>
        <v>0</v>
      </c>
      <c r="DZ14" s="726">
        <f t="shared" si="46"/>
        <v>0</v>
      </c>
      <c r="EA14" s="722">
        <f t="shared" si="47"/>
        <v>0</v>
      </c>
      <c r="EB14" s="511">
        <f t="shared" si="48"/>
        <v>15974.368421052633</v>
      </c>
      <c r="EC14" s="511">
        <f t="shared" si="49"/>
        <v>0</v>
      </c>
      <c r="ED14" s="511">
        <f t="shared" si="50"/>
        <v>0</v>
      </c>
      <c r="EE14" s="511">
        <f t="shared" si="51"/>
        <v>15974.368421052633</v>
      </c>
      <c r="EF14" s="511">
        <f t="shared" si="52"/>
        <v>0</v>
      </c>
      <c r="EG14" s="723">
        <f t="shared" si="53"/>
        <v>0</v>
      </c>
      <c r="EH14" s="397">
        <f t="shared" si="111"/>
        <v>0</v>
      </c>
      <c r="EI14" s="397">
        <f t="shared" si="54"/>
        <v>10.151159486452112</v>
      </c>
      <c r="EJ14" s="397">
        <f t="shared" si="55"/>
        <v>0</v>
      </c>
      <c r="EK14" s="397">
        <f t="shared" si="56"/>
        <v>0</v>
      </c>
      <c r="EL14" s="397">
        <f t="shared" si="57"/>
        <v>10.151159486452112</v>
      </c>
      <c r="EM14" s="397">
        <f t="shared" si="58"/>
        <v>0</v>
      </c>
      <c r="EN14" s="398">
        <f t="shared" si="59"/>
        <v>0</v>
      </c>
      <c r="EO14" s="722">
        <f t="shared" si="60"/>
        <v>0</v>
      </c>
      <c r="EP14" s="511">
        <f t="shared" si="61"/>
        <v>0</v>
      </c>
      <c r="EQ14" s="511">
        <f t="shared" si="62"/>
        <v>0</v>
      </c>
      <c r="ER14" s="511">
        <f t="shared" si="63"/>
        <v>0</v>
      </c>
      <c r="ES14" s="511">
        <f t="shared" si="64"/>
        <v>0</v>
      </c>
      <c r="ET14" s="511">
        <f t="shared" si="65"/>
        <v>0</v>
      </c>
      <c r="EU14" s="723">
        <f t="shared" si="66"/>
        <v>0</v>
      </c>
      <c r="EV14" s="727">
        <f t="shared" si="67"/>
        <v>1</v>
      </c>
      <c r="EW14" s="728">
        <f t="shared" si="68"/>
        <v>4000</v>
      </c>
      <c r="EX14" s="728">
        <f t="shared" si="69"/>
        <v>0</v>
      </c>
      <c r="EY14" s="728">
        <f t="shared" si="70"/>
        <v>1000</v>
      </c>
      <c r="EZ14" s="728">
        <f t="shared" si="71"/>
        <v>0</v>
      </c>
      <c r="FA14" s="777">
        <f t="shared" si="72"/>
        <v>31948.736842105267</v>
      </c>
      <c r="FB14" s="777">
        <f t="shared" si="73"/>
        <v>20.302318972904224</v>
      </c>
      <c r="FC14" s="778">
        <f t="shared" si="74"/>
        <v>0</v>
      </c>
      <c r="FE14" s="10" t="b">
        <f t="shared" si="112"/>
        <v>1</v>
      </c>
      <c r="FF14" s="10" t="b">
        <f t="shared" si="75"/>
        <v>1</v>
      </c>
      <c r="FG14" s="10" t="b">
        <f t="shared" si="76"/>
        <v>1</v>
      </c>
      <c r="FH14" s="10" t="b">
        <f t="shared" si="77"/>
        <v>1</v>
      </c>
      <c r="FI14" s="10" t="b">
        <f t="shared" si="78"/>
        <v>1</v>
      </c>
      <c r="FJ14" s="10" t="b">
        <f t="shared" si="79"/>
        <v>1</v>
      </c>
      <c r="FK14" s="10" t="b">
        <f t="shared" si="80"/>
        <v>1</v>
      </c>
      <c r="FL14" s="10" t="b">
        <f t="shared" si="81"/>
        <v>1</v>
      </c>
    </row>
    <row r="15" spans="1:168">
      <c r="A15" s="662">
        <v>10</v>
      </c>
      <c r="B15" s="789" t="s">
        <v>1221</v>
      </c>
      <c r="C15" s="789" t="s">
        <v>1214</v>
      </c>
      <c r="D15" s="789" t="s">
        <v>1215</v>
      </c>
      <c r="E15" s="789" t="s">
        <v>331</v>
      </c>
      <c r="F15" s="789" t="s">
        <v>331</v>
      </c>
      <c r="G15" s="704" t="s">
        <v>402</v>
      </c>
      <c r="H15" s="704">
        <f t="shared" si="129"/>
        <v>3200</v>
      </c>
      <c r="I15" s="704">
        <v>0</v>
      </c>
      <c r="J15" s="704">
        <f t="shared" si="130"/>
        <v>3200</v>
      </c>
      <c r="K15" s="704">
        <v>0</v>
      </c>
      <c r="L15" s="704">
        <f t="shared" si="124"/>
        <v>1600</v>
      </c>
      <c r="M15" s="711" t="s">
        <v>1216</v>
      </c>
      <c r="N15" s="1024">
        <v>800</v>
      </c>
      <c r="O15" s="1024">
        <v>800</v>
      </c>
      <c r="P15" s="707">
        <v>0</v>
      </c>
      <c r="Q15" s="707">
        <v>0</v>
      </c>
      <c r="R15" s="871">
        <f>'Water Reset Reference'!G23</f>
        <v>25335.348315789477</v>
      </c>
      <c r="S15" s="872">
        <f>'Water Reset Reference'!$W$80/'Water Reset Reference'!$V$80*R15</f>
        <v>16.09973894551305</v>
      </c>
      <c r="T15" s="1022">
        <v>0</v>
      </c>
      <c r="U15" s="1029" t="s">
        <v>1217</v>
      </c>
      <c r="V15" s="716">
        <v>0</v>
      </c>
      <c r="W15" s="711">
        <v>1</v>
      </c>
      <c r="X15" s="781">
        <v>0</v>
      </c>
      <c r="Y15" s="781">
        <v>0</v>
      </c>
      <c r="Z15" s="781">
        <v>0</v>
      </c>
      <c r="AA15" s="781">
        <v>0</v>
      </c>
      <c r="AB15" s="1027">
        <f t="shared" si="113"/>
        <v>0</v>
      </c>
      <c r="AC15" s="1028">
        <v>1</v>
      </c>
      <c r="AD15" s="781">
        <v>0</v>
      </c>
      <c r="AE15" s="781">
        <v>0</v>
      </c>
      <c r="AF15" s="781">
        <v>1</v>
      </c>
      <c r="AG15" s="781">
        <v>0</v>
      </c>
      <c r="AH15" s="781">
        <v>0</v>
      </c>
      <c r="AI15" s="781">
        <v>1</v>
      </c>
      <c r="AJ15" s="781">
        <v>0</v>
      </c>
      <c r="AK15" s="715" t="s">
        <v>384</v>
      </c>
      <c r="AL15" s="711" t="s">
        <v>742</v>
      </c>
      <c r="AM15" s="715" t="s">
        <v>1195</v>
      </c>
      <c r="AN15" s="715" t="s">
        <v>1196</v>
      </c>
      <c r="AO15" s="711" t="s">
        <v>1</v>
      </c>
      <c r="AP15" s="715"/>
      <c r="AQ15" s="715"/>
      <c r="AR15" s="715"/>
      <c r="AS15" s="715" t="s">
        <v>1207</v>
      </c>
      <c r="AT15" s="715" t="s">
        <v>745</v>
      </c>
      <c r="AU15" s="715" t="s">
        <v>746</v>
      </c>
      <c r="AV15" s="715">
        <v>10</v>
      </c>
      <c r="AW15" s="715">
        <v>10</v>
      </c>
      <c r="AX15" s="715" t="s">
        <v>2712</v>
      </c>
      <c r="AY15" s="716">
        <v>1</v>
      </c>
      <c r="AZ15" s="716">
        <v>1</v>
      </c>
      <c r="BA15" s="717">
        <v>0</v>
      </c>
      <c r="BB15" s="721">
        <f t="shared" si="139"/>
        <v>3200</v>
      </c>
      <c r="BC15" s="499">
        <f t="shared" si="140"/>
        <v>3200</v>
      </c>
      <c r="BD15" s="499">
        <f t="shared" si="141"/>
        <v>3200</v>
      </c>
      <c r="BE15" s="499">
        <f t="shared" si="142"/>
        <v>3200</v>
      </c>
      <c r="BF15" s="499">
        <f t="shared" si="143"/>
        <v>3200</v>
      </c>
      <c r="BG15" s="499">
        <f t="shared" si="144"/>
        <v>3200</v>
      </c>
      <c r="BH15" s="499">
        <f t="shared" si="145"/>
        <v>3200</v>
      </c>
      <c r="BI15" s="721">
        <f t="shared" si="6"/>
        <v>0</v>
      </c>
      <c r="BJ15" s="499">
        <f t="shared" ref="BJ15:BM15" si="161">BI15</f>
        <v>0</v>
      </c>
      <c r="BK15" s="499">
        <f t="shared" si="161"/>
        <v>0</v>
      </c>
      <c r="BL15" s="499">
        <f t="shared" si="161"/>
        <v>0</v>
      </c>
      <c r="BM15" s="499">
        <f t="shared" si="161"/>
        <v>0</v>
      </c>
      <c r="BN15" s="499">
        <f t="shared" si="147"/>
        <v>0</v>
      </c>
      <c r="BO15" s="499">
        <f t="shared" si="148"/>
        <v>0</v>
      </c>
      <c r="BP15" s="721">
        <f t="shared" si="8"/>
        <v>800</v>
      </c>
      <c r="BQ15" s="499">
        <f t="shared" si="95"/>
        <v>800</v>
      </c>
      <c r="BR15" s="499">
        <f t="shared" si="149"/>
        <v>800</v>
      </c>
      <c r="BS15" s="499">
        <f t="shared" si="150"/>
        <v>800</v>
      </c>
      <c r="BT15" s="499">
        <f t="shared" si="151"/>
        <v>800</v>
      </c>
      <c r="BU15" s="499">
        <f t="shared" si="152"/>
        <v>800</v>
      </c>
      <c r="BV15" s="499">
        <f t="shared" si="153"/>
        <v>800</v>
      </c>
      <c r="BW15" s="774">
        <f t="shared" si="101"/>
        <v>0</v>
      </c>
      <c r="BX15" s="503">
        <f t="shared" si="12"/>
        <v>0</v>
      </c>
      <c r="BY15" s="503">
        <f t="shared" si="12"/>
        <v>0</v>
      </c>
      <c r="BZ15" s="503">
        <f t="shared" si="12"/>
        <v>0</v>
      </c>
      <c r="CA15" s="503">
        <f t="shared" si="12"/>
        <v>0</v>
      </c>
      <c r="CB15" s="503">
        <f t="shared" si="12"/>
        <v>0</v>
      </c>
      <c r="CC15" s="503">
        <f t="shared" si="12"/>
        <v>0</v>
      </c>
      <c r="CD15" s="722">
        <f t="shared" si="13"/>
        <v>25335.348315789477</v>
      </c>
      <c r="CE15" s="511">
        <f t="shared" ref="CE15:CH15" si="162">CD15</f>
        <v>25335.348315789477</v>
      </c>
      <c r="CF15" s="511">
        <f t="shared" si="162"/>
        <v>25335.348315789477</v>
      </c>
      <c r="CG15" s="511">
        <f t="shared" si="162"/>
        <v>25335.348315789477</v>
      </c>
      <c r="CH15" s="511">
        <f t="shared" si="162"/>
        <v>25335.348315789477</v>
      </c>
      <c r="CI15" s="511">
        <f t="shared" si="103"/>
        <v>25335.348315789477</v>
      </c>
      <c r="CJ15" s="511">
        <f t="shared" si="104"/>
        <v>25335.348315789477</v>
      </c>
      <c r="CK15" s="722">
        <f t="shared" si="15"/>
        <v>16.09973894551305</v>
      </c>
      <c r="CL15" s="511">
        <f t="shared" ref="CL15:CO15" si="163">CK15</f>
        <v>16.09973894551305</v>
      </c>
      <c r="CM15" s="511">
        <f t="shared" si="163"/>
        <v>16.09973894551305</v>
      </c>
      <c r="CN15" s="511">
        <f t="shared" si="163"/>
        <v>16.09973894551305</v>
      </c>
      <c r="CO15" s="511">
        <f t="shared" si="163"/>
        <v>16.09973894551305</v>
      </c>
      <c r="CP15" s="511">
        <f t="shared" si="106"/>
        <v>16.09973894551305</v>
      </c>
      <c r="CQ15" s="511">
        <f t="shared" si="107"/>
        <v>16.09973894551305</v>
      </c>
      <c r="CR15" s="722">
        <f t="shared" si="17"/>
        <v>0</v>
      </c>
      <c r="CS15" s="511">
        <f t="shared" ref="CS15:CV15" si="164">CR15</f>
        <v>0</v>
      </c>
      <c r="CT15" s="511">
        <f t="shared" si="164"/>
        <v>0</v>
      </c>
      <c r="CU15" s="511">
        <f t="shared" si="164"/>
        <v>0</v>
      </c>
      <c r="CV15" s="511">
        <f t="shared" si="164"/>
        <v>0</v>
      </c>
      <c r="CW15" s="511">
        <f t="shared" si="109"/>
        <v>0</v>
      </c>
      <c r="CX15" s="539">
        <f t="shared" si="110"/>
        <v>0</v>
      </c>
      <c r="CY15" s="724">
        <f t="shared" si="19"/>
        <v>0</v>
      </c>
      <c r="CZ15" s="508">
        <f t="shared" si="20"/>
        <v>0</v>
      </c>
      <c r="DA15" s="508">
        <f t="shared" si="21"/>
        <v>3200</v>
      </c>
      <c r="DB15" s="508">
        <f t="shared" si="22"/>
        <v>0</v>
      </c>
      <c r="DC15" s="508">
        <f t="shared" si="23"/>
        <v>0</v>
      </c>
      <c r="DD15" s="508">
        <f t="shared" si="24"/>
        <v>3200</v>
      </c>
      <c r="DE15" s="726">
        <f t="shared" si="25"/>
        <v>0</v>
      </c>
      <c r="DF15" s="724">
        <f t="shared" si="26"/>
        <v>0</v>
      </c>
      <c r="DG15" s="509">
        <f t="shared" si="27"/>
        <v>0</v>
      </c>
      <c r="DH15" s="509">
        <f t="shared" si="28"/>
        <v>0</v>
      </c>
      <c r="DI15" s="509">
        <f t="shared" si="29"/>
        <v>0</v>
      </c>
      <c r="DJ15" s="509">
        <f t="shared" si="30"/>
        <v>0</v>
      </c>
      <c r="DK15" s="509">
        <f t="shared" si="31"/>
        <v>0</v>
      </c>
      <c r="DL15" s="451">
        <f t="shared" si="32"/>
        <v>0</v>
      </c>
      <c r="DM15" s="509">
        <f t="shared" si="33"/>
        <v>0</v>
      </c>
      <c r="DN15" s="509">
        <f t="shared" si="34"/>
        <v>0</v>
      </c>
      <c r="DO15" s="509">
        <f t="shared" si="35"/>
        <v>800</v>
      </c>
      <c r="DP15" s="509">
        <f t="shared" si="36"/>
        <v>0</v>
      </c>
      <c r="DQ15" s="509">
        <f t="shared" si="37"/>
        <v>0</v>
      </c>
      <c r="DR15" s="509">
        <f t="shared" si="38"/>
        <v>800</v>
      </c>
      <c r="DS15" s="450">
        <f t="shared" si="39"/>
        <v>0</v>
      </c>
      <c r="DT15" s="724">
        <f t="shared" si="40"/>
        <v>0</v>
      </c>
      <c r="DU15" s="508">
        <f t="shared" si="41"/>
        <v>0</v>
      </c>
      <c r="DV15" s="508">
        <f t="shared" si="42"/>
        <v>0</v>
      </c>
      <c r="DW15" s="508">
        <f t="shared" si="43"/>
        <v>0</v>
      </c>
      <c r="DX15" s="508">
        <f t="shared" si="44"/>
        <v>0</v>
      </c>
      <c r="DY15" s="508">
        <f t="shared" si="45"/>
        <v>0</v>
      </c>
      <c r="DZ15" s="726">
        <f t="shared" si="46"/>
        <v>0</v>
      </c>
      <c r="EA15" s="722">
        <f t="shared" si="47"/>
        <v>0</v>
      </c>
      <c r="EB15" s="511">
        <f t="shared" si="48"/>
        <v>0</v>
      </c>
      <c r="EC15" s="511">
        <f t="shared" si="49"/>
        <v>25335.348315789477</v>
      </c>
      <c r="ED15" s="511">
        <f t="shared" si="50"/>
        <v>0</v>
      </c>
      <c r="EE15" s="511">
        <f t="shared" si="51"/>
        <v>0</v>
      </c>
      <c r="EF15" s="511">
        <f t="shared" si="52"/>
        <v>25335.348315789477</v>
      </c>
      <c r="EG15" s="723">
        <f t="shared" si="53"/>
        <v>0</v>
      </c>
      <c r="EH15" s="397">
        <f t="shared" si="111"/>
        <v>0</v>
      </c>
      <c r="EI15" s="397">
        <f t="shared" si="54"/>
        <v>0</v>
      </c>
      <c r="EJ15" s="397">
        <f t="shared" si="55"/>
        <v>16.09973894551305</v>
      </c>
      <c r="EK15" s="397">
        <f t="shared" si="56"/>
        <v>0</v>
      </c>
      <c r="EL15" s="397">
        <f t="shared" si="57"/>
        <v>0</v>
      </c>
      <c r="EM15" s="397">
        <f t="shared" si="58"/>
        <v>16.09973894551305</v>
      </c>
      <c r="EN15" s="398">
        <f t="shared" si="59"/>
        <v>0</v>
      </c>
      <c r="EO15" s="722">
        <f t="shared" si="60"/>
        <v>0</v>
      </c>
      <c r="EP15" s="511">
        <f t="shared" si="61"/>
        <v>0</v>
      </c>
      <c r="EQ15" s="511">
        <f t="shared" si="62"/>
        <v>0</v>
      </c>
      <c r="ER15" s="511">
        <f t="shared" si="63"/>
        <v>0</v>
      </c>
      <c r="ES15" s="511">
        <f t="shared" si="64"/>
        <v>0</v>
      </c>
      <c r="ET15" s="511">
        <f t="shared" si="65"/>
        <v>0</v>
      </c>
      <c r="EU15" s="723">
        <f t="shared" si="66"/>
        <v>0</v>
      </c>
      <c r="EV15" s="727">
        <f t="shared" si="67"/>
        <v>1</v>
      </c>
      <c r="EW15" s="728">
        <f t="shared" si="68"/>
        <v>6400</v>
      </c>
      <c r="EX15" s="728">
        <f t="shared" si="69"/>
        <v>0</v>
      </c>
      <c r="EY15" s="728">
        <f t="shared" si="70"/>
        <v>1600</v>
      </c>
      <c r="EZ15" s="728">
        <f t="shared" si="71"/>
        <v>0</v>
      </c>
      <c r="FA15" s="777">
        <f t="shared" si="72"/>
        <v>50670.696631578954</v>
      </c>
      <c r="FB15" s="777">
        <f t="shared" si="73"/>
        <v>32.199477891026099</v>
      </c>
      <c r="FC15" s="778">
        <f t="shared" si="74"/>
        <v>0</v>
      </c>
      <c r="FE15" s="10" t="b">
        <f t="shared" si="112"/>
        <v>1</v>
      </c>
      <c r="FF15" s="10" t="b">
        <f t="shared" si="75"/>
        <v>1</v>
      </c>
      <c r="FG15" s="10" t="b">
        <f t="shared" si="76"/>
        <v>1</v>
      </c>
      <c r="FH15" s="10" t="b">
        <f t="shared" si="77"/>
        <v>1</v>
      </c>
      <c r="FI15" s="10" t="b">
        <f t="shared" si="78"/>
        <v>1</v>
      </c>
      <c r="FJ15" s="10" t="b">
        <f t="shared" si="79"/>
        <v>1</v>
      </c>
      <c r="FK15" s="10" t="b">
        <f t="shared" si="80"/>
        <v>1</v>
      </c>
      <c r="FL15" s="10" t="b">
        <f t="shared" si="81"/>
        <v>1</v>
      </c>
    </row>
    <row r="16" spans="1:168">
      <c r="A16" s="662">
        <v>11</v>
      </c>
      <c r="B16" s="789" t="s">
        <v>1222</v>
      </c>
      <c r="C16" s="789" t="s">
        <v>1223</v>
      </c>
      <c r="D16" s="789" t="s">
        <v>1215</v>
      </c>
      <c r="E16" s="789" t="s">
        <v>331</v>
      </c>
      <c r="F16" s="789" t="s">
        <v>331</v>
      </c>
      <c r="G16" s="704" t="s">
        <v>402</v>
      </c>
      <c r="H16" s="704">
        <f>O16/25%</f>
        <v>1200</v>
      </c>
      <c r="I16" s="704">
        <v>0</v>
      </c>
      <c r="J16" s="704">
        <f t="shared" si="130"/>
        <v>1200</v>
      </c>
      <c r="K16" s="704">
        <v>0</v>
      </c>
      <c r="L16" s="704">
        <f t="shared" si="124"/>
        <v>600</v>
      </c>
      <c r="M16" s="711" t="s">
        <v>1216</v>
      </c>
      <c r="N16" s="1024">
        <v>300</v>
      </c>
      <c r="O16" s="1024">
        <v>300</v>
      </c>
      <c r="P16" s="707">
        <v>0</v>
      </c>
      <c r="Q16" s="707">
        <v>0</v>
      </c>
      <c r="R16" s="871">
        <f>'Water Reset Reference'!H23</f>
        <v>13465.139191630722</v>
      </c>
      <c r="S16" s="872">
        <f>'Water Reset Reference'!$W$82/'Water Reset Reference'!$V$82*R16</f>
        <v>7.9032285049888067</v>
      </c>
      <c r="T16" s="1022">
        <v>0</v>
      </c>
      <c r="U16" s="1029" t="s">
        <v>1217</v>
      </c>
      <c r="V16" s="716">
        <v>0</v>
      </c>
      <c r="W16" s="711">
        <v>1</v>
      </c>
      <c r="X16" s="781">
        <v>0</v>
      </c>
      <c r="Y16" s="781">
        <v>0</v>
      </c>
      <c r="Z16" s="781">
        <v>3</v>
      </c>
      <c r="AA16" s="781">
        <v>0</v>
      </c>
      <c r="AB16" s="1027">
        <f>AVERAGE(Z16:AA16)</f>
        <v>1.5</v>
      </c>
      <c r="AC16" s="781">
        <v>2</v>
      </c>
      <c r="AD16" s="781">
        <v>1</v>
      </c>
      <c r="AE16" s="781">
        <v>2</v>
      </c>
      <c r="AF16" s="781">
        <v>1</v>
      </c>
      <c r="AG16" s="781">
        <v>2</v>
      </c>
      <c r="AH16" s="781">
        <v>1</v>
      </c>
      <c r="AI16" s="781">
        <v>2</v>
      </c>
      <c r="AJ16" s="781">
        <v>1</v>
      </c>
      <c r="AK16" s="715" t="s">
        <v>384</v>
      </c>
      <c r="AL16" s="711" t="s">
        <v>742</v>
      </c>
      <c r="AM16" s="715" t="s">
        <v>1186</v>
      </c>
      <c r="AN16" s="715" t="s">
        <v>1196</v>
      </c>
      <c r="AO16" s="711" t="s">
        <v>1</v>
      </c>
      <c r="AP16" s="715"/>
      <c r="AQ16" s="715"/>
      <c r="AR16" s="715"/>
      <c r="AS16" s="715" t="s">
        <v>1207</v>
      </c>
      <c r="AT16" s="715" t="s">
        <v>745</v>
      </c>
      <c r="AU16" s="715" t="s">
        <v>746</v>
      </c>
      <c r="AV16" s="715">
        <v>10</v>
      </c>
      <c r="AW16" s="715">
        <v>10</v>
      </c>
      <c r="AX16" s="715" t="s">
        <v>2712</v>
      </c>
      <c r="AY16" s="716">
        <v>1</v>
      </c>
      <c r="AZ16" s="716">
        <v>1</v>
      </c>
      <c r="BA16" s="717">
        <v>0</v>
      </c>
      <c r="BB16" s="721">
        <f t="shared" si="139"/>
        <v>1200</v>
      </c>
      <c r="BC16" s="499">
        <f t="shared" si="140"/>
        <v>1200</v>
      </c>
      <c r="BD16" s="499">
        <f t="shared" si="141"/>
        <v>1200</v>
      </c>
      <c r="BE16" s="499">
        <f t="shared" si="142"/>
        <v>1200</v>
      </c>
      <c r="BF16" s="499">
        <f t="shared" si="143"/>
        <v>1200</v>
      </c>
      <c r="BG16" s="499">
        <f t="shared" si="144"/>
        <v>1200</v>
      </c>
      <c r="BH16" s="499">
        <f t="shared" si="145"/>
        <v>1200</v>
      </c>
      <c r="BI16" s="721">
        <f t="shared" si="6"/>
        <v>0</v>
      </c>
      <c r="BJ16" s="499">
        <f t="shared" ref="BJ16:BM16" si="165">BI16</f>
        <v>0</v>
      </c>
      <c r="BK16" s="499">
        <f t="shared" si="165"/>
        <v>0</v>
      </c>
      <c r="BL16" s="499">
        <f t="shared" si="165"/>
        <v>0</v>
      </c>
      <c r="BM16" s="499">
        <f t="shared" si="165"/>
        <v>0</v>
      </c>
      <c r="BN16" s="499">
        <f t="shared" si="147"/>
        <v>0</v>
      </c>
      <c r="BO16" s="499">
        <f t="shared" si="148"/>
        <v>0</v>
      </c>
      <c r="BP16" s="721">
        <f t="shared" si="8"/>
        <v>300</v>
      </c>
      <c r="BQ16" s="499">
        <f t="shared" si="95"/>
        <v>300</v>
      </c>
      <c r="BR16" s="499">
        <f t="shared" si="149"/>
        <v>300</v>
      </c>
      <c r="BS16" s="499">
        <f t="shared" si="150"/>
        <v>300</v>
      </c>
      <c r="BT16" s="499">
        <f t="shared" si="151"/>
        <v>300</v>
      </c>
      <c r="BU16" s="499">
        <f t="shared" si="152"/>
        <v>300</v>
      </c>
      <c r="BV16" s="499">
        <f t="shared" si="153"/>
        <v>300</v>
      </c>
      <c r="BW16" s="774">
        <f t="shared" si="101"/>
        <v>0</v>
      </c>
      <c r="BX16" s="503">
        <f t="shared" si="12"/>
        <v>0</v>
      </c>
      <c r="BY16" s="503">
        <f t="shared" si="12"/>
        <v>0</v>
      </c>
      <c r="BZ16" s="503">
        <f t="shared" si="12"/>
        <v>0</v>
      </c>
      <c r="CA16" s="503">
        <f t="shared" si="12"/>
        <v>0</v>
      </c>
      <c r="CB16" s="503">
        <f t="shared" si="12"/>
        <v>0</v>
      </c>
      <c r="CC16" s="503">
        <f t="shared" si="12"/>
        <v>0</v>
      </c>
      <c r="CD16" s="722">
        <f t="shared" si="13"/>
        <v>13465.139191630722</v>
      </c>
      <c r="CE16" s="511">
        <f t="shared" ref="CE16:CH16" si="166">CD16</f>
        <v>13465.139191630722</v>
      </c>
      <c r="CF16" s="511">
        <f t="shared" si="166"/>
        <v>13465.139191630722</v>
      </c>
      <c r="CG16" s="511">
        <f t="shared" si="166"/>
        <v>13465.139191630722</v>
      </c>
      <c r="CH16" s="511">
        <f t="shared" si="166"/>
        <v>13465.139191630722</v>
      </c>
      <c r="CI16" s="511">
        <f t="shared" si="103"/>
        <v>13465.139191630722</v>
      </c>
      <c r="CJ16" s="511">
        <f t="shared" si="104"/>
        <v>13465.139191630722</v>
      </c>
      <c r="CK16" s="722">
        <f t="shared" si="15"/>
        <v>7.9032285049888067</v>
      </c>
      <c r="CL16" s="511">
        <f t="shared" ref="CL16:CO16" si="167">CK16</f>
        <v>7.9032285049888067</v>
      </c>
      <c r="CM16" s="511">
        <f t="shared" si="167"/>
        <v>7.9032285049888067</v>
      </c>
      <c r="CN16" s="511">
        <f t="shared" si="167"/>
        <v>7.9032285049888067</v>
      </c>
      <c r="CO16" s="511">
        <f t="shared" si="167"/>
        <v>7.9032285049888067</v>
      </c>
      <c r="CP16" s="511">
        <f t="shared" si="106"/>
        <v>7.9032285049888067</v>
      </c>
      <c r="CQ16" s="511">
        <f t="shared" si="107"/>
        <v>7.9032285049888067</v>
      </c>
      <c r="CR16" s="722">
        <f t="shared" si="17"/>
        <v>0</v>
      </c>
      <c r="CS16" s="511">
        <f t="shared" ref="CS16:CV16" si="168">CR16</f>
        <v>0</v>
      </c>
      <c r="CT16" s="511">
        <f t="shared" si="168"/>
        <v>0</v>
      </c>
      <c r="CU16" s="511">
        <f t="shared" si="168"/>
        <v>0</v>
      </c>
      <c r="CV16" s="511">
        <f t="shared" si="168"/>
        <v>0</v>
      </c>
      <c r="CW16" s="511">
        <f t="shared" si="109"/>
        <v>0</v>
      </c>
      <c r="CX16" s="539">
        <f t="shared" si="110"/>
        <v>0</v>
      </c>
      <c r="CY16" s="724">
        <f t="shared" si="19"/>
        <v>1200</v>
      </c>
      <c r="CZ16" s="508">
        <f t="shared" si="20"/>
        <v>2400</v>
      </c>
      <c r="DA16" s="508">
        <f t="shared" si="21"/>
        <v>1200</v>
      </c>
      <c r="DB16" s="508">
        <f t="shared" si="22"/>
        <v>2400</v>
      </c>
      <c r="DC16" s="508">
        <f t="shared" si="23"/>
        <v>1200</v>
      </c>
      <c r="DD16" s="508">
        <f t="shared" si="24"/>
        <v>2400</v>
      </c>
      <c r="DE16" s="726">
        <f t="shared" si="25"/>
        <v>1200</v>
      </c>
      <c r="DF16" s="724">
        <f t="shared" si="26"/>
        <v>0</v>
      </c>
      <c r="DG16" s="509">
        <f t="shared" si="27"/>
        <v>0</v>
      </c>
      <c r="DH16" s="509">
        <f t="shared" si="28"/>
        <v>0</v>
      </c>
      <c r="DI16" s="509">
        <f t="shared" si="29"/>
        <v>0</v>
      </c>
      <c r="DJ16" s="509">
        <f t="shared" si="30"/>
        <v>0</v>
      </c>
      <c r="DK16" s="509">
        <f t="shared" si="31"/>
        <v>0</v>
      </c>
      <c r="DL16" s="451">
        <f t="shared" si="32"/>
        <v>0</v>
      </c>
      <c r="DM16" s="509">
        <f t="shared" si="33"/>
        <v>300</v>
      </c>
      <c r="DN16" s="509">
        <f t="shared" si="34"/>
        <v>600</v>
      </c>
      <c r="DO16" s="509">
        <f t="shared" si="35"/>
        <v>300</v>
      </c>
      <c r="DP16" s="509">
        <f t="shared" si="36"/>
        <v>600</v>
      </c>
      <c r="DQ16" s="509">
        <f t="shared" si="37"/>
        <v>300</v>
      </c>
      <c r="DR16" s="509">
        <f t="shared" si="38"/>
        <v>600</v>
      </c>
      <c r="DS16" s="450">
        <f t="shared" si="39"/>
        <v>300</v>
      </c>
      <c r="DT16" s="724">
        <f t="shared" si="40"/>
        <v>0</v>
      </c>
      <c r="DU16" s="508">
        <f t="shared" si="41"/>
        <v>0</v>
      </c>
      <c r="DV16" s="508">
        <f t="shared" si="42"/>
        <v>0</v>
      </c>
      <c r="DW16" s="508">
        <f t="shared" si="43"/>
        <v>0</v>
      </c>
      <c r="DX16" s="508">
        <f t="shared" si="44"/>
        <v>0</v>
      </c>
      <c r="DY16" s="508">
        <f t="shared" si="45"/>
        <v>0</v>
      </c>
      <c r="DZ16" s="726">
        <f t="shared" si="46"/>
        <v>0</v>
      </c>
      <c r="EA16" s="722">
        <f t="shared" si="47"/>
        <v>13465.139191630722</v>
      </c>
      <c r="EB16" s="511">
        <f t="shared" si="48"/>
        <v>26930.278383261444</v>
      </c>
      <c r="EC16" s="511">
        <f t="shared" si="49"/>
        <v>13465.139191630722</v>
      </c>
      <c r="ED16" s="511">
        <f t="shared" si="50"/>
        <v>26930.278383261444</v>
      </c>
      <c r="EE16" s="511">
        <f t="shared" si="51"/>
        <v>13465.139191630722</v>
      </c>
      <c r="EF16" s="511">
        <f t="shared" si="52"/>
        <v>26930.278383261444</v>
      </c>
      <c r="EG16" s="723">
        <f t="shared" si="53"/>
        <v>13465.139191630722</v>
      </c>
      <c r="EH16" s="397">
        <f t="shared" si="111"/>
        <v>7.9032285049888067</v>
      </c>
      <c r="EI16" s="397">
        <f t="shared" si="54"/>
        <v>15.806457009977613</v>
      </c>
      <c r="EJ16" s="397">
        <f t="shared" si="55"/>
        <v>7.9032285049888067</v>
      </c>
      <c r="EK16" s="397">
        <f t="shared" si="56"/>
        <v>15.806457009977613</v>
      </c>
      <c r="EL16" s="397">
        <f t="shared" si="57"/>
        <v>7.9032285049888067</v>
      </c>
      <c r="EM16" s="397">
        <f t="shared" si="58"/>
        <v>15.806457009977613</v>
      </c>
      <c r="EN16" s="398">
        <f t="shared" si="59"/>
        <v>7.9032285049888067</v>
      </c>
      <c r="EO16" s="722">
        <f t="shared" si="60"/>
        <v>0</v>
      </c>
      <c r="EP16" s="511">
        <f t="shared" si="61"/>
        <v>0</v>
      </c>
      <c r="EQ16" s="511">
        <f t="shared" si="62"/>
        <v>0</v>
      </c>
      <c r="ER16" s="511">
        <f t="shared" si="63"/>
        <v>0</v>
      </c>
      <c r="ES16" s="511">
        <f t="shared" si="64"/>
        <v>0</v>
      </c>
      <c r="ET16" s="511">
        <f t="shared" si="65"/>
        <v>0</v>
      </c>
      <c r="EU16" s="723">
        <f t="shared" si="66"/>
        <v>0</v>
      </c>
      <c r="EV16" s="727">
        <f t="shared" si="67"/>
        <v>4</v>
      </c>
      <c r="EW16" s="728">
        <f t="shared" si="68"/>
        <v>12000</v>
      </c>
      <c r="EX16" s="728">
        <f t="shared" si="69"/>
        <v>0</v>
      </c>
      <c r="EY16" s="728">
        <f t="shared" si="70"/>
        <v>3000</v>
      </c>
      <c r="EZ16" s="728">
        <f t="shared" si="71"/>
        <v>0</v>
      </c>
      <c r="FA16" s="777">
        <f t="shared" si="72"/>
        <v>134651.39191630724</v>
      </c>
      <c r="FB16" s="777">
        <f t="shared" si="73"/>
        <v>79.032285049888074</v>
      </c>
      <c r="FC16" s="778">
        <f t="shared" si="74"/>
        <v>0</v>
      </c>
      <c r="FE16" s="10" t="b">
        <f t="shared" si="112"/>
        <v>1</v>
      </c>
      <c r="FF16" s="10" t="b">
        <f t="shared" si="75"/>
        <v>1</v>
      </c>
      <c r="FG16" s="10" t="b">
        <f t="shared" si="76"/>
        <v>1</v>
      </c>
      <c r="FH16" s="10" t="b">
        <f t="shared" si="77"/>
        <v>1</v>
      </c>
      <c r="FI16" s="10" t="b">
        <f t="shared" si="78"/>
        <v>1</v>
      </c>
      <c r="FJ16" s="10" t="b">
        <f t="shared" si="79"/>
        <v>1</v>
      </c>
      <c r="FK16" s="10" t="b">
        <f t="shared" si="80"/>
        <v>1</v>
      </c>
      <c r="FL16" s="10" t="b">
        <f t="shared" si="81"/>
        <v>1</v>
      </c>
    </row>
    <row r="17" spans="1:168">
      <c r="A17" s="662">
        <v>12</v>
      </c>
      <c r="B17" s="789" t="s">
        <v>1224</v>
      </c>
      <c r="C17" s="789" t="s">
        <v>1223</v>
      </c>
      <c r="D17" s="789" t="s">
        <v>1215</v>
      </c>
      <c r="E17" s="789" t="s">
        <v>331</v>
      </c>
      <c r="F17" s="789" t="s">
        <v>331</v>
      </c>
      <c r="G17" s="704" t="s">
        <v>402</v>
      </c>
      <c r="H17" s="704">
        <f t="shared" si="129"/>
        <v>3200</v>
      </c>
      <c r="I17" s="704">
        <v>0</v>
      </c>
      <c r="J17" s="704">
        <f t="shared" si="130"/>
        <v>3200</v>
      </c>
      <c r="K17" s="704">
        <v>0</v>
      </c>
      <c r="L17" s="704">
        <f t="shared" si="124"/>
        <v>1600</v>
      </c>
      <c r="M17" s="711" t="s">
        <v>1216</v>
      </c>
      <c r="N17" s="1024">
        <v>800</v>
      </c>
      <c r="O17" s="1024">
        <v>800</v>
      </c>
      <c r="P17" s="707">
        <v>0</v>
      </c>
      <c r="Q17" s="707">
        <v>0</v>
      </c>
      <c r="R17" s="871">
        <f>'Water Reset Reference'!I23</f>
        <v>39279.830921052635</v>
      </c>
      <c r="S17" s="872">
        <f>'Water Reset Reference'!$W$82/'Water Reset Reference'!$V$82*R17</f>
        <v>23.054903108566215</v>
      </c>
      <c r="T17" s="1022">
        <v>0</v>
      </c>
      <c r="U17" s="1029" t="s">
        <v>1217</v>
      </c>
      <c r="V17" s="716">
        <v>0</v>
      </c>
      <c r="W17" s="711">
        <v>1</v>
      </c>
      <c r="X17" s="781">
        <v>0</v>
      </c>
      <c r="Y17" s="781">
        <v>0</v>
      </c>
      <c r="Z17" s="781">
        <v>3</v>
      </c>
      <c r="AA17" s="781">
        <v>0</v>
      </c>
      <c r="AB17" s="1027">
        <f>AVERAGE(Z17:AA17)</f>
        <v>1.5</v>
      </c>
      <c r="AC17" s="781">
        <v>1</v>
      </c>
      <c r="AD17" s="781">
        <v>2</v>
      </c>
      <c r="AE17" s="781">
        <v>1</v>
      </c>
      <c r="AF17" s="781">
        <v>2</v>
      </c>
      <c r="AG17" s="781">
        <v>1</v>
      </c>
      <c r="AH17" s="781">
        <v>2</v>
      </c>
      <c r="AI17" s="781">
        <v>1</v>
      </c>
      <c r="AJ17" s="781">
        <v>2</v>
      </c>
      <c r="AK17" s="715" t="s">
        <v>384</v>
      </c>
      <c r="AL17" s="711" t="s">
        <v>742</v>
      </c>
      <c r="AM17" s="715" t="s">
        <v>1186</v>
      </c>
      <c r="AN17" s="715" t="s">
        <v>1196</v>
      </c>
      <c r="AO17" s="711" t="s">
        <v>1</v>
      </c>
      <c r="AP17" s="715"/>
      <c r="AQ17" s="715"/>
      <c r="AR17" s="715"/>
      <c r="AS17" s="715" t="s">
        <v>1207</v>
      </c>
      <c r="AT17" s="715" t="s">
        <v>745</v>
      </c>
      <c r="AU17" s="715" t="s">
        <v>746</v>
      </c>
      <c r="AV17" s="715">
        <v>10</v>
      </c>
      <c r="AW17" s="715">
        <v>10</v>
      </c>
      <c r="AX17" s="715" t="s">
        <v>2712</v>
      </c>
      <c r="AY17" s="716">
        <v>1</v>
      </c>
      <c r="AZ17" s="716">
        <v>1</v>
      </c>
      <c r="BA17" s="717">
        <v>0</v>
      </c>
      <c r="BB17" s="721">
        <f t="shared" si="139"/>
        <v>3200</v>
      </c>
      <c r="BC17" s="499">
        <f t="shared" si="140"/>
        <v>3200</v>
      </c>
      <c r="BD17" s="499">
        <f t="shared" si="141"/>
        <v>3200</v>
      </c>
      <c r="BE17" s="499">
        <f t="shared" si="142"/>
        <v>3200</v>
      </c>
      <c r="BF17" s="499">
        <f t="shared" si="143"/>
        <v>3200</v>
      </c>
      <c r="BG17" s="499">
        <f t="shared" si="144"/>
        <v>3200</v>
      </c>
      <c r="BH17" s="499">
        <f t="shared" si="145"/>
        <v>3200</v>
      </c>
      <c r="BI17" s="721">
        <f t="shared" si="6"/>
        <v>0</v>
      </c>
      <c r="BJ17" s="499">
        <f t="shared" ref="BJ17:BM17" si="169">BI17</f>
        <v>0</v>
      </c>
      <c r="BK17" s="499">
        <f t="shared" si="169"/>
        <v>0</v>
      </c>
      <c r="BL17" s="499">
        <f t="shared" si="169"/>
        <v>0</v>
      </c>
      <c r="BM17" s="499">
        <f t="shared" si="169"/>
        <v>0</v>
      </c>
      <c r="BN17" s="499">
        <f t="shared" si="147"/>
        <v>0</v>
      </c>
      <c r="BO17" s="499">
        <f t="shared" si="148"/>
        <v>0</v>
      </c>
      <c r="BP17" s="721">
        <f t="shared" si="8"/>
        <v>800</v>
      </c>
      <c r="BQ17" s="499">
        <f t="shared" si="95"/>
        <v>800</v>
      </c>
      <c r="BR17" s="499">
        <f t="shared" si="149"/>
        <v>800</v>
      </c>
      <c r="BS17" s="499">
        <f t="shared" si="150"/>
        <v>800</v>
      </c>
      <c r="BT17" s="499">
        <f t="shared" si="151"/>
        <v>800</v>
      </c>
      <c r="BU17" s="499">
        <f t="shared" si="152"/>
        <v>800</v>
      </c>
      <c r="BV17" s="499">
        <f t="shared" si="153"/>
        <v>800</v>
      </c>
      <c r="BW17" s="774">
        <f t="shared" si="101"/>
        <v>0</v>
      </c>
      <c r="BX17" s="503">
        <f t="shared" si="12"/>
        <v>0</v>
      </c>
      <c r="BY17" s="503">
        <f t="shared" si="12"/>
        <v>0</v>
      </c>
      <c r="BZ17" s="503">
        <f t="shared" si="12"/>
        <v>0</v>
      </c>
      <c r="CA17" s="503">
        <f t="shared" si="12"/>
        <v>0</v>
      </c>
      <c r="CB17" s="503">
        <f t="shared" si="12"/>
        <v>0</v>
      </c>
      <c r="CC17" s="503">
        <f t="shared" si="12"/>
        <v>0</v>
      </c>
      <c r="CD17" s="722">
        <f t="shared" si="13"/>
        <v>39279.830921052635</v>
      </c>
      <c r="CE17" s="511">
        <f t="shared" ref="CE17:CH17" si="170">CD17</f>
        <v>39279.830921052635</v>
      </c>
      <c r="CF17" s="511">
        <f t="shared" si="170"/>
        <v>39279.830921052635</v>
      </c>
      <c r="CG17" s="511">
        <f t="shared" si="170"/>
        <v>39279.830921052635</v>
      </c>
      <c r="CH17" s="511">
        <f t="shared" si="170"/>
        <v>39279.830921052635</v>
      </c>
      <c r="CI17" s="511">
        <f t="shared" si="103"/>
        <v>39279.830921052635</v>
      </c>
      <c r="CJ17" s="511">
        <f t="shared" si="104"/>
        <v>39279.830921052635</v>
      </c>
      <c r="CK17" s="722">
        <f t="shared" si="15"/>
        <v>23.054903108566215</v>
      </c>
      <c r="CL17" s="511">
        <f t="shared" ref="CL17:CO17" si="171">CK17</f>
        <v>23.054903108566215</v>
      </c>
      <c r="CM17" s="511">
        <f t="shared" si="171"/>
        <v>23.054903108566215</v>
      </c>
      <c r="CN17" s="511">
        <f t="shared" si="171"/>
        <v>23.054903108566215</v>
      </c>
      <c r="CO17" s="511">
        <f t="shared" si="171"/>
        <v>23.054903108566215</v>
      </c>
      <c r="CP17" s="511">
        <f t="shared" si="106"/>
        <v>23.054903108566215</v>
      </c>
      <c r="CQ17" s="511">
        <f t="shared" si="107"/>
        <v>23.054903108566215</v>
      </c>
      <c r="CR17" s="722">
        <f t="shared" si="17"/>
        <v>0</v>
      </c>
      <c r="CS17" s="511">
        <f t="shared" ref="CS17:CV17" si="172">CR17</f>
        <v>0</v>
      </c>
      <c r="CT17" s="511">
        <f t="shared" si="172"/>
        <v>0</v>
      </c>
      <c r="CU17" s="511">
        <f t="shared" si="172"/>
        <v>0</v>
      </c>
      <c r="CV17" s="511">
        <f t="shared" si="172"/>
        <v>0</v>
      </c>
      <c r="CW17" s="511">
        <f t="shared" si="109"/>
        <v>0</v>
      </c>
      <c r="CX17" s="539">
        <f t="shared" si="110"/>
        <v>0</v>
      </c>
      <c r="CY17" s="724">
        <f t="shared" si="19"/>
        <v>6400</v>
      </c>
      <c r="CZ17" s="508">
        <f t="shared" si="20"/>
        <v>3200</v>
      </c>
      <c r="DA17" s="508">
        <f t="shared" si="21"/>
        <v>6400</v>
      </c>
      <c r="DB17" s="508">
        <f t="shared" si="22"/>
        <v>3200</v>
      </c>
      <c r="DC17" s="508">
        <f t="shared" si="23"/>
        <v>6400</v>
      </c>
      <c r="DD17" s="508">
        <f t="shared" si="24"/>
        <v>3200</v>
      </c>
      <c r="DE17" s="726">
        <f t="shared" si="25"/>
        <v>6400</v>
      </c>
      <c r="DF17" s="724">
        <f t="shared" si="26"/>
        <v>0</v>
      </c>
      <c r="DG17" s="509">
        <f t="shared" si="27"/>
        <v>0</v>
      </c>
      <c r="DH17" s="509">
        <f t="shared" si="28"/>
        <v>0</v>
      </c>
      <c r="DI17" s="509">
        <f t="shared" si="29"/>
        <v>0</v>
      </c>
      <c r="DJ17" s="509">
        <f t="shared" si="30"/>
        <v>0</v>
      </c>
      <c r="DK17" s="509">
        <f t="shared" si="31"/>
        <v>0</v>
      </c>
      <c r="DL17" s="451">
        <f t="shared" si="32"/>
        <v>0</v>
      </c>
      <c r="DM17" s="509">
        <f t="shared" si="33"/>
        <v>1600</v>
      </c>
      <c r="DN17" s="509">
        <f t="shared" si="34"/>
        <v>800</v>
      </c>
      <c r="DO17" s="509">
        <f t="shared" si="35"/>
        <v>1600</v>
      </c>
      <c r="DP17" s="509">
        <f t="shared" si="36"/>
        <v>800</v>
      </c>
      <c r="DQ17" s="509">
        <f t="shared" si="37"/>
        <v>1600</v>
      </c>
      <c r="DR17" s="509">
        <f t="shared" si="38"/>
        <v>800</v>
      </c>
      <c r="DS17" s="450">
        <f t="shared" si="39"/>
        <v>1600</v>
      </c>
      <c r="DT17" s="724">
        <f t="shared" si="40"/>
        <v>0</v>
      </c>
      <c r="DU17" s="508">
        <f t="shared" si="41"/>
        <v>0</v>
      </c>
      <c r="DV17" s="508">
        <f t="shared" si="42"/>
        <v>0</v>
      </c>
      <c r="DW17" s="508">
        <f t="shared" si="43"/>
        <v>0</v>
      </c>
      <c r="DX17" s="508">
        <f t="shared" si="44"/>
        <v>0</v>
      </c>
      <c r="DY17" s="508">
        <f t="shared" si="45"/>
        <v>0</v>
      </c>
      <c r="DZ17" s="726">
        <f t="shared" si="46"/>
        <v>0</v>
      </c>
      <c r="EA17" s="722">
        <f t="shared" si="47"/>
        <v>78559.66184210527</v>
      </c>
      <c r="EB17" s="511">
        <f t="shared" si="48"/>
        <v>39279.830921052635</v>
      </c>
      <c r="EC17" s="511">
        <f t="shared" si="49"/>
        <v>78559.66184210527</v>
      </c>
      <c r="ED17" s="511">
        <f t="shared" si="50"/>
        <v>39279.830921052635</v>
      </c>
      <c r="EE17" s="511">
        <f t="shared" si="51"/>
        <v>78559.66184210527</v>
      </c>
      <c r="EF17" s="511">
        <f t="shared" si="52"/>
        <v>39279.830921052635</v>
      </c>
      <c r="EG17" s="723">
        <f t="shared" si="53"/>
        <v>78559.66184210527</v>
      </c>
      <c r="EH17" s="397">
        <f t="shared" si="111"/>
        <v>46.10980621713243</v>
      </c>
      <c r="EI17" s="397">
        <f t="shared" si="54"/>
        <v>23.054903108566215</v>
      </c>
      <c r="EJ17" s="397">
        <f t="shared" si="55"/>
        <v>46.10980621713243</v>
      </c>
      <c r="EK17" s="397">
        <f t="shared" si="56"/>
        <v>23.054903108566215</v>
      </c>
      <c r="EL17" s="397">
        <f t="shared" si="57"/>
        <v>46.10980621713243</v>
      </c>
      <c r="EM17" s="397">
        <f t="shared" si="58"/>
        <v>23.054903108566215</v>
      </c>
      <c r="EN17" s="398">
        <f t="shared" si="59"/>
        <v>46.10980621713243</v>
      </c>
      <c r="EO17" s="722">
        <f t="shared" si="60"/>
        <v>0</v>
      </c>
      <c r="EP17" s="511">
        <f t="shared" si="61"/>
        <v>0</v>
      </c>
      <c r="EQ17" s="511">
        <f t="shared" si="62"/>
        <v>0</v>
      </c>
      <c r="ER17" s="511">
        <f t="shared" si="63"/>
        <v>0</v>
      </c>
      <c r="ES17" s="511">
        <f t="shared" si="64"/>
        <v>0</v>
      </c>
      <c r="ET17" s="511">
        <f t="shared" si="65"/>
        <v>0</v>
      </c>
      <c r="EU17" s="723">
        <f t="shared" si="66"/>
        <v>0</v>
      </c>
      <c r="EV17" s="727">
        <f t="shared" si="67"/>
        <v>5</v>
      </c>
      <c r="EW17" s="728">
        <f t="shared" si="68"/>
        <v>35200</v>
      </c>
      <c r="EX17" s="728">
        <f t="shared" si="69"/>
        <v>0</v>
      </c>
      <c r="EY17" s="728">
        <f t="shared" si="70"/>
        <v>8800</v>
      </c>
      <c r="EZ17" s="728">
        <f t="shared" si="71"/>
        <v>0</v>
      </c>
      <c r="FA17" s="777">
        <f t="shared" si="72"/>
        <v>432078.14013157896</v>
      </c>
      <c r="FB17" s="777">
        <f t="shared" si="73"/>
        <v>253.60393419422837</v>
      </c>
      <c r="FC17" s="778">
        <f t="shared" si="74"/>
        <v>0</v>
      </c>
      <c r="FE17" s="10" t="b">
        <f t="shared" si="112"/>
        <v>1</v>
      </c>
      <c r="FF17" s="10" t="b">
        <f t="shared" si="75"/>
        <v>1</v>
      </c>
      <c r="FG17" s="10" t="b">
        <f t="shared" si="76"/>
        <v>1</v>
      </c>
      <c r="FH17" s="10" t="b">
        <f t="shared" si="77"/>
        <v>1</v>
      </c>
      <c r="FI17" s="10" t="b">
        <f t="shared" si="78"/>
        <v>1</v>
      </c>
      <c r="FJ17" s="10" t="b">
        <f t="shared" si="79"/>
        <v>1</v>
      </c>
      <c r="FK17" s="10" t="b">
        <f t="shared" si="80"/>
        <v>1</v>
      </c>
      <c r="FL17" s="10" t="b">
        <f t="shared" si="81"/>
        <v>1</v>
      </c>
    </row>
    <row r="18" spans="1:168">
      <c r="A18" s="662">
        <v>13</v>
      </c>
      <c r="B18" s="789" t="s">
        <v>1225</v>
      </c>
      <c r="C18" s="789" t="s">
        <v>1223</v>
      </c>
      <c r="D18" s="789" t="s">
        <v>1215</v>
      </c>
      <c r="E18" s="789" t="s">
        <v>331</v>
      </c>
      <c r="F18" s="789" t="s">
        <v>331</v>
      </c>
      <c r="G18" s="704" t="s">
        <v>402</v>
      </c>
      <c r="H18" s="704">
        <f t="shared" si="129"/>
        <v>8000</v>
      </c>
      <c r="I18" s="704">
        <v>0</v>
      </c>
      <c r="J18" s="704">
        <f t="shared" si="130"/>
        <v>8000</v>
      </c>
      <c r="K18" s="704">
        <v>0</v>
      </c>
      <c r="L18" s="704">
        <f t="shared" si="124"/>
        <v>4000</v>
      </c>
      <c r="M18" s="711" t="s">
        <v>1216</v>
      </c>
      <c r="N18" s="1024">
        <v>2000</v>
      </c>
      <c r="O18" s="1024">
        <v>2000</v>
      </c>
      <c r="P18" s="707">
        <v>0</v>
      </c>
      <c r="Q18" s="707">
        <v>0</v>
      </c>
      <c r="R18" s="871">
        <f>'Water Reset Reference'!J23</f>
        <v>65466.384868421061</v>
      </c>
      <c r="S18" s="872">
        <f>'Water Reset Reference'!$W$82/'Water Reset Reference'!$V$82*R18</f>
        <v>38.424838514277027</v>
      </c>
      <c r="T18" s="1022">
        <v>0</v>
      </c>
      <c r="U18" s="1029" t="s">
        <v>1217</v>
      </c>
      <c r="V18" s="716">
        <v>0</v>
      </c>
      <c r="W18" s="711">
        <v>1</v>
      </c>
      <c r="X18" s="781">
        <v>0</v>
      </c>
      <c r="Y18" s="781">
        <v>0</v>
      </c>
      <c r="Z18" s="781">
        <v>0</v>
      </c>
      <c r="AA18" s="781">
        <v>0</v>
      </c>
      <c r="AB18" s="1027">
        <f t="shared" si="113"/>
        <v>0</v>
      </c>
      <c r="AC18" s="1028">
        <v>0</v>
      </c>
      <c r="AD18" s="781">
        <v>1</v>
      </c>
      <c r="AE18" s="781">
        <v>0</v>
      </c>
      <c r="AF18" s="781">
        <v>0</v>
      </c>
      <c r="AG18" s="781">
        <v>1</v>
      </c>
      <c r="AH18" s="781">
        <v>0</v>
      </c>
      <c r="AI18" s="781">
        <v>0</v>
      </c>
      <c r="AJ18" s="781">
        <v>1</v>
      </c>
      <c r="AK18" s="715" t="s">
        <v>384</v>
      </c>
      <c r="AL18" s="711" t="s">
        <v>742</v>
      </c>
      <c r="AM18" s="715" t="s">
        <v>1186</v>
      </c>
      <c r="AN18" s="715" t="s">
        <v>1196</v>
      </c>
      <c r="AO18" s="711" t="s">
        <v>1</v>
      </c>
      <c r="AP18" s="715"/>
      <c r="AQ18" s="715"/>
      <c r="AR18" s="715"/>
      <c r="AS18" s="715" t="s">
        <v>1207</v>
      </c>
      <c r="AT18" s="715" t="s">
        <v>745</v>
      </c>
      <c r="AU18" s="715" t="s">
        <v>746</v>
      </c>
      <c r="AV18" s="715">
        <v>10</v>
      </c>
      <c r="AW18" s="715">
        <v>10</v>
      </c>
      <c r="AX18" s="715" t="s">
        <v>2712</v>
      </c>
      <c r="AY18" s="716">
        <v>1</v>
      </c>
      <c r="AZ18" s="716">
        <v>1</v>
      </c>
      <c r="BA18" s="717">
        <v>0</v>
      </c>
      <c r="BB18" s="721">
        <f t="shared" si="139"/>
        <v>8000</v>
      </c>
      <c r="BC18" s="499">
        <f t="shared" si="140"/>
        <v>8000</v>
      </c>
      <c r="BD18" s="499">
        <f t="shared" si="141"/>
        <v>8000</v>
      </c>
      <c r="BE18" s="499">
        <f t="shared" si="142"/>
        <v>8000</v>
      </c>
      <c r="BF18" s="499">
        <f t="shared" si="143"/>
        <v>8000</v>
      </c>
      <c r="BG18" s="499">
        <f t="shared" si="144"/>
        <v>8000</v>
      </c>
      <c r="BH18" s="499">
        <f t="shared" si="145"/>
        <v>8000</v>
      </c>
      <c r="BI18" s="721">
        <f t="shared" si="6"/>
        <v>0</v>
      </c>
      <c r="BJ18" s="499">
        <f t="shared" ref="BJ18:BM18" si="173">BI18</f>
        <v>0</v>
      </c>
      <c r="BK18" s="499">
        <f t="shared" si="173"/>
        <v>0</v>
      </c>
      <c r="BL18" s="499">
        <f t="shared" si="173"/>
        <v>0</v>
      </c>
      <c r="BM18" s="499">
        <f t="shared" si="173"/>
        <v>0</v>
      </c>
      <c r="BN18" s="499">
        <f t="shared" si="147"/>
        <v>0</v>
      </c>
      <c r="BO18" s="499">
        <f t="shared" si="148"/>
        <v>0</v>
      </c>
      <c r="BP18" s="721">
        <f t="shared" si="8"/>
        <v>2000</v>
      </c>
      <c r="BQ18" s="499">
        <f t="shared" si="95"/>
        <v>2000</v>
      </c>
      <c r="BR18" s="499">
        <f t="shared" si="149"/>
        <v>2000</v>
      </c>
      <c r="BS18" s="499">
        <f t="shared" si="150"/>
        <v>2000</v>
      </c>
      <c r="BT18" s="499">
        <f t="shared" si="151"/>
        <v>2000</v>
      </c>
      <c r="BU18" s="499">
        <f t="shared" si="152"/>
        <v>2000</v>
      </c>
      <c r="BV18" s="499">
        <f t="shared" si="153"/>
        <v>2000</v>
      </c>
      <c r="BW18" s="774">
        <f t="shared" si="101"/>
        <v>0</v>
      </c>
      <c r="BX18" s="503">
        <f t="shared" si="12"/>
        <v>0</v>
      </c>
      <c r="BY18" s="503">
        <f t="shared" si="12"/>
        <v>0</v>
      </c>
      <c r="BZ18" s="503">
        <f t="shared" si="12"/>
        <v>0</v>
      </c>
      <c r="CA18" s="503">
        <f t="shared" si="12"/>
        <v>0</v>
      </c>
      <c r="CB18" s="503">
        <f t="shared" si="12"/>
        <v>0</v>
      </c>
      <c r="CC18" s="503">
        <f t="shared" si="12"/>
        <v>0</v>
      </c>
      <c r="CD18" s="722">
        <f t="shared" si="13"/>
        <v>65466.384868421061</v>
      </c>
      <c r="CE18" s="511">
        <f t="shared" ref="CE18:CH18" si="174">CD18</f>
        <v>65466.384868421061</v>
      </c>
      <c r="CF18" s="511">
        <f t="shared" si="174"/>
        <v>65466.384868421061</v>
      </c>
      <c r="CG18" s="511">
        <f t="shared" si="174"/>
        <v>65466.384868421061</v>
      </c>
      <c r="CH18" s="511">
        <f t="shared" si="174"/>
        <v>65466.384868421061</v>
      </c>
      <c r="CI18" s="511">
        <f t="shared" si="103"/>
        <v>65466.384868421061</v>
      </c>
      <c r="CJ18" s="511">
        <f t="shared" si="104"/>
        <v>65466.384868421061</v>
      </c>
      <c r="CK18" s="722">
        <f t="shared" si="15"/>
        <v>38.424838514277027</v>
      </c>
      <c r="CL18" s="511">
        <f t="shared" ref="CL18:CO18" si="175">CK18</f>
        <v>38.424838514277027</v>
      </c>
      <c r="CM18" s="511">
        <f t="shared" si="175"/>
        <v>38.424838514277027</v>
      </c>
      <c r="CN18" s="511">
        <f t="shared" si="175"/>
        <v>38.424838514277027</v>
      </c>
      <c r="CO18" s="511">
        <f t="shared" si="175"/>
        <v>38.424838514277027</v>
      </c>
      <c r="CP18" s="511">
        <f t="shared" si="106"/>
        <v>38.424838514277027</v>
      </c>
      <c r="CQ18" s="511">
        <f t="shared" si="107"/>
        <v>38.424838514277027</v>
      </c>
      <c r="CR18" s="722">
        <f t="shared" si="17"/>
        <v>0</v>
      </c>
      <c r="CS18" s="511">
        <f t="shared" ref="CS18:CV18" si="176">CR18</f>
        <v>0</v>
      </c>
      <c r="CT18" s="511">
        <f t="shared" si="176"/>
        <v>0</v>
      </c>
      <c r="CU18" s="511">
        <f t="shared" si="176"/>
        <v>0</v>
      </c>
      <c r="CV18" s="511">
        <f t="shared" si="176"/>
        <v>0</v>
      </c>
      <c r="CW18" s="511">
        <f t="shared" si="109"/>
        <v>0</v>
      </c>
      <c r="CX18" s="539">
        <f t="shared" si="110"/>
        <v>0</v>
      </c>
      <c r="CY18" s="724">
        <f t="shared" si="19"/>
        <v>8000</v>
      </c>
      <c r="CZ18" s="508">
        <f t="shared" si="20"/>
        <v>0</v>
      </c>
      <c r="DA18" s="508">
        <f t="shared" si="21"/>
        <v>0</v>
      </c>
      <c r="DB18" s="508">
        <f t="shared" si="22"/>
        <v>8000</v>
      </c>
      <c r="DC18" s="508">
        <f t="shared" si="23"/>
        <v>0</v>
      </c>
      <c r="DD18" s="508">
        <f t="shared" si="24"/>
        <v>0</v>
      </c>
      <c r="DE18" s="726">
        <f t="shared" si="25"/>
        <v>8000</v>
      </c>
      <c r="DF18" s="724">
        <f t="shared" si="26"/>
        <v>0</v>
      </c>
      <c r="DG18" s="509">
        <f t="shared" si="27"/>
        <v>0</v>
      </c>
      <c r="DH18" s="509">
        <f t="shared" si="28"/>
        <v>0</v>
      </c>
      <c r="DI18" s="509">
        <f t="shared" si="29"/>
        <v>0</v>
      </c>
      <c r="DJ18" s="509">
        <f t="shared" si="30"/>
        <v>0</v>
      </c>
      <c r="DK18" s="509">
        <f t="shared" si="31"/>
        <v>0</v>
      </c>
      <c r="DL18" s="451">
        <f t="shared" si="32"/>
        <v>0</v>
      </c>
      <c r="DM18" s="509">
        <f t="shared" si="33"/>
        <v>2000</v>
      </c>
      <c r="DN18" s="509">
        <f t="shared" si="34"/>
        <v>0</v>
      </c>
      <c r="DO18" s="509">
        <f t="shared" si="35"/>
        <v>0</v>
      </c>
      <c r="DP18" s="509">
        <f t="shared" si="36"/>
        <v>2000</v>
      </c>
      <c r="DQ18" s="509">
        <f t="shared" si="37"/>
        <v>0</v>
      </c>
      <c r="DR18" s="509">
        <f t="shared" si="38"/>
        <v>0</v>
      </c>
      <c r="DS18" s="450">
        <f t="shared" si="39"/>
        <v>2000</v>
      </c>
      <c r="DT18" s="724">
        <f t="shared" si="40"/>
        <v>0</v>
      </c>
      <c r="DU18" s="508">
        <f t="shared" si="41"/>
        <v>0</v>
      </c>
      <c r="DV18" s="508">
        <f t="shared" si="42"/>
        <v>0</v>
      </c>
      <c r="DW18" s="508">
        <f t="shared" si="43"/>
        <v>0</v>
      </c>
      <c r="DX18" s="508">
        <f t="shared" si="44"/>
        <v>0</v>
      </c>
      <c r="DY18" s="508">
        <f t="shared" si="45"/>
        <v>0</v>
      </c>
      <c r="DZ18" s="726">
        <f t="shared" si="46"/>
        <v>0</v>
      </c>
      <c r="EA18" s="722">
        <f t="shared" si="47"/>
        <v>65466.384868421061</v>
      </c>
      <c r="EB18" s="511">
        <f t="shared" si="48"/>
        <v>0</v>
      </c>
      <c r="EC18" s="511">
        <f t="shared" si="49"/>
        <v>0</v>
      </c>
      <c r="ED18" s="511">
        <f t="shared" si="50"/>
        <v>65466.384868421061</v>
      </c>
      <c r="EE18" s="511">
        <f t="shared" si="51"/>
        <v>0</v>
      </c>
      <c r="EF18" s="511">
        <f t="shared" si="52"/>
        <v>0</v>
      </c>
      <c r="EG18" s="723">
        <f t="shared" si="53"/>
        <v>65466.384868421061</v>
      </c>
      <c r="EH18" s="397">
        <f t="shared" si="111"/>
        <v>38.424838514277027</v>
      </c>
      <c r="EI18" s="397">
        <f t="shared" si="54"/>
        <v>0</v>
      </c>
      <c r="EJ18" s="397">
        <f t="shared" si="55"/>
        <v>0</v>
      </c>
      <c r="EK18" s="397">
        <f t="shared" si="56"/>
        <v>38.424838514277027</v>
      </c>
      <c r="EL18" s="397">
        <f t="shared" si="57"/>
        <v>0</v>
      </c>
      <c r="EM18" s="397">
        <f t="shared" si="58"/>
        <v>0</v>
      </c>
      <c r="EN18" s="398">
        <f t="shared" si="59"/>
        <v>38.424838514277027</v>
      </c>
      <c r="EO18" s="722">
        <f t="shared" si="60"/>
        <v>0</v>
      </c>
      <c r="EP18" s="511">
        <f t="shared" si="61"/>
        <v>0</v>
      </c>
      <c r="EQ18" s="511">
        <f t="shared" si="62"/>
        <v>0</v>
      </c>
      <c r="ER18" s="511">
        <f t="shared" si="63"/>
        <v>0</v>
      </c>
      <c r="ES18" s="511">
        <f t="shared" si="64"/>
        <v>0</v>
      </c>
      <c r="ET18" s="511">
        <f t="shared" si="65"/>
        <v>0</v>
      </c>
      <c r="EU18" s="723">
        <f t="shared" si="66"/>
        <v>0</v>
      </c>
      <c r="EV18" s="727">
        <f t="shared" si="67"/>
        <v>1</v>
      </c>
      <c r="EW18" s="728">
        <f t="shared" si="68"/>
        <v>24000</v>
      </c>
      <c r="EX18" s="728">
        <f t="shared" si="69"/>
        <v>0</v>
      </c>
      <c r="EY18" s="728">
        <f t="shared" si="70"/>
        <v>6000</v>
      </c>
      <c r="EZ18" s="728">
        <f t="shared" si="71"/>
        <v>0</v>
      </c>
      <c r="FA18" s="777">
        <f t="shared" si="72"/>
        <v>196399.15460526317</v>
      </c>
      <c r="FB18" s="777">
        <f t="shared" si="73"/>
        <v>115.27451554283108</v>
      </c>
      <c r="FC18" s="778">
        <f t="shared" si="74"/>
        <v>0</v>
      </c>
      <c r="FE18" s="10" t="b">
        <f t="shared" si="112"/>
        <v>1</v>
      </c>
      <c r="FF18" s="10" t="b">
        <f t="shared" si="75"/>
        <v>1</v>
      </c>
      <c r="FG18" s="10" t="b">
        <f t="shared" si="76"/>
        <v>1</v>
      </c>
      <c r="FH18" s="10" t="b">
        <f t="shared" si="77"/>
        <v>1</v>
      </c>
      <c r="FI18" s="10" t="b">
        <f t="shared" si="78"/>
        <v>1</v>
      </c>
      <c r="FJ18" s="10" t="b">
        <f t="shared" si="79"/>
        <v>1</v>
      </c>
      <c r="FK18" s="10" t="b">
        <f t="shared" si="80"/>
        <v>1</v>
      </c>
      <c r="FL18" s="10" t="b">
        <f t="shared" si="81"/>
        <v>1</v>
      </c>
    </row>
    <row r="19" spans="1:168">
      <c r="A19" s="662">
        <v>14</v>
      </c>
      <c r="B19" s="789" t="s">
        <v>1226</v>
      </c>
      <c r="C19" s="789" t="s">
        <v>1227</v>
      </c>
      <c r="D19" s="789" t="s">
        <v>1228</v>
      </c>
      <c r="E19" s="789" t="s">
        <v>1229</v>
      </c>
      <c r="F19" s="789" t="s">
        <v>1230</v>
      </c>
      <c r="G19" s="704" t="s">
        <v>402</v>
      </c>
      <c r="H19" s="704">
        <f>BizRebates_Costs!G35</f>
        <v>86.364702605042069</v>
      </c>
      <c r="I19" s="704">
        <v>0</v>
      </c>
      <c r="J19" s="704">
        <f t="shared" si="118"/>
        <v>86.364702605042069</v>
      </c>
      <c r="K19" s="704">
        <v>0</v>
      </c>
      <c r="L19" s="704">
        <f t="shared" si="119"/>
        <v>43.182351302521035</v>
      </c>
      <c r="M19" s="711" t="s">
        <v>1231</v>
      </c>
      <c r="N19" s="1024">
        <v>2</v>
      </c>
      <c r="O19" s="1024">
        <v>2</v>
      </c>
      <c r="P19" s="707">
        <v>0</v>
      </c>
      <c r="Q19" s="707">
        <v>0</v>
      </c>
      <c r="R19" s="1021">
        <f>AVERAGE(LGE_KU_ComReb_Report_Data!G82,LGE_KU_ComReb_Report_Data!G110:G112)</f>
        <v>30.223750000000003</v>
      </c>
      <c r="S19" s="872">
        <f>AVERAGE(LGE_KU_ComReb_Report_Data!H82,LGE_KU_ComReb_Report_Data!H110:H112)</f>
        <v>6.3036111111111105E-3</v>
      </c>
      <c r="T19" s="1022">
        <v>0</v>
      </c>
      <c r="U19" s="1026" t="s">
        <v>1212</v>
      </c>
      <c r="V19" s="716">
        <v>0</v>
      </c>
      <c r="W19" s="711">
        <v>1</v>
      </c>
      <c r="X19" s="781">
        <v>3630</v>
      </c>
      <c r="Y19" s="781">
        <v>398</v>
      </c>
      <c r="Z19" s="781">
        <v>522</v>
      </c>
      <c r="AA19" s="781">
        <v>1092</v>
      </c>
      <c r="AB19" s="1027">
        <f>AVERAGE(Z19:AA19)</f>
        <v>807</v>
      </c>
      <c r="AC19" s="1030">
        <f t="shared" ref="AC19:AJ30" si="177">AB19</f>
        <v>807</v>
      </c>
      <c r="AD19" s="1030">
        <f>AC19</f>
        <v>807</v>
      </c>
      <c r="AE19" s="1030">
        <f t="shared" si="177"/>
        <v>807</v>
      </c>
      <c r="AF19" s="1030">
        <f t="shared" si="177"/>
        <v>807</v>
      </c>
      <c r="AG19" s="1030">
        <f t="shared" si="177"/>
        <v>807</v>
      </c>
      <c r="AH19" s="1030">
        <f t="shared" si="177"/>
        <v>807</v>
      </c>
      <c r="AI19" s="1030">
        <f t="shared" si="177"/>
        <v>807</v>
      </c>
      <c r="AJ19" s="1030">
        <f t="shared" si="177"/>
        <v>807</v>
      </c>
      <c r="AK19" s="715" t="s">
        <v>384</v>
      </c>
      <c r="AL19" s="711" t="s">
        <v>742</v>
      </c>
      <c r="AM19" s="715" t="s">
        <v>1186</v>
      </c>
      <c r="AN19" s="715" t="s">
        <v>1232</v>
      </c>
      <c r="AO19" s="711" t="s">
        <v>1</v>
      </c>
      <c r="AP19" s="715"/>
      <c r="AQ19" s="715"/>
      <c r="AR19" s="715"/>
      <c r="AS19" s="715" t="s">
        <v>1207</v>
      </c>
      <c r="AT19" s="715" t="s">
        <v>745</v>
      </c>
      <c r="AU19" s="715" t="s">
        <v>746</v>
      </c>
      <c r="AV19" s="715">
        <v>20</v>
      </c>
      <c r="AW19" s="715">
        <v>20</v>
      </c>
      <c r="AX19" s="715" t="s">
        <v>2713</v>
      </c>
      <c r="AY19" s="716">
        <v>1</v>
      </c>
      <c r="AZ19" s="716">
        <v>1</v>
      </c>
      <c r="BA19" s="717">
        <v>0</v>
      </c>
      <c r="BB19" s="721">
        <f t="shared" si="139"/>
        <v>86.364702605042069</v>
      </c>
      <c r="BC19" s="499">
        <f t="shared" si="140"/>
        <v>86.364702605042069</v>
      </c>
      <c r="BD19" s="499">
        <f t="shared" si="141"/>
        <v>86.364702605042069</v>
      </c>
      <c r="BE19" s="499">
        <f t="shared" si="142"/>
        <v>86.364702605042069</v>
      </c>
      <c r="BF19" s="499">
        <f t="shared" si="143"/>
        <v>86.364702605042069</v>
      </c>
      <c r="BG19" s="499">
        <f t="shared" si="144"/>
        <v>86.364702605042069</v>
      </c>
      <c r="BH19" s="499">
        <f t="shared" si="145"/>
        <v>86.364702605042069</v>
      </c>
      <c r="BI19" s="721">
        <f t="shared" si="6"/>
        <v>0</v>
      </c>
      <c r="BJ19" s="499">
        <f t="shared" ref="BJ19:BM19" si="178">BI19</f>
        <v>0</v>
      </c>
      <c r="BK19" s="499">
        <f t="shared" si="178"/>
        <v>0</v>
      </c>
      <c r="BL19" s="499">
        <f t="shared" si="178"/>
        <v>0</v>
      </c>
      <c r="BM19" s="499">
        <f t="shared" si="178"/>
        <v>0</v>
      </c>
      <c r="BN19" s="499">
        <f t="shared" si="147"/>
        <v>0</v>
      </c>
      <c r="BO19" s="499">
        <f t="shared" si="148"/>
        <v>0</v>
      </c>
      <c r="BP19" s="721">
        <f t="shared" si="8"/>
        <v>2</v>
      </c>
      <c r="BQ19" s="499">
        <f t="shared" si="95"/>
        <v>2</v>
      </c>
      <c r="BR19" s="499">
        <f t="shared" si="149"/>
        <v>2</v>
      </c>
      <c r="BS19" s="499">
        <f t="shared" si="150"/>
        <v>2</v>
      </c>
      <c r="BT19" s="499">
        <f t="shared" si="151"/>
        <v>2</v>
      </c>
      <c r="BU19" s="499">
        <f t="shared" si="152"/>
        <v>2</v>
      </c>
      <c r="BV19" s="499">
        <f t="shared" si="153"/>
        <v>2</v>
      </c>
      <c r="BW19" s="774">
        <f t="shared" si="101"/>
        <v>0</v>
      </c>
      <c r="BX19" s="503">
        <f t="shared" si="12"/>
        <v>0</v>
      </c>
      <c r="BY19" s="503">
        <f t="shared" si="12"/>
        <v>0</v>
      </c>
      <c r="BZ19" s="503">
        <f t="shared" si="12"/>
        <v>0</v>
      </c>
      <c r="CA19" s="503">
        <f t="shared" si="12"/>
        <v>0</v>
      </c>
      <c r="CB19" s="503">
        <f t="shared" si="12"/>
        <v>0</v>
      </c>
      <c r="CC19" s="503">
        <f t="shared" si="12"/>
        <v>0</v>
      </c>
      <c r="CD19" s="722">
        <f t="shared" si="13"/>
        <v>30.223750000000003</v>
      </c>
      <c r="CE19" s="511">
        <f t="shared" ref="CE19:CH19" si="179">CD19</f>
        <v>30.223750000000003</v>
      </c>
      <c r="CF19" s="511">
        <f t="shared" si="179"/>
        <v>30.223750000000003</v>
      </c>
      <c r="CG19" s="511">
        <f t="shared" si="179"/>
        <v>30.223750000000003</v>
      </c>
      <c r="CH19" s="511">
        <f t="shared" si="179"/>
        <v>30.223750000000003</v>
      </c>
      <c r="CI19" s="511">
        <f t="shared" si="103"/>
        <v>30.223750000000003</v>
      </c>
      <c r="CJ19" s="511">
        <f t="shared" si="104"/>
        <v>30.223750000000003</v>
      </c>
      <c r="CK19" s="722">
        <f t="shared" si="15"/>
        <v>6.3036111111111105E-3</v>
      </c>
      <c r="CL19" s="511">
        <f t="shared" ref="CL19:CO19" si="180">CK19</f>
        <v>6.3036111111111105E-3</v>
      </c>
      <c r="CM19" s="511">
        <f t="shared" si="180"/>
        <v>6.3036111111111105E-3</v>
      </c>
      <c r="CN19" s="511">
        <f t="shared" si="180"/>
        <v>6.3036111111111105E-3</v>
      </c>
      <c r="CO19" s="511">
        <f t="shared" si="180"/>
        <v>6.3036111111111105E-3</v>
      </c>
      <c r="CP19" s="511">
        <f t="shared" si="106"/>
        <v>6.3036111111111105E-3</v>
      </c>
      <c r="CQ19" s="511">
        <f t="shared" si="107"/>
        <v>6.3036111111111105E-3</v>
      </c>
      <c r="CR19" s="722">
        <f t="shared" si="17"/>
        <v>0</v>
      </c>
      <c r="CS19" s="511">
        <f t="shared" ref="CS19:CV19" si="181">CR19</f>
        <v>0</v>
      </c>
      <c r="CT19" s="511">
        <f t="shared" si="181"/>
        <v>0</v>
      </c>
      <c r="CU19" s="511">
        <f t="shared" si="181"/>
        <v>0</v>
      </c>
      <c r="CV19" s="511">
        <f t="shared" si="181"/>
        <v>0</v>
      </c>
      <c r="CW19" s="511">
        <f t="shared" si="109"/>
        <v>0</v>
      </c>
      <c r="CX19" s="539">
        <f t="shared" si="110"/>
        <v>0</v>
      </c>
      <c r="CY19" s="724">
        <f t="shared" si="19"/>
        <v>69696.315002268952</v>
      </c>
      <c r="CZ19" s="508">
        <f t="shared" si="20"/>
        <v>69696.315002268952</v>
      </c>
      <c r="DA19" s="508">
        <f t="shared" si="21"/>
        <v>69696.315002268952</v>
      </c>
      <c r="DB19" s="508">
        <f t="shared" si="22"/>
        <v>69696.315002268952</v>
      </c>
      <c r="DC19" s="508">
        <f t="shared" si="23"/>
        <v>69696.315002268952</v>
      </c>
      <c r="DD19" s="508">
        <f t="shared" si="24"/>
        <v>69696.315002268952</v>
      </c>
      <c r="DE19" s="726">
        <f t="shared" si="25"/>
        <v>69696.315002268952</v>
      </c>
      <c r="DF19" s="724">
        <f t="shared" si="26"/>
        <v>0</v>
      </c>
      <c r="DG19" s="509">
        <f t="shared" si="27"/>
        <v>0</v>
      </c>
      <c r="DH19" s="509">
        <f t="shared" si="28"/>
        <v>0</v>
      </c>
      <c r="DI19" s="509">
        <f t="shared" si="29"/>
        <v>0</v>
      </c>
      <c r="DJ19" s="509">
        <f t="shared" si="30"/>
        <v>0</v>
      </c>
      <c r="DK19" s="509">
        <f t="shared" si="31"/>
        <v>0</v>
      </c>
      <c r="DL19" s="451">
        <f t="shared" si="32"/>
        <v>0</v>
      </c>
      <c r="DM19" s="509">
        <f t="shared" si="33"/>
        <v>1614</v>
      </c>
      <c r="DN19" s="509">
        <f t="shared" si="34"/>
        <v>1614</v>
      </c>
      <c r="DO19" s="509">
        <f t="shared" si="35"/>
        <v>1614</v>
      </c>
      <c r="DP19" s="509">
        <f t="shared" si="36"/>
        <v>1614</v>
      </c>
      <c r="DQ19" s="509">
        <f t="shared" si="37"/>
        <v>1614</v>
      </c>
      <c r="DR19" s="509">
        <f t="shared" si="38"/>
        <v>1614</v>
      </c>
      <c r="DS19" s="450">
        <f t="shared" si="39"/>
        <v>1614</v>
      </c>
      <c r="DT19" s="724">
        <f t="shared" si="40"/>
        <v>0</v>
      </c>
      <c r="DU19" s="508">
        <f t="shared" si="41"/>
        <v>0</v>
      </c>
      <c r="DV19" s="508">
        <f t="shared" si="42"/>
        <v>0</v>
      </c>
      <c r="DW19" s="508">
        <f t="shared" si="43"/>
        <v>0</v>
      </c>
      <c r="DX19" s="508">
        <f t="shared" si="44"/>
        <v>0</v>
      </c>
      <c r="DY19" s="508">
        <f t="shared" si="45"/>
        <v>0</v>
      </c>
      <c r="DZ19" s="726">
        <f t="shared" si="46"/>
        <v>0</v>
      </c>
      <c r="EA19" s="722">
        <f t="shared" si="47"/>
        <v>24390.566250000003</v>
      </c>
      <c r="EB19" s="511">
        <f t="shared" si="48"/>
        <v>24390.566250000003</v>
      </c>
      <c r="EC19" s="511">
        <f t="shared" si="49"/>
        <v>24390.566250000003</v>
      </c>
      <c r="ED19" s="511">
        <f t="shared" si="50"/>
        <v>24390.566250000003</v>
      </c>
      <c r="EE19" s="511">
        <f t="shared" si="51"/>
        <v>24390.566250000003</v>
      </c>
      <c r="EF19" s="511">
        <f t="shared" si="52"/>
        <v>24390.566250000003</v>
      </c>
      <c r="EG19" s="723">
        <f t="shared" si="53"/>
        <v>24390.566250000003</v>
      </c>
      <c r="EH19" s="397">
        <f t="shared" si="111"/>
        <v>5.0870141666666662</v>
      </c>
      <c r="EI19" s="397">
        <f t="shared" si="54"/>
        <v>5.0870141666666662</v>
      </c>
      <c r="EJ19" s="397">
        <f t="shared" si="55"/>
        <v>5.0870141666666662</v>
      </c>
      <c r="EK19" s="397">
        <f t="shared" si="56"/>
        <v>5.0870141666666662</v>
      </c>
      <c r="EL19" s="397">
        <f t="shared" si="57"/>
        <v>5.0870141666666662</v>
      </c>
      <c r="EM19" s="397">
        <f t="shared" si="58"/>
        <v>5.0870141666666662</v>
      </c>
      <c r="EN19" s="398">
        <f t="shared" si="59"/>
        <v>5.0870141666666662</v>
      </c>
      <c r="EO19" s="722">
        <f t="shared" si="60"/>
        <v>0</v>
      </c>
      <c r="EP19" s="511">
        <f t="shared" si="61"/>
        <v>0</v>
      </c>
      <c r="EQ19" s="511">
        <f t="shared" si="62"/>
        <v>0</v>
      </c>
      <c r="ER19" s="511">
        <f t="shared" si="63"/>
        <v>0</v>
      </c>
      <c r="ES19" s="511">
        <f t="shared" si="64"/>
        <v>0</v>
      </c>
      <c r="ET19" s="511">
        <f t="shared" si="65"/>
        <v>0</v>
      </c>
      <c r="EU19" s="723">
        <f t="shared" si="66"/>
        <v>0</v>
      </c>
      <c r="EV19" s="727">
        <f t="shared" si="67"/>
        <v>2421</v>
      </c>
      <c r="EW19" s="728">
        <f t="shared" si="68"/>
        <v>487874.20501588262</v>
      </c>
      <c r="EX19" s="728">
        <f t="shared" si="69"/>
        <v>0</v>
      </c>
      <c r="EY19" s="728">
        <f t="shared" si="70"/>
        <v>11298</v>
      </c>
      <c r="EZ19" s="728">
        <f t="shared" si="71"/>
        <v>0</v>
      </c>
      <c r="FA19" s="777">
        <f t="shared" si="72"/>
        <v>170733.96375000002</v>
      </c>
      <c r="FB19" s="777">
        <f t="shared" si="73"/>
        <v>35.609099166666667</v>
      </c>
      <c r="FC19" s="778">
        <f t="shared" si="74"/>
        <v>0</v>
      </c>
      <c r="FE19" s="10" t="b">
        <f t="shared" si="112"/>
        <v>1</v>
      </c>
      <c r="FF19" s="10" t="b">
        <f t="shared" si="75"/>
        <v>1</v>
      </c>
      <c r="FG19" s="10" t="b">
        <f t="shared" si="76"/>
        <v>1</v>
      </c>
      <c r="FH19" s="10" t="b">
        <f t="shared" si="77"/>
        <v>1</v>
      </c>
      <c r="FI19" s="10" t="b">
        <f t="shared" si="78"/>
        <v>1</v>
      </c>
      <c r="FJ19" s="10" t="b">
        <f t="shared" si="79"/>
        <v>1</v>
      </c>
      <c r="FK19" s="10" t="b">
        <f t="shared" si="80"/>
        <v>1</v>
      </c>
      <c r="FL19" s="10" t="b">
        <f t="shared" si="81"/>
        <v>1</v>
      </c>
    </row>
    <row r="20" spans="1:168">
      <c r="A20" s="662">
        <v>15</v>
      </c>
      <c r="B20" s="789" t="s">
        <v>1233</v>
      </c>
      <c r="C20" s="789" t="s">
        <v>1234</v>
      </c>
      <c r="D20" s="789" t="s">
        <v>1235</v>
      </c>
      <c r="E20" s="789" t="s">
        <v>1236</v>
      </c>
      <c r="F20" s="789" t="s">
        <v>1236</v>
      </c>
      <c r="G20" s="704" t="s">
        <v>402</v>
      </c>
      <c r="H20" s="704">
        <f>509.63*(7.5)^0.2687</f>
        <v>875.75766439527331</v>
      </c>
      <c r="I20" s="704">
        <v>0</v>
      </c>
      <c r="J20" s="704">
        <f t="shared" si="118"/>
        <v>875.75766439527331</v>
      </c>
      <c r="K20" s="704">
        <v>0</v>
      </c>
      <c r="L20" s="704">
        <f t="shared" si="119"/>
        <v>437.87883219763665</v>
      </c>
      <c r="M20" s="1023" t="s">
        <v>1237</v>
      </c>
      <c r="N20" s="1024">
        <v>50</v>
      </c>
      <c r="O20" s="1024">
        <v>50</v>
      </c>
      <c r="P20" s="707">
        <v>0</v>
      </c>
      <c r="Q20" s="707">
        <v>0</v>
      </c>
      <c r="R20" s="1021">
        <f>7.5*($R$23/20)</f>
        <v>1683.5625</v>
      </c>
      <c r="S20" s="872">
        <f>7.5*($S$23/20)</f>
        <v>0.56437499999999996</v>
      </c>
      <c r="T20" s="1022">
        <v>0</v>
      </c>
      <c r="U20" s="1029" t="s">
        <v>1238</v>
      </c>
      <c r="V20" s="716">
        <v>0</v>
      </c>
      <c r="W20" s="711">
        <v>1</v>
      </c>
      <c r="X20" s="781">
        <v>15</v>
      </c>
      <c r="Y20" s="781">
        <v>0</v>
      </c>
      <c r="Z20" s="781">
        <v>1</v>
      </c>
      <c r="AA20" s="781">
        <v>5.1428571428571423</v>
      </c>
      <c r="AB20" s="1027">
        <f t="shared" si="113"/>
        <v>3.0714285714285712</v>
      </c>
      <c r="AC20" s="1030">
        <f t="shared" si="177"/>
        <v>3.0714285714285712</v>
      </c>
      <c r="AD20" s="1030">
        <f t="shared" si="177"/>
        <v>3.0714285714285712</v>
      </c>
      <c r="AE20" s="1030">
        <f t="shared" si="177"/>
        <v>3.0714285714285712</v>
      </c>
      <c r="AF20" s="1030">
        <f t="shared" si="177"/>
        <v>3.0714285714285712</v>
      </c>
      <c r="AG20" s="1030">
        <f t="shared" si="177"/>
        <v>3.0714285714285712</v>
      </c>
      <c r="AH20" s="1030">
        <f t="shared" si="177"/>
        <v>3.0714285714285712</v>
      </c>
      <c r="AI20" s="1030">
        <f t="shared" si="177"/>
        <v>3.0714285714285712</v>
      </c>
      <c r="AJ20" s="1030">
        <f t="shared" si="177"/>
        <v>3.0714285714285712</v>
      </c>
      <c r="AK20" s="715" t="s">
        <v>384</v>
      </c>
      <c r="AL20" s="711" t="s">
        <v>742</v>
      </c>
      <c r="AM20" s="715" t="s">
        <v>1186</v>
      </c>
      <c r="AN20" s="715" t="s">
        <v>1232</v>
      </c>
      <c r="AO20" s="711" t="s">
        <v>1</v>
      </c>
      <c r="AP20" s="715"/>
      <c r="AQ20" s="715"/>
      <c r="AR20" s="715"/>
      <c r="AS20" s="715" t="s">
        <v>1207</v>
      </c>
      <c r="AT20" s="715" t="s">
        <v>745</v>
      </c>
      <c r="AU20" s="715" t="s">
        <v>746</v>
      </c>
      <c r="AV20" s="715">
        <v>20</v>
      </c>
      <c r="AW20" s="715">
        <v>20</v>
      </c>
      <c r="AX20" s="715" t="s">
        <v>2713</v>
      </c>
      <c r="AY20" s="716">
        <v>1</v>
      </c>
      <c r="AZ20" s="716">
        <v>1</v>
      </c>
      <c r="BA20" s="717">
        <v>0</v>
      </c>
      <c r="BB20" s="721">
        <f t="shared" si="139"/>
        <v>875.75766439527331</v>
      </c>
      <c r="BC20" s="499">
        <f t="shared" si="140"/>
        <v>875.75766439527331</v>
      </c>
      <c r="BD20" s="499">
        <f t="shared" si="141"/>
        <v>875.75766439527331</v>
      </c>
      <c r="BE20" s="499">
        <f t="shared" si="142"/>
        <v>875.75766439527331</v>
      </c>
      <c r="BF20" s="499">
        <f t="shared" si="143"/>
        <v>875.75766439527331</v>
      </c>
      <c r="BG20" s="499">
        <f t="shared" si="144"/>
        <v>875.75766439527331</v>
      </c>
      <c r="BH20" s="499">
        <f t="shared" si="145"/>
        <v>875.75766439527331</v>
      </c>
      <c r="BI20" s="721">
        <f t="shared" si="6"/>
        <v>0</v>
      </c>
      <c r="BJ20" s="499">
        <f t="shared" ref="BJ20:BM20" si="182">BI20</f>
        <v>0</v>
      </c>
      <c r="BK20" s="499">
        <f t="shared" si="182"/>
        <v>0</v>
      </c>
      <c r="BL20" s="499">
        <f t="shared" si="182"/>
        <v>0</v>
      </c>
      <c r="BM20" s="499">
        <f t="shared" si="182"/>
        <v>0</v>
      </c>
      <c r="BN20" s="499">
        <f t="shared" si="147"/>
        <v>0</v>
      </c>
      <c r="BO20" s="499">
        <f t="shared" si="148"/>
        <v>0</v>
      </c>
      <c r="BP20" s="721">
        <f t="shared" si="8"/>
        <v>50</v>
      </c>
      <c r="BQ20" s="499">
        <f t="shared" si="95"/>
        <v>50</v>
      </c>
      <c r="BR20" s="499">
        <f t="shared" si="149"/>
        <v>50</v>
      </c>
      <c r="BS20" s="499">
        <f t="shared" si="150"/>
        <v>50</v>
      </c>
      <c r="BT20" s="499">
        <f t="shared" si="151"/>
        <v>50</v>
      </c>
      <c r="BU20" s="499">
        <f t="shared" si="152"/>
        <v>50</v>
      </c>
      <c r="BV20" s="499">
        <f t="shared" si="153"/>
        <v>50</v>
      </c>
      <c r="BW20" s="774">
        <f t="shared" si="101"/>
        <v>0</v>
      </c>
      <c r="BX20" s="503">
        <f t="shared" si="12"/>
        <v>0</v>
      </c>
      <c r="BY20" s="503">
        <f t="shared" si="12"/>
        <v>0</v>
      </c>
      <c r="BZ20" s="503">
        <f t="shared" si="12"/>
        <v>0</v>
      </c>
      <c r="CA20" s="503">
        <f t="shared" si="12"/>
        <v>0</v>
      </c>
      <c r="CB20" s="503">
        <f t="shared" si="12"/>
        <v>0</v>
      </c>
      <c r="CC20" s="503">
        <f t="shared" si="12"/>
        <v>0</v>
      </c>
      <c r="CD20" s="722">
        <f t="shared" si="13"/>
        <v>1683.5625</v>
      </c>
      <c r="CE20" s="511">
        <f t="shared" ref="CE20:CH20" si="183">CD20</f>
        <v>1683.5625</v>
      </c>
      <c r="CF20" s="511">
        <f t="shared" si="183"/>
        <v>1683.5625</v>
      </c>
      <c r="CG20" s="511">
        <f t="shared" si="183"/>
        <v>1683.5625</v>
      </c>
      <c r="CH20" s="511">
        <f t="shared" si="183"/>
        <v>1683.5625</v>
      </c>
      <c r="CI20" s="511">
        <f t="shared" si="103"/>
        <v>1683.5625</v>
      </c>
      <c r="CJ20" s="511">
        <f t="shared" si="104"/>
        <v>1683.5625</v>
      </c>
      <c r="CK20" s="722">
        <f t="shared" si="15"/>
        <v>0.56437499999999996</v>
      </c>
      <c r="CL20" s="511">
        <f t="shared" ref="CL20:CO20" si="184">CK20</f>
        <v>0.56437499999999996</v>
      </c>
      <c r="CM20" s="511">
        <f t="shared" si="184"/>
        <v>0.56437499999999996</v>
      </c>
      <c r="CN20" s="511">
        <f t="shared" si="184"/>
        <v>0.56437499999999996</v>
      </c>
      <c r="CO20" s="511">
        <f t="shared" si="184"/>
        <v>0.56437499999999996</v>
      </c>
      <c r="CP20" s="511">
        <f t="shared" si="106"/>
        <v>0.56437499999999996</v>
      </c>
      <c r="CQ20" s="511">
        <f t="shared" si="107"/>
        <v>0.56437499999999996</v>
      </c>
      <c r="CR20" s="722">
        <f t="shared" si="17"/>
        <v>0</v>
      </c>
      <c r="CS20" s="511">
        <f t="shared" ref="CS20:CV20" si="185">CR20</f>
        <v>0</v>
      </c>
      <c r="CT20" s="511">
        <f t="shared" si="185"/>
        <v>0</v>
      </c>
      <c r="CU20" s="511">
        <f t="shared" si="185"/>
        <v>0</v>
      </c>
      <c r="CV20" s="511">
        <f t="shared" si="185"/>
        <v>0</v>
      </c>
      <c r="CW20" s="511">
        <f t="shared" si="109"/>
        <v>0</v>
      </c>
      <c r="CX20" s="539">
        <f t="shared" si="110"/>
        <v>0</v>
      </c>
      <c r="CY20" s="724">
        <f t="shared" si="19"/>
        <v>2689.8271120711966</v>
      </c>
      <c r="CZ20" s="508">
        <f t="shared" si="20"/>
        <v>2689.8271120711966</v>
      </c>
      <c r="DA20" s="508">
        <f t="shared" si="21"/>
        <v>2689.8271120711966</v>
      </c>
      <c r="DB20" s="508">
        <f t="shared" si="22"/>
        <v>2689.8271120711966</v>
      </c>
      <c r="DC20" s="508">
        <f t="shared" si="23"/>
        <v>2689.8271120711966</v>
      </c>
      <c r="DD20" s="508">
        <f t="shared" si="24"/>
        <v>2689.8271120711966</v>
      </c>
      <c r="DE20" s="726">
        <f t="shared" si="25"/>
        <v>2689.8271120711966</v>
      </c>
      <c r="DF20" s="724">
        <f t="shared" si="26"/>
        <v>0</v>
      </c>
      <c r="DG20" s="509">
        <f t="shared" si="27"/>
        <v>0</v>
      </c>
      <c r="DH20" s="509">
        <f t="shared" si="28"/>
        <v>0</v>
      </c>
      <c r="DI20" s="509">
        <f t="shared" si="29"/>
        <v>0</v>
      </c>
      <c r="DJ20" s="509">
        <f t="shared" si="30"/>
        <v>0</v>
      </c>
      <c r="DK20" s="509">
        <f t="shared" si="31"/>
        <v>0</v>
      </c>
      <c r="DL20" s="451">
        <f t="shared" si="32"/>
        <v>0</v>
      </c>
      <c r="DM20" s="509">
        <f t="shared" si="33"/>
        <v>153.57142857142856</v>
      </c>
      <c r="DN20" s="509">
        <f t="shared" si="34"/>
        <v>153.57142857142856</v>
      </c>
      <c r="DO20" s="509">
        <f t="shared" si="35"/>
        <v>153.57142857142856</v>
      </c>
      <c r="DP20" s="509">
        <f t="shared" si="36"/>
        <v>153.57142857142856</v>
      </c>
      <c r="DQ20" s="509">
        <f t="shared" si="37"/>
        <v>153.57142857142856</v>
      </c>
      <c r="DR20" s="509">
        <f t="shared" si="38"/>
        <v>153.57142857142856</v>
      </c>
      <c r="DS20" s="450">
        <f t="shared" si="39"/>
        <v>153.57142857142856</v>
      </c>
      <c r="DT20" s="724">
        <f t="shared" si="40"/>
        <v>0</v>
      </c>
      <c r="DU20" s="508">
        <f t="shared" si="41"/>
        <v>0</v>
      </c>
      <c r="DV20" s="508">
        <f t="shared" si="42"/>
        <v>0</v>
      </c>
      <c r="DW20" s="508">
        <f t="shared" si="43"/>
        <v>0</v>
      </c>
      <c r="DX20" s="508">
        <f t="shared" si="44"/>
        <v>0</v>
      </c>
      <c r="DY20" s="508">
        <f t="shared" si="45"/>
        <v>0</v>
      </c>
      <c r="DZ20" s="726">
        <f t="shared" si="46"/>
        <v>0</v>
      </c>
      <c r="EA20" s="722">
        <f t="shared" si="47"/>
        <v>5170.9419642857138</v>
      </c>
      <c r="EB20" s="511">
        <f t="shared" si="48"/>
        <v>5170.9419642857138</v>
      </c>
      <c r="EC20" s="511">
        <f t="shared" si="49"/>
        <v>5170.9419642857138</v>
      </c>
      <c r="ED20" s="511">
        <f t="shared" si="50"/>
        <v>5170.9419642857138</v>
      </c>
      <c r="EE20" s="511">
        <f t="shared" si="51"/>
        <v>5170.9419642857138</v>
      </c>
      <c r="EF20" s="511">
        <f t="shared" si="52"/>
        <v>5170.9419642857138</v>
      </c>
      <c r="EG20" s="723">
        <f t="shared" si="53"/>
        <v>5170.9419642857138</v>
      </c>
      <c r="EH20" s="397">
        <f t="shared" si="111"/>
        <v>1.7334374999999997</v>
      </c>
      <c r="EI20" s="397">
        <f t="shared" si="54"/>
        <v>1.7334374999999997</v>
      </c>
      <c r="EJ20" s="397">
        <f t="shared" si="55"/>
        <v>1.7334374999999997</v>
      </c>
      <c r="EK20" s="397">
        <f t="shared" si="56"/>
        <v>1.7334374999999997</v>
      </c>
      <c r="EL20" s="397">
        <f t="shared" si="57"/>
        <v>1.7334374999999997</v>
      </c>
      <c r="EM20" s="397">
        <f t="shared" si="58"/>
        <v>1.7334374999999997</v>
      </c>
      <c r="EN20" s="398">
        <f t="shared" si="59"/>
        <v>1.7334374999999997</v>
      </c>
      <c r="EO20" s="722">
        <f t="shared" si="60"/>
        <v>0</v>
      </c>
      <c r="EP20" s="511">
        <f t="shared" si="61"/>
        <v>0</v>
      </c>
      <c r="EQ20" s="511">
        <f t="shared" si="62"/>
        <v>0</v>
      </c>
      <c r="ER20" s="511">
        <f t="shared" si="63"/>
        <v>0</v>
      </c>
      <c r="ES20" s="511">
        <f t="shared" si="64"/>
        <v>0</v>
      </c>
      <c r="ET20" s="511">
        <f t="shared" si="65"/>
        <v>0</v>
      </c>
      <c r="EU20" s="723">
        <f t="shared" si="66"/>
        <v>0</v>
      </c>
      <c r="EV20" s="727">
        <f t="shared" si="67"/>
        <v>9.2142857142857135</v>
      </c>
      <c r="EW20" s="728">
        <f t="shared" si="68"/>
        <v>18828.789784498375</v>
      </c>
      <c r="EX20" s="728">
        <f t="shared" si="69"/>
        <v>0</v>
      </c>
      <c r="EY20" s="728">
        <f t="shared" si="70"/>
        <v>1075</v>
      </c>
      <c r="EZ20" s="728">
        <f t="shared" si="71"/>
        <v>0</v>
      </c>
      <c r="FA20" s="777">
        <f t="shared" si="72"/>
        <v>36196.59375</v>
      </c>
      <c r="FB20" s="777">
        <f t="shared" si="73"/>
        <v>12.134062499999997</v>
      </c>
      <c r="FC20" s="778">
        <f t="shared" si="74"/>
        <v>0</v>
      </c>
      <c r="FE20" s="10" t="b">
        <f t="shared" si="112"/>
        <v>1</v>
      </c>
      <c r="FF20" s="10" t="b">
        <f t="shared" si="75"/>
        <v>1</v>
      </c>
      <c r="FG20" s="10" t="b">
        <f t="shared" si="76"/>
        <v>1</v>
      </c>
      <c r="FH20" s="10" t="b">
        <f t="shared" si="77"/>
        <v>1</v>
      </c>
      <c r="FI20" s="10" t="b">
        <f t="shared" si="78"/>
        <v>1</v>
      </c>
      <c r="FJ20" s="10" t="b">
        <f t="shared" si="79"/>
        <v>1</v>
      </c>
      <c r="FK20" s="10" t="b">
        <f t="shared" si="80"/>
        <v>1</v>
      </c>
      <c r="FL20" s="10" t="b">
        <f t="shared" si="81"/>
        <v>1</v>
      </c>
    </row>
    <row r="21" spans="1:168">
      <c r="A21" s="662">
        <v>16</v>
      </c>
      <c r="B21" s="789" t="s">
        <v>1239</v>
      </c>
      <c r="C21" s="789" t="s">
        <v>1240</v>
      </c>
      <c r="D21" s="789" t="s">
        <v>1235</v>
      </c>
      <c r="E21" s="789" t="s">
        <v>1236</v>
      </c>
      <c r="F21" s="789" t="s">
        <v>1236</v>
      </c>
      <c r="G21" s="704" t="s">
        <v>402</v>
      </c>
      <c r="H21" s="704">
        <f>509.63*(10)^0.2687</f>
        <v>946.13908893278608</v>
      </c>
      <c r="I21" s="704">
        <v>0</v>
      </c>
      <c r="J21" s="704">
        <f t="shared" ref="J21:J32" si="186">H21+I21</f>
        <v>946.13908893278608</v>
      </c>
      <c r="K21" s="704">
        <v>0</v>
      </c>
      <c r="L21" s="704">
        <f t="shared" si="119"/>
        <v>473.06954446639304</v>
      </c>
      <c r="M21" s="1023" t="s">
        <v>1241</v>
      </c>
      <c r="N21" s="1024">
        <v>60</v>
      </c>
      <c r="O21" s="1024">
        <v>60</v>
      </c>
      <c r="P21" s="707">
        <v>0</v>
      </c>
      <c r="Q21" s="707">
        <v>0</v>
      </c>
      <c r="R21" s="1021">
        <f>10*($R$23/20)</f>
        <v>2244.75</v>
      </c>
      <c r="S21" s="872">
        <f>10*($S$23/20)</f>
        <v>0.75249999999999995</v>
      </c>
      <c r="T21" s="1022">
        <v>0</v>
      </c>
      <c r="U21" s="1029" t="s">
        <v>1238</v>
      </c>
      <c r="V21" s="716">
        <v>0</v>
      </c>
      <c r="W21" s="711">
        <v>1</v>
      </c>
      <c r="X21" s="781">
        <v>2</v>
      </c>
      <c r="Y21" s="781">
        <v>0</v>
      </c>
      <c r="Z21" s="781">
        <v>0</v>
      </c>
      <c r="AA21" s="781">
        <v>10.285714285714285</v>
      </c>
      <c r="AB21" s="1027">
        <f t="shared" si="113"/>
        <v>5.1428571428571423</v>
      </c>
      <c r="AC21" s="1030">
        <f t="shared" si="177"/>
        <v>5.1428571428571423</v>
      </c>
      <c r="AD21" s="1030">
        <f t="shared" si="177"/>
        <v>5.1428571428571423</v>
      </c>
      <c r="AE21" s="1030">
        <f t="shared" si="177"/>
        <v>5.1428571428571423</v>
      </c>
      <c r="AF21" s="1030">
        <f t="shared" si="177"/>
        <v>5.1428571428571423</v>
      </c>
      <c r="AG21" s="1030">
        <f t="shared" si="177"/>
        <v>5.1428571428571423</v>
      </c>
      <c r="AH21" s="1030">
        <f t="shared" si="177"/>
        <v>5.1428571428571423</v>
      </c>
      <c r="AI21" s="1030">
        <f t="shared" si="177"/>
        <v>5.1428571428571423</v>
      </c>
      <c r="AJ21" s="1030">
        <f t="shared" si="177"/>
        <v>5.1428571428571423</v>
      </c>
      <c r="AK21" s="715" t="s">
        <v>384</v>
      </c>
      <c r="AL21" s="711" t="s">
        <v>742</v>
      </c>
      <c r="AM21" s="715" t="s">
        <v>1186</v>
      </c>
      <c r="AN21" s="715" t="s">
        <v>1232</v>
      </c>
      <c r="AO21" s="711" t="s">
        <v>1</v>
      </c>
      <c r="AP21" s="715"/>
      <c r="AQ21" s="715"/>
      <c r="AR21" s="715"/>
      <c r="AS21" s="715" t="s">
        <v>1207</v>
      </c>
      <c r="AT21" s="715" t="s">
        <v>745</v>
      </c>
      <c r="AU21" s="715" t="s">
        <v>746</v>
      </c>
      <c r="AV21" s="715">
        <v>20</v>
      </c>
      <c r="AW21" s="715">
        <v>20</v>
      </c>
      <c r="AX21" s="715" t="s">
        <v>2713</v>
      </c>
      <c r="AY21" s="716">
        <v>1</v>
      </c>
      <c r="AZ21" s="716">
        <v>1</v>
      </c>
      <c r="BA21" s="717">
        <v>0</v>
      </c>
      <c r="BB21" s="721">
        <f t="shared" si="139"/>
        <v>946.13908893278608</v>
      </c>
      <c r="BC21" s="499">
        <f t="shared" si="140"/>
        <v>946.13908893278608</v>
      </c>
      <c r="BD21" s="499">
        <f t="shared" si="141"/>
        <v>946.13908893278608</v>
      </c>
      <c r="BE21" s="499">
        <f t="shared" si="142"/>
        <v>946.13908893278608</v>
      </c>
      <c r="BF21" s="499">
        <f t="shared" si="143"/>
        <v>946.13908893278608</v>
      </c>
      <c r="BG21" s="499">
        <f t="shared" si="144"/>
        <v>946.13908893278608</v>
      </c>
      <c r="BH21" s="499">
        <f t="shared" si="145"/>
        <v>946.13908893278608</v>
      </c>
      <c r="BI21" s="721">
        <f t="shared" si="6"/>
        <v>0</v>
      </c>
      <c r="BJ21" s="499">
        <f t="shared" ref="BJ21:BM21" si="187">BI21</f>
        <v>0</v>
      </c>
      <c r="BK21" s="499">
        <f t="shared" si="187"/>
        <v>0</v>
      </c>
      <c r="BL21" s="499">
        <f t="shared" si="187"/>
        <v>0</v>
      </c>
      <c r="BM21" s="499">
        <f t="shared" si="187"/>
        <v>0</v>
      </c>
      <c r="BN21" s="499">
        <f t="shared" si="147"/>
        <v>0</v>
      </c>
      <c r="BO21" s="499">
        <f t="shared" si="148"/>
        <v>0</v>
      </c>
      <c r="BP21" s="721">
        <f t="shared" si="8"/>
        <v>60</v>
      </c>
      <c r="BQ21" s="499">
        <f t="shared" si="95"/>
        <v>60</v>
      </c>
      <c r="BR21" s="499">
        <f t="shared" si="149"/>
        <v>60</v>
      </c>
      <c r="BS21" s="499">
        <f t="shared" si="150"/>
        <v>60</v>
      </c>
      <c r="BT21" s="499">
        <f t="shared" si="151"/>
        <v>60</v>
      </c>
      <c r="BU21" s="499">
        <f t="shared" si="152"/>
        <v>60</v>
      </c>
      <c r="BV21" s="499">
        <f t="shared" si="153"/>
        <v>60</v>
      </c>
      <c r="BW21" s="774">
        <f t="shared" si="101"/>
        <v>0</v>
      </c>
      <c r="BX21" s="503">
        <f t="shared" si="12"/>
        <v>0</v>
      </c>
      <c r="BY21" s="503">
        <f t="shared" si="12"/>
        <v>0</v>
      </c>
      <c r="BZ21" s="503">
        <f t="shared" si="12"/>
        <v>0</v>
      </c>
      <c r="CA21" s="503">
        <f t="shared" si="12"/>
        <v>0</v>
      </c>
      <c r="CB21" s="503">
        <f t="shared" si="12"/>
        <v>0</v>
      </c>
      <c r="CC21" s="503">
        <f t="shared" si="12"/>
        <v>0</v>
      </c>
      <c r="CD21" s="722">
        <f t="shared" si="13"/>
        <v>2244.75</v>
      </c>
      <c r="CE21" s="511">
        <f t="shared" ref="CE21:CH21" si="188">CD21</f>
        <v>2244.75</v>
      </c>
      <c r="CF21" s="511">
        <f t="shared" si="188"/>
        <v>2244.75</v>
      </c>
      <c r="CG21" s="511">
        <f t="shared" si="188"/>
        <v>2244.75</v>
      </c>
      <c r="CH21" s="511">
        <f t="shared" si="188"/>
        <v>2244.75</v>
      </c>
      <c r="CI21" s="511">
        <f t="shared" si="103"/>
        <v>2244.75</v>
      </c>
      <c r="CJ21" s="511">
        <f t="shared" si="104"/>
        <v>2244.75</v>
      </c>
      <c r="CK21" s="722">
        <f t="shared" si="15"/>
        <v>0.75249999999999995</v>
      </c>
      <c r="CL21" s="511">
        <f t="shared" ref="CL21:CO21" si="189">CK21</f>
        <v>0.75249999999999995</v>
      </c>
      <c r="CM21" s="511">
        <f t="shared" si="189"/>
        <v>0.75249999999999995</v>
      </c>
      <c r="CN21" s="511">
        <f t="shared" si="189"/>
        <v>0.75249999999999995</v>
      </c>
      <c r="CO21" s="511">
        <f t="shared" si="189"/>
        <v>0.75249999999999995</v>
      </c>
      <c r="CP21" s="511">
        <f t="shared" si="106"/>
        <v>0.75249999999999995</v>
      </c>
      <c r="CQ21" s="511">
        <f t="shared" si="107"/>
        <v>0.75249999999999995</v>
      </c>
      <c r="CR21" s="722">
        <f t="shared" si="17"/>
        <v>0</v>
      </c>
      <c r="CS21" s="511">
        <f t="shared" ref="CS21:CV21" si="190">CR21</f>
        <v>0</v>
      </c>
      <c r="CT21" s="511">
        <f t="shared" si="190"/>
        <v>0</v>
      </c>
      <c r="CU21" s="511">
        <f t="shared" si="190"/>
        <v>0</v>
      </c>
      <c r="CV21" s="511">
        <f t="shared" si="190"/>
        <v>0</v>
      </c>
      <c r="CW21" s="511">
        <f t="shared" si="109"/>
        <v>0</v>
      </c>
      <c r="CX21" s="539">
        <f t="shared" si="110"/>
        <v>0</v>
      </c>
      <c r="CY21" s="724">
        <f t="shared" si="19"/>
        <v>4865.8581716543276</v>
      </c>
      <c r="CZ21" s="508">
        <f t="shared" si="20"/>
        <v>4865.8581716543276</v>
      </c>
      <c r="DA21" s="508">
        <f t="shared" si="21"/>
        <v>4865.8581716543276</v>
      </c>
      <c r="DB21" s="508">
        <f t="shared" si="22"/>
        <v>4865.8581716543276</v>
      </c>
      <c r="DC21" s="508">
        <f t="shared" si="23"/>
        <v>4865.8581716543276</v>
      </c>
      <c r="DD21" s="508">
        <f t="shared" si="24"/>
        <v>4865.8581716543276</v>
      </c>
      <c r="DE21" s="726">
        <f t="shared" si="25"/>
        <v>4865.8581716543276</v>
      </c>
      <c r="DF21" s="724">
        <f t="shared" si="26"/>
        <v>0</v>
      </c>
      <c r="DG21" s="509">
        <f t="shared" si="27"/>
        <v>0</v>
      </c>
      <c r="DH21" s="509">
        <f t="shared" si="28"/>
        <v>0</v>
      </c>
      <c r="DI21" s="509">
        <f t="shared" si="29"/>
        <v>0</v>
      </c>
      <c r="DJ21" s="509">
        <f t="shared" si="30"/>
        <v>0</v>
      </c>
      <c r="DK21" s="509">
        <f t="shared" si="31"/>
        <v>0</v>
      </c>
      <c r="DL21" s="451">
        <f t="shared" si="32"/>
        <v>0</v>
      </c>
      <c r="DM21" s="509">
        <f t="shared" si="33"/>
        <v>308.57142857142856</v>
      </c>
      <c r="DN21" s="509">
        <f t="shared" si="34"/>
        <v>308.57142857142856</v>
      </c>
      <c r="DO21" s="509">
        <f t="shared" si="35"/>
        <v>308.57142857142856</v>
      </c>
      <c r="DP21" s="509">
        <f t="shared" si="36"/>
        <v>308.57142857142856</v>
      </c>
      <c r="DQ21" s="509">
        <f t="shared" si="37"/>
        <v>308.57142857142856</v>
      </c>
      <c r="DR21" s="509">
        <f t="shared" si="38"/>
        <v>308.57142857142856</v>
      </c>
      <c r="DS21" s="450">
        <f t="shared" si="39"/>
        <v>308.57142857142856</v>
      </c>
      <c r="DT21" s="724">
        <f t="shared" si="40"/>
        <v>0</v>
      </c>
      <c r="DU21" s="508">
        <f t="shared" si="41"/>
        <v>0</v>
      </c>
      <c r="DV21" s="508">
        <f t="shared" si="42"/>
        <v>0</v>
      </c>
      <c r="DW21" s="508">
        <f t="shared" si="43"/>
        <v>0</v>
      </c>
      <c r="DX21" s="508">
        <f t="shared" si="44"/>
        <v>0</v>
      </c>
      <c r="DY21" s="508">
        <f t="shared" si="45"/>
        <v>0</v>
      </c>
      <c r="DZ21" s="726">
        <f t="shared" si="46"/>
        <v>0</v>
      </c>
      <c r="EA21" s="722">
        <f t="shared" si="47"/>
        <v>11544.428571428571</v>
      </c>
      <c r="EB21" s="511">
        <f t="shared" si="48"/>
        <v>11544.428571428571</v>
      </c>
      <c r="EC21" s="511">
        <f t="shared" si="49"/>
        <v>11544.428571428571</v>
      </c>
      <c r="ED21" s="511">
        <f t="shared" si="50"/>
        <v>11544.428571428571</v>
      </c>
      <c r="EE21" s="511">
        <f t="shared" si="51"/>
        <v>11544.428571428571</v>
      </c>
      <c r="EF21" s="511">
        <f t="shared" si="52"/>
        <v>11544.428571428571</v>
      </c>
      <c r="EG21" s="723">
        <f t="shared" si="53"/>
        <v>11544.428571428571</v>
      </c>
      <c r="EH21" s="397">
        <f t="shared" si="111"/>
        <v>3.8699999999999992</v>
      </c>
      <c r="EI21" s="397">
        <f t="shared" si="54"/>
        <v>3.8699999999999992</v>
      </c>
      <c r="EJ21" s="397">
        <f t="shared" si="55"/>
        <v>3.8699999999999992</v>
      </c>
      <c r="EK21" s="397">
        <f t="shared" si="56"/>
        <v>3.8699999999999992</v>
      </c>
      <c r="EL21" s="397">
        <f t="shared" si="57"/>
        <v>3.8699999999999992</v>
      </c>
      <c r="EM21" s="397">
        <f t="shared" si="58"/>
        <v>3.8699999999999992</v>
      </c>
      <c r="EN21" s="398">
        <f t="shared" si="59"/>
        <v>3.8699999999999992</v>
      </c>
      <c r="EO21" s="722">
        <f t="shared" si="60"/>
        <v>0</v>
      </c>
      <c r="EP21" s="511">
        <f t="shared" si="61"/>
        <v>0</v>
      </c>
      <c r="EQ21" s="511">
        <f t="shared" si="62"/>
        <v>0</v>
      </c>
      <c r="ER21" s="511">
        <f t="shared" si="63"/>
        <v>0</v>
      </c>
      <c r="ES21" s="511">
        <f t="shared" si="64"/>
        <v>0</v>
      </c>
      <c r="ET21" s="511">
        <f t="shared" si="65"/>
        <v>0</v>
      </c>
      <c r="EU21" s="723">
        <f t="shared" si="66"/>
        <v>0</v>
      </c>
      <c r="EV21" s="727">
        <f t="shared" si="67"/>
        <v>15.428571428571427</v>
      </c>
      <c r="EW21" s="728">
        <f t="shared" si="68"/>
        <v>34061.007201580294</v>
      </c>
      <c r="EX21" s="728">
        <f t="shared" si="69"/>
        <v>0</v>
      </c>
      <c r="EY21" s="728">
        <f t="shared" si="70"/>
        <v>2159.9999999999995</v>
      </c>
      <c r="EZ21" s="728">
        <f t="shared" si="71"/>
        <v>0</v>
      </c>
      <c r="FA21" s="777">
        <f t="shared" si="72"/>
        <v>80810.999999999985</v>
      </c>
      <c r="FB21" s="777">
        <f t="shared" si="73"/>
        <v>27.089999999999989</v>
      </c>
      <c r="FC21" s="778">
        <f t="shared" si="74"/>
        <v>0</v>
      </c>
      <c r="FE21" s="10" t="b">
        <f t="shared" si="112"/>
        <v>1</v>
      </c>
      <c r="FF21" s="10" t="b">
        <f t="shared" si="75"/>
        <v>1</v>
      </c>
      <c r="FG21" s="10" t="b">
        <f t="shared" si="76"/>
        <v>1</v>
      </c>
      <c r="FH21" s="10" t="b">
        <f t="shared" si="77"/>
        <v>1</v>
      </c>
      <c r="FI21" s="10" t="b">
        <f t="shared" si="78"/>
        <v>1</v>
      </c>
      <c r="FJ21" s="10" t="b">
        <f t="shared" si="79"/>
        <v>1</v>
      </c>
      <c r="FK21" s="10" t="b">
        <f t="shared" si="80"/>
        <v>1</v>
      </c>
      <c r="FL21" s="10" t="b">
        <f t="shared" si="81"/>
        <v>1</v>
      </c>
    </row>
    <row r="22" spans="1:168">
      <c r="A22" s="662">
        <v>17</v>
      </c>
      <c r="B22" s="789" t="s">
        <v>1242</v>
      </c>
      <c r="C22" s="789" t="s">
        <v>1243</v>
      </c>
      <c r="D22" s="789" t="s">
        <v>1235</v>
      </c>
      <c r="E22" s="789" t="s">
        <v>1236</v>
      </c>
      <c r="F22" s="789" t="s">
        <v>1236</v>
      </c>
      <c r="G22" s="704" t="s">
        <v>402</v>
      </c>
      <c r="H22" s="704">
        <f>509.63*(15)^0.2687</f>
        <v>1055.044327128539</v>
      </c>
      <c r="I22" s="704">
        <v>0</v>
      </c>
      <c r="J22" s="704">
        <f t="shared" si="186"/>
        <v>1055.044327128539</v>
      </c>
      <c r="K22" s="704">
        <v>0</v>
      </c>
      <c r="L22" s="704">
        <f t="shared" si="119"/>
        <v>527.52216356426948</v>
      </c>
      <c r="M22" s="1023" t="s">
        <v>1241</v>
      </c>
      <c r="N22" s="1024">
        <v>100</v>
      </c>
      <c r="O22" s="1024">
        <v>100</v>
      </c>
      <c r="P22" s="707">
        <v>0</v>
      </c>
      <c r="Q22" s="707">
        <v>0</v>
      </c>
      <c r="R22" s="1021">
        <f>15*($R$23/20)</f>
        <v>3367.125</v>
      </c>
      <c r="S22" s="872">
        <f>15*($S$23/20)</f>
        <v>1.1287499999999999</v>
      </c>
      <c r="T22" s="1022">
        <v>0</v>
      </c>
      <c r="U22" s="1029" t="s">
        <v>1238</v>
      </c>
      <c r="V22" s="716">
        <v>0</v>
      </c>
      <c r="W22" s="711">
        <v>1</v>
      </c>
      <c r="X22" s="781">
        <v>2</v>
      </c>
      <c r="Y22" s="781">
        <v>0</v>
      </c>
      <c r="Z22" s="781">
        <v>1</v>
      </c>
      <c r="AA22" s="781">
        <v>0</v>
      </c>
      <c r="AB22" s="1027">
        <f t="shared" si="113"/>
        <v>0.5</v>
      </c>
      <c r="AC22" s="1030">
        <f t="shared" si="177"/>
        <v>0.5</v>
      </c>
      <c r="AD22" s="1030">
        <f t="shared" si="177"/>
        <v>0.5</v>
      </c>
      <c r="AE22" s="1030">
        <f t="shared" si="177"/>
        <v>0.5</v>
      </c>
      <c r="AF22" s="1030">
        <f t="shared" si="177"/>
        <v>0.5</v>
      </c>
      <c r="AG22" s="1030">
        <f t="shared" si="177"/>
        <v>0.5</v>
      </c>
      <c r="AH22" s="1030">
        <f t="shared" si="177"/>
        <v>0.5</v>
      </c>
      <c r="AI22" s="1030">
        <f t="shared" si="177"/>
        <v>0.5</v>
      </c>
      <c r="AJ22" s="1030">
        <f t="shared" si="177"/>
        <v>0.5</v>
      </c>
      <c r="AK22" s="715" t="s">
        <v>384</v>
      </c>
      <c r="AL22" s="711" t="s">
        <v>742</v>
      </c>
      <c r="AM22" s="715" t="s">
        <v>1186</v>
      </c>
      <c r="AN22" s="715" t="s">
        <v>1232</v>
      </c>
      <c r="AO22" s="711" t="s">
        <v>1</v>
      </c>
      <c r="AP22" s="715"/>
      <c r="AQ22" s="715"/>
      <c r="AR22" s="715"/>
      <c r="AS22" s="715" t="s">
        <v>1207</v>
      </c>
      <c r="AT22" s="715" t="s">
        <v>745</v>
      </c>
      <c r="AU22" s="715" t="s">
        <v>746</v>
      </c>
      <c r="AV22" s="715">
        <v>20</v>
      </c>
      <c r="AW22" s="715">
        <v>20</v>
      </c>
      <c r="AX22" s="715" t="s">
        <v>2713</v>
      </c>
      <c r="AY22" s="716">
        <v>1</v>
      </c>
      <c r="AZ22" s="716">
        <v>1</v>
      </c>
      <c r="BA22" s="717">
        <v>0</v>
      </c>
      <c r="BB22" s="721">
        <f t="shared" si="139"/>
        <v>1055.044327128539</v>
      </c>
      <c r="BC22" s="499">
        <f t="shared" si="140"/>
        <v>1055.044327128539</v>
      </c>
      <c r="BD22" s="499">
        <f t="shared" si="141"/>
        <v>1055.044327128539</v>
      </c>
      <c r="BE22" s="499">
        <f t="shared" si="142"/>
        <v>1055.044327128539</v>
      </c>
      <c r="BF22" s="499">
        <f t="shared" si="143"/>
        <v>1055.044327128539</v>
      </c>
      <c r="BG22" s="499">
        <f t="shared" si="144"/>
        <v>1055.044327128539</v>
      </c>
      <c r="BH22" s="499">
        <f t="shared" si="145"/>
        <v>1055.044327128539</v>
      </c>
      <c r="BI22" s="721">
        <f t="shared" si="6"/>
        <v>0</v>
      </c>
      <c r="BJ22" s="499">
        <f t="shared" ref="BJ22:BM22" si="191">BI22</f>
        <v>0</v>
      </c>
      <c r="BK22" s="499">
        <f t="shared" si="191"/>
        <v>0</v>
      </c>
      <c r="BL22" s="499">
        <f t="shared" si="191"/>
        <v>0</v>
      </c>
      <c r="BM22" s="499">
        <f t="shared" si="191"/>
        <v>0</v>
      </c>
      <c r="BN22" s="499">
        <f t="shared" si="147"/>
        <v>0</v>
      </c>
      <c r="BO22" s="499">
        <f t="shared" si="148"/>
        <v>0</v>
      </c>
      <c r="BP22" s="721">
        <f t="shared" si="8"/>
        <v>100</v>
      </c>
      <c r="BQ22" s="499">
        <f t="shared" si="95"/>
        <v>100</v>
      </c>
      <c r="BR22" s="499">
        <f t="shared" si="149"/>
        <v>100</v>
      </c>
      <c r="BS22" s="499">
        <f t="shared" si="150"/>
        <v>100</v>
      </c>
      <c r="BT22" s="499">
        <f t="shared" si="151"/>
        <v>100</v>
      </c>
      <c r="BU22" s="499">
        <f t="shared" si="152"/>
        <v>100</v>
      </c>
      <c r="BV22" s="499">
        <f t="shared" si="153"/>
        <v>100</v>
      </c>
      <c r="BW22" s="774">
        <f t="shared" si="101"/>
        <v>0</v>
      </c>
      <c r="BX22" s="503">
        <f t="shared" si="101"/>
        <v>0</v>
      </c>
      <c r="BY22" s="503">
        <f t="shared" si="101"/>
        <v>0</v>
      </c>
      <c r="BZ22" s="503">
        <f t="shared" si="101"/>
        <v>0</v>
      </c>
      <c r="CA22" s="503">
        <f t="shared" si="101"/>
        <v>0</v>
      </c>
      <c r="CB22" s="503">
        <f t="shared" si="101"/>
        <v>0</v>
      </c>
      <c r="CC22" s="503">
        <f t="shared" si="101"/>
        <v>0</v>
      </c>
      <c r="CD22" s="722">
        <f t="shared" si="13"/>
        <v>3367.125</v>
      </c>
      <c r="CE22" s="511">
        <f t="shared" ref="CE22:CH22" si="192">CD22</f>
        <v>3367.125</v>
      </c>
      <c r="CF22" s="511">
        <f t="shared" si="192"/>
        <v>3367.125</v>
      </c>
      <c r="CG22" s="511">
        <f t="shared" si="192"/>
        <v>3367.125</v>
      </c>
      <c r="CH22" s="511">
        <f t="shared" si="192"/>
        <v>3367.125</v>
      </c>
      <c r="CI22" s="511">
        <f t="shared" si="103"/>
        <v>3367.125</v>
      </c>
      <c r="CJ22" s="511">
        <f t="shared" si="104"/>
        <v>3367.125</v>
      </c>
      <c r="CK22" s="722">
        <f t="shared" si="15"/>
        <v>1.1287499999999999</v>
      </c>
      <c r="CL22" s="511">
        <f t="shared" ref="CL22:CO22" si="193">CK22</f>
        <v>1.1287499999999999</v>
      </c>
      <c r="CM22" s="511">
        <f t="shared" si="193"/>
        <v>1.1287499999999999</v>
      </c>
      <c r="CN22" s="511">
        <f t="shared" si="193"/>
        <v>1.1287499999999999</v>
      </c>
      <c r="CO22" s="511">
        <f t="shared" si="193"/>
        <v>1.1287499999999999</v>
      </c>
      <c r="CP22" s="511">
        <f t="shared" si="106"/>
        <v>1.1287499999999999</v>
      </c>
      <c r="CQ22" s="511">
        <f t="shared" si="107"/>
        <v>1.1287499999999999</v>
      </c>
      <c r="CR22" s="722">
        <f t="shared" si="17"/>
        <v>0</v>
      </c>
      <c r="CS22" s="511">
        <f t="shared" ref="CS22:CV22" si="194">CR22</f>
        <v>0</v>
      </c>
      <c r="CT22" s="511">
        <f t="shared" si="194"/>
        <v>0</v>
      </c>
      <c r="CU22" s="511">
        <f t="shared" si="194"/>
        <v>0</v>
      </c>
      <c r="CV22" s="511">
        <f t="shared" si="194"/>
        <v>0</v>
      </c>
      <c r="CW22" s="511">
        <f t="shared" si="109"/>
        <v>0</v>
      </c>
      <c r="CX22" s="539">
        <f t="shared" si="110"/>
        <v>0</v>
      </c>
      <c r="CY22" s="724">
        <f t="shared" si="19"/>
        <v>527.52216356426948</v>
      </c>
      <c r="CZ22" s="508">
        <f t="shared" si="20"/>
        <v>527.52216356426948</v>
      </c>
      <c r="DA22" s="508">
        <f t="shared" si="21"/>
        <v>527.52216356426948</v>
      </c>
      <c r="DB22" s="508">
        <f t="shared" si="22"/>
        <v>527.52216356426948</v>
      </c>
      <c r="DC22" s="508">
        <f t="shared" si="23"/>
        <v>527.52216356426948</v>
      </c>
      <c r="DD22" s="508">
        <f t="shared" si="24"/>
        <v>527.52216356426948</v>
      </c>
      <c r="DE22" s="726">
        <f t="shared" si="25"/>
        <v>527.52216356426948</v>
      </c>
      <c r="DF22" s="724">
        <f t="shared" si="26"/>
        <v>0</v>
      </c>
      <c r="DG22" s="509">
        <f t="shared" si="27"/>
        <v>0</v>
      </c>
      <c r="DH22" s="509">
        <f t="shared" si="28"/>
        <v>0</v>
      </c>
      <c r="DI22" s="509">
        <f t="shared" si="29"/>
        <v>0</v>
      </c>
      <c r="DJ22" s="509">
        <f t="shared" si="30"/>
        <v>0</v>
      </c>
      <c r="DK22" s="509">
        <f t="shared" si="31"/>
        <v>0</v>
      </c>
      <c r="DL22" s="451">
        <f t="shared" si="32"/>
        <v>0</v>
      </c>
      <c r="DM22" s="509">
        <f t="shared" si="33"/>
        <v>50</v>
      </c>
      <c r="DN22" s="509">
        <f t="shared" si="34"/>
        <v>50</v>
      </c>
      <c r="DO22" s="509">
        <f t="shared" si="35"/>
        <v>50</v>
      </c>
      <c r="DP22" s="509">
        <f t="shared" si="36"/>
        <v>50</v>
      </c>
      <c r="DQ22" s="509">
        <f t="shared" si="37"/>
        <v>50</v>
      </c>
      <c r="DR22" s="509">
        <f t="shared" si="38"/>
        <v>50</v>
      </c>
      <c r="DS22" s="450">
        <f t="shared" si="39"/>
        <v>50</v>
      </c>
      <c r="DT22" s="724">
        <f t="shared" si="40"/>
        <v>0</v>
      </c>
      <c r="DU22" s="508">
        <f t="shared" si="41"/>
        <v>0</v>
      </c>
      <c r="DV22" s="508">
        <f t="shared" si="42"/>
        <v>0</v>
      </c>
      <c r="DW22" s="508">
        <f t="shared" si="43"/>
        <v>0</v>
      </c>
      <c r="DX22" s="508">
        <f t="shared" si="44"/>
        <v>0</v>
      </c>
      <c r="DY22" s="508">
        <f t="shared" si="45"/>
        <v>0</v>
      </c>
      <c r="DZ22" s="726">
        <f t="shared" si="46"/>
        <v>0</v>
      </c>
      <c r="EA22" s="722">
        <f t="shared" si="47"/>
        <v>1683.5625</v>
      </c>
      <c r="EB22" s="511">
        <f t="shared" si="48"/>
        <v>1683.5625</v>
      </c>
      <c r="EC22" s="511">
        <f t="shared" si="49"/>
        <v>1683.5625</v>
      </c>
      <c r="ED22" s="511">
        <f t="shared" si="50"/>
        <v>1683.5625</v>
      </c>
      <c r="EE22" s="511">
        <f t="shared" si="51"/>
        <v>1683.5625</v>
      </c>
      <c r="EF22" s="511">
        <f t="shared" si="52"/>
        <v>1683.5625</v>
      </c>
      <c r="EG22" s="723">
        <f t="shared" si="53"/>
        <v>1683.5625</v>
      </c>
      <c r="EH22" s="397">
        <f t="shared" si="111"/>
        <v>0.56437499999999996</v>
      </c>
      <c r="EI22" s="397">
        <f t="shared" si="54"/>
        <v>0.56437499999999996</v>
      </c>
      <c r="EJ22" s="397">
        <f t="shared" si="55"/>
        <v>0.56437499999999996</v>
      </c>
      <c r="EK22" s="397">
        <f t="shared" si="56"/>
        <v>0.56437499999999996</v>
      </c>
      <c r="EL22" s="397">
        <f t="shared" si="57"/>
        <v>0.56437499999999996</v>
      </c>
      <c r="EM22" s="397">
        <f t="shared" si="58"/>
        <v>0.56437499999999996</v>
      </c>
      <c r="EN22" s="398">
        <f t="shared" si="59"/>
        <v>0.56437499999999996</v>
      </c>
      <c r="EO22" s="722">
        <f t="shared" si="60"/>
        <v>0</v>
      </c>
      <c r="EP22" s="511">
        <f t="shared" si="61"/>
        <v>0</v>
      </c>
      <c r="EQ22" s="511">
        <f t="shared" si="62"/>
        <v>0</v>
      </c>
      <c r="ER22" s="511">
        <f t="shared" si="63"/>
        <v>0</v>
      </c>
      <c r="ES22" s="511">
        <f t="shared" si="64"/>
        <v>0</v>
      </c>
      <c r="ET22" s="511">
        <f t="shared" si="65"/>
        <v>0</v>
      </c>
      <c r="EU22" s="723">
        <f t="shared" si="66"/>
        <v>0</v>
      </c>
      <c r="EV22" s="727">
        <f t="shared" si="67"/>
        <v>1.5</v>
      </c>
      <c r="EW22" s="728">
        <f t="shared" si="68"/>
        <v>3692.6551449498857</v>
      </c>
      <c r="EX22" s="728">
        <f t="shared" si="69"/>
        <v>0</v>
      </c>
      <c r="EY22" s="728">
        <f t="shared" si="70"/>
        <v>350</v>
      </c>
      <c r="EZ22" s="728">
        <f t="shared" si="71"/>
        <v>0</v>
      </c>
      <c r="FA22" s="777">
        <f t="shared" si="72"/>
        <v>11784.9375</v>
      </c>
      <c r="FB22" s="777">
        <f t="shared" si="73"/>
        <v>3.9506250000000001</v>
      </c>
      <c r="FC22" s="778">
        <f t="shared" si="74"/>
        <v>0</v>
      </c>
      <c r="FE22" s="10" t="b">
        <f t="shared" si="112"/>
        <v>1</v>
      </c>
      <c r="FF22" s="10" t="b">
        <f t="shared" si="75"/>
        <v>1</v>
      </c>
      <c r="FG22" s="10" t="b">
        <f t="shared" si="76"/>
        <v>1</v>
      </c>
      <c r="FH22" s="10" t="b">
        <f t="shared" si="77"/>
        <v>1</v>
      </c>
      <c r="FI22" s="10" t="b">
        <f t="shared" si="78"/>
        <v>1</v>
      </c>
      <c r="FJ22" s="10" t="b">
        <f t="shared" si="79"/>
        <v>1</v>
      </c>
      <c r="FK22" s="10" t="b">
        <f t="shared" si="80"/>
        <v>1</v>
      </c>
      <c r="FL22" s="10" t="b">
        <f t="shared" si="81"/>
        <v>1</v>
      </c>
    </row>
    <row r="23" spans="1:168">
      <c r="A23" s="662">
        <v>18</v>
      </c>
      <c r="B23" s="789" t="s">
        <v>1244</v>
      </c>
      <c r="C23" s="789" t="s">
        <v>1243</v>
      </c>
      <c r="D23" s="789" t="s">
        <v>1235</v>
      </c>
      <c r="E23" s="789" t="s">
        <v>1236</v>
      </c>
      <c r="F23" s="789" t="s">
        <v>1236</v>
      </c>
      <c r="G23" s="704" t="s">
        <v>402</v>
      </c>
      <c r="H23" s="704">
        <f>509.63*(20)^0.2687</f>
        <v>1139.8343617607823</v>
      </c>
      <c r="I23" s="704">
        <v>0</v>
      </c>
      <c r="J23" s="704">
        <f t="shared" si="186"/>
        <v>1139.8343617607823</v>
      </c>
      <c r="K23" s="704">
        <v>0</v>
      </c>
      <c r="L23" s="704">
        <f t="shared" si="119"/>
        <v>569.91718088039113</v>
      </c>
      <c r="M23" s="1023" t="s">
        <v>1241</v>
      </c>
      <c r="N23" s="1024">
        <v>150</v>
      </c>
      <c r="O23" s="1024">
        <v>150</v>
      </c>
      <c r="P23" s="707">
        <v>0</v>
      </c>
      <c r="Q23" s="707">
        <v>0</v>
      </c>
      <c r="R23" s="1021">
        <f>LGE_KU_ComReb_Report_Data!G109</f>
        <v>4489.5</v>
      </c>
      <c r="S23" s="872">
        <f>LGE_KU_ComReb_Report_Data!H109</f>
        <v>1.5049999999999999</v>
      </c>
      <c r="T23" s="1022">
        <v>0</v>
      </c>
      <c r="U23" s="1026" t="s">
        <v>1212</v>
      </c>
      <c r="V23" s="716">
        <v>0</v>
      </c>
      <c r="W23" s="711">
        <v>1</v>
      </c>
      <c r="X23" s="781">
        <v>2</v>
      </c>
      <c r="Y23" s="781">
        <v>2</v>
      </c>
      <c r="Z23" s="781">
        <v>7</v>
      </c>
      <c r="AA23" s="781">
        <v>5.1428571428571423</v>
      </c>
      <c r="AB23" s="1027">
        <f t="shared" si="113"/>
        <v>6.0714285714285712</v>
      </c>
      <c r="AC23" s="1030">
        <f t="shared" si="177"/>
        <v>6.0714285714285712</v>
      </c>
      <c r="AD23" s="1030">
        <f t="shared" si="177"/>
        <v>6.0714285714285712</v>
      </c>
      <c r="AE23" s="1030">
        <f t="shared" si="177"/>
        <v>6.0714285714285712</v>
      </c>
      <c r="AF23" s="1030">
        <f t="shared" si="177"/>
        <v>6.0714285714285712</v>
      </c>
      <c r="AG23" s="1030">
        <f t="shared" si="177"/>
        <v>6.0714285714285712</v>
      </c>
      <c r="AH23" s="1030">
        <f t="shared" si="177"/>
        <v>6.0714285714285712</v>
      </c>
      <c r="AI23" s="1030">
        <f t="shared" si="177"/>
        <v>6.0714285714285712</v>
      </c>
      <c r="AJ23" s="1030">
        <f t="shared" si="177"/>
        <v>6.0714285714285712</v>
      </c>
      <c r="AK23" s="715" t="s">
        <v>384</v>
      </c>
      <c r="AL23" s="711" t="s">
        <v>742</v>
      </c>
      <c r="AM23" s="715" t="s">
        <v>1186</v>
      </c>
      <c r="AN23" s="715" t="s">
        <v>1232</v>
      </c>
      <c r="AO23" s="711" t="s">
        <v>1</v>
      </c>
      <c r="AP23" s="715"/>
      <c r="AQ23" s="715"/>
      <c r="AR23" s="715"/>
      <c r="AS23" s="715" t="s">
        <v>1207</v>
      </c>
      <c r="AT23" s="715" t="s">
        <v>745</v>
      </c>
      <c r="AU23" s="715" t="s">
        <v>746</v>
      </c>
      <c r="AV23" s="715">
        <v>20</v>
      </c>
      <c r="AW23" s="715">
        <v>20</v>
      </c>
      <c r="AX23" s="715" t="s">
        <v>2713</v>
      </c>
      <c r="AY23" s="716">
        <v>1</v>
      </c>
      <c r="AZ23" s="716">
        <v>1</v>
      </c>
      <c r="BA23" s="717">
        <v>0</v>
      </c>
      <c r="BB23" s="721">
        <f t="shared" si="139"/>
        <v>1139.8343617607823</v>
      </c>
      <c r="BC23" s="499">
        <f t="shared" si="140"/>
        <v>1139.8343617607823</v>
      </c>
      <c r="BD23" s="499">
        <f t="shared" si="141"/>
        <v>1139.8343617607823</v>
      </c>
      <c r="BE23" s="499">
        <f t="shared" si="142"/>
        <v>1139.8343617607823</v>
      </c>
      <c r="BF23" s="499">
        <f t="shared" si="143"/>
        <v>1139.8343617607823</v>
      </c>
      <c r="BG23" s="499">
        <f t="shared" si="144"/>
        <v>1139.8343617607823</v>
      </c>
      <c r="BH23" s="499">
        <f t="shared" si="145"/>
        <v>1139.8343617607823</v>
      </c>
      <c r="BI23" s="721">
        <f t="shared" si="6"/>
        <v>0</v>
      </c>
      <c r="BJ23" s="499">
        <f t="shared" ref="BJ23:BM23" si="195">BI23</f>
        <v>0</v>
      </c>
      <c r="BK23" s="499">
        <f t="shared" si="195"/>
        <v>0</v>
      </c>
      <c r="BL23" s="499">
        <f t="shared" si="195"/>
        <v>0</v>
      </c>
      <c r="BM23" s="499">
        <f t="shared" si="195"/>
        <v>0</v>
      </c>
      <c r="BN23" s="499">
        <f t="shared" si="147"/>
        <v>0</v>
      </c>
      <c r="BO23" s="499">
        <f t="shared" si="148"/>
        <v>0</v>
      </c>
      <c r="BP23" s="721">
        <f t="shared" si="8"/>
        <v>150</v>
      </c>
      <c r="BQ23" s="499">
        <f t="shared" si="95"/>
        <v>150</v>
      </c>
      <c r="BR23" s="499">
        <f t="shared" si="149"/>
        <v>150</v>
      </c>
      <c r="BS23" s="499">
        <f t="shared" si="150"/>
        <v>150</v>
      </c>
      <c r="BT23" s="499">
        <f t="shared" si="151"/>
        <v>150</v>
      </c>
      <c r="BU23" s="499">
        <f t="shared" si="152"/>
        <v>150</v>
      </c>
      <c r="BV23" s="499">
        <f t="shared" si="153"/>
        <v>150</v>
      </c>
      <c r="BW23" s="774">
        <f t="shared" ref="BW23:CC60" si="196">$Q23</f>
        <v>0</v>
      </c>
      <c r="BX23" s="503">
        <f t="shared" si="196"/>
        <v>0</v>
      </c>
      <c r="BY23" s="503">
        <f t="shared" si="196"/>
        <v>0</v>
      </c>
      <c r="BZ23" s="503">
        <f t="shared" si="196"/>
        <v>0</v>
      </c>
      <c r="CA23" s="503">
        <f t="shared" si="196"/>
        <v>0</v>
      </c>
      <c r="CB23" s="503">
        <f t="shared" si="196"/>
        <v>0</v>
      </c>
      <c r="CC23" s="503">
        <f t="shared" si="196"/>
        <v>0</v>
      </c>
      <c r="CD23" s="722">
        <f t="shared" si="13"/>
        <v>4489.5</v>
      </c>
      <c r="CE23" s="511">
        <f t="shared" ref="CE23:CH23" si="197">CD23</f>
        <v>4489.5</v>
      </c>
      <c r="CF23" s="511">
        <f t="shared" si="197"/>
        <v>4489.5</v>
      </c>
      <c r="CG23" s="511">
        <f t="shared" si="197"/>
        <v>4489.5</v>
      </c>
      <c r="CH23" s="511">
        <f t="shared" si="197"/>
        <v>4489.5</v>
      </c>
      <c r="CI23" s="511">
        <f t="shared" si="103"/>
        <v>4489.5</v>
      </c>
      <c r="CJ23" s="511">
        <f t="shared" si="104"/>
        <v>4489.5</v>
      </c>
      <c r="CK23" s="722">
        <f t="shared" si="15"/>
        <v>1.5049999999999999</v>
      </c>
      <c r="CL23" s="511">
        <f t="shared" ref="CL23:CO23" si="198">CK23</f>
        <v>1.5049999999999999</v>
      </c>
      <c r="CM23" s="511">
        <f t="shared" si="198"/>
        <v>1.5049999999999999</v>
      </c>
      <c r="CN23" s="511">
        <f t="shared" si="198"/>
        <v>1.5049999999999999</v>
      </c>
      <c r="CO23" s="511">
        <f t="shared" si="198"/>
        <v>1.5049999999999999</v>
      </c>
      <c r="CP23" s="511">
        <f t="shared" si="106"/>
        <v>1.5049999999999999</v>
      </c>
      <c r="CQ23" s="511">
        <f t="shared" si="107"/>
        <v>1.5049999999999999</v>
      </c>
      <c r="CR23" s="722">
        <f t="shared" si="17"/>
        <v>0</v>
      </c>
      <c r="CS23" s="511">
        <f t="shared" ref="CS23:CV23" si="199">CR23</f>
        <v>0</v>
      </c>
      <c r="CT23" s="511">
        <f t="shared" si="199"/>
        <v>0</v>
      </c>
      <c r="CU23" s="511">
        <f t="shared" si="199"/>
        <v>0</v>
      </c>
      <c r="CV23" s="511">
        <f t="shared" si="199"/>
        <v>0</v>
      </c>
      <c r="CW23" s="511">
        <f t="shared" si="109"/>
        <v>0</v>
      </c>
      <c r="CX23" s="539">
        <f t="shared" si="110"/>
        <v>0</v>
      </c>
      <c r="CY23" s="724">
        <f t="shared" si="19"/>
        <v>6920.4229106904631</v>
      </c>
      <c r="CZ23" s="508">
        <f t="shared" si="20"/>
        <v>6920.4229106904631</v>
      </c>
      <c r="DA23" s="508">
        <f t="shared" si="21"/>
        <v>6920.4229106904631</v>
      </c>
      <c r="DB23" s="508">
        <f t="shared" si="22"/>
        <v>6920.4229106904631</v>
      </c>
      <c r="DC23" s="508">
        <f t="shared" si="23"/>
        <v>6920.4229106904631</v>
      </c>
      <c r="DD23" s="508">
        <f t="shared" si="24"/>
        <v>6920.4229106904631</v>
      </c>
      <c r="DE23" s="726">
        <f t="shared" si="25"/>
        <v>6920.4229106904631</v>
      </c>
      <c r="DF23" s="724">
        <f t="shared" si="26"/>
        <v>0</v>
      </c>
      <c r="DG23" s="509">
        <f t="shared" si="27"/>
        <v>0</v>
      </c>
      <c r="DH23" s="509">
        <f t="shared" si="28"/>
        <v>0</v>
      </c>
      <c r="DI23" s="509">
        <f t="shared" si="29"/>
        <v>0</v>
      </c>
      <c r="DJ23" s="509">
        <f t="shared" si="30"/>
        <v>0</v>
      </c>
      <c r="DK23" s="509">
        <f t="shared" si="31"/>
        <v>0</v>
      </c>
      <c r="DL23" s="451">
        <f t="shared" si="32"/>
        <v>0</v>
      </c>
      <c r="DM23" s="509">
        <f t="shared" si="33"/>
        <v>910.71428571428567</v>
      </c>
      <c r="DN23" s="509">
        <f t="shared" si="34"/>
        <v>910.71428571428567</v>
      </c>
      <c r="DO23" s="509">
        <f t="shared" si="35"/>
        <v>910.71428571428567</v>
      </c>
      <c r="DP23" s="509">
        <f t="shared" si="36"/>
        <v>910.71428571428567</v>
      </c>
      <c r="DQ23" s="509">
        <f t="shared" si="37"/>
        <v>910.71428571428567</v>
      </c>
      <c r="DR23" s="509">
        <f t="shared" si="38"/>
        <v>910.71428571428567</v>
      </c>
      <c r="DS23" s="450">
        <f t="shared" si="39"/>
        <v>910.71428571428567</v>
      </c>
      <c r="DT23" s="724">
        <f t="shared" si="40"/>
        <v>0</v>
      </c>
      <c r="DU23" s="508">
        <f t="shared" si="41"/>
        <v>0</v>
      </c>
      <c r="DV23" s="508">
        <f t="shared" si="42"/>
        <v>0</v>
      </c>
      <c r="DW23" s="508">
        <f t="shared" si="43"/>
        <v>0</v>
      </c>
      <c r="DX23" s="508">
        <f t="shared" si="44"/>
        <v>0</v>
      </c>
      <c r="DY23" s="508">
        <f t="shared" si="45"/>
        <v>0</v>
      </c>
      <c r="DZ23" s="726">
        <f t="shared" si="46"/>
        <v>0</v>
      </c>
      <c r="EA23" s="722">
        <f t="shared" si="47"/>
        <v>27257.678571428569</v>
      </c>
      <c r="EB23" s="511">
        <f t="shared" si="48"/>
        <v>27257.678571428569</v>
      </c>
      <c r="EC23" s="511">
        <f t="shared" si="49"/>
        <v>27257.678571428569</v>
      </c>
      <c r="ED23" s="511">
        <f t="shared" si="50"/>
        <v>27257.678571428569</v>
      </c>
      <c r="EE23" s="511">
        <f t="shared" si="51"/>
        <v>27257.678571428569</v>
      </c>
      <c r="EF23" s="511">
        <f t="shared" si="52"/>
        <v>27257.678571428569</v>
      </c>
      <c r="EG23" s="723">
        <f t="shared" si="53"/>
        <v>27257.678571428569</v>
      </c>
      <c r="EH23" s="397">
        <f t="shared" si="111"/>
        <v>9.1374999999999993</v>
      </c>
      <c r="EI23" s="397">
        <f t="shared" si="54"/>
        <v>9.1374999999999993</v>
      </c>
      <c r="EJ23" s="397">
        <f t="shared" si="55"/>
        <v>9.1374999999999993</v>
      </c>
      <c r="EK23" s="397">
        <f t="shared" si="56"/>
        <v>9.1374999999999993</v>
      </c>
      <c r="EL23" s="397">
        <f t="shared" si="57"/>
        <v>9.1374999999999993</v>
      </c>
      <c r="EM23" s="397">
        <f t="shared" si="58"/>
        <v>9.1374999999999993</v>
      </c>
      <c r="EN23" s="398">
        <f t="shared" si="59"/>
        <v>9.1374999999999993</v>
      </c>
      <c r="EO23" s="722">
        <f t="shared" si="60"/>
        <v>0</v>
      </c>
      <c r="EP23" s="511">
        <f t="shared" si="61"/>
        <v>0</v>
      </c>
      <c r="EQ23" s="511">
        <f t="shared" si="62"/>
        <v>0</v>
      </c>
      <c r="ER23" s="511">
        <f t="shared" si="63"/>
        <v>0</v>
      </c>
      <c r="ES23" s="511">
        <f t="shared" si="64"/>
        <v>0</v>
      </c>
      <c r="ET23" s="511">
        <f t="shared" si="65"/>
        <v>0</v>
      </c>
      <c r="EU23" s="723">
        <f t="shared" si="66"/>
        <v>0</v>
      </c>
      <c r="EV23" s="727">
        <f t="shared" si="67"/>
        <v>18.214285714285715</v>
      </c>
      <c r="EW23" s="728">
        <f t="shared" si="68"/>
        <v>48442.960374833237</v>
      </c>
      <c r="EX23" s="728">
        <f t="shared" si="69"/>
        <v>0</v>
      </c>
      <c r="EY23" s="728">
        <f t="shared" si="70"/>
        <v>6374.9999999999991</v>
      </c>
      <c r="EZ23" s="728">
        <f t="shared" si="71"/>
        <v>0</v>
      </c>
      <c r="FA23" s="777">
        <f t="shared" si="72"/>
        <v>190803.75</v>
      </c>
      <c r="FB23" s="777">
        <f t="shared" si="73"/>
        <v>63.962500000000006</v>
      </c>
      <c r="FC23" s="778">
        <f t="shared" si="74"/>
        <v>0</v>
      </c>
      <c r="FE23" s="10" t="b">
        <f t="shared" si="112"/>
        <v>1</v>
      </c>
      <c r="FF23" s="10" t="b">
        <f t="shared" si="75"/>
        <v>1</v>
      </c>
      <c r="FG23" s="10" t="b">
        <f t="shared" si="76"/>
        <v>1</v>
      </c>
      <c r="FH23" s="10" t="b">
        <f t="shared" si="77"/>
        <v>1</v>
      </c>
      <c r="FI23" s="10" t="b">
        <f t="shared" si="78"/>
        <v>1</v>
      </c>
      <c r="FJ23" s="10" t="b">
        <f t="shared" si="79"/>
        <v>1</v>
      </c>
      <c r="FK23" s="10" t="b">
        <f t="shared" si="80"/>
        <v>1</v>
      </c>
      <c r="FL23" s="10" t="b">
        <f t="shared" si="81"/>
        <v>1</v>
      </c>
    </row>
    <row r="24" spans="1:168">
      <c r="A24" s="662">
        <v>19</v>
      </c>
      <c r="B24" s="789" t="s">
        <v>1245</v>
      </c>
      <c r="C24" s="789" t="s">
        <v>1243</v>
      </c>
      <c r="D24" s="789" t="s">
        <v>1235</v>
      </c>
      <c r="E24" s="789" t="s">
        <v>1236</v>
      </c>
      <c r="F24" s="789" t="s">
        <v>1236</v>
      </c>
      <c r="G24" s="704" t="s">
        <v>402</v>
      </c>
      <c r="H24" s="704">
        <f>509.63*(30)^0.2687</f>
        <v>1271.0348735283292</v>
      </c>
      <c r="I24" s="704">
        <v>0</v>
      </c>
      <c r="J24" s="704">
        <f t="shared" si="186"/>
        <v>1271.0348735283292</v>
      </c>
      <c r="K24" s="704">
        <v>0</v>
      </c>
      <c r="L24" s="704">
        <f t="shared" si="119"/>
        <v>635.51743676416459</v>
      </c>
      <c r="M24" s="1023" t="s">
        <v>1241</v>
      </c>
      <c r="N24" s="1024">
        <v>200</v>
      </c>
      <c r="O24" s="1024">
        <v>200</v>
      </c>
      <c r="P24" s="707">
        <v>0</v>
      </c>
      <c r="Q24" s="707">
        <v>0</v>
      </c>
      <c r="R24" s="1021">
        <f>30*($R$23/20)</f>
        <v>6734.25</v>
      </c>
      <c r="S24" s="872">
        <f>30*($S$23/20)</f>
        <v>2.2574999999999998</v>
      </c>
      <c r="T24" s="1022">
        <v>0</v>
      </c>
      <c r="U24" s="1029" t="s">
        <v>1238</v>
      </c>
      <c r="V24" s="716">
        <v>0</v>
      </c>
      <c r="W24" s="711">
        <v>1</v>
      </c>
      <c r="X24" s="781">
        <v>2</v>
      </c>
      <c r="Y24" s="781">
        <v>5</v>
      </c>
      <c r="Z24" s="781">
        <v>3</v>
      </c>
      <c r="AA24" s="781">
        <v>0</v>
      </c>
      <c r="AB24" s="1027">
        <f t="shared" si="113"/>
        <v>1.5</v>
      </c>
      <c r="AC24" s="1030">
        <f t="shared" si="177"/>
        <v>1.5</v>
      </c>
      <c r="AD24" s="1030">
        <f t="shared" si="177"/>
        <v>1.5</v>
      </c>
      <c r="AE24" s="1030">
        <f t="shared" si="177"/>
        <v>1.5</v>
      </c>
      <c r="AF24" s="1030">
        <f t="shared" si="177"/>
        <v>1.5</v>
      </c>
      <c r="AG24" s="1030">
        <f t="shared" si="177"/>
        <v>1.5</v>
      </c>
      <c r="AH24" s="1030">
        <f t="shared" si="177"/>
        <v>1.5</v>
      </c>
      <c r="AI24" s="1030">
        <f t="shared" si="177"/>
        <v>1.5</v>
      </c>
      <c r="AJ24" s="1030">
        <f t="shared" si="177"/>
        <v>1.5</v>
      </c>
      <c r="AK24" s="715" t="s">
        <v>384</v>
      </c>
      <c r="AL24" s="711" t="s">
        <v>742</v>
      </c>
      <c r="AM24" s="715" t="s">
        <v>1186</v>
      </c>
      <c r="AN24" s="715" t="s">
        <v>1232</v>
      </c>
      <c r="AO24" s="711" t="s">
        <v>1</v>
      </c>
      <c r="AP24" s="715"/>
      <c r="AQ24" s="715"/>
      <c r="AR24" s="715"/>
      <c r="AS24" s="715" t="s">
        <v>1207</v>
      </c>
      <c r="AT24" s="715" t="s">
        <v>745</v>
      </c>
      <c r="AU24" s="715" t="s">
        <v>746</v>
      </c>
      <c r="AV24" s="715">
        <v>20</v>
      </c>
      <c r="AW24" s="715">
        <v>20</v>
      </c>
      <c r="AX24" s="715" t="s">
        <v>2713</v>
      </c>
      <c r="AY24" s="716">
        <v>1</v>
      </c>
      <c r="AZ24" s="716">
        <v>1</v>
      </c>
      <c r="BA24" s="717">
        <v>0</v>
      </c>
      <c r="BB24" s="721">
        <f t="shared" si="139"/>
        <v>1271.0348735283292</v>
      </c>
      <c r="BC24" s="499">
        <f t="shared" si="140"/>
        <v>1271.0348735283292</v>
      </c>
      <c r="BD24" s="499">
        <f t="shared" si="141"/>
        <v>1271.0348735283292</v>
      </c>
      <c r="BE24" s="499">
        <f t="shared" si="142"/>
        <v>1271.0348735283292</v>
      </c>
      <c r="BF24" s="499">
        <f t="shared" si="143"/>
        <v>1271.0348735283292</v>
      </c>
      <c r="BG24" s="499">
        <f t="shared" si="144"/>
        <v>1271.0348735283292</v>
      </c>
      <c r="BH24" s="499">
        <f t="shared" si="145"/>
        <v>1271.0348735283292</v>
      </c>
      <c r="BI24" s="721">
        <f t="shared" si="6"/>
        <v>0</v>
      </c>
      <c r="BJ24" s="499">
        <f t="shared" ref="BJ24:BM24" si="200">BI24</f>
        <v>0</v>
      </c>
      <c r="BK24" s="499">
        <f t="shared" si="200"/>
        <v>0</v>
      </c>
      <c r="BL24" s="499">
        <f t="shared" si="200"/>
        <v>0</v>
      </c>
      <c r="BM24" s="499">
        <f t="shared" si="200"/>
        <v>0</v>
      </c>
      <c r="BN24" s="499">
        <f t="shared" si="147"/>
        <v>0</v>
      </c>
      <c r="BO24" s="499">
        <f t="shared" si="148"/>
        <v>0</v>
      </c>
      <c r="BP24" s="721">
        <f t="shared" si="8"/>
        <v>200</v>
      </c>
      <c r="BQ24" s="499">
        <f t="shared" si="95"/>
        <v>200</v>
      </c>
      <c r="BR24" s="499">
        <f t="shared" si="149"/>
        <v>200</v>
      </c>
      <c r="BS24" s="499">
        <f t="shared" si="150"/>
        <v>200</v>
      </c>
      <c r="BT24" s="499">
        <f t="shared" si="151"/>
        <v>200</v>
      </c>
      <c r="BU24" s="499">
        <f t="shared" si="152"/>
        <v>200</v>
      </c>
      <c r="BV24" s="499">
        <f t="shared" si="153"/>
        <v>200</v>
      </c>
      <c r="BW24" s="774">
        <f t="shared" si="196"/>
        <v>0</v>
      </c>
      <c r="BX24" s="503">
        <f t="shared" si="196"/>
        <v>0</v>
      </c>
      <c r="BY24" s="503">
        <f t="shared" si="196"/>
        <v>0</v>
      </c>
      <c r="BZ24" s="503">
        <f t="shared" si="196"/>
        <v>0</v>
      </c>
      <c r="CA24" s="503">
        <f t="shared" si="196"/>
        <v>0</v>
      </c>
      <c r="CB24" s="503">
        <f t="shared" si="196"/>
        <v>0</v>
      </c>
      <c r="CC24" s="503">
        <f t="shared" si="196"/>
        <v>0</v>
      </c>
      <c r="CD24" s="722">
        <f t="shared" si="13"/>
        <v>6734.25</v>
      </c>
      <c r="CE24" s="511">
        <f t="shared" ref="CE24:CH24" si="201">CD24</f>
        <v>6734.25</v>
      </c>
      <c r="CF24" s="511">
        <f t="shared" si="201"/>
        <v>6734.25</v>
      </c>
      <c r="CG24" s="511">
        <f t="shared" si="201"/>
        <v>6734.25</v>
      </c>
      <c r="CH24" s="511">
        <f t="shared" si="201"/>
        <v>6734.25</v>
      </c>
      <c r="CI24" s="511">
        <f t="shared" si="103"/>
        <v>6734.25</v>
      </c>
      <c r="CJ24" s="511">
        <f t="shared" si="104"/>
        <v>6734.25</v>
      </c>
      <c r="CK24" s="722">
        <f t="shared" si="15"/>
        <v>2.2574999999999998</v>
      </c>
      <c r="CL24" s="511">
        <f t="shared" ref="CL24:CO24" si="202">CK24</f>
        <v>2.2574999999999998</v>
      </c>
      <c r="CM24" s="511">
        <f t="shared" si="202"/>
        <v>2.2574999999999998</v>
      </c>
      <c r="CN24" s="511">
        <f t="shared" si="202"/>
        <v>2.2574999999999998</v>
      </c>
      <c r="CO24" s="511">
        <f t="shared" si="202"/>
        <v>2.2574999999999998</v>
      </c>
      <c r="CP24" s="511">
        <f t="shared" si="106"/>
        <v>2.2574999999999998</v>
      </c>
      <c r="CQ24" s="511">
        <f t="shared" si="107"/>
        <v>2.2574999999999998</v>
      </c>
      <c r="CR24" s="722">
        <f t="shared" si="17"/>
        <v>0</v>
      </c>
      <c r="CS24" s="511">
        <f t="shared" ref="CS24:CV24" si="203">CR24</f>
        <v>0</v>
      </c>
      <c r="CT24" s="511">
        <f t="shared" si="203"/>
        <v>0</v>
      </c>
      <c r="CU24" s="511">
        <f t="shared" si="203"/>
        <v>0</v>
      </c>
      <c r="CV24" s="511">
        <f t="shared" si="203"/>
        <v>0</v>
      </c>
      <c r="CW24" s="511">
        <f t="shared" si="109"/>
        <v>0</v>
      </c>
      <c r="CX24" s="539">
        <f t="shared" si="110"/>
        <v>0</v>
      </c>
      <c r="CY24" s="724">
        <f t="shared" si="19"/>
        <v>1906.5523102924938</v>
      </c>
      <c r="CZ24" s="508">
        <f t="shared" si="20"/>
        <v>1906.5523102924938</v>
      </c>
      <c r="DA24" s="508">
        <f t="shared" si="21"/>
        <v>1906.5523102924938</v>
      </c>
      <c r="DB24" s="508">
        <f t="shared" si="22"/>
        <v>1906.5523102924938</v>
      </c>
      <c r="DC24" s="508">
        <f t="shared" si="23"/>
        <v>1906.5523102924938</v>
      </c>
      <c r="DD24" s="508">
        <f t="shared" si="24"/>
        <v>1906.5523102924938</v>
      </c>
      <c r="DE24" s="726">
        <f t="shared" si="25"/>
        <v>1906.5523102924938</v>
      </c>
      <c r="DF24" s="724">
        <f t="shared" si="26"/>
        <v>0</v>
      </c>
      <c r="DG24" s="509">
        <f t="shared" si="27"/>
        <v>0</v>
      </c>
      <c r="DH24" s="509">
        <f t="shared" si="28"/>
        <v>0</v>
      </c>
      <c r="DI24" s="509">
        <f t="shared" si="29"/>
        <v>0</v>
      </c>
      <c r="DJ24" s="509">
        <f t="shared" si="30"/>
        <v>0</v>
      </c>
      <c r="DK24" s="509">
        <f t="shared" si="31"/>
        <v>0</v>
      </c>
      <c r="DL24" s="451">
        <f t="shared" si="32"/>
        <v>0</v>
      </c>
      <c r="DM24" s="509">
        <f t="shared" si="33"/>
        <v>300</v>
      </c>
      <c r="DN24" s="509">
        <f t="shared" si="34"/>
        <v>300</v>
      </c>
      <c r="DO24" s="509">
        <f t="shared" si="35"/>
        <v>300</v>
      </c>
      <c r="DP24" s="509">
        <f t="shared" si="36"/>
        <v>300</v>
      </c>
      <c r="DQ24" s="509">
        <f t="shared" si="37"/>
        <v>300</v>
      </c>
      <c r="DR24" s="509">
        <f t="shared" si="38"/>
        <v>300</v>
      </c>
      <c r="DS24" s="450">
        <f t="shared" si="39"/>
        <v>300</v>
      </c>
      <c r="DT24" s="724">
        <f t="shared" si="40"/>
        <v>0</v>
      </c>
      <c r="DU24" s="508">
        <f t="shared" si="41"/>
        <v>0</v>
      </c>
      <c r="DV24" s="508">
        <f t="shared" si="42"/>
        <v>0</v>
      </c>
      <c r="DW24" s="508">
        <f t="shared" si="43"/>
        <v>0</v>
      </c>
      <c r="DX24" s="508">
        <f t="shared" si="44"/>
        <v>0</v>
      </c>
      <c r="DY24" s="508">
        <f t="shared" si="45"/>
        <v>0</v>
      </c>
      <c r="DZ24" s="726">
        <f t="shared" si="46"/>
        <v>0</v>
      </c>
      <c r="EA24" s="722">
        <f t="shared" si="47"/>
        <v>10101.375</v>
      </c>
      <c r="EB24" s="511">
        <f t="shared" si="48"/>
        <v>10101.375</v>
      </c>
      <c r="EC24" s="511">
        <f t="shared" si="49"/>
        <v>10101.375</v>
      </c>
      <c r="ED24" s="511">
        <f t="shared" si="50"/>
        <v>10101.375</v>
      </c>
      <c r="EE24" s="511">
        <f t="shared" si="51"/>
        <v>10101.375</v>
      </c>
      <c r="EF24" s="511">
        <f t="shared" si="52"/>
        <v>10101.375</v>
      </c>
      <c r="EG24" s="723">
        <f t="shared" si="53"/>
        <v>10101.375</v>
      </c>
      <c r="EH24" s="397">
        <f t="shared" si="111"/>
        <v>3.3862499999999995</v>
      </c>
      <c r="EI24" s="397">
        <f t="shared" si="54"/>
        <v>3.3862499999999995</v>
      </c>
      <c r="EJ24" s="397">
        <f t="shared" si="55"/>
        <v>3.3862499999999995</v>
      </c>
      <c r="EK24" s="397">
        <f t="shared" si="56"/>
        <v>3.3862499999999995</v>
      </c>
      <c r="EL24" s="397">
        <f t="shared" si="57"/>
        <v>3.3862499999999995</v>
      </c>
      <c r="EM24" s="397">
        <f t="shared" si="58"/>
        <v>3.3862499999999995</v>
      </c>
      <c r="EN24" s="398">
        <f t="shared" si="59"/>
        <v>3.3862499999999995</v>
      </c>
      <c r="EO24" s="722">
        <f t="shared" si="60"/>
        <v>0</v>
      </c>
      <c r="EP24" s="511">
        <f t="shared" si="61"/>
        <v>0</v>
      </c>
      <c r="EQ24" s="511">
        <f t="shared" si="62"/>
        <v>0</v>
      </c>
      <c r="ER24" s="511">
        <f t="shared" si="63"/>
        <v>0</v>
      </c>
      <c r="ES24" s="511">
        <f t="shared" si="64"/>
        <v>0</v>
      </c>
      <c r="ET24" s="511">
        <f t="shared" si="65"/>
        <v>0</v>
      </c>
      <c r="EU24" s="723">
        <f t="shared" si="66"/>
        <v>0</v>
      </c>
      <c r="EV24" s="727">
        <f t="shared" si="67"/>
        <v>4.5</v>
      </c>
      <c r="EW24" s="728">
        <f t="shared" si="68"/>
        <v>13345.866172047457</v>
      </c>
      <c r="EX24" s="728">
        <f t="shared" si="69"/>
        <v>0</v>
      </c>
      <c r="EY24" s="728">
        <f t="shared" si="70"/>
        <v>2100</v>
      </c>
      <c r="EZ24" s="728">
        <f t="shared" si="71"/>
        <v>0</v>
      </c>
      <c r="FA24" s="777">
        <f t="shared" si="72"/>
        <v>70709.625</v>
      </c>
      <c r="FB24" s="777">
        <f t="shared" si="73"/>
        <v>23.703749999999999</v>
      </c>
      <c r="FC24" s="778">
        <f t="shared" si="74"/>
        <v>0</v>
      </c>
      <c r="FE24" s="10" t="b">
        <f t="shared" si="112"/>
        <v>1</v>
      </c>
      <c r="FF24" s="10" t="b">
        <f t="shared" si="75"/>
        <v>1</v>
      </c>
      <c r="FG24" s="10" t="b">
        <f t="shared" si="76"/>
        <v>1</v>
      </c>
      <c r="FH24" s="10" t="b">
        <f t="shared" si="77"/>
        <v>1</v>
      </c>
      <c r="FI24" s="10" t="b">
        <f t="shared" si="78"/>
        <v>1</v>
      </c>
      <c r="FJ24" s="10" t="b">
        <f t="shared" si="79"/>
        <v>1</v>
      </c>
      <c r="FK24" s="10" t="b">
        <f t="shared" si="80"/>
        <v>1</v>
      </c>
      <c r="FL24" s="10" t="b">
        <f t="shared" si="81"/>
        <v>1</v>
      </c>
    </row>
    <row r="25" spans="1:168">
      <c r="A25" s="662">
        <v>20</v>
      </c>
      <c r="B25" s="789" t="s">
        <v>1246</v>
      </c>
      <c r="C25" s="789" t="s">
        <v>1243</v>
      </c>
      <c r="D25" s="789" t="s">
        <v>1235</v>
      </c>
      <c r="E25" s="789" t="s">
        <v>1236</v>
      </c>
      <c r="F25" s="789" t="s">
        <v>1236</v>
      </c>
      <c r="G25" s="704" t="s">
        <v>402</v>
      </c>
      <c r="H25" s="704">
        <f>509.63*(40)^0.2687</f>
        <v>1373.1832744761564</v>
      </c>
      <c r="I25" s="704">
        <v>0</v>
      </c>
      <c r="J25" s="704">
        <f t="shared" si="186"/>
        <v>1373.1832744761564</v>
      </c>
      <c r="K25" s="704">
        <v>0</v>
      </c>
      <c r="L25" s="704">
        <f t="shared" si="119"/>
        <v>686.59163723807819</v>
      </c>
      <c r="M25" s="1023" t="s">
        <v>1241</v>
      </c>
      <c r="N25" s="1024">
        <v>250</v>
      </c>
      <c r="O25" s="1024">
        <v>250</v>
      </c>
      <c r="P25" s="707">
        <v>0</v>
      </c>
      <c r="Q25" s="707">
        <v>0</v>
      </c>
      <c r="R25" s="1021">
        <f>40*($R$23/20)</f>
        <v>8979</v>
      </c>
      <c r="S25" s="872">
        <f>40*($S$23/20)</f>
        <v>3.01</v>
      </c>
      <c r="T25" s="1022">
        <v>0</v>
      </c>
      <c r="U25" s="1029" t="s">
        <v>1238</v>
      </c>
      <c r="V25" s="716">
        <v>0</v>
      </c>
      <c r="W25" s="711">
        <v>1</v>
      </c>
      <c r="X25" s="781">
        <v>0</v>
      </c>
      <c r="Y25" s="781">
        <v>0</v>
      </c>
      <c r="Z25" s="781">
        <v>0</v>
      </c>
      <c r="AA25" s="781">
        <v>5.1428571428571423</v>
      </c>
      <c r="AB25" s="1027">
        <f t="shared" si="113"/>
        <v>2.5714285714285712</v>
      </c>
      <c r="AC25" s="1030">
        <f t="shared" si="177"/>
        <v>2.5714285714285712</v>
      </c>
      <c r="AD25" s="1030">
        <f t="shared" si="177"/>
        <v>2.5714285714285712</v>
      </c>
      <c r="AE25" s="1030">
        <f t="shared" si="177"/>
        <v>2.5714285714285712</v>
      </c>
      <c r="AF25" s="1030">
        <f t="shared" si="177"/>
        <v>2.5714285714285712</v>
      </c>
      <c r="AG25" s="1030">
        <f t="shared" si="177"/>
        <v>2.5714285714285712</v>
      </c>
      <c r="AH25" s="1030">
        <f t="shared" si="177"/>
        <v>2.5714285714285712</v>
      </c>
      <c r="AI25" s="1030">
        <f t="shared" si="177"/>
        <v>2.5714285714285712</v>
      </c>
      <c r="AJ25" s="1030">
        <f t="shared" si="177"/>
        <v>2.5714285714285712</v>
      </c>
      <c r="AK25" s="715" t="s">
        <v>384</v>
      </c>
      <c r="AL25" s="711" t="s">
        <v>742</v>
      </c>
      <c r="AM25" s="715" t="s">
        <v>1186</v>
      </c>
      <c r="AN25" s="715" t="s">
        <v>1232</v>
      </c>
      <c r="AO25" s="711" t="s">
        <v>1</v>
      </c>
      <c r="AP25" s="715"/>
      <c r="AQ25" s="715"/>
      <c r="AR25" s="715"/>
      <c r="AS25" s="715" t="s">
        <v>1207</v>
      </c>
      <c r="AT25" s="715" t="s">
        <v>745</v>
      </c>
      <c r="AU25" s="715" t="s">
        <v>746</v>
      </c>
      <c r="AV25" s="715">
        <v>20</v>
      </c>
      <c r="AW25" s="715">
        <v>20</v>
      </c>
      <c r="AX25" s="715" t="s">
        <v>2713</v>
      </c>
      <c r="AY25" s="716">
        <v>1</v>
      </c>
      <c r="AZ25" s="716">
        <v>1</v>
      </c>
      <c r="BA25" s="717">
        <v>0</v>
      </c>
      <c r="BB25" s="721">
        <f t="shared" si="139"/>
        <v>1373.1832744761564</v>
      </c>
      <c r="BC25" s="499">
        <f t="shared" si="140"/>
        <v>1373.1832744761564</v>
      </c>
      <c r="BD25" s="499">
        <f t="shared" si="141"/>
        <v>1373.1832744761564</v>
      </c>
      <c r="BE25" s="499">
        <f t="shared" si="142"/>
        <v>1373.1832744761564</v>
      </c>
      <c r="BF25" s="499">
        <f t="shared" si="143"/>
        <v>1373.1832744761564</v>
      </c>
      <c r="BG25" s="499">
        <f t="shared" si="144"/>
        <v>1373.1832744761564</v>
      </c>
      <c r="BH25" s="499">
        <f t="shared" si="145"/>
        <v>1373.1832744761564</v>
      </c>
      <c r="BI25" s="721">
        <f t="shared" si="6"/>
        <v>0</v>
      </c>
      <c r="BJ25" s="499">
        <f t="shared" ref="BJ25:BM25" si="204">BI25</f>
        <v>0</v>
      </c>
      <c r="BK25" s="499">
        <f t="shared" si="204"/>
        <v>0</v>
      </c>
      <c r="BL25" s="499">
        <f t="shared" si="204"/>
        <v>0</v>
      </c>
      <c r="BM25" s="499">
        <f t="shared" si="204"/>
        <v>0</v>
      </c>
      <c r="BN25" s="499">
        <f t="shared" si="147"/>
        <v>0</v>
      </c>
      <c r="BO25" s="499">
        <f t="shared" si="148"/>
        <v>0</v>
      </c>
      <c r="BP25" s="721">
        <f t="shared" si="8"/>
        <v>250</v>
      </c>
      <c r="BQ25" s="499">
        <f t="shared" si="95"/>
        <v>250</v>
      </c>
      <c r="BR25" s="499">
        <f t="shared" si="149"/>
        <v>250</v>
      </c>
      <c r="BS25" s="499">
        <f t="shared" si="150"/>
        <v>250</v>
      </c>
      <c r="BT25" s="499">
        <f t="shared" si="151"/>
        <v>250</v>
      </c>
      <c r="BU25" s="499">
        <f t="shared" si="152"/>
        <v>250</v>
      </c>
      <c r="BV25" s="499">
        <f t="shared" si="153"/>
        <v>250</v>
      </c>
      <c r="BW25" s="774">
        <f t="shared" si="196"/>
        <v>0</v>
      </c>
      <c r="BX25" s="503">
        <f t="shared" si="196"/>
        <v>0</v>
      </c>
      <c r="BY25" s="503">
        <f t="shared" si="196"/>
        <v>0</v>
      </c>
      <c r="BZ25" s="503">
        <f t="shared" si="196"/>
        <v>0</v>
      </c>
      <c r="CA25" s="503">
        <f t="shared" si="196"/>
        <v>0</v>
      </c>
      <c r="CB25" s="503">
        <f t="shared" si="196"/>
        <v>0</v>
      </c>
      <c r="CC25" s="503">
        <f t="shared" si="196"/>
        <v>0</v>
      </c>
      <c r="CD25" s="722">
        <f t="shared" si="13"/>
        <v>8979</v>
      </c>
      <c r="CE25" s="511">
        <f t="shared" ref="CE25:CH25" si="205">CD25</f>
        <v>8979</v>
      </c>
      <c r="CF25" s="511">
        <f t="shared" si="205"/>
        <v>8979</v>
      </c>
      <c r="CG25" s="511">
        <f t="shared" si="205"/>
        <v>8979</v>
      </c>
      <c r="CH25" s="511">
        <f t="shared" si="205"/>
        <v>8979</v>
      </c>
      <c r="CI25" s="511">
        <f t="shared" si="103"/>
        <v>8979</v>
      </c>
      <c r="CJ25" s="511">
        <f t="shared" si="104"/>
        <v>8979</v>
      </c>
      <c r="CK25" s="722">
        <f t="shared" si="15"/>
        <v>3.01</v>
      </c>
      <c r="CL25" s="511">
        <f t="shared" ref="CL25:CO25" si="206">CK25</f>
        <v>3.01</v>
      </c>
      <c r="CM25" s="511">
        <f t="shared" si="206"/>
        <v>3.01</v>
      </c>
      <c r="CN25" s="511">
        <f t="shared" si="206"/>
        <v>3.01</v>
      </c>
      <c r="CO25" s="511">
        <f t="shared" si="206"/>
        <v>3.01</v>
      </c>
      <c r="CP25" s="511">
        <f t="shared" si="106"/>
        <v>3.01</v>
      </c>
      <c r="CQ25" s="511">
        <f t="shared" si="107"/>
        <v>3.01</v>
      </c>
      <c r="CR25" s="722">
        <f t="shared" si="17"/>
        <v>0</v>
      </c>
      <c r="CS25" s="511">
        <f t="shared" ref="CS25:CV25" si="207">CR25</f>
        <v>0</v>
      </c>
      <c r="CT25" s="511">
        <f t="shared" si="207"/>
        <v>0</v>
      </c>
      <c r="CU25" s="511">
        <f t="shared" si="207"/>
        <v>0</v>
      </c>
      <c r="CV25" s="511">
        <f t="shared" si="207"/>
        <v>0</v>
      </c>
      <c r="CW25" s="511">
        <f t="shared" si="109"/>
        <v>0</v>
      </c>
      <c r="CX25" s="539">
        <f t="shared" si="110"/>
        <v>0</v>
      </c>
      <c r="CY25" s="724">
        <f t="shared" si="19"/>
        <v>3531.0427057958304</v>
      </c>
      <c r="CZ25" s="508">
        <f t="shared" si="20"/>
        <v>3531.0427057958304</v>
      </c>
      <c r="DA25" s="508">
        <f t="shared" si="21"/>
        <v>3531.0427057958304</v>
      </c>
      <c r="DB25" s="508">
        <f t="shared" si="22"/>
        <v>3531.0427057958304</v>
      </c>
      <c r="DC25" s="508">
        <f t="shared" si="23"/>
        <v>3531.0427057958304</v>
      </c>
      <c r="DD25" s="508">
        <f t="shared" si="24"/>
        <v>3531.0427057958304</v>
      </c>
      <c r="DE25" s="726">
        <f t="shared" si="25"/>
        <v>3531.0427057958304</v>
      </c>
      <c r="DF25" s="724">
        <f t="shared" si="26"/>
        <v>0</v>
      </c>
      <c r="DG25" s="509">
        <f t="shared" si="27"/>
        <v>0</v>
      </c>
      <c r="DH25" s="509">
        <f t="shared" si="28"/>
        <v>0</v>
      </c>
      <c r="DI25" s="509">
        <f t="shared" si="29"/>
        <v>0</v>
      </c>
      <c r="DJ25" s="509">
        <f t="shared" si="30"/>
        <v>0</v>
      </c>
      <c r="DK25" s="509">
        <f t="shared" si="31"/>
        <v>0</v>
      </c>
      <c r="DL25" s="451">
        <f t="shared" si="32"/>
        <v>0</v>
      </c>
      <c r="DM25" s="509">
        <f t="shared" si="33"/>
        <v>642.85714285714278</v>
      </c>
      <c r="DN25" s="509">
        <f t="shared" si="34"/>
        <v>642.85714285714278</v>
      </c>
      <c r="DO25" s="509">
        <f t="shared" si="35"/>
        <v>642.85714285714278</v>
      </c>
      <c r="DP25" s="509">
        <f t="shared" si="36"/>
        <v>642.85714285714278</v>
      </c>
      <c r="DQ25" s="509">
        <f t="shared" si="37"/>
        <v>642.85714285714278</v>
      </c>
      <c r="DR25" s="509">
        <f t="shared" si="38"/>
        <v>642.85714285714278</v>
      </c>
      <c r="DS25" s="450">
        <f t="shared" si="39"/>
        <v>642.85714285714278</v>
      </c>
      <c r="DT25" s="724">
        <f t="shared" si="40"/>
        <v>0</v>
      </c>
      <c r="DU25" s="508">
        <f t="shared" si="41"/>
        <v>0</v>
      </c>
      <c r="DV25" s="508">
        <f t="shared" si="42"/>
        <v>0</v>
      </c>
      <c r="DW25" s="508">
        <f t="shared" si="43"/>
        <v>0</v>
      </c>
      <c r="DX25" s="508">
        <f t="shared" si="44"/>
        <v>0</v>
      </c>
      <c r="DY25" s="508">
        <f t="shared" si="45"/>
        <v>0</v>
      </c>
      <c r="DZ25" s="726">
        <f t="shared" si="46"/>
        <v>0</v>
      </c>
      <c r="EA25" s="722">
        <f t="shared" si="47"/>
        <v>23088.857142857141</v>
      </c>
      <c r="EB25" s="511">
        <f t="shared" si="48"/>
        <v>23088.857142857141</v>
      </c>
      <c r="EC25" s="511">
        <f t="shared" si="49"/>
        <v>23088.857142857141</v>
      </c>
      <c r="ED25" s="511">
        <f t="shared" si="50"/>
        <v>23088.857142857141</v>
      </c>
      <c r="EE25" s="511">
        <f t="shared" si="51"/>
        <v>23088.857142857141</v>
      </c>
      <c r="EF25" s="511">
        <f t="shared" si="52"/>
        <v>23088.857142857141</v>
      </c>
      <c r="EG25" s="723">
        <f t="shared" si="53"/>
        <v>23088.857142857141</v>
      </c>
      <c r="EH25" s="397">
        <f t="shared" si="111"/>
        <v>7.7399999999999984</v>
      </c>
      <c r="EI25" s="397">
        <f t="shared" si="54"/>
        <v>7.7399999999999984</v>
      </c>
      <c r="EJ25" s="397">
        <f t="shared" si="55"/>
        <v>7.7399999999999984</v>
      </c>
      <c r="EK25" s="397">
        <f t="shared" si="56"/>
        <v>7.7399999999999984</v>
      </c>
      <c r="EL25" s="397">
        <f t="shared" si="57"/>
        <v>7.7399999999999984</v>
      </c>
      <c r="EM25" s="397">
        <f t="shared" si="58"/>
        <v>7.7399999999999984</v>
      </c>
      <c r="EN25" s="398">
        <f t="shared" si="59"/>
        <v>7.7399999999999984</v>
      </c>
      <c r="EO25" s="722">
        <f t="shared" si="60"/>
        <v>0</v>
      </c>
      <c r="EP25" s="511">
        <f t="shared" si="61"/>
        <v>0</v>
      </c>
      <c r="EQ25" s="511">
        <f t="shared" si="62"/>
        <v>0</v>
      </c>
      <c r="ER25" s="511">
        <f t="shared" si="63"/>
        <v>0</v>
      </c>
      <c r="ES25" s="511">
        <f t="shared" si="64"/>
        <v>0</v>
      </c>
      <c r="ET25" s="511">
        <f t="shared" si="65"/>
        <v>0</v>
      </c>
      <c r="EU25" s="723">
        <f t="shared" si="66"/>
        <v>0</v>
      </c>
      <c r="EV25" s="727">
        <f t="shared" si="67"/>
        <v>7.7142857142857135</v>
      </c>
      <c r="EW25" s="728">
        <f t="shared" si="68"/>
        <v>24717.29894057081</v>
      </c>
      <c r="EX25" s="728">
        <f t="shared" si="69"/>
        <v>0</v>
      </c>
      <c r="EY25" s="728">
        <f t="shared" si="70"/>
        <v>4499.9999999999991</v>
      </c>
      <c r="EZ25" s="728">
        <f t="shared" si="71"/>
        <v>0</v>
      </c>
      <c r="FA25" s="777">
        <f t="shared" si="72"/>
        <v>161621.99999999997</v>
      </c>
      <c r="FB25" s="777">
        <f t="shared" si="73"/>
        <v>54.179999999999978</v>
      </c>
      <c r="FC25" s="778">
        <f t="shared" si="74"/>
        <v>0</v>
      </c>
      <c r="FE25" s="10" t="b">
        <f t="shared" si="112"/>
        <v>1</v>
      </c>
      <c r="FF25" s="10" t="b">
        <f t="shared" si="75"/>
        <v>1</v>
      </c>
      <c r="FG25" s="10" t="b">
        <f t="shared" si="76"/>
        <v>1</v>
      </c>
      <c r="FH25" s="10" t="b">
        <f t="shared" si="77"/>
        <v>1</v>
      </c>
      <c r="FI25" s="10" t="b">
        <f t="shared" si="78"/>
        <v>1</v>
      </c>
      <c r="FJ25" s="10" t="b">
        <f t="shared" si="79"/>
        <v>1</v>
      </c>
      <c r="FK25" s="10" t="b">
        <f t="shared" si="80"/>
        <v>1</v>
      </c>
      <c r="FL25" s="10" t="b">
        <f t="shared" si="81"/>
        <v>1</v>
      </c>
    </row>
    <row r="26" spans="1:168">
      <c r="A26" s="662">
        <v>21</v>
      </c>
      <c r="B26" s="789" t="s">
        <v>1247</v>
      </c>
      <c r="C26" s="789" t="s">
        <v>1243</v>
      </c>
      <c r="D26" s="789" t="s">
        <v>1235</v>
      </c>
      <c r="E26" s="789" t="s">
        <v>1236</v>
      </c>
      <c r="F26" s="789" t="s">
        <v>1236</v>
      </c>
      <c r="G26" s="704" t="s">
        <v>402</v>
      </c>
      <c r="H26" s="704">
        <f>509.63*(50)^0.2687</f>
        <v>1458.0359273368367</v>
      </c>
      <c r="I26" s="704">
        <v>0</v>
      </c>
      <c r="J26" s="704">
        <f t="shared" si="186"/>
        <v>1458.0359273368367</v>
      </c>
      <c r="K26" s="704">
        <v>0</v>
      </c>
      <c r="L26" s="704">
        <f t="shared" si="119"/>
        <v>729.01796366841836</v>
      </c>
      <c r="M26" s="1023" t="s">
        <v>1241</v>
      </c>
      <c r="N26" s="1024">
        <v>300</v>
      </c>
      <c r="O26" s="1024">
        <v>300</v>
      </c>
      <c r="P26" s="707">
        <v>0</v>
      </c>
      <c r="Q26" s="707">
        <v>0</v>
      </c>
      <c r="R26" s="1021">
        <f>50*($R$23/20)</f>
        <v>11223.75</v>
      </c>
      <c r="S26" s="872">
        <f>50*($S$23/20)</f>
        <v>3.7624999999999997</v>
      </c>
      <c r="T26" s="1022">
        <v>0</v>
      </c>
      <c r="U26" s="1029" t="s">
        <v>1238</v>
      </c>
      <c r="V26" s="716">
        <v>0</v>
      </c>
      <c r="W26" s="711">
        <v>1</v>
      </c>
      <c r="X26" s="781">
        <v>0</v>
      </c>
      <c r="Y26" s="781">
        <v>0</v>
      </c>
      <c r="Z26" s="781">
        <v>4</v>
      </c>
      <c r="AA26" s="781">
        <v>0</v>
      </c>
      <c r="AB26" s="1027">
        <f t="shared" si="113"/>
        <v>2</v>
      </c>
      <c r="AC26" s="1030">
        <f t="shared" si="177"/>
        <v>2</v>
      </c>
      <c r="AD26" s="1030">
        <f t="shared" si="177"/>
        <v>2</v>
      </c>
      <c r="AE26" s="1030">
        <f t="shared" si="177"/>
        <v>2</v>
      </c>
      <c r="AF26" s="1030">
        <f t="shared" si="177"/>
        <v>2</v>
      </c>
      <c r="AG26" s="1030">
        <f t="shared" si="177"/>
        <v>2</v>
      </c>
      <c r="AH26" s="1030">
        <f t="shared" si="177"/>
        <v>2</v>
      </c>
      <c r="AI26" s="1030">
        <f t="shared" si="177"/>
        <v>2</v>
      </c>
      <c r="AJ26" s="1030">
        <f t="shared" si="177"/>
        <v>2</v>
      </c>
      <c r="AK26" s="715" t="s">
        <v>384</v>
      </c>
      <c r="AL26" s="711" t="s">
        <v>742</v>
      </c>
      <c r="AM26" s="715" t="s">
        <v>1186</v>
      </c>
      <c r="AN26" s="715" t="s">
        <v>1232</v>
      </c>
      <c r="AO26" s="711" t="s">
        <v>1</v>
      </c>
      <c r="AP26" s="715"/>
      <c r="AQ26" s="715"/>
      <c r="AR26" s="715"/>
      <c r="AS26" s="715" t="s">
        <v>1207</v>
      </c>
      <c r="AT26" s="715" t="s">
        <v>745</v>
      </c>
      <c r="AU26" s="715" t="s">
        <v>746</v>
      </c>
      <c r="AV26" s="715">
        <v>20</v>
      </c>
      <c r="AW26" s="715">
        <v>20</v>
      </c>
      <c r="AX26" s="715" t="s">
        <v>2713</v>
      </c>
      <c r="AY26" s="716">
        <v>1</v>
      </c>
      <c r="AZ26" s="716">
        <v>1</v>
      </c>
      <c r="BA26" s="717">
        <v>0</v>
      </c>
      <c r="BB26" s="721">
        <f t="shared" si="139"/>
        <v>1458.0359273368367</v>
      </c>
      <c r="BC26" s="499">
        <f t="shared" si="140"/>
        <v>1458.0359273368367</v>
      </c>
      <c r="BD26" s="499">
        <f t="shared" si="141"/>
        <v>1458.0359273368367</v>
      </c>
      <c r="BE26" s="499">
        <f t="shared" si="142"/>
        <v>1458.0359273368367</v>
      </c>
      <c r="BF26" s="499">
        <f t="shared" si="143"/>
        <v>1458.0359273368367</v>
      </c>
      <c r="BG26" s="499">
        <f t="shared" si="144"/>
        <v>1458.0359273368367</v>
      </c>
      <c r="BH26" s="499">
        <f t="shared" si="145"/>
        <v>1458.0359273368367</v>
      </c>
      <c r="BI26" s="721">
        <f t="shared" si="6"/>
        <v>0</v>
      </c>
      <c r="BJ26" s="499">
        <f t="shared" ref="BJ26:BM26" si="208">BI26</f>
        <v>0</v>
      </c>
      <c r="BK26" s="499">
        <f t="shared" si="208"/>
        <v>0</v>
      </c>
      <c r="BL26" s="499">
        <f t="shared" si="208"/>
        <v>0</v>
      </c>
      <c r="BM26" s="499">
        <f t="shared" si="208"/>
        <v>0</v>
      </c>
      <c r="BN26" s="499">
        <f t="shared" si="147"/>
        <v>0</v>
      </c>
      <c r="BO26" s="499">
        <f t="shared" si="148"/>
        <v>0</v>
      </c>
      <c r="BP26" s="721">
        <f t="shared" si="8"/>
        <v>300</v>
      </c>
      <c r="BQ26" s="499">
        <f t="shared" si="95"/>
        <v>300</v>
      </c>
      <c r="BR26" s="499">
        <f t="shared" si="149"/>
        <v>300</v>
      </c>
      <c r="BS26" s="499">
        <f t="shared" si="150"/>
        <v>300</v>
      </c>
      <c r="BT26" s="499">
        <f t="shared" si="151"/>
        <v>300</v>
      </c>
      <c r="BU26" s="499">
        <f t="shared" si="152"/>
        <v>300</v>
      </c>
      <c r="BV26" s="499">
        <f t="shared" si="153"/>
        <v>300</v>
      </c>
      <c r="BW26" s="774">
        <f t="shared" si="196"/>
        <v>0</v>
      </c>
      <c r="BX26" s="503">
        <f t="shared" si="196"/>
        <v>0</v>
      </c>
      <c r="BY26" s="503">
        <f t="shared" si="196"/>
        <v>0</v>
      </c>
      <c r="BZ26" s="503">
        <f t="shared" si="196"/>
        <v>0</v>
      </c>
      <c r="CA26" s="503">
        <f t="shared" si="196"/>
        <v>0</v>
      </c>
      <c r="CB26" s="503">
        <f t="shared" si="196"/>
        <v>0</v>
      </c>
      <c r="CC26" s="503">
        <f t="shared" si="196"/>
        <v>0</v>
      </c>
      <c r="CD26" s="722">
        <f t="shared" si="13"/>
        <v>11223.75</v>
      </c>
      <c r="CE26" s="511">
        <f t="shared" ref="CE26:CH26" si="209">CD26</f>
        <v>11223.75</v>
      </c>
      <c r="CF26" s="511">
        <f t="shared" si="209"/>
        <v>11223.75</v>
      </c>
      <c r="CG26" s="511">
        <f t="shared" si="209"/>
        <v>11223.75</v>
      </c>
      <c r="CH26" s="511">
        <f t="shared" si="209"/>
        <v>11223.75</v>
      </c>
      <c r="CI26" s="511">
        <f t="shared" si="103"/>
        <v>11223.75</v>
      </c>
      <c r="CJ26" s="511">
        <f t="shared" si="104"/>
        <v>11223.75</v>
      </c>
      <c r="CK26" s="722">
        <f t="shared" si="15"/>
        <v>3.7624999999999997</v>
      </c>
      <c r="CL26" s="511">
        <f t="shared" ref="CL26:CO26" si="210">CK26</f>
        <v>3.7624999999999997</v>
      </c>
      <c r="CM26" s="511">
        <f t="shared" si="210"/>
        <v>3.7624999999999997</v>
      </c>
      <c r="CN26" s="511">
        <f t="shared" si="210"/>
        <v>3.7624999999999997</v>
      </c>
      <c r="CO26" s="511">
        <f t="shared" si="210"/>
        <v>3.7624999999999997</v>
      </c>
      <c r="CP26" s="511">
        <f t="shared" si="106"/>
        <v>3.7624999999999997</v>
      </c>
      <c r="CQ26" s="511">
        <f t="shared" si="107"/>
        <v>3.7624999999999997</v>
      </c>
      <c r="CR26" s="722">
        <f t="shared" si="17"/>
        <v>0</v>
      </c>
      <c r="CS26" s="511">
        <f t="shared" ref="CS26:CV26" si="211">CR26</f>
        <v>0</v>
      </c>
      <c r="CT26" s="511">
        <f t="shared" si="211"/>
        <v>0</v>
      </c>
      <c r="CU26" s="511">
        <f t="shared" si="211"/>
        <v>0</v>
      </c>
      <c r="CV26" s="511">
        <f t="shared" si="211"/>
        <v>0</v>
      </c>
      <c r="CW26" s="511">
        <f t="shared" si="109"/>
        <v>0</v>
      </c>
      <c r="CX26" s="539">
        <f t="shared" si="110"/>
        <v>0</v>
      </c>
      <c r="CY26" s="724">
        <f t="shared" si="19"/>
        <v>2916.0718546736734</v>
      </c>
      <c r="CZ26" s="508">
        <f t="shared" si="20"/>
        <v>2916.0718546736734</v>
      </c>
      <c r="DA26" s="508">
        <f t="shared" si="21"/>
        <v>2916.0718546736734</v>
      </c>
      <c r="DB26" s="508">
        <f t="shared" si="22"/>
        <v>2916.0718546736734</v>
      </c>
      <c r="DC26" s="508">
        <f t="shared" si="23"/>
        <v>2916.0718546736734</v>
      </c>
      <c r="DD26" s="508">
        <f t="shared" si="24"/>
        <v>2916.0718546736734</v>
      </c>
      <c r="DE26" s="726">
        <f t="shared" si="25"/>
        <v>2916.0718546736734</v>
      </c>
      <c r="DF26" s="724">
        <f t="shared" si="26"/>
        <v>0</v>
      </c>
      <c r="DG26" s="509">
        <f t="shared" si="27"/>
        <v>0</v>
      </c>
      <c r="DH26" s="509">
        <f t="shared" si="28"/>
        <v>0</v>
      </c>
      <c r="DI26" s="509">
        <f t="shared" si="29"/>
        <v>0</v>
      </c>
      <c r="DJ26" s="509">
        <f t="shared" si="30"/>
        <v>0</v>
      </c>
      <c r="DK26" s="509">
        <f t="shared" si="31"/>
        <v>0</v>
      </c>
      <c r="DL26" s="451">
        <f t="shared" si="32"/>
        <v>0</v>
      </c>
      <c r="DM26" s="509">
        <f t="shared" si="33"/>
        <v>600</v>
      </c>
      <c r="DN26" s="509">
        <f t="shared" si="34"/>
        <v>600</v>
      </c>
      <c r="DO26" s="509">
        <f t="shared" si="35"/>
        <v>600</v>
      </c>
      <c r="DP26" s="509">
        <f t="shared" si="36"/>
        <v>600</v>
      </c>
      <c r="DQ26" s="509">
        <f t="shared" si="37"/>
        <v>600</v>
      </c>
      <c r="DR26" s="509">
        <f t="shared" si="38"/>
        <v>600</v>
      </c>
      <c r="DS26" s="450">
        <f t="shared" si="39"/>
        <v>600</v>
      </c>
      <c r="DT26" s="724">
        <f t="shared" si="40"/>
        <v>0</v>
      </c>
      <c r="DU26" s="508">
        <f t="shared" si="41"/>
        <v>0</v>
      </c>
      <c r="DV26" s="508">
        <f t="shared" si="42"/>
        <v>0</v>
      </c>
      <c r="DW26" s="508">
        <f t="shared" si="43"/>
        <v>0</v>
      </c>
      <c r="DX26" s="508">
        <f t="shared" si="44"/>
        <v>0</v>
      </c>
      <c r="DY26" s="508">
        <f t="shared" si="45"/>
        <v>0</v>
      </c>
      <c r="DZ26" s="726">
        <f t="shared" si="46"/>
        <v>0</v>
      </c>
      <c r="EA26" s="722">
        <f t="shared" si="47"/>
        <v>22447.5</v>
      </c>
      <c r="EB26" s="511">
        <f t="shared" si="48"/>
        <v>22447.5</v>
      </c>
      <c r="EC26" s="511">
        <f t="shared" si="49"/>
        <v>22447.5</v>
      </c>
      <c r="ED26" s="511">
        <f t="shared" si="50"/>
        <v>22447.5</v>
      </c>
      <c r="EE26" s="511">
        <f t="shared" si="51"/>
        <v>22447.5</v>
      </c>
      <c r="EF26" s="511">
        <f t="shared" si="52"/>
        <v>22447.5</v>
      </c>
      <c r="EG26" s="723">
        <f t="shared" si="53"/>
        <v>22447.5</v>
      </c>
      <c r="EH26" s="397">
        <f t="shared" si="111"/>
        <v>7.5249999999999995</v>
      </c>
      <c r="EI26" s="397">
        <f t="shared" si="54"/>
        <v>7.5249999999999995</v>
      </c>
      <c r="EJ26" s="397">
        <f t="shared" si="55"/>
        <v>7.5249999999999995</v>
      </c>
      <c r="EK26" s="397">
        <f t="shared" si="56"/>
        <v>7.5249999999999995</v>
      </c>
      <c r="EL26" s="397">
        <f t="shared" si="57"/>
        <v>7.5249999999999995</v>
      </c>
      <c r="EM26" s="397">
        <f t="shared" si="58"/>
        <v>7.5249999999999995</v>
      </c>
      <c r="EN26" s="398">
        <f t="shared" si="59"/>
        <v>7.5249999999999995</v>
      </c>
      <c r="EO26" s="722">
        <f t="shared" si="60"/>
        <v>0</v>
      </c>
      <c r="EP26" s="511">
        <f t="shared" si="61"/>
        <v>0</v>
      </c>
      <c r="EQ26" s="511">
        <f t="shared" si="62"/>
        <v>0</v>
      </c>
      <c r="ER26" s="511">
        <f t="shared" si="63"/>
        <v>0</v>
      </c>
      <c r="ES26" s="511">
        <f t="shared" si="64"/>
        <v>0</v>
      </c>
      <c r="ET26" s="511">
        <f t="shared" si="65"/>
        <v>0</v>
      </c>
      <c r="EU26" s="723">
        <f t="shared" si="66"/>
        <v>0</v>
      </c>
      <c r="EV26" s="727">
        <f t="shared" si="67"/>
        <v>6</v>
      </c>
      <c r="EW26" s="728">
        <f t="shared" si="68"/>
        <v>20412.502982715712</v>
      </c>
      <c r="EX26" s="728">
        <f t="shared" si="69"/>
        <v>0</v>
      </c>
      <c r="EY26" s="728">
        <f t="shared" si="70"/>
        <v>4200</v>
      </c>
      <c r="EZ26" s="728">
        <f t="shared" si="71"/>
        <v>0</v>
      </c>
      <c r="FA26" s="777">
        <f t="shared" si="72"/>
        <v>157132.5</v>
      </c>
      <c r="FB26" s="777">
        <f t="shared" si="73"/>
        <v>52.674999999999997</v>
      </c>
      <c r="FC26" s="778">
        <f t="shared" si="74"/>
        <v>0</v>
      </c>
      <c r="FE26" s="10" t="b">
        <f t="shared" si="112"/>
        <v>1</v>
      </c>
      <c r="FF26" s="10" t="b">
        <f t="shared" si="75"/>
        <v>1</v>
      </c>
      <c r="FG26" s="10" t="b">
        <f t="shared" si="76"/>
        <v>1</v>
      </c>
      <c r="FH26" s="10" t="b">
        <f t="shared" si="77"/>
        <v>1</v>
      </c>
      <c r="FI26" s="10" t="b">
        <f t="shared" si="78"/>
        <v>1</v>
      </c>
      <c r="FJ26" s="10" t="b">
        <f t="shared" si="79"/>
        <v>1</v>
      </c>
      <c r="FK26" s="10" t="b">
        <f t="shared" si="80"/>
        <v>1</v>
      </c>
      <c r="FL26" s="10" t="b">
        <f t="shared" si="81"/>
        <v>1</v>
      </c>
    </row>
    <row r="27" spans="1:168">
      <c r="A27" s="662">
        <v>22</v>
      </c>
      <c r="B27" s="789" t="s">
        <v>1248</v>
      </c>
      <c r="C27" s="789" t="s">
        <v>1249</v>
      </c>
      <c r="D27" s="789" t="s">
        <v>1250</v>
      </c>
      <c r="E27" s="789" t="s">
        <v>1251</v>
      </c>
      <c r="F27" s="789" t="s">
        <v>1230</v>
      </c>
      <c r="G27" s="704" t="s">
        <v>402</v>
      </c>
      <c r="H27" s="704">
        <f>BizRebates_Costs!G28</f>
        <v>166.5</v>
      </c>
      <c r="I27" s="704">
        <v>0</v>
      </c>
      <c r="J27" s="704">
        <f t="shared" si="186"/>
        <v>166.5</v>
      </c>
      <c r="K27" s="704">
        <v>0</v>
      </c>
      <c r="L27" s="704">
        <f t="shared" si="119"/>
        <v>83.25</v>
      </c>
      <c r="M27" s="1023" t="s">
        <v>1252</v>
      </c>
      <c r="N27" s="1024">
        <v>16</v>
      </c>
      <c r="O27" s="1024">
        <v>16</v>
      </c>
      <c r="P27" s="707">
        <v>0</v>
      </c>
      <c r="Q27" s="707">
        <v>0</v>
      </c>
      <c r="R27" s="1021">
        <f>AVERAGE(LGE_KU_ComReb_Report_Data!G86:G107)</f>
        <v>506.02290683714386</v>
      </c>
      <c r="S27" s="872">
        <f>AVERAGE(LGE_KU_ComReb_Report_Data!H86:H107)</f>
        <v>0.11135992280977929</v>
      </c>
      <c r="T27" s="1022">
        <v>0</v>
      </c>
      <c r="U27" s="1026" t="s">
        <v>1212</v>
      </c>
      <c r="V27" s="716">
        <v>0</v>
      </c>
      <c r="W27" s="711">
        <v>1</v>
      </c>
      <c r="X27" s="781">
        <v>7731</v>
      </c>
      <c r="Y27" s="781">
        <v>1154</v>
      </c>
      <c r="Z27" s="781">
        <v>2599</v>
      </c>
      <c r="AA27" s="781">
        <v>3591.4285714285711</v>
      </c>
      <c r="AB27" s="1027">
        <f t="shared" si="113"/>
        <v>3095.2142857142853</v>
      </c>
      <c r="AC27" s="1030">
        <f t="shared" si="177"/>
        <v>3095.2142857142853</v>
      </c>
      <c r="AD27" s="1030">
        <f t="shared" si="177"/>
        <v>3095.2142857142853</v>
      </c>
      <c r="AE27" s="1030">
        <f t="shared" si="177"/>
        <v>3095.2142857142853</v>
      </c>
      <c r="AF27" s="1030">
        <f t="shared" si="177"/>
        <v>3095.2142857142853</v>
      </c>
      <c r="AG27" s="1030">
        <f t="shared" si="177"/>
        <v>3095.2142857142853</v>
      </c>
      <c r="AH27" s="1030">
        <f t="shared" si="177"/>
        <v>3095.2142857142853</v>
      </c>
      <c r="AI27" s="1030">
        <f t="shared" si="177"/>
        <v>3095.2142857142853</v>
      </c>
      <c r="AJ27" s="1030">
        <f t="shared" si="177"/>
        <v>3095.2142857142853</v>
      </c>
      <c r="AK27" s="715" t="s">
        <v>384</v>
      </c>
      <c r="AL27" s="711" t="s">
        <v>742</v>
      </c>
      <c r="AM27" s="715" t="s">
        <v>1186</v>
      </c>
      <c r="AN27" s="715" t="s">
        <v>1232</v>
      </c>
      <c r="AO27" s="711" t="s">
        <v>1</v>
      </c>
      <c r="AP27" s="715"/>
      <c r="AQ27" s="715"/>
      <c r="AR27" s="715"/>
      <c r="AS27" s="715" t="s">
        <v>1207</v>
      </c>
      <c r="AT27" s="715" t="s">
        <v>745</v>
      </c>
      <c r="AU27" s="715" t="s">
        <v>746</v>
      </c>
      <c r="AV27" s="715">
        <v>15</v>
      </c>
      <c r="AW27" s="715">
        <v>15</v>
      </c>
      <c r="AX27" s="715" t="s">
        <v>2714</v>
      </c>
      <c r="AY27" s="716">
        <v>1</v>
      </c>
      <c r="AZ27" s="716">
        <v>1</v>
      </c>
      <c r="BA27" s="717">
        <v>0</v>
      </c>
      <c r="BB27" s="721">
        <f t="shared" si="139"/>
        <v>166.5</v>
      </c>
      <c r="BC27" s="499">
        <f t="shared" si="140"/>
        <v>166.5</v>
      </c>
      <c r="BD27" s="499">
        <f t="shared" si="141"/>
        <v>166.5</v>
      </c>
      <c r="BE27" s="499">
        <f t="shared" si="142"/>
        <v>166.5</v>
      </c>
      <c r="BF27" s="499">
        <f t="shared" si="143"/>
        <v>166.5</v>
      </c>
      <c r="BG27" s="499">
        <f t="shared" si="144"/>
        <v>166.5</v>
      </c>
      <c r="BH27" s="499">
        <f t="shared" si="145"/>
        <v>166.5</v>
      </c>
      <c r="BI27" s="721">
        <f t="shared" si="6"/>
        <v>0</v>
      </c>
      <c r="BJ27" s="499">
        <f t="shared" ref="BJ27:BM27" si="212">BI27</f>
        <v>0</v>
      </c>
      <c r="BK27" s="499">
        <f t="shared" si="212"/>
        <v>0</v>
      </c>
      <c r="BL27" s="499">
        <f t="shared" si="212"/>
        <v>0</v>
      </c>
      <c r="BM27" s="499">
        <f t="shared" si="212"/>
        <v>0</v>
      </c>
      <c r="BN27" s="499">
        <f t="shared" si="147"/>
        <v>0</v>
      </c>
      <c r="BO27" s="499">
        <f t="shared" si="148"/>
        <v>0</v>
      </c>
      <c r="BP27" s="721">
        <f t="shared" si="8"/>
        <v>16</v>
      </c>
      <c r="BQ27" s="499">
        <f t="shared" si="95"/>
        <v>16</v>
      </c>
      <c r="BR27" s="499">
        <f t="shared" si="149"/>
        <v>16</v>
      </c>
      <c r="BS27" s="499">
        <f t="shared" si="150"/>
        <v>16</v>
      </c>
      <c r="BT27" s="499">
        <f t="shared" si="151"/>
        <v>16</v>
      </c>
      <c r="BU27" s="499">
        <f t="shared" si="152"/>
        <v>16</v>
      </c>
      <c r="BV27" s="499">
        <f t="shared" si="153"/>
        <v>16</v>
      </c>
      <c r="BW27" s="774">
        <f t="shared" si="196"/>
        <v>0</v>
      </c>
      <c r="BX27" s="503">
        <f t="shared" si="196"/>
        <v>0</v>
      </c>
      <c r="BY27" s="503">
        <f t="shared" si="196"/>
        <v>0</v>
      </c>
      <c r="BZ27" s="503">
        <f t="shared" si="196"/>
        <v>0</v>
      </c>
      <c r="CA27" s="503">
        <f t="shared" si="196"/>
        <v>0</v>
      </c>
      <c r="CB27" s="503">
        <f t="shared" si="196"/>
        <v>0</v>
      </c>
      <c r="CC27" s="503">
        <f t="shared" si="196"/>
        <v>0</v>
      </c>
      <c r="CD27" s="722">
        <f t="shared" si="13"/>
        <v>506.02290683714386</v>
      </c>
      <c r="CE27" s="511">
        <f t="shared" ref="CE27:CH27" si="213">CD27</f>
        <v>506.02290683714386</v>
      </c>
      <c r="CF27" s="511">
        <f t="shared" si="213"/>
        <v>506.02290683714386</v>
      </c>
      <c r="CG27" s="511">
        <f t="shared" si="213"/>
        <v>506.02290683714386</v>
      </c>
      <c r="CH27" s="511">
        <f t="shared" si="213"/>
        <v>506.02290683714386</v>
      </c>
      <c r="CI27" s="511">
        <f t="shared" si="103"/>
        <v>506.02290683714386</v>
      </c>
      <c r="CJ27" s="511">
        <f t="shared" si="104"/>
        <v>506.02290683714386</v>
      </c>
      <c r="CK27" s="722">
        <f t="shared" si="15"/>
        <v>0.11135992280977929</v>
      </c>
      <c r="CL27" s="511">
        <f t="shared" ref="CL27:CO27" si="214">CK27</f>
        <v>0.11135992280977929</v>
      </c>
      <c r="CM27" s="511">
        <f t="shared" si="214"/>
        <v>0.11135992280977929</v>
      </c>
      <c r="CN27" s="511">
        <f t="shared" si="214"/>
        <v>0.11135992280977929</v>
      </c>
      <c r="CO27" s="511">
        <f t="shared" si="214"/>
        <v>0.11135992280977929</v>
      </c>
      <c r="CP27" s="511">
        <f t="shared" si="106"/>
        <v>0.11135992280977929</v>
      </c>
      <c r="CQ27" s="511">
        <f t="shared" si="107"/>
        <v>0.11135992280977929</v>
      </c>
      <c r="CR27" s="722">
        <f t="shared" si="17"/>
        <v>0</v>
      </c>
      <c r="CS27" s="511">
        <f t="shared" ref="CS27:CV27" si="215">CR27</f>
        <v>0</v>
      </c>
      <c r="CT27" s="511">
        <f t="shared" si="215"/>
        <v>0</v>
      </c>
      <c r="CU27" s="511">
        <f t="shared" si="215"/>
        <v>0</v>
      </c>
      <c r="CV27" s="511">
        <f t="shared" si="215"/>
        <v>0</v>
      </c>
      <c r="CW27" s="511">
        <f t="shared" si="109"/>
        <v>0</v>
      </c>
      <c r="CX27" s="539">
        <f t="shared" si="110"/>
        <v>0</v>
      </c>
      <c r="CY27" s="724">
        <f t="shared" si="19"/>
        <v>515353.17857142852</v>
      </c>
      <c r="CZ27" s="508">
        <f t="shared" si="20"/>
        <v>515353.17857142852</v>
      </c>
      <c r="DA27" s="508">
        <f t="shared" si="21"/>
        <v>515353.17857142852</v>
      </c>
      <c r="DB27" s="508">
        <f t="shared" si="22"/>
        <v>515353.17857142852</v>
      </c>
      <c r="DC27" s="508">
        <f t="shared" si="23"/>
        <v>515353.17857142852</v>
      </c>
      <c r="DD27" s="508">
        <f t="shared" si="24"/>
        <v>515353.17857142852</v>
      </c>
      <c r="DE27" s="726">
        <f t="shared" si="25"/>
        <v>515353.17857142852</v>
      </c>
      <c r="DF27" s="724">
        <f t="shared" si="26"/>
        <v>0</v>
      </c>
      <c r="DG27" s="509">
        <f t="shared" si="27"/>
        <v>0</v>
      </c>
      <c r="DH27" s="509">
        <f t="shared" si="28"/>
        <v>0</v>
      </c>
      <c r="DI27" s="509">
        <f t="shared" si="29"/>
        <v>0</v>
      </c>
      <c r="DJ27" s="509">
        <f t="shared" si="30"/>
        <v>0</v>
      </c>
      <c r="DK27" s="509">
        <f t="shared" si="31"/>
        <v>0</v>
      </c>
      <c r="DL27" s="451">
        <f t="shared" si="32"/>
        <v>0</v>
      </c>
      <c r="DM27" s="509">
        <f t="shared" si="33"/>
        <v>49523.428571428565</v>
      </c>
      <c r="DN27" s="509">
        <f t="shared" si="34"/>
        <v>49523.428571428565</v>
      </c>
      <c r="DO27" s="509">
        <f t="shared" si="35"/>
        <v>49523.428571428565</v>
      </c>
      <c r="DP27" s="509">
        <f t="shared" si="36"/>
        <v>49523.428571428565</v>
      </c>
      <c r="DQ27" s="509">
        <f t="shared" si="37"/>
        <v>49523.428571428565</v>
      </c>
      <c r="DR27" s="509">
        <f t="shared" si="38"/>
        <v>49523.428571428565</v>
      </c>
      <c r="DS27" s="450">
        <f t="shared" si="39"/>
        <v>49523.428571428565</v>
      </c>
      <c r="DT27" s="724">
        <f t="shared" si="40"/>
        <v>0</v>
      </c>
      <c r="DU27" s="508">
        <f t="shared" si="41"/>
        <v>0</v>
      </c>
      <c r="DV27" s="508">
        <f t="shared" si="42"/>
        <v>0</v>
      </c>
      <c r="DW27" s="508">
        <f t="shared" si="43"/>
        <v>0</v>
      </c>
      <c r="DX27" s="508">
        <f t="shared" si="44"/>
        <v>0</v>
      </c>
      <c r="DY27" s="508">
        <f t="shared" si="45"/>
        <v>0</v>
      </c>
      <c r="DZ27" s="726">
        <f t="shared" si="46"/>
        <v>0</v>
      </c>
      <c r="EA27" s="722">
        <f t="shared" si="47"/>
        <v>1566249.3301409965</v>
      </c>
      <c r="EB27" s="511">
        <f t="shared" si="48"/>
        <v>1566249.3301409965</v>
      </c>
      <c r="EC27" s="511">
        <f t="shared" si="49"/>
        <v>1566249.3301409965</v>
      </c>
      <c r="ED27" s="511">
        <f t="shared" si="50"/>
        <v>1566249.3301409965</v>
      </c>
      <c r="EE27" s="511">
        <f t="shared" si="51"/>
        <v>1566249.3301409965</v>
      </c>
      <c r="EF27" s="511">
        <f t="shared" si="52"/>
        <v>1566249.3301409965</v>
      </c>
      <c r="EG27" s="723">
        <f t="shared" si="53"/>
        <v>1566249.3301409965</v>
      </c>
      <c r="EH27" s="397">
        <f t="shared" si="111"/>
        <v>344.68282393686894</v>
      </c>
      <c r="EI27" s="397">
        <f t="shared" si="54"/>
        <v>344.68282393686894</v>
      </c>
      <c r="EJ27" s="397">
        <f t="shared" si="55"/>
        <v>344.68282393686894</v>
      </c>
      <c r="EK27" s="397">
        <f t="shared" si="56"/>
        <v>344.68282393686894</v>
      </c>
      <c r="EL27" s="397">
        <f t="shared" si="57"/>
        <v>344.68282393686894</v>
      </c>
      <c r="EM27" s="397">
        <f t="shared" si="58"/>
        <v>344.68282393686894</v>
      </c>
      <c r="EN27" s="398">
        <f t="shared" si="59"/>
        <v>344.68282393686894</v>
      </c>
      <c r="EO27" s="722">
        <f t="shared" si="60"/>
        <v>0</v>
      </c>
      <c r="EP27" s="511">
        <f t="shared" si="61"/>
        <v>0</v>
      </c>
      <c r="EQ27" s="511">
        <f t="shared" si="62"/>
        <v>0</v>
      </c>
      <c r="ER27" s="511">
        <f t="shared" si="63"/>
        <v>0</v>
      </c>
      <c r="ES27" s="511">
        <f t="shared" si="64"/>
        <v>0</v>
      </c>
      <c r="ET27" s="511">
        <f t="shared" si="65"/>
        <v>0</v>
      </c>
      <c r="EU27" s="723">
        <f t="shared" si="66"/>
        <v>0</v>
      </c>
      <c r="EV27" s="727">
        <f t="shared" si="67"/>
        <v>9285.6428571428551</v>
      </c>
      <c r="EW27" s="728">
        <f t="shared" si="68"/>
        <v>3607472.25</v>
      </c>
      <c r="EX27" s="728">
        <f t="shared" si="69"/>
        <v>0</v>
      </c>
      <c r="EY27" s="728">
        <f t="shared" si="70"/>
        <v>346664</v>
      </c>
      <c r="EZ27" s="728">
        <f t="shared" si="71"/>
        <v>0</v>
      </c>
      <c r="FA27" s="777">
        <f t="shared" si="72"/>
        <v>10963745.310986975</v>
      </c>
      <c r="FB27" s="777">
        <f t="shared" si="73"/>
        <v>2412.7797675580823</v>
      </c>
      <c r="FC27" s="778">
        <f t="shared" si="74"/>
        <v>0</v>
      </c>
      <c r="FE27" s="10" t="b">
        <f t="shared" si="112"/>
        <v>1</v>
      </c>
      <c r="FF27" s="10" t="b">
        <f t="shared" si="75"/>
        <v>1</v>
      </c>
      <c r="FG27" s="10" t="b">
        <f t="shared" si="76"/>
        <v>1</v>
      </c>
      <c r="FH27" s="10" t="b">
        <f t="shared" si="77"/>
        <v>1</v>
      </c>
      <c r="FI27" s="10" t="b">
        <f t="shared" si="78"/>
        <v>1</v>
      </c>
      <c r="FJ27" s="10" t="b">
        <f t="shared" si="79"/>
        <v>1</v>
      </c>
      <c r="FK27" s="10" t="b">
        <f t="shared" si="80"/>
        <v>1</v>
      </c>
      <c r="FL27" s="10" t="b">
        <f t="shared" si="81"/>
        <v>1</v>
      </c>
    </row>
    <row r="28" spans="1:168">
      <c r="A28" s="662">
        <v>23</v>
      </c>
      <c r="B28" s="789" t="s">
        <v>1253</v>
      </c>
      <c r="C28" s="789" t="s">
        <v>1253</v>
      </c>
      <c r="D28" s="789" t="s">
        <v>1254</v>
      </c>
      <c r="E28" s="789" t="s">
        <v>1255</v>
      </c>
      <c r="F28" s="789" t="s">
        <v>331</v>
      </c>
      <c r="G28" s="704" t="s">
        <v>402</v>
      </c>
      <c r="H28" s="704">
        <f>23*5</f>
        <v>115</v>
      </c>
      <c r="I28" s="704">
        <v>0</v>
      </c>
      <c r="J28" s="704">
        <f t="shared" si="186"/>
        <v>115</v>
      </c>
      <c r="K28" s="704">
        <f>-(2.17*5/15)</f>
        <v>-0.72333333333333327</v>
      </c>
      <c r="L28" s="704">
        <f>J28*0.5</f>
        <v>57.5</v>
      </c>
      <c r="M28" s="1023" t="s">
        <v>1256</v>
      </c>
      <c r="N28" s="1024">
        <v>9</v>
      </c>
      <c r="O28" s="1024">
        <v>9</v>
      </c>
      <c r="P28" s="707">
        <v>0</v>
      </c>
      <c r="Q28" s="707">
        <v>0</v>
      </c>
      <c r="R28" s="1031">
        <f>(15.2-7.6)/1000*(5*6205*1.465)</f>
        <v>345.43234999999999</v>
      </c>
      <c r="S28" s="872">
        <f>(15.2-7.6)/1000*(5*1.455*0.96)</f>
        <v>5.3078399999999998E-2</v>
      </c>
      <c r="T28" s="1022">
        <v>0</v>
      </c>
      <c r="U28" s="711" t="s">
        <v>1257</v>
      </c>
      <c r="V28" s="716">
        <v>0</v>
      </c>
      <c r="W28" s="711">
        <v>1</v>
      </c>
      <c r="X28" s="781">
        <v>2449</v>
      </c>
      <c r="Y28" s="781">
        <v>1195</v>
      </c>
      <c r="Z28" s="781">
        <v>621</v>
      </c>
      <c r="AA28" s="781">
        <v>649.71428571428567</v>
      </c>
      <c r="AB28" s="1027">
        <f t="shared" si="113"/>
        <v>635.35714285714289</v>
      </c>
      <c r="AC28" s="1030">
        <f t="shared" si="177"/>
        <v>635.35714285714289</v>
      </c>
      <c r="AD28" s="1030">
        <f t="shared" si="177"/>
        <v>635.35714285714289</v>
      </c>
      <c r="AE28" s="1030">
        <f t="shared" si="177"/>
        <v>635.35714285714289</v>
      </c>
      <c r="AF28" s="1030">
        <f t="shared" si="177"/>
        <v>635.35714285714289</v>
      </c>
      <c r="AG28" s="1030">
        <f t="shared" si="177"/>
        <v>635.35714285714289</v>
      </c>
      <c r="AH28" s="1030">
        <f t="shared" si="177"/>
        <v>635.35714285714289</v>
      </c>
      <c r="AI28" s="1030">
        <f t="shared" si="177"/>
        <v>635.35714285714289</v>
      </c>
      <c r="AJ28" s="1030">
        <f t="shared" si="177"/>
        <v>635.35714285714289</v>
      </c>
      <c r="AK28" s="715" t="s">
        <v>384</v>
      </c>
      <c r="AL28" s="711" t="s">
        <v>742</v>
      </c>
      <c r="AM28" s="715" t="s">
        <v>1258</v>
      </c>
      <c r="AN28" s="715" t="s">
        <v>1152</v>
      </c>
      <c r="AO28" s="715" t="s">
        <v>1</v>
      </c>
      <c r="AP28" s="715" t="s">
        <v>1259</v>
      </c>
      <c r="AQ28" s="715" t="s">
        <v>1259</v>
      </c>
      <c r="AR28" s="715" t="s">
        <v>1260</v>
      </c>
      <c r="AS28" s="715" t="s">
        <v>1261</v>
      </c>
      <c r="AT28" s="715" t="s">
        <v>745</v>
      </c>
      <c r="AU28" s="715" t="s">
        <v>746</v>
      </c>
      <c r="AV28" s="715">
        <v>8</v>
      </c>
      <c r="AW28" s="715">
        <v>8</v>
      </c>
      <c r="AX28" s="715" t="s">
        <v>2715</v>
      </c>
      <c r="AY28" s="716">
        <v>1</v>
      </c>
      <c r="AZ28" s="716">
        <v>1</v>
      </c>
      <c r="BA28" s="717">
        <v>0</v>
      </c>
      <c r="BB28" s="721">
        <f t="shared" si="139"/>
        <v>115</v>
      </c>
      <c r="BC28" s="499">
        <f t="shared" si="140"/>
        <v>115</v>
      </c>
      <c r="BD28" s="499">
        <f t="shared" si="141"/>
        <v>115</v>
      </c>
      <c r="BE28" s="499">
        <f t="shared" si="142"/>
        <v>115</v>
      </c>
      <c r="BF28" s="499">
        <f t="shared" si="143"/>
        <v>115</v>
      </c>
      <c r="BG28" s="499">
        <f t="shared" si="144"/>
        <v>115</v>
      </c>
      <c r="BH28" s="499">
        <f t="shared" si="145"/>
        <v>115</v>
      </c>
      <c r="BI28" s="721">
        <f t="shared" si="6"/>
        <v>-0.72333333333333327</v>
      </c>
      <c r="BJ28" s="499">
        <f t="shared" ref="BJ28:BM28" si="216">BI28</f>
        <v>-0.72333333333333327</v>
      </c>
      <c r="BK28" s="499">
        <f t="shared" si="216"/>
        <v>-0.72333333333333327</v>
      </c>
      <c r="BL28" s="499">
        <f t="shared" si="216"/>
        <v>-0.72333333333333327</v>
      </c>
      <c r="BM28" s="499">
        <f t="shared" si="216"/>
        <v>-0.72333333333333327</v>
      </c>
      <c r="BN28" s="499">
        <f t="shared" si="147"/>
        <v>-0.72333333333333327</v>
      </c>
      <c r="BO28" s="499">
        <f t="shared" si="148"/>
        <v>-0.72333333333333327</v>
      </c>
      <c r="BP28" s="721">
        <f t="shared" si="8"/>
        <v>9</v>
      </c>
      <c r="BQ28" s="499">
        <f t="shared" si="95"/>
        <v>9</v>
      </c>
      <c r="BR28" s="499">
        <f t="shared" si="149"/>
        <v>9</v>
      </c>
      <c r="BS28" s="499">
        <f t="shared" si="150"/>
        <v>9</v>
      </c>
      <c r="BT28" s="499">
        <f t="shared" si="151"/>
        <v>9</v>
      </c>
      <c r="BU28" s="499">
        <f t="shared" si="152"/>
        <v>9</v>
      </c>
      <c r="BV28" s="499">
        <f t="shared" si="153"/>
        <v>9</v>
      </c>
      <c r="BW28" s="774">
        <f t="shared" si="196"/>
        <v>0</v>
      </c>
      <c r="BX28" s="503">
        <f t="shared" si="196"/>
        <v>0</v>
      </c>
      <c r="BY28" s="503">
        <f t="shared" si="196"/>
        <v>0</v>
      </c>
      <c r="BZ28" s="503">
        <f t="shared" si="196"/>
        <v>0</v>
      </c>
      <c r="CA28" s="503">
        <f t="shared" si="196"/>
        <v>0</v>
      </c>
      <c r="CB28" s="503">
        <f t="shared" si="196"/>
        <v>0</v>
      </c>
      <c r="CC28" s="503">
        <f t="shared" si="196"/>
        <v>0</v>
      </c>
      <c r="CD28" s="722">
        <f t="shared" si="13"/>
        <v>345.43234999999999</v>
      </c>
      <c r="CE28" s="511">
        <f t="shared" ref="CE28:CH28" si="217">CD28</f>
        <v>345.43234999999999</v>
      </c>
      <c r="CF28" s="511">
        <f t="shared" si="217"/>
        <v>345.43234999999999</v>
      </c>
      <c r="CG28" s="511">
        <f t="shared" si="217"/>
        <v>345.43234999999999</v>
      </c>
      <c r="CH28" s="511">
        <f t="shared" si="217"/>
        <v>345.43234999999999</v>
      </c>
      <c r="CI28" s="511">
        <f t="shared" si="103"/>
        <v>345.43234999999999</v>
      </c>
      <c r="CJ28" s="511">
        <f t="shared" si="104"/>
        <v>345.43234999999999</v>
      </c>
      <c r="CK28" s="722">
        <f t="shared" si="15"/>
        <v>5.3078399999999998E-2</v>
      </c>
      <c r="CL28" s="511">
        <f t="shared" ref="CL28:CO28" si="218">CK28</f>
        <v>5.3078399999999998E-2</v>
      </c>
      <c r="CM28" s="511">
        <f t="shared" si="218"/>
        <v>5.3078399999999998E-2</v>
      </c>
      <c r="CN28" s="511">
        <f t="shared" si="218"/>
        <v>5.3078399999999998E-2</v>
      </c>
      <c r="CO28" s="511">
        <f t="shared" si="218"/>
        <v>5.3078399999999998E-2</v>
      </c>
      <c r="CP28" s="511">
        <f t="shared" si="106"/>
        <v>5.3078399999999998E-2</v>
      </c>
      <c r="CQ28" s="511">
        <f t="shared" si="107"/>
        <v>5.3078399999999998E-2</v>
      </c>
      <c r="CR28" s="722">
        <f t="shared" si="17"/>
        <v>0</v>
      </c>
      <c r="CS28" s="511">
        <f t="shared" ref="CS28:CV28" si="219">CR28</f>
        <v>0</v>
      </c>
      <c r="CT28" s="511">
        <f t="shared" si="219"/>
        <v>0</v>
      </c>
      <c r="CU28" s="511">
        <f t="shared" si="219"/>
        <v>0</v>
      </c>
      <c r="CV28" s="511">
        <f t="shared" si="219"/>
        <v>0</v>
      </c>
      <c r="CW28" s="511">
        <f t="shared" si="109"/>
        <v>0</v>
      </c>
      <c r="CX28" s="539">
        <f t="shared" si="110"/>
        <v>0</v>
      </c>
      <c r="CY28" s="724">
        <f t="shared" si="19"/>
        <v>73066.071428571435</v>
      </c>
      <c r="CZ28" s="508">
        <f t="shared" si="20"/>
        <v>73066.071428571435</v>
      </c>
      <c r="DA28" s="508">
        <f t="shared" si="21"/>
        <v>73066.071428571435</v>
      </c>
      <c r="DB28" s="508">
        <f t="shared" si="22"/>
        <v>73066.071428571435</v>
      </c>
      <c r="DC28" s="508">
        <f t="shared" si="23"/>
        <v>73066.071428571435</v>
      </c>
      <c r="DD28" s="508">
        <f t="shared" si="24"/>
        <v>73066.071428571435</v>
      </c>
      <c r="DE28" s="726">
        <f t="shared" si="25"/>
        <v>73066.071428571435</v>
      </c>
      <c r="DF28" s="724">
        <f t="shared" si="26"/>
        <v>-459.57499999999999</v>
      </c>
      <c r="DG28" s="509">
        <f t="shared" si="27"/>
        <v>-459.57499999999999</v>
      </c>
      <c r="DH28" s="509">
        <f t="shared" si="28"/>
        <v>-459.57499999999999</v>
      </c>
      <c r="DI28" s="509">
        <f t="shared" si="29"/>
        <v>-459.57499999999999</v>
      </c>
      <c r="DJ28" s="509">
        <f t="shared" si="30"/>
        <v>-459.57499999999999</v>
      </c>
      <c r="DK28" s="509">
        <f t="shared" si="31"/>
        <v>-459.57499999999999</v>
      </c>
      <c r="DL28" s="451">
        <f t="shared" si="32"/>
        <v>-459.57499999999999</v>
      </c>
      <c r="DM28" s="509">
        <f t="shared" si="33"/>
        <v>5718.2142857142862</v>
      </c>
      <c r="DN28" s="509">
        <f t="shared" si="34"/>
        <v>5718.2142857142862</v>
      </c>
      <c r="DO28" s="509">
        <f t="shared" si="35"/>
        <v>5718.2142857142862</v>
      </c>
      <c r="DP28" s="509">
        <f t="shared" si="36"/>
        <v>5718.2142857142862</v>
      </c>
      <c r="DQ28" s="509">
        <f t="shared" si="37"/>
        <v>5718.2142857142862</v>
      </c>
      <c r="DR28" s="509">
        <f t="shared" si="38"/>
        <v>5718.2142857142862</v>
      </c>
      <c r="DS28" s="450">
        <f t="shared" si="39"/>
        <v>5718.2142857142862</v>
      </c>
      <c r="DT28" s="724">
        <f t="shared" si="40"/>
        <v>0</v>
      </c>
      <c r="DU28" s="508">
        <f t="shared" si="41"/>
        <v>0</v>
      </c>
      <c r="DV28" s="508">
        <f t="shared" si="42"/>
        <v>0</v>
      </c>
      <c r="DW28" s="508">
        <f t="shared" si="43"/>
        <v>0</v>
      </c>
      <c r="DX28" s="508">
        <f t="shared" si="44"/>
        <v>0</v>
      </c>
      <c r="DY28" s="508">
        <f t="shared" si="45"/>
        <v>0</v>
      </c>
      <c r="DZ28" s="726">
        <f t="shared" si="46"/>
        <v>0</v>
      </c>
      <c r="EA28" s="722">
        <f t="shared" si="47"/>
        <v>219472.91094642857</v>
      </c>
      <c r="EB28" s="511">
        <f t="shared" si="48"/>
        <v>219472.91094642857</v>
      </c>
      <c r="EC28" s="511">
        <f t="shared" si="49"/>
        <v>219472.91094642857</v>
      </c>
      <c r="ED28" s="511">
        <f t="shared" si="50"/>
        <v>219472.91094642857</v>
      </c>
      <c r="EE28" s="511">
        <f t="shared" si="51"/>
        <v>219472.91094642857</v>
      </c>
      <c r="EF28" s="511">
        <f t="shared" si="52"/>
        <v>219472.91094642857</v>
      </c>
      <c r="EG28" s="723">
        <f t="shared" si="53"/>
        <v>219472.91094642857</v>
      </c>
      <c r="EH28" s="397">
        <f t="shared" si="111"/>
        <v>33.723740571428571</v>
      </c>
      <c r="EI28" s="397">
        <f t="shared" si="54"/>
        <v>33.723740571428571</v>
      </c>
      <c r="EJ28" s="397">
        <f t="shared" si="55"/>
        <v>33.723740571428571</v>
      </c>
      <c r="EK28" s="397">
        <f t="shared" si="56"/>
        <v>33.723740571428571</v>
      </c>
      <c r="EL28" s="397">
        <f t="shared" si="57"/>
        <v>33.723740571428571</v>
      </c>
      <c r="EM28" s="397">
        <f t="shared" si="58"/>
        <v>33.723740571428571</v>
      </c>
      <c r="EN28" s="398">
        <f t="shared" si="59"/>
        <v>33.723740571428571</v>
      </c>
      <c r="EO28" s="722">
        <f t="shared" si="60"/>
        <v>0</v>
      </c>
      <c r="EP28" s="511">
        <f t="shared" si="61"/>
        <v>0</v>
      </c>
      <c r="EQ28" s="511">
        <f t="shared" si="62"/>
        <v>0</v>
      </c>
      <c r="ER28" s="511">
        <f t="shared" si="63"/>
        <v>0</v>
      </c>
      <c r="ES28" s="511">
        <f t="shared" si="64"/>
        <v>0</v>
      </c>
      <c r="ET28" s="511">
        <f t="shared" si="65"/>
        <v>0</v>
      </c>
      <c r="EU28" s="723">
        <f t="shared" si="66"/>
        <v>0</v>
      </c>
      <c r="EV28" s="727">
        <f t="shared" si="67"/>
        <v>1906.0714285714287</v>
      </c>
      <c r="EW28" s="728">
        <f t="shared" si="68"/>
        <v>511462.5</v>
      </c>
      <c r="EX28" s="728">
        <f t="shared" si="69"/>
        <v>-3217.0249999999996</v>
      </c>
      <c r="EY28" s="728">
        <f t="shared" si="70"/>
        <v>40027.5</v>
      </c>
      <c r="EZ28" s="728">
        <f t="shared" si="71"/>
        <v>0</v>
      </c>
      <c r="FA28" s="777">
        <f t="shared" si="72"/>
        <v>1536310.376625</v>
      </c>
      <c r="FB28" s="777">
        <f t="shared" si="73"/>
        <v>236.06618400000002</v>
      </c>
      <c r="FC28" s="778">
        <f t="shared" si="74"/>
        <v>0</v>
      </c>
      <c r="FE28" s="10" t="b">
        <f t="shared" si="112"/>
        <v>1</v>
      </c>
      <c r="FF28" s="10" t="b">
        <f t="shared" si="75"/>
        <v>1</v>
      </c>
      <c r="FG28" s="10" t="b">
        <f t="shared" si="76"/>
        <v>1</v>
      </c>
      <c r="FH28" s="10" t="b">
        <f t="shared" si="77"/>
        <v>1</v>
      </c>
      <c r="FI28" s="10" t="b">
        <f t="shared" si="78"/>
        <v>1</v>
      </c>
      <c r="FJ28" s="10" t="b">
        <f t="shared" si="79"/>
        <v>1</v>
      </c>
      <c r="FK28" s="10" t="b">
        <f t="shared" si="80"/>
        <v>1</v>
      </c>
      <c r="FL28" s="10" t="b">
        <f t="shared" si="81"/>
        <v>1</v>
      </c>
    </row>
    <row r="29" spans="1:168">
      <c r="A29" s="662">
        <v>24</v>
      </c>
      <c r="B29" s="789" t="s">
        <v>1262</v>
      </c>
      <c r="C29" s="789" t="s">
        <v>1262</v>
      </c>
      <c r="D29" s="789" t="s">
        <v>1263</v>
      </c>
      <c r="E29" s="789" t="s">
        <v>1264</v>
      </c>
      <c r="F29" s="789" t="s">
        <v>331</v>
      </c>
      <c r="G29" s="704" t="s">
        <v>402</v>
      </c>
      <c r="H29" s="704">
        <v>35</v>
      </c>
      <c r="I29" s="704">
        <v>0</v>
      </c>
      <c r="J29" s="704">
        <f t="shared" si="186"/>
        <v>35</v>
      </c>
      <c r="K29" s="704">
        <v>0</v>
      </c>
      <c r="L29" s="704">
        <f t="shared" si="119"/>
        <v>17.5</v>
      </c>
      <c r="M29" s="711" t="s">
        <v>1265</v>
      </c>
      <c r="N29" s="1024">
        <v>10</v>
      </c>
      <c r="O29" s="1024">
        <v>10</v>
      </c>
      <c r="P29" s="707">
        <v>0</v>
      </c>
      <c r="Q29" s="707">
        <v>0</v>
      </c>
      <c r="R29" s="1021">
        <f>AVERAGE(LGE_KU_ComReb_Report_Data!G45:G51)</f>
        <v>304.34429618001042</v>
      </c>
      <c r="S29" s="872">
        <f>AVERAGE(LGE_KU_ComReb_Report_Data!H45:H51)</f>
        <v>4.7084510727367863E-2</v>
      </c>
      <c r="T29" s="1022">
        <v>0</v>
      </c>
      <c r="U29" s="1026" t="s">
        <v>1212</v>
      </c>
      <c r="V29" s="716">
        <v>0</v>
      </c>
      <c r="W29" s="711">
        <v>1</v>
      </c>
      <c r="X29" s="781">
        <v>1305</v>
      </c>
      <c r="Y29" s="781">
        <v>2218</v>
      </c>
      <c r="Z29" s="781">
        <v>1755</v>
      </c>
      <c r="AA29" s="781">
        <v>996</v>
      </c>
      <c r="AB29" s="1027">
        <f t="shared" si="113"/>
        <v>1375.5</v>
      </c>
      <c r="AC29" s="1030">
        <f>AB29</f>
        <v>1375.5</v>
      </c>
      <c r="AD29" s="1030">
        <f t="shared" si="177"/>
        <v>1375.5</v>
      </c>
      <c r="AE29" s="1030">
        <f t="shared" si="177"/>
        <v>1375.5</v>
      </c>
      <c r="AF29" s="1030">
        <f t="shared" si="177"/>
        <v>1375.5</v>
      </c>
      <c r="AG29" s="1030">
        <f t="shared" si="177"/>
        <v>1375.5</v>
      </c>
      <c r="AH29" s="1030">
        <f t="shared" si="177"/>
        <v>1375.5</v>
      </c>
      <c r="AI29" s="1030">
        <f t="shared" si="177"/>
        <v>1375.5</v>
      </c>
      <c r="AJ29" s="1030">
        <f t="shared" si="177"/>
        <v>1375.5</v>
      </c>
      <c r="AK29" s="715" t="s">
        <v>384</v>
      </c>
      <c r="AL29" s="711" t="s">
        <v>742</v>
      </c>
      <c r="AM29" s="715" t="s">
        <v>1186</v>
      </c>
      <c r="AN29" s="715" t="s">
        <v>1152</v>
      </c>
      <c r="AO29" s="711" t="s">
        <v>1</v>
      </c>
      <c r="AP29" s="196" t="s">
        <v>1266</v>
      </c>
      <c r="AQ29" s="196" t="s">
        <v>1267</v>
      </c>
      <c r="AR29" s="196" t="s">
        <v>1268</v>
      </c>
      <c r="AS29" s="715" t="s">
        <v>1153</v>
      </c>
      <c r="AT29" s="715" t="s">
        <v>745</v>
      </c>
      <c r="AU29" s="715" t="s">
        <v>746</v>
      </c>
      <c r="AV29" s="715">
        <v>16</v>
      </c>
      <c r="AW29" s="715">
        <v>16</v>
      </c>
      <c r="AX29" s="715" t="s">
        <v>2716</v>
      </c>
      <c r="AY29" s="716">
        <v>1</v>
      </c>
      <c r="AZ29" s="716">
        <v>1</v>
      </c>
      <c r="BA29" s="717">
        <v>0</v>
      </c>
      <c r="BB29" s="721">
        <f t="shared" si="139"/>
        <v>35</v>
      </c>
      <c r="BC29" s="499">
        <f t="shared" si="140"/>
        <v>35</v>
      </c>
      <c r="BD29" s="499">
        <f t="shared" si="141"/>
        <v>35</v>
      </c>
      <c r="BE29" s="499">
        <f t="shared" si="142"/>
        <v>35</v>
      </c>
      <c r="BF29" s="499">
        <f t="shared" si="143"/>
        <v>35</v>
      </c>
      <c r="BG29" s="499">
        <f t="shared" si="144"/>
        <v>35</v>
      </c>
      <c r="BH29" s="499">
        <f t="shared" si="145"/>
        <v>35</v>
      </c>
      <c r="BI29" s="721">
        <f t="shared" si="6"/>
        <v>0</v>
      </c>
      <c r="BJ29" s="499">
        <f t="shared" ref="BJ29:BM29" si="220">BI29</f>
        <v>0</v>
      </c>
      <c r="BK29" s="499">
        <f t="shared" si="220"/>
        <v>0</v>
      </c>
      <c r="BL29" s="499">
        <f t="shared" si="220"/>
        <v>0</v>
      </c>
      <c r="BM29" s="499">
        <f t="shared" si="220"/>
        <v>0</v>
      </c>
      <c r="BN29" s="499">
        <f t="shared" si="147"/>
        <v>0</v>
      </c>
      <c r="BO29" s="499">
        <f t="shared" si="148"/>
        <v>0</v>
      </c>
      <c r="BP29" s="721">
        <f t="shared" si="8"/>
        <v>10</v>
      </c>
      <c r="BQ29" s="499">
        <f t="shared" si="95"/>
        <v>10</v>
      </c>
      <c r="BR29" s="499">
        <f t="shared" si="149"/>
        <v>10</v>
      </c>
      <c r="BS29" s="499">
        <f t="shared" si="150"/>
        <v>10</v>
      </c>
      <c r="BT29" s="499">
        <f t="shared" si="151"/>
        <v>10</v>
      </c>
      <c r="BU29" s="499">
        <f t="shared" si="152"/>
        <v>10</v>
      </c>
      <c r="BV29" s="499">
        <f t="shared" si="153"/>
        <v>10</v>
      </c>
      <c r="BW29" s="774">
        <f t="shared" si="196"/>
        <v>0</v>
      </c>
      <c r="BX29" s="503">
        <f t="shared" si="196"/>
        <v>0</v>
      </c>
      <c r="BY29" s="503">
        <f t="shared" si="196"/>
        <v>0</v>
      </c>
      <c r="BZ29" s="503">
        <f t="shared" si="196"/>
        <v>0</v>
      </c>
      <c r="CA29" s="503">
        <f t="shared" si="196"/>
        <v>0</v>
      </c>
      <c r="CB29" s="503">
        <f t="shared" si="196"/>
        <v>0</v>
      </c>
      <c r="CC29" s="503">
        <f t="shared" si="196"/>
        <v>0</v>
      </c>
      <c r="CD29" s="722">
        <f t="shared" si="13"/>
        <v>304.34429618001042</v>
      </c>
      <c r="CE29" s="511">
        <f t="shared" ref="CE29:CH29" si="221">CD29</f>
        <v>304.34429618001042</v>
      </c>
      <c r="CF29" s="511">
        <f t="shared" si="221"/>
        <v>304.34429618001042</v>
      </c>
      <c r="CG29" s="511">
        <f t="shared" si="221"/>
        <v>304.34429618001042</v>
      </c>
      <c r="CH29" s="511">
        <f t="shared" si="221"/>
        <v>304.34429618001042</v>
      </c>
      <c r="CI29" s="511">
        <f t="shared" si="103"/>
        <v>304.34429618001042</v>
      </c>
      <c r="CJ29" s="511">
        <f t="shared" si="104"/>
        <v>304.34429618001042</v>
      </c>
      <c r="CK29" s="722">
        <f t="shared" si="15"/>
        <v>4.7084510727367863E-2</v>
      </c>
      <c r="CL29" s="511">
        <f t="shared" ref="CL29:CO29" si="222">CK29</f>
        <v>4.7084510727367863E-2</v>
      </c>
      <c r="CM29" s="511">
        <f t="shared" si="222"/>
        <v>4.7084510727367863E-2</v>
      </c>
      <c r="CN29" s="511">
        <f t="shared" si="222"/>
        <v>4.7084510727367863E-2</v>
      </c>
      <c r="CO29" s="511">
        <f t="shared" si="222"/>
        <v>4.7084510727367863E-2</v>
      </c>
      <c r="CP29" s="511">
        <f t="shared" si="106"/>
        <v>4.7084510727367863E-2</v>
      </c>
      <c r="CQ29" s="511">
        <f t="shared" si="107"/>
        <v>4.7084510727367863E-2</v>
      </c>
      <c r="CR29" s="722">
        <f t="shared" si="17"/>
        <v>0</v>
      </c>
      <c r="CS29" s="511">
        <f t="shared" ref="CS29:CV29" si="223">CR29</f>
        <v>0</v>
      </c>
      <c r="CT29" s="511">
        <f t="shared" si="223"/>
        <v>0</v>
      </c>
      <c r="CU29" s="511">
        <f t="shared" si="223"/>
        <v>0</v>
      </c>
      <c r="CV29" s="511">
        <f t="shared" si="223"/>
        <v>0</v>
      </c>
      <c r="CW29" s="511">
        <f t="shared" si="109"/>
        <v>0</v>
      </c>
      <c r="CX29" s="539">
        <f t="shared" si="110"/>
        <v>0</v>
      </c>
      <c r="CY29" s="724">
        <f t="shared" si="19"/>
        <v>48142.5</v>
      </c>
      <c r="CZ29" s="508">
        <f t="shared" si="20"/>
        <v>48142.5</v>
      </c>
      <c r="DA29" s="508">
        <f t="shared" si="21"/>
        <v>48142.5</v>
      </c>
      <c r="DB29" s="508">
        <f t="shared" si="22"/>
        <v>48142.5</v>
      </c>
      <c r="DC29" s="508">
        <f t="shared" si="23"/>
        <v>48142.5</v>
      </c>
      <c r="DD29" s="508">
        <f t="shared" si="24"/>
        <v>48142.5</v>
      </c>
      <c r="DE29" s="726">
        <f t="shared" si="25"/>
        <v>48142.5</v>
      </c>
      <c r="DF29" s="724">
        <f t="shared" si="26"/>
        <v>0</v>
      </c>
      <c r="DG29" s="509">
        <f t="shared" si="27"/>
        <v>0</v>
      </c>
      <c r="DH29" s="509">
        <f t="shared" si="28"/>
        <v>0</v>
      </c>
      <c r="DI29" s="509">
        <f t="shared" si="29"/>
        <v>0</v>
      </c>
      <c r="DJ29" s="509">
        <f t="shared" si="30"/>
        <v>0</v>
      </c>
      <c r="DK29" s="509">
        <f t="shared" si="31"/>
        <v>0</v>
      </c>
      <c r="DL29" s="451">
        <f t="shared" si="32"/>
        <v>0</v>
      </c>
      <c r="DM29" s="509">
        <f t="shared" si="33"/>
        <v>13755</v>
      </c>
      <c r="DN29" s="509">
        <f t="shared" si="34"/>
        <v>13755</v>
      </c>
      <c r="DO29" s="509">
        <f t="shared" si="35"/>
        <v>13755</v>
      </c>
      <c r="DP29" s="509">
        <f t="shared" si="36"/>
        <v>13755</v>
      </c>
      <c r="DQ29" s="509">
        <f t="shared" si="37"/>
        <v>13755</v>
      </c>
      <c r="DR29" s="509">
        <f t="shared" si="38"/>
        <v>13755</v>
      </c>
      <c r="DS29" s="450">
        <f t="shared" si="39"/>
        <v>13755</v>
      </c>
      <c r="DT29" s="724">
        <f t="shared" si="40"/>
        <v>0</v>
      </c>
      <c r="DU29" s="508">
        <f t="shared" si="41"/>
        <v>0</v>
      </c>
      <c r="DV29" s="508">
        <f t="shared" si="42"/>
        <v>0</v>
      </c>
      <c r="DW29" s="508">
        <f t="shared" si="43"/>
        <v>0</v>
      </c>
      <c r="DX29" s="508">
        <f t="shared" si="44"/>
        <v>0</v>
      </c>
      <c r="DY29" s="508">
        <f t="shared" si="45"/>
        <v>0</v>
      </c>
      <c r="DZ29" s="726">
        <f t="shared" si="46"/>
        <v>0</v>
      </c>
      <c r="EA29" s="722">
        <f t="shared" si="47"/>
        <v>418625.57939560432</v>
      </c>
      <c r="EB29" s="511">
        <f t="shared" si="48"/>
        <v>418625.57939560432</v>
      </c>
      <c r="EC29" s="511">
        <f t="shared" si="49"/>
        <v>418625.57939560432</v>
      </c>
      <c r="ED29" s="511">
        <f t="shared" si="50"/>
        <v>418625.57939560432</v>
      </c>
      <c r="EE29" s="511">
        <f t="shared" si="51"/>
        <v>418625.57939560432</v>
      </c>
      <c r="EF29" s="511">
        <f t="shared" si="52"/>
        <v>418625.57939560432</v>
      </c>
      <c r="EG29" s="723">
        <f t="shared" si="53"/>
        <v>418625.57939560432</v>
      </c>
      <c r="EH29" s="397">
        <f t="shared" si="111"/>
        <v>64.764744505494491</v>
      </c>
      <c r="EI29" s="397">
        <f t="shared" si="54"/>
        <v>64.764744505494491</v>
      </c>
      <c r="EJ29" s="397">
        <f t="shared" si="55"/>
        <v>64.764744505494491</v>
      </c>
      <c r="EK29" s="397">
        <f t="shared" si="56"/>
        <v>64.764744505494491</v>
      </c>
      <c r="EL29" s="397">
        <f t="shared" si="57"/>
        <v>64.764744505494491</v>
      </c>
      <c r="EM29" s="397">
        <f t="shared" si="58"/>
        <v>64.764744505494491</v>
      </c>
      <c r="EN29" s="398">
        <f t="shared" si="59"/>
        <v>64.764744505494491</v>
      </c>
      <c r="EO29" s="722">
        <f t="shared" si="60"/>
        <v>0</v>
      </c>
      <c r="EP29" s="511">
        <f t="shared" si="61"/>
        <v>0</v>
      </c>
      <c r="EQ29" s="511">
        <f t="shared" si="62"/>
        <v>0</v>
      </c>
      <c r="ER29" s="511">
        <f t="shared" si="63"/>
        <v>0</v>
      </c>
      <c r="ES29" s="511">
        <f t="shared" si="64"/>
        <v>0</v>
      </c>
      <c r="ET29" s="511">
        <f t="shared" si="65"/>
        <v>0</v>
      </c>
      <c r="EU29" s="723">
        <f t="shared" si="66"/>
        <v>0</v>
      </c>
      <c r="EV29" s="727">
        <f t="shared" si="67"/>
        <v>4126.5</v>
      </c>
      <c r="EW29" s="728">
        <f t="shared" si="68"/>
        <v>336997.5</v>
      </c>
      <c r="EX29" s="728">
        <f t="shared" si="69"/>
        <v>0</v>
      </c>
      <c r="EY29" s="728">
        <f t="shared" si="70"/>
        <v>96285</v>
      </c>
      <c r="EZ29" s="728">
        <f t="shared" si="71"/>
        <v>0</v>
      </c>
      <c r="FA29" s="777">
        <f t="shared" si="72"/>
        <v>2930379.0557692302</v>
      </c>
      <c r="FB29" s="777">
        <f t="shared" si="73"/>
        <v>453.35321153846144</v>
      </c>
      <c r="FC29" s="778">
        <f t="shared" si="74"/>
        <v>0</v>
      </c>
      <c r="FE29" s="10" t="b">
        <f t="shared" si="112"/>
        <v>1</v>
      </c>
      <c r="FF29" s="10" t="b">
        <f t="shared" si="75"/>
        <v>1</v>
      </c>
      <c r="FG29" s="10" t="b">
        <f t="shared" si="76"/>
        <v>1</v>
      </c>
      <c r="FH29" s="10" t="b">
        <f t="shared" si="77"/>
        <v>1</v>
      </c>
      <c r="FI29" s="10" t="b">
        <f t="shared" si="78"/>
        <v>1</v>
      </c>
      <c r="FJ29" s="10" t="b">
        <f t="shared" si="79"/>
        <v>1</v>
      </c>
      <c r="FK29" s="10" t="b">
        <f t="shared" si="80"/>
        <v>1</v>
      </c>
      <c r="FL29" s="10" t="b">
        <f t="shared" si="81"/>
        <v>1</v>
      </c>
    </row>
    <row r="30" spans="1:168">
      <c r="A30" s="662">
        <v>25</v>
      </c>
      <c r="B30" s="789" t="s">
        <v>1269</v>
      </c>
      <c r="C30" s="789" t="s">
        <v>1270</v>
      </c>
      <c r="D30" s="789" t="s">
        <v>1271</v>
      </c>
      <c r="E30" s="789" t="s">
        <v>1272</v>
      </c>
      <c r="F30" s="789" t="s">
        <v>1273</v>
      </c>
      <c r="G30" s="704" t="s">
        <v>372</v>
      </c>
      <c r="H30" s="704">
        <f>BizRebates_Costs!G36</f>
        <v>0.73908981456363465</v>
      </c>
      <c r="I30" s="704">
        <v>0</v>
      </c>
      <c r="J30" s="704">
        <f t="shared" si="186"/>
        <v>0.73908981456363465</v>
      </c>
      <c r="K30" s="704">
        <v>0</v>
      </c>
      <c r="L30" s="704">
        <f>J30*0.5</f>
        <v>0.36954490728181733</v>
      </c>
      <c r="M30" s="1023" t="s">
        <v>1274</v>
      </c>
      <c r="N30" s="1024">
        <v>0.03</v>
      </c>
      <c r="O30" s="1024">
        <v>0.03</v>
      </c>
      <c r="P30" s="707">
        <v>0</v>
      </c>
      <c r="Q30" s="707">
        <v>0</v>
      </c>
      <c r="R30" s="1021">
        <f>AVERAGE(LGE_KU_ComReb_Report_Data!G52:G56)</f>
        <v>1.1500286088095752</v>
      </c>
      <c r="S30" s="872">
        <f>AVERAGE(LGE_KU_ComReb_Report_Data!H52:H56)</f>
        <v>1.3076625366983857E-4</v>
      </c>
      <c r="T30" s="1022">
        <v>0</v>
      </c>
      <c r="U30" s="1026" t="s">
        <v>1212</v>
      </c>
      <c r="V30" s="716">
        <v>0</v>
      </c>
      <c r="W30" s="912">
        <v>1</v>
      </c>
      <c r="X30" s="781">
        <v>234641</v>
      </c>
      <c r="Y30" s="781">
        <v>312247</v>
      </c>
      <c r="Z30" s="781">
        <v>358399</v>
      </c>
      <c r="AA30" s="781">
        <v>394865.14285714284</v>
      </c>
      <c r="AB30" s="781">
        <f t="shared" si="113"/>
        <v>376632.07142857142</v>
      </c>
      <c r="AC30" s="1028">
        <f>AB30</f>
        <v>376632.07142857142</v>
      </c>
      <c r="AD30" s="1028">
        <f t="shared" si="177"/>
        <v>376632.07142857142</v>
      </c>
      <c r="AE30" s="1028">
        <f t="shared" si="177"/>
        <v>376632.07142857142</v>
      </c>
      <c r="AF30" s="1028">
        <f t="shared" si="177"/>
        <v>376632.07142857142</v>
      </c>
      <c r="AG30" s="1028">
        <f t="shared" si="177"/>
        <v>376632.07142857142</v>
      </c>
      <c r="AH30" s="1028">
        <f t="shared" si="177"/>
        <v>376632.07142857142</v>
      </c>
      <c r="AI30" s="1028">
        <f t="shared" si="177"/>
        <v>376632.07142857142</v>
      </c>
      <c r="AJ30" s="1028">
        <f t="shared" si="177"/>
        <v>376632.07142857142</v>
      </c>
      <c r="AK30" s="715" t="s">
        <v>384</v>
      </c>
      <c r="AL30" s="711" t="s">
        <v>742</v>
      </c>
      <c r="AM30" s="715" t="s">
        <v>1186</v>
      </c>
      <c r="AN30" s="715" t="s">
        <v>1152</v>
      </c>
      <c r="AO30" s="711" t="s">
        <v>1</v>
      </c>
      <c r="AP30" s="715"/>
      <c r="AQ30" s="715"/>
      <c r="AR30" s="715"/>
      <c r="AS30" s="715" t="s">
        <v>1153</v>
      </c>
      <c r="AT30" s="715" t="s">
        <v>745</v>
      </c>
      <c r="AU30" s="715" t="s">
        <v>746</v>
      </c>
      <c r="AV30" s="715">
        <v>8</v>
      </c>
      <c r="AW30" s="715">
        <v>8</v>
      </c>
      <c r="AX30" s="715" t="s">
        <v>1487</v>
      </c>
      <c r="AY30" s="716">
        <v>1</v>
      </c>
      <c r="AZ30" s="716">
        <v>1</v>
      </c>
      <c r="BA30" s="717">
        <v>0</v>
      </c>
      <c r="BB30" s="721">
        <f t="shared" si="139"/>
        <v>0.73908981456363465</v>
      </c>
      <c r="BC30" s="499">
        <f t="shared" si="140"/>
        <v>0.73908981456363465</v>
      </c>
      <c r="BD30" s="499">
        <f t="shared" si="141"/>
        <v>0.73908981456363465</v>
      </c>
      <c r="BE30" s="499">
        <f t="shared" si="142"/>
        <v>0.73908981456363465</v>
      </c>
      <c r="BF30" s="499">
        <f t="shared" si="143"/>
        <v>0.73908981456363465</v>
      </c>
      <c r="BG30" s="499">
        <f t="shared" si="144"/>
        <v>0.73908981456363465</v>
      </c>
      <c r="BH30" s="499">
        <f t="shared" si="145"/>
        <v>0.73908981456363465</v>
      </c>
      <c r="BI30" s="721">
        <f t="shared" si="6"/>
        <v>0</v>
      </c>
      <c r="BJ30" s="499">
        <f t="shared" ref="BJ30:BM30" si="224">BI30</f>
        <v>0</v>
      </c>
      <c r="BK30" s="499">
        <f t="shared" si="224"/>
        <v>0</v>
      </c>
      <c r="BL30" s="499">
        <f t="shared" si="224"/>
        <v>0</v>
      </c>
      <c r="BM30" s="499">
        <f t="shared" si="224"/>
        <v>0</v>
      </c>
      <c r="BN30" s="499">
        <f t="shared" si="147"/>
        <v>0</v>
      </c>
      <c r="BO30" s="499">
        <f t="shared" si="148"/>
        <v>0</v>
      </c>
      <c r="BP30" s="721">
        <f t="shared" si="8"/>
        <v>0.03</v>
      </c>
      <c r="BQ30" s="499">
        <f t="shared" si="95"/>
        <v>0.03</v>
      </c>
      <c r="BR30" s="499">
        <f t="shared" si="149"/>
        <v>0.03</v>
      </c>
      <c r="BS30" s="499">
        <f t="shared" si="150"/>
        <v>0.03</v>
      </c>
      <c r="BT30" s="499">
        <f t="shared" si="151"/>
        <v>0.03</v>
      </c>
      <c r="BU30" s="499">
        <f t="shared" si="152"/>
        <v>0.03</v>
      </c>
      <c r="BV30" s="499">
        <f t="shared" si="153"/>
        <v>0.03</v>
      </c>
      <c r="BW30" s="774">
        <f t="shared" si="196"/>
        <v>0</v>
      </c>
      <c r="BX30" s="503">
        <f t="shared" si="196"/>
        <v>0</v>
      </c>
      <c r="BY30" s="503">
        <f t="shared" si="196"/>
        <v>0</v>
      </c>
      <c r="BZ30" s="503">
        <f t="shared" si="196"/>
        <v>0</v>
      </c>
      <c r="CA30" s="503">
        <f t="shared" si="196"/>
        <v>0</v>
      </c>
      <c r="CB30" s="503">
        <f t="shared" si="196"/>
        <v>0</v>
      </c>
      <c r="CC30" s="503">
        <f t="shared" si="196"/>
        <v>0</v>
      </c>
      <c r="CD30" s="722">
        <f t="shared" si="13"/>
        <v>1.1500286088095752</v>
      </c>
      <c r="CE30" s="511">
        <f t="shared" ref="CE30:CH30" si="225">CD30</f>
        <v>1.1500286088095752</v>
      </c>
      <c r="CF30" s="511">
        <f t="shared" si="225"/>
        <v>1.1500286088095752</v>
      </c>
      <c r="CG30" s="511">
        <f t="shared" si="225"/>
        <v>1.1500286088095752</v>
      </c>
      <c r="CH30" s="511">
        <f t="shared" si="225"/>
        <v>1.1500286088095752</v>
      </c>
      <c r="CI30" s="511">
        <f t="shared" si="103"/>
        <v>1.1500286088095752</v>
      </c>
      <c r="CJ30" s="511">
        <f t="shared" si="104"/>
        <v>1.1500286088095752</v>
      </c>
      <c r="CK30" s="722">
        <f t="shared" si="15"/>
        <v>1.3076625366983857E-4</v>
      </c>
      <c r="CL30" s="511">
        <f t="shared" ref="CL30:CO30" si="226">CK30</f>
        <v>1.3076625366983857E-4</v>
      </c>
      <c r="CM30" s="511">
        <f t="shared" si="226"/>
        <v>1.3076625366983857E-4</v>
      </c>
      <c r="CN30" s="511">
        <f t="shared" si="226"/>
        <v>1.3076625366983857E-4</v>
      </c>
      <c r="CO30" s="511">
        <f t="shared" si="226"/>
        <v>1.3076625366983857E-4</v>
      </c>
      <c r="CP30" s="511">
        <f t="shared" si="106"/>
        <v>1.3076625366983857E-4</v>
      </c>
      <c r="CQ30" s="511">
        <f t="shared" si="107"/>
        <v>1.3076625366983857E-4</v>
      </c>
      <c r="CR30" s="722">
        <f t="shared" si="17"/>
        <v>0</v>
      </c>
      <c r="CS30" s="511">
        <f t="shared" ref="CS30:CV30" si="227">CR30</f>
        <v>0</v>
      </c>
      <c r="CT30" s="511">
        <f t="shared" si="227"/>
        <v>0</v>
      </c>
      <c r="CU30" s="511">
        <f t="shared" si="227"/>
        <v>0</v>
      </c>
      <c r="CV30" s="511">
        <f t="shared" si="227"/>
        <v>0</v>
      </c>
      <c r="CW30" s="511">
        <f t="shared" si="109"/>
        <v>0</v>
      </c>
      <c r="CX30" s="539">
        <f t="shared" si="110"/>
        <v>0</v>
      </c>
      <c r="CY30" s="724">
        <f t="shared" si="19"/>
        <v>278364.92783086043</v>
      </c>
      <c r="CZ30" s="508">
        <f t="shared" si="20"/>
        <v>278364.92783086043</v>
      </c>
      <c r="DA30" s="508">
        <f t="shared" si="21"/>
        <v>278364.92783086043</v>
      </c>
      <c r="DB30" s="508">
        <f t="shared" si="22"/>
        <v>278364.92783086043</v>
      </c>
      <c r="DC30" s="508">
        <f t="shared" si="23"/>
        <v>278364.92783086043</v>
      </c>
      <c r="DD30" s="508">
        <f t="shared" si="24"/>
        <v>278364.92783086043</v>
      </c>
      <c r="DE30" s="726">
        <f t="shared" si="25"/>
        <v>278364.92783086043</v>
      </c>
      <c r="DF30" s="724">
        <f t="shared" si="26"/>
        <v>0</v>
      </c>
      <c r="DG30" s="509">
        <f t="shared" si="27"/>
        <v>0</v>
      </c>
      <c r="DH30" s="509">
        <f t="shared" si="28"/>
        <v>0</v>
      </c>
      <c r="DI30" s="509">
        <f t="shared" si="29"/>
        <v>0</v>
      </c>
      <c r="DJ30" s="509">
        <f t="shared" si="30"/>
        <v>0</v>
      </c>
      <c r="DK30" s="509">
        <f t="shared" si="31"/>
        <v>0</v>
      </c>
      <c r="DL30" s="451">
        <f t="shared" si="32"/>
        <v>0</v>
      </c>
      <c r="DM30" s="509">
        <f t="shared" si="33"/>
        <v>11298.962142857143</v>
      </c>
      <c r="DN30" s="509">
        <f t="shared" si="34"/>
        <v>11298.962142857143</v>
      </c>
      <c r="DO30" s="509">
        <f t="shared" si="35"/>
        <v>11298.962142857143</v>
      </c>
      <c r="DP30" s="509">
        <f t="shared" si="36"/>
        <v>11298.962142857143</v>
      </c>
      <c r="DQ30" s="509">
        <f t="shared" si="37"/>
        <v>11298.962142857143</v>
      </c>
      <c r="DR30" s="509">
        <f t="shared" si="38"/>
        <v>11298.962142857143</v>
      </c>
      <c r="DS30" s="450">
        <f t="shared" si="39"/>
        <v>11298.962142857143</v>
      </c>
      <c r="DT30" s="724">
        <f t="shared" si="40"/>
        <v>0</v>
      </c>
      <c r="DU30" s="508">
        <f t="shared" si="41"/>
        <v>0</v>
      </c>
      <c r="DV30" s="508">
        <f t="shared" si="42"/>
        <v>0</v>
      </c>
      <c r="DW30" s="508">
        <f t="shared" si="43"/>
        <v>0</v>
      </c>
      <c r="DX30" s="508">
        <f t="shared" si="44"/>
        <v>0</v>
      </c>
      <c r="DY30" s="508">
        <f t="shared" si="45"/>
        <v>0</v>
      </c>
      <c r="DZ30" s="726">
        <f t="shared" si="46"/>
        <v>0</v>
      </c>
      <c r="EA30" s="722">
        <f t="shared" si="47"/>
        <v>433137.65713806858</v>
      </c>
      <c r="EB30" s="511">
        <f t="shared" si="48"/>
        <v>433137.65713806858</v>
      </c>
      <c r="EC30" s="511">
        <f t="shared" si="49"/>
        <v>433137.65713806858</v>
      </c>
      <c r="ED30" s="511">
        <f t="shared" si="50"/>
        <v>433137.65713806858</v>
      </c>
      <c r="EE30" s="511">
        <f t="shared" si="51"/>
        <v>433137.65713806858</v>
      </c>
      <c r="EF30" s="511">
        <f t="shared" si="52"/>
        <v>433137.65713806858</v>
      </c>
      <c r="EG30" s="723">
        <f t="shared" si="53"/>
        <v>433137.65713806858</v>
      </c>
      <c r="EH30" s="397">
        <f t="shared" si="111"/>
        <v>49.250764992625328</v>
      </c>
      <c r="EI30" s="397">
        <f t="shared" si="54"/>
        <v>49.250764992625328</v>
      </c>
      <c r="EJ30" s="397">
        <f t="shared" si="55"/>
        <v>49.250764992625328</v>
      </c>
      <c r="EK30" s="397">
        <f t="shared" si="56"/>
        <v>49.250764992625328</v>
      </c>
      <c r="EL30" s="397">
        <f t="shared" si="57"/>
        <v>49.250764992625328</v>
      </c>
      <c r="EM30" s="397">
        <f t="shared" si="58"/>
        <v>49.250764992625328</v>
      </c>
      <c r="EN30" s="398">
        <f t="shared" si="59"/>
        <v>49.250764992625328</v>
      </c>
      <c r="EO30" s="722">
        <f t="shared" si="60"/>
        <v>0</v>
      </c>
      <c r="EP30" s="511">
        <f t="shared" si="61"/>
        <v>0</v>
      </c>
      <c r="EQ30" s="511">
        <f t="shared" si="62"/>
        <v>0</v>
      </c>
      <c r="ER30" s="511">
        <f t="shared" si="63"/>
        <v>0</v>
      </c>
      <c r="ES30" s="511">
        <f t="shared" si="64"/>
        <v>0</v>
      </c>
      <c r="ET30" s="511">
        <f t="shared" si="65"/>
        <v>0</v>
      </c>
      <c r="EU30" s="723">
        <f t="shared" si="66"/>
        <v>0</v>
      </c>
      <c r="EV30" s="977">
        <f t="shared" si="67"/>
        <v>1129896.2142857143</v>
      </c>
      <c r="EW30" s="728">
        <f t="shared" si="68"/>
        <v>1948554.4948160232</v>
      </c>
      <c r="EX30" s="728">
        <f t="shared" si="69"/>
        <v>0</v>
      </c>
      <c r="EY30" s="728">
        <f t="shared" si="70"/>
        <v>79092.735000000001</v>
      </c>
      <c r="EZ30" s="728">
        <f t="shared" si="71"/>
        <v>0</v>
      </c>
      <c r="FA30" s="978">
        <f t="shared" si="72"/>
        <v>3031963.5999664804</v>
      </c>
      <c r="FB30" s="978">
        <f t="shared" si="73"/>
        <v>344.75535494837726</v>
      </c>
      <c r="FC30" s="778">
        <f t="shared" si="74"/>
        <v>0</v>
      </c>
      <c r="FE30" s="10" t="b">
        <f t="shared" si="112"/>
        <v>1</v>
      </c>
      <c r="FF30" s="10" t="b">
        <f t="shared" si="75"/>
        <v>1</v>
      </c>
      <c r="FG30" s="10" t="b">
        <f t="shared" si="76"/>
        <v>1</v>
      </c>
      <c r="FH30" s="10" t="b">
        <f t="shared" si="77"/>
        <v>1</v>
      </c>
      <c r="FI30" s="10" t="b">
        <f t="shared" si="78"/>
        <v>1</v>
      </c>
      <c r="FJ30" s="10" t="b">
        <f t="shared" si="79"/>
        <v>1</v>
      </c>
      <c r="FK30" s="10" t="b">
        <f t="shared" si="80"/>
        <v>1</v>
      </c>
      <c r="FL30" s="10" t="b">
        <f t="shared" si="81"/>
        <v>1</v>
      </c>
    </row>
    <row r="31" spans="1:168">
      <c r="A31" s="662">
        <v>26</v>
      </c>
      <c r="B31" s="789" t="s">
        <v>1275</v>
      </c>
      <c r="C31" s="789" t="s">
        <v>1276</v>
      </c>
      <c r="D31" s="789" t="s">
        <v>1277</v>
      </c>
      <c r="E31" s="789" t="s">
        <v>1272</v>
      </c>
      <c r="F31" s="789" t="s">
        <v>1273</v>
      </c>
      <c r="G31" s="704" t="s">
        <v>372</v>
      </c>
      <c r="H31" s="704">
        <f>BizRebates_Costs!G42</f>
        <v>0.39914115833516844</v>
      </c>
      <c r="I31" s="704">
        <v>0</v>
      </c>
      <c r="J31" s="704">
        <f t="shared" si="186"/>
        <v>0.39914115833516844</v>
      </c>
      <c r="K31" s="704">
        <v>0</v>
      </c>
      <c r="L31" s="704">
        <f>J31*0.5</f>
        <v>0.19957057916758422</v>
      </c>
      <c r="M31" s="1023" t="s">
        <v>1274</v>
      </c>
      <c r="N31" s="1024">
        <v>0.03</v>
      </c>
      <c r="O31" s="1024">
        <v>0.03</v>
      </c>
      <c r="P31" s="707">
        <v>0</v>
      </c>
      <c r="Q31" s="707">
        <v>0</v>
      </c>
      <c r="R31" s="1021">
        <f>0.001*3496*(0.28-0)*1.08</f>
        <v>1.0571904000000001</v>
      </c>
      <c r="S31" s="872">
        <f>0.001*1.3*(0.66-0.15)</f>
        <v>6.6300000000000007E-4</v>
      </c>
      <c r="T31" s="1022">
        <f>0.001*3496*(0.28-0)*-(0.015)</f>
        <v>-1.46832E-2</v>
      </c>
      <c r="U31" s="1023" t="s">
        <v>1278</v>
      </c>
      <c r="V31" s="716">
        <v>0</v>
      </c>
      <c r="W31" s="912">
        <v>6309</v>
      </c>
      <c r="X31" s="781">
        <v>0</v>
      </c>
      <c r="Y31" s="781">
        <v>0</v>
      </c>
      <c r="Z31" s="781">
        <v>0</v>
      </c>
      <c r="AA31" s="781">
        <v>0</v>
      </c>
      <c r="AB31" s="781">
        <f t="shared" si="113"/>
        <v>0</v>
      </c>
      <c r="AC31" s="1028">
        <v>0</v>
      </c>
      <c r="AD31" s="781">
        <v>0</v>
      </c>
      <c r="AE31" s="1028">
        <v>1</v>
      </c>
      <c r="AF31" s="781">
        <v>0</v>
      </c>
      <c r="AG31" s="781">
        <v>0</v>
      </c>
      <c r="AH31" s="1028">
        <v>1</v>
      </c>
      <c r="AI31" s="781">
        <v>0</v>
      </c>
      <c r="AJ31" s="781">
        <v>0</v>
      </c>
      <c r="AK31" s="715" t="s">
        <v>384</v>
      </c>
      <c r="AL31" s="711" t="s">
        <v>742</v>
      </c>
      <c r="AM31" s="715" t="s">
        <v>1186</v>
      </c>
      <c r="AN31" s="715" t="s">
        <v>1152</v>
      </c>
      <c r="AO31" s="711" t="s">
        <v>1</v>
      </c>
      <c r="AP31" s="715"/>
      <c r="AQ31" s="715"/>
      <c r="AR31" s="715"/>
      <c r="AS31" s="715" t="s">
        <v>1153</v>
      </c>
      <c r="AT31" s="715" t="s">
        <v>745</v>
      </c>
      <c r="AU31" s="715" t="s">
        <v>746</v>
      </c>
      <c r="AV31" s="715">
        <v>8</v>
      </c>
      <c r="AW31" s="715">
        <v>8</v>
      </c>
      <c r="AX31" s="715" t="s">
        <v>2717</v>
      </c>
      <c r="AY31" s="716">
        <v>1</v>
      </c>
      <c r="AZ31" s="716">
        <v>1</v>
      </c>
      <c r="BA31" s="717">
        <v>0</v>
      </c>
      <c r="BB31" s="721">
        <f t="shared" si="139"/>
        <v>0.39914115833516844</v>
      </c>
      <c r="BC31" s="499">
        <f t="shared" si="140"/>
        <v>0.39914115833516844</v>
      </c>
      <c r="BD31" s="499">
        <f t="shared" si="141"/>
        <v>0.39914115833516844</v>
      </c>
      <c r="BE31" s="499">
        <f t="shared" si="142"/>
        <v>0.39914115833516844</v>
      </c>
      <c r="BF31" s="499">
        <f t="shared" si="143"/>
        <v>0.39914115833516844</v>
      </c>
      <c r="BG31" s="499">
        <f t="shared" si="144"/>
        <v>0.39914115833516844</v>
      </c>
      <c r="BH31" s="499">
        <f t="shared" si="145"/>
        <v>0.39914115833516844</v>
      </c>
      <c r="BI31" s="721">
        <f t="shared" si="6"/>
        <v>0</v>
      </c>
      <c r="BJ31" s="499">
        <f t="shared" ref="BJ31:BM31" si="228">BI31</f>
        <v>0</v>
      </c>
      <c r="BK31" s="499">
        <f t="shared" si="228"/>
        <v>0</v>
      </c>
      <c r="BL31" s="499">
        <f t="shared" si="228"/>
        <v>0</v>
      </c>
      <c r="BM31" s="499">
        <f t="shared" si="228"/>
        <v>0</v>
      </c>
      <c r="BN31" s="499">
        <f t="shared" si="147"/>
        <v>0</v>
      </c>
      <c r="BO31" s="499">
        <f t="shared" si="148"/>
        <v>0</v>
      </c>
      <c r="BP31" s="721">
        <f t="shared" si="8"/>
        <v>0.03</v>
      </c>
      <c r="BQ31" s="499">
        <f t="shared" si="95"/>
        <v>0.03</v>
      </c>
      <c r="BR31" s="499">
        <f t="shared" si="149"/>
        <v>0.03</v>
      </c>
      <c r="BS31" s="499">
        <f t="shared" si="150"/>
        <v>0.03</v>
      </c>
      <c r="BT31" s="499">
        <f t="shared" si="151"/>
        <v>0.03</v>
      </c>
      <c r="BU31" s="499">
        <f t="shared" si="152"/>
        <v>0.03</v>
      </c>
      <c r="BV31" s="499">
        <f t="shared" si="153"/>
        <v>0.03</v>
      </c>
      <c r="BW31" s="774">
        <f t="shared" si="196"/>
        <v>0</v>
      </c>
      <c r="BX31" s="503">
        <f t="shared" si="196"/>
        <v>0</v>
      </c>
      <c r="BY31" s="503">
        <f t="shared" si="196"/>
        <v>0</v>
      </c>
      <c r="BZ31" s="503">
        <f t="shared" si="196"/>
        <v>0</v>
      </c>
      <c r="CA31" s="503">
        <f t="shared" si="196"/>
        <v>0</v>
      </c>
      <c r="CB31" s="503">
        <f t="shared" si="196"/>
        <v>0</v>
      </c>
      <c r="CC31" s="503">
        <f t="shared" si="196"/>
        <v>0</v>
      </c>
      <c r="CD31" s="722">
        <f t="shared" si="13"/>
        <v>1.0571904000000001</v>
      </c>
      <c r="CE31" s="511">
        <f t="shared" ref="CE31:CH31" si="229">CD31</f>
        <v>1.0571904000000001</v>
      </c>
      <c r="CF31" s="511">
        <f t="shared" si="229"/>
        <v>1.0571904000000001</v>
      </c>
      <c r="CG31" s="511">
        <f t="shared" si="229"/>
        <v>1.0571904000000001</v>
      </c>
      <c r="CH31" s="511">
        <f t="shared" si="229"/>
        <v>1.0571904000000001</v>
      </c>
      <c r="CI31" s="511">
        <f t="shared" si="103"/>
        <v>1.0571904000000001</v>
      </c>
      <c r="CJ31" s="511">
        <f t="shared" si="104"/>
        <v>1.0571904000000001</v>
      </c>
      <c r="CK31" s="722">
        <f t="shared" si="15"/>
        <v>6.6300000000000007E-4</v>
      </c>
      <c r="CL31" s="511">
        <f t="shared" ref="CL31:CO31" si="230">CK31</f>
        <v>6.6300000000000007E-4</v>
      </c>
      <c r="CM31" s="511">
        <f t="shared" si="230"/>
        <v>6.6300000000000007E-4</v>
      </c>
      <c r="CN31" s="511">
        <f t="shared" si="230"/>
        <v>6.6300000000000007E-4</v>
      </c>
      <c r="CO31" s="511">
        <f t="shared" si="230"/>
        <v>6.6300000000000007E-4</v>
      </c>
      <c r="CP31" s="511">
        <f t="shared" si="106"/>
        <v>6.6300000000000007E-4</v>
      </c>
      <c r="CQ31" s="511">
        <f t="shared" si="107"/>
        <v>6.6300000000000007E-4</v>
      </c>
      <c r="CR31" s="722">
        <f t="shared" si="17"/>
        <v>0</v>
      </c>
      <c r="CS31" s="511">
        <f t="shared" ref="CS31:CV31" si="231">CR31</f>
        <v>0</v>
      </c>
      <c r="CT31" s="511">
        <f t="shared" si="231"/>
        <v>0</v>
      </c>
      <c r="CU31" s="511">
        <f t="shared" si="231"/>
        <v>0</v>
      </c>
      <c r="CV31" s="511">
        <f t="shared" si="231"/>
        <v>0</v>
      </c>
      <c r="CW31" s="511">
        <f t="shared" si="109"/>
        <v>0</v>
      </c>
      <c r="CX31" s="539">
        <f t="shared" si="110"/>
        <v>0</v>
      </c>
      <c r="CY31" s="724">
        <f t="shared" si="19"/>
        <v>0</v>
      </c>
      <c r="CZ31" s="508">
        <f t="shared" si="20"/>
        <v>2518.1815679365777</v>
      </c>
      <c r="DA31" s="508">
        <f t="shared" si="21"/>
        <v>0</v>
      </c>
      <c r="DB31" s="508">
        <f t="shared" si="22"/>
        <v>0</v>
      </c>
      <c r="DC31" s="508">
        <f t="shared" si="23"/>
        <v>2518.1815679365777</v>
      </c>
      <c r="DD31" s="508">
        <f t="shared" si="24"/>
        <v>0</v>
      </c>
      <c r="DE31" s="726">
        <f t="shared" si="25"/>
        <v>0</v>
      </c>
      <c r="DF31" s="724">
        <f t="shared" si="26"/>
        <v>0</v>
      </c>
      <c r="DG31" s="509">
        <f t="shared" si="27"/>
        <v>0</v>
      </c>
      <c r="DH31" s="509">
        <f t="shared" si="28"/>
        <v>0</v>
      </c>
      <c r="DI31" s="509">
        <f t="shared" si="29"/>
        <v>0</v>
      </c>
      <c r="DJ31" s="509">
        <f t="shared" si="30"/>
        <v>0</v>
      </c>
      <c r="DK31" s="509">
        <f t="shared" si="31"/>
        <v>0</v>
      </c>
      <c r="DL31" s="451">
        <f t="shared" si="32"/>
        <v>0</v>
      </c>
      <c r="DM31" s="509">
        <f t="shared" si="33"/>
        <v>0</v>
      </c>
      <c r="DN31" s="509">
        <f t="shared" si="34"/>
        <v>189.26999999999998</v>
      </c>
      <c r="DO31" s="509">
        <f t="shared" si="35"/>
        <v>0</v>
      </c>
      <c r="DP31" s="509">
        <f t="shared" si="36"/>
        <v>0</v>
      </c>
      <c r="DQ31" s="509">
        <f t="shared" si="37"/>
        <v>189.26999999999998</v>
      </c>
      <c r="DR31" s="509">
        <f t="shared" si="38"/>
        <v>0</v>
      </c>
      <c r="DS31" s="450">
        <f t="shared" si="39"/>
        <v>0</v>
      </c>
      <c r="DT31" s="724">
        <f t="shared" si="40"/>
        <v>0</v>
      </c>
      <c r="DU31" s="508">
        <f t="shared" si="41"/>
        <v>0</v>
      </c>
      <c r="DV31" s="508">
        <f t="shared" si="42"/>
        <v>0</v>
      </c>
      <c r="DW31" s="508">
        <f t="shared" si="43"/>
        <v>0</v>
      </c>
      <c r="DX31" s="508">
        <f t="shared" si="44"/>
        <v>0</v>
      </c>
      <c r="DY31" s="508">
        <f t="shared" si="45"/>
        <v>0</v>
      </c>
      <c r="DZ31" s="726">
        <f t="shared" si="46"/>
        <v>0</v>
      </c>
      <c r="EA31" s="722">
        <f t="shared" si="47"/>
        <v>0</v>
      </c>
      <c r="EB31" s="511">
        <f t="shared" si="48"/>
        <v>6669.814233600001</v>
      </c>
      <c r="EC31" s="511">
        <f t="shared" si="49"/>
        <v>0</v>
      </c>
      <c r="ED31" s="511">
        <f t="shared" si="50"/>
        <v>0</v>
      </c>
      <c r="EE31" s="511">
        <f t="shared" si="51"/>
        <v>6669.814233600001</v>
      </c>
      <c r="EF31" s="511">
        <f t="shared" si="52"/>
        <v>0</v>
      </c>
      <c r="EG31" s="723">
        <f t="shared" si="53"/>
        <v>0</v>
      </c>
      <c r="EH31" s="397">
        <f t="shared" si="111"/>
        <v>0</v>
      </c>
      <c r="EI31" s="397">
        <f t="shared" si="54"/>
        <v>4.1828670000000008</v>
      </c>
      <c r="EJ31" s="397">
        <f t="shared" si="55"/>
        <v>0</v>
      </c>
      <c r="EK31" s="397">
        <f t="shared" si="56"/>
        <v>0</v>
      </c>
      <c r="EL31" s="397">
        <f t="shared" si="57"/>
        <v>4.1828670000000008</v>
      </c>
      <c r="EM31" s="397">
        <f t="shared" si="58"/>
        <v>0</v>
      </c>
      <c r="EN31" s="398">
        <f t="shared" si="59"/>
        <v>0</v>
      </c>
      <c r="EO31" s="722">
        <f t="shared" si="60"/>
        <v>0</v>
      </c>
      <c r="EP31" s="511">
        <f t="shared" si="61"/>
        <v>0</v>
      </c>
      <c r="EQ31" s="511">
        <f t="shared" si="62"/>
        <v>0</v>
      </c>
      <c r="ER31" s="511">
        <f t="shared" si="63"/>
        <v>0</v>
      </c>
      <c r="ES31" s="511">
        <f t="shared" si="64"/>
        <v>0</v>
      </c>
      <c r="ET31" s="511">
        <f t="shared" si="65"/>
        <v>0</v>
      </c>
      <c r="EU31" s="723">
        <f t="shared" si="66"/>
        <v>0</v>
      </c>
      <c r="EV31" s="977">
        <f t="shared" si="67"/>
        <v>1</v>
      </c>
      <c r="EW31" s="728">
        <f t="shared" si="68"/>
        <v>5036.3631358731554</v>
      </c>
      <c r="EX31" s="728">
        <f t="shared" si="69"/>
        <v>0</v>
      </c>
      <c r="EY31" s="728">
        <f t="shared" si="70"/>
        <v>378.53999999999996</v>
      </c>
      <c r="EZ31" s="728">
        <f t="shared" si="71"/>
        <v>0</v>
      </c>
      <c r="FA31" s="978">
        <f t="shared" si="72"/>
        <v>13339.628467200002</v>
      </c>
      <c r="FB31" s="978">
        <f t="shared" si="73"/>
        <v>8.3657340000000016</v>
      </c>
      <c r="FC31" s="778">
        <f t="shared" si="74"/>
        <v>0</v>
      </c>
      <c r="FE31" s="10" t="b">
        <f t="shared" si="112"/>
        <v>1</v>
      </c>
      <c r="FF31" s="10" t="b">
        <f t="shared" si="75"/>
        <v>1</v>
      </c>
      <c r="FG31" s="10" t="b">
        <f t="shared" si="76"/>
        <v>1</v>
      </c>
      <c r="FH31" s="10" t="b">
        <f t="shared" si="77"/>
        <v>1</v>
      </c>
      <c r="FI31" s="10" t="b">
        <f t="shared" si="78"/>
        <v>1</v>
      </c>
      <c r="FJ31" s="10" t="b">
        <f t="shared" si="79"/>
        <v>1</v>
      </c>
      <c r="FK31" s="10" t="b">
        <f t="shared" si="80"/>
        <v>1</v>
      </c>
      <c r="FL31" s="10" t="b">
        <f t="shared" si="81"/>
        <v>1</v>
      </c>
    </row>
    <row r="32" spans="1:168">
      <c r="A32" s="662">
        <v>27</v>
      </c>
      <c r="B32" s="789" t="s">
        <v>1279</v>
      </c>
      <c r="C32" s="789" t="s">
        <v>1280</v>
      </c>
      <c r="D32" s="789" t="s">
        <v>1281</v>
      </c>
      <c r="E32" s="789" t="s">
        <v>1183</v>
      </c>
      <c r="F32" s="789" t="s">
        <v>1273</v>
      </c>
      <c r="G32" s="704" t="s">
        <v>372</v>
      </c>
      <c r="H32" s="704">
        <f>BizRebates_Costs!G44</f>
        <v>1.5274740295243303</v>
      </c>
      <c r="I32" s="704">
        <v>0</v>
      </c>
      <c r="J32" s="704">
        <f t="shared" si="186"/>
        <v>1.5274740295243303</v>
      </c>
      <c r="K32" s="704">
        <v>0</v>
      </c>
      <c r="L32" s="704">
        <f>J32*0.5</f>
        <v>0.76373701476216516</v>
      </c>
      <c r="M32" s="1023" t="s">
        <v>1274</v>
      </c>
      <c r="N32" s="1024">
        <v>0.03</v>
      </c>
      <c r="O32" s="1024">
        <v>0.03</v>
      </c>
      <c r="P32" s="707">
        <v>0</v>
      </c>
      <c r="Q32" s="707">
        <v>0</v>
      </c>
      <c r="R32" s="1021">
        <f>0.001*3496*(0.38-0)*1.08</f>
        <v>1.4347584000000002</v>
      </c>
      <c r="S32" s="872">
        <f>0.001*1.3*(0.66-0.15)</f>
        <v>6.6300000000000007E-4</v>
      </c>
      <c r="T32" s="1022">
        <f>0.001*3496*(0.38-0)*-(0.015)</f>
        <v>-1.9927200000000003E-2</v>
      </c>
      <c r="U32" s="1023" t="s">
        <v>1278</v>
      </c>
      <c r="V32" s="716">
        <v>0</v>
      </c>
      <c r="W32" s="912">
        <v>6309</v>
      </c>
      <c r="X32" s="781">
        <v>0</v>
      </c>
      <c r="Y32" s="781">
        <v>0</v>
      </c>
      <c r="Z32" s="781">
        <v>0</v>
      </c>
      <c r="AA32" s="781">
        <v>0</v>
      </c>
      <c r="AB32" s="781">
        <f t="shared" si="113"/>
        <v>0</v>
      </c>
      <c r="AC32" s="1028">
        <v>1</v>
      </c>
      <c r="AD32" s="781">
        <v>0</v>
      </c>
      <c r="AE32" s="781">
        <v>0</v>
      </c>
      <c r="AF32" s="1028">
        <v>1</v>
      </c>
      <c r="AG32" s="781">
        <v>0</v>
      </c>
      <c r="AH32" s="781">
        <v>0</v>
      </c>
      <c r="AI32" s="1028">
        <v>1</v>
      </c>
      <c r="AJ32" s="781">
        <v>0</v>
      </c>
      <c r="AK32" s="715" t="s">
        <v>384</v>
      </c>
      <c r="AL32" s="711" t="s">
        <v>742</v>
      </c>
      <c r="AM32" s="715" t="s">
        <v>1186</v>
      </c>
      <c r="AN32" s="715" t="s">
        <v>1152</v>
      </c>
      <c r="AO32" s="711" t="s">
        <v>1</v>
      </c>
      <c r="AP32" s="715"/>
      <c r="AQ32" s="715"/>
      <c r="AR32" s="715"/>
      <c r="AS32" s="715" t="s">
        <v>1153</v>
      </c>
      <c r="AT32" s="715" t="s">
        <v>745</v>
      </c>
      <c r="AU32" s="715" t="s">
        <v>746</v>
      </c>
      <c r="AV32" s="715">
        <v>8</v>
      </c>
      <c r="AW32" s="715">
        <v>8</v>
      </c>
      <c r="AX32" s="715" t="s">
        <v>2717</v>
      </c>
      <c r="AY32" s="716">
        <v>1</v>
      </c>
      <c r="AZ32" s="716">
        <v>1</v>
      </c>
      <c r="BA32" s="717">
        <v>0</v>
      </c>
      <c r="BB32" s="721">
        <f t="shared" si="139"/>
        <v>1.5274740295243303</v>
      </c>
      <c r="BC32" s="499">
        <f t="shared" si="140"/>
        <v>1.5274740295243303</v>
      </c>
      <c r="BD32" s="499">
        <f t="shared" si="141"/>
        <v>1.5274740295243303</v>
      </c>
      <c r="BE32" s="499">
        <f t="shared" si="142"/>
        <v>1.5274740295243303</v>
      </c>
      <c r="BF32" s="499">
        <f t="shared" si="143"/>
        <v>1.5274740295243303</v>
      </c>
      <c r="BG32" s="499">
        <f t="shared" si="144"/>
        <v>1.5274740295243303</v>
      </c>
      <c r="BH32" s="499">
        <f t="shared" si="145"/>
        <v>1.5274740295243303</v>
      </c>
      <c r="BI32" s="721">
        <f t="shared" si="6"/>
        <v>0</v>
      </c>
      <c r="BJ32" s="499">
        <f t="shared" ref="BJ32:BM32" si="232">BI32</f>
        <v>0</v>
      </c>
      <c r="BK32" s="499">
        <f t="shared" si="232"/>
        <v>0</v>
      </c>
      <c r="BL32" s="499">
        <f t="shared" si="232"/>
        <v>0</v>
      </c>
      <c r="BM32" s="499">
        <f t="shared" si="232"/>
        <v>0</v>
      </c>
      <c r="BN32" s="499">
        <f t="shared" si="147"/>
        <v>0</v>
      </c>
      <c r="BO32" s="499">
        <f t="shared" si="148"/>
        <v>0</v>
      </c>
      <c r="BP32" s="721">
        <f t="shared" si="8"/>
        <v>0.03</v>
      </c>
      <c r="BQ32" s="499">
        <f t="shared" si="95"/>
        <v>0.03</v>
      </c>
      <c r="BR32" s="499">
        <f t="shared" si="149"/>
        <v>0.03</v>
      </c>
      <c r="BS32" s="499">
        <f t="shared" si="150"/>
        <v>0.03</v>
      </c>
      <c r="BT32" s="499">
        <f t="shared" si="151"/>
        <v>0.03</v>
      </c>
      <c r="BU32" s="499">
        <f t="shared" si="152"/>
        <v>0.03</v>
      </c>
      <c r="BV32" s="499">
        <f t="shared" si="153"/>
        <v>0.03</v>
      </c>
      <c r="BW32" s="774">
        <f t="shared" si="196"/>
        <v>0</v>
      </c>
      <c r="BX32" s="503">
        <f t="shared" si="196"/>
        <v>0</v>
      </c>
      <c r="BY32" s="503">
        <f t="shared" si="196"/>
        <v>0</v>
      </c>
      <c r="BZ32" s="503">
        <f t="shared" si="196"/>
        <v>0</v>
      </c>
      <c r="CA32" s="503">
        <f t="shared" si="196"/>
        <v>0</v>
      </c>
      <c r="CB32" s="503">
        <f t="shared" si="196"/>
        <v>0</v>
      </c>
      <c r="CC32" s="503">
        <f t="shared" si="196"/>
        <v>0</v>
      </c>
      <c r="CD32" s="722">
        <f t="shared" si="13"/>
        <v>1.4347584000000002</v>
      </c>
      <c r="CE32" s="511">
        <f t="shared" ref="CE32:CH32" si="233">CD32</f>
        <v>1.4347584000000002</v>
      </c>
      <c r="CF32" s="511">
        <f t="shared" si="233"/>
        <v>1.4347584000000002</v>
      </c>
      <c r="CG32" s="511">
        <f t="shared" si="233"/>
        <v>1.4347584000000002</v>
      </c>
      <c r="CH32" s="511">
        <f t="shared" si="233"/>
        <v>1.4347584000000002</v>
      </c>
      <c r="CI32" s="511">
        <f t="shared" si="103"/>
        <v>1.4347584000000002</v>
      </c>
      <c r="CJ32" s="511">
        <f t="shared" si="104"/>
        <v>1.4347584000000002</v>
      </c>
      <c r="CK32" s="722">
        <f t="shared" si="15"/>
        <v>6.6300000000000007E-4</v>
      </c>
      <c r="CL32" s="511">
        <f t="shared" ref="CL32:CO32" si="234">CK32</f>
        <v>6.6300000000000007E-4</v>
      </c>
      <c r="CM32" s="511">
        <f t="shared" si="234"/>
        <v>6.6300000000000007E-4</v>
      </c>
      <c r="CN32" s="511">
        <f t="shared" si="234"/>
        <v>6.6300000000000007E-4</v>
      </c>
      <c r="CO32" s="511">
        <f t="shared" si="234"/>
        <v>6.6300000000000007E-4</v>
      </c>
      <c r="CP32" s="511">
        <f t="shared" si="106"/>
        <v>6.6300000000000007E-4</v>
      </c>
      <c r="CQ32" s="511">
        <f t="shared" si="107"/>
        <v>6.6300000000000007E-4</v>
      </c>
      <c r="CR32" s="722">
        <f t="shared" si="17"/>
        <v>0</v>
      </c>
      <c r="CS32" s="511">
        <f t="shared" ref="CS32:CV32" si="235">CR32</f>
        <v>0</v>
      </c>
      <c r="CT32" s="511">
        <f t="shared" si="235"/>
        <v>0</v>
      </c>
      <c r="CU32" s="511">
        <f t="shared" si="235"/>
        <v>0</v>
      </c>
      <c r="CV32" s="511">
        <f t="shared" si="235"/>
        <v>0</v>
      </c>
      <c r="CW32" s="511">
        <f t="shared" si="109"/>
        <v>0</v>
      </c>
      <c r="CX32" s="539">
        <f t="shared" si="110"/>
        <v>0</v>
      </c>
      <c r="CY32" s="724">
        <f t="shared" si="19"/>
        <v>0</v>
      </c>
      <c r="CZ32" s="508">
        <f t="shared" si="20"/>
        <v>0</v>
      </c>
      <c r="DA32" s="508">
        <f t="shared" si="21"/>
        <v>9636.8336522690006</v>
      </c>
      <c r="DB32" s="508">
        <f t="shared" si="22"/>
        <v>0</v>
      </c>
      <c r="DC32" s="508">
        <f t="shared" si="23"/>
        <v>0</v>
      </c>
      <c r="DD32" s="508">
        <f t="shared" si="24"/>
        <v>9636.8336522690006</v>
      </c>
      <c r="DE32" s="726">
        <f t="shared" si="25"/>
        <v>0</v>
      </c>
      <c r="DF32" s="724">
        <f t="shared" si="26"/>
        <v>0</v>
      </c>
      <c r="DG32" s="509">
        <f t="shared" si="27"/>
        <v>0</v>
      </c>
      <c r="DH32" s="509">
        <f t="shared" si="28"/>
        <v>0</v>
      </c>
      <c r="DI32" s="509">
        <f t="shared" si="29"/>
        <v>0</v>
      </c>
      <c r="DJ32" s="509">
        <f t="shared" si="30"/>
        <v>0</v>
      </c>
      <c r="DK32" s="509">
        <f t="shared" si="31"/>
        <v>0</v>
      </c>
      <c r="DL32" s="451">
        <f t="shared" si="32"/>
        <v>0</v>
      </c>
      <c r="DM32" s="509">
        <f t="shared" si="33"/>
        <v>0</v>
      </c>
      <c r="DN32" s="509">
        <f t="shared" si="34"/>
        <v>0</v>
      </c>
      <c r="DO32" s="509">
        <f t="shared" si="35"/>
        <v>189.26999999999998</v>
      </c>
      <c r="DP32" s="509">
        <f t="shared" si="36"/>
        <v>0</v>
      </c>
      <c r="DQ32" s="509">
        <f t="shared" si="37"/>
        <v>0</v>
      </c>
      <c r="DR32" s="509">
        <f t="shared" si="38"/>
        <v>189.26999999999998</v>
      </c>
      <c r="DS32" s="450">
        <f t="shared" si="39"/>
        <v>0</v>
      </c>
      <c r="DT32" s="724">
        <f t="shared" si="40"/>
        <v>0</v>
      </c>
      <c r="DU32" s="508">
        <f t="shared" si="41"/>
        <v>0</v>
      </c>
      <c r="DV32" s="508">
        <f t="shared" si="42"/>
        <v>0</v>
      </c>
      <c r="DW32" s="508">
        <f t="shared" si="43"/>
        <v>0</v>
      </c>
      <c r="DX32" s="508">
        <f t="shared" si="44"/>
        <v>0</v>
      </c>
      <c r="DY32" s="508">
        <f t="shared" si="45"/>
        <v>0</v>
      </c>
      <c r="DZ32" s="726">
        <f t="shared" si="46"/>
        <v>0</v>
      </c>
      <c r="EA32" s="722">
        <f t="shared" si="47"/>
        <v>0</v>
      </c>
      <c r="EB32" s="511">
        <f t="shared" si="48"/>
        <v>0</v>
      </c>
      <c r="EC32" s="511">
        <f t="shared" si="49"/>
        <v>9051.8907456000015</v>
      </c>
      <c r="ED32" s="511">
        <f t="shared" si="50"/>
        <v>0</v>
      </c>
      <c r="EE32" s="511">
        <f t="shared" si="51"/>
        <v>0</v>
      </c>
      <c r="EF32" s="511">
        <f t="shared" si="52"/>
        <v>9051.8907456000015</v>
      </c>
      <c r="EG32" s="723">
        <f t="shared" si="53"/>
        <v>0</v>
      </c>
      <c r="EH32" s="397">
        <f t="shared" si="111"/>
        <v>0</v>
      </c>
      <c r="EI32" s="397">
        <f t="shared" si="54"/>
        <v>0</v>
      </c>
      <c r="EJ32" s="397">
        <f t="shared" si="55"/>
        <v>4.1828670000000008</v>
      </c>
      <c r="EK32" s="397">
        <f t="shared" si="56"/>
        <v>0</v>
      </c>
      <c r="EL32" s="397">
        <f t="shared" si="57"/>
        <v>0</v>
      </c>
      <c r="EM32" s="397">
        <f t="shared" si="58"/>
        <v>4.1828670000000008</v>
      </c>
      <c r="EN32" s="398">
        <f t="shared" si="59"/>
        <v>0</v>
      </c>
      <c r="EO32" s="722">
        <f t="shared" si="60"/>
        <v>0</v>
      </c>
      <c r="EP32" s="511">
        <f t="shared" si="61"/>
        <v>0</v>
      </c>
      <c r="EQ32" s="511">
        <f t="shared" si="62"/>
        <v>0</v>
      </c>
      <c r="ER32" s="511">
        <f t="shared" si="63"/>
        <v>0</v>
      </c>
      <c r="ES32" s="511">
        <f t="shared" si="64"/>
        <v>0</v>
      </c>
      <c r="ET32" s="511">
        <f t="shared" si="65"/>
        <v>0</v>
      </c>
      <c r="EU32" s="723">
        <f t="shared" si="66"/>
        <v>0</v>
      </c>
      <c r="EV32" s="977">
        <f t="shared" si="67"/>
        <v>1</v>
      </c>
      <c r="EW32" s="728">
        <f t="shared" si="68"/>
        <v>19273.667304538001</v>
      </c>
      <c r="EX32" s="728">
        <f t="shared" si="69"/>
        <v>0</v>
      </c>
      <c r="EY32" s="728">
        <f t="shared" si="70"/>
        <v>378.53999999999996</v>
      </c>
      <c r="EZ32" s="728">
        <f t="shared" si="71"/>
        <v>0</v>
      </c>
      <c r="FA32" s="978">
        <f t="shared" si="72"/>
        <v>18103.781491200003</v>
      </c>
      <c r="FB32" s="978">
        <f t="shared" si="73"/>
        <v>8.3657340000000016</v>
      </c>
      <c r="FC32" s="778">
        <f t="shared" si="74"/>
        <v>0</v>
      </c>
      <c r="FE32" s="10" t="b">
        <f t="shared" si="112"/>
        <v>1</v>
      </c>
      <c r="FF32" s="10" t="b">
        <f t="shared" si="75"/>
        <v>1</v>
      </c>
      <c r="FG32" s="10" t="b">
        <f t="shared" si="76"/>
        <v>1</v>
      </c>
      <c r="FH32" s="10" t="b">
        <f t="shared" si="77"/>
        <v>1</v>
      </c>
      <c r="FI32" s="10" t="b">
        <f t="shared" si="78"/>
        <v>1</v>
      </c>
      <c r="FJ32" s="10" t="b">
        <f t="shared" si="79"/>
        <v>1</v>
      </c>
      <c r="FK32" s="10" t="b">
        <f t="shared" si="80"/>
        <v>1</v>
      </c>
      <c r="FL32" s="10" t="b">
        <f t="shared" si="81"/>
        <v>1</v>
      </c>
    </row>
    <row r="33" spans="1:170">
      <c r="A33" s="662">
        <v>28</v>
      </c>
      <c r="B33" s="789" t="s">
        <v>1282</v>
      </c>
      <c r="C33" s="789" t="s">
        <v>1283</v>
      </c>
      <c r="D33" s="789" t="s">
        <v>765</v>
      </c>
      <c r="E33" s="789" t="s">
        <v>1284</v>
      </c>
      <c r="F33" s="789" t="s">
        <v>766</v>
      </c>
      <c r="G33" s="704" t="s">
        <v>402</v>
      </c>
      <c r="H33" s="704">
        <f>R33*'Custom Benchmarking'!$E$18</f>
        <v>0.22117875297672002</v>
      </c>
      <c r="I33" s="704">
        <v>0</v>
      </c>
      <c r="J33" s="704">
        <f>H33+I33</f>
        <v>0.22117875297672002</v>
      </c>
      <c r="K33" s="704">
        <v>0</v>
      </c>
      <c r="L33" s="704">
        <f>J33*0.5</f>
        <v>0.11058937648836001</v>
      </c>
      <c r="M33" s="711" t="s">
        <v>1285</v>
      </c>
      <c r="N33" s="1024">
        <v>0.03</v>
      </c>
      <c r="O33" s="870">
        <f>R33*0.05+S33*125</f>
        <v>8.4140489623261386E-2</v>
      </c>
      <c r="P33" s="707">
        <v>0</v>
      </c>
      <c r="Q33" s="707">
        <v>0</v>
      </c>
      <c r="R33" s="871">
        <v>1</v>
      </c>
      <c r="S33" s="872">
        <f>(1109/39)/(4060428/39)</f>
        <v>2.7312391698609107E-4</v>
      </c>
      <c r="T33" s="1022">
        <v>0</v>
      </c>
      <c r="U33" s="711" t="s">
        <v>1286</v>
      </c>
      <c r="V33" s="716">
        <v>0.05</v>
      </c>
      <c r="W33" s="711">
        <v>1</v>
      </c>
      <c r="X33" s="781">
        <v>2040237</v>
      </c>
      <c r="Y33" s="781">
        <v>28071819</v>
      </c>
      <c r="Z33" s="781">
        <v>21138789</v>
      </c>
      <c r="AA33" s="781">
        <v>12630425</v>
      </c>
      <c r="AB33" s="781">
        <f>AVERAGE(Z33:AA33)</f>
        <v>16884607</v>
      </c>
      <c r="AC33" s="781">
        <f>AB33</f>
        <v>16884607</v>
      </c>
      <c r="AD33" s="1028">
        <v>10000000</v>
      </c>
      <c r="AE33" s="1028">
        <v>16000000</v>
      </c>
      <c r="AF33" s="1028">
        <v>24000000</v>
      </c>
      <c r="AG33" s="1028">
        <v>24000000</v>
      </c>
      <c r="AH33" s="1028">
        <v>24000000</v>
      </c>
      <c r="AI33" s="1028">
        <v>24000000</v>
      </c>
      <c r="AJ33" s="1028">
        <v>24000000</v>
      </c>
      <c r="AK33" s="715" t="s">
        <v>374</v>
      </c>
      <c r="AL33" s="711" t="s">
        <v>742</v>
      </c>
      <c r="AM33" s="715" t="s">
        <v>1186</v>
      </c>
      <c r="AN33" s="715" t="s">
        <v>377</v>
      </c>
      <c r="AO33" s="711" t="s">
        <v>1</v>
      </c>
      <c r="AP33" s="715"/>
      <c r="AQ33" s="715"/>
      <c r="AR33" s="715"/>
      <c r="AS33" s="715" t="s">
        <v>744</v>
      </c>
      <c r="AT33" s="715" t="s">
        <v>745</v>
      </c>
      <c r="AU33" s="715" t="s">
        <v>746</v>
      </c>
      <c r="AV33" s="715">
        <v>15</v>
      </c>
      <c r="AW33" s="715">
        <v>15</v>
      </c>
      <c r="AX33" s="715" t="s">
        <v>769</v>
      </c>
      <c r="AY33" s="716">
        <v>1</v>
      </c>
      <c r="AZ33" s="716">
        <v>1</v>
      </c>
      <c r="BA33" s="717">
        <v>0</v>
      </c>
      <c r="BB33" s="774">
        <f>J33</f>
        <v>0.22117875297672002</v>
      </c>
      <c r="BC33" s="499">
        <f t="shared" si="140"/>
        <v>0.22117875297672002</v>
      </c>
      <c r="BD33" s="499">
        <f t="shared" si="141"/>
        <v>0.22117875297672002</v>
      </c>
      <c r="BE33" s="499">
        <f t="shared" si="142"/>
        <v>0.22117875297672002</v>
      </c>
      <c r="BF33" s="499">
        <f t="shared" si="143"/>
        <v>0.22117875297672002</v>
      </c>
      <c r="BG33" s="499">
        <f t="shared" si="144"/>
        <v>0.22117875297672002</v>
      </c>
      <c r="BH33" s="499">
        <f t="shared" si="145"/>
        <v>0.22117875297672002</v>
      </c>
      <c r="BI33" s="721">
        <f t="shared" si="6"/>
        <v>0</v>
      </c>
      <c r="BJ33" s="499">
        <f t="shared" ref="BJ33:BM33" si="236">BI33</f>
        <v>0</v>
      </c>
      <c r="BK33" s="499">
        <f t="shared" si="236"/>
        <v>0</v>
      </c>
      <c r="BL33" s="499">
        <f t="shared" si="236"/>
        <v>0</v>
      </c>
      <c r="BM33" s="499">
        <f t="shared" si="236"/>
        <v>0</v>
      </c>
      <c r="BN33" s="499">
        <f t="shared" si="147"/>
        <v>0</v>
      </c>
      <c r="BO33" s="499">
        <f t="shared" si="148"/>
        <v>0</v>
      </c>
      <c r="BP33" s="721">
        <f t="shared" si="8"/>
        <v>8.4140489623261386E-2</v>
      </c>
      <c r="BQ33" s="499">
        <f t="shared" si="95"/>
        <v>8.4140489623261386E-2</v>
      </c>
      <c r="BR33" s="499">
        <f t="shared" si="149"/>
        <v>8.4140489623261386E-2</v>
      </c>
      <c r="BS33" s="499">
        <f t="shared" si="150"/>
        <v>8.4140489623261386E-2</v>
      </c>
      <c r="BT33" s="499">
        <f t="shared" si="151"/>
        <v>8.4140489623261386E-2</v>
      </c>
      <c r="BU33" s="499">
        <f t="shared" si="152"/>
        <v>8.4140489623261386E-2</v>
      </c>
      <c r="BV33" s="499">
        <f t="shared" si="153"/>
        <v>8.4140489623261386E-2</v>
      </c>
      <c r="BW33" s="774">
        <f t="shared" si="196"/>
        <v>0</v>
      </c>
      <c r="BX33" s="503">
        <f t="shared" si="196"/>
        <v>0</v>
      </c>
      <c r="BY33" s="503">
        <f t="shared" si="196"/>
        <v>0</v>
      </c>
      <c r="BZ33" s="503">
        <f t="shared" si="196"/>
        <v>0</v>
      </c>
      <c r="CA33" s="503">
        <f t="shared" si="196"/>
        <v>0</v>
      </c>
      <c r="CB33" s="503">
        <f t="shared" si="196"/>
        <v>0</v>
      </c>
      <c r="CC33" s="503">
        <f t="shared" si="196"/>
        <v>0</v>
      </c>
      <c r="CD33" s="722">
        <f t="shared" si="13"/>
        <v>1</v>
      </c>
      <c r="CE33" s="511">
        <f t="shared" ref="CE33:CH33" si="237">CD33</f>
        <v>1</v>
      </c>
      <c r="CF33" s="511">
        <f t="shared" si="237"/>
        <v>1</v>
      </c>
      <c r="CG33" s="511">
        <f t="shared" si="237"/>
        <v>1</v>
      </c>
      <c r="CH33" s="511">
        <f t="shared" si="237"/>
        <v>1</v>
      </c>
      <c r="CI33" s="511">
        <f t="shared" si="103"/>
        <v>1</v>
      </c>
      <c r="CJ33" s="511">
        <f t="shared" si="104"/>
        <v>1</v>
      </c>
      <c r="CK33" s="722">
        <f t="shared" si="15"/>
        <v>2.7312391698609107E-4</v>
      </c>
      <c r="CL33" s="511">
        <f t="shared" ref="CL33:CO33" si="238">CK33</f>
        <v>2.7312391698609107E-4</v>
      </c>
      <c r="CM33" s="511">
        <f t="shared" si="238"/>
        <v>2.7312391698609107E-4</v>
      </c>
      <c r="CN33" s="511">
        <f t="shared" si="238"/>
        <v>2.7312391698609107E-4</v>
      </c>
      <c r="CO33" s="511">
        <f t="shared" si="238"/>
        <v>2.7312391698609107E-4</v>
      </c>
      <c r="CP33" s="511">
        <f t="shared" si="106"/>
        <v>2.7312391698609107E-4</v>
      </c>
      <c r="CQ33" s="511">
        <f t="shared" si="107"/>
        <v>2.7312391698609107E-4</v>
      </c>
      <c r="CR33" s="722">
        <f t="shared" si="17"/>
        <v>0</v>
      </c>
      <c r="CS33" s="511">
        <f t="shared" ref="CS33:CV33" si="239">CR33</f>
        <v>0</v>
      </c>
      <c r="CT33" s="511">
        <f t="shared" si="239"/>
        <v>0</v>
      </c>
      <c r="CU33" s="511">
        <f t="shared" si="239"/>
        <v>0</v>
      </c>
      <c r="CV33" s="511">
        <f t="shared" si="239"/>
        <v>0</v>
      </c>
      <c r="CW33" s="511">
        <f t="shared" si="109"/>
        <v>0</v>
      </c>
      <c r="CX33" s="539">
        <f t="shared" si="110"/>
        <v>0</v>
      </c>
      <c r="CY33" s="724">
        <f t="shared" si="19"/>
        <v>2211787.5297672004</v>
      </c>
      <c r="CZ33" s="508">
        <f t="shared" si="20"/>
        <v>3538860.0476275203</v>
      </c>
      <c r="DA33" s="508">
        <f t="shared" si="21"/>
        <v>5308290.0714412807</v>
      </c>
      <c r="DB33" s="508">
        <f t="shared" si="22"/>
        <v>5308290.0714412807</v>
      </c>
      <c r="DC33" s="508">
        <f t="shared" si="23"/>
        <v>5308290.0714412807</v>
      </c>
      <c r="DD33" s="508">
        <f t="shared" si="24"/>
        <v>5308290.0714412807</v>
      </c>
      <c r="DE33" s="726">
        <f t="shared" si="25"/>
        <v>5308290.0714412807</v>
      </c>
      <c r="DF33" s="724">
        <f t="shared" si="26"/>
        <v>0</v>
      </c>
      <c r="DG33" s="509">
        <f t="shared" si="27"/>
        <v>0</v>
      </c>
      <c r="DH33" s="509">
        <f t="shared" si="28"/>
        <v>0</v>
      </c>
      <c r="DI33" s="509">
        <f t="shared" si="29"/>
        <v>0</v>
      </c>
      <c r="DJ33" s="509">
        <f t="shared" si="30"/>
        <v>0</v>
      </c>
      <c r="DK33" s="509">
        <f t="shared" si="31"/>
        <v>0</v>
      </c>
      <c r="DL33" s="451">
        <f t="shared" si="32"/>
        <v>0</v>
      </c>
      <c r="DM33" s="509">
        <f t="shared" si="33"/>
        <v>841404.89623261383</v>
      </c>
      <c r="DN33" s="509">
        <f t="shared" si="34"/>
        <v>1346247.8339721821</v>
      </c>
      <c r="DO33" s="509">
        <f t="shared" si="35"/>
        <v>2019371.7509582732</v>
      </c>
      <c r="DP33" s="509">
        <f t="shared" si="36"/>
        <v>2019371.7509582732</v>
      </c>
      <c r="DQ33" s="509">
        <f t="shared" si="37"/>
        <v>2019371.7509582732</v>
      </c>
      <c r="DR33" s="509">
        <f t="shared" si="38"/>
        <v>2019371.7509582732</v>
      </c>
      <c r="DS33" s="450">
        <f t="shared" si="39"/>
        <v>2019371.7509582732</v>
      </c>
      <c r="DT33" s="724">
        <f t="shared" si="40"/>
        <v>0</v>
      </c>
      <c r="DU33" s="508">
        <f t="shared" si="41"/>
        <v>0</v>
      </c>
      <c r="DV33" s="508">
        <f t="shared" si="42"/>
        <v>0</v>
      </c>
      <c r="DW33" s="508">
        <f t="shared" si="43"/>
        <v>0</v>
      </c>
      <c r="DX33" s="508">
        <f t="shared" si="44"/>
        <v>0</v>
      </c>
      <c r="DY33" s="508">
        <f t="shared" si="45"/>
        <v>0</v>
      </c>
      <c r="DZ33" s="726">
        <f t="shared" si="46"/>
        <v>0</v>
      </c>
      <c r="EA33" s="722">
        <f t="shared" si="47"/>
        <v>10000000</v>
      </c>
      <c r="EB33" s="511">
        <f t="shared" si="48"/>
        <v>16000000</v>
      </c>
      <c r="EC33" s="511">
        <f t="shared" si="49"/>
        <v>24000000</v>
      </c>
      <c r="ED33" s="511">
        <f t="shared" si="50"/>
        <v>24000000</v>
      </c>
      <c r="EE33" s="511">
        <f t="shared" si="51"/>
        <v>24000000</v>
      </c>
      <c r="EF33" s="511">
        <f t="shared" si="52"/>
        <v>24000000</v>
      </c>
      <c r="EG33" s="723">
        <f t="shared" si="53"/>
        <v>24000000</v>
      </c>
      <c r="EH33" s="397">
        <f t="shared" si="111"/>
        <v>2731.2391698609108</v>
      </c>
      <c r="EI33" s="397">
        <f t="shared" si="54"/>
        <v>4369.9826717774567</v>
      </c>
      <c r="EJ33" s="397">
        <f t="shared" si="55"/>
        <v>6554.9740076661856</v>
      </c>
      <c r="EK33" s="397">
        <f t="shared" si="56"/>
        <v>6554.9740076661856</v>
      </c>
      <c r="EL33" s="397">
        <f t="shared" si="57"/>
        <v>6554.9740076661856</v>
      </c>
      <c r="EM33" s="397">
        <f t="shared" si="58"/>
        <v>6554.9740076661856</v>
      </c>
      <c r="EN33" s="398">
        <f t="shared" si="59"/>
        <v>6554.9740076661856</v>
      </c>
      <c r="EO33" s="722">
        <f t="shared" si="60"/>
        <v>0</v>
      </c>
      <c r="EP33" s="511">
        <f t="shared" si="61"/>
        <v>0</v>
      </c>
      <c r="EQ33" s="511">
        <f t="shared" si="62"/>
        <v>0</v>
      </c>
      <c r="ER33" s="511">
        <f t="shared" si="63"/>
        <v>0</v>
      </c>
      <c r="ES33" s="511">
        <f t="shared" si="64"/>
        <v>0</v>
      </c>
      <c r="ET33" s="511">
        <f t="shared" si="65"/>
        <v>0</v>
      </c>
      <c r="EU33" s="723">
        <f t="shared" si="66"/>
        <v>0</v>
      </c>
      <c r="EV33" s="977">
        <f t="shared" si="67"/>
        <v>50000000</v>
      </c>
      <c r="EW33" s="728">
        <f t="shared" si="68"/>
        <v>32292097.934601128</v>
      </c>
      <c r="EX33" s="728">
        <f t="shared" si="69"/>
        <v>0</v>
      </c>
      <c r="EY33" s="728">
        <f t="shared" si="70"/>
        <v>12284511.484996162</v>
      </c>
      <c r="EZ33" s="728">
        <f t="shared" si="71"/>
        <v>0</v>
      </c>
      <c r="FA33" s="978">
        <f t="shared" si="72"/>
        <v>146000000</v>
      </c>
      <c r="FB33" s="978">
        <f t="shared" si="73"/>
        <v>39876.091879969288</v>
      </c>
      <c r="FC33" s="778">
        <f t="shared" si="74"/>
        <v>0</v>
      </c>
      <c r="FE33" s="10" t="b">
        <f t="shared" si="112"/>
        <v>1</v>
      </c>
      <c r="FF33" s="10" t="b">
        <f t="shared" si="75"/>
        <v>1</v>
      </c>
      <c r="FG33" s="10" t="b">
        <f t="shared" si="76"/>
        <v>1</v>
      </c>
      <c r="FH33" s="10" t="b">
        <f t="shared" si="77"/>
        <v>1</v>
      </c>
      <c r="FI33" s="10" t="b">
        <f t="shared" si="78"/>
        <v>1</v>
      </c>
      <c r="FJ33" s="10" t="b">
        <f t="shared" si="79"/>
        <v>1</v>
      </c>
      <c r="FK33" s="10" t="b">
        <f t="shared" si="80"/>
        <v>1</v>
      </c>
      <c r="FL33" s="10" t="b">
        <f t="shared" si="81"/>
        <v>1</v>
      </c>
      <c r="FM33" s="542"/>
      <c r="FN33" s="542"/>
    </row>
    <row r="34" spans="1:170">
      <c r="A34" s="662">
        <v>29</v>
      </c>
      <c r="B34" s="789" t="s">
        <v>1287</v>
      </c>
      <c r="C34" s="789" t="s">
        <v>1288</v>
      </c>
      <c r="D34" s="789" t="s">
        <v>1289</v>
      </c>
      <c r="E34" s="789" t="s">
        <v>1290</v>
      </c>
      <c r="F34" s="789" t="s">
        <v>1290</v>
      </c>
      <c r="G34" s="704" t="s">
        <v>402</v>
      </c>
      <c r="H34" s="704">
        <f>R34*'Custom Benchmarking'!$E$18</f>
        <v>10980.198012776291</v>
      </c>
      <c r="I34" s="704">
        <v>0</v>
      </c>
      <c r="J34" s="704">
        <f t="shared" ref="J34:J61" si="240">H34+I34</f>
        <v>10980.198012776291</v>
      </c>
      <c r="K34" s="704">
        <v>0</v>
      </c>
      <c r="L34" s="704">
        <f t="shared" si="119"/>
        <v>5490.0990063881454</v>
      </c>
      <c r="M34" s="711" t="s">
        <v>1285</v>
      </c>
      <c r="N34" s="1024">
        <v>1500</v>
      </c>
      <c r="O34" s="1024">
        <v>1500</v>
      </c>
      <c r="P34" s="707">
        <v>0</v>
      </c>
      <c r="Q34" s="707">
        <v>0</v>
      </c>
      <c r="R34" s="1021">
        <v>49644.000000000007</v>
      </c>
      <c r="S34" s="1021">
        <v>7.7428571428571429</v>
      </c>
      <c r="T34" s="1021">
        <v>397.40571428571434</v>
      </c>
      <c r="U34" s="711" t="s">
        <v>1291</v>
      </c>
      <c r="V34" s="716">
        <v>0</v>
      </c>
      <c r="W34" s="711">
        <v>1</v>
      </c>
      <c r="X34" s="781">
        <v>0</v>
      </c>
      <c r="Y34" s="781">
        <v>0</v>
      </c>
      <c r="Z34" s="781">
        <v>0</v>
      </c>
      <c r="AA34" s="781">
        <v>0</v>
      </c>
      <c r="AB34" s="1027">
        <f t="shared" si="113"/>
        <v>0</v>
      </c>
      <c r="AC34" s="1030">
        <v>0</v>
      </c>
      <c r="AD34" s="781">
        <v>0</v>
      </c>
      <c r="AE34" s="781">
        <v>1</v>
      </c>
      <c r="AF34" s="781">
        <v>0</v>
      </c>
      <c r="AG34" s="781">
        <v>0</v>
      </c>
      <c r="AH34" s="781">
        <v>1</v>
      </c>
      <c r="AI34" s="781">
        <v>0</v>
      </c>
      <c r="AJ34" s="781">
        <v>0</v>
      </c>
      <c r="AK34" s="715" t="s">
        <v>374</v>
      </c>
      <c r="AL34" s="711" t="s">
        <v>742</v>
      </c>
      <c r="AM34" s="715" t="s">
        <v>1186</v>
      </c>
      <c r="AN34" s="715" t="s">
        <v>377</v>
      </c>
      <c r="AO34" s="711" t="s">
        <v>3</v>
      </c>
      <c r="AP34" s="715"/>
      <c r="AQ34" s="715"/>
      <c r="AR34" s="715"/>
      <c r="AS34" s="715" t="s">
        <v>744</v>
      </c>
      <c r="AT34" s="715" t="s">
        <v>745</v>
      </c>
      <c r="AU34" s="715" t="s">
        <v>746</v>
      </c>
      <c r="AV34" s="715">
        <v>15</v>
      </c>
      <c r="AW34" s="715">
        <v>15</v>
      </c>
      <c r="AX34" s="715" t="s">
        <v>769</v>
      </c>
      <c r="AY34" s="716">
        <v>1</v>
      </c>
      <c r="AZ34" s="716">
        <v>1</v>
      </c>
      <c r="BA34" s="717">
        <v>1</v>
      </c>
      <c r="BB34" s="721">
        <f t="shared" si="139"/>
        <v>10980.198012776291</v>
      </c>
      <c r="BC34" s="499">
        <f t="shared" si="140"/>
        <v>10980.198012776291</v>
      </c>
      <c r="BD34" s="499">
        <f t="shared" si="141"/>
        <v>10980.198012776291</v>
      </c>
      <c r="BE34" s="499">
        <f t="shared" si="142"/>
        <v>10980.198012776291</v>
      </c>
      <c r="BF34" s="499">
        <f t="shared" si="143"/>
        <v>10980.198012776291</v>
      </c>
      <c r="BG34" s="499">
        <f t="shared" si="144"/>
        <v>10980.198012776291</v>
      </c>
      <c r="BH34" s="499">
        <f t="shared" si="145"/>
        <v>10980.198012776291</v>
      </c>
      <c r="BI34" s="721">
        <f t="shared" si="6"/>
        <v>0</v>
      </c>
      <c r="BJ34" s="499">
        <f t="shared" ref="BJ34:BM34" si="241">BI34</f>
        <v>0</v>
      </c>
      <c r="BK34" s="499">
        <f t="shared" si="241"/>
        <v>0</v>
      </c>
      <c r="BL34" s="499">
        <f t="shared" si="241"/>
        <v>0</v>
      </c>
      <c r="BM34" s="499">
        <f t="shared" si="241"/>
        <v>0</v>
      </c>
      <c r="BN34" s="499">
        <f t="shared" si="147"/>
        <v>0</v>
      </c>
      <c r="BO34" s="499">
        <f t="shared" si="148"/>
        <v>0</v>
      </c>
      <c r="BP34" s="721">
        <f t="shared" si="8"/>
        <v>1500</v>
      </c>
      <c r="BQ34" s="499">
        <f t="shared" si="95"/>
        <v>1500</v>
      </c>
      <c r="BR34" s="499">
        <f t="shared" si="149"/>
        <v>1500</v>
      </c>
      <c r="BS34" s="499">
        <f t="shared" si="150"/>
        <v>1500</v>
      </c>
      <c r="BT34" s="499">
        <f t="shared" si="151"/>
        <v>1500</v>
      </c>
      <c r="BU34" s="499">
        <f t="shared" si="152"/>
        <v>1500</v>
      </c>
      <c r="BV34" s="499">
        <f t="shared" si="153"/>
        <v>1500</v>
      </c>
      <c r="BW34" s="774">
        <f t="shared" si="196"/>
        <v>0</v>
      </c>
      <c r="BX34" s="503">
        <f t="shared" si="196"/>
        <v>0</v>
      </c>
      <c r="BY34" s="503">
        <f t="shared" si="196"/>
        <v>0</v>
      </c>
      <c r="BZ34" s="503">
        <f t="shared" si="196"/>
        <v>0</v>
      </c>
      <c r="CA34" s="503">
        <f t="shared" si="196"/>
        <v>0</v>
      </c>
      <c r="CB34" s="503">
        <f t="shared" si="196"/>
        <v>0</v>
      </c>
      <c r="CC34" s="503">
        <f t="shared" si="196"/>
        <v>0</v>
      </c>
      <c r="CD34" s="722">
        <f t="shared" si="13"/>
        <v>49644.000000000007</v>
      </c>
      <c r="CE34" s="511">
        <f t="shared" ref="CE34:CH34" si="242">CD34</f>
        <v>49644.000000000007</v>
      </c>
      <c r="CF34" s="511">
        <f t="shared" si="242"/>
        <v>49644.000000000007</v>
      </c>
      <c r="CG34" s="511">
        <f t="shared" si="242"/>
        <v>49644.000000000007</v>
      </c>
      <c r="CH34" s="511">
        <f t="shared" si="242"/>
        <v>49644.000000000007</v>
      </c>
      <c r="CI34" s="511">
        <f t="shared" si="103"/>
        <v>49644.000000000007</v>
      </c>
      <c r="CJ34" s="511">
        <f t="shared" si="104"/>
        <v>49644.000000000007</v>
      </c>
      <c r="CK34" s="722">
        <f t="shared" si="15"/>
        <v>7.7428571428571429</v>
      </c>
      <c r="CL34" s="511">
        <f t="shared" ref="CL34:CO34" si="243">CK34</f>
        <v>7.7428571428571429</v>
      </c>
      <c r="CM34" s="511">
        <f t="shared" si="243"/>
        <v>7.7428571428571429</v>
      </c>
      <c r="CN34" s="511">
        <f t="shared" si="243"/>
        <v>7.7428571428571429</v>
      </c>
      <c r="CO34" s="511">
        <f t="shared" si="243"/>
        <v>7.7428571428571429</v>
      </c>
      <c r="CP34" s="511">
        <f t="shared" si="106"/>
        <v>7.7428571428571429</v>
      </c>
      <c r="CQ34" s="511">
        <f t="shared" si="107"/>
        <v>7.7428571428571429</v>
      </c>
      <c r="CR34" s="722">
        <f t="shared" si="17"/>
        <v>397.40571428571434</v>
      </c>
      <c r="CS34" s="511">
        <f t="shared" ref="CS34:CV34" si="244">CR34</f>
        <v>397.40571428571434</v>
      </c>
      <c r="CT34" s="511">
        <f t="shared" si="244"/>
        <v>397.40571428571434</v>
      </c>
      <c r="CU34" s="511">
        <f t="shared" si="244"/>
        <v>397.40571428571434</v>
      </c>
      <c r="CV34" s="511">
        <f t="shared" si="244"/>
        <v>397.40571428571434</v>
      </c>
      <c r="CW34" s="511">
        <f t="shared" si="109"/>
        <v>397.40571428571434</v>
      </c>
      <c r="CX34" s="539">
        <f t="shared" si="110"/>
        <v>397.40571428571434</v>
      </c>
      <c r="CY34" s="724">
        <f t="shared" si="19"/>
        <v>0</v>
      </c>
      <c r="CZ34" s="508">
        <f t="shared" si="20"/>
        <v>10980.198012776291</v>
      </c>
      <c r="DA34" s="508">
        <f t="shared" si="21"/>
        <v>0</v>
      </c>
      <c r="DB34" s="508">
        <f t="shared" si="22"/>
        <v>0</v>
      </c>
      <c r="DC34" s="508">
        <f t="shared" si="23"/>
        <v>10980.198012776291</v>
      </c>
      <c r="DD34" s="508">
        <f t="shared" si="24"/>
        <v>0</v>
      </c>
      <c r="DE34" s="726">
        <f t="shared" si="25"/>
        <v>0</v>
      </c>
      <c r="DF34" s="724">
        <f t="shared" si="26"/>
        <v>0</v>
      </c>
      <c r="DG34" s="509">
        <f t="shared" si="27"/>
        <v>0</v>
      </c>
      <c r="DH34" s="509">
        <f t="shared" si="28"/>
        <v>0</v>
      </c>
      <c r="DI34" s="509">
        <f t="shared" si="29"/>
        <v>0</v>
      </c>
      <c r="DJ34" s="509">
        <f t="shared" si="30"/>
        <v>0</v>
      </c>
      <c r="DK34" s="509">
        <f t="shared" si="31"/>
        <v>0</v>
      </c>
      <c r="DL34" s="451">
        <f t="shared" si="32"/>
        <v>0</v>
      </c>
      <c r="DM34" s="509">
        <f t="shared" si="33"/>
        <v>0</v>
      </c>
      <c r="DN34" s="509">
        <f t="shared" si="34"/>
        <v>1500</v>
      </c>
      <c r="DO34" s="509">
        <f t="shared" si="35"/>
        <v>0</v>
      </c>
      <c r="DP34" s="509">
        <f t="shared" si="36"/>
        <v>0</v>
      </c>
      <c r="DQ34" s="509">
        <f t="shared" si="37"/>
        <v>1500</v>
      </c>
      <c r="DR34" s="509">
        <f t="shared" si="38"/>
        <v>0</v>
      </c>
      <c r="DS34" s="450">
        <f t="shared" si="39"/>
        <v>0</v>
      </c>
      <c r="DT34" s="724">
        <f t="shared" si="40"/>
        <v>0</v>
      </c>
      <c r="DU34" s="508">
        <f t="shared" si="41"/>
        <v>0</v>
      </c>
      <c r="DV34" s="508">
        <f t="shared" si="42"/>
        <v>0</v>
      </c>
      <c r="DW34" s="508">
        <f t="shared" si="43"/>
        <v>0</v>
      </c>
      <c r="DX34" s="508">
        <f t="shared" si="44"/>
        <v>0</v>
      </c>
      <c r="DY34" s="508">
        <f t="shared" si="45"/>
        <v>0</v>
      </c>
      <c r="DZ34" s="726">
        <f t="shared" si="46"/>
        <v>0</v>
      </c>
      <c r="EA34" s="722">
        <f t="shared" si="47"/>
        <v>0</v>
      </c>
      <c r="EB34" s="511">
        <f t="shared" si="48"/>
        <v>49644.000000000007</v>
      </c>
      <c r="EC34" s="511">
        <f t="shared" si="49"/>
        <v>0</v>
      </c>
      <c r="ED34" s="511">
        <f t="shared" si="50"/>
        <v>0</v>
      </c>
      <c r="EE34" s="511">
        <f t="shared" si="51"/>
        <v>49644.000000000007</v>
      </c>
      <c r="EF34" s="511">
        <f t="shared" si="52"/>
        <v>0</v>
      </c>
      <c r="EG34" s="723">
        <f t="shared" si="53"/>
        <v>0</v>
      </c>
      <c r="EH34" s="397">
        <f t="shared" si="111"/>
        <v>0</v>
      </c>
      <c r="EI34" s="397">
        <f t="shared" si="54"/>
        <v>7.7428571428571429</v>
      </c>
      <c r="EJ34" s="397">
        <f t="shared" si="55"/>
        <v>0</v>
      </c>
      <c r="EK34" s="397">
        <f t="shared" si="56"/>
        <v>0</v>
      </c>
      <c r="EL34" s="397">
        <f t="shared" si="57"/>
        <v>7.7428571428571429</v>
      </c>
      <c r="EM34" s="397">
        <f t="shared" si="58"/>
        <v>0</v>
      </c>
      <c r="EN34" s="398">
        <f t="shared" si="59"/>
        <v>0</v>
      </c>
      <c r="EO34" s="722">
        <f t="shared" si="60"/>
        <v>0</v>
      </c>
      <c r="EP34" s="511">
        <f t="shared" si="61"/>
        <v>397.40571428571434</v>
      </c>
      <c r="EQ34" s="511">
        <f t="shared" si="62"/>
        <v>0</v>
      </c>
      <c r="ER34" s="511">
        <f t="shared" si="63"/>
        <v>0</v>
      </c>
      <c r="ES34" s="511">
        <f t="shared" si="64"/>
        <v>397.40571428571434</v>
      </c>
      <c r="ET34" s="511">
        <f t="shared" si="65"/>
        <v>0</v>
      </c>
      <c r="EU34" s="723">
        <f t="shared" si="66"/>
        <v>0</v>
      </c>
      <c r="EV34" s="727">
        <f t="shared" si="67"/>
        <v>1</v>
      </c>
      <c r="EW34" s="728">
        <f t="shared" si="68"/>
        <v>21960.396025552582</v>
      </c>
      <c r="EX34" s="728">
        <f t="shared" si="69"/>
        <v>0</v>
      </c>
      <c r="EY34" s="728">
        <f t="shared" si="70"/>
        <v>3000</v>
      </c>
      <c r="EZ34" s="728">
        <f t="shared" si="71"/>
        <v>0</v>
      </c>
      <c r="FA34" s="777">
        <f t="shared" si="72"/>
        <v>99288.000000000015</v>
      </c>
      <c r="FB34" s="777">
        <f t="shared" si="73"/>
        <v>15.485714285714286</v>
      </c>
      <c r="FC34" s="778">
        <f t="shared" si="74"/>
        <v>794.81142857142868</v>
      </c>
      <c r="FE34" s="10" t="b">
        <f t="shared" si="112"/>
        <v>1</v>
      </c>
      <c r="FF34" s="10" t="b">
        <f t="shared" si="75"/>
        <v>1</v>
      </c>
      <c r="FG34" s="10" t="b">
        <f t="shared" si="76"/>
        <v>1</v>
      </c>
      <c r="FH34" s="10" t="b">
        <f t="shared" si="77"/>
        <v>1</v>
      </c>
      <c r="FI34" s="10" t="b">
        <f t="shared" si="78"/>
        <v>1</v>
      </c>
      <c r="FJ34" s="10" t="b">
        <f t="shared" si="79"/>
        <v>1</v>
      </c>
      <c r="FK34" s="10" t="b">
        <f t="shared" si="80"/>
        <v>1</v>
      </c>
      <c r="FL34" s="10" t="b">
        <f t="shared" si="81"/>
        <v>0</v>
      </c>
    </row>
    <row r="35" spans="1:170">
      <c r="A35" s="662">
        <v>30</v>
      </c>
      <c r="B35" s="789" t="s">
        <v>1292</v>
      </c>
      <c r="C35" s="789" t="s">
        <v>1293</v>
      </c>
      <c r="D35" s="789" t="s">
        <v>1289</v>
      </c>
      <c r="E35" s="789" t="s">
        <v>1290</v>
      </c>
      <c r="F35" s="789" t="s">
        <v>1290</v>
      </c>
      <c r="G35" s="704" t="s">
        <v>402</v>
      </c>
      <c r="H35" s="704">
        <f>R35*'Custom Benchmarking'!$E$18</f>
        <v>16470.297019164434</v>
      </c>
      <c r="I35" s="704">
        <v>0</v>
      </c>
      <c r="J35" s="704">
        <f t="shared" si="240"/>
        <v>16470.297019164434</v>
      </c>
      <c r="K35" s="704">
        <v>0</v>
      </c>
      <c r="L35" s="704">
        <f t="shared" si="119"/>
        <v>8235.1485095822172</v>
      </c>
      <c r="M35" s="711" t="s">
        <v>1285</v>
      </c>
      <c r="N35" s="1024">
        <v>2300</v>
      </c>
      <c r="O35" s="1024">
        <v>2300</v>
      </c>
      <c r="P35" s="707">
        <v>0</v>
      </c>
      <c r="Q35" s="707">
        <v>0</v>
      </c>
      <c r="R35" s="1021">
        <v>74466</v>
      </c>
      <c r="S35" s="1021">
        <v>11.614285714285714</v>
      </c>
      <c r="T35" s="1021">
        <v>596.10857142857151</v>
      </c>
      <c r="U35" s="711" t="s">
        <v>1291</v>
      </c>
      <c r="V35" s="716">
        <v>0</v>
      </c>
      <c r="W35" s="711">
        <v>1</v>
      </c>
      <c r="X35" s="781">
        <v>0</v>
      </c>
      <c r="Y35" s="781">
        <v>0</v>
      </c>
      <c r="Z35" s="781">
        <v>0</v>
      </c>
      <c r="AA35" s="781">
        <v>0</v>
      </c>
      <c r="AB35" s="1027">
        <f t="shared" si="113"/>
        <v>0</v>
      </c>
      <c r="AC35" s="1030">
        <v>0</v>
      </c>
      <c r="AD35" s="781">
        <v>1</v>
      </c>
      <c r="AE35" s="781">
        <v>0</v>
      </c>
      <c r="AF35" s="781">
        <v>1</v>
      </c>
      <c r="AG35" s="781">
        <v>0</v>
      </c>
      <c r="AH35" s="781">
        <v>1</v>
      </c>
      <c r="AI35" s="781">
        <v>0</v>
      </c>
      <c r="AJ35" s="781">
        <v>1</v>
      </c>
      <c r="AK35" s="715" t="s">
        <v>374</v>
      </c>
      <c r="AL35" s="711" t="s">
        <v>742</v>
      </c>
      <c r="AM35" s="715" t="s">
        <v>1186</v>
      </c>
      <c r="AN35" s="715" t="s">
        <v>377</v>
      </c>
      <c r="AO35" s="711" t="s">
        <v>3</v>
      </c>
      <c r="AP35" s="715"/>
      <c r="AQ35" s="715"/>
      <c r="AR35" s="715"/>
      <c r="AS35" s="715" t="s">
        <v>744</v>
      </c>
      <c r="AT35" s="715" t="s">
        <v>745</v>
      </c>
      <c r="AU35" s="715" t="s">
        <v>746</v>
      </c>
      <c r="AV35" s="715">
        <v>15</v>
      </c>
      <c r="AW35" s="715">
        <v>15</v>
      </c>
      <c r="AX35" s="715" t="s">
        <v>769</v>
      </c>
      <c r="AY35" s="716">
        <v>1</v>
      </c>
      <c r="AZ35" s="716">
        <v>1</v>
      </c>
      <c r="BA35" s="717">
        <v>1</v>
      </c>
      <c r="BB35" s="721">
        <f t="shared" si="139"/>
        <v>16470.297019164434</v>
      </c>
      <c r="BC35" s="499">
        <f t="shared" si="140"/>
        <v>16470.297019164434</v>
      </c>
      <c r="BD35" s="499">
        <f t="shared" si="141"/>
        <v>16470.297019164434</v>
      </c>
      <c r="BE35" s="499">
        <f t="shared" si="142"/>
        <v>16470.297019164434</v>
      </c>
      <c r="BF35" s="499">
        <f t="shared" si="143"/>
        <v>16470.297019164434</v>
      </c>
      <c r="BG35" s="499">
        <f t="shared" si="144"/>
        <v>16470.297019164434</v>
      </c>
      <c r="BH35" s="499">
        <f t="shared" si="145"/>
        <v>16470.297019164434</v>
      </c>
      <c r="BI35" s="721">
        <f t="shared" si="6"/>
        <v>0</v>
      </c>
      <c r="BJ35" s="499">
        <f t="shared" ref="BJ35:BM35" si="245">BI35</f>
        <v>0</v>
      </c>
      <c r="BK35" s="499">
        <f t="shared" si="245"/>
        <v>0</v>
      </c>
      <c r="BL35" s="499">
        <f t="shared" si="245"/>
        <v>0</v>
      </c>
      <c r="BM35" s="499">
        <f t="shared" si="245"/>
        <v>0</v>
      </c>
      <c r="BN35" s="499">
        <f t="shared" si="147"/>
        <v>0</v>
      </c>
      <c r="BO35" s="499">
        <f t="shared" si="148"/>
        <v>0</v>
      </c>
      <c r="BP35" s="721">
        <f t="shared" si="8"/>
        <v>2300</v>
      </c>
      <c r="BQ35" s="499">
        <f t="shared" si="95"/>
        <v>2300</v>
      </c>
      <c r="BR35" s="499">
        <f t="shared" si="149"/>
        <v>2300</v>
      </c>
      <c r="BS35" s="499">
        <f t="shared" si="150"/>
        <v>2300</v>
      </c>
      <c r="BT35" s="499">
        <f t="shared" si="151"/>
        <v>2300</v>
      </c>
      <c r="BU35" s="499">
        <f t="shared" si="152"/>
        <v>2300</v>
      </c>
      <c r="BV35" s="499">
        <f t="shared" si="153"/>
        <v>2300</v>
      </c>
      <c r="BW35" s="774">
        <f t="shared" si="196"/>
        <v>0</v>
      </c>
      <c r="BX35" s="503">
        <f t="shared" si="196"/>
        <v>0</v>
      </c>
      <c r="BY35" s="503">
        <f t="shared" si="196"/>
        <v>0</v>
      </c>
      <c r="BZ35" s="503">
        <f t="shared" si="196"/>
        <v>0</v>
      </c>
      <c r="CA35" s="503">
        <f t="shared" si="196"/>
        <v>0</v>
      </c>
      <c r="CB35" s="503">
        <f t="shared" si="196"/>
        <v>0</v>
      </c>
      <c r="CC35" s="503">
        <f t="shared" si="196"/>
        <v>0</v>
      </c>
      <c r="CD35" s="722">
        <f t="shared" si="13"/>
        <v>74466</v>
      </c>
      <c r="CE35" s="511">
        <f t="shared" ref="CE35:CH35" si="246">CD35</f>
        <v>74466</v>
      </c>
      <c r="CF35" s="511">
        <f t="shared" si="246"/>
        <v>74466</v>
      </c>
      <c r="CG35" s="511">
        <f t="shared" si="246"/>
        <v>74466</v>
      </c>
      <c r="CH35" s="511">
        <f t="shared" si="246"/>
        <v>74466</v>
      </c>
      <c r="CI35" s="511">
        <f t="shared" si="103"/>
        <v>74466</v>
      </c>
      <c r="CJ35" s="511">
        <f t="shared" si="104"/>
        <v>74466</v>
      </c>
      <c r="CK35" s="722">
        <f t="shared" si="15"/>
        <v>11.614285714285714</v>
      </c>
      <c r="CL35" s="511">
        <f t="shared" ref="CL35:CO35" si="247">CK35</f>
        <v>11.614285714285714</v>
      </c>
      <c r="CM35" s="511">
        <f t="shared" si="247"/>
        <v>11.614285714285714</v>
      </c>
      <c r="CN35" s="511">
        <f t="shared" si="247"/>
        <v>11.614285714285714</v>
      </c>
      <c r="CO35" s="511">
        <f t="shared" si="247"/>
        <v>11.614285714285714</v>
      </c>
      <c r="CP35" s="511">
        <f t="shared" si="106"/>
        <v>11.614285714285714</v>
      </c>
      <c r="CQ35" s="511">
        <f t="shared" si="107"/>
        <v>11.614285714285714</v>
      </c>
      <c r="CR35" s="722">
        <f t="shared" si="17"/>
        <v>596.10857142857151</v>
      </c>
      <c r="CS35" s="511">
        <f t="shared" ref="CS35:CV35" si="248">CR35</f>
        <v>596.10857142857151</v>
      </c>
      <c r="CT35" s="511">
        <f t="shared" si="248"/>
        <v>596.10857142857151</v>
      </c>
      <c r="CU35" s="511">
        <f t="shared" si="248"/>
        <v>596.10857142857151</v>
      </c>
      <c r="CV35" s="511">
        <f t="shared" si="248"/>
        <v>596.10857142857151</v>
      </c>
      <c r="CW35" s="511">
        <f t="shared" si="109"/>
        <v>596.10857142857151</v>
      </c>
      <c r="CX35" s="539">
        <f t="shared" si="110"/>
        <v>596.10857142857151</v>
      </c>
      <c r="CY35" s="724">
        <f t="shared" si="19"/>
        <v>16470.297019164434</v>
      </c>
      <c r="CZ35" s="508">
        <f t="shared" si="20"/>
        <v>0</v>
      </c>
      <c r="DA35" s="508">
        <f t="shared" si="21"/>
        <v>16470.297019164434</v>
      </c>
      <c r="DB35" s="508">
        <f t="shared" si="22"/>
        <v>0</v>
      </c>
      <c r="DC35" s="508">
        <f t="shared" si="23"/>
        <v>16470.297019164434</v>
      </c>
      <c r="DD35" s="508">
        <f t="shared" si="24"/>
        <v>0</v>
      </c>
      <c r="DE35" s="726">
        <f t="shared" si="25"/>
        <v>16470.297019164434</v>
      </c>
      <c r="DF35" s="724">
        <f t="shared" si="26"/>
        <v>0</v>
      </c>
      <c r="DG35" s="509">
        <f t="shared" si="27"/>
        <v>0</v>
      </c>
      <c r="DH35" s="509">
        <f t="shared" si="28"/>
        <v>0</v>
      </c>
      <c r="DI35" s="509">
        <f t="shared" si="29"/>
        <v>0</v>
      </c>
      <c r="DJ35" s="509">
        <f t="shared" si="30"/>
        <v>0</v>
      </c>
      <c r="DK35" s="509">
        <f t="shared" si="31"/>
        <v>0</v>
      </c>
      <c r="DL35" s="451">
        <f t="shared" si="32"/>
        <v>0</v>
      </c>
      <c r="DM35" s="509">
        <f t="shared" si="33"/>
        <v>2300</v>
      </c>
      <c r="DN35" s="509">
        <f t="shared" si="34"/>
        <v>0</v>
      </c>
      <c r="DO35" s="509">
        <f t="shared" si="35"/>
        <v>2300</v>
      </c>
      <c r="DP35" s="509">
        <f t="shared" si="36"/>
        <v>0</v>
      </c>
      <c r="DQ35" s="509">
        <f t="shared" si="37"/>
        <v>2300</v>
      </c>
      <c r="DR35" s="509">
        <f t="shared" si="38"/>
        <v>0</v>
      </c>
      <c r="DS35" s="450">
        <f t="shared" si="39"/>
        <v>2300</v>
      </c>
      <c r="DT35" s="724">
        <f t="shared" si="40"/>
        <v>0</v>
      </c>
      <c r="DU35" s="508">
        <f t="shared" si="41"/>
        <v>0</v>
      </c>
      <c r="DV35" s="508">
        <f t="shared" si="42"/>
        <v>0</v>
      </c>
      <c r="DW35" s="508">
        <f t="shared" si="43"/>
        <v>0</v>
      </c>
      <c r="DX35" s="508">
        <f t="shared" si="44"/>
        <v>0</v>
      </c>
      <c r="DY35" s="508">
        <f t="shared" si="45"/>
        <v>0</v>
      </c>
      <c r="DZ35" s="726">
        <f t="shared" si="46"/>
        <v>0</v>
      </c>
      <c r="EA35" s="722">
        <f t="shared" si="47"/>
        <v>74466</v>
      </c>
      <c r="EB35" s="511">
        <f t="shared" si="48"/>
        <v>0</v>
      </c>
      <c r="EC35" s="511">
        <f t="shared" si="49"/>
        <v>74466</v>
      </c>
      <c r="ED35" s="511">
        <f t="shared" si="50"/>
        <v>0</v>
      </c>
      <c r="EE35" s="511">
        <f t="shared" si="51"/>
        <v>74466</v>
      </c>
      <c r="EF35" s="511">
        <f t="shared" si="52"/>
        <v>0</v>
      </c>
      <c r="EG35" s="723">
        <f t="shared" si="53"/>
        <v>74466</v>
      </c>
      <c r="EH35" s="397">
        <f t="shared" si="111"/>
        <v>11.614285714285714</v>
      </c>
      <c r="EI35" s="397">
        <f t="shared" si="54"/>
        <v>0</v>
      </c>
      <c r="EJ35" s="397">
        <f t="shared" si="55"/>
        <v>11.614285714285714</v>
      </c>
      <c r="EK35" s="397">
        <f t="shared" si="56"/>
        <v>0</v>
      </c>
      <c r="EL35" s="397">
        <f t="shared" si="57"/>
        <v>11.614285714285714</v>
      </c>
      <c r="EM35" s="397">
        <f t="shared" si="58"/>
        <v>0</v>
      </c>
      <c r="EN35" s="398">
        <f t="shared" si="59"/>
        <v>11.614285714285714</v>
      </c>
      <c r="EO35" s="722">
        <f t="shared" si="60"/>
        <v>596.10857142857151</v>
      </c>
      <c r="EP35" s="511">
        <f t="shared" si="61"/>
        <v>0</v>
      </c>
      <c r="EQ35" s="511">
        <f t="shared" si="62"/>
        <v>596.10857142857151</v>
      </c>
      <c r="ER35" s="511">
        <f t="shared" si="63"/>
        <v>0</v>
      </c>
      <c r="ES35" s="511">
        <f t="shared" si="64"/>
        <v>596.10857142857151</v>
      </c>
      <c r="ET35" s="511">
        <f t="shared" si="65"/>
        <v>0</v>
      </c>
      <c r="EU35" s="723">
        <f t="shared" si="66"/>
        <v>596.10857142857151</v>
      </c>
      <c r="EV35" s="727">
        <f t="shared" si="67"/>
        <v>2</v>
      </c>
      <c r="EW35" s="728">
        <f t="shared" si="68"/>
        <v>65881.188076657738</v>
      </c>
      <c r="EX35" s="728">
        <f t="shared" si="69"/>
        <v>0</v>
      </c>
      <c r="EY35" s="728">
        <f t="shared" si="70"/>
        <v>9200</v>
      </c>
      <c r="EZ35" s="728">
        <f t="shared" si="71"/>
        <v>0</v>
      </c>
      <c r="FA35" s="777">
        <f t="shared" si="72"/>
        <v>297864</v>
      </c>
      <c r="FB35" s="777">
        <f t="shared" si="73"/>
        <v>46.457142857142856</v>
      </c>
      <c r="FC35" s="778">
        <f t="shared" si="74"/>
        <v>2384.434285714286</v>
      </c>
      <c r="FE35" s="10" t="b">
        <f t="shared" si="112"/>
        <v>1</v>
      </c>
      <c r="FF35" s="10" t="b">
        <f t="shared" si="75"/>
        <v>1</v>
      </c>
      <c r="FG35" s="10" t="b">
        <f t="shared" si="76"/>
        <v>1</v>
      </c>
      <c r="FH35" s="10" t="b">
        <f t="shared" si="77"/>
        <v>1</v>
      </c>
      <c r="FI35" s="10" t="b">
        <f t="shared" si="78"/>
        <v>1</v>
      </c>
      <c r="FJ35" s="10" t="b">
        <f t="shared" si="79"/>
        <v>1</v>
      </c>
      <c r="FK35" s="10" t="b">
        <f t="shared" si="80"/>
        <v>1</v>
      </c>
      <c r="FL35" s="10" t="b">
        <f t="shared" si="81"/>
        <v>0</v>
      </c>
    </row>
    <row r="36" spans="1:170">
      <c r="A36" s="662">
        <v>31</v>
      </c>
      <c r="B36" s="789" t="s">
        <v>1294</v>
      </c>
      <c r="C36" s="789" t="s">
        <v>1295</v>
      </c>
      <c r="D36" s="789" t="s">
        <v>1289</v>
      </c>
      <c r="E36" s="789" t="s">
        <v>1290</v>
      </c>
      <c r="F36" s="789" t="s">
        <v>1290</v>
      </c>
      <c r="G36" s="704" t="s">
        <v>402</v>
      </c>
      <c r="H36" s="704">
        <f>R36*'Custom Benchmarking'!$E$18</f>
        <v>21960.396025552582</v>
      </c>
      <c r="I36" s="704">
        <v>0</v>
      </c>
      <c r="J36" s="704">
        <f>H36+I36</f>
        <v>21960.396025552582</v>
      </c>
      <c r="K36" s="704">
        <v>0</v>
      </c>
      <c r="L36" s="704">
        <f t="shared" si="119"/>
        <v>10980.198012776291</v>
      </c>
      <c r="M36" s="711" t="s">
        <v>1285</v>
      </c>
      <c r="N36" s="1024">
        <v>3000</v>
      </c>
      <c r="O36" s="1024">
        <v>3000</v>
      </c>
      <c r="P36" s="707">
        <v>0</v>
      </c>
      <c r="Q36" s="707">
        <v>0</v>
      </c>
      <c r="R36" s="1021">
        <v>99288.000000000015</v>
      </c>
      <c r="S36" s="1021">
        <v>15.485714285714286</v>
      </c>
      <c r="T36" s="1021">
        <v>794.81142857142868</v>
      </c>
      <c r="U36" s="711" t="s">
        <v>1291</v>
      </c>
      <c r="V36" s="716">
        <v>0</v>
      </c>
      <c r="W36" s="711">
        <v>1</v>
      </c>
      <c r="X36" s="781">
        <v>0</v>
      </c>
      <c r="Y36" s="781">
        <v>1</v>
      </c>
      <c r="Z36" s="781">
        <v>0</v>
      </c>
      <c r="AA36" s="781">
        <v>0</v>
      </c>
      <c r="AB36" s="1027">
        <f t="shared" si="113"/>
        <v>0</v>
      </c>
      <c r="AC36" s="1030">
        <v>1</v>
      </c>
      <c r="AD36" s="781">
        <v>0</v>
      </c>
      <c r="AE36" s="781">
        <v>0</v>
      </c>
      <c r="AF36" s="781">
        <v>1</v>
      </c>
      <c r="AG36" s="781">
        <v>0</v>
      </c>
      <c r="AH36" s="781">
        <v>0</v>
      </c>
      <c r="AI36" s="781">
        <v>1</v>
      </c>
      <c r="AJ36" s="781">
        <v>0</v>
      </c>
      <c r="AK36" s="715" t="s">
        <v>374</v>
      </c>
      <c r="AL36" s="711" t="s">
        <v>742</v>
      </c>
      <c r="AM36" s="715" t="s">
        <v>1186</v>
      </c>
      <c r="AN36" s="715" t="s">
        <v>377</v>
      </c>
      <c r="AO36" s="711" t="s">
        <v>3</v>
      </c>
      <c r="AP36" s="715"/>
      <c r="AQ36" s="715"/>
      <c r="AR36" s="715"/>
      <c r="AS36" s="715" t="s">
        <v>744</v>
      </c>
      <c r="AT36" s="715" t="s">
        <v>745</v>
      </c>
      <c r="AU36" s="715" t="s">
        <v>746</v>
      </c>
      <c r="AV36" s="715">
        <v>15</v>
      </c>
      <c r="AW36" s="715">
        <v>15</v>
      </c>
      <c r="AX36" s="715" t="s">
        <v>769</v>
      </c>
      <c r="AY36" s="716">
        <v>1</v>
      </c>
      <c r="AZ36" s="716">
        <v>1</v>
      </c>
      <c r="BA36" s="717">
        <v>1</v>
      </c>
      <c r="BB36" s="721">
        <f t="shared" si="139"/>
        <v>21960.396025552582</v>
      </c>
      <c r="BC36" s="499">
        <f t="shared" si="140"/>
        <v>21960.396025552582</v>
      </c>
      <c r="BD36" s="499">
        <f t="shared" si="141"/>
        <v>21960.396025552582</v>
      </c>
      <c r="BE36" s="499">
        <f t="shared" si="142"/>
        <v>21960.396025552582</v>
      </c>
      <c r="BF36" s="499">
        <f t="shared" si="143"/>
        <v>21960.396025552582</v>
      </c>
      <c r="BG36" s="499">
        <f t="shared" si="144"/>
        <v>21960.396025552582</v>
      </c>
      <c r="BH36" s="499">
        <f t="shared" si="145"/>
        <v>21960.396025552582</v>
      </c>
      <c r="BI36" s="721">
        <f t="shared" si="6"/>
        <v>0</v>
      </c>
      <c r="BJ36" s="499">
        <f t="shared" ref="BJ36:BM36" si="249">BI36</f>
        <v>0</v>
      </c>
      <c r="BK36" s="499">
        <f t="shared" si="249"/>
        <v>0</v>
      </c>
      <c r="BL36" s="499">
        <f t="shared" si="249"/>
        <v>0</v>
      </c>
      <c r="BM36" s="499">
        <f t="shared" si="249"/>
        <v>0</v>
      </c>
      <c r="BN36" s="499">
        <f t="shared" si="147"/>
        <v>0</v>
      </c>
      <c r="BO36" s="499">
        <f t="shared" si="148"/>
        <v>0</v>
      </c>
      <c r="BP36" s="721">
        <f t="shared" si="8"/>
        <v>3000</v>
      </c>
      <c r="BQ36" s="499">
        <f t="shared" si="95"/>
        <v>3000</v>
      </c>
      <c r="BR36" s="499">
        <f t="shared" si="149"/>
        <v>3000</v>
      </c>
      <c r="BS36" s="499">
        <f t="shared" si="150"/>
        <v>3000</v>
      </c>
      <c r="BT36" s="499">
        <f t="shared" si="151"/>
        <v>3000</v>
      </c>
      <c r="BU36" s="499">
        <f t="shared" si="152"/>
        <v>3000</v>
      </c>
      <c r="BV36" s="499">
        <f t="shared" si="153"/>
        <v>3000</v>
      </c>
      <c r="BW36" s="774">
        <f t="shared" si="196"/>
        <v>0</v>
      </c>
      <c r="BX36" s="503">
        <f t="shared" si="196"/>
        <v>0</v>
      </c>
      <c r="BY36" s="503">
        <f t="shared" si="196"/>
        <v>0</v>
      </c>
      <c r="BZ36" s="503">
        <f t="shared" si="196"/>
        <v>0</v>
      </c>
      <c r="CA36" s="503">
        <f t="shared" si="196"/>
        <v>0</v>
      </c>
      <c r="CB36" s="503">
        <f t="shared" si="196"/>
        <v>0</v>
      </c>
      <c r="CC36" s="503">
        <f t="shared" si="196"/>
        <v>0</v>
      </c>
      <c r="CD36" s="722">
        <f t="shared" si="13"/>
        <v>99288.000000000015</v>
      </c>
      <c r="CE36" s="511">
        <f t="shared" ref="CE36:CH36" si="250">CD36</f>
        <v>99288.000000000015</v>
      </c>
      <c r="CF36" s="511">
        <f t="shared" si="250"/>
        <v>99288.000000000015</v>
      </c>
      <c r="CG36" s="511">
        <f t="shared" si="250"/>
        <v>99288.000000000015</v>
      </c>
      <c r="CH36" s="511">
        <f t="shared" si="250"/>
        <v>99288.000000000015</v>
      </c>
      <c r="CI36" s="511">
        <f t="shared" si="103"/>
        <v>99288.000000000015</v>
      </c>
      <c r="CJ36" s="511">
        <f t="shared" si="104"/>
        <v>99288.000000000015</v>
      </c>
      <c r="CK36" s="722">
        <f t="shared" si="15"/>
        <v>15.485714285714286</v>
      </c>
      <c r="CL36" s="511">
        <f t="shared" ref="CL36:CO36" si="251">CK36</f>
        <v>15.485714285714286</v>
      </c>
      <c r="CM36" s="511">
        <f t="shared" si="251"/>
        <v>15.485714285714286</v>
      </c>
      <c r="CN36" s="511">
        <f t="shared" si="251"/>
        <v>15.485714285714286</v>
      </c>
      <c r="CO36" s="511">
        <f t="shared" si="251"/>
        <v>15.485714285714286</v>
      </c>
      <c r="CP36" s="511">
        <f t="shared" si="106"/>
        <v>15.485714285714286</v>
      </c>
      <c r="CQ36" s="511">
        <f t="shared" si="107"/>
        <v>15.485714285714286</v>
      </c>
      <c r="CR36" s="722">
        <f t="shared" si="17"/>
        <v>794.81142857142868</v>
      </c>
      <c r="CS36" s="511">
        <f t="shared" ref="CS36:CV36" si="252">CR36</f>
        <v>794.81142857142868</v>
      </c>
      <c r="CT36" s="511">
        <f t="shared" si="252"/>
        <v>794.81142857142868</v>
      </c>
      <c r="CU36" s="511">
        <f t="shared" si="252"/>
        <v>794.81142857142868</v>
      </c>
      <c r="CV36" s="511">
        <f t="shared" si="252"/>
        <v>794.81142857142868</v>
      </c>
      <c r="CW36" s="511">
        <f t="shared" si="109"/>
        <v>794.81142857142868</v>
      </c>
      <c r="CX36" s="539">
        <f t="shared" si="110"/>
        <v>794.81142857142868</v>
      </c>
      <c r="CY36" s="724">
        <f t="shared" si="19"/>
        <v>0</v>
      </c>
      <c r="CZ36" s="508">
        <f t="shared" si="20"/>
        <v>0</v>
      </c>
      <c r="DA36" s="508">
        <f t="shared" si="21"/>
        <v>21960.396025552582</v>
      </c>
      <c r="DB36" s="508">
        <f t="shared" si="22"/>
        <v>0</v>
      </c>
      <c r="DC36" s="508">
        <f t="shared" si="23"/>
        <v>0</v>
      </c>
      <c r="DD36" s="508">
        <f t="shared" si="24"/>
        <v>21960.396025552582</v>
      </c>
      <c r="DE36" s="726">
        <f t="shared" si="25"/>
        <v>0</v>
      </c>
      <c r="DF36" s="724">
        <f t="shared" si="26"/>
        <v>0</v>
      </c>
      <c r="DG36" s="509">
        <f t="shared" si="27"/>
        <v>0</v>
      </c>
      <c r="DH36" s="509">
        <f t="shared" si="28"/>
        <v>0</v>
      </c>
      <c r="DI36" s="509">
        <f t="shared" si="29"/>
        <v>0</v>
      </c>
      <c r="DJ36" s="509">
        <f t="shared" si="30"/>
        <v>0</v>
      </c>
      <c r="DK36" s="509">
        <f t="shared" si="31"/>
        <v>0</v>
      </c>
      <c r="DL36" s="451">
        <f t="shared" si="32"/>
        <v>0</v>
      </c>
      <c r="DM36" s="509">
        <f t="shared" si="33"/>
        <v>0</v>
      </c>
      <c r="DN36" s="509">
        <f t="shared" si="34"/>
        <v>0</v>
      </c>
      <c r="DO36" s="509">
        <f t="shared" si="35"/>
        <v>3000</v>
      </c>
      <c r="DP36" s="509">
        <f t="shared" si="36"/>
        <v>0</v>
      </c>
      <c r="DQ36" s="509">
        <f t="shared" si="37"/>
        <v>0</v>
      </c>
      <c r="DR36" s="509">
        <f t="shared" si="38"/>
        <v>3000</v>
      </c>
      <c r="DS36" s="450">
        <f t="shared" si="39"/>
        <v>0</v>
      </c>
      <c r="DT36" s="724">
        <f t="shared" si="40"/>
        <v>0</v>
      </c>
      <c r="DU36" s="508">
        <f t="shared" si="41"/>
        <v>0</v>
      </c>
      <c r="DV36" s="508">
        <f t="shared" si="42"/>
        <v>0</v>
      </c>
      <c r="DW36" s="508">
        <f t="shared" si="43"/>
        <v>0</v>
      </c>
      <c r="DX36" s="508">
        <f t="shared" si="44"/>
        <v>0</v>
      </c>
      <c r="DY36" s="508">
        <f t="shared" si="45"/>
        <v>0</v>
      </c>
      <c r="DZ36" s="726">
        <f t="shared" si="46"/>
        <v>0</v>
      </c>
      <c r="EA36" s="722">
        <f t="shared" si="47"/>
        <v>0</v>
      </c>
      <c r="EB36" s="511">
        <f t="shared" si="48"/>
        <v>0</v>
      </c>
      <c r="EC36" s="511">
        <f t="shared" si="49"/>
        <v>99288.000000000015</v>
      </c>
      <c r="ED36" s="511">
        <f t="shared" si="50"/>
        <v>0</v>
      </c>
      <c r="EE36" s="511">
        <f t="shared" si="51"/>
        <v>0</v>
      </c>
      <c r="EF36" s="511">
        <f t="shared" si="52"/>
        <v>99288.000000000015</v>
      </c>
      <c r="EG36" s="723">
        <f t="shared" si="53"/>
        <v>0</v>
      </c>
      <c r="EH36" s="397">
        <f t="shared" si="111"/>
        <v>0</v>
      </c>
      <c r="EI36" s="397">
        <f t="shared" si="54"/>
        <v>0</v>
      </c>
      <c r="EJ36" s="397">
        <f t="shared" si="55"/>
        <v>15.485714285714286</v>
      </c>
      <c r="EK36" s="397">
        <f t="shared" si="56"/>
        <v>0</v>
      </c>
      <c r="EL36" s="397">
        <f t="shared" si="57"/>
        <v>0</v>
      </c>
      <c r="EM36" s="397">
        <f t="shared" si="58"/>
        <v>15.485714285714286</v>
      </c>
      <c r="EN36" s="398">
        <f t="shared" si="59"/>
        <v>0</v>
      </c>
      <c r="EO36" s="722">
        <f t="shared" si="60"/>
        <v>0</v>
      </c>
      <c r="EP36" s="511">
        <f t="shared" si="61"/>
        <v>0</v>
      </c>
      <c r="EQ36" s="511">
        <f t="shared" si="62"/>
        <v>794.81142857142868</v>
      </c>
      <c r="ER36" s="511">
        <f t="shared" si="63"/>
        <v>0</v>
      </c>
      <c r="ES36" s="511">
        <f t="shared" si="64"/>
        <v>0</v>
      </c>
      <c r="ET36" s="511">
        <f t="shared" si="65"/>
        <v>794.81142857142868</v>
      </c>
      <c r="EU36" s="723">
        <f t="shared" si="66"/>
        <v>0</v>
      </c>
      <c r="EV36" s="727">
        <f t="shared" si="67"/>
        <v>1</v>
      </c>
      <c r="EW36" s="728">
        <f t="shared" si="68"/>
        <v>43920.792051105163</v>
      </c>
      <c r="EX36" s="728">
        <f t="shared" si="69"/>
        <v>0</v>
      </c>
      <c r="EY36" s="728">
        <f t="shared" si="70"/>
        <v>6000</v>
      </c>
      <c r="EZ36" s="728">
        <f t="shared" si="71"/>
        <v>0</v>
      </c>
      <c r="FA36" s="777">
        <f t="shared" si="72"/>
        <v>198576.00000000003</v>
      </c>
      <c r="FB36" s="777">
        <f t="shared" si="73"/>
        <v>30.971428571428572</v>
      </c>
      <c r="FC36" s="778">
        <f t="shared" si="74"/>
        <v>1589.6228571428574</v>
      </c>
      <c r="FE36" s="10" t="b">
        <f t="shared" si="112"/>
        <v>1</v>
      </c>
      <c r="FF36" s="10" t="b">
        <f t="shared" si="75"/>
        <v>1</v>
      </c>
      <c r="FG36" s="10" t="b">
        <f t="shared" si="76"/>
        <v>1</v>
      </c>
      <c r="FH36" s="10" t="b">
        <f t="shared" si="77"/>
        <v>1</v>
      </c>
      <c r="FI36" s="10" t="b">
        <f t="shared" si="78"/>
        <v>1</v>
      </c>
      <c r="FJ36" s="10" t="b">
        <f t="shared" si="79"/>
        <v>1</v>
      </c>
      <c r="FK36" s="10" t="b">
        <f t="shared" si="80"/>
        <v>1</v>
      </c>
      <c r="FL36" s="10" t="b">
        <f t="shared" si="81"/>
        <v>0</v>
      </c>
    </row>
    <row r="37" spans="1:170">
      <c r="A37" s="662">
        <v>32</v>
      </c>
      <c r="B37" s="789" t="s">
        <v>1296</v>
      </c>
      <c r="C37" s="789" t="s">
        <v>1297</v>
      </c>
      <c r="D37" s="789" t="s">
        <v>1289</v>
      </c>
      <c r="E37" s="789" t="s">
        <v>1290</v>
      </c>
      <c r="F37" s="789" t="s">
        <v>1290</v>
      </c>
      <c r="G37" s="704" t="s">
        <v>402</v>
      </c>
      <c r="H37" s="704">
        <f>R37*'Custom Benchmarking'!$E$18</f>
        <v>27450.495031940722</v>
      </c>
      <c r="I37" s="704">
        <v>0</v>
      </c>
      <c r="J37" s="704">
        <f t="shared" si="240"/>
        <v>27450.495031940722</v>
      </c>
      <c r="K37" s="704">
        <v>0</v>
      </c>
      <c r="L37" s="704">
        <f t="shared" si="119"/>
        <v>13725.247515970361</v>
      </c>
      <c r="M37" s="711" t="s">
        <v>1285</v>
      </c>
      <c r="N37" s="1024">
        <v>3800</v>
      </c>
      <c r="O37" s="1024">
        <v>3800</v>
      </c>
      <c r="P37" s="707">
        <v>0</v>
      </c>
      <c r="Q37" s="707">
        <v>0</v>
      </c>
      <c r="R37" s="1021">
        <v>124110</v>
      </c>
      <c r="S37" s="1021">
        <v>19.357142857142858</v>
      </c>
      <c r="T37" s="1021">
        <v>993.51428571428573</v>
      </c>
      <c r="U37" s="711" t="s">
        <v>1291</v>
      </c>
      <c r="V37" s="716">
        <v>0</v>
      </c>
      <c r="W37" s="711">
        <v>1</v>
      </c>
      <c r="X37" s="781">
        <v>0</v>
      </c>
      <c r="Y37" s="781">
        <v>1</v>
      </c>
      <c r="Z37" s="781">
        <v>0</v>
      </c>
      <c r="AA37" s="781">
        <v>1.7142857142857142</v>
      </c>
      <c r="AB37" s="1027">
        <f t="shared" si="113"/>
        <v>0.8571428571428571</v>
      </c>
      <c r="AC37" s="1030">
        <f>MROUND(AB37,1)</f>
        <v>1</v>
      </c>
      <c r="AD37" s="1030">
        <f t="shared" ref="AD37:AJ37" si="253">AC37</f>
        <v>1</v>
      </c>
      <c r="AE37" s="1030">
        <f t="shared" si="253"/>
        <v>1</v>
      </c>
      <c r="AF37" s="1030">
        <f t="shared" si="253"/>
        <v>1</v>
      </c>
      <c r="AG37" s="1030">
        <f t="shared" si="253"/>
        <v>1</v>
      </c>
      <c r="AH37" s="1030">
        <f t="shared" si="253"/>
        <v>1</v>
      </c>
      <c r="AI37" s="1030">
        <f t="shared" si="253"/>
        <v>1</v>
      </c>
      <c r="AJ37" s="1030">
        <f t="shared" si="253"/>
        <v>1</v>
      </c>
      <c r="AK37" s="715" t="s">
        <v>374</v>
      </c>
      <c r="AL37" s="711" t="s">
        <v>742</v>
      </c>
      <c r="AM37" s="715" t="s">
        <v>1186</v>
      </c>
      <c r="AN37" s="715" t="s">
        <v>377</v>
      </c>
      <c r="AO37" s="711" t="s">
        <v>3</v>
      </c>
      <c r="AP37" s="715"/>
      <c r="AQ37" s="715"/>
      <c r="AR37" s="715"/>
      <c r="AS37" s="715" t="s">
        <v>744</v>
      </c>
      <c r="AT37" s="715" t="s">
        <v>745</v>
      </c>
      <c r="AU37" s="715" t="s">
        <v>746</v>
      </c>
      <c r="AV37" s="715">
        <v>15</v>
      </c>
      <c r="AW37" s="715">
        <v>15</v>
      </c>
      <c r="AX37" s="715" t="s">
        <v>769</v>
      </c>
      <c r="AY37" s="716">
        <v>1</v>
      </c>
      <c r="AZ37" s="716">
        <v>1</v>
      </c>
      <c r="BA37" s="717">
        <v>1</v>
      </c>
      <c r="BB37" s="721">
        <f t="shared" si="139"/>
        <v>27450.495031940722</v>
      </c>
      <c r="BC37" s="499">
        <f t="shared" si="140"/>
        <v>27450.495031940722</v>
      </c>
      <c r="BD37" s="499">
        <f t="shared" si="141"/>
        <v>27450.495031940722</v>
      </c>
      <c r="BE37" s="499">
        <f t="shared" si="142"/>
        <v>27450.495031940722</v>
      </c>
      <c r="BF37" s="499">
        <f t="shared" si="143"/>
        <v>27450.495031940722</v>
      </c>
      <c r="BG37" s="499">
        <f t="shared" si="144"/>
        <v>27450.495031940722</v>
      </c>
      <c r="BH37" s="499">
        <f t="shared" si="145"/>
        <v>27450.495031940722</v>
      </c>
      <c r="BI37" s="721">
        <f t="shared" si="6"/>
        <v>0</v>
      </c>
      <c r="BJ37" s="499">
        <f t="shared" ref="BJ37:BM37" si="254">BI37</f>
        <v>0</v>
      </c>
      <c r="BK37" s="499">
        <f t="shared" si="254"/>
        <v>0</v>
      </c>
      <c r="BL37" s="499">
        <f t="shared" si="254"/>
        <v>0</v>
      </c>
      <c r="BM37" s="499">
        <f t="shared" si="254"/>
        <v>0</v>
      </c>
      <c r="BN37" s="499">
        <f t="shared" si="147"/>
        <v>0</v>
      </c>
      <c r="BO37" s="499">
        <f t="shared" si="148"/>
        <v>0</v>
      </c>
      <c r="BP37" s="721">
        <f t="shared" si="8"/>
        <v>3800</v>
      </c>
      <c r="BQ37" s="499">
        <f t="shared" si="95"/>
        <v>3800</v>
      </c>
      <c r="BR37" s="499">
        <f t="shared" si="149"/>
        <v>3800</v>
      </c>
      <c r="BS37" s="499">
        <f t="shared" si="150"/>
        <v>3800</v>
      </c>
      <c r="BT37" s="499">
        <f t="shared" si="151"/>
        <v>3800</v>
      </c>
      <c r="BU37" s="499">
        <f t="shared" si="152"/>
        <v>3800</v>
      </c>
      <c r="BV37" s="499">
        <f t="shared" si="153"/>
        <v>3800</v>
      </c>
      <c r="BW37" s="774">
        <f t="shared" si="196"/>
        <v>0</v>
      </c>
      <c r="BX37" s="503">
        <f t="shared" si="196"/>
        <v>0</v>
      </c>
      <c r="BY37" s="503">
        <f t="shared" si="196"/>
        <v>0</v>
      </c>
      <c r="BZ37" s="503">
        <f t="shared" si="196"/>
        <v>0</v>
      </c>
      <c r="CA37" s="503">
        <f t="shared" si="196"/>
        <v>0</v>
      </c>
      <c r="CB37" s="503">
        <f t="shared" si="196"/>
        <v>0</v>
      </c>
      <c r="CC37" s="503">
        <f t="shared" si="196"/>
        <v>0</v>
      </c>
      <c r="CD37" s="722">
        <f t="shared" si="13"/>
        <v>124110</v>
      </c>
      <c r="CE37" s="511">
        <f t="shared" ref="CE37:CH37" si="255">CD37</f>
        <v>124110</v>
      </c>
      <c r="CF37" s="511">
        <f t="shared" si="255"/>
        <v>124110</v>
      </c>
      <c r="CG37" s="511">
        <f t="shared" si="255"/>
        <v>124110</v>
      </c>
      <c r="CH37" s="511">
        <f t="shared" si="255"/>
        <v>124110</v>
      </c>
      <c r="CI37" s="511">
        <f t="shared" si="103"/>
        <v>124110</v>
      </c>
      <c r="CJ37" s="511">
        <f t="shared" si="104"/>
        <v>124110</v>
      </c>
      <c r="CK37" s="722">
        <f t="shared" si="15"/>
        <v>19.357142857142858</v>
      </c>
      <c r="CL37" s="511">
        <f t="shared" ref="CL37:CO37" si="256">CK37</f>
        <v>19.357142857142858</v>
      </c>
      <c r="CM37" s="511">
        <f t="shared" si="256"/>
        <v>19.357142857142858</v>
      </c>
      <c r="CN37" s="511">
        <f t="shared" si="256"/>
        <v>19.357142857142858</v>
      </c>
      <c r="CO37" s="511">
        <f t="shared" si="256"/>
        <v>19.357142857142858</v>
      </c>
      <c r="CP37" s="511">
        <f t="shared" si="106"/>
        <v>19.357142857142858</v>
      </c>
      <c r="CQ37" s="511">
        <f t="shared" si="107"/>
        <v>19.357142857142858</v>
      </c>
      <c r="CR37" s="722">
        <f t="shared" si="17"/>
        <v>993.51428571428573</v>
      </c>
      <c r="CS37" s="511">
        <f t="shared" ref="CS37:CV37" si="257">CR37</f>
        <v>993.51428571428573</v>
      </c>
      <c r="CT37" s="511">
        <f t="shared" si="257"/>
        <v>993.51428571428573</v>
      </c>
      <c r="CU37" s="511">
        <f t="shared" si="257"/>
        <v>993.51428571428573</v>
      </c>
      <c r="CV37" s="511">
        <f t="shared" si="257"/>
        <v>993.51428571428573</v>
      </c>
      <c r="CW37" s="511">
        <f t="shared" si="109"/>
        <v>993.51428571428573</v>
      </c>
      <c r="CX37" s="539">
        <f t="shared" si="110"/>
        <v>993.51428571428573</v>
      </c>
      <c r="CY37" s="724">
        <f t="shared" si="19"/>
        <v>27450.495031940722</v>
      </c>
      <c r="CZ37" s="508">
        <f t="shared" si="20"/>
        <v>27450.495031940722</v>
      </c>
      <c r="DA37" s="508">
        <f t="shared" si="21"/>
        <v>27450.495031940722</v>
      </c>
      <c r="DB37" s="508">
        <f t="shared" si="22"/>
        <v>27450.495031940722</v>
      </c>
      <c r="DC37" s="508">
        <f t="shared" si="23"/>
        <v>27450.495031940722</v>
      </c>
      <c r="DD37" s="508">
        <f t="shared" si="24"/>
        <v>27450.495031940722</v>
      </c>
      <c r="DE37" s="726">
        <f t="shared" si="25"/>
        <v>27450.495031940722</v>
      </c>
      <c r="DF37" s="724">
        <f t="shared" si="26"/>
        <v>0</v>
      </c>
      <c r="DG37" s="509">
        <f t="shared" si="27"/>
        <v>0</v>
      </c>
      <c r="DH37" s="509">
        <f t="shared" si="28"/>
        <v>0</v>
      </c>
      <c r="DI37" s="509">
        <f t="shared" si="29"/>
        <v>0</v>
      </c>
      <c r="DJ37" s="509">
        <f t="shared" si="30"/>
        <v>0</v>
      </c>
      <c r="DK37" s="509">
        <f t="shared" si="31"/>
        <v>0</v>
      </c>
      <c r="DL37" s="451">
        <f t="shared" si="32"/>
        <v>0</v>
      </c>
      <c r="DM37" s="509">
        <f t="shared" si="33"/>
        <v>3800</v>
      </c>
      <c r="DN37" s="509">
        <f t="shared" si="34"/>
        <v>3800</v>
      </c>
      <c r="DO37" s="509">
        <f t="shared" si="35"/>
        <v>3800</v>
      </c>
      <c r="DP37" s="509">
        <f t="shared" si="36"/>
        <v>3800</v>
      </c>
      <c r="DQ37" s="509">
        <f t="shared" si="37"/>
        <v>3800</v>
      </c>
      <c r="DR37" s="509">
        <f t="shared" si="38"/>
        <v>3800</v>
      </c>
      <c r="DS37" s="450">
        <f t="shared" si="39"/>
        <v>3800</v>
      </c>
      <c r="DT37" s="724">
        <f t="shared" si="40"/>
        <v>0</v>
      </c>
      <c r="DU37" s="508">
        <f t="shared" si="41"/>
        <v>0</v>
      </c>
      <c r="DV37" s="508">
        <f t="shared" si="42"/>
        <v>0</v>
      </c>
      <c r="DW37" s="508">
        <f t="shared" si="43"/>
        <v>0</v>
      </c>
      <c r="DX37" s="508">
        <f t="shared" si="44"/>
        <v>0</v>
      </c>
      <c r="DY37" s="508">
        <f t="shared" si="45"/>
        <v>0</v>
      </c>
      <c r="DZ37" s="726">
        <f t="shared" si="46"/>
        <v>0</v>
      </c>
      <c r="EA37" s="722">
        <f t="shared" si="47"/>
        <v>124110</v>
      </c>
      <c r="EB37" s="511">
        <f t="shared" si="48"/>
        <v>124110</v>
      </c>
      <c r="EC37" s="511">
        <f t="shared" si="49"/>
        <v>124110</v>
      </c>
      <c r="ED37" s="511">
        <f t="shared" si="50"/>
        <v>124110</v>
      </c>
      <c r="EE37" s="511">
        <f t="shared" si="51"/>
        <v>124110</v>
      </c>
      <c r="EF37" s="511">
        <f t="shared" si="52"/>
        <v>124110</v>
      </c>
      <c r="EG37" s="723">
        <f t="shared" si="53"/>
        <v>124110</v>
      </c>
      <c r="EH37" s="397">
        <f t="shared" si="111"/>
        <v>19.357142857142858</v>
      </c>
      <c r="EI37" s="397">
        <f t="shared" si="54"/>
        <v>19.357142857142858</v>
      </c>
      <c r="EJ37" s="397">
        <f t="shared" si="55"/>
        <v>19.357142857142858</v>
      </c>
      <c r="EK37" s="397">
        <f t="shared" si="56"/>
        <v>19.357142857142858</v>
      </c>
      <c r="EL37" s="397">
        <f t="shared" si="57"/>
        <v>19.357142857142858</v>
      </c>
      <c r="EM37" s="397">
        <f t="shared" si="58"/>
        <v>19.357142857142858</v>
      </c>
      <c r="EN37" s="398">
        <f t="shared" si="59"/>
        <v>19.357142857142858</v>
      </c>
      <c r="EO37" s="722">
        <f t="shared" si="60"/>
        <v>993.51428571428573</v>
      </c>
      <c r="EP37" s="511">
        <f t="shared" si="61"/>
        <v>993.51428571428573</v>
      </c>
      <c r="EQ37" s="511">
        <f t="shared" si="62"/>
        <v>993.51428571428573</v>
      </c>
      <c r="ER37" s="511">
        <f t="shared" si="63"/>
        <v>993.51428571428573</v>
      </c>
      <c r="ES37" s="511">
        <f t="shared" si="64"/>
        <v>993.51428571428573</v>
      </c>
      <c r="ET37" s="511">
        <f t="shared" si="65"/>
        <v>993.51428571428573</v>
      </c>
      <c r="EU37" s="723">
        <f t="shared" si="66"/>
        <v>993.51428571428573</v>
      </c>
      <c r="EV37" s="727">
        <f t="shared" si="67"/>
        <v>3</v>
      </c>
      <c r="EW37" s="728">
        <f t="shared" si="68"/>
        <v>192153.46522358505</v>
      </c>
      <c r="EX37" s="728">
        <f t="shared" si="69"/>
        <v>0</v>
      </c>
      <c r="EY37" s="728">
        <f t="shared" si="70"/>
        <v>26600</v>
      </c>
      <c r="EZ37" s="728">
        <f t="shared" si="71"/>
        <v>0</v>
      </c>
      <c r="FA37" s="777">
        <f t="shared" si="72"/>
        <v>868770</v>
      </c>
      <c r="FB37" s="777">
        <f t="shared" si="73"/>
        <v>135.5</v>
      </c>
      <c r="FC37" s="778">
        <f t="shared" si="74"/>
        <v>6954.5999999999995</v>
      </c>
      <c r="FE37" s="10" t="b">
        <f t="shared" si="112"/>
        <v>1</v>
      </c>
      <c r="FF37" s="10" t="b">
        <f t="shared" si="75"/>
        <v>1</v>
      </c>
      <c r="FG37" s="10" t="b">
        <f t="shared" si="76"/>
        <v>1</v>
      </c>
      <c r="FH37" s="10" t="b">
        <f t="shared" si="77"/>
        <v>1</v>
      </c>
      <c r="FI37" s="10" t="b">
        <f t="shared" si="78"/>
        <v>1</v>
      </c>
      <c r="FJ37" s="10" t="b">
        <f t="shared" si="79"/>
        <v>1</v>
      </c>
      <c r="FK37" s="10" t="b">
        <f t="shared" si="80"/>
        <v>1</v>
      </c>
      <c r="FL37" s="10" t="b">
        <f t="shared" si="81"/>
        <v>0</v>
      </c>
    </row>
    <row r="38" spans="1:170">
      <c r="A38" s="662">
        <v>33</v>
      </c>
      <c r="B38" s="789" t="s">
        <v>1298</v>
      </c>
      <c r="C38" s="789" t="s">
        <v>1288</v>
      </c>
      <c r="D38" s="789" t="s">
        <v>1289</v>
      </c>
      <c r="E38" s="789" t="s">
        <v>1290</v>
      </c>
      <c r="F38" s="789" t="s">
        <v>1290</v>
      </c>
      <c r="G38" s="704" t="s">
        <v>402</v>
      </c>
      <c r="H38" s="704">
        <f>R38*'Custom Benchmarking'!$E$18</f>
        <v>32940.594038328869</v>
      </c>
      <c r="I38" s="704">
        <v>0</v>
      </c>
      <c r="J38" s="704">
        <f t="shared" si="240"/>
        <v>32940.594038328869</v>
      </c>
      <c r="K38" s="704">
        <v>0</v>
      </c>
      <c r="L38" s="704">
        <f t="shared" si="119"/>
        <v>16470.297019164434</v>
      </c>
      <c r="M38" s="711" t="s">
        <v>1285</v>
      </c>
      <c r="N38" s="1024">
        <v>4500</v>
      </c>
      <c r="O38" s="1024">
        <v>4500</v>
      </c>
      <c r="P38" s="707">
        <v>0</v>
      </c>
      <c r="Q38" s="707">
        <v>0</v>
      </c>
      <c r="R38" s="1021">
        <v>148932</v>
      </c>
      <c r="S38" s="1021">
        <v>23.228571428571428</v>
      </c>
      <c r="T38" s="1021">
        <v>1192.217142857143</v>
      </c>
      <c r="U38" s="711" t="s">
        <v>1291</v>
      </c>
      <c r="V38" s="716">
        <v>0</v>
      </c>
      <c r="W38" s="711">
        <v>1</v>
      </c>
      <c r="X38" s="781">
        <v>1</v>
      </c>
      <c r="Y38" s="781">
        <v>0</v>
      </c>
      <c r="Z38" s="781">
        <v>0</v>
      </c>
      <c r="AA38" s="781">
        <v>0</v>
      </c>
      <c r="AB38" s="1027">
        <f t="shared" si="113"/>
        <v>0</v>
      </c>
      <c r="AC38" s="1030">
        <v>0</v>
      </c>
      <c r="AD38" s="781">
        <v>1</v>
      </c>
      <c r="AE38" s="781">
        <v>0</v>
      </c>
      <c r="AF38" s="781">
        <v>0</v>
      </c>
      <c r="AG38" s="781">
        <v>1</v>
      </c>
      <c r="AH38" s="781">
        <v>0</v>
      </c>
      <c r="AI38" s="781">
        <v>0</v>
      </c>
      <c r="AJ38" s="781">
        <v>1</v>
      </c>
      <c r="AK38" s="715" t="s">
        <v>374</v>
      </c>
      <c r="AL38" s="711" t="s">
        <v>742</v>
      </c>
      <c r="AM38" s="715" t="s">
        <v>1186</v>
      </c>
      <c r="AN38" s="715" t="s">
        <v>377</v>
      </c>
      <c r="AO38" s="711" t="s">
        <v>3</v>
      </c>
      <c r="AP38" s="715"/>
      <c r="AQ38" s="715"/>
      <c r="AR38" s="715"/>
      <c r="AS38" s="715" t="s">
        <v>744</v>
      </c>
      <c r="AT38" s="715" t="s">
        <v>745</v>
      </c>
      <c r="AU38" s="715" t="s">
        <v>746</v>
      </c>
      <c r="AV38" s="715">
        <v>15</v>
      </c>
      <c r="AW38" s="715">
        <v>15</v>
      </c>
      <c r="AX38" s="715" t="s">
        <v>769</v>
      </c>
      <c r="AY38" s="716">
        <v>1</v>
      </c>
      <c r="AZ38" s="716">
        <v>1</v>
      </c>
      <c r="BA38" s="717">
        <v>1</v>
      </c>
      <c r="BB38" s="721">
        <f t="shared" si="139"/>
        <v>32940.594038328869</v>
      </c>
      <c r="BC38" s="499">
        <f t="shared" si="140"/>
        <v>32940.594038328869</v>
      </c>
      <c r="BD38" s="499">
        <f t="shared" si="141"/>
        <v>32940.594038328869</v>
      </c>
      <c r="BE38" s="499">
        <f t="shared" si="142"/>
        <v>32940.594038328869</v>
      </c>
      <c r="BF38" s="499">
        <f t="shared" si="143"/>
        <v>32940.594038328869</v>
      </c>
      <c r="BG38" s="499">
        <f t="shared" si="144"/>
        <v>32940.594038328869</v>
      </c>
      <c r="BH38" s="499">
        <f t="shared" si="145"/>
        <v>32940.594038328869</v>
      </c>
      <c r="BI38" s="721">
        <f t="shared" ref="BI38:BI61" si="258">K38</f>
        <v>0</v>
      </c>
      <c r="BJ38" s="499">
        <f t="shared" ref="BJ38:BM38" si="259">BI38</f>
        <v>0</v>
      </c>
      <c r="BK38" s="499">
        <f t="shared" si="259"/>
        <v>0</v>
      </c>
      <c r="BL38" s="499">
        <f t="shared" si="259"/>
        <v>0</v>
      </c>
      <c r="BM38" s="499">
        <f t="shared" si="259"/>
        <v>0</v>
      </c>
      <c r="BN38" s="499">
        <f t="shared" si="147"/>
        <v>0</v>
      </c>
      <c r="BO38" s="499">
        <f t="shared" si="148"/>
        <v>0</v>
      </c>
      <c r="BP38" s="721">
        <f t="shared" ref="BP38:BP61" si="260">O38+P38</f>
        <v>4500</v>
      </c>
      <c r="BQ38" s="499">
        <f t="shared" si="95"/>
        <v>4500</v>
      </c>
      <c r="BR38" s="499">
        <f t="shared" si="149"/>
        <v>4500</v>
      </c>
      <c r="BS38" s="499">
        <f t="shared" si="150"/>
        <v>4500</v>
      </c>
      <c r="BT38" s="499">
        <f t="shared" si="151"/>
        <v>4500</v>
      </c>
      <c r="BU38" s="499">
        <f t="shared" si="152"/>
        <v>4500</v>
      </c>
      <c r="BV38" s="499">
        <f t="shared" si="153"/>
        <v>4500</v>
      </c>
      <c r="BW38" s="774">
        <f t="shared" si="196"/>
        <v>0</v>
      </c>
      <c r="BX38" s="503">
        <f t="shared" si="196"/>
        <v>0</v>
      </c>
      <c r="BY38" s="503">
        <f t="shared" si="196"/>
        <v>0</v>
      </c>
      <c r="BZ38" s="503">
        <f t="shared" si="196"/>
        <v>0</v>
      </c>
      <c r="CA38" s="503">
        <f t="shared" si="196"/>
        <v>0</v>
      </c>
      <c r="CB38" s="503">
        <f t="shared" si="196"/>
        <v>0</v>
      </c>
      <c r="CC38" s="503">
        <f t="shared" si="196"/>
        <v>0</v>
      </c>
      <c r="CD38" s="722">
        <f t="shared" ref="CD38:CD61" si="261">R38*AZ38</f>
        <v>148932</v>
      </c>
      <c r="CE38" s="511">
        <f t="shared" ref="CE38:CH38" si="262">CD38</f>
        <v>148932</v>
      </c>
      <c r="CF38" s="511">
        <f t="shared" si="262"/>
        <v>148932</v>
      </c>
      <c r="CG38" s="511">
        <f t="shared" si="262"/>
        <v>148932</v>
      </c>
      <c r="CH38" s="511">
        <f t="shared" si="262"/>
        <v>148932</v>
      </c>
      <c r="CI38" s="511">
        <f t="shared" si="103"/>
        <v>148932</v>
      </c>
      <c r="CJ38" s="511">
        <f t="shared" si="104"/>
        <v>148932</v>
      </c>
      <c r="CK38" s="722">
        <f t="shared" ref="CK38:CK61" si="263">S38*AZ38</f>
        <v>23.228571428571428</v>
      </c>
      <c r="CL38" s="511">
        <f t="shared" ref="CL38:CO38" si="264">CK38</f>
        <v>23.228571428571428</v>
      </c>
      <c r="CM38" s="511">
        <f t="shared" si="264"/>
        <v>23.228571428571428</v>
      </c>
      <c r="CN38" s="511">
        <f t="shared" si="264"/>
        <v>23.228571428571428</v>
      </c>
      <c r="CO38" s="511">
        <f t="shared" si="264"/>
        <v>23.228571428571428</v>
      </c>
      <c r="CP38" s="511">
        <f t="shared" si="106"/>
        <v>23.228571428571428</v>
      </c>
      <c r="CQ38" s="511">
        <f t="shared" si="107"/>
        <v>23.228571428571428</v>
      </c>
      <c r="CR38" s="722">
        <f t="shared" ref="CR38:CR61" si="265">T38*BA38</f>
        <v>1192.217142857143</v>
      </c>
      <c r="CS38" s="511">
        <f t="shared" ref="CS38:CV38" si="266">CR38</f>
        <v>1192.217142857143</v>
      </c>
      <c r="CT38" s="511">
        <f t="shared" si="266"/>
        <v>1192.217142857143</v>
      </c>
      <c r="CU38" s="511">
        <f t="shared" si="266"/>
        <v>1192.217142857143</v>
      </c>
      <c r="CV38" s="511">
        <f t="shared" si="266"/>
        <v>1192.217142857143</v>
      </c>
      <c r="CW38" s="511">
        <f t="shared" si="109"/>
        <v>1192.217142857143</v>
      </c>
      <c r="CX38" s="539">
        <f t="shared" si="110"/>
        <v>1192.217142857143</v>
      </c>
      <c r="CY38" s="724">
        <f t="shared" ref="CY38:CY69" si="267">AD38*BB38*$W38</f>
        <v>32940.594038328869</v>
      </c>
      <c r="CZ38" s="508">
        <f t="shared" ref="CZ38:CZ69" si="268">AE38*BC38*$W38</f>
        <v>0</v>
      </c>
      <c r="DA38" s="508">
        <f t="shared" ref="DA38:DA69" si="269">AF38*BD38*$W38</f>
        <v>0</v>
      </c>
      <c r="DB38" s="508">
        <f t="shared" ref="DB38:DB69" si="270">AG38*BE38*$W38</f>
        <v>32940.594038328869</v>
      </c>
      <c r="DC38" s="508">
        <f t="shared" ref="DC38:DC69" si="271">AH38*BF38*$W38</f>
        <v>0</v>
      </c>
      <c r="DD38" s="508">
        <f t="shared" ref="DD38:DD69" si="272">AI38*BG38*$W38</f>
        <v>0</v>
      </c>
      <c r="DE38" s="726">
        <f t="shared" ref="DE38:DE69" si="273">AJ38*BH38*$W38</f>
        <v>32940.594038328869</v>
      </c>
      <c r="DF38" s="724">
        <f t="shared" ref="DF38:DF69" si="274">AD38*BI38*$W38</f>
        <v>0</v>
      </c>
      <c r="DG38" s="509">
        <f t="shared" ref="DG38:DG69" si="275">AE38*BJ38*$W38</f>
        <v>0</v>
      </c>
      <c r="DH38" s="509">
        <f t="shared" ref="DH38:DH69" si="276">AF38*BK38*$W38</f>
        <v>0</v>
      </c>
      <c r="DI38" s="509">
        <f t="shared" ref="DI38:DI69" si="277">AG38*BL38*$W38</f>
        <v>0</v>
      </c>
      <c r="DJ38" s="509">
        <f t="shared" ref="DJ38:DJ69" si="278">AH38*BM38*$W38</f>
        <v>0</v>
      </c>
      <c r="DK38" s="509">
        <f t="shared" ref="DK38:DK69" si="279">AI38*BN38*$W38</f>
        <v>0</v>
      </c>
      <c r="DL38" s="451">
        <f t="shared" ref="DL38:DL69" si="280">AJ38*BO38*$W38</f>
        <v>0</v>
      </c>
      <c r="DM38" s="509">
        <f t="shared" ref="DM38:DM69" si="281">AD38*BP38*$W38</f>
        <v>4500</v>
      </c>
      <c r="DN38" s="509">
        <f t="shared" ref="DN38:DN69" si="282">AE38*BQ38*$W38</f>
        <v>0</v>
      </c>
      <c r="DO38" s="509">
        <f t="shared" ref="DO38:DO69" si="283">AF38*BR38*$W38</f>
        <v>0</v>
      </c>
      <c r="DP38" s="509">
        <f t="shared" ref="DP38:DP69" si="284">AG38*BS38*$W38</f>
        <v>4500</v>
      </c>
      <c r="DQ38" s="509">
        <f t="shared" ref="DQ38:DQ69" si="285">AH38*BT38*$W38</f>
        <v>0</v>
      </c>
      <c r="DR38" s="509">
        <f t="shared" ref="DR38:DR69" si="286">AI38*BU38*$W38</f>
        <v>0</v>
      </c>
      <c r="DS38" s="450">
        <f t="shared" ref="DS38:DS69" si="287">AJ38*BV38*$W38</f>
        <v>4500</v>
      </c>
      <c r="DT38" s="724">
        <f t="shared" ref="DT38:DT69" si="288">BW38*AD38*$W38</f>
        <v>0</v>
      </c>
      <c r="DU38" s="508">
        <f t="shared" ref="DU38:DU69" si="289">BX38*AE38*$W38</f>
        <v>0</v>
      </c>
      <c r="DV38" s="508">
        <f t="shared" ref="DV38:DV69" si="290">BY38*AF38*$W38</f>
        <v>0</v>
      </c>
      <c r="DW38" s="508">
        <f t="shared" ref="DW38:DW69" si="291">BZ38*AG38*$W38</f>
        <v>0</v>
      </c>
      <c r="DX38" s="508">
        <f t="shared" ref="DX38:DX69" si="292">CA38*AH38*$W38</f>
        <v>0</v>
      </c>
      <c r="DY38" s="508">
        <f t="shared" ref="DY38:DY69" si="293">CB38*AI38*$W38</f>
        <v>0</v>
      </c>
      <c r="DZ38" s="726">
        <f t="shared" ref="DZ38:DZ69" si="294">CC38*AJ38*$W38</f>
        <v>0</v>
      </c>
      <c r="EA38" s="722">
        <f t="shared" ref="EA38:EA69" si="295">AD38*CD38*$W38</f>
        <v>148932</v>
      </c>
      <c r="EB38" s="511">
        <f t="shared" ref="EB38:EB69" si="296">AE38*CE38*$W38</f>
        <v>0</v>
      </c>
      <c r="EC38" s="511">
        <f t="shared" ref="EC38:EC69" si="297">AF38*CF38*$W38</f>
        <v>0</v>
      </c>
      <c r="ED38" s="511">
        <f t="shared" ref="ED38:ED69" si="298">AG38*CG38*$W38</f>
        <v>148932</v>
      </c>
      <c r="EE38" s="511">
        <f t="shared" ref="EE38:EE69" si="299">AH38*CH38*$W38</f>
        <v>0</v>
      </c>
      <c r="EF38" s="511">
        <f t="shared" ref="EF38:EF69" si="300">AI38*CI38*$W38</f>
        <v>0</v>
      </c>
      <c r="EG38" s="723">
        <f t="shared" ref="EG38:EG69" si="301">AJ38*CJ38*$W38</f>
        <v>148932</v>
      </c>
      <c r="EH38" s="397">
        <f t="shared" ref="EH38:EH69" si="302">AD38*CK38*$W38</f>
        <v>23.228571428571428</v>
      </c>
      <c r="EI38" s="397">
        <f t="shared" ref="EI38:EI69" si="303">AE38*CL38*$W38</f>
        <v>0</v>
      </c>
      <c r="EJ38" s="397">
        <f t="shared" ref="EJ38:EJ69" si="304">AF38*CM38*$W38</f>
        <v>0</v>
      </c>
      <c r="EK38" s="397">
        <f t="shared" ref="EK38:EK69" si="305">AG38*CN38*$W38</f>
        <v>23.228571428571428</v>
      </c>
      <c r="EL38" s="397">
        <f t="shared" ref="EL38:EL69" si="306">AH38*CO38*$W38</f>
        <v>0</v>
      </c>
      <c r="EM38" s="397">
        <f t="shared" ref="EM38:EM69" si="307">AI38*CP38*$W38</f>
        <v>0</v>
      </c>
      <c r="EN38" s="398">
        <f t="shared" ref="EN38:EN69" si="308">AJ38*CQ38*$W38</f>
        <v>23.228571428571428</v>
      </c>
      <c r="EO38" s="722">
        <f t="shared" ref="EO38:EO69" si="309">AD38*CR38*$W38</f>
        <v>1192.217142857143</v>
      </c>
      <c r="EP38" s="511">
        <f t="shared" ref="EP38:EP69" si="310">AE38*CS38*$W38</f>
        <v>0</v>
      </c>
      <c r="EQ38" s="511">
        <f t="shared" ref="EQ38:EQ69" si="311">AF38*CT38*$W38</f>
        <v>0</v>
      </c>
      <c r="ER38" s="511">
        <f t="shared" ref="ER38:ER69" si="312">AG38*CU38*$W38</f>
        <v>1192.217142857143</v>
      </c>
      <c r="ES38" s="511">
        <f t="shared" ref="ES38:ES69" si="313">AH38*CV38*$W38</f>
        <v>0</v>
      </c>
      <c r="ET38" s="511">
        <f t="shared" ref="ET38:ET69" si="314">AI38*CW38*$W38</f>
        <v>0</v>
      </c>
      <c r="EU38" s="723">
        <f t="shared" ref="EU38:EU69" si="315">AJ38*CX38*$W38</f>
        <v>1192.217142857143</v>
      </c>
      <c r="EV38" s="727">
        <f t="shared" ref="EV38:EV69" si="316">SUM(AD38:AF38)</f>
        <v>1</v>
      </c>
      <c r="EW38" s="728">
        <f t="shared" ref="EW38:EW69" si="317">SUM(CY38:DE38)</f>
        <v>98821.782114986607</v>
      </c>
      <c r="EX38" s="728">
        <f t="shared" ref="EX38:EX69" si="318">SUM(DF38:DL38)</f>
        <v>0</v>
      </c>
      <c r="EY38" s="728">
        <f t="shared" ref="EY38:EY69" si="319">SUM(DM38:DS38)</f>
        <v>13500</v>
      </c>
      <c r="EZ38" s="728">
        <f t="shared" ref="EZ38:EZ69" si="320">SUM(DT38:DZ38)</f>
        <v>0</v>
      </c>
      <c r="FA38" s="777">
        <f t="shared" ref="FA38:FA69" si="321">SUM(EA38:EG38)</f>
        <v>446796</v>
      </c>
      <c r="FB38" s="777">
        <f t="shared" ref="FB38:FB69" si="322">SUM(EH38:EN38)</f>
        <v>69.685714285714283</v>
      </c>
      <c r="FC38" s="778">
        <f t="shared" ref="FC38:FC69" si="323">SUM(EO38:EU38)</f>
        <v>3576.6514285714293</v>
      </c>
      <c r="FE38" s="10" t="b">
        <f t="shared" ref="FE38:FE60" si="324">EV38=SUM(EV95,EV152)</f>
        <v>1</v>
      </c>
      <c r="FF38" s="10" t="b">
        <f t="shared" ref="FF38:FF61" si="325">EW38=SUM(EW95,EW152)</f>
        <v>1</v>
      </c>
      <c r="FG38" s="10" t="b">
        <f t="shared" ref="FG38:FG61" si="326">EX38=SUM(EX95,EX152)</f>
        <v>1</v>
      </c>
      <c r="FH38" s="10" t="b">
        <f t="shared" ref="FH38:FH61" si="327">EY38=SUM(EY95,EY152)</f>
        <v>1</v>
      </c>
      <c r="FI38" s="10" t="b">
        <f t="shared" ref="FI38:FI61" si="328">EZ38=SUM(EZ95,EZ152)</f>
        <v>1</v>
      </c>
      <c r="FJ38" s="10" t="b">
        <f t="shared" ref="FJ38:FJ61" si="329">FA38=SUM(FA95,FA152)</f>
        <v>1</v>
      </c>
      <c r="FK38" s="10" t="b">
        <f t="shared" ref="FK38:FK61" si="330">FB38=SUM(FB95,FB152)</f>
        <v>1</v>
      </c>
      <c r="FL38" s="10" t="b">
        <f t="shared" si="81"/>
        <v>0</v>
      </c>
    </row>
    <row r="39" spans="1:170">
      <c r="A39" s="662">
        <v>34</v>
      </c>
      <c r="B39" s="789" t="s">
        <v>1299</v>
      </c>
      <c r="C39" s="789" t="s">
        <v>1293</v>
      </c>
      <c r="D39" s="789" t="s">
        <v>1289</v>
      </c>
      <c r="E39" s="789" t="s">
        <v>1290</v>
      </c>
      <c r="F39" s="789" t="s">
        <v>1290</v>
      </c>
      <c r="G39" s="704" t="s">
        <v>402</v>
      </c>
      <c r="H39" s="704">
        <f>R39*'Custom Benchmarking'!$E$18</f>
        <v>49410.891057493303</v>
      </c>
      <c r="I39" s="704">
        <v>0</v>
      </c>
      <c r="J39" s="704">
        <f t="shared" si="240"/>
        <v>49410.891057493303</v>
      </c>
      <c r="K39" s="704">
        <v>0</v>
      </c>
      <c r="L39" s="704">
        <f t="shared" si="119"/>
        <v>24705.445528746652</v>
      </c>
      <c r="M39" s="711" t="s">
        <v>1285</v>
      </c>
      <c r="N39" s="1024">
        <v>6800</v>
      </c>
      <c r="O39" s="1024">
        <v>6800</v>
      </c>
      <c r="P39" s="707">
        <v>0</v>
      </c>
      <c r="Q39" s="707">
        <v>0</v>
      </c>
      <c r="R39" s="1021">
        <v>223398.00000000003</v>
      </c>
      <c r="S39" s="1021">
        <v>34.842857142857142</v>
      </c>
      <c r="T39" s="1021">
        <v>1788.3257142857144</v>
      </c>
      <c r="U39" s="711" t="s">
        <v>1291</v>
      </c>
      <c r="V39" s="716">
        <v>0</v>
      </c>
      <c r="W39" s="711">
        <v>1</v>
      </c>
      <c r="X39" s="781">
        <v>16</v>
      </c>
      <c r="Y39" s="781">
        <v>19</v>
      </c>
      <c r="Z39" s="781">
        <v>13</v>
      </c>
      <c r="AA39" s="781">
        <v>17.142857142857142</v>
      </c>
      <c r="AB39" s="1027">
        <f t="shared" si="113"/>
        <v>15.071428571428571</v>
      </c>
      <c r="AC39" s="1030">
        <v>0</v>
      </c>
      <c r="AD39" s="781">
        <v>0</v>
      </c>
      <c r="AE39" s="781">
        <v>1</v>
      </c>
      <c r="AF39" s="781">
        <v>0</v>
      </c>
      <c r="AG39" s="781">
        <v>0</v>
      </c>
      <c r="AH39" s="781">
        <v>1</v>
      </c>
      <c r="AI39" s="781">
        <v>0</v>
      </c>
      <c r="AJ39" s="781">
        <v>0</v>
      </c>
      <c r="AK39" s="715" t="s">
        <v>374</v>
      </c>
      <c r="AL39" s="711" t="s">
        <v>742</v>
      </c>
      <c r="AM39" s="715" t="s">
        <v>1186</v>
      </c>
      <c r="AN39" s="715" t="s">
        <v>377</v>
      </c>
      <c r="AO39" s="711" t="s">
        <v>3</v>
      </c>
      <c r="AP39" s="715"/>
      <c r="AQ39" s="715"/>
      <c r="AR39" s="715"/>
      <c r="AS39" s="715" t="s">
        <v>744</v>
      </c>
      <c r="AT39" s="715" t="s">
        <v>745</v>
      </c>
      <c r="AU39" s="715" t="s">
        <v>746</v>
      </c>
      <c r="AV39" s="715">
        <v>15</v>
      </c>
      <c r="AW39" s="715">
        <v>15</v>
      </c>
      <c r="AX39" s="715" t="s">
        <v>769</v>
      </c>
      <c r="AY39" s="716">
        <v>1</v>
      </c>
      <c r="AZ39" s="716">
        <v>1</v>
      </c>
      <c r="BA39" s="717">
        <v>1</v>
      </c>
      <c r="BB39" s="721">
        <f t="shared" si="139"/>
        <v>49410.891057493303</v>
      </c>
      <c r="BC39" s="499">
        <f t="shared" si="140"/>
        <v>49410.891057493303</v>
      </c>
      <c r="BD39" s="499">
        <f t="shared" si="141"/>
        <v>49410.891057493303</v>
      </c>
      <c r="BE39" s="499">
        <f t="shared" si="142"/>
        <v>49410.891057493303</v>
      </c>
      <c r="BF39" s="499">
        <f t="shared" si="143"/>
        <v>49410.891057493303</v>
      </c>
      <c r="BG39" s="499">
        <f t="shared" si="144"/>
        <v>49410.891057493303</v>
      </c>
      <c r="BH39" s="499">
        <f t="shared" si="145"/>
        <v>49410.891057493303</v>
      </c>
      <c r="BI39" s="721">
        <f t="shared" si="258"/>
        <v>0</v>
      </c>
      <c r="BJ39" s="499">
        <f t="shared" ref="BJ39:BM39" si="331">BI39</f>
        <v>0</v>
      </c>
      <c r="BK39" s="499">
        <f t="shared" si="331"/>
        <v>0</v>
      </c>
      <c r="BL39" s="499">
        <f t="shared" si="331"/>
        <v>0</v>
      </c>
      <c r="BM39" s="499">
        <f t="shared" si="331"/>
        <v>0</v>
      </c>
      <c r="BN39" s="499">
        <f t="shared" si="147"/>
        <v>0</v>
      </c>
      <c r="BO39" s="499">
        <f t="shared" si="148"/>
        <v>0</v>
      </c>
      <c r="BP39" s="721">
        <f t="shared" si="260"/>
        <v>6800</v>
      </c>
      <c r="BQ39" s="499">
        <f t="shared" ref="BQ39:BQ61" si="332">BP39</f>
        <v>6800</v>
      </c>
      <c r="BR39" s="499">
        <f t="shared" si="149"/>
        <v>6800</v>
      </c>
      <c r="BS39" s="499">
        <f t="shared" si="150"/>
        <v>6800</v>
      </c>
      <c r="BT39" s="499">
        <f t="shared" si="151"/>
        <v>6800</v>
      </c>
      <c r="BU39" s="499">
        <f t="shared" si="152"/>
        <v>6800</v>
      </c>
      <c r="BV39" s="499">
        <f t="shared" si="153"/>
        <v>6800</v>
      </c>
      <c r="BW39" s="774">
        <f t="shared" si="196"/>
        <v>0</v>
      </c>
      <c r="BX39" s="503">
        <f t="shared" si="196"/>
        <v>0</v>
      </c>
      <c r="BY39" s="503">
        <f t="shared" si="196"/>
        <v>0</v>
      </c>
      <c r="BZ39" s="503">
        <f t="shared" si="196"/>
        <v>0</v>
      </c>
      <c r="CA39" s="503">
        <f t="shared" si="196"/>
        <v>0</v>
      </c>
      <c r="CB39" s="503">
        <f t="shared" si="196"/>
        <v>0</v>
      </c>
      <c r="CC39" s="503">
        <f t="shared" si="196"/>
        <v>0</v>
      </c>
      <c r="CD39" s="722">
        <f t="shared" si="261"/>
        <v>223398.00000000003</v>
      </c>
      <c r="CE39" s="511">
        <f t="shared" ref="CE39:CH39" si="333">CD39</f>
        <v>223398.00000000003</v>
      </c>
      <c r="CF39" s="511">
        <f t="shared" si="333"/>
        <v>223398.00000000003</v>
      </c>
      <c r="CG39" s="511">
        <f t="shared" si="333"/>
        <v>223398.00000000003</v>
      </c>
      <c r="CH39" s="511">
        <f t="shared" si="333"/>
        <v>223398.00000000003</v>
      </c>
      <c r="CI39" s="511">
        <f t="shared" si="103"/>
        <v>223398.00000000003</v>
      </c>
      <c r="CJ39" s="511">
        <f t="shared" si="104"/>
        <v>223398.00000000003</v>
      </c>
      <c r="CK39" s="722">
        <f t="shared" si="263"/>
        <v>34.842857142857142</v>
      </c>
      <c r="CL39" s="511">
        <f t="shared" ref="CL39:CO39" si="334">CK39</f>
        <v>34.842857142857142</v>
      </c>
      <c r="CM39" s="511">
        <f t="shared" si="334"/>
        <v>34.842857142857142</v>
      </c>
      <c r="CN39" s="511">
        <f t="shared" si="334"/>
        <v>34.842857142857142</v>
      </c>
      <c r="CO39" s="511">
        <f t="shared" si="334"/>
        <v>34.842857142857142</v>
      </c>
      <c r="CP39" s="511">
        <f t="shared" si="106"/>
        <v>34.842857142857142</v>
      </c>
      <c r="CQ39" s="511">
        <f t="shared" si="107"/>
        <v>34.842857142857142</v>
      </c>
      <c r="CR39" s="722">
        <f t="shared" si="265"/>
        <v>1788.3257142857144</v>
      </c>
      <c r="CS39" s="511">
        <f t="shared" ref="CS39:CV39" si="335">CR39</f>
        <v>1788.3257142857144</v>
      </c>
      <c r="CT39" s="511">
        <f t="shared" si="335"/>
        <v>1788.3257142857144</v>
      </c>
      <c r="CU39" s="511">
        <f t="shared" si="335"/>
        <v>1788.3257142857144</v>
      </c>
      <c r="CV39" s="511">
        <f t="shared" si="335"/>
        <v>1788.3257142857144</v>
      </c>
      <c r="CW39" s="511">
        <f t="shared" si="109"/>
        <v>1788.3257142857144</v>
      </c>
      <c r="CX39" s="539">
        <f t="shared" si="110"/>
        <v>1788.3257142857144</v>
      </c>
      <c r="CY39" s="724">
        <f t="shared" si="267"/>
        <v>0</v>
      </c>
      <c r="CZ39" s="508">
        <f t="shared" si="268"/>
        <v>49410.891057493303</v>
      </c>
      <c r="DA39" s="508">
        <f t="shared" si="269"/>
        <v>0</v>
      </c>
      <c r="DB39" s="508">
        <f t="shared" si="270"/>
        <v>0</v>
      </c>
      <c r="DC39" s="508">
        <f t="shared" si="271"/>
        <v>49410.891057493303</v>
      </c>
      <c r="DD39" s="508">
        <f t="shared" si="272"/>
        <v>0</v>
      </c>
      <c r="DE39" s="726">
        <f t="shared" si="273"/>
        <v>0</v>
      </c>
      <c r="DF39" s="724">
        <f t="shared" si="274"/>
        <v>0</v>
      </c>
      <c r="DG39" s="509">
        <f t="shared" si="275"/>
        <v>0</v>
      </c>
      <c r="DH39" s="509">
        <f t="shared" si="276"/>
        <v>0</v>
      </c>
      <c r="DI39" s="509">
        <f t="shared" si="277"/>
        <v>0</v>
      </c>
      <c r="DJ39" s="509">
        <f t="shared" si="278"/>
        <v>0</v>
      </c>
      <c r="DK39" s="509">
        <f t="shared" si="279"/>
        <v>0</v>
      </c>
      <c r="DL39" s="451">
        <f t="shared" si="280"/>
        <v>0</v>
      </c>
      <c r="DM39" s="509">
        <f t="shared" si="281"/>
        <v>0</v>
      </c>
      <c r="DN39" s="509">
        <f t="shared" si="282"/>
        <v>6800</v>
      </c>
      <c r="DO39" s="509">
        <f t="shared" si="283"/>
        <v>0</v>
      </c>
      <c r="DP39" s="509">
        <f t="shared" si="284"/>
        <v>0</v>
      </c>
      <c r="DQ39" s="509">
        <f t="shared" si="285"/>
        <v>6800</v>
      </c>
      <c r="DR39" s="509">
        <f t="shared" si="286"/>
        <v>0</v>
      </c>
      <c r="DS39" s="450">
        <f t="shared" si="287"/>
        <v>0</v>
      </c>
      <c r="DT39" s="724">
        <f t="shared" si="288"/>
        <v>0</v>
      </c>
      <c r="DU39" s="508">
        <f t="shared" si="289"/>
        <v>0</v>
      </c>
      <c r="DV39" s="508">
        <f t="shared" si="290"/>
        <v>0</v>
      </c>
      <c r="DW39" s="508">
        <f t="shared" si="291"/>
        <v>0</v>
      </c>
      <c r="DX39" s="508">
        <f t="shared" si="292"/>
        <v>0</v>
      </c>
      <c r="DY39" s="508">
        <f t="shared" si="293"/>
        <v>0</v>
      </c>
      <c r="DZ39" s="726">
        <f t="shared" si="294"/>
        <v>0</v>
      </c>
      <c r="EA39" s="722">
        <f t="shared" si="295"/>
        <v>0</v>
      </c>
      <c r="EB39" s="511">
        <f t="shared" si="296"/>
        <v>223398.00000000003</v>
      </c>
      <c r="EC39" s="511">
        <f t="shared" si="297"/>
        <v>0</v>
      </c>
      <c r="ED39" s="511">
        <f t="shared" si="298"/>
        <v>0</v>
      </c>
      <c r="EE39" s="511">
        <f t="shared" si="299"/>
        <v>223398.00000000003</v>
      </c>
      <c r="EF39" s="511">
        <f t="shared" si="300"/>
        <v>0</v>
      </c>
      <c r="EG39" s="723">
        <f t="shared" si="301"/>
        <v>0</v>
      </c>
      <c r="EH39" s="397">
        <f t="shared" si="302"/>
        <v>0</v>
      </c>
      <c r="EI39" s="397">
        <f t="shared" si="303"/>
        <v>34.842857142857142</v>
      </c>
      <c r="EJ39" s="397">
        <f t="shared" si="304"/>
        <v>0</v>
      </c>
      <c r="EK39" s="397">
        <f t="shared" si="305"/>
        <v>0</v>
      </c>
      <c r="EL39" s="397">
        <f t="shared" si="306"/>
        <v>34.842857142857142</v>
      </c>
      <c r="EM39" s="397">
        <f t="shared" si="307"/>
        <v>0</v>
      </c>
      <c r="EN39" s="398">
        <f t="shared" si="308"/>
        <v>0</v>
      </c>
      <c r="EO39" s="722">
        <f t="shared" si="309"/>
        <v>0</v>
      </c>
      <c r="EP39" s="511">
        <f t="shared" si="310"/>
        <v>1788.3257142857144</v>
      </c>
      <c r="EQ39" s="511">
        <f t="shared" si="311"/>
        <v>0</v>
      </c>
      <c r="ER39" s="511">
        <f t="shared" si="312"/>
        <v>0</v>
      </c>
      <c r="ES39" s="511">
        <f t="shared" si="313"/>
        <v>1788.3257142857144</v>
      </c>
      <c r="ET39" s="511">
        <f t="shared" si="314"/>
        <v>0</v>
      </c>
      <c r="EU39" s="723">
        <f t="shared" si="315"/>
        <v>0</v>
      </c>
      <c r="EV39" s="727">
        <f t="shared" si="316"/>
        <v>1</v>
      </c>
      <c r="EW39" s="728">
        <f t="shared" si="317"/>
        <v>98821.782114986607</v>
      </c>
      <c r="EX39" s="728">
        <f t="shared" si="318"/>
        <v>0</v>
      </c>
      <c r="EY39" s="728">
        <f t="shared" si="319"/>
        <v>13600</v>
      </c>
      <c r="EZ39" s="728">
        <f t="shared" si="320"/>
        <v>0</v>
      </c>
      <c r="FA39" s="777">
        <f t="shared" si="321"/>
        <v>446796.00000000006</v>
      </c>
      <c r="FB39" s="777">
        <f t="shared" si="322"/>
        <v>69.685714285714283</v>
      </c>
      <c r="FC39" s="778">
        <f t="shared" si="323"/>
        <v>3576.6514285714288</v>
      </c>
      <c r="FE39" s="10" t="b">
        <f t="shared" si="324"/>
        <v>1</v>
      </c>
      <c r="FF39" s="10" t="b">
        <f t="shared" si="325"/>
        <v>1</v>
      </c>
      <c r="FG39" s="10" t="b">
        <f t="shared" si="326"/>
        <v>1</v>
      </c>
      <c r="FH39" s="10" t="b">
        <f t="shared" si="327"/>
        <v>1</v>
      </c>
      <c r="FI39" s="10" t="b">
        <f t="shared" si="328"/>
        <v>1</v>
      </c>
      <c r="FJ39" s="10" t="b">
        <f t="shared" si="329"/>
        <v>1</v>
      </c>
      <c r="FK39" s="10" t="b">
        <f t="shared" si="330"/>
        <v>1</v>
      </c>
      <c r="FL39" s="10" t="b">
        <f t="shared" si="81"/>
        <v>0</v>
      </c>
    </row>
    <row r="40" spans="1:170">
      <c r="A40" s="662">
        <v>35</v>
      </c>
      <c r="B40" s="789" t="s">
        <v>1300</v>
      </c>
      <c r="C40" s="789" t="s">
        <v>1295</v>
      </c>
      <c r="D40" s="789" t="s">
        <v>1289</v>
      </c>
      <c r="E40" s="789" t="s">
        <v>1290</v>
      </c>
      <c r="F40" s="789" t="s">
        <v>1290</v>
      </c>
      <c r="G40" s="704" t="s">
        <v>402</v>
      </c>
      <c r="H40" s="704">
        <f>R40*'Custom Benchmarking'!$E$18</f>
        <v>65881.188076657738</v>
      </c>
      <c r="I40" s="704">
        <v>0</v>
      </c>
      <c r="J40" s="704">
        <f t="shared" si="240"/>
        <v>65881.188076657738</v>
      </c>
      <c r="K40" s="704">
        <v>0</v>
      </c>
      <c r="L40" s="704">
        <f t="shared" si="119"/>
        <v>32940.594038328869</v>
      </c>
      <c r="M40" s="711" t="s">
        <v>1285</v>
      </c>
      <c r="N40" s="1024">
        <v>9000</v>
      </c>
      <c r="O40" s="1024">
        <v>9000</v>
      </c>
      <c r="P40" s="707">
        <v>0</v>
      </c>
      <c r="Q40" s="707">
        <v>0</v>
      </c>
      <c r="R40" s="1021">
        <v>297864</v>
      </c>
      <c r="S40" s="1021">
        <v>46.457142857142856</v>
      </c>
      <c r="T40" s="1021">
        <v>2384.434285714286</v>
      </c>
      <c r="U40" s="711" t="s">
        <v>1291</v>
      </c>
      <c r="V40" s="716">
        <v>0</v>
      </c>
      <c r="W40" s="711">
        <v>1</v>
      </c>
      <c r="X40" s="781">
        <v>0</v>
      </c>
      <c r="Y40" s="781">
        <v>0</v>
      </c>
      <c r="Z40" s="781">
        <v>0</v>
      </c>
      <c r="AA40" s="781">
        <v>0</v>
      </c>
      <c r="AB40" s="1027">
        <f t="shared" ref="AB40:AB61" si="336">AVERAGE(Z40:AA40)</f>
        <v>0</v>
      </c>
      <c r="AC40" s="1030">
        <v>1</v>
      </c>
      <c r="AD40" s="781">
        <v>0</v>
      </c>
      <c r="AE40" s="781">
        <v>0</v>
      </c>
      <c r="AF40" s="781">
        <v>1</v>
      </c>
      <c r="AG40" s="781">
        <v>0</v>
      </c>
      <c r="AH40" s="781">
        <v>0</v>
      </c>
      <c r="AI40" s="781">
        <v>1</v>
      </c>
      <c r="AJ40" s="781">
        <v>0</v>
      </c>
      <c r="AK40" s="715" t="s">
        <v>374</v>
      </c>
      <c r="AL40" s="711" t="s">
        <v>742</v>
      </c>
      <c r="AM40" s="715" t="s">
        <v>1186</v>
      </c>
      <c r="AN40" s="715" t="s">
        <v>377</v>
      </c>
      <c r="AO40" s="711" t="s">
        <v>3</v>
      </c>
      <c r="AP40" s="715"/>
      <c r="AQ40" s="715"/>
      <c r="AR40" s="715"/>
      <c r="AS40" s="715" t="s">
        <v>744</v>
      </c>
      <c r="AT40" s="715" t="s">
        <v>745</v>
      </c>
      <c r="AU40" s="715" t="s">
        <v>746</v>
      </c>
      <c r="AV40" s="715">
        <v>15</v>
      </c>
      <c r="AW40" s="715">
        <v>15</v>
      </c>
      <c r="AX40" s="715" t="s">
        <v>769</v>
      </c>
      <c r="AY40" s="716">
        <v>1</v>
      </c>
      <c r="AZ40" s="716">
        <v>1</v>
      </c>
      <c r="BA40" s="717">
        <v>1</v>
      </c>
      <c r="BB40" s="721">
        <f t="shared" si="139"/>
        <v>65881.188076657738</v>
      </c>
      <c r="BC40" s="499">
        <f t="shared" si="140"/>
        <v>65881.188076657738</v>
      </c>
      <c r="BD40" s="499">
        <f t="shared" si="141"/>
        <v>65881.188076657738</v>
      </c>
      <c r="BE40" s="499">
        <f t="shared" si="142"/>
        <v>65881.188076657738</v>
      </c>
      <c r="BF40" s="499">
        <f t="shared" si="143"/>
        <v>65881.188076657738</v>
      </c>
      <c r="BG40" s="499">
        <f t="shared" si="144"/>
        <v>65881.188076657738</v>
      </c>
      <c r="BH40" s="499">
        <f t="shared" si="145"/>
        <v>65881.188076657738</v>
      </c>
      <c r="BI40" s="721">
        <f t="shared" si="258"/>
        <v>0</v>
      </c>
      <c r="BJ40" s="499">
        <f t="shared" ref="BJ40:BM40" si="337">BI40</f>
        <v>0</v>
      </c>
      <c r="BK40" s="499">
        <f t="shared" si="337"/>
        <v>0</v>
      </c>
      <c r="BL40" s="499">
        <f t="shared" si="337"/>
        <v>0</v>
      </c>
      <c r="BM40" s="499">
        <f t="shared" si="337"/>
        <v>0</v>
      </c>
      <c r="BN40" s="499">
        <f t="shared" si="147"/>
        <v>0</v>
      </c>
      <c r="BO40" s="499">
        <f t="shared" si="148"/>
        <v>0</v>
      </c>
      <c r="BP40" s="721">
        <f t="shared" si="260"/>
        <v>9000</v>
      </c>
      <c r="BQ40" s="499">
        <f t="shared" si="332"/>
        <v>9000</v>
      </c>
      <c r="BR40" s="499">
        <f t="shared" si="149"/>
        <v>9000</v>
      </c>
      <c r="BS40" s="499">
        <f t="shared" si="150"/>
        <v>9000</v>
      </c>
      <c r="BT40" s="499">
        <f t="shared" si="151"/>
        <v>9000</v>
      </c>
      <c r="BU40" s="499">
        <f t="shared" si="152"/>
        <v>9000</v>
      </c>
      <c r="BV40" s="499">
        <f t="shared" si="153"/>
        <v>9000</v>
      </c>
      <c r="BW40" s="774">
        <f t="shared" si="196"/>
        <v>0</v>
      </c>
      <c r="BX40" s="503">
        <f t="shared" si="196"/>
        <v>0</v>
      </c>
      <c r="BY40" s="503">
        <f t="shared" si="196"/>
        <v>0</v>
      </c>
      <c r="BZ40" s="503">
        <f t="shared" si="196"/>
        <v>0</v>
      </c>
      <c r="CA40" s="503">
        <f t="shared" si="196"/>
        <v>0</v>
      </c>
      <c r="CB40" s="503">
        <f t="shared" si="196"/>
        <v>0</v>
      </c>
      <c r="CC40" s="503">
        <f t="shared" si="196"/>
        <v>0</v>
      </c>
      <c r="CD40" s="722">
        <f t="shared" si="261"/>
        <v>297864</v>
      </c>
      <c r="CE40" s="511">
        <f t="shared" ref="CE40:CH40" si="338">CD40</f>
        <v>297864</v>
      </c>
      <c r="CF40" s="511">
        <f t="shared" si="338"/>
        <v>297864</v>
      </c>
      <c r="CG40" s="511">
        <f t="shared" si="338"/>
        <v>297864</v>
      </c>
      <c r="CH40" s="511">
        <f t="shared" si="338"/>
        <v>297864</v>
      </c>
      <c r="CI40" s="511">
        <f t="shared" si="103"/>
        <v>297864</v>
      </c>
      <c r="CJ40" s="511">
        <f t="shared" si="104"/>
        <v>297864</v>
      </c>
      <c r="CK40" s="722">
        <f t="shared" si="263"/>
        <v>46.457142857142856</v>
      </c>
      <c r="CL40" s="511">
        <f t="shared" ref="CL40:CO40" si="339">CK40</f>
        <v>46.457142857142856</v>
      </c>
      <c r="CM40" s="511">
        <f t="shared" si="339"/>
        <v>46.457142857142856</v>
      </c>
      <c r="CN40" s="511">
        <f t="shared" si="339"/>
        <v>46.457142857142856</v>
      </c>
      <c r="CO40" s="511">
        <f t="shared" si="339"/>
        <v>46.457142857142856</v>
      </c>
      <c r="CP40" s="511">
        <f t="shared" si="106"/>
        <v>46.457142857142856</v>
      </c>
      <c r="CQ40" s="511">
        <f t="shared" si="107"/>
        <v>46.457142857142856</v>
      </c>
      <c r="CR40" s="722">
        <f t="shared" si="265"/>
        <v>2384.434285714286</v>
      </c>
      <c r="CS40" s="511">
        <f t="shared" ref="CS40:CV40" si="340">CR40</f>
        <v>2384.434285714286</v>
      </c>
      <c r="CT40" s="511">
        <f t="shared" si="340"/>
        <v>2384.434285714286</v>
      </c>
      <c r="CU40" s="511">
        <f t="shared" si="340"/>
        <v>2384.434285714286</v>
      </c>
      <c r="CV40" s="511">
        <f t="shared" si="340"/>
        <v>2384.434285714286</v>
      </c>
      <c r="CW40" s="511">
        <f t="shared" si="109"/>
        <v>2384.434285714286</v>
      </c>
      <c r="CX40" s="539">
        <f t="shared" si="110"/>
        <v>2384.434285714286</v>
      </c>
      <c r="CY40" s="724">
        <f t="shared" si="267"/>
        <v>0</v>
      </c>
      <c r="CZ40" s="508">
        <f t="shared" si="268"/>
        <v>0</v>
      </c>
      <c r="DA40" s="508">
        <f t="shared" si="269"/>
        <v>65881.188076657738</v>
      </c>
      <c r="DB40" s="508">
        <f t="shared" si="270"/>
        <v>0</v>
      </c>
      <c r="DC40" s="508">
        <f t="shared" si="271"/>
        <v>0</v>
      </c>
      <c r="DD40" s="508">
        <f t="shared" si="272"/>
        <v>65881.188076657738</v>
      </c>
      <c r="DE40" s="726">
        <f t="shared" si="273"/>
        <v>0</v>
      </c>
      <c r="DF40" s="724">
        <f t="shared" si="274"/>
        <v>0</v>
      </c>
      <c r="DG40" s="509">
        <f t="shared" si="275"/>
        <v>0</v>
      </c>
      <c r="DH40" s="509">
        <f t="shared" si="276"/>
        <v>0</v>
      </c>
      <c r="DI40" s="509">
        <f t="shared" si="277"/>
        <v>0</v>
      </c>
      <c r="DJ40" s="509">
        <f t="shared" si="278"/>
        <v>0</v>
      </c>
      <c r="DK40" s="509">
        <f t="shared" si="279"/>
        <v>0</v>
      </c>
      <c r="DL40" s="451">
        <f t="shared" si="280"/>
        <v>0</v>
      </c>
      <c r="DM40" s="509">
        <f t="shared" si="281"/>
        <v>0</v>
      </c>
      <c r="DN40" s="509">
        <f t="shared" si="282"/>
        <v>0</v>
      </c>
      <c r="DO40" s="509">
        <f t="shared" si="283"/>
        <v>9000</v>
      </c>
      <c r="DP40" s="509">
        <f t="shared" si="284"/>
        <v>0</v>
      </c>
      <c r="DQ40" s="509">
        <f t="shared" si="285"/>
        <v>0</v>
      </c>
      <c r="DR40" s="509">
        <f t="shared" si="286"/>
        <v>9000</v>
      </c>
      <c r="DS40" s="450">
        <f t="shared" si="287"/>
        <v>0</v>
      </c>
      <c r="DT40" s="724">
        <f t="shared" si="288"/>
        <v>0</v>
      </c>
      <c r="DU40" s="508">
        <f t="shared" si="289"/>
        <v>0</v>
      </c>
      <c r="DV40" s="508">
        <f t="shared" si="290"/>
        <v>0</v>
      </c>
      <c r="DW40" s="508">
        <f t="shared" si="291"/>
        <v>0</v>
      </c>
      <c r="DX40" s="508">
        <f t="shared" si="292"/>
        <v>0</v>
      </c>
      <c r="DY40" s="508">
        <f t="shared" si="293"/>
        <v>0</v>
      </c>
      <c r="DZ40" s="726">
        <f t="shared" si="294"/>
        <v>0</v>
      </c>
      <c r="EA40" s="722">
        <f t="shared" si="295"/>
        <v>0</v>
      </c>
      <c r="EB40" s="511">
        <f t="shared" si="296"/>
        <v>0</v>
      </c>
      <c r="EC40" s="511">
        <f t="shared" si="297"/>
        <v>297864</v>
      </c>
      <c r="ED40" s="511">
        <f t="shared" si="298"/>
        <v>0</v>
      </c>
      <c r="EE40" s="511">
        <f t="shared" si="299"/>
        <v>0</v>
      </c>
      <c r="EF40" s="511">
        <f t="shared" si="300"/>
        <v>297864</v>
      </c>
      <c r="EG40" s="723">
        <f t="shared" si="301"/>
        <v>0</v>
      </c>
      <c r="EH40" s="397">
        <f t="shared" si="302"/>
        <v>0</v>
      </c>
      <c r="EI40" s="397">
        <f t="shared" si="303"/>
        <v>0</v>
      </c>
      <c r="EJ40" s="397">
        <f t="shared" si="304"/>
        <v>46.457142857142856</v>
      </c>
      <c r="EK40" s="397">
        <f t="shared" si="305"/>
        <v>0</v>
      </c>
      <c r="EL40" s="397">
        <f t="shared" si="306"/>
        <v>0</v>
      </c>
      <c r="EM40" s="397">
        <f t="shared" si="307"/>
        <v>46.457142857142856</v>
      </c>
      <c r="EN40" s="398">
        <f t="shared" si="308"/>
        <v>0</v>
      </c>
      <c r="EO40" s="722">
        <f t="shared" si="309"/>
        <v>0</v>
      </c>
      <c r="EP40" s="511">
        <f t="shared" si="310"/>
        <v>0</v>
      </c>
      <c r="EQ40" s="511">
        <f t="shared" si="311"/>
        <v>2384.434285714286</v>
      </c>
      <c r="ER40" s="511">
        <f t="shared" si="312"/>
        <v>0</v>
      </c>
      <c r="ES40" s="511">
        <f t="shared" si="313"/>
        <v>0</v>
      </c>
      <c r="ET40" s="511">
        <f t="shared" si="314"/>
        <v>2384.434285714286</v>
      </c>
      <c r="EU40" s="723">
        <f t="shared" si="315"/>
        <v>0</v>
      </c>
      <c r="EV40" s="727">
        <f t="shared" si="316"/>
        <v>1</v>
      </c>
      <c r="EW40" s="728">
        <f t="shared" si="317"/>
        <v>131762.37615331548</v>
      </c>
      <c r="EX40" s="728">
        <f t="shared" si="318"/>
        <v>0</v>
      </c>
      <c r="EY40" s="728">
        <f t="shared" si="319"/>
        <v>18000</v>
      </c>
      <c r="EZ40" s="728">
        <f t="shared" si="320"/>
        <v>0</v>
      </c>
      <c r="FA40" s="777">
        <f t="shared" si="321"/>
        <v>595728</v>
      </c>
      <c r="FB40" s="777">
        <f t="shared" si="322"/>
        <v>92.914285714285711</v>
      </c>
      <c r="FC40" s="778">
        <f t="shared" si="323"/>
        <v>4768.8685714285721</v>
      </c>
      <c r="FE40" s="10" t="b">
        <f t="shared" si="324"/>
        <v>1</v>
      </c>
      <c r="FF40" s="10" t="b">
        <f t="shared" si="325"/>
        <v>1</v>
      </c>
      <c r="FG40" s="10" t="b">
        <f t="shared" si="326"/>
        <v>1</v>
      </c>
      <c r="FH40" s="10" t="b">
        <f t="shared" si="327"/>
        <v>1</v>
      </c>
      <c r="FI40" s="10" t="b">
        <f t="shared" si="328"/>
        <v>1</v>
      </c>
      <c r="FJ40" s="10" t="b">
        <f t="shared" si="329"/>
        <v>1</v>
      </c>
      <c r="FK40" s="10" t="b">
        <f t="shared" si="330"/>
        <v>1</v>
      </c>
      <c r="FL40" s="10" t="b">
        <f t="shared" si="81"/>
        <v>0</v>
      </c>
    </row>
    <row r="41" spans="1:170">
      <c r="A41" s="662">
        <v>36</v>
      </c>
      <c r="B41" s="789" t="s">
        <v>1301</v>
      </c>
      <c r="C41" s="789" t="s">
        <v>1297</v>
      </c>
      <c r="D41" s="789" t="s">
        <v>1289</v>
      </c>
      <c r="E41" s="789" t="s">
        <v>1290</v>
      </c>
      <c r="F41" s="789" t="s">
        <v>1290</v>
      </c>
      <c r="G41" s="704" t="s">
        <v>402</v>
      </c>
      <c r="H41" s="704">
        <f>R41*'Custom Benchmarking'!$E$18</f>
        <v>82351.485095822165</v>
      </c>
      <c r="I41" s="704">
        <v>0</v>
      </c>
      <c r="J41" s="704">
        <f t="shared" si="240"/>
        <v>82351.485095822165</v>
      </c>
      <c r="K41" s="704">
        <v>0</v>
      </c>
      <c r="L41" s="704">
        <f t="shared" si="119"/>
        <v>41175.742547911083</v>
      </c>
      <c r="M41" s="711" t="s">
        <v>1285</v>
      </c>
      <c r="N41" s="1024">
        <v>11200</v>
      </c>
      <c r="O41" s="1024">
        <v>11200</v>
      </c>
      <c r="P41" s="707">
        <v>0</v>
      </c>
      <c r="Q41" s="707">
        <v>0</v>
      </c>
      <c r="R41" s="1021">
        <v>372330</v>
      </c>
      <c r="S41" s="1021">
        <v>58.071428571428562</v>
      </c>
      <c r="T41" s="1021">
        <v>2980.5428571428574</v>
      </c>
      <c r="U41" s="711" t="s">
        <v>1291</v>
      </c>
      <c r="V41" s="716">
        <v>0</v>
      </c>
      <c r="W41" s="711">
        <v>1</v>
      </c>
      <c r="X41" s="781">
        <v>1</v>
      </c>
      <c r="Y41" s="781">
        <v>0</v>
      </c>
      <c r="Z41" s="781">
        <v>0</v>
      </c>
      <c r="AA41" s="781">
        <v>0</v>
      </c>
      <c r="AB41" s="1027">
        <f t="shared" si="336"/>
        <v>0</v>
      </c>
      <c r="AC41" s="1030">
        <f>MROUND(AB41,1)</f>
        <v>0</v>
      </c>
      <c r="AD41" s="781">
        <f t="shared" ref="AD41:AJ41" si="341">AC41</f>
        <v>0</v>
      </c>
      <c r="AE41" s="781">
        <f t="shared" si="341"/>
        <v>0</v>
      </c>
      <c r="AF41" s="781">
        <f t="shared" si="341"/>
        <v>0</v>
      </c>
      <c r="AG41" s="781">
        <f t="shared" si="341"/>
        <v>0</v>
      </c>
      <c r="AH41" s="781">
        <f t="shared" si="341"/>
        <v>0</v>
      </c>
      <c r="AI41" s="781">
        <f t="shared" si="341"/>
        <v>0</v>
      </c>
      <c r="AJ41" s="781">
        <f t="shared" si="341"/>
        <v>0</v>
      </c>
      <c r="AK41" s="715" t="s">
        <v>374</v>
      </c>
      <c r="AL41" s="711" t="s">
        <v>742</v>
      </c>
      <c r="AM41" s="715" t="s">
        <v>1186</v>
      </c>
      <c r="AN41" s="715" t="s">
        <v>377</v>
      </c>
      <c r="AO41" s="711" t="s">
        <v>3</v>
      </c>
      <c r="AP41" s="715"/>
      <c r="AQ41" s="715"/>
      <c r="AR41" s="715"/>
      <c r="AS41" s="715" t="s">
        <v>744</v>
      </c>
      <c r="AT41" s="715" t="s">
        <v>745</v>
      </c>
      <c r="AU41" s="715" t="s">
        <v>746</v>
      </c>
      <c r="AV41" s="715">
        <v>15</v>
      </c>
      <c r="AW41" s="715">
        <v>15</v>
      </c>
      <c r="AX41" s="715" t="s">
        <v>769</v>
      </c>
      <c r="AY41" s="716">
        <v>1</v>
      </c>
      <c r="AZ41" s="716">
        <v>1</v>
      </c>
      <c r="BA41" s="717">
        <v>1</v>
      </c>
      <c r="BB41" s="721">
        <f t="shared" si="139"/>
        <v>82351.485095822165</v>
      </c>
      <c r="BC41" s="499">
        <f t="shared" si="140"/>
        <v>82351.485095822165</v>
      </c>
      <c r="BD41" s="499">
        <f t="shared" si="141"/>
        <v>82351.485095822165</v>
      </c>
      <c r="BE41" s="499">
        <f t="shared" si="142"/>
        <v>82351.485095822165</v>
      </c>
      <c r="BF41" s="499">
        <f t="shared" si="143"/>
        <v>82351.485095822165</v>
      </c>
      <c r="BG41" s="499">
        <f t="shared" si="144"/>
        <v>82351.485095822165</v>
      </c>
      <c r="BH41" s="499">
        <f t="shared" si="145"/>
        <v>82351.485095822165</v>
      </c>
      <c r="BI41" s="721">
        <f t="shared" si="258"/>
        <v>0</v>
      </c>
      <c r="BJ41" s="499">
        <f t="shared" ref="BJ41:BM41" si="342">BI41</f>
        <v>0</v>
      </c>
      <c r="BK41" s="499">
        <f t="shared" si="342"/>
        <v>0</v>
      </c>
      <c r="BL41" s="499">
        <f t="shared" si="342"/>
        <v>0</v>
      </c>
      <c r="BM41" s="499">
        <f t="shared" si="342"/>
        <v>0</v>
      </c>
      <c r="BN41" s="499">
        <f t="shared" si="147"/>
        <v>0</v>
      </c>
      <c r="BO41" s="499">
        <f t="shared" si="148"/>
        <v>0</v>
      </c>
      <c r="BP41" s="721">
        <f t="shared" si="260"/>
        <v>11200</v>
      </c>
      <c r="BQ41" s="499">
        <f t="shared" si="332"/>
        <v>11200</v>
      </c>
      <c r="BR41" s="499">
        <f t="shared" si="149"/>
        <v>11200</v>
      </c>
      <c r="BS41" s="499">
        <f t="shared" si="150"/>
        <v>11200</v>
      </c>
      <c r="BT41" s="499">
        <f t="shared" si="151"/>
        <v>11200</v>
      </c>
      <c r="BU41" s="499">
        <f t="shared" si="152"/>
        <v>11200</v>
      </c>
      <c r="BV41" s="499">
        <f t="shared" si="153"/>
        <v>11200</v>
      </c>
      <c r="BW41" s="774">
        <f t="shared" si="196"/>
        <v>0</v>
      </c>
      <c r="BX41" s="503">
        <f t="shared" si="196"/>
        <v>0</v>
      </c>
      <c r="BY41" s="503">
        <f t="shared" si="196"/>
        <v>0</v>
      </c>
      <c r="BZ41" s="503">
        <f t="shared" si="196"/>
        <v>0</v>
      </c>
      <c r="CA41" s="503">
        <f t="shared" si="196"/>
        <v>0</v>
      </c>
      <c r="CB41" s="503">
        <f t="shared" si="196"/>
        <v>0</v>
      </c>
      <c r="CC41" s="503">
        <f t="shared" si="196"/>
        <v>0</v>
      </c>
      <c r="CD41" s="722">
        <f t="shared" si="261"/>
        <v>372330</v>
      </c>
      <c r="CE41" s="511">
        <f t="shared" ref="CE41:CH41" si="343">CD41</f>
        <v>372330</v>
      </c>
      <c r="CF41" s="511">
        <f t="shared" si="343"/>
        <v>372330</v>
      </c>
      <c r="CG41" s="511">
        <f t="shared" si="343"/>
        <v>372330</v>
      </c>
      <c r="CH41" s="511">
        <f t="shared" si="343"/>
        <v>372330</v>
      </c>
      <c r="CI41" s="511">
        <f t="shared" si="103"/>
        <v>372330</v>
      </c>
      <c r="CJ41" s="511">
        <f t="shared" si="104"/>
        <v>372330</v>
      </c>
      <c r="CK41" s="722">
        <f t="shared" si="263"/>
        <v>58.071428571428562</v>
      </c>
      <c r="CL41" s="511">
        <f t="shared" ref="CL41:CO41" si="344">CK41</f>
        <v>58.071428571428562</v>
      </c>
      <c r="CM41" s="511">
        <f t="shared" si="344"/>
        <v>58.071428571428562</v>
      </c>
      <c r="CN41" s="511">
        <f t="shared" si="344"/>
        <v>58.071428571428562</v>
      </c>
      <c r="CO41" s="511">
        <f t="shared" si="344"/>
        <v>58.071428571428562</v>
      </c>
      <c r="CP41" s="511">
        <f t="shared" si="106"/>
        <v>58.071428571428562</v>
      </c>
      <c r="CQ41" s="511">
        <f t="shared" si="107"/>
        <v>58.071428571428562</v>
      </c>
      <c r="CR41" s="722">
        <f t="shared" si="265"/>
        <v>2980.5428571428574</v>
      </c>
      <c r="CS41" s="511">
        <f t="shared" ref="CS41:CV41" si="345">CR41</f>
        <v>2980.5428571428574</v>
      </c>
      <c r="CT41" s="511">
        <f t="shared" si="345"/>
        <v>2980.5428571428574</v>
      </c>
      <c r="CU41" s="511">
        <f t="shared" si="345"/>
        <v>2980.5428571428574</v>
      </c>
      <c r="CV41" s="511">
        <f t="shared" si="345"/>
        <v>2980.5428571428574</v>
      </c>
      <c r="CW41" s="511">
        <f t="shared" si="109"/>
        <v>2980.5428571428574</v>
      </c>
      <c r="CX41" s="539">
        <f t="shared" si="110"/>
        <v>2980.5428571428574</v>
      </c>
      <c r="CY41" s="724">
        <f t="shared" si="267"/>
        <v>0</v>
      </c>
      <c r="CZ41" s="508">
        <f t="shared" si="268"/>
        <v>0</v>
      </c>
      <c r="DA41" s="508">
        <f t="shared" si="269"/>
        <v>0</v>
      </c>
      <c r="DB41" s="508">
        <f t="shared" si="270"/>
        <v>0</v>
      </c>
      <c r="DC41" s="508">
        <f t="shared" si="271"/>
        <v>0</v>
      </c>
      <c r="DD41" s="508">
        <f t="shared" si="272"/>
        <v>0</v>
      </c>
      <c r="DE41" s="726">
        <f t="shared" si="273"/>
        <v>0</v>
      </c>
      <c r="DF41" s="724">
        <f t="shared" si="274"/>
        <v>0</v>
      </c>
      <c r="DG41" s="509">
        <f t="shared" si="275"/>
        <v>0</v>
      </c>
      <c r="DH41" s="509">
        <f t="shared" si="276"/>
        <v>0</v>
      </c>
      <c r="DI41" s="509">
        <f t="shared" si="277"/>
        <v>0</v>
      </c>
      <c r="DJ41" s="509">
        <f t="shared" si="278"/>
        <v>0</v>
      </c>
      <c r="DK41" s="509">
        <f t="shared" si="279"/>
        <v>0</v>
      </c>
      <c r="DL41" s="451">
        <f t="shared" si="280"/>
        <v>0</v>
      </c>
      <c r="DM41" s="509">
        <f t="shared" si="281"/>
        <v>0</v>
      </c>
      <c r="DN41" s="509">
        <f t="shared" si="282"/>
        <v>0</v>
      </c>
      <c r="DO41" s="509">
        <f t="shared" si="283"/>
        <v>0</v>
      </c>
      <c r="DP41" s="509">
        <f t="shared" si="284"/>
        <v>0</v>
      </c>
      <c r="DQ41" s="509">
        <f t="shared" si="285"/>
        <v>0</v>
      </c>
      <c r="DR41" s="509">
        <f t="shared" si="286"/>
        <v>0</v>
      </c>
      <c r="DS41" s="450">
        <f t="shared" si="287"/>
        <v>0</v>
      </c>
      <c r="DT41" s="724">
        <f t="shared" si="288"/>
        <v>0</v>
      </c>
      <c r="DU41" s="508">
        <f t="shared" si="289"/>
        <v>0</v>
      </c>
      <c r="DV41" s="508">
        <f t="shared" si="290"/>
        <v>0</v>
      </c>
      <c r="DW41" s="508">
        <f t="shared" si="291"/>
        <v>0</v>
      </c>
      <c r="DX41" s="508">
        <f t="shared" si="292"/>
        <v>0</v>
      </c>
      <c r="DY41" s="508">
        <f t="shared" si="293"/>
        <v>0</v>
      </c>
      <c r="DZ41" s="726">
        <f t="shared" si="294"/>
        <v>0</v>
      </c>
      <c r="EA41" s="722">
        <f t="shared" si="295"/>
        <v>0</v>
      </c>
      <c r="EB41" s="511">
        <f t="shared" si="296"/>
        <v>0</v>
      </c>
      <c r="EC41" s="511">
        <f t="shared" si="297"/>
        <v>0</v>
      </c>
      <c r="ED41" s="511">
        <f t="shared" si="298"/>
        <v>0</v>
      </c>
      <c r="EE41" s="511">
        <f t="shared" si="299"/>
        <v>0</v>
      </c>
      <c r="EF41" s="511">
        <f t="shared" si="300"/>
        <v>0</v>
      </c>
      <c r="EG41" s="723">
        <f t="shared" si="301"/>
        <v>0</v>
      </c>
      <c r="EH41" s="397">
        <f t="shared" si="302"/>
        <v>0</v>
      </c>
      <c r="EI41" s="397">
        <f t="shared" si="303"/>
        <v>0</v>
      </c>
      <c r="EJ41" s="397">
        <f t="shared" si="304"/>
        <v>0</v>
      </c>
      <c r="EK41" s="397">
        <f t="shared" si="305"/>
        <v>0</v>
      </c>
      <c r="EL41" s="397">
        <f t="shared" si="306"/>
        <v>0</v>
      </c>
      <c r="EM41" s="397">
        <f t="shared" si="307"/>
        <v>0</v>
      </c>
      <c r="EN41" s="398">
        <f t="shared" si="308"/>
        <v>0</v>
      </c>
      <c r="EO41" s="722">
        <f t="shared" si="309"/>
        <v>0</v>
      </c>
      <c r="EP41" s="511">
        <f t="shared" si="310"/>
        <v>0</v>
      </c>
      <c r="EQ41" s="511">
        <f t="shared" si="311"/>
        <v>0</v>
      </c>
      <c r="ER41" s="511">
        <f t="shared" si="312"/>
        <v>0</v>
      </c>
      <c r="ES41" s="511">
        <f t="shared" si="313"/>
        <v>0</v>
      </c>
      <c r="ET41" s="511">
        <f t="shared" si="314"/>
        <v>0</v>
      </c>
      <c r="EU41" s="723">
        <f t="shared" si="315"/>
        <v>0</v>
      </c>
      <c r="EV41" s="727">
        <f t="shared" si="316"/>
        <v>0</v>
      </c>
      <c r="EW41" s="728">
        <f t="shared" si="317"/>
        <v>0</v>
      </c>
      <c r="EX41" s="728">
        <f t="shared" si="318"/>
        <v>0</v>
      </c>
      <c r="EY41" s="728">
        <f t="shared" si="319"/>
        <v>0</v>
      </c>
      <c r="EZ41" s="728">
        <f t="shared" si="320"/>
        <v>0</v>
      </c>
      <c r="FA41" s="777">
        <f t="shared" si="321"/>
        <v>0</v>
      </c>
      <c r="FB41" s="777">
        <f t="shared" si="322"/>
        <v>0</v>
      </c>
      <c r="FC41" s="778">
        <f t="shared" si="323"/>
        <v>0</v>
      </c>
      <c r="FE41" s="10" t="b">
        <f t="shared" si="324"/>
        <v>1</v>
      </c>
      <c r="FF41" s="10" t="b">
        <f t="shared" si="325"/>
        <v>1</v>
      </c>
      <c r="FG41" s="10" t="b">
        <f t="shared" si="326"/>
        <v>1</v>
      </c>
      <c r="FH41" s="10" t="b">
        <f t="shared" si="327"/>
        <v>1</v>
      </c>
      <c r="FI41" s="10" t="b">
        <f t="shared" si="328"/>
        <v>1</v>
      </c>
      <c r="FJ41" s="10" t="b">
        <f t="shared" si="329"/>
        <v>1</v>
      </c>
      <c r="FK41" s="10" t="b">
        <f t="shared" si="330"/>
        <v>1</v>
      </c>
      <c r="FL41" s="10" t="b">
        <f t="shared" si="81"/>
        <v>1</v>
      </c>
    </row>
    <row r="42" spans="1:170">
      <c r="A42" s="662">
        <v>37</v>
      </c>
      <c r="B42" s="789" t="s">
        <v>1302</v>
      </c>
      <c r="C42" s="789" t="s">
        <v>1303</v>
      </c>
      <c r="D42" s="789" t="s">
        <v>1304</v>
      </c>
      <c r="E42" s="789" t="s">
        <v>1290</v>
      </c>
      <c r="F42" s="789" t="s">
        <v>1290</v>
      </c>
      <c r="G42" s="704" t="s">
        <v>402</v>
      </c>
      <c r="H42" s="704">
        <v>37200</v>
      </c>
      <c r="I42" s="704">
        <v>0</v>
      </c>
      <c r="J42" s="704">
        <f t="shared" si="240"/>
        <v>37200</v>
      </c>
      <c r="K42" s="704">
        <v>0</v>
      </c>
      <c r="L42" s="704">
        <f t="shared" si="119"/>
        <v>18600</v>
      </c>
      <c r="M42" s="711" t="s">
        <v>1305</v>
      </c>
      <c r="N42" s="1024">
        <v>2000</v>
      </c>
      <c r="O42" s="1024">
        <v>2000</v>
      </c>
      <c r="P42" s="707">
        <v>0</v>
      </c>
      <c r="Q42" s="707">
        <v>0</v>
      </c>
      <c r="R42" s="1021">
        <v>0</v>
      </c>
      <c r="S42" s="872">
        <v>0</v>
      </c>
      <c r="T42" s="1022">
        <v>0</v>
      </c>
      <c r="U42" s="711" t="s">
        <v>1306</v>
      </c>
      <c r="V42" s="716">
        <v>0</v>
      </c>
      <c r="W42" s="711">
        <v>1</v>
      </c>
      <c r="X42" s="781">
        <v>1</v>
      </c>
      <c r="Y42" s="781">
        <v>1</v>
      </c>
      <c r="Z42" s="781">
        <v>0</v>
      </c>
      <c r="AA42" s="781">
        <v>0</v>
      </c>
      <c r="AB42" s="1027">
        <f t="shared" si="336"/>
        <v>0</v>
      </c>
      <c r="AC42" s="1030">
        <v>0</v>
      </c>
      <c r="AD42" s="781">
        <v>1</v>
      </c>
      <c r="AE42" s="781">
        <v>0</v>
      </c>
      <c r="AF42" s="781">
        <v>0</v>
      </c>
      <c r="AG42" s="781">
        <v>1</v>
      </c>
      <c r="AH42" s="781">
        <v>0</v>
      </c>
      <c r="AI42" s="781">
        <v>0</v>
      </c>
      <c r="AJ42" s="781">
        <v>1</v>
      </c>
      <c r="AK42" s="715" t="s">
        <v>374</v>
      </c>
      <c r="AL42" s="711" t="s">
        <v>742</v>
      </c>
      <c r="AM42" s="715" t="s">
        <v>1186</v>
      </c>
      <c r="AN42" s="715" t="s">
        <v>377</v>
      </c>
      <c r="AO42" s="711" t="s">
        <v>3</v>
      </c>
      <c r="AP42" s="715"/>
      <c r="AQ42" s="715"/>
      <c r="AR42" s="715"/>
      <c r="AS42" s="715" t="s">
        <v>744</v>
      </c>
      <c r="AT42" s="715" t="s">
        <v>745</v>
      </c>
      <c r="AU42" s="715" t="s">
        <v>746</v>
      </c>
      <c r="AV42" s="715">
        <v>15</v>
      </c>
      <c r="AW42" s="715">
        <v>15</v>
      </c>
      <c r="AX42" s="715" t="s">
        <v>769</v>
      </c>
      <c r="AY42" s="716">
        <v>1</v>
      </c>
      <c r="AZ42" s="716">
        <v>1</v>
      </c>
      <c r="BA42" s="717">
        <v>0</v>
      </c>
      <c r="BB42" s="721">
        <f t="shared" si="139"/>
        <v>37200</v>
      </c>
      <c r="BC42" s="499">
        <f t="shared" si="140"/>
        <v>37200</v>
      </c>
      <c r="BD42" s="499">
        <f t="shared" si="141"/>
        <v>37200</v>
      </c>
      <c r="BE42" s="499">
        <f t="shared" si="142"/>
        <v>37200</v>
      </c>
      <c r="BF42" s="499">
        <f t="shared" si="143"/>
        <v>37200</v>
      </c>
      <c r="BG42" s="499">
        <f t="shared" si="144"/>
        <v>37200</v>
      </c>
      <c r="BH42" s="499">
        <f t="shared" si="145"/>
        <v>37200</v>
      </c>
      <c r="BI42" s="721">
        <f t="shared" si="258"/>
        <v>0</v>
      </c>
      <c r="BJ42" s="499">
        <f t="shared" ref="BJ42:BM42" si="346">BI42</f>
        <v>0</v>
      </c>
      <c r="BK42" s="499">
        <f t="shared" si="346"/>
        <v>0</v>
      </c>
      <c r="BL42" s="499">
        <f t="shared" si="346"/>
        <v>0</v>
      </c>
      <c r="BM42" s="499">
        <f t="shared" si="346"/>
        <v>0</v>
      </c>
      <c r="BN42" s="499">
        <f t="shared" si="147"/>
        <v>0</v>
      </c>
      <c r="BO42" s="499">
        <f t="shared" si="148"/>
        <v>0</v>
      </c>
      <c r="BP42" s="721">
        <f t="shared" si="260"/>
        <v>2000</v>
      </c>
      <c r="BQ42" s="499">
        <f t="shared" si="332"/>
        <v>2000</v>
      </c>
      <c r="BR42" s="499">
        <f t="shared" si="149"/>
        <v>2000</v>
      </c>
      <c r="BS42" s="499">
        <f t="shared" si="150"/>
        <v>2000</v>
      </c>
      <c r="BT42" s="499">
        <f t="shared" si="151"/>
        <v>2000</v>
      </c>
      <c r="BU42" s="499">
        <f t="shared" si="152"/>
        <v>2000</v>
      </c>
      <c r="BV42" s="499">
        <f t="shared" si="153"/>
        <v>2000</v>
      </c>
      <c r="BW42" s="774">
        <f t="shared" si="196"/>
        <v>0</v>
      </c>
      <c r="BX42" s="503">
        <f t="shared" si="196"/>
        <v>0</v>
      </c>
      <c r="BY42" s="503">
        <f t="shared" si="196"/>
        <v>0</v>
      </c>
      <c r="BZ42" s="503">
        <f t="shared" si="196"/>
        <v>0</v>
      </c>
      <c r="CA42" s="503">
        <f t="shared" si="196"/>
        <v>0</v>
      </c>
      <c r="CB42" s="503">
        <f t="shared" si="196"/>
        <v>0</v>
      </c>
      <c r="CC42" s="503">
        <f t="shared" si="196"/>
        <v>0</v>
      </c>
      <c r="CD42" s="722">
        <f t="shared" si="261"/>
        <v>0</v>
      </c>
      <c r="CE42" s="511">
        <f t="shared" ref="CE42:CH42" si="347">CD42</f>
        <v>0</v>
      </c>
      <c r="CF42" s="511">
        <f t="shared" si="347"/>
        <v>0</v>
      </c>
      <c r="CG42" s="511">
        <f t="shared" si="347"/>
        <v>0</v>
      </c>
      <c r="CH42" s="511">
        <f t="shared" si="347"/>
        <v>0</v>
      </c>
      <c r="CI42" s="511">
        <f t="shared" si="103"/>
        <v>0</v>
      </c>
      <c r="CJ42" s="511">
        <f t="shared" si="104"/>
        <v>0</v>
      </c>
      <c r="CK42" s="722">
        <f t="shared" si="263"/>
        <v>0</v>
      </c>
      <c r="CL42" s="511">
        <f t="shared" ref="CL42:CO42" si="348">CK42</f>
        <v>0</v>
      </c>
      <c r="CM42" s="511">
        <f t="shared" si="348"/>
        <v>0</v>
      </c>
      <c r="CN42" s="511">
        <f t="shared" si="348"/>
        <v>0</v>
      </c>
      <c r="CO42" s="511">
        <f t="shared" si="348"/>
        <v>0</v>
      </c>
      <c r="CP42" s="511">
        <f t="shared" si="106"/>
        <v>0</v>
      </c>
      <c r="CQ42" s="511">
        <f t="shared" si="107"/>
        <v>0</v>
      </c>
      <c r="CR42" s="722">
        <f t="shared" si="265"/>
        <v>0</v>
      </c>
      <c r="CS42" s="511">
        <f t="shared" ref="CS42:CV42" si="349">CR42</f>
        <v>0</v>
      </c>
      <c r="CT42" s="511">
        <f t="shared" si="349"/>
        <v>0</v>
      </c>
      <c r="CU42" s="511">
        <f t="shared" si="349"/>
        <v>0</v>
      </c>
      <c r="CV42" s="511">
        <f t="shared" si="349"/>
        <v>0</v>
      </c>
      <c r="CW42" s="511">
        <f t="shared" si="109"/>
        <v>0</v>
      </c>
      <c r="CX42" s="539">
        <f t="shared" si="110"/>
        <v>0</v>
      </c>
      <c r="CY42" s="724">
        <f t="shared" si="267"/>
        <v>37200</v>
      </c>
      <c r="CZ42" s="508">
        <f t="shared" si="268"/>
        <v>0</v>
      </c>
      <c r="DA42" s="508">
        <f t="shared" si="269"/>
        <v>0</v>
      </c>
      <c r="DB42" s="508">
        <f t="shared" si="270"/>
        <v>37200</v>
      </c>
      <c r="DC42" s="508">
        <f t="shared" si="271"/>
        <v>0</v>
      </c>
      <c r="DD42" s="508">
        <f t="shared" si="272"/>
        <v>0</v>
      </c>
      <c r="DE42" s="726">
        <f t="shared" si="273"/>
        <v>37200</v>
      </c>
      <c r="DF42" s="724">
        <f t="shared" si="274"/>
        <v>0</v>
      </c>
      <c r="DG42" s="509">
        <f t="shared" si="275"/>
        <v>0</v>
      </c>
      <c r="DH42" s="509">
        <f t="shared" si="276"/>
        <v>0</v>
      </c>
      <c r="DI42" s="509">
        <f t="shared" si="277"/>
        <v>0</v>
      </c>
      <c r="DJ42" s="509">
        <f t="shared" si="278"/>
        <v>0</v>
      </c>
      <c r="DK42" s="509">
        <f t="shared" si="279"/>
        <v>0</v>
      </c>
      <c r="DL42" s="451">
        <f t="shared" si="280"/>
        <v>0</v>
      </c>
      <c r="DM42" s="509">
        <f t="shared" si="281"/>
        <v>2000</v>
      </c>
      <c r="DN42" s="509">
        <f t="shared" si="282"/>
        <v>0</v>
      </c>
      <c r="DO42" s="509">
        <f t="shared" si="283"/>
        <v>0</v>
      </c>
      <c r="DP42" s="509">
        <f t="shared" si="284"/>
        <v>2000</v>
      </c>
      <c r="DQ42" s="509">
        <f t="shared" si="285"/>
        <v>0</v>
      </c>
      <c r="DR42" s="509">
        <f t="shared" si="286"/>
        <v>0</v>
      </c>
      <c r="DS42" s="450">
        <f t="shared" si="287"/>
        <v>2000</v>
      </c>
      <c r="DT42" s="724">
        <f t="shared" si="288"/>
        <v>0</v>
      </c>
      <c r="DU42" s="508">
        <f t="shared" si="289"/>
        <v>0</v>
      </c>
      <c r="DV42" s="508">
        <f t="shared" si="290"/>
        <v>0</v>
      </c>
      <c r="DW42" s="508">
        <f t="shared" si="291"/>
        <v>0</v>
      </c>
      <c r="DX42" s="508">
        <f t="shared" si="292"/>
        <v>0</v>
      </c>
      <c r="DY42" s="508">
        <f t="shared" si="293"/>
        <v>0</v>
      </c>
      <c r="DZ42" s="726">
        <f t="shared" si="294"/>
        <v>0</v>
      </c>
      <c r="EA42" s="722">
        <f t="shared" si="295"/>
        <v>0</v>
      </c>
      <c r="EB42" s="511">
        <f t="shared" si="296"/>
        <v>0</v>
      </c>
      <c r="EC42" s="511">
        <f t="shared" si="297"/>
        <v>0</v>
      </c>
      <c r="ED42" s="511">
        <f t="shared" si="298"/>
        <v>0</v>
      </c>
      <c r="EE42" s="511">
        <f t="shared" si="299"/>
        <v>0</v>
      </c>
      <c r="EF42" s="511">
        <f t="shared" si="300"/>
        <v>0</v>
      </c>
      <c r="EG42" s="723">
        <f t="shared" si="301"/>
        <v>0</v>
      </c>
      <c r="EH42" s="397">
        <f t="shared" si="302"/>
        <v>0</v>
      </c>
      <c r="EI42" s="397">
        <f t="shared" si="303"/>
        <v>0</v>
      </c>
      <c r="EJ42" s="397">
        <f t="shared" si="304"/>
        <v>0</v>
      </c>
      <c r="EK42" s="397">
        <f t="shared" si="305"/>
        <v>0</v>
      </c>
      <c r="EL42" s="397">
        <f t="shared" si="306"/>
        <v>0</v>
      </c>
      <c r="EM42" s="397">
        <f t="shared" si="307"/>
        <v>0</v>
      </c>
      <c r="EN42" s="398">
        <f t="shared" si="308"/>
        <v>0</v>
      </c>
      <c r="EO42" s="722">
        <f t="shared" si="309"/>
        <v>0</v>
      </c>
      <c r="EP42" s="511">
        <f t="shared" si="310"/>
        <v>0</v>
      </c>
      <c r="EQ42" s="511">
        <f t="shared" si="311"/>
        <v>0</v>
      </c>
      <c r="ER42" s="511">
        <f t="shared" si="312"/>
        <v>0</v>
      </c>
      <c r="ES42" s="511">
        <f t="shared" si="313"/>
        <v>0</v>
      </c>
      <c r="ET42" s="511">
        <f t="shared" si="314"/>
        <v>0</v>
      </c>
      <c r="EU42" s="723">
        <f t="shared" si="315"/>
        <v>0</v>
      </c>
      <c r="EV42" s="727">
        <f t="shared" si="316"/>
        <v>1</v>
      </c>
      <c r="EW42" s="728">
        <f t="shared" si="317"/>
        <v>111600</v>
      </c>
      <c r="EX42" s="728">
        <f t="shared" si="318"/>
        <v>0</v>
      </c>
      <c r="EY42" s="728">
        <f t="shared" si="319"/>
        <v>6000</v>
      </c>
      <c r="EZ42" s="728">
        <f t="shared" si="320"/>
        <v>0</v>
      </c>
      <c r="FA42" s="777">
        <f t="shared" si="321"/>
        <v>0</v>
      </c>
      <c r="FB42" s="777">
        <f t="shared" si="322"/>
        <v>0</v>
      </c>
      <c r="FC42" s="778">
        <f t="shared" si="323"/>
        <v>0</v>
      </c>
      <c r="FE42" s="10" t="b">
        <f t="shared" si="324"/>
        <v>1</v>
      </c>
      <c r="FF42" s="10" t="b">
        <f t="shared" si="325"/>
        <v>1</v>
      </c>
      <c r="FG42" s="10" t="b">
        <f t="shared" si="326"/>
        <v>1</v>
      </c>
      <c r="FH42" s="10" t="b">
        <f t="shared" si="327"/>
        <v>1</v>
      </c>
      <c r="FI42" s="10" t="b">
        <f t="shared" si="328"/>
        <v>1</v>
      </c>
      <c r="FJ42" s="10" t="b">
        <f t="shared" si="329"/>
        <v>1</v>
      </c>
      <c r="FK42" s="10" t="b">
        <f t="shared" si="330"/>
        <v>1</v>
      </c>
      <c r="FL42" s="10" t="b">
        <f t="shared" ref="FL42:FL61" si="350">FC42=SUM(FC99,FC156)</f>
        <v>1</v>
      </c>
    </row>
    <row r="43" spans="1:170">
      <c r="A43" s="662">
        <v>38</v>
      </c>
      <c r="B43" s="789" t="s">
        <v>1307</v>
      </c>
      <c r="C43" s="789" t="s">
        <v>1308</v>
      </c>
      <c r="D43" s="789" t="s">
        <v>1304</v>
      </c>
      <c r="E43" s="789" t="s">
        <v>1290</v>
      </c>
      <c r="F43" s="789" t="s">
        <v>1290</v>
      </c>
      <c r="G43" s="704" t="s">
        <v>402</v>
      </c>
      <c r="H43" s="704">
        <v>37200</v>
      </c>
      <c r="I43" s="704">
        <v>0</v>
      </c>
      <c r="J43" s="704">
        <f t="shared" si="240"/>
        <v>37200</v>
      </c>
      <c r="K43" s="704">
        <v>0</v>
      </c>
      <c r="L43" s="704">
        <f t="shared" si="119"/>
        <v>18600</v>
      </c>
      <c r="M43" s="711" t="s">
        <v>1305</v>
      </c>
      <c r="N43" s="1024">
        <v>2500</v>
      </c>
      <c r="O43" s="1024">
        <v>2500</v>
      </c>
      <c r="P43" s="707">
        <v>0</v>
      </c>
      <c r="Q43" s="707">
        <v>0</v>
      </c>
      <c r="R43" s="1021">
        <v>0</v>
      </c>
      <c r="S43" s="872">
        <v>0</v>
      </c>
      <c r="T43" s="1022">
        <v>0</v>
      </c>
      <c r="U43" s="711" t="s">
        <v>1306</v>
      </c>
      <c r="V43" s="716">
        <v>0</v>
      </c>
      <c r="W43" s="711">
        <v>1</v>
      </c>
      <c r="X43" s="781">
        <v>8</v>
      </c>
      <c r="Y43" s="781">
        <v>9</v>
      </c>
      <c r="Z43" s="781">
        <v>12</v>
      </c>
      <c r="AA43" s="781">
        <v>3.4285714285714284</v>
      </c>
      <c r="AB43" s="1027">
        <f t="shared" si="336"/>
        <v>7.7142857142857144</v>
      </c>
      <c r="AC43" s="1030">
        <v>0</v>
      </c>
      <c r="AD43" s="781">
        <v>0</v>
      </c>
      <c r="AE43" s="781">
        <v>1</v>
      </c>
      <c r="AF43" s="781">
        <v>0</v>
      </c>
      <c r="AG43" s="781">
        <v>0</v>
      </c>
      <c r="AH43" s="781">
        <v>1</v>
      </c>
      <c r="AI43" s="781">
        <v>0</v>
      </c>
      <c r="AJ43" s="781">
        <v>0</v>
      </c>
      <c r="AK43" s="715" t="s">
        <v>374</v>
      </c>
      <c r="AL43" s="711" t="s">
        <v>742</v>
      </c>
      <c r="AM43" s="715" t="s">
        <v>1186</v>
      </c>
      <c r="AN43" s="715" t="s">
        <v>377</v>
      </c>
      <c r="AO43" s="711" t="s">
        <v>3</v>
      </c>
      <c r="AP43" s="715"/>
      <c r="AQ43" s="715"/>
      <c r="AR43" s="715"/>
      <c r="AS43" s="715" t="s">
        <v>744</v>
      </c>
      <c r="AT43" s="715" t="s">
        <v>745</v>
      </c>
      <c r="AU43" s="715" t="s">
        <v>746</v>
      </c>
      <c r="AV43" s="715">
        <v>15</v>
      </c>
      <c r="AW43" s="715">
        <v>15</v>
      </c>
      <c r="AX43" s="715" t="s">
        <v>769</v>
      </c>
      <c r="AY43" s="716">
        <v>1</v>
      </c>
      <c r="AZ43" s="716">
        <v>1</v>
      </c>
      <c r="BA43" s="717">
        <v>0</v>
      </c>
      <c r="BB43" s="774">
        <f>J43</f>
        <v>37200</v>
      </c>
      <c r="BC43" s="499">
        <f t="shared" si="140"/>
        <v>37200</v>
      </c>
      <c r="BD43" s="499">
        <f t="shared" si="141"/>
        <v>37200</v>
      </c>
      <c r="BE43" s="499">
        <f t="shared" si="142"/>
        <v>37200</v>
      </c>
      <c r="BF43" s="499">
        <f t="shared" si="143"/>
        <v>37200</v>
      </c>
      <c r="BG43" s="499">
        <f t="shared" si="144"/>
        <v>37200</v>
      </c>
      <c r="BH43" s="499">
        <f t="shared" si="145"/>
        <v>37200</v>
      </c>
      <c r="BI43" s="721">
        <f t="shared" si="258"/>
        <v>0</v>
      </c>
      <c r="BJ43" s="499">
        <f t="shared" ref="BJ43:BM43" si="351">BI43</f>
        <v>0</v>
      </c>
      <c r="BK43" s="499">
        <f t="shared" si="351"/>
        <v>0</v>
      </c>
      <c r="BL43" s="499">
        <f t="shared" si="351"/>
        <v>0</v>
      </c>
      <c r="BM43" s="499">
        <f t="shared" si="351"/>
        <v>0</v>
      </c>
      <c r="BN43" s="499">
        <f t="shared" si="147"/>
        <v>0</v>
      </c>
      <c r="BO43" s="499">
        <f t="shared" si="148"/>
        <v>0</v>
      </c>
      <c r="BP43" s="721">
        <f t="shared" si="260"/>
        <v>2500</v>
      </c>
      <c r="BQ43" s="499">
        <f t="shared" si="332"/>
        <v>2500</v>
      </c>
      <c r="BR43" s="499">
        <f t="shared" si="149"/>
        <v>2500</v>
      </c>
      <c r="BS43" s="499">
        <f t="shared" si="150"/>
        <v>2500</v>
      </c>
      <c r="BT43" s="499">
        <f t="shared" si="151"/>
        <v>2500</v>
      </c>
      <c r="BU43" s="499">
        <f t="shared" si="152"/>
        <v>2500</v>
      </c>
      <c r="BV43" s="499">
        <f t="shared" si="153"/>
        <v>2500</v>
      </c>
      <c r="BW43" s="774">
        <f t="shared" si="196"/>
        <v>0</v>
      </c>
      <c r="BX43" s="503">
        <f t="shared" si="196"/>
        <v>0</v>
      </c>
      <c r="BY43" s="503">
        <f t="shared" si="196"/>
        <v>0</v>
      </c>
      <c r="BZ43" s="503">
        <f t="shared" si="196"/>
        <v>0</v>
      </c>
      <c r="CA43" s="503">
        <f t="shared" si="196"/>
        <v>0</v>
      </c>
      <c r="CB43" s="503">
        <f t="shared" si="196"/>
        <v>0</v>
      </c>
      <c r="CC43" s="503">
        <f t="shared" si="196"/>
        <v>0</v>
      </c>
      <c r="CD43" s="722">
        <f t="shared" si="261"/>
        <v>0</v>
      </c>
      <c r="CE43" s="511">
        <f t="shared" ref="CE43:CH43" si="352">CD43</f>
        <v>0</v>
      </c>
      <c r="CF43" s="511">
        <f t="shared" si="352"/>
        <v>0</v>
      </c>
      <c r="CG43" s="511">
        <f t="shared" si="352"/>
        <v>0</v>
      </c>
      <c r="CH43" s="511">
        <f t="shared" si="352"/>
        <v>0</v>
      </c>
      <c r="CI43" s="511">
        <f t="shared" si="103"/>
        <v>0</v>
      </c>
      <c r="CJ43" s="511">
        <f t="shared" si="104"/>
        <v>0</v>
      </c>
      <c r="CK43" s="722">
        <f t="shared" si="263"/>
        <v>0</v>
      </c>
      <c r="CL43" s="511">
        <f t="shared" ref="CL43:CO43" si="353">CK43</f>
        <v>0</v>
      </c>
      <c r="CM43" s="511">
        <f t="shared" si="353"/>
        <v>0</v>
      </c>
      <c r="CN43" s="511">
        <f t="shared" si="353"/>
        <v>0</v>
      </c>
      <c r="CO43" s="511">
        <f t="shared" si="353"/>
        <v>0</v>
      </c>
      <c r="CP43" s="511">
        <f t="shared" si="106"/>
        <v>0</v>
      </c>
      <c r="CQ43" s="511">
        <f t="shared" si="107"/>
        <v>0</v>
      </c>
      <c r="CR43" s="722">
        <f t="shared" si="265"/>
        <v>0</v>
      </c>
      <c r="CS43" s="511">
        <f t="shared" ref="CS43:CV43" si="354">CR43</f>
        <v>0</v>
      </c>
      <c r="CT43" s="511">
        <f t="shared" si="354"/>
        <v>0</v>
      </c>
      <c r="CU43" s="511">
        <f t="shared" si="354"/>
        <v>0</v>
      </c>
      <c r="CV43" s="511">
        <f t="shared" si="354"/>
        <v>0</v>
      </c>
      <c r="CW43" s="511">
        <f t="shared" si="109"/>
        <v>0</v>
      </c>
      <c r="CX43" s="539">
        <f t="shared" si="110"/>
        <v>0</v>
      </c>
      <c r="CY43" s="724">
        <f t="shared" si="267"/>
        <v>0</v>
      </c>
      <c r="CZ43" s="508">
        <f t="shared" si="268"/>
        <v>37200</v>
      </c>
      <c r="DA43" s="508">
        <f t="shared" si="269"/>
        <v>0</v>
      </c>
      <c r="DB43" s="508">
        <f t="shared" si="270"/>
        <v>0</v>
      </c>
      <c r="DC43" s="508">
        <f t="shared" si="271"/>
        <v>37200</v>
      </c>
      <c r="DD43" s="508">
        <f t="shared" si="272"/>
        <v>0</v>
      </c>
      <c r="DE43" s="726">
        <f t="shared" si="273"/>
        <v>0</v>
      </c>
      <c r="DF43" s="724">
        <f t="shared" si="274"/>
        <v>0</v>
      </c>
      <c r="DG43" s="509">
        <f t="shared" si="275"/>
        <v>0</v>
      </c>
      <c r="DH43" s="509">
        <f t="shared" si="276"/>
        <v>0</v>
      </c>
      <c r="DI43" s="509">
        <f t="shared" si="277"/>
        <v>0</v>
      </c>
      <c r="DJ43" s="509">
        <f t="shared" si="278"/>
        <v>0</v>
      </c>
      <c r="DK43" s="509">
        <f t="shared" si="279"/>
        <v>0</v>
      </c>
      <c r="DL43" s="451">
        <f t="shared" si="280"/>
        <v>0</v>
      </c>
      <c r="DM43" s="509">
        <f t="shared" si="281"/>
        <v>0</v>
      </c>
      <c r="DN43" s="509">
        <f t="shared" si="282"/>
        <v>2500</v>
      </c>
      <c r="DO43" s="509">
        <f t="shared" si="283"/>
        <v>0</v>
      </c>
      <c r="DP43" s="509">
        <f t="shared" si="284"/>
        <v>0</v>
      </c>
      <c r="DQ43" s="509">
        <f t="shared" si="285"/>
        <v>2500</v>
      </c>
      <c r="DR43" s="509">
        <f t="shared" si="286"/>
        <v>0</v>
      </c>
      <c r="DS43" s="450">
        <f t="shared" si="287"/>
        <v>0</v>
      </c>
      <c r="DT43" s="724">
        <f t="shared" si="288"/>
        <v>0</v>
      </c>
      <c r="DU43" s="508">
        <f t="shared" si="289"/>
        <v>0</v>
      </c>
      <c r="DV43" s="508">
        <f t="shared" si="290"/>
        <v>0</v>
      </c>
      <c r="DW43" s="508">
        <f t="shared" si="291"/>
        <v>0</v>
      </c>
      <c r="DX43" s="508">
        <f t="shared" si="292"/>
        <v>0</v>
      </c>
      <c r="DY43" s="508">
        <f t="shared" si="293"/>
        <v>0</v>
      </c>
      <c r="DZ43" s="726">
        <f t="shared" si="294"/>
        <v>0</v>
      </c>
      <c r="EA43" s="722">
        <f t="shared" si="295"/>
        <v>0</v>
      </c>
      <c r="EB43" s="511">
        <f t="shared" si="296"/>
        <v>0</v>
      </c>
      <c r="EC43" s="511">
        <f t="shared" si="297"/>
        <v>0</v>
      </c>
      <c r="ED43" s="511">
        <f t="shared" si="298"/>
        <v>0</v>
      </c>
      <c r="EE43" s="511">
        <f t="shared" si="299"/>
        <v>0</v>
      </c>
      <c r="EF43" s="511">
        <f t="shared" si="300"/>
        <v>0</v>
      </c>
      <c r="EG43" s="723">
        <f t="shared" si="301"/>
        <v>0</v>
      </c>
      <c r="EH43" s="397">
        <f t="shared" si="302"/>
        <v>0</v>
      </c>
      <c r="EI43" s="397">
        <f t="shared" si="303"/>
        <v>0</v>
      </c>
      <c r="EJ43" s="397">
        <f t="shared" si="304"/>
        <v>0</v>
      </c>
      <c r="EK43" s="397">
        <f t="shared" si="305"/>
        <v>0</v>
      </c>
      <c r="EL43" s="397">
        <f t="shared" si="306"/>
        <v>0</v>
      </c>
      <c r="EM43" s="397">
        <f t="shared" si="307"/>
        <v>0</v>
      </c>
      <c r="EN43" s="398">
        <f t="shared" si="308"/>
        <v>0</v>
      </c>
      <c r="EO43" s="722">
        <f t="shared" si="309"/>
        <v>0</v>
      </c>
      <c r="EP43" s="511">
        <f t="shared" si="310"/>
        <v>0</v>
      </c>
      <c r="EQ43" s="511">
        <f t="shared" si="311"/>
        <v>0</v>
      </c>
      <c r="ER43" s="511">
        <f t="shared" si="312"/>
        <v>0</v>
      </c>
      <c r="ES43" s="511">
        <f t="shared" si="313"/>
        <v>0</v>
      </c>
      <c r="ET43" s="511">
        <f t="shared" si="314"/>
        <v>0</v>
      </c>
      <c r="EU43" s="723">
        <f t="shared" si="315"/>
        <v>0</v>
      </c>
      <c r="EV43" s="727">
        <f t="shared" si="316"/>
        <v>1</v>
      </c>
      <c r="EW43" s="728">
        <f t="shared" si="317"/>
        <v>74400</v>
      </c>
      <c r="EX43" s="728">
        <f t="shared" si="318"/>
        <v>0</v>
      </c>
      <c r="EY43" s="728">
        <f t="shared" si="319"/>
        <v>5000</v>
      </c>
      <c r="EZ43" s="728">
        <f t="shared" si="320"/>
        <v>0</v>
      </c>
      <c r="FA43" s="777">
        <f t="shared" si="321"/>
        <v>0</v>
      </c>
      <c r="FB43" s="777">
        <f t="shared" si="322"/>
        <v>0</v>
      </c>
      <c r="FC43" s="778">
        <f t="shared" si="323"/>
        <v>0</v>
      </c>
      <c r="FE43" s="10" t="b">
        <f t="shared" si="324"/>
        <v>1</v>
      </c>
      <c r="FF43" s="10" t="b">
        <f t="shared" si="325"/>
        <v>1</v>
      </c>
      <c r="FG43" s="10" t="b">
        <f t="shared" si="326"/>
        <v>1</v>
      </c>
      <c r="FH43" s="10" t="b">
        <f t="shared" si="327"/>
        <v>1</v>
      </c>
      <c r="FI43" s="10" t="b">
        <f t="shared" si="328"/>
        <v>1</v>
      </c>
      <c r="FJ43" s="10" t="b">
        <f t="shared" si="329"/>
        <v>1</v>
      </c>
      <c r="FK43" s="10" t="b">
        <f t="shared" si="330"/>
        <v>1</v>
      </c>
      <c r="FL43" s="10" t="b">
        <f t="shared" si="350"/>
        <v>1</v>
      </c>
    </row>
    <row r="44" spans="1:170">
      <c r="A44" s="662">
        <v>39</v>
      </c>
      <c r="B44" s="789" t="s">
        <v>1309</v>
      </c>
      <c r="C44" s="789" t="s">
        <v>1310</v>
      </c>
      <c r="D44" s="789" t="s">
        <v>1304</v>
      </c>
      <c r="E44" s="789" t="s">
        <v>1290</v>
      </c>
      <c r="F44" s="789" t="s">
        <v>1290</v>
      </c>
      <c r="G44" s="704" t="s">
        <v>402</v>
      </c>
      <c r="H44" s="704">
        <v>37200</v>
      </c>
      <c r="I44" s="704">
        <v>0</v>
      </c>
      <c r="J44" s="704">
        <f t="shared" si="240"/>
        <v>37200</v>
      </c>
      <c r="K44" s="704">
        <v>0</v>
      </c>
      <c r="L44" s="704">
        <f t="shared" si="119"/>
        <v>18600</v>
      </c>
      <c r="M44" s="711" t="s">
        <v>1305</v>
      </c>
      <c r="N44" s="1024">
        <v>3000</v>
      </c>
      <c r="O44" s="1024">
        <v>3000</v>
      </c>
      <c r="P44" s="707">
        <v>0</v>
      </c>
      <c r="Q44" s="707">
        <v>0</v>
      </c>
      <c r="R44" s="1021">
        <v>0</v>
      </c>
      <c r="S44" s="872">
        <v>0</v>
      </c>
      <c r="T44" s="1022">
        <v>0</v>
      </c>
      <c r="U44" s="711" t="s">
        <v>1306</v>
      </c>
      <c r="V44" s="716">
        <v>0</v>
      </c>
      <c r="W44" s="711">
        <v>1</v>
      </c>
      <c r="X44" s="781">
        <v>0</v>
      </c>
      <c r="Y44" s="781">
        <v>0</v>
      </c>
      <c r="Z44" s="781">
        <v>0</v>
      </c>
      <c r="AA44" s="781">
        <v>0</v>
      </c>
      <c r="AB44" s="1027">
        <f t="shared" si="336"/>
        <v>0</v>
      </c>
      <c r="AC44" s="1030">
        <v>1</v>
      </c>
      <c r="AD44" s="781">
        <v>0</v>
      </c>
      <c r="AE44" s="781">
        <v>0</v>
      </c>
      <c r="AF44" s="781">
        <v>1</v>
      </c>
      <c r="AG44" s="781">
        <v>0</v>
      </c>
      <c r="AH44" s="781">
        <v>0</v>
      </c>
      <c r="AI44" s="781">
        <v>1</v>
      </c>
      <c r="AJ44" s="781">
        <v>0</v>
      </c>
      <c r="AK44" s="715" t="s">
        <v>374</v>
      </c>
      <c r="AL44" s="711" t="s">
        <v>742</v>
      </c>
      <c r="AM44" s="715" t="s">
        <v>1186</v>
      </c>
      <c r="AN44" s="715" t="s">
        <v>377</v>
      </c>
      <c r="AO44" s="711" t="s">
        <v>3</v>
      </c>
      <c r="AP44" s="715"/>
      <c r="AQ44" s="715"/>
      <c r="AR44" s="715"/>
      <c r="AS44" s="715" t="s">
        <v>744</v>
      </c>
      <c r="AT44" s="715" t="s">
        <v>745</v>
      </c>
      <c r="AU44" s="715" t="s">
        <v>746</v>
      </c>
      <c r="AV44" s="715">
        <v>15</v>
      </c>
      <c r="AW44" s="715">
        <v>15</v>
      </c>
      <c r="AX44" s="715" t="s">
        <v>769</v>
      </c>
      <c r="AY44" s="716">
        <v>1</v>
      </c>
      <c r="AZ44" s="716">
        <v>1</v>
      </c>
      <c r="BA44" s="717">
        <v>0</v>
      </c>
      <c r="BB44" s="721">
        <f t="shared" si="139"/>
        <v>37200</v>
      </c>
      <c r="BC44" s="499">
        <f t="shared" si="140"/>
        <v>37200</v>
      </c>
      <c r="BD44" s="499">
        <f t="shared" si="141"/>
        <v>37200</v>
      </c>
      <c r="BE44" s="499">
        <f t="shared" si="142"/>
        <v>37200</v>
      </c>
      <c r="BF44" s="499">
        <f t="shared" si="143"/>
        <v>37200</v>
      </c>
      <c r="BG44" s="499">
        <f t="shared" si="144"/>
        <v>37200</v>
      </c>
      <c r="BH44" s="499">
        <f t="shared" si="145"/>
        <v>37200</v>
      </c>
      <c r="BI44" s="721">
        <f t="shared" si="258"/>
        <v>0</v>
      </c>
      <c r="BJ44" s="499">
        <f t="shared" ref="BJ44:BM44" si="355">BI44</f>
        <v>0</v>
      </c>
      <c r="BK44" s="499">
        <f t="shared" si="355"/>
        <v>0</v>
      </c>
      <c r="BL44" s="499">
        <f t="shared" si="355"/>
        <v>0</v>
      </c>
      <c r="BM44" s="499">
        <f t="shared" si="355"/>
        <v>0</v>
      </c>
      <c r="BN44" s="499">
        <f t="shared" si="147"/>
        <v>0</v>
      </c>
      <c r="BO44" s="499">
        <f t="shared" si="148"/>
        <v>0</v>
      </c>
      <c r="BP44" s="721">
        <f t="shared" si="260"/>
        <v>3000</v>
      </c>
      <c r="BQ44" s="499">
        <f t="shared" si="332"/>
        <v>3000</v>
      </c>
      <c r="BR44" s="499">
        <f t="shared" si="149"/>
        <v>3000</v>
      </c>
      <c r="BS44" s="499">
        <f t="shared" si="150"/>
        <v>3000</v>
      </c>
      <c r="BT44" s="499">
        <f t="shared" si="151"/>
        <v>3000</v>
      </c>
      <c r="BU44" s="499">
        <f t="shared" si="152"/>
        <v>3000</v>
      </c>
      <c r="BV44" s="499">
        <f t="shared" si="153"/>
        <v>3000</v>
      </c>
      <c r="BW44" s="774">
        <f t="shared" si="196"/>
        <v>0</v>
      </c>
      <c r="BX44" s="503">
        <f t="shared" si="196"/>
        <v>0</v>
      </c>
      <c r="BY44" s="503">
        <f t="shared" si="196"/>
        <v>0</v>
      </c>
      <c r="BZ44" s="503">
        <f t="shared" si="196"/>
        <v>0</v>
      </c>
      <c r="CA44" s="503">
        <f t="shared" si="196"/>
        <v>0</v>
      </c>
      <c r="CB44" s="503">
        <f t="shared" si="196"/>
        <v>0</v>
      </c>
      <c r="CC44" s="503">
        <f t="shared" si="196"/>
        <v>0</v>
      </c>
      <c r="CD44" s="722">
        <f t="shared" si="261"/>
        <v>0</v>
      </c>
      <c r="CE44" s="511">
        <f t="shared" ref="CE44:CH44" si="356">CD44</f>
        <v>0</v>
      </c>
      <c r="CF44" s="511">
        <f t="shared" si="356"/>
        <v>0</v>
      </c>
      <c r="CG44" s="511">
        <f t="shared" si="356"/>
        <v>0</v>
      </c>
      <c r="CH44" s="511">
        <f t="shared" si="356"/>
        <v>0</v>
      </c>
      <c r="CI44" s="511">
        <f t="shared" si="103"/>
        <v>0</v>
      </c>
      <c r="CJ44" s="511">
        <f t="shared" si="104"/>
        <v>0</v>
      </c>
      <c r="CK44" s="722">
        <f t="shared" si="263"/>
        <v>0</v>
      </c>
      <c r="CL44" s="511">
        <f t="shared" ref="CL44:CO44" si="357">CK44</f>
        <v>0</v>
      </c>
      <c r="CM44" s="511">
        <f t="shared" si="357"/>
        <v>0</v>
      </c>
      <c r="CN44" s="511">
        <f t="shared" si="357"/>
        <v>0</v>
      </c>
      <c r="CO44" s="511">
        <f t="shared" si="357"/>
        <v>0</v>
      </c>
      <c r="CP44" s="511">
        <f t="shared" si="106"/>
        <v>0</v>
      </c>
      <c r="CQ44" s="511">
        <f t="shared" si="107"/>
        <v>0</v>
      </c>
      <c r="CR44" s="722">
        <f t="shared" si="265"/>
        <v>0</v>
      </c>
      <c r="CS44" s="511">
        <f t="shared" ref="CS44:CV44" si="358">CR44</f>
        <v>0</v>
      </c>
      <c r="CT44" s="511">
        <f t="shared" si="358"/>
        <v>0</v>
      </c>
      <c r="CU44" s="511">
        <f t="shared" si="358"/>
        <v>0</v>
      </c>
      <c r="CV44" s="511">
        <f t="shared" si="358"/>
        <v>0</v>
      </c>
      <c r="CW44" s="511">
        <f t="shared" si="109"/>
        <v>0</v>
      </c>
      <c r="CX44" s="539">
        <f t="shared" si="110"/>
        <v>0</v>
      </c>
      <c r="CY44" s="724">
        <f t="shared" si="267"/>
        <v>0</v>
      </c>
      <c r="CZ44" s="508">
        <f t="shared" si="268"/>
        <v>0</v>
      </c>
      <c r="DA44" s="508">
        <f t="shared" si="269"/>
        <v>37200</v>
      </c>
      <c r="DB44" s="508">
        <f t="shared" si="270"/>
        <v>0</v>
      </c>
      <c r="DC44" s="508">
        <f t="shared" si="271"/>
        <v>0</v>
      </c>
      <c r="DD44" s="508">
        <f t="shared" si="272"/>
        <v>37200</v>
      </c>
      <c r="DE44" s="726">
        <f t="shared" si="273"/>
        <v>0</v>
      </c>
      <c r="DF44" s="724">
        <f t="shared" si="274"/>
        <v>0</v>
      </c>
      <c r="DG44" s="509">
        <f t="shared" si="275"/>
        <v>0</v>
      </c>
      <c r="DH44" s="509">
        <f t="shared" si="276"/>
        <v>0</v>
      </c>
      <c r="DI44" s="509">
        <f t="shared" si="277"/>
        <v>0</v>
      </c>
      <c r="DJ44" s="509">
        <f t="shared" si="278"/>
        <v>0</v>
      </c>
      <c r="DK44" s="509">
        <f t="shared" si="279"/>
        <v>0</v>
      </c>
      <c r="DL44" s="451">
        <f t="shared" si="280"/>
        <v>0</v>
      </c>
      <c r="DM44" s="509">
        <f t="shared" si="281"/>
        <v>0</v>
      </c>
      <c r="DN44" s="509">
        <f t="shared" si="282"/>
        <v>0</v>
      </c>
      <c r="DO44" s="509">
        <f t="shared" si="283"/>
        <v>3000</v>
      </c>
      <c r="DP44" s="509">
        <f t="shared" si="284"/>
        <v>0</v>
      </c>
      <c r="DQ44" s="509">
        <f t="shared" si="285"/>
        <v>0</v>
      </c>
      <c r="DR44" s="509">
        <f t="shared" si="286"/>
        <v>3000</v>
      </c>
      <c r="DS44" s="450">
        <f t="shared" si="287"/>
        <v>0</v>
      </c>
      <c r="DT44" s="724">
        <f t="shared" si="288"/>
        <v>0</v>
      </c>
      <c r="DU44" s="508">
        <f t="shared" si="289"/>
        <v>0</v>
      </c>
      <c r="DV44" s="508">
        <f t="shared" si="290"/>
        <v>0</v>
      </c>
      <c r="DW44" s="508">
        <f t="shared" si="291"/>
        <v>0</v>
      </c>
      <c r="DX44" s="508">
        <f t="shared" si="292"/>
        <v>0</v>
      </c>
      <c r="DY44" s="508">
        <f t="shared" si="293"/>
        <v>0</v>
      </c>
      <c r="DZ44" s="726">
        <f t="shared" si="294"/>
        <v>0</v>
      </c>
      <c r="EA44" s="722">
        <f t="shared" si="295"/>
        <v>0</v>
      </c>
      <c r="EB44" s="511">
        <f t="shared" si="296"/>
        <v>0</v>
      </c>
      <c r="EC44" s="511">
        <f t="shared" si="297"/>
        <v>0</v>
      </c>
      <c r="ED44" s="511">
        <f t="shared" si="298"/>
        <v>0</v>
      </c>
      <c r="EE44" s="511">
        <f t="shared" si="299"/>
        <v>0</v>
      </c>
      <c r="EF44" s="511">
        <f t="shared" si="300"/>
        <v>0</v>
      </c>
      <c r="EG44" s="723">
        <f t="shared" si="301"/>
        <v>0</v>
      </c>
      <c r="EH44" s="397">
        <f t="shared" si="302"/>
        <v>0</v>
      </c>
      <c r="EI44" s="397">
        <f t="shared" si="303"/>
        <v>0</v>
      </c>
      <c r="EJ44" s="397">
        <f t="shared" si="304"/>
        <v>0</v>
      </c>
      <c r="EK44" s="397">
        <f t="shared" si="305"/>
        <v>0</v>
      </c>
      <c r="EL44" s="397">
        <f t="shared" si="306"/>
        <v>0</v>
      </c>
      <c r="EM44" s="397">
        <f t="shared" si="307"/>
        <v>0</v>
      </c>
      <c r="EN44" s="398">
        <f t="shared" si="308"/>
        <v>0</v>
      </c>
      <c r="EO44" s="722">
        <f t="shared" si="309"/>
        <v>0</v>
      </c>
      <c r="EP44" s="511">
        <f t="shared" si="310"/>
        <v>0</v>
      </c>
      <c r="EQ44" s="511">
        <f t="shared" si="311"/>
        <v>0</v>
      </c>
      <c r="ER44" s="511">
        <f t="shared" si="312"/>
        <v>0</v>
      </c>
      <c r="ES44" s="511">
        <f t="shared" si="313"/>
        <v>0</v>
      </c>
      <c r="ET44" s="511">
        <f t="shared" si="314"/>
        <v>0</v>
      </c>
      <c r="EU44" s="723">
        <f t="shared" si="315"/>
        <v>0</v>
      </c>
      <c r="EV44" s="727">
        <f t="shared" si="316"/>
        <v>1</v>
      </c>
      <c r="EW44" s="728">
        <f t="shared" si="317"/>
        <v>74400</v>
      </c>
      <c r="EX44" s="728">
        <f t="shared" si="318"/>
        <v>0</v>
      </c>
      <c r="EY44" s="728">
        <f t="shared" si="319"/>
        <v>6000</v>
      </c>
      <c r="EZ44" s="728">
        <f t="shared" si="320"/>
        <v>0</v>
      </c>
      <c r="FA44" s="777">
        <f t="shared" si="321"/>
        <v>0</v>
      </c>
      <c r="FB44" s="777">
        <f t="shared" si="322"/>
        <v>0</v>
      </c>
      <c r="FC44" s="778">
        <f t="shared" si="323"/>
        <v>0</v>
      </c>
      <c r="FE44" s="10" t="b">
        <f t="shared" si="324"/>
        <v>1</v>
      </c>
      <c r="FF44" s="10" t="b">
        <f t="shared" si="325"/>
        <v>1</v>
      </c>
      <c r="FG44" s="10" t="b">
        <f t="shared" si="326"/>
        <v>1</v>
      </c>
      <c r="FH44" s="10" t="b">
        <f t="shared" si="327"/>
        <v>1</v>
      </c>
      <c r="FI44" s="10" t="b">
        <f t="shared" si="328"/>
        <v>1</v>
      </c>
      <c r="FJ44" s="10" t="b">
        <f t="shared" si="329"/>
        <v>1</v>
      </c>
      <c r="FK44" s="10" t="b">
        <f t="shared" si="330"/>
        <v>1</v>
      </c>
      <c r="FL44" s="10" t="b">
        <f t="shared" si="350"/>
        <v>1</v>
      </c>
    </row>
    <row r="45" spans="1:170">
      <c r="A45" s="662">
        <v>40</v>
      </c>
      <c r="B45" s="789" t="s">
        <v>1311</v>
      </c>
      <c r="C45" s="789" t="s">
        <v>1312</v>
      </c>
      <c r="D45" s="789" t="s">
        <v>1304</v>
      </c>
      <c r="E45" s="789" t="s">
        <v>1290</v>
      </c>
      <c r="F45" s="789" t="s">
        <v>1290</v>
      </c>
      <c r="G45" s="704" t="s">
        <v>402</v>
      </c>
      <c r="H45" s="704">
        <v>37200</v>
      </c>
      <c r="I45" s="704">
        <v>0</v>
      </c>
      <c r="J45" s="704">
        <f t="shared" si="240"/>
        <v>37200</v>
      </c>
      <c r="K45" s="704">
        <v>0</v>
      </c>
      <c r="L45" s="704">
        <f t="shared" si="119"/>
        <v>18600</v>
      </c>
      <c r="M45" s="711" t="s">
        <v>1305</v>
      </c>
      <c r="N45" s="1024">
        <v>3500</v>
      </c>
      <c r="O45" s="1024">
        <v>3500</v>
      </c>
      <c r="P45" s="707">
        <v>0</v>
      </c>
      <c r="Q45" s="707">
        <v>0</v>
      </c>
      <c r="R45" s="1021">
        <v>0</v>
      </c>
      <c r="S45" s="872">
        <v>0</v>
      </c>
      <c r="T45" s="1022">
        <v>0</v>
      </c>
      <c r="U45" s="711" t="s">
        <v>1306</v>
      </c>
      <c r="V45" s="716">
        <v>0</v>
      </c>
      <c r="W45" s="711">
        <v>1</v>
      </c>
      <c r="X45" s="781">
        <v>1</v>
      </c>
      <c r="Y45" s="781">
        <v>0</v>
      </c>
      <c r="Z45" s="781">
        <v>0</v>
      </c>
      <c r="AA45" s="781">
        <v>0</v>
      </c>
      <c r="AB45" s="1027">
        <f t="shared" si="336"/>
        <v>0</v>
      </c>
      <c r="AC45" s="1030">
        <v>0</v>
      </c>
      <c r="AD45" s="781">
        <v>1</v>
      </c>
      <c r="AE45" s="781">
        <v>0</v>
      </c>
      <c r="AF45" s="781">
        <v>0</v>
      </c>
      <c r="AG45" s="781">
        <v>1</v>
      </c>
      <c r="AH45" s="781">
        <v>0</v>
      </c>
      <c r="AI45" s="781">
        <v>0</v>
      </c>
      <c r="AJ45" s="781">
        <v>1</v>
      </c>
      <c r="AK45" s="715" t="s">
        <v>374</v>
      </c>
      <c r="AL45" s="711" t="s">
        <v>742</v>
      </c>
      <c r="AM45" s="715" t="s">
        <v>1186</v>
      </c>
      <c r="AN45" s="715" t="s">
        <v>377</v>
      </c>
      <c r="AO45" s="711" t="s">
        <v>3</v>
      </c>
      <c r="AP45" s="715"/>
      <c r="AQ45" s="715"/>
      <c r="AR45" s="715"/>
      <c r="AS45" s="715" t="s">
        <v>744</v>
      </c>
      <c r="AT45" s="715" t="s">
        <v>745</v>
      </c>
      <c r="AU45" s="715" t="s">
        <v>746</v>
      </c>
      <c r="AV45" s="715">
        <v>15</v>
      </c>
      <c r="AW45" s="715">
        <v>15</v>
      </c>
      <c r="AX45" s="715" t="s">
        <v>769</v>
      </c>
      <c r="AY45" s="716">
        <v>1</v>
      </c>
      <c r="AZ45" s="716">
        <v>1</v>
      </c>
      <c r="BA45" s="717">
        <v>0</v>
      </c>
      <c r="BB45" s="721">
        <f t="shared" si="139"/>
        <v>37200</v>
      </c>
      <c r="BC45" s="499">
        <f t="shared" si="140"/>
        <v>37200</v>
      </c>
      <c r="BD45" s="499">
        <f t="shared" si="141"/>
        <v>37200</v>
      </c>
      <c r="BE45" s="499">
        <f t="shared" si="142"/>
        <v>37200</v>
      </c>
      <c r="BF45" s="499">
        <f t="shared" si="143"/>
        <v>37200</v>
      </c>
      <c r="BG45" s="499">
        <f t="shared" si="144"/>
        <v>37200</v>
      </c>
      <c r="BH45" s="499">
        <f t="shared" si="145"/>
        <v>37200</v>
      </c>
      <c r="BI45" s="721">
        <f t="shared" si="258"/>
        <v>0</v>
      </c>
      <c r="BJ45" s="499">
        <f t="shared" ref="BJ45:BM45" si="359">BI45</f>
        <v>0</v>
      </c>
      <c r="BK45" s="499">
        <f t="shared" si="359"/>
        <v>0</v>
      </c>
      <c r="BL45" s="499">
        <f t="shared" si="359"/>
        <v>0</v>
      </c>
      <c r="BM45" s="499">
        <f t="shared" si="359"/>
        <v>0</v>
      </c>
      <c r="BN45" s="499">
        <f t="shared" si="147"/>
        <v>0</v>
      </c>
      <c r="BO45" s="499">
        <f t="shared" si="148"/>
        <v>0</v>
      </c>
      <c r="BP45" s="721">
        <f t="shared" si="260"/>
        <v>3500</v>
      </c>
      <c r="BQ45" s="499">
        <f t="shared" si="332"/>
        <v>3500</v>
      </c>
      <c r="BR45" s="499">
        <f t="shared" si="149"/>
        <v>3500</v>
      </c>
      <c r="BS45" s="499">
        <f t="shared" si="150"/>
        <v>3500</v>
      </c>
      <c r="BT45" s="499">
        <f t="shared" si="151"/>
        <v>3500</v>
      </c>
      <c r="BU45" s="499">
        <f t="shared" si="152"/>
        <v>3500</v>
      </c>
      <c r="BV45" s="499">
        <f t="shared" si="153"/>
        <v>3500</v>
      </c>
      <c r="BW45" s="774">
        <f t="shared" si="196"/>
        <v>0</v>
      </c>
      <c r="BX45" s="503">
        <f t="shared" si="196"/>
        <v>0</v>
      </c>
      <c r="BY45" s="503">
        <f t="shared" si="196"/>
        <v>0</v>
      </c>
      <c r="BZ45" s="503">
        <f t="shared" si="196"/>
        <v>0</v>
      </c>
      <c r="CA45" s="503">
        <f t="shared" si="196"/>
        <v>0</v>
      </c>
      <c r="CB45" s="503">
        <f t="shared" si="196"/>
        <v>0</v>
      </c>
      <c r="CC45" s="503">
        <f t="shared" si="196"/>
        <v>0</v>
      </c>
      <c r="CD45" s="722">
        <f t="shared" si="261"/>
        <v>0</v>
      </c>
      <c r="CE45" s="511">
        <f t="shared" ref="CE45:CH45" si="360">CD45</f>
        <v>0</v>
      </c>
      <c r="CF45" s="511">
        <f t="shared" si="360"/>
        <v>0</v>
      </c>
      <c r="CG45" s="511">
        <f t="shared" si="360"/>
        <v>0</v>
      </c>
      <c r="CH45" s="511">
        <f t="shared" si="360"/>
        <v>0</v>
      </c>
      <c r="CI45" s="511">
        <f t="shared" si="103"/>
        <v>0</v>
      </c>
      <c r="CJ45" s="511">
        <f t="shared" si="104"/>
        <v>0</v>
      </c>
      <c r="CK45" s="722">
        <f t="shared" si="263"/>
        <v>0</v>
      </c>
      <c r="CL45" s="511">
        <f t="shared" ref="CL45:CO45" si="361">CK45</f>
        <v>0</v>
      </c>
      <c r="CM45" s="511">
        <f t="shared" si="361"/>
        <v>0</v>
      </c>
      <c r="CN45" s="511">
        <f t="shared" si="361"/>
        <v>0</v>
      </c>
      <c r="CO45" s="511">
        <f t="shared" si="361"/>
        <v>0</v>
      </c>
      <c r="CP45" s="511">
        <f t="shared" si="106"/>
        <v>0</v>
      </c>
      <c r="CQ45" s="511">
        <f t="shared" si="107"/>
        <v>0</v>
      </c>
      <c r="CR45" s="722">
        <f t="shared" si="265"/>
        <v>0</v>
      </c>
      <c r="CS45" s="511">
        <f t="shared" ref="CS45:CV45" si="362">CR45</f>
        <v>0</v>
      </c>
      <c r="CT45" s="511">
        <f t="shared" si="362"/>
        <v>0</v>
      </c>
      <c r="CU45" s="511">
        <f t="shared" si="362"/>
        <v>0</v>
      </c>
      <c r="CV45" s="511">
        <f t="shared" si="362"/>
        <v>0</v>
      </c>
      <c r="CW45" s="511">
        <f t="shared" si="109"/>
        <v>0</v>
      </c>
      <c r="CX45" s="539">
        <f t="shared" si="110"/>
        <v>0</v>
      </c>
      <c r="CY45" s="724">
        <f t="shared" si="267"/>
        <v>37200</v>
      </c>
      <c r="CZ45" s="508">
        <f t="shared" si="268"/>
        <v>0</v>
      </c>
      <c r="DA45" s="508">
        <f t="shared" si="269"/>
        <v>0</v>
      </c>
      <c r="DB45" s="508">
        <f t="shared" si="270"/>
        <v>37200</v>
      </c>
      <c r="DC45" s="508">
        <f t="shared" si="271"/>
        <v>0</v>
      </c>
      <c r="DD45" s="508">
        <f t="shared" si="272"/>
        <v>0</v>
      </c>
      <c r="DE45" s="726">
        <f t="shared" si="273"/>
        <v>37200</v>
      </c>
      <c r="DF45" s="724">
        <f t="shared" si="274"/>
        <v>0</v>
      </c>
      <c r="DG45" s="509">
        <f t="shared" si="275"/>
        <v>0</v>
      </c>
      <c r="DH45" s="509">
        <f t="shared" si="276"/>
        <v>0</v>
      </c>
      <c r="DI45" s="509">
        <f t="shared" si="277"/>
        <v>0</v>
      </c>
      <c r="DJ45" s="509">
        <f t="shared" si="278"/>
        <v>0</v>
      </c>
      <c r="DK45" s="509">
        <f t="shared" si="279"/>
        <v>0</v>
      </c>
      <c r="DL45" s="451">
        <f t="shared" si="280"/>
        <v>0</v>
      </c>
      <c r="DM45" s="509">
        <f t="shared" si="281"/>
        <v>3500</v>
      </c>
      <c r="DN45" s="509">
        <f t="shared" si="282"/>
        <v>0</v>
      </c>
      <c r="DO45" s="509">
        <f t="shared" si="283"/>
        <v>0</v>
      </c>
      <c r="DP45" s="509">
        <f t="shared" si="284"/>
        <v>3500</v>
      </c>
      <c r="DQ45" s="509">
        <f t="shared" si="285"/>
        <v>0</v>
      </c>
      <c r="DR45" s="509">
        <f t="shared" si="286"/>
        <v>0</v>
      </c>
      <c r="DS45" s="450">
        <f t="shared" si="287"/>
        <v>3500</v>
      </c>
      <c r="DT45" s="724">
        <f t="shared" si="288"/>
        <v>0</v>
      </c>
      <c r="DU45" s="508">
        <f t="shared" si="289"/>
        <v>0</v>
      </c>
      <c r="DV45" s="508">
        <f t="shared" si="290"/>
        <v>0</v>
      </c>
      <c r="DW45" s="508">
        <f t="shared" si="291"/>
        <v>0</v>
      </c>
      <c r="DX45" s="508">
        <f t="shared" si="292"/>
        <v>0</v>
      </c>
      <c r="DY45" s="508">
        <f t="shared" si="293"/>
        <v>0</v>
      </c>
      <c r="DZ45" s="726">
        <f t="shared" si="294"/>
        <v>0</v>
      </c>
      <c r="EA45" s="722">
        <f t="shared" si="295"/>
        <v>0</v>
      </c>
      <c r="EB45" s="511">
        <f t="shared" si="296"/>
        <v>0</v>
      </c>
      <c r="EC45" s="511">
        <f t="shared" si="297"/>
        <v>0</v>
      </c>
      <c r="ED45" s="511">
        <f t="shared" si="298"/>
        <v>0</v>
      </c>
      <c r="EE45" s="511">
        <f t="shared" si="299"/>
        <v>0</v>
      </c>
      <c r="EF45" s="511">
        <f t="shared" si="300"/>
        <v>0</v>
      </c>
      <c r="EG45" s="723">
        <f t="shared" si="301"/>
        <v>0</v>
      </c>
      <c r="EH45" s="397">
        <f t="shared" si="302"/>
        <v>0</v>
      </c>
      <c r="EI45" s="397">
        <f t="shared" si="303"/>
        <v>0</v>
      </c>
      <c r="EJ45" s="397">
        <f t="shared" si="304"/>
        <v>0</v>
      </c>
      <c r="EK45" s="397">
        <f t="shared" si="305"/>
        <v>0</v>
      </c>
      <c r="EL45" s="397">
        <f t="shared" si="306"/>
        <v>0</v>
      </c>
      <c r="EM45" s="397">
        <f t="shared" si="307"/>
        <v>0</v>
      </c>
      <c r="EN45" s="398">
        <f t="shared" si="308"/>
        <v>0</v>
      </c>
      <c r="EO45" s="722">
        <f t="shared" si="309"/>
        <v>0</v>
      </c>
      <c r="EP45" s="511">
        <f t="shared" si="310"/>
        <v>0</v>
      </c>
      <c r="EQ45" s="511">
        <f t="shared" si="311"/>
        <v>0</v>
      </c>
      <c r="ER45" s="511">
        <f t="shared" si="312"/>
        <v>0</v>
      </c>
      <c r="ES45" s="511">
        <f t="shared" si="313"/>
        <v>0</v>
      </c>
      <c r="ET45" s="511">
        <f t="shared" si="314"/>
        <v>0</v>
      </c>
      <c r="EU45" s="723">
        <f t="shared" si="315"/>
        <v>0</v>
      </c>
      <c r="EV45" s="727">
        <f t="shared" si="316"/>
        <v>1</v>
      </c>
      <c r="EW45" s="728">
        <f t="shared" si="317"/>
        <v>111600</v>
      </c>
      <c r="EX45" s="728">
        <f t="shared" si="318"/>
        <v>0</v>
      </c>
      <c r="EY45" s="728">
        <f t="shared" si="319"/>
        <v>10500</v>
      </c>
      <c r="EZ45" s="728">
        <f t="shared" si="320"/>
        <v>0</v>
      </c>
      <c r="FA45" s="777">
        <f t="shared" si="321"/>
        <v>0</v>
      </c>
      <c r="FB45" s="777">
        <f t="shared" si="322"/>
        <v>0</v>
      </c>
      <c r="FC45" s="778">
        <f t="shared" si="323"/>
        <v>0</v>
      </c>
      <c r="FE45" s="10" t="b">
        <f t="shared" si="324"/>
        <v>1</v>
      </c>
      <c r="FF45" s="10" t="b">
        <f t="shared" si="325"/>
        <v>1</v>
      </c>
      <c r="FG45" s="10" t="b">
        <f t="shared" si="326"/>
        <v>1</v>
      </c>
      <c r="FH45" s="10" t="b">
        <f t="shared" si="327"/>
        <v>1</v>
      </c>
      <c r="FI45" s="10" t="b">
        <f t="shared" si="328"/>
        <v>1</v>
      </c>
      <c r="FJ45" s="10" t="b">
        <f t="shared" si="329"/>
        <v>1</v>
      </c>
      <c r="FK45" s="10" t="b">
        <f t="shared" si="330"/>
        <v>1</v>
      </c>
      <c r="FL45" s="10" t="b">
        <f t="shared" si="350"/>
        <v>1</v>
      </c>
    </row>
    <row r="46" spans="1:170">
      <c r="A46" s="662">
        <v>41</v>
      </c>
      <c r="B46" s="789" t="s">
        <v>1313</v>
      </c>
      <c r="C46" s="789" t="s">
        <v>1303</v>
      </c>
      <c r="D46" s="789" t="s">
        <v>1304</v>
      </c>
      <c r="E46" s="789" t="s">
        <v>1290</v>
      </c>
      <c r="F46" s="789" t="s">
        <v>1290</v>
      </c>
      <c r="G46" s="704" t="s">
        <v>402</v>
      </c>
      <c r="H46" s="704">
        <v>37200</v>
      </c>
      <c r="I46" s="704">
        <v>0</v>
      </c>
      <c r="J46" s="704">
        <f t="shared" si="240"/>
        <v>37200</v>
      </c>
      <c r="K46" s="704">
        <v>0</v>
      </c>
      <c r="L46" s="704">
        <f t="shared" si="119"/>
        <v>18600</v>
      </c>
      <c r="M46" s="711" t="s">
        <v>1305</v>
      </c>
      <c r="N46" s="1024">
        <v>4000</v>
      </c>
      <c r="O46" s="1024">
        <v>4000</v>
      </c>
      <c r="P46" s="707">
        <v>0</v>
      </c>
      <c r="Q46" s="707">
        <v>0</v>
      </c>
      <c r="R46" s="1021">
        <v>0</v>
      </c>
      <c r="S46" s="872">
        <v>0</v>
      </c>
      <c r="T46" s="1022">
        <v>0</v>
      </c>
      <c r="U46" s="711" t="s">
        <v>1306</v>
      </c>
      <c r="V46" s="716">
        <v>0</v>
      </c>
      <c r="W46" s="711">
        <v>1</v>
      </c>
      <c r="X46" s="781">
        <v>0</v>
      </c>
      <c r="Y46" s="781">
        <v>0</v>
      </c>
      <c r="Z46" s="781">
        <v>0</v>
      </c>
      <c r="AA46" s="781">
        <v>0</v>
      </c>
      <c r="AB46" s="1027">
        <f t="shared" si="336"/>
        <v>0</v>
      </c>
      <c r="AC46" s="1030">
        <v>0</v>
      </c>
      <c r="AD46" s="781">
        <v>0</v>
      </c>
      <c r="AE46" s="781">
        <v>1</v>
      </c>
      <c r="AF46" s="781">
        <v>0</v>
      </c>
      <c r="AG46" s="781">
        <v>0</v>
      </c>
      <c r="AH46" s="781">
        <v>1</v>
      </c>
      <c r="AI46" s="781">
        <v>0</v>
      </c>
      <c r="AJ46" s="781">
        <v>0</v>
      </c>
      <c r="AK46" s="715" t="s">
        <v>374</v>
      </c>
      <c r="AL46" s="711" t="s">
        <v>742</v>
      </c>
      <c r="AM46" s="715" t="s">
        <v>1186</v>
      </c>
      <c r="AN46" s="715" t="s">
        <v>377</v>
      </c>
      <c r="AO46" s="711" t="s">
        <v>3</v>
      </c>
      <c r="AP46" s="715"/>
      <c r="AQ46" s="715"/>
      <c r="AR46" s="715"/>
      <c r="AS46" s="715" t="s">
        <v>744</v>
      </c>
      <c r="AT46" s="715" t="s">
        <v>745</v>
      </c>
      <c r="AU46" s="715" t="s">
        <v>746</v>
      </c>
      <c r="AV46" s="715">
        <v>15</v>
      </c>
      <c r="AW46" s="715">
        <v>15</v>
      </c>
      <c r="AX46" s="715" t="s">
        <v>769</v>
      </c>
      <c r="AY46" s="716">
        <v>1</v>
      </c>
      <c r="AZ46" s="716">
        <v>1</v>
      </c>
      <c r="BA46" s="717">
        <v>0</v>
      </c>
      <c r="BB46" s="721">
        <f t="shared" si="139"/>
        <v>37200</v>
      </c>
      <c r="BC46" s="499">
        <f t="shared" si="140"/>
        <v>37200</v>
      </c>
      <c r="BD46" s="499">
        <f t="shared" si="141"/>
        <v>37200</v>
      </c>
      <c r="BE46" s="499">
        <f t="shared" si="142"/>
        <v>37200</v>
      </c>
      <c r="BF46" s="499">
        <f t="shared" si="143"/>
        <v>37200</v>
      </c>
      <c r="BG46" s="499">
        <f t="shared" si="144"/>
        <v>37200</v>
      </c>
      <c r="BH46" s="499">
        <f t="shared" si="145"/>
        <v>37200</v>
      </c>
      <c r="BI46" s="721">
        <f t="shared" si="258"/>
        <v>0</v>
      </c>
      <c r="BJ46" s="499">
        <f t="shared" ref="BJ46:BM46" si="363">BI46</f>
        <v>0</v>
      </c>
      <c r="BK46" s="499">
        <f t="shared" si="363"/>
        <v>0</v>
      </c>
      <c r="BL46" s="499">
        <f t="shared" si="363"/>
        <v>0</v>
      </c>
      <c r="BM46" s="499">
        <f t="shared" si="363"/>
        <v>0</v>
      </c>
      <c r="BN46" s="499">
        <f t="shared" si="147"/>
        <v>0</v>
      </c>
      <c r="BO46" s="499">
        <f t="shared" si="148"/>
        <v>0</v>
      </c>
      <c r="BP46" s="721">
        <f t="shared" si="260"/>
        <v>4000</v>
      </c>
      <c r="BQ46" s="499">
        <f t="shared" si="332"/>
        <v>4000</v>
      </c>
      <c r="BR46" s="499">
        <f t="shared" si="149"/>
        <v>4000</v>
      </c>
      <c r="BS46" s="499">
        <f t="shared" si="150"/>
        <v>4000</v>
      </c>
      <c r="BT46" s="499">
        <f t="shared" si="151"/>
        <v>4000</v>
      </c>
      <c r="BU46" s="499">
        <f t="shared" si="152"/>
        <v>4000</v>
      </c>
      <c r="BV46" s="499">
        <f t="shared" si="153"/>
        <v>4000</v>
      </c>
      <c r="BW46" s="774">
        <f t="shared" si="196"/>
        <v>0</v>
      </c>
      <c r="BX46" s="503">
        <f t="shared" si="196"/>
        <v>0</v>
      </c>
      <c r="BY46" s="503">
        <f t="shared" si="196"/>
        <v>0</v>
      </c>
      <c r="BZ46" s="503">
        <f t="shared" si="196"/>
        <v>0</v>
      </c>
      <c r="CA46" s="503">
        <f t="shared" si="196"/>
        <v>0</v>
      </c>
      <c r="CB46" s="503">
        <f t="shared" si="196"/>
        <v>0</v>
      </c>
      <c r="CC46" s="503">
        <f t="shared" si="196"/>
        <v>0</v>
      </c>
      <c r="CD46" s="722">
        <f t="shared" si="261"/>
        <v>0</v>
      </c>
      <c r="CE46" s="511">
        <f t="shared" ref="CE46:CH46" si="364">CD46</f>
        <v>0</v>
      </c>
      <c r="CF46" s="511">
        <f t="shared" si="364"/>
        <v>0</v>
      </c>
      <c r="CG46" s="511">
        <f t="shared" si="364"/>
        <v>0</v>
      </c>
      <c r="CH46" s="511">
        <f t="shared" si="364"/>
        <v>0</v>
      </c>
      <c r="CI46" s="511">
        <f t="shared" si="103"/>
        <v>0</v>
      </c>
      <c r="CJ46" s="511">
        <f t="shared" si="104"/>
        <v>0</v>
      </c>
      <c r="CK46" s="722">
        <f t="shared" si="263"/>
        <v>0</v>
      </c>
      <c r="CL46" s="511">
        <f t="shared" ref="CL46:CO46" si="365">CK46</f>
        <v>0</v>
      </c>
      <c r="CM46" s="511">
        <f t="shared" si="365"/>
        <v>0</v>
      </c>
      <c r="CN46" s="511">
        <f t="shared" si="365"/>
        <v>0</v>
      </c>
      <c r="CO46" s="511">
        <f t="shared" si="365"/>
        <v>0</v>
      </c>
      <c r="CP46" s="511">
        <f t="shared" si="106"/>
        <v>0</v>
      </c>
      <c r="CQ46" s="511">
        <f t="shared" si="107"/>
        <v>0</v>
      </c>
      <c r="CR46" s="722">
        <f t="shared" si="265"/>
        <v>0</v>
      </c>
      <c r="CS46" s="511">
        <f t="shared" ref="CS46:CV46" si="366">CR46</f>
        <v>0</v>
      </c>
      <c r="CT46" s="511">
        <f t="shared" si="366"/>
        <v>0</v>
      </c>
      <c r="CU46" s="511">
        <f t="shared" si="366"/>
        <v>0</v>
      </c>
      <c r="CV46" s="511">
        <f t="shared" si="366"/>
        <v>0</v>
      </c>
      <c r="CW46" s="511">
        <f t="shared" si="109"/>
        <v>0</v>
      </c>
      <c r="CX46" s="539">
        <f t="shared" si="110"/>
        <v>0</v>
      </c>
      <c r="CY46" s="724">
        <f t="shared" si="267"/>
        <v>0</v>
      </c>
      <c r="CZ46" s="508">
        <f t="shared" si="268"/>
        <v>37200</v>
      </c>
      <c r="DA46" s="508">
        <f t="shared" si="269"/>
        <v>0</v>
      </c>
      <c r="DB46" s="508">
        <f t="shared" si="270"/>
        <v>0</v>
      </c>
      <c r="DC46" s="508">
        <f t="shared" si="271"/>
        <v>37200</v>
      </c>
      <c r="DD46" s="508">
        <f t="shared" si="272"/>
        <v>0</v>
      </c>
      <c r="DE46" s="726">
        <f t="shared" si="273"/>
        <v>0</v>
      </c>
      <c r="DF46" s="724">
        <f t="shared" si="274"/>
        <v>0</v>
      </c>
      <c r="DG46" s="509">
        <f t="shared" si="275"/>
        <v>0</v>
      </c>
      <c r="DH46" s="509">
        <f t="shared" si="276"/>
        <v>0</v>
      </c>
      <c r="DI46" s="509">
        <f t="shared" si="277"/>
        <v>0</v>
      </c>
      <c r="DJ46" s="509">
        <f t="shared" si="278"/>
        <v>0</v>
      </c>
      <c r="DK46" s="509">
        <f t="shared" si="279"/>
        <v>0</v>
      </c>
      <c r="DL46" s="451">
        <f t="shared" si="280"/>
        <v>0</v>
      </c>
      <c r="DM46" s="509">
        <f t="shared" si="281"/>
        <v>0</v>
      </c>
      <c r="DN46" s="509">
        <f t="shared" si="282"/>
        <v>4000</v>
      </c>
      <c r="DO46" s="509">
        <f t="shared" si="283"/>
        <v>0</v>
      </c>
      <c r="DP46" s="509">
        <f t="shared" si="284"/>
        <v>0</v>
      </c>
      <c r="DQ46" s="509">
        <f t="shared" si="285"/>
        <v>4000</v>
      </c>
      <c r="DR46" s="509">
        <f t="shared" si="286"/>
        <v>0</v>
      </c>
      <c r="DS46" s="450">
        <f t="shared" si="287"/>
        <v>0</v>
      </c>
      <c r="DT46" s="724">
        <f t="shared" si="288"/>
        <v>0</v>
      </c>
      <c r="DU46" s="508">
        <f t="shared" si="289"/>
        <v>0</v>
      </c>
      <c r="DV46" s="508">
        <f t="shared" si="290"/>
        <v>0</v>
      </c>
      <c r="DW46" s="508">
        <f t="shared" si="291"/>
        <v>0</v>
      </c>
      <c r="DX46" s="508">
        <f t="shared" si="292"/>
        <v>0</v>
      </c>
      <c r="DY46" s="508">
        <f t="shared" si="293"/>
        <v>0</v>
      </c>
      <c r="DZ46" s="726">
        <f t="shared" si="294"/>
        <v>0</v>
      </c>
      <c r="EA46" s="722">
        <f t="shared" si="295"/>
        <v>0</v>
      </c>
      <c r="EB46" s="511">
        <f t="shared" si="296"/>
        <v>0</v>
      </c>
      <c r="EC46" s="511">
        <f t="shared" si="297"/>
        <v>0</v>
      </c>
      <c r="ED46" s="511">
        <f t="shared" si="298"/>
        <v>0</v>
      </c>
      <c r="EE46" s="511">
        <f t="shared" si="299"/>
        <v>0</v>
      </c>
      <c r="EF46" s="511">
        <f t="shared" si="300"/>
        <v>0</v>
      </c>
      <c r="EG46" s="723">
        <f t="shared" si="301"/>
        <v>0</v>
      </c>
      <c r="EH46" s="397">
        <f t="shared" si="302"/>
        <v>0</v>
      </c>
      <c r="EI46" s="397">
        <f t="shared" si="303"/>
        <v>0</v>
      </c>
      <c r="EJ46" s="397">
        <f t="shared" si="304"/>
        <v>0</v>
      </c>
      <c r="EK46" s="397">
        <f t="shared" si="305"/>
        <v>0</v>
      </c>
      <c r="EL46" s="397">
        <f t="shared" si="306"/>
        <v>0</v>
      </c>
      <c r="EM46" s="397">
        <f t="shared" si="307"/>
        <v>0</v>
      </c>
      <c r="EN46" s="398">
        <f t="shared" si="308"/>
        <v>0</v>
      </c>
      <c r="EO46" s="722">
        <f t="shared" si="309"/>
        <v>0</v>
      </c>
      <c r="EP46" s="511">
        <f t="shared" si="310"/>
        <v>0</v>
      </c>
      <c r="EQ46" s="511">
        <f t="shared" si="311"/>
        <v>0</v>
      </c>
      <c r="ER46" s="511">
        <f t="shared" si="312"/>
        <v>0</v>
      </c>
      <c r="ES46" s="511">
        <f t="shared" si="313"/>
        <v>0</v>
      </c>
      <c r="ET46" s="511">
        <f t="shared" si="314"/>
        <v>0</v>
      </c>
      <c r="EU46" s="723">
        <f t="shared" si="315"/>
        <v>0</v>
      </c>
      <c r="EV46" s="727">
        <f t="shared" si="316"/>
        <v>1</v>
      </c>
      <c r="EW46" s="728">
        <f t="shared" si="317"/>
        <v>74400</v>
      </c>
      <c r="EX46" s="728">
        <f t="shared" si="318"/>
        <v>0</v>
      </c>
      <c r="EY46" s="728">
        <f t="shared" si="319"/>
        <v>8000</v>
      </c>
      <c r="EZ46" s="728">
        <f t="shared" si="320"/>
        <v>0</v>
      </c>
      <c r="FA46" s="777">
        <f t="shared" si="321"/>
        <v>0</v>
      </c>
      <c r="FB46" s="777">
        <f t="shared" si="322"/>
        <v>0</v>
      </c>
      <c r="FC46" s="778">
        <f t="shared" si="323"/>
        <v>0</v>
      </c>
      <c r="FE46" s="10" t="b">
        <f t="shared" si="324"/>
        <v>1</v>
      </c>
      <c r="FF46" s="10" t="b">
        <f t="shared" si="325"/>
        <v>1</v>
      </c>
      <c r="FG46" s="10" t="b">
        <f t="shared" si="326"/>
        <v>1</v>
      </c>
      <c r="FH46" s="10" t="b">
        <f t="shared" si="327"/>
        <v>1</v>
      </c>
      <c r="FI46" s="10" t="b">
        <f t="shared" si="328"/>
        <v>1</v>
      </c>
      <c r="FJ46" s="10" t="b">
        <f t="shared" si="329"/>
        <v>1</v>
      </c>
      <c r="FK46" s="10" t="b">
        <f t="shared" si="330"/>
        <v>1</v>
      </c>
      <c r="FL46" s="10" t="b">
        <f t="shared" si="350"/>
        <v>1</v>
      </c>
    </row>
    <row r="47" spans="1:170">
      <c r="A47" s="662">
        <v>42</v>
      </c>
      <c r="B47" s="789" t="s">
        <v>1314</v>
      </c>
      <c r="C47" s="789" t="s">
        <v>1308</v>
      </c>
      <c r="D47" s="789" t="s">
        <v>1304</v>
      </c>
      <c r="E47" s="789" t="s">
        <v>1290</v>
      </c>
      <c r="F47" s="789" t="s">
        <v>1290</v>
      </c>
      <c r="G47" s="704" t="s">
        <v>402</v>
      </c>
      <c r="H47" s="704">
        <v>37200</v>
      </c>
      <c r="I47" s="704">
        <v>0</v>
      </c>
      <c r="J47" s="704">
        <f t="shared" si="240"/>
        <v>37200</v>
      </c>
      <c r="K47" s="704">
        <v>0</v>
      </c>
      <c r="L47" s="704">
        <f t="shared" si="119"/>
        <v>18600</v>
      </c>
      <c r="M47" s="711" t="s">
        <v>1305</v>
      </c>
      <c r="N47" s="1024">
        <v>6000</v>
      </c>
      <c r="O47" s="1024">
        <v>6000</v>
      </c>
      <c r="P47" s="707">
        <v>0</v>
      </c>
      <c r="Q47" s="707">
        <v>0</v>
      </c>
      <c r="R47" s="1021">
        <v>0</v>
      </c>
      <c r="S47" s="872">
        <v>0</v>
      </c>
      <c r="T47" s="1022">
        <v>0</v>
      </c>
      <c r="U47" s="711" t="s">
        <v>1306</v>
      </c>
      <c r="V47" s="716">
        <v>0</v>
      </c>
      <c r="W47" s="711">
        <v>1</v>
      </c>
      <c r="X47" s="781">
        <v>0</v>
      </c>
      <c r="Y47" s="781">
        <v>0</v>
      </c>
      <c r="Z47" s="781">
        <v>0</v>
      </c>
      <c r="AA47" s="781">
        <v>0</v>
      </c>
      <c r="AB47" s="1027">
        <f t="shared" si="336"/>
        <v>0</v>
      </c>
      <c r="AC47" s="1030">
        <v>1</v>
      </c>
      <c r="AD47" s="781">
        <v>0</v>
      </c>
      <c r="AE47" s="781">
        <v>1</v>
      </c>
      <c r="AF47" s="781">
        <v>0</v>
      </c>
      <c r="AG47" s="781">
        <v>1</v>
      </c>
      <c r="AH47" s="781">
        <v>0</v>
      </c>
      <c r="AI47" s="781">
        <v>1</v>
      </c>
      <c r="AJ47" s="781">
        <v>0</v>
      </c>
      <c r="AK47" s="715" t="s">
        <v>374</v>
      </c>
      <c r="AL47" s="711" t="s">
        <v>742</v>
      </c>
      <c r="AM47" s="715" t="s">
        <v>1186</v>
      </c>
      <c r="AN47" s="715" t="s">
        <v>377</v>
      </c>
      <c r="AO47" s="711" t="s">
        <v>3</v>
      </c>
      <c r="AP47" s="715"/>
      <c r="AQ47" s="715"/>
      <c r="AR47" s="715"/>
      <c r="AS47" s="715" t="s">
        <v>744</v>
      </c>
      <c r="AT47" s="715" t="s">
        <v>745</v>
      </c>
      <c r="AU47" s="715" t="s">
        <v>746</v>
      </c>
      <c r="AV47" s="715">
        <v>15</v>
      </c>
      <c r="AW47" s="715">
        <v>15</v>
      </c>
      <c r="AX47" s="715" t="s">
        <v>769</v>
      </c>
      <c r="AY47" s="716">
        <v>1</v>
      </c>
      <c r="AZ47" s="716">
        <v>1</v>
      </c>
      <c r="BA47" s="717">
        <v>0</v>
      </c>
      <c r="BB47" s="721">
        <f t="shared" si="139"/>
        <v>37200</v>
      </c>
      <c r="BC47" s="499">
        <f t="shared" si="140"/>
        <v>37200</v>
      </c>
      <c r="BD47" s="499">
        <f t="shared" si="141"/>
        <v>37200</v>
      </c>
      <c r="BE47" s="499">
        <f t="shared" si="142"/>
        <v>37200</v>
      </c>
      <c r="BF47" s="499">
        <f t="shared" si="143"/>
        <v>37200</v>
      </c>
      <c r="BG47" s="499">
        <f t="shared" si="144"/>
        <v>37200</v>
      </c>
      <c r="BH47" s="499">
        <f t="shared" si="145"/>
        <v>37200</v>
      </c>
      <c r="BI47" s="721">
        <f t="shared" si="258"/>
        <v>0</v>
      </c>
      <c r="BJ47" s="499">
        <f t="shared" ref="BJ47:BM47" si="367">BI47</f>
        <v>0</v>
      </c>
      <c r="BK47" s="499">
        <f t="shared" si="367"/>
        <v>0</v>
      </c>
      <c r="BL47" s="499">
        <f t="shared" si="367"/>
        <v>0</v>
      </c>
      <c r="BM47" s="499">
        <f t="shared" si="367"/>
        <v>0</v>
      </c>
      <c r="BN47" s="499">
        <f t="shared" si="147"/>
        <v>0</v>
      </c>
      <c r="BO47" s="499">
        <f t="shared" si="148"/>
        <v>0</v>
      </c>
      <c r="BP47" s="721">
        <f t="shared" si="260"/>
        <v>6000</v>
      </c>
      <c r="BQ47" s="499">
        <f t="shared" si="332"/>
        <v>6000</v>
      </c>
      <c r="BR47" s="499">
        <f t="shared" si="149"/>
        <v>6000</v>
      </c>
      <c r="BS47" s="499">
        <f t="shared" si="150"/>
        <v>6000</v>
      </c>
      <c r="BT47" s="499">
        <f t="shared" si="151"/>
        <v>6000</v>
      </c>
      <c r="BU47" s="499">
        <f t="shared" si="152"/>
        <v>6000</v>
      </c>
      <c r="BV47" s="499">
        <f t="shared" si="153"/>
        <v>6000</v>
      </c>
      <c r="BW47" s="774">
        <f t="shared" si="196"/>
        <v>0</v>
      </c>
      <c r="BX47" s="503">
        <f t="shared" si="196"/>
        <v>0</v>
      </c>
      <c r="BY47" s="503">
        <f t="shared" si="196"/>
        <v>0</v>
      </c>
      <c r="BZ47" s="503">
        <f t="shared" si="196"/>
        <v>0</v>
      </c>
      <c r="CA47" s="503">
        <f t="shared" si="196"/>
        <v>0</v>
      </c>
      <c r="CB47" s="503">
        <f t="shared" si="196"/>
        <v>0</v>
      </c>
      <c r="CC47" s="503">
        <f t="shared" si="196"/>
        <v>0</v>
      </c>
      <c r="CD47" s="722">
        <f t="shared" si="261"/>
        <v>0</v>
      </c>
      <c r="CE47" s="511">
        <f t="shared" ref="CE47:CH47" si="368">CD47</f>
        <v>0</v>
      </c>
      <c r="CF47" s="511">
        <f t="shared" si="368"/>
        <v>0</v>
      </c>
      <c r="CG47" s="511">
        <f t="shared" si="368"/>
        <v>0</v>
      </c>
      <c r="CH47" s="511">
        <f t="shared" si="368"/>
        <v>0</v>
      </c>
      <c r="CI47" s="511">
        <f t="shared" si="103"/>
        <v>0</v>
      </c>
      <c r="CJ47" s="511">
        <f t="shared" si="104"/>
        <v>0</v>
      </c>
      <c r="CK47" s="722">
        <f t="shared" si="263"/>
        <v>0</v>
      </c>
      <c r="CL47" s="511">
        <f t="shared" ref="CL47:CO47" si="369">CK47</f>
        <v>0</v>
      </c>
      <c r="CM47" s="511">
        <f t="shared" si="369"/>
        <v>0</v>
      </c>
      <c r="CN47" s="511">
        <f t="shared" si="369"/>
        <v>0</v>
      </c>
      <c r="CO47" s="511">
        <f t="shared" si="369"/>
        <v>0</v>
      </c>
      <c r="CP47" s="511">
        <f t="shared" si="106"/>
        <v>0</v>
      </c>
      <c r="CQ47" s="511">
        <f t="shared" si="107"/>
        <v>0</v>
      </c>
      <c r="CR47" s="722">
        <f t="shared" si="265"/>
        <v>0</v>
      </c>
      <c r="CS47" s="511">
        <f t="shared" ref="CS47:CV47" si="370">CR47</f>
        <v>0</v>
      </c>
      <c r="CT47" s="511">
        <f t="shared" si="370"/>
        <v>0</v>
      </c>
      <c r="CU47" s="511">
        <f t="shared" si="370"/>
        <v>0</v>
      </c>
      <c r="CV47" s="511">
        <f t="shared" si="370"/>
        <v>0</v>
      </c>
      <c r="CW47" s="511">
        <f t="shared" si="109"/>
        <v>0</v>
      </c>
      <c r="CX47" s="539">
        <f t="shared" si="110"/>
        <v>0</v>
      </c>
      <c r="CY47" s="724">
        <f t="shared" si="267"/>
        <v>0</v>
      </c>
      <c r="CZ47" s="508">
        <f t="shared" si="268"/>
        <v>37200</v>
      </c>
      <c r="DA47" s="508">
        <f t="shared" si="269"/>
        <v>0</v>
      </c>
      <c r="DB47" s="508">
        <f t="shared" si="270"/>
        <v>37200</v>
      </c>
      <c r="DC47" s="508">
        <f t="shared" si="271"/>
        <v>0</v>
      </c>
      <c r="DD47" s="508">
        <f t="shared" si="272"/>
        <v>37200</v>
      </c>
      <c r="DE47" s="726">
        <f t="shared" si="273"/>
        <v>0</v>
      </c>
      <c r="DF47" s="724">
        <f t="shared" si="274"/>
        <v>0</v>
      </c>
      <c r="DG47" s="509">
        <f t="shared" si="275"/>
        <v>0</v>
      </c>
      <c r="DH47" s="509">
        <f t="shared" si="276"/>
        <v>0</v>
      </c>
      <c r="DI47" s="509">
        <f t="shared" si="277"/>
        <v>0</v>
      </c>
      <c r="DJ47" s="509">
        <f t="shared" si="278"/>
        <v>0</v>
      </c>
      <c r="DK47" s="509">
        <f t="shared" si="279"/>
        <v>0</v>
      </c>
      <c r="DL47" s="451">
        <f t="shared" si="280"/>
        <v>0</v>
      </c>
      <c r="DM47" s="509">
        <f t="shared" si="281"/>
        <v>0</v>
      </c>
      <c r="DN47" s="509">
        <f t="shared" si="282"/>
        <v>6000</v>
      </c>
      <c r="DO47" s="509">
        <f t="shared" si="283"/>
        <v>0</v>
      </c>
      <c r="DP47" s="509">
        <f t="shared" si="284"/>
        <v>6000</v>
      </c>
      <c r="DQ47" s="509">
        <f t="shared" si="285"/>
        <v>0</v>
      </c>
      <c r="DR47" s="509">
        <f t="shared" si="286"/>
        <v>6000</v>
      </c>
      <c r="DS47" s="450">
        <f t="shared" si="287"/>
        <v>0</v>
      </c>
      <c r="DT47" s="724">
        <f t="shared" si="288"/>
        <v>0</v>
      </c>
      <c r="DU47" s="508">
        <f t="shared" si="289"/>
        <v>0</v>
      </c>
      <c r="DV47" s="508">
        <f t="shared" si="290"/>
        <v>0</v>
      </c>
      <c r="DW47" s="508">
        <f t="shared" si="291"/>
        <v>0</v>
      </c>
      <c r="DX47" s="508">
        <f t="shared" si="292"/>
        <v>0</v>
      </c>
      <c r="DY47" s="508">
        <f t="shared" si="293"/>
        <v>0</v>
      </c>
      <c r="DZ47" s="726">
        <f t="shared" si="294"/>
        <v>0</v>
      </c>
      <c r="EA47" s="722">
        <f t="shared" si="295"/>
        <v>0</v>
      </c>
      <c r="EB47" s="511">
        <f t="shared" si="296"/>
        <v>0</v>
      </c>
      <c r="EC47" s="511">
        <f t="shared" si="297"/>
        <v>0</v>
      </c>
      <c r="ED47" s="511">
        <f t="shared" si="298"/>
        <v>0</v>
      </c>
      <c r="EE47" s="511">
        <f t="shared" si="299"/>
        <v>0</v>
      </c>
      <c r="EF47" s="511">
        <f t="shared" si="300"/>
        <v>0</v>
      </c>
      <c r="EG47" s="723">
        <f t="shared" si="301"/>
        <v>0</v>
      </c>
      <c r="EH47" s="397">
        <f t="shared" si="302"/>
        <v>0</v>
      </c>
      <c r="EI47" s="397">
        <f t="shared" si="303"/>
        <v>0</v>
      </c>
      <c r="EJ47" s="397">
        <f t="shared" si="304"/>
        <v>0</v>
      </c>
      <c r="EK47" s="397">
        <f t="shared" si="305"/>
        <v>0</v>
      </c>
      <c r="EL47" s="397">
        <f t="shared" si="306"/>
        <v>0</v>
      </c>
      <c r="EM47" s="397">
        <f t="shared" si="307"/>
        <v>0</v>
      </c>
      <c r="EN47" s="398">
        <f t="shared" si="308"/>
        <v>0</v>
      </c>
      <c r="EO47" s="722">
        <f t="shared" si="309"/>
        <v>0</v>
      </c>
      <c r="EP47" s="511">
        <f t="shared" si="310"/>
        <v>0</v>
      </c>
      <c r="EQ47" s="511">
        <f t="shared" si="311"/>
        <v>0</v>
      </c>
      <c r="ER47" s="511">
        <f t="shared" si="312"/>
        <v>0</v>
      </c>
      <c r="ES47" s="511">
        <f t="shared" si="313"/>
        <v>0</v>
      </c>
      <c r="ET47" s="511">
        <f t="shared" si="314"/>
        <v>0</v>
      </c>
      <c r="EU47" s="723">
        <f t="shared" si="315"/>
        <v>0</v>
      </c>
      <c r="EV47" s="727">
        <f t="shared" si="316"/>
        <v>1</v>
      </c>
      <c r="EW47" s="728">
        <f t="shared" si="317"/>
        <v>111600</v>
      </c>
      <c r="EX47" s="728">
        <f t="shared" si="318"/>
        <v>0</v>
      </c>
      <c r="EY47" s="728">
        <f t="shared" si="319"/>
        <v>18000</v>
      </c>
      <c r="EZ47" s="728">
        <f t="shared" si="320"/>
        <v>0</v>
      </c>
      <c r="FA47" s="777">
        <f t="shared" si="321"/>
        <v>0</v>
      </c>
      <c r="FB47" s="777">
        <f t="shared" si="322"/>
        <v>0</v>
      </c>
      <c r="FC47" s="778">
        <f t="shared" si="323"/>
        <v>0</v>
      </c>
      <c r="FE47" s="10" t="b">
        <f t="shared" si="324"/>
        <v>1</v>
      </c>
      <c r="FF47" s="10" t="b">
        <f t="shared" si="325"/>
        <v>1</v>
      </c>
      <c r="FG47" s="10" t="b">
        <f t="shared" si="326"/>
        <v>1</v>
      </c>
      <c r="FH47" s="10" t="b">
        <f t="shared" si="327"/>
        <v>1</v>
      </c>
      <c r="FI47" s="10" t="b">
        <f t="shared" si="328"/>
        <v>1</v>
      </c>
      <c r="FJ47" s="10" t="b">
        <f t="shared" si="329"/>
        <v>1</v>
      </c>
      <c r="FK47" s="10" t="b">
        <f t="shared" si="330"/>
        <v>1</v>
      </c>
      <c r="FL47" s="10" t="b">
        <f t="shared" si="350"/>
        <v>1</v>
      </c>
    </row>
    <row r="48" spans="1:170">
      <c r="A48" s="662">
        <v>43</v>
      </c>
      <c r="B48" s="789" t="s">
        <v>1315</v>
      </c>
      <c r="C48" s="789" t="s">
        <v>1310</v>
      </c>
      <c r="D48" s="789" t="s">
        <v>1304</v>
      </c>
      <c r="E48" s="789" t="s">
        <v>1290</v>
      </c>
      <c r="F48" s="789" t="s">
        <v>1290</v>
      </c>
      <c r="G48" s="704" t="s">
        <v>402</v>
      </c>
      <c r="H48" s="704">
        <v>37200</v>
      </c>
      <c r="I48" s="704">
        <v>0</v>
      </c>
      <c r="J48" s="704">
        <f t="shared" si="240"/>
        <v>37200</v>
      </c>
      <c r="K48" s="704">
        <v>0</v>
      </c>
      <c r="L48" s="704">
        <f t="shared" si="119"/>
        <v>18600</v>
      </c>
      <c r="M48" s="711" t="s">
        <v>1305</v>
      </c>
      <c r="N48" s="1024">
        <v>8000</v>
      </c>
      <c r="O48" s="1024">
        <v>8000</v>
      </c>
      <c r="P48" s="707">
        <v>0</v>
      </c>
      <c r="Q48" s="707">
        <v>0</v>
      </c>
      <c r="R48" s="1021">
        <v>0</v>
      </c>
      <c r="S48" s="872">
        <v>0</v>
      </c>
      <c r="T48" s="1022">
        <v>0</v>
      </c>
      <c r="U48" s="711" t="s">
        <v>1306</v>
      </c>
      <c r="V48" s="716">
        <v>0</v>
      </c>
      <c r="W48" s="711">
        <v>1</v>
      </c>
      <c r="X48" s="781">
        <v>0</v>
      </c>
      <c r="Y48" s="781">
        <v>0</v>
      </c>
      <c r="Z48" s="781">
        <v>0</v>
      </c>
      <c r="AA48" s="781">
        <v>0</v>
      </c>
      <c r="AB48" s="1027">
        <f t="shared" si="336"/>
        <v>0</v>
      </c>
      <c r="AC48" s="1030">
        <v>0</v>
      </c>
      <c r="AD48" s="781">
        <v>1</v>
      </c>
      <c r="AE48" s="781">
        <v>0</v>
      </c>
      <c r="AF48" s="781">
        <v>1</v>
      </c>
      <c r="AG48" s="781">
        <v>0</v>
      </c>
      <c r="AH48" s="781">
        <v>1</v>
      </c>
      <c r="AI48" s="781">
        <v>0</v>
      </c>
      <c r="AJ48" s="781">
        <v>1</v>
      </c>
      <c r="AK48" s="715" t="s">
        <v>374</v>
      </c>
      <c r="AL48" s="711" t="s">
        <v>742</v>
      </c>
      <c r="AM48" s="715" t="s">
        <v>1186</v>
      </c>
      <c r="AN48" s="715" t="s">
        <v>377</v>
      </c>
      <c r="AO48" s="711" t="s">
        <v>3</v>
      </c>
      <c r="AP48" s="715"/>
      <c r="AQ48" s="715"/>
      <c r="AR48" s="715"/>
      <c r="AS48" s="715" t="s">
        <v>744</v>
      </c>
      <c r="AT48" s="715" t="s">
        <v>745</v>
      </c>
      <c r="AU48" s="715" t="s">
        <v>746</v>
      </c>
      <c r="AV48" s="715">
        <v>15</v>
      </c>
      <c r="AW48" s="715">
        <v>15</v>
      </c>
      <c r="AX48" s="715" t="s">
        <v>769</v>
      </c>
      <c r="AY48" s="716">
        <v>1</v>
      </c>
      <c r="AZ48" s="716">
        <v>1</v>
      </c>
      <c r="BA48" s="717">
        <v>0</v>
      </c>
      <c r="BB48" s="721">
        <f t="shared" si="139"/>
        <v>37200</v>
      </c>
      <c r="BC48" s="499">
        <f t="shared" si="140"/>
        <v>37200</v>
      </c>
      <c r="BD48" s="499">
        <f t="shared" si="141"/>
        <v>37200</v>
      </c>
      <c r="BE48" s="499">
        <f t="shared" si="142"/>
        <v>37200</v>
      </c>
      <c r="BF48" s="499">
        <f t="shared" si="143"/>
        <v>37200</v>
      </c>
      <c r="BG48" s="499">
        <f t="shared" si="144"/>
        <v>37200</v>
      </c>
      <c r="BH48" s="499">
        <f t="shared" si="145"/>
        <v>37200</v>
      </c>
      <c r="BI48" s="721">
        <f t="shared" si="258"/>
        <v>0</v>
      </c>
      <c r="BJ48" s="499">
        <f t="shared" ref="BJ48:BM48" si="371">BI48</f>
        <v>0</v>
      </c>
      <c r="BK48" s="499">
        <f t="shared" si="371"/>
        <v>0</v>
      </c>
      <c r="BL48" s="499">
        <f t="shared" si="371"/>
        <v>0</v>
      </c>
      <c r="BM48" s="499">
        <f t="shared" si="371"/>
        <v>0</v>
      </c>
      <c r="BN48" s="499">
        <f t="shared" si="147"/>
        <v>0</v>
      </c>
      <c r="BO48" s="499">
        <f t="shared" si="148"/>
        <v>0</v>
      </c>
      <c r="BP48" s="721">
        <f t="shared" si="260"/>
        <v>8000</v>
      </c>
      <c r="BQ48" s="499">
        <f t="shared" si="332"/>
        <v>8000</v>
      </c>
      <c r="BR48" s="499">
        <f t="shared" si="149"/>
        <v>8000</v>
      </c>
      <c r="BS48" s="499">
        <f t="shared" si="150"/>
        <v>8000</v>
      </c>
      <c r="BT48" s="499">
        <f t="shared" si="151"/>
        <v>8000</v>
      </c>
      <c r="BU48" s="499">
        <f t="shared" si="152"/>
        <v>8000</v>
      </c>
      <c r="BV48" s="499">
        <f t="shared" si="153"/>
        <v>8000</v>
      </c>
      <c r="BW48" s="774">
        <f t="shared" si="196"/>
        <v>0</v>
      </c>
      <c r="BX48" s="503">
        <f t="shared" si="196"/>
        <v>0</v>
      </c>
      <c r="BY48" s="503">
        <f t="shared" si="196"/>
        <v>0</v>
      </c>
      <c r="BZ48" s="503">
        <f t="shared" si="196"/>
        <v>0</v>
      </c>
      <c r="CA48" s="503">
        <f t="shared" si="196"/>
        <v>0</v>
      </c>
      <c r="CB48" s="503">
        <f t="shared" si="196"/>
        <v>0</v>
      </c>
      <c r="CC48" s="503">
        <f t="shared" si="196"/>
        <v>0</v>
      </c>
      <c r="CD48" s="722">
        <f t="shared" si="261"/>
        <v>0</v>
      </c>
      <c r="CE48" s="511">
        <f t="shared" ref="CE48:CH48" si="372">CD48</f>
        <v>0</v>
      </c>
      <c r="CF48" s="511">
        <f t="shared" si="372"/>
        <v>0</v>
      </c>
      <c r="CG48" s="511">
        <f t="shared" si="372"/>
        <v>0</v>
      </c>
      <c r="CH48" s="511">
        <f t="shared" si="372"/>
        <v>0</v>
      </c>
      <c r="CI48" s="511">
        <f t="shared" si="103"/>
        <v>0</v>
      </c>
      <c r="CJ48" s="511">
        <f t="shared" si="104"/>
        <v>0</v>
      </c>
      <c r="CK48" s="722">
        <f t="shared" si="263"/>
        <v>0</v>
      </c>
      <c r="CL48" s="511">
        <f t="shared" ref="CL48:CO48" si="373">CK48</f>
        <v>0</v>
      </c>
      <c r="CM48" s="511">
        <f t="shared" si="373"/>
        <v>0</v>
      </c>
      <c r="CN48" s="511">
        <f t="shared" si="373"/>
        <v>0</v>
      </c>
      <c r="CO48" s="511">
        <f t="shared" si="373"/>
        <v>0</v>
      </c>
      <c r="CP48" s="511">
        <f t="shared" si="106"/>
        <v>0</v>
      </c>
      <c r="CQ48" s="511">
        <f t="shared" si="107"/>
        <v>0</v>
      </c>
      <c r="CR48" s="722">
        <f t="shared" si="265"/>
        <v>0</v>
      </c>
      <c r="CS48" s="511">
        <f t="shared" ref="CS48:CV48" si="374">CR48</f>
        <v>0</v>
      </c>
      <c r="CT48" s="511">
        <f t="shared" si="374"/>
        <v>0</v>
      </c>
      <c r="CU48" s="511">
        <f t="shared" si="374"/>
        <v>0</v>
      </c>
      <c r="CV48" s="511">
        <f t="shared" si="374"/>
        <v>0</v>
      </c>
      <c r="CW48" s="511">
        <f t="shared" si="109"/>
        <v>0</v>
      </c>
      <c r="CX48" s="539">
        <f t="shared" si="110"/>
        <v>0</v>
      </c>
      <c r="CY48" s="724">
        <f t="shared" si="267"/>
        <v>37200</v>
      </c>
      <c r="CZ48" s="508">
        <f t="shared" si="268"/>
        <v>0</v>
      </c>
      <c r="DA48" s="508">
        <f t="shared" si="269"/>
        <v>37200</v>
      </c>
      <c r="DB48" s="508">
        <f t="shared" si="270"/>
        <v>0</v>
      </c>
      <c r="DC48" s="508">
        <f t="shared" si="271"/>
        <v>37200</v>
      </c>
      <c r="DD48" s="508">
        <f t="shared" si="272"/>
        <v>0</v>
      </c>
      <c r="DE48" s="726">
        <f t="shared" si="273"/>
        <v>37200</v>
      </c>
      <c r="DF48" s="724">
        <f t="shared" si="274"/>
        <v>0</v>
      </c>
      <c r="DG48" s="509">
        <f t="shared" si="275"/>
        <v>0</v>
      </c>
      <c r="DH48" s="509">
        <f t="shared" si="276"/>
        <v>0</v>
      </c>
      <c r="DI48" s="509">
        <f t="shared" si="277"/>
        <v>0</v>
      </c>
      <c r="DJ48" s="509">
        <f t="shared" si="278"/>
        <v>0</v>
      </c>
      <c r="DK48" s="509">
        <f t="shared" si="279"/>
        <v>0</v>
      </c>
      <c r="DL48" s="451">
        <f t="shared" si="280"/>
        <v>0</v>
      </c>
      <c r="DM48" s="509">
        <f t="shared" si="281"/>
        <v>8000</v>
      </c>
      <c r="DN48" s="509">
        <f t="shared" si="282"/>
        <v>0</v>
      </c>
      <c r="DO48" s="509">
        <f t="shared" si="283"/>
        <v>8000</v>
      </c>
      <c r="DP48" s="509">
        <f t="shared" si="284"/>
        <v>0</v>
      </c>
      <c r="DQ48" s="509">
        <f t="shared" si="285"/>
        <v>8000</v>
      </c>
      <c r="DR48" s="509">
        <f t="shared" si="286"/>
        <v>0</v>
      </c>
      <c r="DS48" s="450">
        <f t="shared" si="287"/>
        <v>8000</v>
      </c>
      <c r="DT48" s="724">
        <f t="shared" si="288"/>
        <v>0</v>
      </c>
      <c r="DU48" s="508">
        <f t="shared" si="289"/>
        <v>0</v>
      </c>
      <c r="DV48" s="508">
        <f t="shared" si="290"/>
        <v>0</v>
      </c>
      <c r="DW48" s="508">
        <f t="shared" si="291"/>
        <v>0</v>
      </c>
      <c r="DX48" s="508">
        <f t="shared" si="292"/>
        <v>0</v>
      </c>
      <c r="DY48" s="508">
        <f t="shared" si="293"/>
        <v>0</v>
      </c>
      <c r="DZ48" s="726">
        <f t="shared" si="294"/>
        <v>0</v>
      </c>
      <c r="EA48" s="722">
        <f t="shared" si="295"/>
        <v>0</v>
      </c>
      <c r="EB48" s="511">
        <f t="shared" si="296"/>
        <v>0</v>
      </c>
      <c r="EC48" s="511">
        <f t="shared" si="297"/>
        <v>0</v>
      </c>
      <c r="ED48" s="511">
        <f t="shared" si="298"/>
        <v>0</v>
      </c>
      <c r="EE48" s="511">
        <f t="shared" si="299"/>
        <v>0</v>
      </c>
      <c r="EF48" s="511">
        <f t="shared" si="300"/>
        <v>0</v>
      </c>
      <c r="EG48" s="723">
        <f t="shared" si="301"/>
        <v>0</v>
      </c>
      <c r="EH48" s="397">
        <f t="shared" si="302"/>
        <v>0</v>
      </c>
      <c r="EI48" s="397">
        <f t="shared" si="303"/>
        <v>0</v>
      </c>
      <c r="EJ48" s="397">
        <f t="shared" si="304"/>
        <v>0</v>
      </c>
      <c r="EK48" s="397">
        <f t="shared" si="305"/>
        <v>0</v>
      </c>
      <c r="EL48" s="397">
        <f t="shared" si="306"/>
        <v>0</v>
      </c>
      <c r="EM48" s="397">
        <f t="shared" si="307"/>
        <v>0</v>
      </c>
      <c r="EN48" s="398">
        <f t="shared" si="308"/>
        <v>0</v>
      </c>
      <c r="EO48" s="722">
        <f t="shared" si="309"/>
        <v>0</v>
      </c>
      <c r="EP48" s="511">
        <f t="shared" si="310"/>
        <v>0</v>
      </c>
      <c r="EQ48" s="511">
        <f t="shared" si="311"/>
        <v>0</v>
      </c>
      <c r="ER48" s="511">
        <f t="shared" si="312"/>
        <v>0</v>
      </c>
      <c r="ES48" s="511">
        <f t="shared" si="313"/>
        <v>0</v>
      </c>
      <c r="ET48" s="511">
        <f t="shared" si="314"/>
        <v>0</v>
      </c>
      <c r="EU48" s="723">
        <f t="shared" si="315"/>
        <v>0</v>
      </c>
      <c r="EV48" s="727">
        <f t="shared" si="316"/>
        <v>2</v>
      </c>
      <c r="EW48" s="728">
        <f t="shared" si="317"/>
        <v>148800</v>
      </c>
      <c r="EX48" s="728">
        <f t="shared" si="318"/>
        <v>0</v>
      </c>
      <c r="EY48" s="728">
        <f t="shared" si="319"/>
        <v>32000</v>
      </c>
      <c r="EZ48" s="728">
        <f t="shared" si="320"/>
        <v>0</v>
      </c>
      <c r="FA48" s="777">
        <f t="shared" si="321"/>
        <v>0</v>
      </c>
      <c r="FB48" s="777">
        <f t="shared" si="322"/>
        <v>0</v>
      </c>
      <c r="FC48" s="778">
        <f t="shared" si="323"/>
        <v>0</v>
      </c>
      <c r="FE48" s="10" t="b">
        <f t="shared" si="324"/>
        <v>1</v>
      </c>
      <c r="FF48" s="10" t="b">
        <f t="shared" si="325"/>
        <v>1</v>
      </c>
      <c r="FG48" s="10" t="b">
        <f t="shared" si="326"/>
        <v>1</v>
      </c>
      <c r="FH48" s="10" t="b">
        <f t="shared" si="327"/>
        <v>1</v>
      </c>
      <c r="FI48" s="10" t="b">
        <f t="shared" si="328"/>
        <v>1</v>
      </c>
      <c r="FJ48" s="10" t="b">
        <f t="shared" si="329"/>
        <v>1</v>
      </c>
      <c r="FK48" s="10" t="b">
        <f t="shared" si="330"/>
        <v>1</v>
      </c>
      <c r="FL48" s="10" t="b">
        <f t="shared" si="350"/>
        <v>1</v>
      </c>
    </row>
    <row r="49" spans="1:168">
      <c r="A49" s="662">
        <v>44</v>
      </c>
      <c r="B49" s="789" t="s">
        <v>1316</v>
      </c>
      <c r="C49" s="789" t="s">
        <v>1312</v>
      </c>
      <c r="D49" s="789" t="s">
        <v>1304</v>
      </c>
      <c r="E49" s="789" t="s">
        <v>1290</v>
      </c>
      <c r="F49" s="789" t="s">
        <v>1290</v>
      </c>
      <c r="G49" s="704" t="s">
        <v>402</v>
      </c>
      <c r="H49" s="704">
        <v>37200</v>
      </c>
      <c r="I49" s="704">
        <v>0</v>
      </c>
      <c r="J49" s="704">
        <f t="shared" si="240"/>
        <v>37200</v>
      </c>
      <c r="K49" s="704">
        <v>0</v>
      </c>
      <c r="L49" s="704">
        <f t="shared" si="119"/>
        <v>18600</v>
      </c>
      <c r="M49" s="711" t="s">
        <v>1305</v>
      </c>
      <c r="N49" s="1024">
        <v>10000</v>
      </c>
      <c r="O49" s="1024">
        <v>10000</v>
      </c>
      <c r="P49" s="707">
        <v>0</v>
      </c>
      <c r="Q49" s="707">
        <v>0</v>
      </c>
      <c r="R49" s="1021">
        <v>0</v>
      </c>
      <c r="S49" s="872">
        <v>0</v>
      </c>
      <c r="T49" s="1022">
        <v>0</v>
      </c>
      <c r="U49" s="711" t="s">
        <v>1306</v>
      </c>
      <c r="V49" s="716">
        <v>0</v>
      </c>
      <c r="W49" s="711">
        <v>1</v>
      </c>
      <c r="X49" s="781">
        <v>3</v>
      </c>
      <c r="Y49" s="781">
        <v>0</v>
      </c>
      <c r="Z49" s="781">
        <v>1</v>
      </c>
      <c r="AA49" s="781">
        <v>0</v>
      </c>
      <c r="AB49" s="1027">
        <f t="shared" si="336"/>
        <v>0.5</v>
      </c>
      <c r="AC49" s="1030">
        <v>1</v>
      </c>
      <c r="AD49" s="781">
        <v>0</v>
      </c>
      <c r="AE49" s="781">
        <v>0</v>
      </c>
      <c r="AF49" s="781">
        <v>1</v>
      </c>
      <c r="AG49" s="781">
        <v>0</v>
      </c>
      <c r="AH49" s="781">
        <v>0</v>
      </c>
      <c r="AI49" s="781">
        <v>1</v>
      </c>
      <c r="AJ49" s="781">
        <v>0</v>
      </c>
      <c r="AK49" s="715" t="s">
        <v>374</v>
      </c>
      <c r="AL49" s="711" t="s">
        <v>742</v>
      </c>
      <c r="AM49" s="715" t="s">
        <v>1186</v>
      </c>
      <c r="AN49" s="715" t="s">
        <v>1152</v>
      </c>
      <c r="AO49" s="711" t="s">
        <v>3</v>
      </c>
      <c r="AP49" s="715"/>
      <c r="AQ49" s="715"/>
      <c r="AR49" s="715"/>
      <c r="AS49" s="715" t="s">
        <v>744</v>
      </c>
      <c r="AT49" s="715" t="s">
        <v>745</v>
      </c>
      <c r="AU49" s="715" t="s">
        <v>746</v>
      </c>
      <c r="AV49" s="715">
        <v>15</v>
      </c>
      <c r="AW49" s="715">
        <v>15</v>
      </c>
      <c r="AX49" s="715" t="s">
        <v>769</v>
      </c>
      <c r="AY49" s="716">
        <v>1</v>
      </c>
      <c r="AZ49" s="716">
        <v>1</v>
      </c>
      <c r="BA49" s="717">
        <v>0</v>
      </c>
      <c r="BB49" s="721">
        <f t="shared" si="139"/>
        <v>37200</v>
      </c>
      <c r="BC49" s="499">
        <f t="shared" si="140"/>
        <v>37200</v>
      </c>
      <c r="BD49" s="499">
        <f t="shared" si="141"/>
        <v>37200</v>
      </c>
      <c r="BE49" s="499">
        <f t="shared" si="142"/>
        <v>37200</v>
      </c>
      <c r="BF49" s="499">
        <f t="shared" si="143"/>
        <v>37200</v>
      </c>
      <c r="BG49" s="499">
        <f t="shared" si="144"/>
        <v>37200</v>
      </c>
      <c r="BH49" s="499">
        <f t="shared" si="145"/>
        <v>37200</v>
      </c>
      <c r="BI49" s="721">
        <f t="shared" si="258"/>
        <v>0</v>
      </c>
      <c r="BJ49" s="499">
        <f t="shared" ref="BJ49:BM49" si="375">BI49</f>
        <v>0</v>
      </c>
      <c r="BK49" s="499">
        <f t="shared" si="375"/>
        <v>0</v>
      </c>
      <c r="BL49" s="499">
        <f t="shared" si="375"/>
        <v>0</v>
      </c>
      <c r="BM49" s="499">
        <f t="shared" si="375"/>
        <v>0</v>
      </c>
      <c r="BN49" s="499">
        <f t="shared" si="147"/>
        <v>0</v>
      </c>
      <c r="BO49" s="499">
        <f t="shared" si="148"/>
        <v>0</v>
      </c>
      <c r="BP49" s="721">
        <f t="shared" si="260"/>
        <v>10000</v>
      </c>
      <c r="BQ49" s="499">
        <f t="shared" si="332"/>
        <v>10000</v>
      </c>
      <c r="BR49" s="499">
        <f t="shared" si="149"/>
        <v>10000</v>
      </c>
      <c r="BS49" s="499">
        <f t="shared" si="150"/>
        <v>10000</v>
      </c>
      <c r="BT49" s="499">
        <f t="shared" si="151"/>
        <v>10000</v>
      </c>
      <c r="BU49" s="499">
        <f t="shared" si="152"/>
        <v>10000</v>
      </c>
      <c r="BV49" s="499">
        <f t="shared" si="153"/>
        <v>10000</v>
      </c>
      <c r="BW49" s="774">
        <f t="shared" si="196"/>
        <v>0</v>
      </c>
      <c r="BX49" s="503">
        <f t="shared" si="196"/>
        <v>0</v>
      </c>
      <c r="BY49" s="503">
        <f t="shared" si="196"/>
        <v>0</v>
      </c>
      <c r="BZ49" s="503">
        <f t="shared" si="196"/>
        <v>0</v>
      </c>
      <c r="CA49" s="503">
        <f t="shared" si="196"/>
        <v>0</v>
      </c>
      <c r="CB49" s="503">
        <f t="shared" si="196"/>
        <v>0</v>
      </c>
      <c r="CC49" s="503">
        <f t="shared" si="196"/>
        <v>0</v>
      </c>
      <c r="CD49" s="722">
        <f t="shared" si="261"/>
        <v>0</v>
      </c>
      <c r="CE49" s="511">
        <f t="shared" ref="CE49:CH49" si="376">CD49</f>
        <v>0</v>
      </c>
      <c r="CF49" s="511">
        <f t="shared" si="376"/>
        <v>0</v>
      </c>
      <c r="CG49" s="511">
        <f t="shared" si="376"/>
        <v>0</v>
      </c>
      <c r="CH49" s="511">
        <f t="shared" si="376"/>
        <v>0</v>
      </c>
      <c r="CI49" s="511">
        <f t="shared" si="103"/>
        <v>0</v>
      </c>
      <c r="CJ49" s="511">
        <f t="shared" si="104"/>
        <v>0</v>
      </c>
      <c r="CK49" s="722">
        <f t="shared" si="263"/>
        <v>0</v>
      </c>
      <c r="CL49" s="511">
        <f t="shared" ref="CL49:CO49" si="377">CK49</f>
        <v>0</v>
      </c>
      <c r="CM49" s="511">
        <f t="shared" si="377"/>
        <v>0</v>
      </c>
      <c r="CN49" s="511">
        <f t="shared" si="377"/>
        <v>0</v>
      </c>
      <c r="CO49" s="511">
        <f t="shared" si="377"/>
        <v>0</v>
      </c>
      <c r="CP49" s="511">
        <f t="shared" si="106"/>
        <v>0</v>
      </c>
      <c r="CQ49" s="511">
        <f t="shared" si="107"/>
        <v>0</v>
      </c>
      <c r="CR49" s="722">
        <f t="shared" si="265"/>
        <v>0</v>
      </c>
      <c r="CS49" s="511">
        <f t="shared" ref="CS49:CV49" si="378">CR49</f>
        <v>0</v>
      </c>
      <c r="CT49" s="511">
        <f t="shared" si="378"/>
        <v>0</v>
      </c>
      <c r="CU49" s="511">
        <f t="shared" si="378"/>
        <v>0</v>
      </c>
      <c r="CV49" s="511">
        <f t="shared" si="378"/>
        <v>0</v>
      </c>
      <c r="CW49" s="511">
        <f t="shared" si="109"/>
        <v>0</v>
      </c>
      <c r="CX49" s="539">
        <f t="shared" si="110"/>
        <v>0</v>
      </c>
      <c r="CY49" s="724">
        <f t="shared" si="267"/>
        <v>0</v>
      </c>
      <c r="CZ49" s="508">
        <f t="shared" si="268"/>
        <v>0</v>
      </c>
      <c r="DA49" s="508">
        <f t="shared" si="269"/>
        <v>37200</v>
      </c>
      <c r="DB49" s="508">
        <f t="shared" si="270"/>
        <v>0</v>
      </c>
      <c r="DC49" s="508">
        <f t="shared" si="271"/>
        <v>0</v>
      </c>
      <c r="DD49" s="508">
        <f t="shared" si="272"/>
        <v>37200</v>
      </c>
      <c r="DE49" s="726">
        <f t="shared" si="273"/>
        <v>0</v>
      </c>
      <c r="DF49" s="724">
        <f t="shared" si="274"/>
        <v>0</v>
      </c>
      <c r="DG49" s="509">
        <f t="shared" si="275"/>
        <v>0</v>
      </c>
      <c r="DH49" s="509">
        <f t="shared" si="276"/>
        <v>0</v>
      </c>
      <c r="DI49" s="509">
        <f t="shared" si="277"/>
        <v>0</v>
      </c>
      <c r="DJ49" s="509">
        <f t="shared" si="278"/>
        <v>0</v>
      </c>
      <c r="DK49" s="509">
        <f t="shared" si="279"/>
        <v>0</v>
      </c>
      <c r="DL49" s="451">
        <f t="shared" si="280"/>
        <v>0</v>
      </c>
      <c r="DM49" s="509">
        <f t="shared" si="281"/>
        <v>0</v>
      </c>
      <c r="DN49" s="509">
        <f t="shared" si="282"/>
        <v>0</v>
      </c>
      <c r="DO49" s="509">
        <f t="shared" si="283"/>
        <v>10000</v>
      </c>
      <c r="DP49" s="509">
        <f t="shared" si="284"/>
        <v>0</v>
      </c>
      <c r="DQ49" s="509">
        <f t="shared" si="285"/>
        <v>0</v>
      </c>
      <c r="DR49" s="509">
        <f t="shared" si="286"/>
        <v>10000</v>
      </c>
      <c r="DS49" s="450">
        <f t="shared" si="287"/>
        <v>0</v>
      </c>
      <c r="DT49" s="724">
        <f t="shared" si="288"/>
        <v>0</v>
      </c>
      <c r="DU49" s="508">
        <f t="shared" si="289"/>
        <v>0</v>
      </c>
      <c r="DV49" s="508">
        <f t="shared" si="290"/>
        <v>0</v>
      </c>
      <c r="DW49" s="508">
        <f t="shared" si="291"/>
        <v>0</v>
      </c>
      <c r="DX49" s="508">
        <f t="shared" si="292"/>
        <v>0</v>
      </c>
      <c r="DY49" s="508">
        <f t="shared" si="293"/>
        <v>0</v>
      </c>
      <c r="DZ49" s="726">
        <f t="shared" si="294"/>
        <v>0</v>
      </c>
      <c r="EA49" s="722">
        <f t="shared" si="295"/>
        <v>0</v>
      </c>
      <c r="EB49" s="511">
        <f t="shared" si="296"/>
        <v>0</v>
      </c>
      <c r="EC49" s="511">
        <f t="shared" si="297"/>
        <v>0</v>
      </c>
      <c r="ED49" s="511">
        <f t="shared" si="298"/>
        <v>0</v>
      </c>
      <c r="EE49" s="511">
        <f t="shared" si="299"/>
        <v>0</v>
      </c>
      <c r="EF49" s="511">
        <f t="shared" si="300"/>
        <v>0</v>
      </c>
      <c r="EG49" s="723">
        <f t="shared" si="301"/>
        <v>0</v>
      </c>
      <c r="EH49" s="397">
        <f t="shared" si="302"/>
        <v>0</v>
      </c>
      <c r="EI49" s="397">
        <f t="shared" si="303"/>
        <v>0</v>
      </c>
      <c r="EJ49" s="397">
        <f t="shared" si="304"/>
        <v>0</v>
      </c>
      <c r="EK49" s="397">
        <f t="shared" si="305"/>
        <v>0</v>
      </c>
      <c r="EL49" s="397">
        <f t="shared" si="306"/>
        <v>0</v>
      </c>
      <c r="EM49" s="397">
        <f t="shared" si="307"/>
        <v>0</v>
      </c>
      <c r="EN49" s="398">
        <f t="shared" si="308"/>
        <v>0</v>
      </c>
      <c r="EO49" s="722">
        <f t="shared" si="309"/>
        <v>0</v>
      </c>
      <c r="EP49" s="511">
        <f t="shared" si="310"/>
        <v>0</v>
      </c>
      <c r="EQ49" s="511">
        <f t="shared" si="311"/>
        <v>0</v>
      </c>
      <c r="ER49" s="511">
        <f t="shared" si="312"/>
        <v>0</v>
      </c>
      <c r="ES49" s="511">
        <f t="shared" si="313"/>
        <v>0</v>
      </c>
      <c r="ET49" s="511">
        <f t="shared" si="314"/>
        <v>0</v>
      </c>
      <c r="EU49" s="723">
        <f t="shared" si="315"/>
        <v>0</v>
      </c>
      <c r="EV49" s="727">
        <f t="shared" si="316"/>
        <v>1</v>
      </c>
      <c r="EW49" s="728">
        <f t="shared" si="317"/>
        <v>74400</v>
      </c>
      <c r="EX49" s="728">
        <f t="shared" si="318"/>
        <v>0</v>
      </c>
      <c r="EY49" s="728">
        <f t="shared" si="319"/>
        <v>20000</v>
      </c>
      <c r="EZ49" s="728">
        <f t="shared" si="320"/>
        <v>0</v>
      </c>
      <c r="FA49" s="777">
        <f t="shared" si="321"/>
        <v>0</v>
      </c>
      <c r="FB49" s="777">
        <f t="shared" si="322"/>
        <v>0</v>
      </c>
      <c r="FC49" s="778">
        <f t="shared" si="323"/>
        <v>0</v>
      </c>
      <c r="FE49" s="10" t="b">
        <f t="shared" si="324"/>
        <v>1</v>
      </c>
      <c r="FF49" s="10" t="b">
        <f t="shared" si="325"/>
        <v>1</v>
      </c>
      <c r="FG49" s="10" t="b">
        <f t="shared" si="326"/>
        <v>1</v>
      </c>
      <c r="FH49" s="10" t="b">
        <f t="shared" si="327"/>
        <v>1</v>
      </c>
      <c r="FI49" s="10" t="b">
        <f t="shared" si="328"/>
        <v>1</v>
      </c>
      <c r="FJ49" s="10" t="b">
        <f t="shared" si="329"/>
        <v>1</v>
      </c>
      <c r="FK49" s="10" t="b">
        <f t="shared" si="330"/>
        <v>1</v>
      </c>
      <c r="FL49" s="10" t="b">
        <f t="shared" si="350"/>
        <v>1</v>
      </c>
    </row>
    <row r="50" spans="1:168" s="10" customFormat="1" ht="12.5">
      <c r="A50" s="662">
        <v>45</v>
      </c>
      <c r="B50" s="789" t="s">
        <v>1317</v>
      </c>
      <c r="C50" s="662" t="s">
        <v>1318</v>
      </c>
      <c r="D50" s="715" t="s">
        <v>1319</v>
      </c>
      <c r="E50" s="789" t="s">
        <v>1183</v>
      </c>
      <c r="F50" s="789" t="s">
        <v>331</v>
      </c>
      <c r="G50" s="704" t="s">
        <v>402</v>
      </c>
      <c r="H50" s="1032">
        <f>BizRebates_Costs!G7</f>
        <v>67.125</v>
      </c>
      <c r="I50" s="1032">
        <v>0</v>
      </c>
      <c r="J50" s="704">
        <f t="shared" si="240"/>
        <v>67.125</v>
      </c>
      <c r="K50" s="1032">
        <v>0</v>
      </c>
      <c r="L50" s="704">
        <f t="shared" si="119"/>
        <v>33.5625</v>
      </c>
      <c r="M50" s="1026" t="s">
        <v>1320</v>
      </c>
      <c r="N50" s="1033">
        <v>10</v>
      </c>
      <c r="O50" s="1033">
        <v>10</v>
      </c>
      <c r="P50" s="707">
        <v>0</v>
      </c>
      <c r="Q50" s="707">
        <v>0</v>
      </c>
      <c r="R50" s="1021">
        <f>((70.8-37)/1000)*3379*1.08*0.929</f>
        <v>114.589377864</v>
      </c>
      <c r="S50" s="872">
        <f>((70.8-37)/1000)*0.929*1.3*0.67</f>
        <v>2.7349574200000001E-2</v>
      </c>
      <c r="T50" s="1022">
        <f>((70.8-37)/1000)*0.929*3379*-(0.015)</f>
        <v>-1.5915191369999997</v>
      </c>
      <c r="U50" s="1026" t="s">
        <v>1321</v>
      </c>
      <c r="V50" s="716">
        <v>0</v>
      </c>
      <c r="W50" s="711">
        <v>1</v>
      </c>
      <c r="X50" s="781">
        <v>1</v>
      </c>
      <c r="Y50" s="781">
        <v>0</v>
      </c>
      <c r="Z50" s="781">
        <v>1</v>
      </c>
      <c r="AA50" s="781">
        <v>0</v>
      </c>
      <c r="AB50" s="781">
        <f t="shared" si="336"/>
        <v>0.5</v>
      </c>
      <c r="AC50" s="1028">
        <f t="shared" ref="AC50:AD57" si="379">MROUND(AB50,1)</f>
        <v>1</v>
      </c>
      <c r="AD50" s="1028">
        <f t="shared" si="379"/>
        <v>1</v>
      </c>
      <c r="AE50" s="1034">
        <f>AD50</f>
        <v>1</v>
      </c>
      <c r="AF50" s="1034">
        <f>AE50*0.2</f>
        <v>0.2</v>
      </c>
      <c r="AG50" s="781">
        <v>0</v>
      </c>
      <c r="AH50" s="781">
        <v>0</v>
      </c>
      <c r="AI50" s="781">
        <v>0</v>
      </c>
      <c r="AJ50" s="781">
        <v>0</v>
      </c>
      <c r="AK50" s="715" t="s">
        <v>384</v>
      </c>
      <c r="AL50" s="711" t="s">
        <v>742</v>
      </c>
      <c r="AM50" s="715" t="s">
        <v>1186</v>
      </c>
      <c r="AN50" s="715" t="s">
        <v>1152</v>
      </c>
      <c r="AO50" s="711" t="s">
        <v>1</v>
      </c>
      <c r="AP50" s="1024"/>
      <c r="AQ50" s="1024"/>
      <c r="AR50" s="1024"/>
      <c r="AS50" s="715" t="s">
        <v>1153</v>
      </c>
      <c r="AT50" s="715" t="s">
        <v>745</v>
      </c>
      <c r="AU50" s="715" t="s">
        <v>746</v>
      </c>
      <c r="AV50" s="10">
        <v>20</v>
      </c>
      <c r="AW50" s="715">
        <v>15</v>
      </c>
      <c r="AX50" s="715" t="s">
        <v>1483</v>
      </c>
      <c r="AY50" s="716">
        <v>1</v>
      </c>
      <c r="AZ50" s="716">
        <v>1</v>
      </c>
      <c r="BA50" s="717">
        <v>0</v>
      </c>
      <c r="BB50" s="721">
        <f t="shared" si="139"/>
        <v>67.125</v>
      </c>
      <c r="BC50" s="499">
        <f t="shared" si="140"/>
        <v>67.125</v>
      </c>
      <c r="BD50" s="499">
        <f t="shared" si="141"/>
        <v>67.125</v>
      </c>
      <c r="BE50" s="499">
        <f t="shared" si="142"/>
        <v>67.125</v>
      </c>
      <c r="BF50" s="499">
        <f t="shared" si="143"/>
        <v>67.125</v>
      </c>
      <c r="BG50" s="499">
        <f t="shared" si="144"/>
        <v>67.125</v>
      </c>
      <c r="BH50" s="499">
        <f t="shared" si="145"/>
        <v>67.125</v>
      </c>
      <c r="BI50" s="721">
        <f t="shared" si="258"/>
        <v>0</v>
      </c>
      <c r="BJ50" s="499">
        <f t="shared" ref="BJ50:BM50" si="380">BI50</f>
        <v>0</v>
      </c>
      <c r="BK50" s="499">
        <f t="shared" si="380"/>
        <v>0</v>
      </c>
      <c r="BL50" s="499">
        <f t="shared" si="380"/>
        <v>0</v>
      </c>
      <c r="BM50" s="499">
        <f t="shared" si="380"/>
        <v>0</v>
      </c>
      <c r="BN50" s="499">
        <f t="shared" si="147"/>
        <v>0</v>
      </c>
      <c r="BO50" s="499">
        <f t="shared" si="148"/>
        <v>0</v>
      </c>
      <c r="BP50" s="721">
        <f t="shared" si="260"/>
        <v>10</v>
      </c>
      <c r="BQ50" s="499">
        <f t="shared" si="332"/>
        <v>10</v>
      </c>
      <c r="BR50" s="499">
        <f t="shared" si="149"/>
        <v>10</v>
      </c>
      <c r="BS50" s="499">
        <f t="shared" si="150"/>
        <v>10</v>
      </c>
      <c r="BT50" s="499">
        <f t="shared" si="151"/>
        <v>10</v>
      </c>
      <c r="BU50" s="499">
        <f t="shared" si="152"/>
        <v>10</v>
      </c>
      <c r="BV50" s="499">
        <f t="shared" si="153"/>
        <v>10</v>
      </c>
      <c r="BW50" s="774">
        <f t="shared" si="196"/>
        <v>0</v>
      </c>
      <c r="BX50" s="503">
        <f t="shared" si="196"/>
        <v>0</v>
      </c>
      <c r="BY50" s="503">
        <f t="shared" si="196"/>
        <v>0</v>
      </c>
      <c r="BZ50" s="503">
        <f t="shared" si="196"/>
        <v>0</v>
      </c>
      <c r="CA50" s="503">
        <f t="shared" si="196"/>
        <v>0</v>
      </c>
      <c r="CB50" s="503">
        <f t="shared" si="196"/>
        <v>0</v>
      </c>
      <c r="CC50" s="503">
        <f t="shared" si="196"/>
        <v>0</v>
      </c>
      <c r="CD50" s="722">
        <f t="shared" si="261"/>
        <v>114.589377864</v>
      </c>
      <c r="CE50" s="511">
        <f t="shared" ref="CE50:CH50" si="381">CD50</f>
        <v>114.589377864</v>
      </c>
      <c r="CF50" s="511">
        <f t="shared" si="381"/>
        <v>114.589377864</v>
      </c>
      <c r="CG50" s="511">
        <f t="shared" si="381"/>
        <v>114.589377864</v>
      </c>
      <c r="CH50" s="511">
        <f t="shared" si="381"/>
        <v>114.589377864</v>
      </c>
      <c r="CI50" s="511">
        <f t="shared" si="103"/>
        <v>114.589377864</v>
      </c>
      <c r="CJ50" s="511">
        <f t="shared" si="104"/>
        <v>114.589377864</v>
      </c>
      <c r="CK50" s="722">
        <f t="shared" si="263"/>
        <v>2.7349574200000001E-2</v>
      </c>
      <c r="CL50" s="511">
        <f t="shared" ref="CL50:CO50" si="382">CK50</f>
        <v>2.7349574200000001E-2</v>
      </c>
      <c r="CM50" s="511">
        <f t="shared" si="382"/>
        <v>2.7349574200000001E-2</v>
      </c>
      <c r="CN50" s="511">
        <f t="shared" si="382"/>
        <v>2.7349574200000001E-2</v>
      </c>
      <c r="CO50" s="511">
        <f t="shared" si="382"/>
        <v>2.7349574200000001E-2</v>
      </c>
      <c r="CP50" s="511">
        <f t="shared" si="106"/>
        <v>2.7349574200000001E-2</v>
      </c>
      <c r="CQ50" s="511">
        <f t="shared" si="107"/>
        <v>2.7349574200000001E-2</v>
      </c>
      <c r="CR50" s="722">
        <f t="shared" si="265"/>
        <v>0</v>
      </c>
      <c r="CS50" s="511">
        <f t="shared" ref="CS50:CV50" si="383">CR50</f>
        <v>0</v>
      </c>
      <c r="CT50" s="511">
        <f t="shared" si="383"/>
        <v>0</v>
      </c>
      <c r="CU50" s="511">
        <f t="shared" si="383"/>
        <v>0</v>
      </c>
      <c r="CV50" s="511">
        <f t="shared" si="383"/>
        <v>0</v>
      </c>
      <c r="CW50" s="511">
        <f t="shared" si="109"/>
        <v>0</v>
      </c>
      <c r="CX50" s="539">
        <f t="shared" si="110"/>
        <v>0</v>
      </c>
      <c r="CY50" s="724">
        <f t="shared" si="267"/>
        <v>67.125</v>
      </c>
      <c r="CZ50" s="508">
        <f t="shared" si="268"/>
        <v>67.125</v>
      </c>
      <c r="DA50" s="508">
        <f t="shared" si="269"/>
        <v>13.425000000000001</v>
      </c>
      <c r="DB50" s="508">
        <f t="shared" si="270"/>
        <v>0</v>
      </c>
      <c r="DC50" s="508">
        <f t="shared" si="271"/>
        <v>0</v>
      </c>
      <c r="DD50" s="508">
        <f t="shared" si="272"/>
        <v>0</v>
      </c>
      <c r="DE50" s="726">
        <f t="shared" si="273"/>
        <v>0</v>
      </c>
      <c r="DF50" s="724">
        <f t="shared" si="274"/>
        <v>0</v>
      </c>
      <c r="DG50" s="509">
        <f t="shared" si="275"/>
        <v>0</v>
      </c>
      <c r="DH50" s="509">
        <f t="shared" si="276"/>
        <v>0</v>
      </c>
      <c r="DI50" s="509">
        <f t="shared" si="277"/>
        <v>0</v>
      </c>
      <c r="DJ50" s="509">
        <f t="shared" si="278"/>
        <v>0</v>
      </c>
      <c r="DK50" s="509">
        <f t="shared" si="279"/>
        <v>0</v>
      </c>
      <c r="DL50" s="451">
        <f t="shared" si="280"/>
        <v>0</v>
      </c>
      <c r="DM50" s="509">
        <f t="shared" si="281"/>
        <v>10</v>
      </c>
      <c r="DN50" s="509">
        <f t="shared" si="282"/>
        <v>10</v>
      </c>
      <c r="DO50" s="509">
        <f t="shared" si="283"/>
        <v>2</v>
      </c>
      <c r="DP50" s="509">
        <f t="shared" si="284"/>
        <v>0</v>
      </c>
      <c r="DQ50" s="509">
        <f t="shared" si="285"/>
        <v>0</v>
      </c>
      <c r="DR50" s="509">
        <f t="shared" si="286"/>
        <v>0</v>
      </c>
      <c r="DS50" s="450">
        <f t="shared" si="287"/>
        <v>0</v>
      </c>
      <c r="DT50" s="724">
        <f t="shared" si="288"/>
        <v>0</v>
      </c>
      <c r="DU50" s="508">
        <f t="shared" si="289"/>
        <v>0</v>
      </c>
      <c r="DV50" s="508">
        <f t="shared" si="290"/>
        <v>0</v>
      </c>
      <c r="DW50" s="508">
        <f t="shared" si="291"/>
        <v>0</v>
      </c>
      <c r="DX50" s="508">
        <f t="shared" si="292"/>
        <v>0</v>
      </c>
      <c r="DY50" s="508">
        <f t="shared" si="293"/>
        <v>0</v>
      </c>
      <c r="DZ50" s="726">
        <f t="shared" si="294"/>
        <v>0</v>
      </c>
      <c r="EA50" s="722">
        <f t="shared" si="295"/>
        <v>114.589377864</v>
      </c>
      <c r="EB50" s="511">
        <f t="shared" si="296"/>
        <v>114.589377864</v>
      </c>
      <c r="EC50" s="511">
        <f t="shared" si="297"/>
        <v>22.9178755728</v>
      </c>
      <c r="ED50" s="511">
        <f t="shared" si="298"/>
        <v>0</v>
      </c>
      <c r="EE50" s="511">
        <f t="shared" si="299"/>
        <v>0</v>
      </c>
      <c r="EF50" s="511">
        <f t="shared" si="300"/>
        <v>0</v>
      </c>
      <c r="EG50" s="723">
        <f t="shared" si="301"/>
        <v>0</v>
      </c>
      <c r="EH50" s="397">
        <f t="shared" si="302"/>
        <v>2.7349574200000001E-2</v>
      </c>
      <c r="EI50" s="397">
        <f t="shared" si="303"/>
        <v>2.7349574200000001E-2</v>
      </c>
      <c r="EJ50" s="397">
        <f t="shared" si="304"/>
        <v>5.4699148400000003E-3</v>
      </c>
      <c r="EK50" s="397">
        <f t="shared" si="305"/>
        <v>0</v>
      </c>
      <c r="EL50" s="397">
        <f t="shared" si="306"/>
        <v>0</v>
      </c>
      <c r="EM50" s="397">
        <f t="shared" si="307"/>
        <v>0</v>
      </c>
      <c r="EN50" s="398">
        <f t="shared" si="308"/>
        <v>0</v>
      </c>
      <c r="EO50" s="722">
        <f t="shared" si="309"/>
        <v>0</v>
      </c>
      <c r="EP50" s="511">
        <f t="shared" si="310"/>
        <v>0</v>
      </c>
      <c r="EQ50" s="511">
        <f t="shared" si="311"/>
        <v>0</v>
      </c>
      <c r="ER50" s="511">
        <f t="shared" si="312"/>
        <v>0</v>
      </c>
      <c r="ES50" s="511">
        <f t="shared" si="313"/>
        <v>0</v>
      </c>
      <c r="ET50" s="511">
        <f t="shared" si="314"/>
        <v>0</v>
      </c>
      <c r="EU50" s="723">
        <f t="shared" si="315"/>
        <v>0</v>
      </c>
      <c r="EV50" s="977">
        <f t="shared" si="316"/>
        <v>2.2000000000000002</v>
      </c>
      <c r="EW50" s="728">
        <f t="shared" si="317"/>
        <v>147.67500000000001</v>
      </c>
      <c r="EX50" s="728">
        <f t="shared" si="318"/>
        <v>0</v>
      </c>
      <c r="EY50" s="728">
        <f t="shared" si="319"/>
        <v>22</v>
      </c>
      <c r="EZ50" s="728">
        <f t="shared" si="320"/>
        <v>0</v>
      </c>
      <c r="FA50" s="978">
        <f t="shared" si="321"/>
        <v>252.0966313008</v>
      </c>
      <c r="FB50" s="978">
        <f t="shared" si="322"/>
        <v>6.0169063240000001E-2</v>
      </c>
      <c r="FC50" s="778">
        <f t="shared" si="323"/>
        <v>0</v>
      </c>
      <c r="FE50" s="10" t="b">
        <f t="shared" si="324"/>
        <v>1</v>
      </c>
      <c r="FF50" s="10" t="b">
        <f t="shared" si="325"/>
        <v>1</v>
      </c>
      <c r="FG50" s="10" t="b">
        <f t="shared" si="326"/>
        <v>1</v>
      </c>
      <c r="FH50" s="10" t="b">
        <f t="shared" si="327"/>
        <v>1</v>
      </c>
      <c r="FI50" s="10" t="b">
        <f t="shared" si="328"/>
        <v>1</v>
      </c>
      <c r="FJ50" s="10" t="b">
        <f t="shared" si="329"/>
        <v>1</v>
      </c>
      <c r="FK50" s="10" t="b">
        <f t="shared" si="330"/>
        <v>1</v>
      </c>
      <c r="FL50" s="10" t="b">
        <f t="shared" si="350"/>
        <v>1</v>
      </c>
    </row>
    <row r="51" spans="1:168" s="10" customFormat="1" ht="12.5">
      <c r="A51" s="662">
        <v>46</v>
      </c>
      <c r="B51" s="789" t="s">
        <v>1322</v>
      </c>
      <c r="C51" s="662" t="s">
        <v>1318</v>
      </c>
      <c r="D51" s="715" t="s">
        <v>1323</v>
      </c>
      <c r="E51" s="789" t="s">
        <v>1183</v>
      </c>
      <c r="F51" s="789" t="s">
        <v>331</v>
      </c>
      <c r="G51" s="704" t="s">
        <v>402</v>
      </c>
      <c r="H51" s="1032">
        <f>BizRebates_Costs!G30</f>
        <v>326.08199999999999</v>
      </c>
      <c r="I51" s="1032">
        <v>0</v>
      </c>
      <c r="J51" s="704">
        <f t="shared" si="240"/>
        <v>326.08199999999999</v>
      </c>
      <c r="K51" s="1032">
        <v>-2.17</v>
      </c>
      <c r="L51" s="704">
        <f t="shared" si="119"/>
        <v>163.041</v>
      </c>
      <c r="M51" s="1026" t="s">
        <v>1324</v>
      </c>
      <c r="N51" s="1033">
        <v>25</v>
      </c>
      <c r="O51" s="1033">
        <v>25</v>
      </c>
      <c r="P51" s="707">
        <v>0</v>
      </c>
      <c r="Q51" s="707">
        <v>0</v>
      </c>
      <c r="R51" s="1021">
        <f>((737-235.6)/1000)*4212*1*1</f>
        <v>2111.8968</v>
      </c>
      <c r="S51" s="872">
        <f>((737-235.6)/1000)*1*1*0.65</f>
        <v>0.32590999999999998</v>
      </c>
      <c r="T51" s="1022">
        <f>(-R51/1)*0.00073*10</f>
        <v>-15.416846639999999</v>
      </c>
      <c r="U51" s="1026" t="s">
        <v>1325</v>
      </c>
      <c r="V51" s="716">
        <v>0</v>
      </c>
      <c r="W51" s="711">
        <v>1</v>
      </c>
      <c r="X51" s="781">
        <v>0</v>
      </c>
      <c r="Y51" s="781">
        <v>0</v>
      </c>
      <c r="Z51" s="781">
        <v>0</v>
      </c>
      <c r="AA51" s="781">
        <v>0</v>
      </c>
      <c r="AB51" s="781">
        <f t="shared" si="336"/>
        <v>0</v>
      </c>
      <c r="AC51" s="1028">
        <f t="shared" si="379"/>
        <v>0</v>
      </c>
      <c r="AD51" s="1028">
        <f t="shared" si="379"/>
        <v>0</v>
      </c>
      <c r="AE51" s="1034">
        <f t="shared" ref="AE51:AE58" si="384">AD51</f>
        <v>0</v>
      </c>
      <c r="AF51" s="1034">
        <f t="shared" ref="AF51:AF57" si="385">(AE51*(1+0.2))*0.2</f>
        <v>0</v>
      </c>
      <c r="AG51" s="781">
        <v>0</v>
      </c>
      <c r="AH51" s="781">
        <v>0</v>
      </c>
      <c r="AI51" s="781">
        <v>0</v>
      </c>
      <c r="AJ51" s="781">
        <v>0</v>
      </c>
      <c r="AK51" s="715" t="s">
        <v>384</v>
      </c>
      <c r="AL51" s="711" t="s">
        <v>742</v>
      </c>
      <c r="AM51" s="715" t="s">
        <v>1186</v>
      </c>
      <c r="AN51" s="715" t="s">
        <v>1152</v>
      </c>
      <c r="AO51" s="711" t="s">
        <v>1</v>
      </c>
      <c r="AP51" s="1024"/>
      <c r="AQ51" s="1024"/>
      <c r="AR51" s="1024"/>
      <c r="AS51" s="715" t="s">
        <v>1153</v>
      </c>
      <c r="AT51" s="715" t="s">
        <v>745</v>
      </c>
      <c r="AU51" s="715" t="s">
        <v>746</v>
      </c>
      <c r="AV51" s="715">
        <v>20</v>
      </c>
      <c r="AW51" s="715">
        <v>15</v>
      </c>
      <c r="AX51" s="715" t="s">
        <v>1484</v>
      </c>
      <c r="AY51" s="716">
        <v>1</v>
      </c>
      <c r="AZ51" s="716">
        <v>1</v>
      </c>
      <c r="BA51" s="717">
        <v>0</v>
      </c>
      <c r="BB51" s="721">
        <f t="shared" si="139"/>
        <v>326.08199999999999</v>
      </c>
      <c r="BC51" s="499">
        <f t="shared" si="140"/>
        <v>326.08199999999999</v>
      </c>
      <c r="BD51" s="499">
        <f t="shared" si="141"/>
        <v>326.08199999999999</v>
      </c>
      <c r="BE51" s="499">
        <f t="shared" si="142"/>
        <v>326.08199999999999</v>
      </c>
      <c r="BF51" s="499">
        <f t="shared" si="143"/>
        <v>326.08199999999999</v>
      </c>
      <c r="BG51" s="499">
        <f t="shared" si="144"/>
        <v>326.08199999999999</v>
      </c>
      <c r="BH51" s="499">
        <f t="shared" si="145"/>
        <v>326.08199999999999</v>
      </c>
      <c r="BI51" s="721">
        <f t="shared" si="258"/>
        <v>-2.17</v>
      </c>
      <c r="BJ51" s="499">
        <f t="shared" ref="BJ51:BM51" si="386">BI51</f>
        <v>-2.17</v>
      </c>
      <c r="BK51" s="499">
        <f t="shared" si="386"/>
        <v>-2.17</v>
      </c>
      <c r="BL51" s="499">
        <f t="shared" si="386"/>
        <v>-2.17</v>
      </c>
      <c r="BM51" s="499">
        <f t="shared" si="386"/>
        <v>-2.17</v>
      </c>
      <c r="BN51" s="499">
        <f t="shared" si="147"/>
        <v>-2.17</v>
      </c>
      <c r="BO51" s="499">
        <f t="shared" si="148"/>
        <v>-2.17</v>
      </c>
      <c r="BP51" s="721">
        <f t="shared" si="260"/>
        <v>25</v>
      </c>
      <c r="BQ51" s="499">
        <f t="shared" si="332"/>
        <v>25</v>
      </c>
      <c r="BR51" s="499">
        <f t="shared" si="149"/>
        <v>25</v>
      </c>
      <c r="BS51" s="499">
        <f t="shared" si="150"/>
        <v>25</v>
      </c>
      <c r="BT51" s="499">
        <f t="shared" si="151"/>
        <v>25</v>
      </c>
      <c r="BU51" s="499">
        <f t="shared" si="152"/>
        <v>25</v>
      </c>
      <c r="BV51" s="499">
        <f t="shared" si="153"/>
        <v>25</v>
      </c>
      <c r="BW51" s="774">
        <f t="shared" si="196"/>
        <v>0</v>
      </c>
      <c r="BX51" s="503">
        <f t="shared" si="196"/>
        <v>0</v>
      </c>
      <c r="BY51" s="503">
        <f t="shared" si="196"/>
        <v>0</v>
      </c>
      <c r="BZ51" s="503">
        <f t="shared" si="196"/>
        <v>0</v>
      </c>
      <c r="CA51" s="503">
        <f t="shared" si="196"/>
        <v>0</v>
      </c>
      <c r="CB51" s="503">
        <f t="shared" si="196"/>
        <v>0</v>
      </c>
      <c r="CC51" s="503">
        <f t="shared" si="196"/>
        <v>0</v>
      </c>
      <c r="CD51" s="722">
        <f t="shared" si="261"/>
        <v>2111.8968</v>
      </c>
      <c r="CE51" s="511">
        <f t="shared" ref="CE51:CH51" si="387">CD51</f>
        <v>2111.8968</v>
      </c>
      <c r="CF51" s="511">
        <f t="shared" si="387"/>
        <v>2111.8968</v>
      </c>
      <c r="CG51" s="511">
        <f t="shared" si="387"/>
        <v>2111.8968</v>
      </c>
      <c r="CH51" s="511">
        <f t="shared" si="387"/>
        <v>2111.8968</v>
      </c>
      <c r="CI51" s="511">
        <f t="shared" si="103"/>
        <v>2111.8968</v>
      </c>
      <c r="CJ51" s="511">
        <f t="shared" si="104"/>
        <v>2111.8968</v>
      </c>
      <c r="CK51" s="722">
        <f t="shared" si="263"/>
        <v>0.32590999999999998</v>
      </c>
      <c r="CL51" s="511">
        <f t="shared" ref="CL51:CO51" si="388">CK51</f>
        <v>0.32590999999999998</v>
      </c>
      <c r="CM51" s="511">
        <f t="shared" si="388"/>
        <v>0.32590999999999998</v>
      </c>
      <c r="CN51" s="511">
        <f t="shared" si="388"/>
        <v>0.32590999999999998</v>
      </c>
      <c r="CO51" s="511">
        <f t="shared" si="388"/>
        <v>0.32590999999999998</v>
      </c>
      <c r="CP51" s="511">
        <f t="shared" si="106"/>
        <v>0.32590999999999998</v>
      </c>
      <c r="CQ51" s="511">
        <f t="shared" si="107"/>
        <v>0.32590999999999998</v>
      </c>
      <c r="CR51" s="722">
        <f t="shared" si="265"/>
        <v>0</v>
      </c>
      <c r="CS51" s="511">
        <f t="shared" ref="CS51:CV51" si="389">CR51</f>
        <v>0</v>
      </c>
      <c r="CT51" s="511">
        <f t="shared" si="389"/>
        <v>0</v>
      </c>
      <c r="CU51" s="511">
        <f t="shared" si="389"/>
        <v>0</v>
      </c>
      <c r="CV51" s="511">
        <f t="shared" si="389"/>
        <v>0</v>
      </c>
      <c r="CW51" s="511">
        <f t="shared" si="109"/>
        <v>0</v>
      </c>
      <c r="CX51" s="539">
        <f t="shared" si="110"/>
        <v>0</v>
      </c>
      <c r="CY51" s="724">
        <f t="shared" si="267"/>
        <v>0</v>
      </c>
      <c r="CZ51" s="508">
        <f t="shared" si="268"/>
        <v>0</v>
      </c>
      <c r="DA51" s="508">
        <f t="shared" si="269"/>
        <v>0</v>
      </c>
      <c r="DB51" s="508">
        <f t="shared" si="270"/>
        <v>0</v>
      </c>
      <c r="DC51" s="508">
        <f t="shared" si="271"/>
        <v>0</v>
      </c>
      <c r="DD51" s="508">
        <f t="shared" si="272"/>
        <v>0</v>
      </c>
      <c r="DE51" s="726">
        <f t="shared" si="273"/>
        <v>0</v>
      </c>
      <c r="DF51" s="724">
        <f t="shared" si="274"/>
        <v>0</v>
      </c>
      <c r="DG51" s="509">
        <f t="shared" si="275"/>
        <v>0</v>
      </c>
      <c r="DH51" s="509">
        <f t="shared" si="276"/>
        <v>0</v>
      </c>
      <c r="DI51" s="509">
        <f t="shared" si="277"/>
        <v>0</v>
      </c>
      <c r="DJ51" s="509">
        <f t="shared" si="278"/>
        <v>0</v>
      </c>
      <c r="DK51" s="509">
        <f t="shared" si="279"/>
        <v>0</v>
      </c>
      <c r="DL51" s="451">
        <f t="shared" si="280"/>
        <v>0</v>
      </c>
      <c r="DM51" s="509">
        <f t="shared" si="281"/>
        <v>0</v>
      </c>
      <c r="DN51" s="509">
        <f t="shared" si="282"/>
        <v>0</v>
      </c>
      <c r="DO51" s="509">
        <f t="shared" si="283"/>
        <v>0</v>
      </c>
      <c r="DP51" s="509">
        <f t="shared" si="284"/>
        <v>0</v>
      </c>
      <c r="DQ51" s="509">
        <f t="shared" si="285"/>
        <v>0</v>
      </c>
      <c r="DR51" s="509">
        <f t="shared" si="286"/>
        <v>0</v>
      </c>
      <c r="DS51" s="450">
        <f t="shared" si="287"/>
        <v>0</v>
      </c>
      <c r="DT51" s="724">
        <f t="shared" si="288"/>
        <v>0</v>
      </c>
      <c r="DU51" s="508">
        <f t="shared" si="289"/>
        <v>0</v>
      </c>
      <c r="DV51" s="508">
        <f t="shared" si="290"/>
        <v>0</v>
      </c>
      <c r="DW51" s="508">
        <f t="shared" si="291"/>
        <v>0</v>
      </c>
      <c r="DX51" s="508">
        <f t="shared" si="292"/>
        <v>0</v>
      </c>
      <c r="DY51" s="508">
        <f t="shared" si="293"/>
        <v>0</v>
      </c>
      <c r="DZ51" s="726">
        <f t="shared" si="294"/>
        <v>0</v>
      </c>
      <c r="EA51" s="722">
        <f t="shared" si="295"/>
        <v>0</v>
      </c>
      <c r="EB51" s="511">
        <f t="shared" si="296"/>
        <v>0</v>
      </c>
      <c r="EC51" s="511">
        <f t="shared" si="297"/>
        <v>0</v>
      </c>
      <c r="ED51" s="511">
        <f t="shared" si="298"/>
        <v>0</v>
      </c>
      <c r="EE51" s="511">
        <f t="shared" si="299"/>
        <v>0</v>
      </c>
      <c r="EF51" s="511">
        <f t="shared" si="300"/>
        <v>0</v>
      </c>
      <c r="EG51" s="723">
        <f t="shared" si="301"/>
        <v>0</v>
      </c>
      <c r="EH51" s="397">
        <f t="shared" si="302"/>
        <v>0</v>
      </c>
      <c r="EI51" s="397">
        <f t="shared" si="303"/>
        <v>0</v>
      </c>
      <c r="EJ51" s="397">
        <f t="shared" si="304"/>
        <v>0</v>
      </c>
      <c r="EK51" s="397">
        <f t="shared" si="305"/>
        <v>0</v>
      </c>
      <c r="EL51" s="397">
        <f t="shared" si="306"/>
        <v>0</v>
      </c>
      <c r="EM51" s="397">
        <f t="shared" si="307"/>
        <v>0</v>
      </c>
      <c r="EN51" s="398">
        <f t="shared" si="308"/>
        <v>0</v>
      </c>
      <c r="EO51" s="722">
        <f t="shared" si="309"/>
        <v>0</v>
      </c>
      <c r="EP51" s="511">
        <f t="shared" si="310"/>
        <v>0</v>
      </c>
      <c r="EQ51" s="511">
        <f t="shared" si="311"/>
        <v>0</v>
      </c>
      <c r="ER51" s="511">
        <f t="shared" si="312"/>
        <v>0</v>
      </c>
      <c r="ES51" s="511">
        <f t="shared" si="313"/>
        <v>0</v>
      </c>
      <c r="ET51" s="511">
        <f t="shared" si="314"/>
        <v>0</v>
      </c>
      <c r="EU51" s="723">
        <f t="shared" si="315"/>
        <v>0</v>
      </c>
      <c r="EV51" s="977">
        <f t="shared" si="316"/>
        <v>0</v>
      </c>
      <c r="EW51" s="728">
        <f t="shared" si="317"/>
        <v>0</v>
      </c>
      <c r="EX51" s="728">
        <f t="shared" si="318"/>
        <v>0</v>
      </c>
      <c r="EY51" s="728">
        <f t="shared" si="319"/>
        <v>0</v>
      </c>
      <c r="EZ51" s="728">
        <f t="shared" si="320"/>
        <v>0</v>
      </c>
      <c r="FA51" s="978">
        <f t="shared" si="321"/>
        <v>0</v>
      </c>
      <c r="FB51" s="978">
        <f t="shared" si="322"/>
        <v>0</v>
      </c>
      <c r="FC51" s="778">
        <f t="shared" si="323"/>
        <v>0</v>
      </c>
      <c r="FE51" s="10" t="b">
        <f t="shared" si="324"/>
        <v>1</v>
      </c>
      <c r="FF51" s="10" t="b">
        <f t="shared" si="325"/>
        <v>1</v>
      </c>
      <c r="FG51" s="10" t="b">
        <f t="shared" si="326"/>
        <v>1</v>
      </c>
      <c r="FH51" s="10" t="b">
        <f t="shared" si="327"/>
        <v>1</v>
      </c>
      <c r="FI51" s="10" t="b">
        <f t="shared" si="328"/>
        <v>1</v>
      </c>
      <c r="FJ51" s="10" t="b">
        <f t="shared" si="329"/>
        <v>1</v>
      </c>
      <c r="FK51" s="10" t="b">
        <f t="shared" si="330"/>
        <v>1</v>
      </c>
      <c r="FL51" s="10" t="b">
        <f t="shared" si="350"/>
        <v>1</v>
      </c>
    </row>
    <row r="52" spans="1:168" s="10" customFormat="1" ht="12.5">
      <c r="A52" s="662">
        <v>47</v>
      </c>
      <c r="B52" s="789" t="s">
        <v>1326</v>
      </c>
      <c r="C52" s="662" t="s">
        <v>1318</v>
      </c>
      <c r="D52" s="715" t="s">
        <v>1327</v>
      </c>
      <c r="E52" s="789" t="s">
        <v>1183</v>
      </c>
      <c r="F52" s="789" t="s">
        <v>331</v>
      </c>
      <c r="G52" s="704" t="s">
        <v>402</v>
      </c>
      <c r="H52" s="1032">
        <f>BizRebates_Costs!G33</f>
        <v>30.205000000000002</v>
      </c>
      <c r="I52" s="1032">
        <v>0</v>
      </c>
      <c r="J52" s="704">
        <f t="shared" si="240"/>
        <v>30.205000000000002</v>
      </c>
      <c r="K52" s="1032">
        <v>0</v>
      </c>
      <c r="L52" s="704">
        <f t="shared" si="119"/>
        <v>15.102500000000001</v>
      </c>
      <c r="M52" s="1026" t="s">
        <v>1328</v>
      </c>
      <c r="N52" s="1033">
        <v>3</v>
      </c>
      <c r="O52" s="1033">
        <v>3</v>
      </c>
      <c r="P52" s="707">
        <v>0</v>
      </c>
      <c r="Q52" s="707">
        <v>0</v>
      </c>
      <c r="R52" s="1021">
        <f>(9.375/1000)*4212*1*1</f>
        <v>39.487499999999997</v>
      </c>
      <c r="S52" s="872">
        <f>(9.375/1000)*1*1*0.65</f>
        <v>6.0937500000000002E-3</v>
      </c>
      <c r="T52" s="1022">
        <f>(-R52/1)*0.00073*10</f>
        <v>-0.28825874999999995</v>
      </c>
      <c r="U52" s="1026" t="s">
        <v>1329</v>
      </c>
      <c r="V52" s="716">
        <v>0</v>
      </c>
      <c r="W52" s="711">
        <v>1</v>
      </c>
      <c r="X52" s="781">
        <v>0</v>
      </c>
      <c r="Y52" s="781">
        <v>0</v>
      </c>
      <c r="Z52" s="781">
        <v>0</v>
      </c>
      <c r="AA52" s="781">
        <v>12142.285714285714</v>
      </c>
      <c r="AB52" s="781">
        <f t="shared" si="336"/>
        <v>6071.1428571428569</v>
      </c>
      <c r="AC52" s="1028">
        <f>MROUND(AB52,1)</f>
        <v>6071</v>
      </c>
      <c r="AD52" s="1028">
        <f t="shared" si="379"/>
        <v>6071</v>
      </c>
      <c r="AE52" s="1034">
        <f t="shared" si="384"/>
        <v>6071</v>
      </c>
      <c r="AF52" s="1034">
        <f t="shared" si="385"/>
        <v>1457.04</v>
      </c>
      <c r="AG52" s="781">
        <v>0</v>
      </c>
      <c r="AH52" s="781">
        <v>0</v>
      </c>
      <c r="AI52" s="781">
        <v>0</v>
      </c>
      <c r="AJ52" s="781">
        <v>0</v>
      </c>
      <c r="AK52" s="715" t="s">
        <v>384</v>
      </c>
      <c r="AL52" s="711" t="s">
        <v>742</v>
      </c>
      <c r="AM52" s="715" t="s">
        <v>1186</v>
      </c>
      <c r="AN52" s="715" t="s">
        <v>1152</v>
      </c>
      <c r="AO52" s="711" t="s">
        <v>1</v>
      </c>
      <c r="AP52" s="1024"/>
      <c r="AQ52" s="1024"/>
      <c r="AR52" s="1024"/>
      <c r="AS52" s="715" t="s">
        <v>1153</v>
      </c>
      <c r="AT52" s="715" t="s">
        <v>745</v>
      </c>
      <c r="AU52" s="715" t="s">
        <v>746</v>
      </c>
      <c r="AV52" s="715">
        <v>20</v>
      </c>
      <c r="AW52" s="715">
        <v>15</v>
      </c>
      <c r="AX52" s="715" t="s">
        <v>1483</v>
      </c>
      <c r="AY52" s="716">
        <v>1</v>
      </c>
      <c r="AZ52" s="716">
        <v>1</v>
      </c>
      <c r="BA52" s="717">
        <v>0</v>
      </c>
      <c r="BB52" s="721">
        <f t="shared" si="139"/>
        <v>30.205000000000002</v>
      </c>
      <c r="BC52" s="499">
        <f t="shared" si="140"/>
        <v>30.205000000000002</v>
      </c>
      <c r="BD52" s="499">
        <f t="shared" si="141"/>
        <v>30.205000000000002</v>
      </c>
      <c r="BE52" s="499">
        <f t="shared" si="142"/>
        <v>30.205000000000002</v>
      </c>
      <c r="BF52" s="499">
        <f t="shared" si="143"/>
        <v>30.205000000000002</v>
      </c>
      <c r="BG52" s="499">
        <f t="shared" si="144"/>
        <v>30.205000000000002</v>
      </c>
      <c r="BH52" s="499">
        <f t="shared" si="145"/>
        <v>30.205000000000002</v>
      </c>
      <c r="BI52" s="721">
        <f t="shared" si="258"/>
        <v>0</v>
      </c>
      <c r="BJ52" s="499">
        <f t="shared" ref="BJ52:BM52" si="390">BI52</f>
        <v>0</v>
      </c>
      <c r="BK52" s="499">
        <f t="shared" si="390"/>
        <v>0</v>
      </c>
      <c r="BL52" s="499">
        <f t="shared" si="390"/>
        <v>0</v>
      </c>
      <c r="BM52" s="499">
        <f t="shared" si="390"/>
        <v>0</v>
      </c>
      <c r="BN52" s="499">
        <f t="shared" si="147"/>
        <v>0</v>
      </c>
      <c r="BO52" s="499">
        <f t="shared" si="148"/>
        <v>0</v>
      </c>
      <c r="BP52" s="721">
        <f t="shared" si="260"/>
        <v>3</v>
      </c>
      <c r="BQ52" s="499">
        <f t="shared" si="332"/>
        <v>3</v>
      </c>
      <c r="BR52" s="499">
        <f t="shared" si="149"/>
        <v>3</v>
      </c>
      <c r="BS52" s="499">
        <f t="shared" si="150"/>
        <v>3</v>
      </c>
      <c r="BT52" s="499">
        <f t="shared" si="151"/>
        <v>3</v>
      </c>
      <c r="BU52" s="499">
        <f t="shared" si="152"/>
        <v>3</v>
      </c>
      <c r="BV52" s="499">
        <f t="shared" si="153"/>
        <v>3</v>
      </c>
      <c r="BW52" s="774">
        <f t="shared" si="196"/>
        <v>0</v>
      </c>
      <c r="BX52" s="503">
        <f t="shared" si="196"/>
        <v>0</v>
      </c>
      <c r="BY52" s="503">
        <f t="shared" si="196"/>
        <v>0</v>
      </c>
      <c r="BZ52" s="503">
        <f t="shared" si="196"/>
        <v>0</v>
      </c>
      <c r="CA52" s="503">
        <f t="shared" si="196"/>
        <v>0</v>
      </c>
      <c r="CB52" s="503">
        <f t="shared" si="196"/>
        <v>0</v>
      </c>
      <c r="CC52" s="503">
        <f t="shared" si="196"/>
        <v>0</v>
      </c>
      <c r="CD52" s="722">
        <f t="shared" si="261"/>
        <v>39.487499999999997</v>
      </c>
      <c r="CE52" s="511">
        <f t="shared" ref="CE52:CH52" si="391">CD52</f>
        <v>39.487499999999997</v>
      </c>
      <c r="CF52" s="511">
        <f t="shared" si="391"/>
        <v>39.487499999999997</v>
      </c>
      <c r="CG52" s="511">
        <f t="shared" si="391"/>
        <v>39.487499999999997</v>
      </c>
      <c r="CH52" s="511">
        <f t="shared" si="391"/>
        <v>39.487499999999997</v>
      </c>
      <c r="CI52" s="511">
        <f t="shared" si="103"/>
        <v>39.487499999999997</v>
      </c>
      <c r="CJ52" s="511">
        <f t="shared" si="104"/>
        <v>39.487499999999997</v>
      </c>
      <c r="CK52" s="722">
        <f t="shared" si="263"/>
        <v>6.0937500000000002E-3</v>
      </c>
      <c r="CL52" s="511">
        <f t="shared" ref="CL52:CO52" si="392">CK52</f>
        <v>6.0937500000000002E-3</v>
      </c>
      <c r="CM52" s="511">
        <f t="shared" si="392"/>
        <v>6.0937500000000002E-3</v>
      </c>
      <c r="CN52" s="511">
        <f t="shared" si="392"/>
        <v>6.0937500000000002E-3</v>
      </c>
      <c r="CO52" s="511">
        <f t="shared" si="392"/>
        <v>6.0937500000000002E-3</v>
      </c>
      <c r="CP52" s="511">
        <f t="shared" si="106"/>
        <v>6.0937500000000002E-3</v>
      </c>
      <c r="CQ52" s="511">
        <f t="shared" si="107"/>
        <v>6.0937500000000002E-3</v>
      </c>
      <c r="CR52" s="722">
        <f t="shared" si="265"/>
        <v>0</v>
      </c>
      <c r="CS52" s="511">
        <f t="shared" ref="CS52:CV52" si="393">CR52</f>
        <v>0</v>
      </c>
      <c r="CT52" s="511">
        <f t="shared" si="393"/>
        <v>0</v>
      </c>
      <c r="CU52" s="511">
        <f t="shared" si="393"/>
        <v>0</v>
      </c>
      <c r="CV52" s="511">
        <f t="shared" si="393"/>
        <v>0</v>
      </c>
      <c r="CW52" s="511">
        <f t="shared" si="109"/>
        <v>0</v>
      </c>
      <c r="CX52" s="539">
        <f t="shared" si="110"/>
        <v>0</v>
      </c>
      <c r="CY52" s="724">
        <f t="shared" si="267"/>
        <v>183374.55500000002</v>
      </c>
      <c r="CZ52" s="508">
        <f t="shared" si="268"/>
        <v>183374.55500000002</v>
      </c>
      <c r="DA52" s="508">
        <f t="shared" si="269"/>
        <v>44009.893199999999</v>
      </c>
      <c r="DB52" s="508">
        <f t="shared" si="270"/>
        <v>0</v>
      </c>
      <c r="DC52" s="508">
        <f t="shared" si="271"/>
        <v>0</v>
      </c>
      <c r="DD52" s="508">
        <f t="shared" si="272"/>
        <v>0</v>
      </c>
      <c r="DE52" s="726">
        <f t="shared" si="273"/>
        <v>0</v>
      </c>
      <c r="DF52" s="724">
        <f t="shared" si="274"/>
        <v>0</v>
      </c>
      <c r="DG52" s="509">
        <f t="shared" si="275"/>
        <v>0</v>
      </c>
      <c r="DH52" s="509">
        <f t="shared" si="276"/>
        <v>0</v>
      </c>
      <c r="DI52" s="509">
        <f t="shared" si="277"/>
        <v>0</v>
      </c>
      <c r="DJ52" s="509">
        <f t="shared" si="278"/>
        <v>0</v>
      </c>
      <c r="DK52" s="509">
        <f t="shared" si="279"/>
        <v>0</v>
      </c>
      <c r="DL52" s="451">
        <f t="shared" si="280"/>
        <v>0</v>
      </c>
      <c r="DM52" s="509">
        <f t="shared" si="281"/>
        <v>18213</v>
      </c>
      <c r="DN52" s="509">
        <f t="shared" si="282"/>
        <v>18213</v>
      </c>
      <c r="DO52" s="509">
        <f t="shared" si="283"/>
        <v>4371.12</v>
      </c>
      <c r="DP52" s="509">
        <f t="shared" si="284"/>
        <v>0</v>
      </c>
      <c r="DQ52" s="509">
        <f t="shared" si="285"/>
        <v>0</v>
      </c>
      <c r="DR52" s="509">
        <f t="shared" si="286"/>
        <v>0</v>
      </c>
      <c r="DS52" s="450">
        <f t="shared" si="287"/>
        <v>0</v>
      </c>
      <c r="DT52" s="724">
        <f t="shared" si="288"/>
        <v>0</v>
      </c>
      <c r="DU52" s="508">
        <f t="shared" si="289"/>
        <v>0</v>
      </c>
      <c r="DV52" s="508">
        <f t="shared" si="290"/>
        <v>0</v>
      </c>
      <c r="DW52" s="508">
        <f t="shared" si="291"/>
        <v>0</v>
      </c>
      <c r="DX52" s="508">
        <f t="shared" si="292"/>
        <v>0</v>
      </c>
      <c r="DY52" s="508">
        <f t="shared" si="293"/>
        <v>0</v>
      </c>
      <c r="DZ52" s="726">
        <f t="shared" si="294"/>
        <v>0</v>
      </c>
      <c r="EA52" s="722">
        <f t="shared" si="295"/>
        <v>239728.61249999999</v>
      </c>
      <c r="EB52" s="511">
        <f t="shared" si="296"/>
        <v>239728.61249999999</v>
      </c>
      <c r="EC52" s="511">
        <f t="shared" si="297"/>
        <v>57534.866999999991</v>
      </c>
      <c r="ED52" s="511">
        <f t="shared" si="298"/>
        <v>0</v>
      </c>
      <c r="EE52" s="511">
        <f t="shared" si="299"/>
        <v>0</v>
      </c>
      <c r="EF52" s="511">
        <f t="shared" si="300"/>
        <v>0</v>
      </c>
      <c r="EG52" s="723">
        <f t="shared" si="301"/>
        <v>0</v>
      </c>
      <c r="EH52" s="397">
        <f t="shared" si="302"/>
        <v>36.995156250000001</v>
      </c>
      <c r="EI52" s="397">
        <f t="shared" si="303"/>
        <v>36.995156250000001</v>
      </c>
      <c r="EJ52" s="397">
        <f t="shared" si="304"/>
        <v>8.8788374999999995</v>
      </c>
      <c r="EK52" s="397">
        <f t="shared" si="305"/>
        <v>0</v>
      </c>
      <c r="EL52" s="397">
        <f t="shared" si="306"/>
        <v>0</v>
      </c>
      <c r="EM52" s="397">
        <f t="shared" si="307"/>
        <v>0</v>
      </c>
      <c r="EN52" s="398">
        <f t="shared" si="308"/>
        <v>0</v>
      </c>
      <c r="EO52" s="722">
        <f t="shared" si="309"/>
        <v>0</v>
      </c>
      <c r="EP52" s="511">
        <f t="shared" si="310"/>
        <v>0</v>
      </c>
      <c r="EQ52" s="511">
        <f t="shared" si="311"/>
        <v>0</v>
      </c>
      <c r="ER52" s="511">
        <f t="shared" si="312"/>
        <v>0</v>
      </c>
      <c r="ES52" s="511">
        <f t="shared" si="313"/>
        <v>0</v>
      </c>
      <c r="ET52" s="511">
        <f t="shared" si="314"/>
        <v>0</v>
      </c>
      <c r="EU52" s="723">
        <f t="shared" si="315"/>
        <v>0</v>
      </c>
      <c r="EV52" s="977">
        <f t="shared" si="316"/>
        <v>13599.04</v>
      </c>
      <c r="EW52" s="728">
        <f t="shared" si="317"/>
        <v>410759.00320000004</v>
      </c>
      <c r="EX52" s="728">
        <f t="shared" si="318"/>
        <v>0</v>
      </c>
      <c r="EY52" s="728">
        <f t="shared" si="319"/>
        <v>40797.120000000003</v>
      </c>
      <c r="EZ52" s="728">
        <f t="shared" si="320"/>
        <v>0</v>
      </c>
      <c r="FA52" s="978">
        <f t="shared" si="321"/>
        <v>536992.09199999995</v>
      </c>
      <c r="FB52" s="978">
        <f t="shared" si="322"/>
        <v>82.869150000000005</v>
      </c>
      <c r="FC52" s="778">
        <f t="shared" si="323"/>
        <v>0</v>
      </c>
      <c r="FE52" s="10" t="b">
        <f t="shared" si="324"/>
        <v>1</v>
      </c>
      <c r="FF52" s="10" t="b">
        <f t="shared" si="325"/>
        <v>1</v>
      </c>
      <c r="FG52" s="10" t="b">
        <f t="shared" si="326"/>
        <v>1</v>
      </c>
      <c r="FH52" s="10" t="b">
        <f t="shared" si="327"/>
        <v>1</v>
      </c>
      <c r="FI52" s="10" t="b">
        <f t="shared" si="328"/>
        <v>1</v>
      </c>
      <c r="FJ52" s="10" t="b">
        <f t="shared" si="329"/>
        <v>1</v>
      </c>
      <c r="FK52" s="10" t="b">
        <f t="shared" si="330"/>
        <v>1</v>
      </c>
      <c r="FL52" s="10" t="b">
        <f t="shared" si="350"/>
        <v>1</v>
      </c>
    </row>
    <row r="53" spans="1:168" s="10" customFormat="1" ht="12.5">
      <c r="A53" s="662">
        <v>48</v>
      </c>
      <c r="B53" s="789" t="s">
        <v>1330</v>
      </c>
      <c r="C53" s="662" t="s">
        <v>1318</v>
      </c>
      <c r="D53" s="715" t="s">
        <v>1331</v>
      </c>
      <c r="E53" s="789" t="s">
        <v>1183</v>
      </c>
      <c r="F53" s="789" t="s">
        <v>331</v>
      </c>
      <c r="G53" s="704" t="s">
        <v>402</v>
      </c>
      <c r="H53" s="1032">
        <f>BizRebates_Costs!G48</f>
        <v>36</v>
      </c>
      <c r="I53" s="1032">
        <v>0</v>
      </c>
      <c r="J53" s="704">
        <f t="shared" si="240"/>
        <v>36</v>
      </c>
      <c r="K53" s="1032">
        <v>0</v>
      </c>
      <c r="L53" s="704">
        <f t="shared" si="119"/>
        <v>18</v>
      </c>
      <c r="M53" s="1026" t="s">
        <v>1332</v>
      </c>
      <c r="N53" s="1033">
        <v>5</v>
      </c>
      <c r="O53" s="1033">
        <v>5</v>
      </c>
      <c r="P53" s="707">
        <v>0</v>
      </c>
      <c r="Q53" s="707">
        <v>0</v>
      </c>
      <c r="R53" s="1021">
        <f>AVERAGE(LGE_KU_ComReb_Report_Data!$G$31:$G$40)</f>
        <v>167.1274142799152</v>
      </c>
      <c r="S53" s="872">
        <f>AVERAGE(LGE_KU_ComReb_Report_Data!$H$31:$H$40)</f>
        <v>3.8547530882739774E-2</v>
      </c>
      <c r="T53" s="1022">
        <v>0</v>
      </c>
      <c r="U53" s="1026" t="s">
        <v>1212</v>
      </c>
      <c r="V53" s="716">
        <v>0</v>
      </c>
      <c r="W53" s="711">
        <v>1</v>
      </c>
      <c r="X53" s="781">
        <v>0</v>
      </c>
      <c r="Y53" s="781">
        <v>0</v>
      </c>
      <c r="Z53" s="781">
        <v>0</v>
      </c>
      <c r="AA53" s="781">
        <v>14730.857142857141</v>
      </c>
      <c r="AB53" s="781">
        <f>AA53</f>
        <v>14730.857142857141</v>
      </c>
      <c r="AC53" s="1028">
        <f t="shared" si="379"/>
        <v>14731</v>
      </c>
      <c r="AD53" s="1028">
        <f t="shared" si="379"/>
        <v>14731</v>
      </c>
      <c r="AE53" s="1034">
        <f t="shared" si="384"/>
        <v>14731</v>
      </c>
      <c r="AF53" s="1034">
        <f t="shared" si="385"/>
        <v>3535.4400000000005</v>
      </c>
      <c r="AG53" s="781">
        <v>0</v>
      </c>
      <c r="AH53" s="781">
        <v>0</v>
      </c>
      <c r="AI53" s="781">
        <v>0</v>
      </c>
      <c r="AJ53" s="781">
        <v>0</v>
      </c>
      <c r="AK53" s="715" t="s">
        <v>384</v>
      </c>
      <c r="AL53" s="711" t="s">
        <v>742</v>
      </c>
      <c r="AM53" s="715" t="s">
        <v>1186</v>
      </c>
      <c r="AN53" s="715" t="s">
        <v>1152</v>
      </c>
      <c r="AO53" s="711" t="s">
        <v>1</v>
      </c>
      <c r="AP53" s="1024"/>
      <c r="AQ53" s="1024"/>
      <c r="AR53" s="1024"/>
      <c r="AS53" s="715" t="s">
        <v>1153</v>
      </c>
      <c r="AT53" s="715" t="s">
        <v>745</v>
      </c>
      <c r="AU53" s="715" t="s">
        <v>746</v>
      </c>
      <c r="AV53" s="715">
        <v>12</v>
      </c>
      <c r="AW53" s="715">
        <v>3</v>
      </c>
      <c r="AX53" s="715" t="s">
        <v>1485</v>
      </c>
      <c r="AY53" s="716">
        <v>1</v>
      </c>
      <c r="AZ53" s="716">
        <v>1</v>
      </c>
      <c r="BA53" s="717">
        <v>0</v>
      </c>
      <c r="BB53" s="721">
        <f t="shared" si="139"/>
        <v>36</v>
      </c>
      <c r="BC53" s="499">
        <f t="shared" si="140"/>
        <v>36</v>
      </c>
      <c r="BD53" s="499">
        <f t="shared" si="141"/>
        <v>36</v>
      </c>
      <c r="BE53" s="499">
        <f t="shared" si="142"/>
        <v>36</v>
      </c>
      <c r="BF53" s="499">
        <f t="shared" si="143"/>
        <v>36</v>
      </c>
      <c r="BG53" s="499">
        <f t="shared" si="144"/>
        <v>36</v>
      </c>
      <c r="BH53" s="499">
        <f t="shared" si="145"/>
        <v>36</v>
      </c>
      <c r="BI53" s="721">
        <f t="shared" si="258"/>
        <v>0</v>
      </c>
      <c r="BJ53" s="499">
        <f t="shared" ref="BJ53:BM53" si="394">BI53</f>
        <v>0</v>
      </c>
      <c r="BK53" s="499">
        <f t="shared" si="394"/>
        <v>0</v>
      </c>
      <c r="BL53" s="499">
        <f t="shared" si="394"/>
        <v>0</v>
      </c>
      <c r="BM53" s="499">
        <f t="shared" si="394"/>
        <v>0</v>
      </c>
      <c r="BN53" s="499">
        <f t="shared" si="147"/>
        <v>0</v>
      </c>
      <c r="BO53" s="499">
        <f t="shared" si="148"/>
        <v>0</v>
      </c>
      <c r="BP53" s="721">
        <f t="shared" si="260"/>
        <v>5</v>
      </c>
      <c r="BQ53" s="499">
        <f t="shared" si="332"/>
        <v>5</v>
      </c>
      <c r="BR53" s="499">
        <f t="shared" si="149"/>
        <v>5</v>
      </c>
      <c r="BS53" s="499">
        <f t="shared" si="150"/>
        <v>5</v>
      </c>
      <c r="BT53" s="499">
        <f t="shared" si="151"/>
        <v>5</v>
      </c>
      <c r="BU53" s="499">
        <f t="shared" si="152"/>
        <v>5</v>
      </c>
      <c r="BV53" s="499">
        <f t="shared" si="153"/>
        <v>5</v>
      </c>
      <c r="BW53" s="774">
        <f t="shared" si="196"/>
        <v>0</v>
      </c>
      <c r="BX53" s="503">
        <f t="shared" si="196"/>
        <v>0</v>
      </c>
      <c r="BY53" s="503">
        <f t="shared" si="196"/>
        <v>0</v>
      </c>
      <c r="BZ53" s="503">
        <f t="shared" si="196"/>
        <v>0</v>
      </c>
      <c r="CA53" s="503">
        <f t="shared" si="196"/>
        <v>0</v>
      </c>
      <c r="CB53" s="503">
        <f t="shared" si="196"/>
        <v>0</v>
      </c>
      <c r="CC53" s="503">
        <f t="shared" si="196"/>
        <v>0</v>
      </c>
      <c r="CD53" s="722">
        <f t="shared" si="261"/>
        <v>167.1274142799152</v>
      </c>
      <c r="CE53" s="511">
        <f t="shared" ref="CE53:CH53" si="395">CD53</f>
        <v>167.1274142799152</v>
      </c>
      <c r="CF53" s="511">
        <f t="shared" si="395"/>
        <v>167.1274142799152</v>
      </c>
      <c r="CG53" s="511">
        <f t="shared" si="395"/>
        <v>167.1274142799152</v>
      </c>
      <c r="CH53" s="511">
        <f t="shared" si="395"/>
        <v>167.1274142799152</v>
      </c>
      <c r="CI53" s="511">
        <f t="shared" si="103"/>
        <v>167.1274142799152</v>
      </c>
      <c r="CJ53" s="511">
        <f t="shared" si="104"/>
        <v>167.1274142799152</v>
      </c>
      <c r="CK53" s="722">
        <f t="shared" si="263"/>
        <v>3.8547530882739774E-2</v>
      </c>
      <c r="CL53" s="511">
        <f t="shared" ref="CL53:CO53" si="396">CK53</f>
        <v>3.8547530882739774E-2</v>
      </c>
      <c r="CM53" s="511">
        <f t="shared" si="396"/>
        <v>3.8547530882739774E-2</v>
      </c>
      <c r="CN53" s="511">
        <f t="shared" si="396"/>
        <v>3.8547530882739774E-2</v>
      </c>
      <c r="CO53" s="511">
        <f t="shared" si="396"/>
        <v>3.8547530882739774E-2</v>
      </c>
      <c r="CP53" s="511">
        <f t="shared" si="106"/>
        <v>3.8547530882739774E-2</v>
      </c>
      <c r="CQ53" s="511">
        <f t="shared" si="107"/>
        <v>3.8547530882739774E-2</v>
      </c>
      <c r="CR53" s="722">
        <f t="shared" si="265"/>
        <v>0</v>
      </c>
      <c r="CS53" s="511">
        <f t="shared" ref="CS53:CV53" si="397">CR53</f>
        <v>0</v>
      </c>
      <c r="CT53" s="511">
        <f t="shared" si="397"/>
        <v>0</v>
      </c>
      <c r="CU53" s="511">
        <f t="shared" si="397"/>
        <v>0</v>
      </c>
      <c r="CV53" s="511">
        <f t="shared" si="397"/>
        <v>0</v>
      </c>
      <c r="CW53" s="511">
        <f t="shared" si="109"/>
        <v>0</v>
      </c>
      <c r="CX53" s="539">
        <f t="shared" si="110"/>
        <v>0</v>
      </c>
      <c r="CY53" s="724">
        <f t="shared" si="267"/>
        <v>530316</v>
      </c>
      <c r="CZ53" s="508">
        <f t="shared" si="268"/>
        <v>530316</v>
      </c>
      <c r="DA53" s="508">
        <f t="shared" si="269"/>
        <v>127275.84000000003</v>
      </c>
      <c r="DB53" s="508">
        <f t="shared" si="270"/>
        <v>0</v>
      </c>
      <c r="DC53" s="508">
        <f t="shared" si="271"/>
        <v>0</v>
      </c>
      <c r="DD53" s="508">
        <f t="shared" si="272"/>
        <v>0</v>
      </c>
      <c r="DE53" s="726">
        <f t="shared" si="273"/>
        <v>0</v>
      </c>
      <c r="DF53" s="724">
        <f t="shared" si="274"/>
        <v>0</v>
      </c>
      <c r="DG53" s="509">
        <f t="shared" si="275"/>
        <v>0</v>
      </c>
      <c r="DH53" s="509">
        <f t="shared" si="276"/>
        <v>0</v>
      </c>
      <c r="DI53" s="509">
        <f t="shared" si="277"/>
        <v>0</v>
      </c>
      <c r="DJ53" s="509">
        <f t="shared" si="278"/>
        <v>0</v>
      </c>
      <c r="DK53" s="509">
        <f t="shared" si="279"/>
        <v>0</v>
      </c>
      <c r="DL53" s="451">
        <f t="shared" si="280"/>
        <v>0</v>
      </c>
      <c r="DM53" s="509">
        <f t="shared" si="281"/>
        <v>73655</v>
      </c>
      <c r="DN53" s="509">
        <f t="shared" si="282"/>
        <v>73655</v>
      </c>
      <c r="DO53" s="509">
        <f t="shared" si="283"/>
        <v>17677.200000000004</v>
      </c>
      <c r="DP53" s="509">
        <f t="shared" si="284"/>
        <v>0</v>
      </c>
      <c r="DQ53" s="509">
        <f t="shared" si="285"/>
        <v>0</v>
      </c>
      <c r="DR53" s="509">
        <f t="shared" si="286"/>
        <v>0</v>
      </c>
      <c r="DS53" s="450">
        <f t="shared" si="287"/>
        <v>0</v>
      </c>
      <c r="DT53" s="724">
        <f t="shared" si="288"/>
        <v>0</v>
      </c>
      <c r="DU53" s="508">
        <f t="shared" si="289"/>
        <v>0</v>
      </c>
      <c r="DV53" s="508">
        <f t="shared" si="290"/>
        <v>0</v>
      </c>
      <c r="DW53" s="508">
        <f t="shared" si="291"/>
        <v>0</v>
      </c>
      <c r="DX53" s="508">
        <f t="shared" si="292"/>
        <v>0</v>
      </c>
      <c r="DY53" s="508">
        <f t="shared" si="293"/>
        <v>0</v>
      </c>
      <c r="DZ53" s="726">
        <f t="shared" si="294"/>
        <v>0</v>
      </c>
      <c r="EA53" s="722">
        <f t="shared" si="295"/>
        <v>2461953.9397574309</v>
      </c>
      <c r="EB53" s="511">
        <f t="shared" si="296"/>
        <v>2461953.9397574309</v>
      </c>
      <c r="EC53" s="511">
        <f t="shared" si="297"/>
        <v>590868.94554178347</v>
      </c>
      <c r="ED53" s="511">
        <f t="shared" si="298"/>
        <v>0</v>
      </c>
      <c r="EE53" s="511">
        <f t="shared" si="299"/>
        <v>0</v>
      </c>
      <c r="EF53" s="511">
        <f t="shared" si="300"/>
        <v>0</v>
      </c>
      <c r="EG53" s="723">
        <f t="shared" si="301"/>
        <v>0</v>
      </c>
      <c r="EH53" s="397">
        <f t="shared" si="302"/>
        <v>567.84367743363964</v>
      </c>
      <c r="EI53" s="397">
        <f t="shared" si="303"/>
        <v>567.84367743363964</v>
      </c>
      <c r="EJ53" s="397">
        <f t="shared" si="304"/>
        <v>136.28248258407353</v>
      </c>
      <c r="EK53" s="397">
        <f t="shared" si="305"/>
        <v>0</v>
      </c>
      <c r="EL53" s="397">
        <f t="shared" si="306"/>
        <v>0</v>
      </c>
      <c r="EM53" s="397">
        <f t="shared" si="307"/>
        <v>0</v>
      </c>
      <c r="EN53" s="398">
        <f t="shared" si="308"/>
        <v>0</v>
      </c>
      <c r="EO53" s="722">
        <f t="shared" si="309"/>
        <v>0</v>
      </c>
      <c r="EP53" s="511">
        <f t="shared" si="310"/>
        <v>0</v>
      </c>
      <c r="EQ53" s="511">
        <f t="shared" si="311"/>
        <v>0</v>
      </c>
      <c r="ER53" s="511">
        <f t="shared" si="312"/>
        <v>0</v>
      </c>
      <c r="ES53" s="511">
        <f t="shared" si="313"/>
        <v>0</v>
      </c>
      <c r="ET53" s="511">
        <f t="shared" si="314"/>
        <v>0</v>
      </c>
      <c r="EU53" s="723">
        <f t="shared" si="315"/>
        <v>0</v>
      </c>
      <c r="EV53" s="977">
        <f t="shared" si="316"/>
        <v>32997.440000000002</v>
      </c>
      <c r="EW53" s="728">
        <f t="shared" si="317"/>
        <v>1187907.8400000001</v>
      </c>
      <c r="EX53" s="728">
        <f t="shared" si="318"/>
        <v>0</v>
      </c>
      <c r="EY53" s="728">
        <f t="shared" si="319"/>
        <v>164987.20000000001</v>
      </c>
      <c r="EZ53" s="728">
        <f t="shared" si="320"/>
        <v>0</v>
      </c>
      <c r="FA53" s="978">
        <f t="shared" si="321"/>
        <v>5514776.8250566451</v>
      </c>
      <c r="FB53" s="978">
        <f t="shared" si="322"/>
        <v>1271.9698374513528</v>
      </c>
      <c r="FC53" s="778">
        <f t="shared" si="323"/>
        <v>0</v>
      </c>
      <c r="FE53" s="10" t="b">
        <f t="shared" si="324"/>
        <v>1</v>
      </c>
      <c r="FF53" s="10" t="b">
        <f t="shared" si="325"/>
        <v>1</v>
      </c>
      <c r="FG53" s="10" t="b">
        <f t="shared" si="326"/>
        <v>1</v>
      </c>
      <c r="FH53" s="10" t="b">
        <f t="shared" si="327"/>
        <v>1</v>
      </c>
      <c r="FI53" s="10" t="b">
        <f t="shared" si="328"/>
        <v>1</v>
      </c>
      <c r="FJ53" s="10" t="b">
        <f t="shared" si="329"/>
        <v>1</v>
      </c>
      <c r="FK53" s="10" t="b">
        <f t="shared" si="330"/>
        <v>1</v>
      </c>
      <c r="FL53" s="10" t="b">
        <f t="shared" si="350"/>
        <v>1</v>
      </c>
    </row>
    <row r="54" spans="1:168" s="10" customFormat="1" ht="12.5">
      <c r="A54" s="662">
        <v>49</v>
      </c>
      <c r="B54" s="789" t="s">
        <v>1333</v>
      </c>
      <c r="C54" s="662" t="s">
        <v>1318</v>
      </c>
      <c r="D54" s="10" t="s">
        <v>1334</v>
      </c>
      <c r="E54" s="789" t="s">
        <v>1183</v>
      </c>
      <c r="F54" s="789" t="s">
        <v>331</v>
      </c>
      <c r="G54" s="704" t="s">
        <v>402</v>
      </c>
      <c r="H54" s="1032">
        <f>BizRebates_Costs!G50</f>
        <v>36.285714285714285</v>
      </c>
      <c r="I54" s="1032">
        <v>0</v>
      </c>
      <c r="J54" s="704">
        <f t="shared" si="240"/>
        <v>36.285714285714285</v>
      </c>
      <c r="K54" s="1032">
        <v>0</v>
      </c>
      <c r="L54" s="704">
        <f t="shared" si="119"/>
        <v>18.142857142857142</v>
      </c>
      <c r="M54" s="1026" t="s">
        <v>1332</v>
      </c>
      <c r="N54" s="1033">
        <v>5</v>
      </c>
      <c r="O54" s="1033">
        <v>5</v>
      </c>
      <c r="P54" s="707">
        <v>0</v>
      </c>
      <c r="Q54" s="707">
        <v>0</v>
      </c>
      <c r="R54" s="1021">
        <f>AVERAGE(LGE_KU_ComReb_Report_Data!$G$3:$G$30)</f>
        <v>129.12008590645323</v>
      </c>
      <c r="S54" s="872">
        <f>AVERAGE(LGE_KU_ComReb_Report_Data!$H$3:$H$30)</f>
        <v>6.2447295814748824E-2</v>
      </c>
      <c r="T54" s="1022">
        <v>0</v>
      </c>
      <c r="U54" s="1026" t="s">
        <v>1212</v>
      </c>
      <c r="V54" s="716">
        <v>0</v>
      </c>
      <c r="W54" s="711">
        <v>1</v>
      </c>
      <c r="X54" s="781">
        <v>0</v>
      </c>
      <c r="Y54" s="781">
        <v>258963</v>
      </c>
      <c r="Z54" s="781">
        <v>232658</v>
      </c>
      <c r="AA54" s="781">
        <v>196464</v>
      </c>
      <c r="AB54" s="781">
        <f>AA54</f>
        <v>196464</v>
      </c>
      <c r="AC54" s="1028">
        <f>MROUND(AB54,1)</f>
        <v>196464</v>
      </c>
      <c r="AD54" s="1028">
        <f t="shared" si="379"/>
        <v>196464</v>
      </c>
      <c r="AE54" s="1034">
        <f t="shared" si="384"/>
        <v>196464</v>
      </c>
      <c r="AF54" s="1034">
        <f t="shared" si="385"/>
        <v>47151.360000000001</v>
      </c>
      <c r="AG54" s="781">
        <v>0</v>
      </c>
      <c r="AH54" s="781">
        <v>0</v>
      </c>
      <c r="AI54" s="781">
        <v>0</v>
      </c>
      <c r="AJ54" s="781">
        <v>0</v>
      </c>
      <c r="AK54" s="715" t="s">
        <v>384</v>
      </c>
      <c r="AL54" s="711" t="s">
        <v>742</v>
      </c>
      <c r="AM54" s="715" t="s">
        <v>1186</v>
      </c>
      <c r="AN54" s="715" t="s">
        <v>1152</v>
      </c>
      <c r="AO54" s="711" t="s">
        <v>1</v>
      </c>
      <c r="AP54" s="1024"/>
      <c r="AQ54" s="1024"/>
      <c r="AR54" s="1024"/>
      <c r="AS54" s="715" t="s">
        <v>1153</v>
      </c>
      <c r="AT54" s="715" t="s">
        <v>745</v>
      </c>
      <c r="AU54" s="715" t="s">
        <v>746</v>
      </c>
      <c r="AV54" s="715">
        <v>12</v>
      </c>
      <c r="AW54" s="715">
        <v>3</v>
      </c>
      <c r="AX54" s="715" t="s">
        <v>1485</v>
      </c>
      <c r="AY54" s="716">
        <v>1</v>
      </c>
      <c r="AZ54" s="716">
        <v>1</v>
      </c>
      <c r="BA54" s="717">
        <v>0</v>
      </c>
      <c r="BB54" s="721">
        <f t="shared" si="139"/>
        <v>36.285714285714285</v>
      </c>
      <c r="BC54" s="499">
        <f t="shared" si="140"/>
        <v>36.285714285714285</v>
      </c>
      <c r="BD54" s="499">
        <f t="shared" si="141"/>
        <v>36.285714285714285</v>
      </c>
      <c r="BE54" s="499">
        <f t="shared" si="142"/>
        <v>36.285714285714285</v>
      </c>
      <c r="BF54" s="499">
        <f t="shared" si="143"/>
        <v>36.285714285714285</v>
      </c>
      <c r="BG54" s="499">
        <f t="shared" si="144"/>
        <v>36.285714285714285</v>
      </c>
      <c r="BH54" s="499">
        <f t="shared" si="145"/>
        <v>36.285714285714285</v>
      </c>
      <c r="BI54" s="721">
        <f t="shared" si="258"/>
        <v>0</v>
      </c>
      <c r="BJ54" s="499">
        <f t="shared" ref="BJ54:BM54" si="398">BI54</f>
        <v>0</v>
      </c>
      <c r="BK54" s="499">
        <f t="shared" si="398"/>
        <v>0</v>
      </c>
      <c r="BL54" s="499">
        <f t="shared" si="398"/>
        <v>0</v>
      </c>
      <c r="BM54" s="499">
        <f t="shared" si="398"/>
        <v>0</v>
      </c>
      <c r="BN54" s="499">
        <f t="shared" si="147"/>
        <v>0</v>
      </c>
      <c r="BO54" s="499">
        <f t="shared" si="148"/>
        <v>0</v>
      </c>
      <c r="BP54" s="721">
        <f t="shared" si="260"/>
        <v>5</v>
      </c>
      <c r="BQ54" s="499">
        <f t="shared" si="332"/>
        <v>5</v>
      </c>
      <c r="BR54" s="499">
        <f t="shared" si="149"/>
        <v>5</v>
      </c>
      <c r="BS54" s="499">
        <f t="shared" si="150"/>
        <v>5</v>
      </c>
      <c r="BT54" s="499">
        <f t="shared" si="151"/>
        <v>5</v>
      </c>
      <c r="BU54" s="499">
        <f t="shared" si="152"/>
        <v>5</v>
      </c>
      <c r="BV54" s="499">
        <f t="shared" si="153"/>
        <v>5</v>
      </c>
      <c r="BW54" s="774">
        <f t="shared" si="196"/>
        <v>0</v>
      </c>
      <c r="BX54" s="503">
        <f t="shared" si="196"/>
        <v>0</v>
      </c>
      <c r="BY54" s="503">
        <f t="shared" si="196"/>
        <v>0</v>
      </c>
      <c r="BZ54" s="503">
        <f t="shared" si="196"/>
        <v>0</v>
      </c>
      <c r="CA54" s="503">
        <f t="shared" si="196"/>
        <v>0</v>
      </c>
      <c r="CB54" s="503">
        <f t="shared" si="196"/>
        <v>0</v>
      </c>
      <c r="CC54" s="503">
        <f t="shared" si="196"/>
        <v>0</v>
      </c>
      <c r="CD54" s="722">
        <f t="shared" si="261"/>
        <v>129.12008590645323</v>
      </c>
      <c r="CE54" s="511">
        <f t="shared" ref="CE54:CH54" si="399">CD54</f>
        <v>129.12008590645323</v>
      </c>
      <c r="CF54" s="511">
        <f t="shared" si="399"/>
        <v>129.12008590645323</v>
      </c>
      <c r="CG54" s="511">
        <f t="shared" si="399"/>
        <v>129.12008590645323</v>
      </c>
      <c r="CH54" s="511">
        <f t="shared" si="399"/>
        <v>129.12008590645323</v>
      </c>
      <c r="CI54" s="511">
        <f t="shared" si="103"/>
        <v>129.12008590645323</v>
      </c>
      <c r="CJ54" s="511">
        <f t="shared" si="104"/>
        <v>129.12008590645323</v>
      </c>
      <c r="CK54" s="722">
        <f t="shared" si="263"/>
        <v>6.2447295814748824E-2</v>
      </c>
      <c r="CL54" s="511">
        <f t="shared" ref="CL54:CO54" si="400">CK54</f>
        <v>6.2447295814748824E-2</v>
      </c>
      <c r="CM54" s="511">
        <f t="shared" si="400"/>
        <v>6.2447295814748824E-2</v>
      </c>
      <c r="CN54" s="511">
        <f t="shared" si="400"/>
        <v>6.2447295814748824E-2</v>
      </c>
      <c r="CO54" s="511">
        <f t="shared" si="400"/>
        <v>6.2447295814748824E-2</v>
      </c>
      <c r="CP54" s="511">
        <f t="shared" si="106"/>
        <v>6.2447295814748824E-2</v>
      </c>
      <c r="CQ54" s="511">
        <f t="shared" si="107"/>
        <v>6.2447295814748824E-2</v>
      </c>
      <c r="CR54" s="722">
        <f t="shared" si="265"/>
        <v>0</v>
      </c>
      <c r="CS54" s="511">
        <f t="shared" ref="CS54:CV54" si="401">CR54</f>
        <v>0</v>
      </c>
      <c r="CT54" s="511">
        <f t="shared" si="401"/>
        <v>0</v>
      </c>
      <c r="CU54" s="511">
        <f t="shared" si="401"/>
        <v>0</v>
      </c>
      <c r="CV54" s="511">
        <f t="shared" si="401"/>
        <v>0</v>
      </c>
      <c r="CW54" s="511">
        <f t="shared" si="109"/>
        <v>0</v>
      </c>
      <c r="CX54" s="539">
        <f t="shared" si="110"/>
        <v>0</v>
      </c>
      <c r="CY54" s="724">
        <f t="shared" si="267"/>
        <v>7128836.5714285709</v>
      </c>
      <c r="CZ54" s="508">
        <f t="shared" si="268"/>
        <v>7128836.5714285709</v>
      </c>
      <c r="DA54" s="508">
        <f t="shared" si="269"/>
        <v>1710920.7771428572</v>
      </c>
      <c r="DB54" s="508">
        <f t="shared" si="270"/>
        <v>0</v>
      </c>
      <c r="DC54" s="508">
        <f t="shared" si="271"/>
        <v>0</v>
      </c>
      <c r="DD54" s="508">
        <f t="shared" si="272"/>
        <v>0</v>
      </c>
      <c r="DE54" s="726">
        <f t="shared" si="273"/>
        <v>0</v>
      </c>
      <c r="DF54" s="724">
        <f t="shared" si="274"/>
        <v>0</v>
      </c>
      <c r="DG54" s="509">
        <f t="shared" si="275"/>
        <v>0</v>
      </c>
      <c r="DH54" s="509">
        <f t="shared" si="276"/>
        <v>0</v>
      </c>
      <c r="DI54" s="509">
        <f t="shared" si="277"/>
        <v>0</v>
      </c>
      <c r="DJ54" s="509">
        <f t="shared" si="278"/>
        <v>0</v>
      </c>
      <c r="DK54" s="509">
        <f t="shared" si="279"/>
        <v>0</v>
      </c>
      <c r="DL54" s="451">
        <f t="shared" si="280"/>
        <v>0</v>
      </c>
      <c r="DM54" s="509">
        <f t="shared" si="281"/>
        <v>982320</v>
      </c>
      <c r="DN54" s="509">
        <f t="shared" si="282"/>
        <v>982320</v>
      </c>
      <c r="DO54" s="509">
        <f t="shared" si="283"/>
        <v>235756.79999999999</v>
      </c>
      <c r="DP54" s="509">
        <f t="shared" si="284"/>
        <v>0</v>
      </c>
      <c r="DQ54" s="509">
        <f t="shared" si="285"/>
        <v>0</v>
      </c>
      <c r="DR54" s="509">
        <f t="shared" si="286"/>
        <v>0</v>
      </c>
      <c r="DS54" s="450">
        <f t="shared" si="287"/>
        <v>0</v>
      </c>
      <c r="DT54" s="724">
        <f t="shared" si="288"/>
        <v>0</v>
      </c>
      <c r="DU54" s="508">
        <f t="shared" si="289"/>
        <v>0</v>
      </c>
      <c r="DV54" s="508">
        <f t="shared" si="290"/>
        <v>0</v>
      </c>
      <c r="DW54" s="508">
        <f t="shared" si="291"/>
        <v>0</v>
      </c>
      <c r="DX54" s="508">
        <f t="shared" si="292"/>
        <v>0</v>
      </c>
      <c r="DY54" s="508">
        <f t="shared" si="293"/>
        <v>0</v>
      </c>
      <c r="DZ54" s="726">
        <f t="shared" si="294"/>
        <v>0</v>
      </c>
      <c r="EA54" s="722">
        <f t="shared" si="295"/>
        <v>25367448.557525426</v>
      </c>
      <c r="EB54" s="511">
        <f t="shared" si="296"/>
        <v>25367448.557525426</v>
      </c>
      <c r="EC54" s="511">
        <f t="shared" si="297"/>
        <v>6088187.6538061025</v>
      </c>
      <c r="ED54" s="511">
        <f t="shared" si="298"/>
        <v>0</v>
      </c>
      <c r="EE54" s="511">
        <f t="shared" si="299"/>
        <v>0</v>
      </c>
      <c r="EF54" s="511">
        <f t="shared" si="300"/>
        <v>0</v>
      </c>
      <c r="EG54" s="723">
        <f t="shared" si="301"/>
        <v>0</v>
      </c>
      <c r="EH54" s="397">
        <f t="shared" si="302"/>
        <v>12268.645524948814</v>
      </c>
      <c r="EI54" s="397">
        <f t="shared" si="303"/>
        <v>12268.645524948814</v>
      </c>
      <c r="EJ54" s="397">
        <f t="shared" si="304"/>
        <v>2944.4749259877153</v>
      </c>
      <c r="EK54" s="397">
        <f t="shared" si="305"/>
        <v>0</v>
      </c>
      <c r="EL54" s="397">
        <f t="shared" si="306"/>
        <v>0</v>
      </c>
      <c r="EM54" s="397">
        <f t="shared" si="307"/>
        <v>0</v>
      </c>
      <c r="EN54" s="398">
        <f t="shared" si="308"/>
        <v>0</v>
      </c>
      <c r="EO54" s="722">
        <f t="shared" si="309"/>
        <v>0</v>
      </c>
      <c r="EP54" s="511">
        <f t="shared" si="310"/>
        <v>0</v>
      </c>
      <c r="EQ54" s="511">
        <f t="shared" si="311"/>
        <v>0</v>
      </c>
      <c r="ER54" s="511">
        <f t="shared" si="312"/>
        <v>0</v>
      </c>
      <c r="ES54" s="511">
        <f t="shared" si="313"/>
        <v>0</v>
      </c>
      <c r="ET54" s="511">
        <f t="shared" si="314"/>
        <v>0</v>
      </c>
      <c r="EU54" s="723">
        <f t="shared" si="315"/>
        <v>0</v>
      </c>
      <c r="EV54" s="977">
        <f t="shared" si="316"/>
        <v>440079.35999999999</v>
      </c>
      <c r="EW54" s="728">
        <f t="shared" si="317"/>
        <v>15968593.919999998</v>
      </c>
      <c r="EX54" s="728">
        <f t="shared" si="318"/>
        <v>0</v>
      </c>
      <c r="EY54" s="728">
        <f t="shared" si="319"/>
        <v>2200396.7999999998</v>
      </c>
      <c r="EZ54" s="728">
        <f t="shared" si="320"/>
        <v>0</v>
      </c>
      <c r="FA54" s="978">
        <f t="shared" si="321"/>
        <v>56823084.768856958</v>
      </c>
      <c r="FB54" s="978">
        <f t="shared" si="322"/>
        <v>27481.765975885341</v>
      </c>
      <c r="FC54" s="778">
        <f t="shared" si="323"/>
        <v>0</v>
      </c>
      <c r="FE54" s="10" t="b">
        <f t="shared" si="324"/>
        <v>1</v>
      </c>
      <c r="FF54" s="10" t="b">
        <f t="shared" si="325"/>
        <v>1</v>
      </c>
      <c r="FG54" s="10" t="b">
        <f t="shared" si="326"/>
        <v>1</v>
      </c>
      <c r="FH54" s="10" t="b">
        <f t="shared" si="327"/>
        <v>1</v>
      </c>
      <c r="FI54" s="10" t="b">
        <f t="shared" si="328"/>
        <v>1</v>
      </c>
      <c r="FJ54" s="10" t="b">
        <f t="shared" si="329"/>
        <v>1</v>
      </c>
      <c r="FK54" s="10" t="b">
        <f t="shared" si="330"/>
        <v>1</v>
      </c>
      <c r="FL54" s="10" t="b">
        <f t="shared" si="350"/>
        <v>1</v>
      </c>
    </row>
    <row r="55" spans="1:168" s="10" customFormat="1" ht="12.5">
      <c r="A55" s="662">
        <v>50</v>
      </c>
      <c r="B55" s="789" t="s">
        <v>1335</v>
      </c>
      <c r="C55" s="662" t="s">
        <v>1318</v>
      </c>
      <c r="D55" s="715" t="s">
        <v>1336</v>
      </c>
      <c r="E55" s="789" t="s">
        <v>1183</v>
      </c>
      <c r="F55" s="789" t="s">
        <v>331</v>
      </c>
      <c r="G55" s="704" t="s">
        <v>402</v>
      </c>
      <c r="H55" s="1032">
        <f>BizRebates_Costs!G57</f>
        <v>152</v>
      </c>
      <c r="I55" s="1032">
        <v>0</v>
      </c>
      <c r="J55" s="704">
        <f t="shared" si="240"/>
        <v>152</v>
      </c>
      <c r="K55" s="1032">
        <v>0</v>
      </c>
      <c r="L55" s="704">
        <f t="shared" si="119"/>
        <v>76</v>
      </c>
      <c r="M55" s="1026" t="s">
        <v>1332</v>
      </c>
      <c r="N55" s="1033">
        <v>6</v>
      </c>
      <c r="O55" s="1033">
        <v>6</v>
      </c>
      <c r="P55" s="707">
        <v>0</v>
      </c>
      <c r="Q55" s="707">
        <v>0</v>
      </c>
      <c r="R55" s="1021">
        <f>AVERAGE(LGE_KU_ComReb_Report_Data!$G$69:$G$72)</f>
        <v>208.35125523884722</v>
      </c>
      <c r="S55" s="872">
        <f>AVERAGE(LGE_KU_ComReb_Report_Data!$H$69:$H$72)</f>
        <v>4.4388573704168037E-2</v>
      </c>
      <c r="T55" s="1022">
        <v>0</v>
      </c>
      <c r="U55" s="1026" t="s">
        <v>1212</v>
      </c>
      <c r="V55" s="716">
        <v>0</v>
      </c>
      <c r="W55" s="711">
        <v>1</v>
      </c>
      <c r="X55" s="781">
        <v>29621</v>
      </c>
      <c r="Y55" s="781">
        <v>32218</v>
      </c>
      <c r="Z55" s="781">
        <v>25222</v>
      </c>
      <c r="AA55" s="781">
        <v>24370.285714285714</v>
      </c>
      <c r="AB55" s="781">
        <f>AA55</f>
        <v>24370.285714285714</v>
      </c>
      <c r="AC55" s="1028">
        <f t="shared" si="379"/>
        <v>24370</v>
      </c>
      <c r="AD55" s="1028">
        <f t="shared" si="379"/>
        <v>24370</v>
      </c>
      <c r="AE55" s="1034">
        <f t="shared" si="384"/>
        <v>24370</v>
      </c>
      <c r="AF55" s="1034">
        <f t="shared" si="385"/>
        <v>5848.8</v>
      </c>
      <c r="AG55" s="781">
        <v>0</v>
      </c>
      <c r="AH55" s="781">
        <v>0</v>
      </c>
      <c r="AI55" s="781">
        <v>0</v>
      </c>
      <c r="AJ55" s="781">
        <v>0</v>
      </c>
      <c r="AK55" s="715" t="s">
        <v>384</v>
      </c>
      <c r="AL55" s="711" t="s">
        <v>742</v>
      </c>
      <c r="AM55" s="715" t="s">
        <v>1186</v>
      </c>
      <c r="AN55" s="715" t="s">
        <v>1152</v>
      </c>
      <c r="AO55" s="711" t="s">
        <v>1</v>
      </c>
      <c r="AP55" s="1024"/>
      <c r="AQ55" s="1024"/>
      <c r="AR55" s="1024"/>
      <c r="AS55" s="715" t="s">
        <v>1153</v>
      </c>
      <c r="AT55" s="715" t="s">
        <v>745</v>
      </c>
      <c r="AU55" s="715" t="s">
        <v>746</v>
      </c>
      <c r="AV55" s="715">
        <v>12</v>
      </c>
      <c r="AW55" s="715">
        <v>3</v>
      </c>
      <c r="AX55" s="715" t="s">
        <v>1485</v>
      </c>
      <c r="AY55" s="716">
        <v>1</v>
      </c>
      <c r="AZ55" s="716">
        <v>1</v>
      </c>
      <c r="BA55" s="717">
        <v>0</v>
      </c>
      <c r="BB55" s="721">
        <f t="shared" si="139"/>
        <v>152</v>
      </c>
      <c r="BC55" s="499">
        <f t="shared" si="140"/>
        <v>152</v>
      </c>
      <c r="BD55" s="499">
        <f t="shared" si="141"/>
        <v>152</v>
      </c>
      <c r="BE55" s="499">
        <f t="shared" si="142"/>
        <v>152</v>
      </c>
      <c r="BF55" s="499">
        <f t="shared" si="143"/>
        <v>152</v>
      </c>
      <c r="BG55" s="499">
        <f t="shared" si="144"/>
        <v>152</v>
      </c>
      <c r="BH55" s="499">
        <f t="shared" si="145"/>
        <v>152</v>
      </c>
      <c r="BI55" s="721">
        <f t="shared" si="258"/>
        <v>0</v>
      </c>
      <c r="BJ55" s="499">
        <f t="shared" ref="BJ55:BM55" si="402">BI55</f>
        <v>0</v>
      </c>
      <c r="BK55" s="499">
        <f t="shared" si="402"/>
        <v>0</v>
      </c>
      <c r="BL55" s="499">
        <f t="shared" si="402"/>
        <v>0</v>
      </c>
      <c r="BM55" s="499">
        <f t="shared" si="402"/>
        <v>0</v>
      </c>
      <c r="BN55" s="499">
        <f t="shared" si="147"/>
        <v>0</v>
      </c>
      <c r="BO55" s="499">
        <f t="shared" si="148"/>
        <v>0</v>
      </c>
      <c r="BP55" s="721">
        <f t="shared" si="260"/>
        <v>6</v>
      </c>
      <c r="BQ55" s="499">
        <f t="shared" si="332"/>
        <v>6</v>
      </c>
      <c r="BR55" s="499">
        <f t="shared" si="149"/>
        <v>6</v>
      </c>
      <c r="BS55" s="499">
        <f t="shared" si="150"/>
        <v>6</v>
      </c>
      <c r="BT55" s="499">
        <f t="shared" si="151"/>
        <v>6</v>
      </c>
      <c r="BU55" s="499">
        <f t="shared" si="152"/>
        <v>6</v>
      </c>
      <c r="BV55" s="499">
        <f t="shared" si="153"/>
        <v>6</v>
      </c>
      <c r="BW55" s="774">
        <f t="shared" si="196"/>
        <v>0</v>
      </c>
      <c r="BX55" s="503">
        <f t="shared" si="196"/>
        <v>0</v>
      </c>
      <c r="BY55" s="503">
        <f t="shared" si="196"/>
        <v>0</v>
      </c>
      <c r="BZ55" s="503">
        <f t="shared" si="196"/>
        <v>0</v>
      </c>
      <c r="CA55" s="503">
        <f t="shared" si="196"/>
        <v>0</v>
      </c>
      <c r="CB55" s="503">
        <f t="shared" si="196"/>
        <v>0</v>
      </c>
      <c r="CC55" s="503">
        <f t="shared" si="196"/>
        <v>0</v>
      </c>
      <c r="CD55" s="722">
        <f t="shared" si="261"/>
        <v>208.35125523884722</v>
      </c>
      <c r="CE55" s="511">
        <f t="shared" ref="CE55:CH55" si="403">CD55</f>
        <v>208.35125523884722</v>
      </c>
      <c r="CF55" s="511">
        <f t="shared" si="403"/>
        <v>208.35125523884722</v>
      </c>
      <c r="CG55" s="511">
        <f t="shared" si="403"/>
        <v>208.35125523884722</v>
      </c>
      <c r="CH55" s="511">
        <f t="shared" si="403"/>
        <v>208.35125523884722</v>
      </c>
      <c r="CI55" s="511">
        <f t="shared" si="103"/>
        <v>208.35125523884722</v>
      </c>
      <c r="CJ55" s="511">
        <f t="shared" si="104"/>
        <v>208.35125523884722</v>
      </c>
      <c r="CK55" s="722">
        <f t="shared" si="263"/>
        <v>4.4388573704168037E-2</v>
      </c>
      <c r="CL55" s="511">
        <f t="shared" ref="CL55:CO55" si="404">CK55</f>
        <v>4.4388573704168037E-2</v>
      </c>
      <c r="CM55" s="511">
        <f t="shared" si="404"/>
        <v>4.4388573704168037E-2</v>
      </c>
      <c r="CN55" s="511">
        <f t="shared" si="404"/>
        <v>4.4388573704168037E-2</v>
      </c>
      <c r="CO55" s="511">
        <f t="shared" si="404"/>
        <v>4.4388573704168037E-2</v>
      </c>
      <c r="CP55" s="511">
        <f t="shared" si="106"/>
        <v>4.4388573704168037E-2</v>
      </c>
      <c r="CQ55" s="511">
        <f t="shared" si="107"/>
        <v>4.4388573704168037E-2</v>
      </c>
      <c r="CR55" s="722">
        <f t="shared" si="265"/>
        <v>0</v>
      </c>
      <c r="CS55" s="511">
        <f t="shared" ref="CS55:CV55" si="405">CR55</f>
        <v>0</v>
      </c>
      <c r="CT55" s="511">
        <f t="shared" si="405"/>
        <v>0</v>
      </c>
      <c r="CU55" s="511">
        <f t="shared" si="405"/>
        <v>0</v>
      </c>
      <c r="CV55" s="511">
        <f t="shared" si="405"/>
        <v>0</v>
      </c>
      <c r="CW55" s="511">
        <f t="shared" si="109"/>
        <v>0</v>
      </c>
      <c r="CX55" s="539">
        <f t="shared" si="110"/>
        <v>0</v>
      </c>
      <c r="CY55" s="724">
        <f t="shared" si="267"/>
        <v>3704240</v>
      </c>
      <c r="CZ55" s="508">
        <f t="shared" si="268"/>
        <v>3704240</v>
      </c>
      <c r="DA55" s="508">
        <f t="shared" si="269"/>
        <v>889017.6</v>
      </c>
      <c r="DB55" s="508">
        <f t="shared" si="270"/>
        <v>0</v>
      </c>
      <c r="DC55" s="508">
        <f t="shared" si="271"/>
        <v>0</v>
      </c>
      <c r="DD55" s="508">
        <f t="shared" si="272"/>
        <v>0</v>
      </c>
      <c r="DE55" s="726">
        <f t="shared" si="273"/>
        <v>0</v>
      </c>
      <c r="DF55" s="724">
        <f t="shared" si="274"/>
        <v>0</v>
      </c>
      <c r="DG55" s="509">
        <f t="shared" si="275"/>
        <v>0</v>
      </c>
      <c r="DH55" s="509">
        <f t="shared" si="276"/>
        <v>0</v>
      </c>
      <c r="DI55" s="509">
        <f t="shared" si="277"/>
        <v>0</v>
      </c>
      <c r="DJ55" s="509">
        <f t="shared" si="278"/>
        <v>0</v>
      </c>
      <c r="DK55" s="509">
        <f t="shared" si="279"/>
        <v>0</v>
      </c>
      <c r="DL55" s="451">
        <f t="shared" si="280"/>
        <v>0</v>
      </c>
      <c r="DM55" s="509">
        <f t="shared" si="281"/>
        <v>146220</v>
      </c>
      <c r="DN55" s="509">
        <f t="shared" si="282"/>
        <v>146220</v>
      </c>
      <c r="DO55" s="509">
        <f t="shared" si="283"/>
        <v>35092.800000000003</v>
      </c>
      <c r="DP55" s="509">
        <f t="shared" si="284"/>
        <v>0</v>
      </c>
      <c r="DQ55" s="509">
        <f t="shared" si="285"/>
        <v>0</v>
      </c>
      <c r="DR55" s="509">
        <f t="shared" si="286"/>
        <v>0</v>
      </c>
      <c r="DS55" s="450">
        <f t="shared" si="287"/>
        <v>0</v>
      </c>
      <c r="DT55" s="724">
        <f t="shared" si="288"/>
        <v>0</v>
      </c>
      <c r="DU55" s="508">
        <f t="shared" si="289"/>
        <v>0</v>
      </c>
      <c r="DV55" s="508">
        <f t="shared" si="290"/>
        <v>0</v>
      </c>
      <c r="DW55" s="508">
        <f t="shared" si="291"/>
        <v>0</v>
      </c>
      <c r="DX55" s="508">
        <f t="shared" si="292"/>
        <v>0</v>
      </c>
      <c r="DY55" s="508">
        <f t="shared" si="293"/>
        <v>0</v>
      </c>
      <c r="DZ55" s="726">
        <f t="shared" si="294"/>
        <v>0</v>
      </c>
      <c r="EA55" s="722">
        <f t="shared" si="295"/>
        <v>5077520.0901707066</v>
      </c>
      <c r="EB55" s="511">
        <f t="shared" si="296"/>
        <v>5077520.0901707066</v>
      </c>
      <c r="EC55" s="511">
        <f t="shared" si="297"/>
        <v>1218604.8216409697</v>
      </c>
      <c r="ED55" s="511">
        <f t="shared" si="298"/>
        <v>0</v>
      </c>
      <c r="EE55" s="511">
        <f t="shared" si="299"/>
        <v>0</v>
      </c>
      <c r="EF55" s="511">
        <f t="shared" si="300"/>
        <v>0</v>
      </c>
      <c r="EG55" s="723">
        <f t="shared" si="301"/>
        <v>0</v>
      </c>
      <c r="EH55" s="397">
        <f t="shared" si="302"/>
        <v>1081.749541170575</v>
      </c>
      <c r="EI55" s="397">
        <f t="shared" si="303"/>
        <v>1081.749541170575</v>
      </c>
      <c r="EJ55" s="397">
        <f t="shared" si="304"/>
        <v>259.61988988093805</v>
      </c>
      <c r="EK55" s="397">
        <f t="shared" si="305"/>
        <v>0</v>
      </c>
      <c r="EL55" s="397">
        <f t="shared" si="306"/>
        <v>0</v>
      </c>
      <c r="EM55" s="397">
        <f t="shared" si="307"/>
        <v>0</v>
      </c>
      <c r="EN55" s="398">
        <f t="shared" si="308"/>
        <v>0</v>
      </c>
      <c r="EO55" s="722">
        <f t="shared" si="309"/>
        <v>0</v>
      </c>
      <c r="EP55" s="511">
        <f t="shared" si="310"/>
        <v>0</v>
      </c>
      <c r="EQ55" s="511">
        <f t="shared" si="311"/>
        <v>0</v>
      </c>
      <c r="ER55" s="511">
        <f t="shared" si="312"/>
        <v>0</v>
      </c>
      <c r="ES55" s="511">
        <f t="shared" si="313"/>
        <v>0</v>
      </c>
      <c r="ET55" s="511">
        <f t="shared" si="314"/>
        <v>0</v>
      </c>
      <c r="EU55" s="723">
        <f t="shared" si="315"/>
        <v>0</v>
      </c>
      <c r="EV55" s="977">
        <f t="shared" si="316"/>
        <v>54588.800000000003</v>
      </c>
      <c r="EW55" s="728">
        <f t="shared" si="317"/>
        <v>8297497.5999999996</v>
      </c>
      <c r="EX55" s="728">
        <f t="shared" si="318"/>
        <v>0</v>
      </c>
      <c r="EY55" s="728">
        <f t="shared" si="319"/>
        <v>327532.79999999999</v>
      </c>
      <c r="EZ55" s="728">
        <f t="shared" si="320"/>
        <v>0</v>
      </c>
      <c r="FA55" s="978">
        <f t="shared" si="321"/>
        <v>11373645.001982383</v>
      </c>
      <c r="FB55" s="978">
        <f t="shared" si="322"/>
        <v>2423.1189722220879</v>
      </c>
      <c r="FC55" s="778">
        <f t="shared" si="323"/>
        <v>0</v>
      </c>
      <c r="FE55" s="10" t="b">
        <f t="shared" si="324"/>
        <v>1</v>
      </c>
      <c r="FF55" s="10" t="b">
        <f t="shared" si="325"/>
        <v>1</v>
      </c>
      <c r="FG55" s="10" t="b">
        <f t="shared" si="326"/>
        <v>1</v>
      </c>
      <c r="FH55" s="10" t="b">
        <f t="shared" si="327"/>
        <v>1</v>
      </c>
      <c r="FI55" s="10" t="b">
        <f t="shared" si="328"/>
        <v>1</v>
      </c>
      <c r="FJ55" s="10" t="b">
        <f t="shared" si="329"/>
        <v>1</v>
      </c>
      <c r="FK55" s="10" t="b">
        <f t="shared" si="330"/>
        <v>1</v>
      </c>
      <c r="FL55" s="10" t="b">
        <f t="shared" si="350"/>
        <v>1</v>
      </c>
    </row>
    <row r="56" spans="1:168" s="10" customFormat="1" ht="12.5">
      <c r="A56" s="662">
        <v>51</v>
      </c>
      <c r="B56" s="789" t="s">
        <v>1337</v>
      </c>
      <c r="C56" s="662" t="s">
        <v>1318</v>
      </c>
      <c r="D56" s="715" t="s">
        <v>1338</v>
      </c>
      <c r="E56" s="789" t="s">
        <v>1183</v>
      </c>
      <c r="F56" s="789" t="s">
        <v>331</v>
      </c>
      <c r="G56" s="704" t="s">
        <v>402</v>
      </c>
      <c r="H56" s="1032">
        <v>18.5</v>
      </c>
      <c r="I56" s="1032">
        <v>0</v>
      </c>
      <c r="J56" s="704">
        <f t="shared" si="240"/>
        <v>18.5</v>
      </c>
      <c r="K56" s="1032">
        <v>0</v>
      </c>
      <c r="L56" s="704">
        <f>J56*0.5</f>
        <v>9.25</v>
      </c>
      <c r="M56" s="1026" t="s">
        <v>1339</v>
      </c>
      <c r="N56" s="1033">
        <v>13</v>
      </c>
      <c r="O56" s="1033">
        <v>13</v>
      </c>
      <c r="P56" s="707">
        <v>0</v>
      </c>
      <c r="Q56" s="707">
        <v>0</v>
      </c>
      <c r="R56" s="1021">
        <f>AVERAGE(LGE_KU_ComReb_Report_Data!$G$57:$G$68,LGE_KU_ComReb_Report_Data!$G$73:$G$81)</f>
        <v>634.50473031189699</v>
      </c>
      <c r="S56" s="872">
        <f>AVERAGE(LGE_KU_ComReb_Report_Data!$H$57:$H$68,LGE_KU_ComReb_Report_Data!$H$73:$H$81)</f>
        <v>0</v>
      </c>
      <c r="T56" s="1022">
        <v>0</v>
      </c>
      <c r="U56" s="1026" t="s">
        <v>1212</v>
      </c>
      <c r="V56" s="716">
        <v>0</v>
      </c>
      <c r="W56" s="711">
        <v>1</v>
      </c>
      <c r="X56" s="781">
        <v>356066</v>
      </c>
      <c r="Y56" s="781">
        <v>121644</v>
      </c>
      <c r="Z56" s="781">
        <v>61801</v>
      </c>
      <c r="AA56" s="781">
        <v>56893.714285714283</v>
      </c>
      <c r="AB56" s="781">
        <f>AA56</f>
        <v>56893.714285714283</v>
      </c>
      <c r="AC56" s="1028">
        <f t="shared" si="379"/>
        <v>56894</v>
      </c>
      <c r="AD56" s="1028">
        <f t="shared" si="379"/>
        <v>56894</v>
      </c>
      <c r="AE56" s="1034">
        <f t="shared" si="384"/>
        <v>56894</v>
      </c>
      <c r="AF56" s="1034">
        <f t="shared" si="385"/>
        <v>13654.560000000001</v>
      </c>
      <c r="AG56" s="781">
        <v>0</v>
      </c>
      <c r="AH56" s="781">
        <v>0</v>
      </c>
      <c r="AI56" s="781">
        <v>0</v>
      </c>
      <c r="AJ56" s="781">
        <v>0</v>
      </c>
      <c r="AK56" s="715" t="s">
        <v>384</v>
      </c>
      <c r="AL56" s="711" t="s">
        <v>742</v>
      </c>
      <c r="AM56" s="715" t="s">
        <v>1186</v>
      </c>
      <c r="AN56" s="715" t="s">
        <v>1152</v>
      </c>
      <c r="AO56" s="711" t="s">
        <v>1</v>
      </c>
      <c r="AP56" s="1024"/>
      <c r="AQ56" s="1024"/>
      <c r="AR56" s="1024"/>
      <c r="AS56" s="715" t="s">
        <v>1153</v>
      </c>
      <c r="AT56" s="715" t="s">
        <v>745</v>
      </c>
      <c r="AU56" s="715" t="s">
        <v>746</v>
      </c>
      <c r="AV56" s="715">
        <v>20</v>
      </c>
      <c r="AW56" s="715">
        <v>15</v>
      </c>
      <c r="AX56" s="715" t="s">
        <v>1486</v>
      </c>
      <c r="AY56" s="716">
        <v>1</v>
      </c>
      <c r="AZ56" s="716">
        <v>1</v>
      </c>
      <c r="BA56" s="717">
        <v>0</v>
      </c>
      <c r="BB56" s="721">
        <f t="shared" si="139"/>
        <v>18.5</v>
      </c>
      <c r="BC56" s="499">
        <f t="shared" si="140"/>
        <v>18.5</v>
      </c>
      <c r="BD56" s="499">
        <f t="shared" si="141"/>
        <v>18.5</v>
      </c>
      <c r="BE56" s="499">
        <f t="shared" si="142"/>
        <v>18.5</v>
      </c>
      <c r="BF56" s="499">
        <f t="shared" si="143"/>
        <v>18.5</v>
      </c>
      <c r="BG56" s="499">
        <f t="shared" si="144"/>
        <v>18.5</v>
      </c>
      <c r="BH56" s="499">
        <f t="shared" si="145"/>
        <v>18.5</v>
      </c>
      <c r="BI56" s="721">
        <f t="shared" si="258"/>
        <v>0</v>
      </c>
      <c r="BJ56" s="499">
        <f t="shared" ref="BJ56:BM56" si="406">BI56</f>
        <v>0</v>
      </c>
      <c r="BK56" s="499">
        <f t="shared" si="406"/>
        <v>0</v>
      </c>
      <c r="BL56" s="499">
        <f t="shared" si="406"/>
        <v>0</v>
      </c>
      <c r="BM56" s="499">
        <f t="shared" si="406"/>
        <v>0</v>
      </c>
      <c r="BN56" s="499">
        <f t="shared" si="147"/>
        <v>0</v>
      </c>
      <c r="BO56" s="499">
        <f t="shared" si="148"/>
        <v>0</v>
      </c>
      <c r="BP56" s="721">
        <f t="shared" si="260"/>
        <v>13</v>
      </c>
      <c r="BQ56" s="499">
        <f t="shared" si="332"/>
        <v>13</v>
      </c>
      <c r="BR56" s="499">
        <f t="shared" si="149"/>
        <v>13</v>
      </c>
      <c r="BS56" s="499">
        <f t="shared" si="150"/>
        <v>13</v>
      </c>
      <c r="BT56" s="499">
        <f t="shared" si="151"/>
        <v>13</v>
      </c>
      <c r="BU56" s="499">
        <f t="shared" si="152"/>
        <v>13</v>
      </c>
      <c r="BV56" s="499">
        <f t="shared" si="153"/>
        <v>13</v>
      </c>
      <c r="BW56" s="774">
        <f t="shared" si="196"/>
        <v>0</v>
      </c>
      <c r="BX56" s="503">
        <f t="shared" si="196"/>
        <v>0</v>
      </c>
      <c r="BY56" s="503">
        <f t="shared" si="196"/>
        <v>0</v>
      </c>
      <c r="BZ56" s="503">
        <f t="shared" si="196"/>
        <v>0</v>
      </c>
      <c r="CA56" s="503">
        <f t="shared" si="196"/>
        <v>0</v>
      </c>
      <c r="CB56" s="503">
        <f t="shared" si="196"/>
        <v>0</v>
      </c>
      <c r="CC56" s="503">
        <f t="shared" si="196"/>
        <v>0</v>
      </c>
      <c r="CD56" s="722">
        <f t="shared" si="261"/>
        <v>634.50473031189699</v>
      </c>
      <c r="CE56" s="511">
        <f t="shared" ref="CE56:CH56" si="407">CD56</f>
        <v>634.50473031189699</v>
      </c>
      <c r="CF56" s="511">
        <f t="shared" si="407"/>
        <v>634.50473031189699</v>
      </c>
      <c r="CG56" s="511">
        <f t="shared" si="407"/>
        <v>634.50473031189699</v>
      </c>
      <c r="CH56" s="511">
        <f t="shared" si="407"/>
        <v>634.50473031189699</v>
      </c>
      <c r="CI56" s="511">
        <f t="shared" si="103"/>
        <v>634.50473031189699</v>
      </c>
      <c r="CJ56" s="511">
        <f t="shared" si="104"/>
        <v>634.50473031189699</v>
      </c>
      <c r="CK56" s="722">
        <f t="shared" si="263"/>
        <v>0</v>
      </c>
      <c r="CL56" s="511">
        <f t="shared" ref="CL56:CO56" si="408">CK56</f>
        <v>0</v>
      </c>
      <c r="CM56" s="511">
        <f t="shared" si="408"/>
        <v>0</v>
      </c>
      <c r="CN56" s="511">
        <f t="shared" si="408"/>
        <v>0</v>
      </c>
      <c r="CO56" s="511">
        <f t="shared" si="408"/>
        <v>0</v>
      </c>
      <c r="CP56" s="511">
        <f t="shared" si="106"/>
        <v>0</v>
      </c>
      <c r="CQ56" s="511">
        <f t="shared" si="107"/>
        <v>0</v>
      </c>
      <c r="CR56" s="722">
        <f t="shared" si="265"/>
        <v>0</v>
      </c>
      <c r="CS56" s="511">
        <f t="shared" ref="CS56:CV56" si="409">CR56</f>
        <v>0</v>
      </c>
      <c r="CT56" s="511">
        <f t="shared" si="409"/>
        <v>0</v>
      </c>
      <c r="CU56" s="511">
        <f t="shared" si="409"/>
        <v>0</v>
      </c>
      <c r="CV56" s="511">
        <f t="shared" si="409"/>
        <v>0</v>
      </c>
      <c r="CW56" s="511">
        <f t="shared" si="109"/>
        <v>0</v>
      </c>
      <c r="CX56" s="539">
        <f t="shared" si="110"/>
        <v>0</v>
      </c>
      <c r="CY56" s="724">
        <f t="shared" si="267"/>
        <v>1052539</v>
      </c>
      <c r="CZ56" s="508">
        <f t="shared" si="268"/>
        <v>1052539</v>
      </c>
      <c r="DA56" s="508">
        <f t="shared" si="269"/>
        <v>252609.36000000002</v>
      </c>
      <c r="DB56" s="508">
        <f t="shared" si="270"/>
        <v>0</v>
      </c>
      <c r="DC56" s="508">
        <f t="shared" si="271"/>
        <v>0</v>
      </c>
      <c r="DD56" s="508">
        <f t="shared" si="272"/>
        <v>0</v>
      </c>
      <c r="DE56" s="726">
        <f t="shared" si="273"/>
        <v>0</v>
      </c>
      <c r="DF56" s="724">
        <f t="shared" si="274"/>
        <v>0</v>
      </c>
      <c r="DG56" s="509">
        <f t="shared" si="275"/>
        <v>0</v>
      </c>
      <c r="DH56" s="509">
        <f t="shared" si="276"/>
        <v>0</v>
      </c>
      <c r="DI56" s="509">
        <f t="shared" si="277"/>
        <v>0</v>
      </c>
      <c r="DJ56" s="509">
        <f t="shared" si="278"/>
        <v>0</v>
      </c>
      <c r="DK56" s="509">
        <f t="shared" si="279"/>
        <v>0</v>
      </c>
      <c r="DL56" s="451">
        <f t="shared" si="280"/>
        <v>0</v>
      </c>
      <c r="DM56" s="509">
        <f t="shared" si="281"/>
        <v>739622</v>
      </c>
      <c r="DN56" s="509">
        <f t="shared" si="282"/>
        <v>739622</v>
      </c>
      <c r="DO56" s="509">
        <f t="shared" si="283"/>
        <v>177509.28000000003</v>
      </c>
      <c r="DP56" s="509">
        <f t="shared" si="284"/>
        <v>0</v>
      </c>
      <c r="DQ56" s="509">
        <f t="shared" si="285"/>
        <v>0</v>
      </c>
      <c r="DR56" s="509">
        <f t="shared" si="286"/>
        <v>0</v>
      </c>
      <c r="DS56" s="450">
        <f t="shared" si="287"/>
        <v>0</v>
      </c>
      <c r="DT56" s="724">
        <f t="shared" si="288"/>
        <v>0</v>
      </c>
      <c r="DU56" s="508">
        <f t="shared" si="289"/>
        <v>0</v>
      </c>
      <c r="DV56" s="508">
        <f t="shared" si="290"/>
        <v>0</v>
      </c>
      <c r="DW56" s="508">
        <f t="shared" si="291"/>
        <v>0</v>
      </c>
      <c r="DX56" s="508">
        <f t="shared" si="292"/>
        <v>0</v>
      </c>
      <c r="DY56" s="508">
        <f t="shared" si="293"/>
        <v>0</v>
      </c>
      <c r="DZ56" s="726">
        <f t="shared" si="294"/>
        <v>0</v>
      </c>
      <c r="EA56" s="722">
        <f t="shared" si="295"/>
        <v>36099512.126365066</v>
      </c>
      <c r="EB56" s="511">
        <f t="shared" si="296"/>
        <v>36099512.126365066</v>
      </c>
      <c r="EC56" s="511">
        <f t="shared" si="297"/>
        <v>8663882.9103276171</v>
      </c>
      <c r="ED56" s="511">
        <f t="shared" si="298"/>
        <v>0</v>
      </c>
      <c r="EE56" s="511">
        <f t="shared" si="299"/>
        <v>0</v>
      </c>
      <c r="EF56" s="511">
        <f t="shared" si="300"/>
        <v>0</v>
      </c>
      <c r="EG56" s="723">
        <f t="shared" si="301"/>
        <v>0</v>
      </c>
      <c r="EH56" s="397">
        <f t="shared" si="302"/>
        <v>0</v>
      </c>
      <c r="EI56" s="397">
        <f t="shared" si="303"/>
        <v>0</v>
      </c>
      <c r="EJ56" s="397">
        <f t="shared" si="304"/>
        <v>0</v>
      </c>
      <c r="EK56" s="397">
        <f t="shared" si="305"/>
        <v>0</v>
      </c>
      <c r="EL56" s="397">
        <f t="shared" si="306"/>
        <v>0</v>
      </c>
      <c r="EM56" s="397">
        <f t="shared" si="307"/>
        <v>0</v>
      </c>
      <c r="EN56" s="398">
        <f t="shared" si="308"/>
        <v>0</v>
      </c>
      <c r="EO56" s="722">
        <f t="shared" si="309"/>
        <v>0</v>
      </c>
      <c r="EP56" s="511">
        <f t="shared" si="310"/>
        <v>0</v>
      </c>
      <c r="EQ56" s="511">
        <f t="shared" si="311"/>
        <v>0</v>
      </c>
      <c r="ER56" s="511">
        <f t="shared" si="312"/>
        <v>0</v>
      </c>
      <c r="ES56" s="511">
        <f t="shared" si="313"/>
        <v>0</v>
      </c>
      <c r="ET56" s="511">
        <f t="shared" si="314"/>
        <v>0</v>
      </c>
      <c r="EU56" s="723">
        <f t="shared" si="315"/>
        <v>0</v>
      </c>
      <c r="EV56" s="977">
        <f t="shared" si="316"/>
        <v>127442.56</v>
      </c>
      <c r="EW56" s="728">
        <f t="shared" si="317"/>
        <v>2357687.36</v>
      </c>
      <c r="EX56" s="728">
        <f t="shared" si="318"/>
        <v>0</v>
      </c>
      <c r="EY56" s="728">
        <f t="shared" si="319"/>
        <v>1656753.28</v>
      </c>
      <c r="EZ56" s="728">
        <f t="shared" si="320"/>
        <v>0</v>
      </c>
      <c r="FA56" s="978">
        <f t="shared" si="321"/>
        <v>80862907.163057745</v>
      </c>
      <c r="FB56" s="978">
        <f t="shared" si="322"/>
        <v>0</v>
      </c>
      <c r="FC56" s="778">
        <f t="shared" si="323"/>
        <v>0</v>
      </c>
      <c r="FE56" s="10" t="b">
        <f t="shared" si="324"/>
        <v>1</v>
      </c>
      <c r="FF56" s="10" t="b">
        <f t="shared" si="325"/>
        <v>1</v>
      </c>
      <c r="FG56" s="10" t="b">
        <f t="shared" si="326"/>
        <v>1</v>
      </c>
      <c r="FH56" s="10" t="b">
        <f t="shared" si="327"/>
        <v>1</v>
      </c>
      <c r="FI56" s="10" t="b">
        <f t="shared" si="328"/>
        <v>1</v>
      </c>
      <c r="FJ56" s="10" t="b">
        <f t="shared" si="329"/>
        <v>1</v>
      </c>
      <c r="FK56" s="10" t="b">
        <f t="shared" si="330"/>
        <v>1</v>
      </c>
      <c r="FL56" s="10" t="b">
        <f t="shared" si="350"/>
        <v>1</v>
      </c>
    </row>
    <row r="57" spans="1:168" s="10" customFormat="1" ht="12.5">
      <c r="A57" s="662">
        <v>52</v>
      </c>
      <c r="B57" s="789" t="s">
        <v>1340</v>
      </c>
      <c r="C57" s="662" t="s">
        <v>1318</v>
      </c>
      <c r="D57" s="715" t="s">
        <v>1341</v>
      </c>
      <c r="E57" s="789" t="s">
        <v>1183</v>
      </c>
      <c r="F57" s="789" t="s">
        <v>331</v>
      </c>
      <c r="G57" s="704" t="s">
        <v>402</v>
      </c>
      <c r="H57" s="1032">
        <v>631</v>
      </c>
      <c r="I57" s="1032">
        <v>0</v>
      </c>
      <c r="J57" s="704">
        <f t="shared" si="240"/>
        <v>631</v>
      </c>
      <c r="K57" s="1032">
        <f>-BizRebates_Costs!G5</f>
        <v>-2.8653333333333331</v>
      </c>
      <c r="L57" s="704">
        <f t="shared" si="119"/>
        <v>315.5</v>
      </c>
      <c r="M57" s="1026" t="s">
        <v>1342</v>
      </c>
      <c r="N57" s="1033">
        <v>20</v>
      </c>
      <c r="O57" s="1033">
        <v>20</v>
      </c>
      <c r="P57" s="707">
        <v>0</v>
      </c>
      <c r="Q57" s="707">
        <v>0</v>
      </c>
      <c r="R57" s="1021">
        <f>((171-94)/1000)*6049*1</f>
        <v>465.77299999999997</v>
      </c>
      <c r="S57" s="872">
        <f>((171-94)/1000)*1*0.5</f>
        <v>3.85E-2</v>
      </c>
      <c r="T57" s="1022">
        <v>0</v>
      </c>
      <c r="U57" s="1026" t="s">
        <v>1343</v>
      </c>
      <c r="V57" s="716">
        <v>0</v>
      </c>
      <c r="W57" s="711">
        <v>1</v>
      </c>
      <c r="X57" s="781">
        <v>11230</v>
      </c>
      <c r="Y57" s="781">
        <v>17168</v>
      </c>
      <c r="Z57" s="781">
        <v>15376</v>
      </c>
      <c r="AA57" s="781">
        <v>9058.2857142857138</v>
      </c>
      <c r="AB57" s="781">
        <f>AA57</f>
        <v>9058.2857142857138</v>
      </c>
      <c r="AC57" s="1028">
        <f t="shared" si="379"/>
        <v>9058</v>
      </c>
      <c r="AD57" s="1028">
        <f t="shared" si="379"/>
        <v>9058</v>
      </c>
      <c r="AE57" s="1034">
        <f t="shared" si="384"/>
        <v>9058</v>
      </c>
      <c r="AF57" s="1034">
        <f t="shared" si="385"/>
        <v>2173.92</v>
      </c>
      <c r="AG57" s="781">
        <v>0</v>
      </c>
      <c r="AH57" s="781">
        <v>0</v>
      </c>
      <c r="AI57" s="781">
        <v>0</v>
      </c>
      <c r="AJ57" s="781">
        <v>0</v>
      </c>
      <c r="AK57" s="715" t="s">
        <v>384</v>
      </c>
      <c r="AL57" s="711" t="s">
        <v>742</v>
      </c>
      <c r="AM57" s="715" t="s">
        <v>1186</v>
      </c>
      <c r="AN57" s="715" t="s">
        <v>1152</v>
      </c>
      <c r="AO57" s="711" t="s">
        <v>1</v>
      </c>
      <c r="AP57" s="1024"/>
      <c r="AQ57" s="1024"/>
      <c r="AR57" s="1024"/>
      <c r="AS57" s="715" t="s">
        <v>1153</v>
      </c>
      <c r="AT57" s="715" t="s">
        <v>745</v>
      </c>
      <c r="AU57" s="715" t="s">
        <v>746</v>
      </c>
      <c r="AV57" s="715">
        <v>8</v>
      </c>
      <c r="AW57" s="715">
        <v>15</v>
      </c>
      <c r="AX57" s="715" t="s">
        <v>1487</v>
      </c>
      <c r="AY57" s="716">
        <v>1</v>
      </c>
      <c r="AZ57" s="716">
        <v>1</v>
      </c>
      <c r="BA57" s="717">
        <v>0</v>
      </c>
      <c r="BB57" s="721">
        <f t="shared" si="139"/>
        <v>631</v>
      </c>
      <c r="BC57" s="499">
        <f t="shared" si="140"/>
        <v>631</v>
      </c>
      <c r="BD57" s="499">
        <f t="shared" si="141"/>
        <v>631</v>
      </c>
      <c r="BE57" s="499">
        <f t="shared" si="142"/>
        <v>631</v>
      </c>
      <c r="BF57" s="499">
        <f t="shared" si="143"/>
        <v>631</v>
      </c>
      <c r="BG57" s="499">
        <f t="shared" si="144"/>
        <v>631</v>
      </c>
      <c r="BH57" s="499">
        <f t="shared" si="145"/>
        <v>631</v>
      </c>
      <c r="BI57" s="721">
        <f t="shared" si="258"/>
        <v>-2.8653333333333331</v>
      </c>
      <c r="BJ57" s="499">
        <f t="shared" ref="BJ57:BM57" si="410">BI57</f>
        <v>-2.8653333333333331</v>
      </c>
      <c r="BK57" s="499">
        <f t="shared" si="410"/>
        <v>-2.8653333333333331</v>
      </c>
      <c r="BL57" s="499">
        <f t="shared" si="410"/>
        <v>-2.8653333333333331</v>
      </c>
      <c r="BM57" s="499">
        <f t="shared" si="410"/>
        <v>-2.8653333333333331</v>
      </c>
      <c r="BN57" s="499">
        <f t="shared" si="147"/>
        <v>-2.8653333333333331</v>
      </c>
      <c r="BO57" s="499">
        <f t="shared" si="148"/>
        <v>-2.8653333333333331</v>
      </c>
      <c r="BP57" s="721">
        <f t="shared" si="260"/>
        <v>20</v>
      </c>
      <c r="BQ57" s="499">
        <f t="shared" si="332"/>
        <v>20</v>
      </c>
      <c r="BR57" s="499">
        <f t="shared" si="149"/>
        <v>20</v>
      </c>
      <c r="BS57" s="499">
        <f t="shared" si="150"/>
        <v>20</v>
      </c>
      <c r="BT57" s="499">
        <f t="shared" si="151"/>
        <v>20</v>
      </c>
      <c r="BU57" s="499">
        <f t="shared" si="152"/>
        <v>20</v>
      </c>
      <c r="BV57" s="499">
        <f t="shared" si="153"/>
        <v>20</v>
      </c>
      <c r="BW57" s="774">
        <f t="shared" si="196"/>
        <v>0</v>
      </c>
      <c r="BX57" s="503">
        <f t="shared" si="196"/>
        <v>0</v>
      </c>
      <c r="BY57" s="503">
        <f t="shared" si="196"/>
        <v>0</v>
      </c>
      <c r="BZ57" s="503">
        <f t="shared" si="196"/>
        <v>0</v>
      </c>
      <c r="CA57" s="503">
        <f t="shared" si="196"/>
        <v>0</v>
      </c>
      <c r="CB57" s="503">
        <f t="shared" si="196"/>
        <v>0</v>
      </c>
      <c r="CC57" s="503">
        <f t="shared" si="196"/>
        <v>0</v>
      </c>
      <c r="CD57" s="722">
        <f t="shared" si="261"/>
        <v>465.77299999999997</v>
      </c>
      <c r="CE57" s="511">
        <f t="shared" ref="CE57:CH57" si="411">CD57</f>
        <v>465.77299999999997</v>
      </c>
      <c r="CF57" s="511">
        <f t="shared" si="411"/>
        <v>465.77299999999997</v>
      </c>
      <c r="CG57" s="511">
        <f t="shared" si="411"/>
        <v>465.77299999999997</v>
      </c>
      <c r="CH57" s="511">
        <f t="shared" si="411"/>
        <v>465.77299999999997</v>
      </c>
      <c r="CI57" s="511">
        <f t="shared" si="103"/>
        <v>465.77299999999997</v>
      </c>
      <c r="CJ57" s="511">
        <f t="shared" si="104"/>
        <v>465.77299999999997</v>
      </c>
      <c r="CK57" s="722">
        <f t="shared" si="263"/>
        <v>3.85E-2</v>
      </c>
      <c r="CL57" s="511">
        <f t="shared" ref="CL57:CO57" si="412">CK57</f>
        <v>3.85E-2</v>
      </c>
      <c r="CM57" s="511">
        <f t="shared" si="412"/>
        <v>3.85E-2</v>
      </c>
      <c r="CN57" s="511">
        <f t="shared" si="412"/>
        <v>3.85E-2</v>
      </c>
      <c r="CO57" s="511">
        <f t="shared" si="412"/>
        <v>3.85E-2</v>
      </c>
      <c r="CP57" s="511">
        <f t="shared" si="106"/>
        <v>3.85E-2</v>
      </c>
      <c r="CQ57" s="511">
        <f t="shared" si="107"/>
        <v>3.85E-2</v>
      </c>
      <c r="CR57" s="722">
        <f t="shared" si="265"/>
        <v>0</v>
      </c>
      <c r="CS57" s="511">
        <f t="shared" ref="CS57:CV57" si="413">CR57</f>
        <v>0</v>
      </c>
      <c r="CT57" s="511">
        <f t="shared" si="413"/>
        <v>0</v>
      </c>
      <c r="CU57" s="511">
        <f t="shared" si="413"/>
        <v>0</v>
      </c>
      <c r="CV57" s="511">
        <f t="shared" si="413"/>
        <v>0</v>
      </c>
      <c r="CW57" s="511">
        <f t="shared" si="109"/>
        <v>0</v>
      </c>
      <c r="CX57" s="539">
        <f t="shared" si="110"/>
        <v>0</v>
      </c>
      <c r="CY57" s="724">
        <f t="shared" si="267"/>
        <v>5715598</v>
      </c>
      <c r="CZ57" s="508">
        <f t="shared" si="268"/>
        <v>5715598</v>
      </c>
      <c r="DA57" s="508">
        <f t="shared" si="269"/>
        <v>1371743.52</v>
      </c>
      <c r="DB57" s="508">
        <f t="shared" si="270"/>
        <v>0</v>
      </c>
      <c r="DC57" s="508">
        <f t="shared" si="271"/>
        <v>0</v>
      </c>
      <c r="DD57" s="508">
        <f t="shared" si="272"/>
        <v>0</v>
      </c>
      <c r="DE57" s="726">
        <f t="shared" si="273"/>
        <v>0</v>
      </c>
      <c r="DF57" s="724">
        <f t="shared" si="274"/>
        <v>-25954.189333333332</v>
      </c>
      <c r="DG57" s="509">
        <f t="shared" si="275"/>
        <v>-25954.189333333332</v>
      </c>
      <c r="DH57" s="509">
        <f t="shared" si="276"/>
        <v>-6229.0054399999999</v>
      </c>
      <c r="DI57" s="509">
        <f t="shared" si="277"/>
        <v>0</v>
      </c>
      <c r="DJ57" s="509">
        <f t="shared" si="278"/>
        <v>0</v>
      </c>
      <c r="DK57" s="509">
        <f t="shared" si="279"/>
        <v>0</v>
      </c>
      <c r="DL57" s="451">
        <f t="shared" si="280"/>
        <v>0</v>
      </c>
      <c r="DM57" s="509">
        <f t="shared" si="281"/>
        <v>181160</v>
      </c>
      <c r="DN57" s="509">
        <f t="shared" si="282"/>
        <v>181160</v>
      </c>
      <c r="DO57" s="509">
        <f t="shared" si="283"/>
        <v>43478.400000000001</v>
      </c>
      <c r="DP57" s="509">
        <f t="shared" si="284"/>
        <v>0</v>
      </c>
      <c r="DQ57" s="509">
        <f t="shared" si="285"/>
        <v>0</v>
      </c>
      <c r="DR57" s="509">
        <f t="shared" si="286"/>
        <v>0</v>
      </c>
      <c r="DS57" s="450">
        <f t="shared" si="287"/>
        <v>0</v>
      </c>
      <c r="DT57" s="724">
        <f t="shared" si="288"/>
        <v>0</v>
      </c>
      <c r="DU57" s="508">
        <f t="shared" si="289"/>
        <v>0</v>
      </c>
      <c r="DV57" s="508">
        <f t="shared" si="290"/>
        <v>0</v>
      </c>
      <c r="DW57" s="508">
        <f t="shared" si="291"/>
        <v>0</v>
      </c>
      <c r="DX57" s="508">
        <f t="shared" si="292"/>
        <v>0</v>
      </c>
      <c r="DY57" s="508">
        <f t="shared" si="293"/>
        <v>0</v>
      </c>
      <c r="DZ57" s="726">
        <f t="shared" si="294"/>
        <v>0</v>
      </c>
      <c r="EA57" s="722">
        <f t="shared" si="295"/>
        <v>4218971.8339999998</v>
      </c>
      <c r="EB57" s="511">
        <f t="shared" si="296"/>
        <v>4218971.8339999998</v>
      </c>
      <c r="EC57" s="511">
        <f t="shared" si="297"/>
        <v>1012553.2401599999</v>
      </c>
      <c r="ED57" s="511">
        <f t="shared" si="298"/>
        <v>0</v>
      </c>
      <c r="EE57" s="511">
        <f t="shared" si="299"/>
        <v>0</v>
      </c>
      <c r="EF57" s="511">
        <f t="shared" si="300"/>
        <v>0</v>
      </c>
      <c r="EG57" s="723">
        <f t="shared" si="301"/>
        <v>0</v>
      </c>
      <c r="EH57" s="397">
        <f t="shared" si="302"/>
        <v>348.733</v>
      </c>
      <c r="EI57" s="397">
        <f t="shared" si="303"/>
        <v>348.733</v>
      </c>
      <c r="EJ57" s="397">
        <f t="shared" si="304"/>
        <v>83.695920000000001</v>
      </c>
      <c r="EK57" s="397">
        <f t="shared" si="305"/>
        <v>0</v>
      </c>
      <c r="EL57" s="397">
        <f t="shared" si="306"/>
        <v>0</v>
      </c>
      <c r="EM57" s="397">
        <f t="shared" si="307"/>
        <v>0</v>
      </c>
      <c r="EN57" s="398">
        <f t="shared" si="308"/>
        <v>0</v>
      </c>
      <c r="EO57" s="722">
        <f t="shared" si="309"/>
        <v>0</v>
      </c>
      <c r="EP57" s="511">
        <f t="shared" si="310"/>
        <v>0</v>
      </c>
      <c r="EQ57" s="511">
        <f t="shared" si="311"/>
        <v>0</v>
      </c>
      <c r="ER57" s="511">
        <f t="shared" si="312"/>
        <v>0</v>
      </c>
      <c r="ES57" s="511">
        <f t="shared" si="313"/>
        <v>0</v>
      </c>
      <c r="ET57" s="511">
        <f t="shared" si="314"/>
        <v>0</v>
      </c>
      <c r="EU57" s="723">
        <f t="shared" si="315"/>
        <v>0</v>
      </c>
      <c r="EV57" s="977">
        <f t="shared" si="316"/>
        <v>20289.919999999998</v>
      </c>
      <c r="EW57" s="728">
        <f t="shared" si="317"/>
        <v>12802939.52</v>
      </c>
      <c r="EX57" s="728">
        <f t="shared" si="318"/>
        <v>-58137.384106666665</v>
      </c>
      <c r="EY57" s="728">
        <f t="shared" si="319"/>
        <v>405798.40000000002</v>
      </c>
      <c r="EZ57" s="728">
        <f t="shared" si="320"/>
        <v>0</v>
      </c>
      <c r="FA57" s="978">
        <f t="shared" si="321"/>
        <v>9450496.9081599992</v>
      </c>
      <c r="FB57" s="978">
        <f t="shared" si="322"/>
        <v>781.16192000000001</v>
      </c>
      <c r="FC57" s="778">
        <f t="shared" si="323"/>
        <v>0</v>
      </c>
      <c r="FE57" s="10" t="b">
        <f t="shared" si="324"/>
        <v>1</v>
      </c>
      <c r="FF57" s="10" t="b">
        <f t="shared" si="325"/>
        <v>1</v>
      </c>
      <c r="FG57" s="10" t="b">
        <f t="shared" si="326"/>
        <v>1</v>
      </c>
      <c r="FH57" s="10" t="b">
        <f t="shared" si="327"/>
        <v>1</v>
      </c>
      <c r="FI57" s="10" t="b">
        <f t="shared" si="328"/>
        <v>1</v>
      </c>
      <c r="FJ57" s="10" t="b">
        <f t="shared" si="329"/>
        <v>1</v>
      </c>
      <c r="FK57" s="10" t="b">
        <f t="shared" si="330"/>
        <v>1</v>
      </c>
      <c r="FL57" s="10" t="b">
        <f t="shared" si="350"/>
        <v>1</v>
      </c>
    </row>
    <row r="58" spans="1:168" s="10" customFormat="1" ht="12.5">
      <c r="A58" s="662">
        <v>53</v>
      </c>
      <c r="B58" s="789" t="s">
        <v>1344</v>
      </c>
      <c r="C58" s="662" t="s">
        <v>1318</v>
      </c>
      <c r="D58" s="715" t="s">
        <v>1341</v>
      </c>
      <c r="E58" s="789" t="s">
        <v>1183</v>
      </c>
      <c r="F58" s="789" t="s">
        <v>331</v>
      </c>
      <c r="G58" s="704" t="s">
        <v>402</v>
      </c>
      <c r="H58" s="1032">
        <f>BizRebates_Costs!G3</f>
        <v>1846</v>
      </c>
      <c r="I58" s="1032">
        <v>0</v>
      </c>
      <c r="J58" s="704">
        <f t="shared" si="240"/>
        <v>1846</v>
      </c>
      <c r="K58" s="1032">
        <f>-BizRebates_Costs!G5</f>
        <v>-2.8653333333333331</v>
      </c>
      <c r="L58" s="704">
        <f t="shared" si="119"/>
        <v>923</v>
      </c>
      <c r="M58" s="1026" t="s">
        <v>1345</v>
      </c>
      <c r="N58" s="1033">
        <v>30</v>
      </c>
      <c r="O58" s="1033">
        <v>30</v>
      </c>
      <c r="P58" s="707">
        <v>0</v>
      </c>
      <c r="Q58" s="707">
        <v>0</v>
      </c>
      <c r="R58" s="1021">
        <f>((370-205)/1000)*6049*1</f>
        <v>998.08500000000004</v>
      </c>
      <c r="S58" s="872">
        <f>((370-205)/1000)*1*0.5</f>
        <v>8.2500000000000004E-2</v>
      </c>
      <c r="T58" s="1022">
        <v>0</v>
      </c>
      <c r="U58" s="1026" t="s">
        <v>1343</v>
      </c>
      <c r="V58" s="716">
        <v>0</v>
      </c>
      <c r="W58" s="711">
        <v>1</v>
      </c>
      <c r="X58" s="781">
        <v>0</v>
      </c>
      <c r="Y58" s="781">
        <v>0</v>
      </c>
      <c r="Z58" s="781">
        <v>0</v>
      </c>
      <c r="AA58" s="781">
        <v>1311.4285714285713</v>
      </c>
      <c r="AB58" s="781">
        <f t="shared" si="336"/>
        <v>655.71428571428567</v>
      </c>
      <c r="AC58" s="781">
        <v>0</v>
      </c>
      <c r="AD58" s="1028">
        <v>1</v>
      </c>
      <c r="AE58" s="1034">
        <f t="shared" si="384"/>
        <v>1</v>
      </c>
      <c r="AF58" s="1034">
        <f>(AE58*(1+0.2))*0.2</f>
        <v>0.24</v>
      </c>
      <c r="AG58" s="781">
        <v>0</v>
      </c>
      <c r="AH58" s="781">
        <v>0</v>
      </c>
      <c r="AI58" s="781">
        <v>0</v>
      </c>
      <c r="AJ58" s="781">
        <v>0</v>
      </c>
      <c r="AK58" s="715" t="s">
        <v>384</v>
      </c>
      <c r="AL58" s="711" t="s">
        <v>742</v>
      </c>
      <c r="AM58" s="715" t="s">
        <v>1186</v>
      </c>
      <c r="AN58" s="715" t="s">
        <v>1152</v>
      </c>
      <c r="AO58" s="711" t="s">
        <v>1</v>
      </c>
      <c r="AP58" s="1024"/>
      <c r="AQ58" s="1024"/>
      <c r="AR58" s="1024"/>
      <c r="AS58" s="715" t="s">
        <v>1153</v>
      </c>
      <c r="AT58" s="715" t="s">
        <v>745</v>
      </c>
      <c r="AU58" s="715" t="s">
        <v>746</v>
      </c>
      <c r="AV58" s="715">
        <v>8</v>
      </c>
      <c r="AW58" s="715">
        <v>15</v>
      </c>
      <c r="AX58" s="715" t="s">
        <v>1487</v>
      </c>
      <c r="AY58" s="716">
        <v>1</v>
      </c>
      <c r="AZ58" s="716">
        <v>1</v>
      </c>
      <c r="BA58" s="717">
        <v>0</v>
      </c>
      <c r="BB58" s="721">
        <f t="shared" si="139"/>
        <v>1846</v>
      </c>
      <c r="BC58" s="499">
        <f t="shared" si="140"/>
        <v>1846</v>
      </c>
      <c r="BD58" s="499">
        <f t="shared" si="141"/>
        <v>1846</v>
      </c>
      <c r="BE58" s="499">
        <f t="shared" si="142"/>
        <v>1846</v>
      </c>
      <c r="BF58" s="499">
        <f t="shared" si="143"/>
        <v>1846</v>
      </c>
      <c r="BG58" s="499">
        <f t="shared" si="144"/>
        <v>1846</v>
      </c>
      <c r="BH58" s="499">
        <f t="shared" si="145"/>
        <v>1846</v>
      </c>
      <c r="BI58" s="721">
        <f t="shared" si="258"/>
        <v>-2.8653333333333331</v>
      </c>
      <c r="BJ58" s="499">
        <f t="shared" ref="BJ58:BM58" si="414">BI58</f>
        <v>-2.8653333333333331</v>
      </c>
      <c r="BK58" s="499">
        <f t="shared" si="414"/>
        <v>-2.8653333333333331</v>
      </c>
      <c r="BL58" s="499">
        <f t="shared" si="414"/>
        <v>-2.8653333333333331</v>
      </c>
      <c r="BM58" s="499">
        <f t="shared" si="414"/>
        <v>-2.8653333333333331</v>
      </c>
      <c r="BN58" s="499">
        <f t="shared" si="147"/>
        <v>-2.8653333333333331</v>
      </c>
      <c r="BO58" s="499">
        <f t="shared" si="148"/>
        <v>-2.8653333333333331</v>
      </c>
      <c r="BP58" s="721">
        <f t="shared" si="260"/>
        <v>30</v>
      </c>
      <c r="BQ58" s="499">
        <f t="shared" si="332"/>
        <v>30</v>
      </c>
      <c r="BR58" s="499">
        <f t="shared" si="149"/>
        <v>30</v>
      </c>
      <c r="BS58" s="499">
        <f t="shared" si="150"/>
        <v>30</v>
      </c>
      <c r="BT58" s="499">
        <f t="shared" si="151"/>
        <v>30</v>
      </c>
      <c r="BU58" s="499">
        <f t="shared" si="152"/>
        <v>30</v>
      </c>
      <c r="BV58" s="499">
        <f t="shared" si="153"/>
        <v>30</v>
      </c>
      <c r="BW58" s="774">
        <f t="shared" si="196"/>
        <v>0</v>
      </c>
      <c r="BX58" s="503">
        <f t="shared" si="196"/>
        <v>0</v>
      </c>
      <c r="BY58" s="503">
        <f t="shared" si="196"/>
        <v>0</v>
      </c>
      <c r="BZ58" s="503">
        <f t="shared" si="196"/>
        <v>0</v>
      </c>
      <c r="CA58" s="503">
        <f t="shared" si="196"/>
        <v>0</v>
      </c>
      <c r="CB58" s="503">
        <f t="shared" si="196"/>
        <v>0</v>
      </c>
      <c r="CC58" s="503">
        <f t="shared" si="196"/>
        <v>0</v>
      </c>
      <c r="CD58" s="722">
        <f t="shared" si="261"/>
        <v>998.08500000000004</v>
      </c>
      <c r="CE58" s="511">
        <f t="shared" ref="CE58:CH58" si="415">CD58</f>
        <v>998.08500000000004</v>
      </c>
      <c r="CF58" s="511">
        <f t="shared" si="415"/>
        <v>998.08500000000004</v>
      </c>
      <c r="CG58" s="511">
        <f t="shared" si="415"/>
        <v>998.08500000000004</v>
      </c>
      <c r="CH58" s="511">
        <f t="shared" si="415"/>
        <v>998.08500000000004</v>
      </c>
      <c r="CI58" s="511">
        <f t="shared" si="103"/>
        <v>998.08500000000004</v>
      </c>
      <c r="CJ58" s="511">
        <f t="shared" si="104"/>
        <v>998.08500000000004</v>
      </c>
      <c r="CK58" s="722">
        <f t="shared" si="263"/>
        <v>8.2500000000000004E-2</v>
      </c>
      <c r="CL58" s="511">
        <f t="shared" ref="CL58:CO58" si="416">CK58</f>
        <v>8.2500000000000004E-2</v>
      </c>
      <c r="CM58" s="511">
        <f t="shared" si="416"/>
        <v>8.2500000000000004E-2</v>
      </c>
      <c r="CN58" s="511">
        <f t="shared" si="416"/>
        <v>8.2500000000000004E-2</v>
      </c>
      <c r="CO58" s="511">
        <f t="shared" si="416"/>
        <v>8.2500000000000004E-2</v>
      </c>
      <c r="CP58" s="511">
        <f t="shared" si="106"/>
        <v>8.2500000000000004E-2</v>
      </c>
      <c r="CQ58" s="511">
        <f t="shared" si="107"/>
        <v>8.2500000000000004E-2</v>
      </c>
      <c r="CR58" s="722">
        <f t="shared" si="265"/>
        <v>0</v>
      </c>
      <c r="CS58" s="511">
        <f t="shared" ref="CS58:CV58" si="417">CR58</f>
        <v>0</v>
      </c>
      <c r="CT58" s="511">
        <f t="shared" si="417"/>
        <v>0</v>
      </c>
      <c r="CU58" s="511">
        <f t="shared" si="417"/>
        <v>0</v>
      </c>
      <c r="CV58" s="511">
        <f t="shared" si="417"/>
        <v>0</v>
      </c>
      <c r="CW58" s="511">
        <f t="shared" si="109"/>
        <v>0</v>
      </c>
      <c r="CX58" s="539">
        <f t="shared" si="110"/>
        <v>0</v>
      </c>
      <c r="CY58" s="724">
        <f t="shared" si="267"/>
        <v>1846</v>
      </c>
      <c r="CZ58" s="508">
        <f t="shared" si="268"/>
        <v>1846</v>
      </c>
      <c r="DA58" s="508">
        <f t="shared" si="269"/>
        <v>443.03999999999996</v>
      </c>
      <c r="DB58" s="508">
        <f t="shared" si="270"/>
        <v>0</v>
      </c>
      <c r="DC58" s="508">
        <f t="shared" si="271"/>
        <v>0</v>
      </c>
      <c r="DD58" s="508">
        <f t="shared" si="272"/>
        <v>0</v>
      </c>
      <c r="DE58" s="726">
        <f t="shared" si="273"/>
        <v>0</v>
      </c>
      <c r="DF58" s="724">
        <f t="shared" si="274"/>
        <v>-2.8653333333333331</v>
      </c>
      <c r="DG58" s="509">
        <f t="shared" si="275"/>
        <v>-2.8653333333333331</v>
      </c>
      <c r="DH58" s="509">
        <f t="shared" si="276"/>
        <v>-0.68767999999999996</v>
      </c>
      <c r="DI58" s="509">
        <f t="shared" si="277"/>
        <v>0</v>
      </c>
      <c r="DJ58" s="509">
        <f t="shared" si="278"/>
        <v>0</v>
      </c>
      <c r="DK58" s="509">
        <f t="shared" si="279"/>
        <v>0</v>
      </c>
      <c r="DL58" s="451">
        <f t="shared" si="280"/>
        <v>0</v>
      </c>
      <c r="DM58" s="509">
        <f t="shared" si="281"/>
        <v>30</v>
      </c>
      <c r="DN58" s="509">
        <f t="shared" si="282"/>
        <v>30</v>
      </c>
      <c r="DO58" s="509">
        <f t="shared" si="283"/>
        <v>7.1999999999999993</v>
      </c>
      <c r="DP58" s="509">
        <f t="shared" si="284"/>
        <v>0</v>
      </c>
      <c r="DQ58" s="509">
        <f t="shared" si="285"/>
        <v>0</v>
      </c>
      <c r="DR58" s="509">
        <f t="shared" si="286"/>
        <v>0</v>
      </c>
      <c r="DS58" s="450">
        <f t="shared" si="287"/>
        <v>0</v>
      </c>
      <c r="DT58" s="724">
        <f t="shared" si="288"/>
        <v>0</v>
      </c>
      <c r="DU58" s="508">
        <f t="shared" si="289"/>
        <v>0</v>
      </c>
      <c r="DV58" s="508">
        <f t="shared" si="290"/>
        <v>0</v>
      </c>
      <c r="DW58" s="508">
        <f t="shared" si="291"/>
        <v>0</v>
      </c>
      <c r="DX58" s="508">
        <f t="shared" si="292"/>
        <v>0</v>
      </c>
      <c r="DY58" s="508">
        <f t="shared" si="293"/>
        <v>0</v>
      </c>
      <c r="DZ58" s="726">
        <f t="shared" si="294"/>
        <v>0</v>
      </c>
      <c r="EA58" s="722">
        <f t="shared" si="295"/>
        <v>998.08500000000004</v>
      </c>
      <c r="EB58" s="511">
        <f t="shared" si="296"/>
        <v>998.08500000000004</v>
      </c>
      <c r="EC58" s="511">
        <f t="shared" si="297"/>
        <v>239.54040000000001</v>
      </c>
      <c r="ED58" s="511">
        <f t="shared" si="298"/>
        <v>0</v>
      </c>
      <c r="EE58" s="511">
        <f t="shared" si="299"/>
        <v>0</v>
      </c>
      <c r="EF58" s="511">
        <f t="shared" si="300"/>
        <v>0</v>
      </c>
      <c r="EG58" s="723">
        <f t="shared" si="301"/>
        <v>0</v>
      </c>
      <c r="EH58" s="397">
        <f t="shared" si="302"/>
        <v>8.2500000000000004E-2</v>
      </c>
      <c r="EI58" s="397">
        <f t="shared" si="303"/>
        <v>8.2500000000000004E-2</v>
      </c>
      <c r="EJ58" s="397">
        <f t="shared" si="304"/>
        <v>1.9800000000000002E-2</v>
      </c>
      <c r="EK58" s="397">
        <f t="shared" si="305"/>
        <v>0</v>
      </c>
      <c r="EL58" s="397">
        <f t="shared" si="306"/>
        <v>0</v>
      </c>
      <c r="EM58" s="397">
        <f t="shared" si="307"/>
        <v>0</v>
      </c>
      <c r="EN58" s="398">
        <f t="shared" si="308"/>
        <v>0</v>
      </c>
      <c r="EO58" s="722">
        <f t="shared" si="309"/>
        <v>0</v>
      </c>
      <c r="EP58" s="511">
        <f t="shared" si="310"/>
        <v>0</v>
      </c>
      <c r="EQ58" s="511">
        <f t="shared" si="311"/>
        <v>0</v>
      </c>
      <c r="ER58" s="511">
        <f t="shared" si="312"/>
        <v>0</v>
      </c>
      <c r="ES58" s="511">
        <f t="shared" si="313"/>
        <v>0</v>
      </c>
      <c r="ET58" s="511">
        <f t="shared" si="314"/>
        <v>0</v>
      </c>
      <c r="EU58" s="723">
        <f t="shared" si="315"/>
        <v>0</v>
      </c>
      <c r="EV58" s="977">
        <f t="shared" si="316"/>
        <v>2.2400000000000002</v>
      </c>
      <c r="EW58" s="728">
        <f t="shared" si="317"/>
        <v>4135.04</v>
      </c>
      <c r="EX58" s="728">
        <f t="shared" si="318"/>
        <v>-6.4183466666666664</v>
      </c>
      <c r="EY58" s="728">
        <f t="shared" si="319"/>
        <v>67.2</v>
      </c>
      <c r="EZ58" s="728">
        <f t="shared" si="320"/>
        <v>0</v>
      </c>
      <c r="FA58" s="978">
        <f t="shared" si="321"/>
        <v>2235.7103999999999</v>
      </c>
      <c r="FB58" s="978">
        <f t="shared" si="322"/>
        <v>0.18480000000000002</v>
      </c>
      <c r="FC58" s="778">
        <f t="shared" si="323"/>
        <v>0</v>
      </c>
      <c r="FE58" s="10" t="b">
        <f t="shared" si="324"/>
        <v>1</v>
      </c>
      <c r="FF58" s="10" t="b">
        <f t="shared" si="325"/>
        <v>1</v>
      </c>
      <c r="FG58" s="10" t="b">
        <f t="shared" si="326"/>
        <v>1</v>
      </c>
      <c r="FH58" s="10" t="b">
        <f t="shared" si="327"/>
        <v>1</v>
      </c>
      <c r="FI58" s="10" t="b">
        <f t="shared" si="328"/>
        <v>1</v>
      </c>
      <c r="FJ58" s="10" t="b">
        <f t="shared" si="329"/>
        <v>1</v>
      </c>
      <c r="FK58" s="10" t="b">
        <f t="shared" si="330"/>
        <v>1</v>
      </c>
      <c r="FL58" s="10" t="b">
        <f t="shared" si="350"/>
        <v>1</v>
      </c>
    </row>
    <row r="59" spans="1:168" s="10" customFormat="1" ht="12.5">
      <c r="A59" s="662">
        <v>54</v>
      </c>
      <c r="B59" s="789" t="s">
        <v>1346</v>
      </c>
      <c r="C59" s="789" t="s">
        <v>1346</v>
      </c>
      <c r="D59" s="715" t="s">
        <v>1347</v>
      </c>
      <c r="E59" s="789"/>
      <c r="F59" s="789" t="s">
        <v>331</v>
      </c>
      <c r="G59" s="704" t="s">
        <v>402</v>
      </c>
      <c r="H59" s="1032">
        <v>0</v>
      </c>
      <c r="I59" s="1032">
        <v>0</v>
      </c>
      <c r="J59" s="704">
        <f t="shared" si="240"/>
        <v>0</v>
      </c>
      <c r="K59" s="1032">
        <v>0</v>
      </c>
      <c r="L59" s="704">
        <f t="shared" si="119"/>
        <v>0</v>
      </c>
      <c r="M59" s="1026" t="s">
        <v>1348</v>
      </c>
      <c r="N59" s="1033">
        <v>0</v>
      </c>
      <c r="O59" s="1033">
        <v>0</v>
      </c>
      <c r="P59" s="707">
        <v>0</v>
      </c>
      <c r="Q59" s="707">
        <v>0</v>
      </c>
      <c r="R59" s="1021">
        <v>339</v>
      </c>
      <c r="S59" s="872">
        <v>0</v>
      </c>
      <c r="T59" s="1022">
        <v>0</v>
      </c>
      <c r="U59" s="1026" t="s">
        <v>1348</v>
      </c>
      <c r="V59" s="716">
        <v>0</v>
      </c>
      <c r="W59" s="711">
        <v>1</v>
      </c>
      <c r="X59" s="781">
        <v>0</v>
      </c>
      <c r="Y59" s="781">
        <v>0</v>
      </c>
      <c r="Z59" s="781">
        <v>0</v>
      </c>
      <c r="AA59" s="781">
        <v>0</v>
      </c>
      <c r="AB59" s="781">
        <v>0</v>
      </c>
      <c r="AC59" s="781">
        <v>2500</v>
      </c>
      <c r="AD59" s="781">
        <v>0</v>
      </c>
      <c r="AE59" s="781">
        <v>0</v>
      </c>
      <c r="AF59" s="781">
        <v>0</v>
      </c>
      <c r="AG59" s="781">
        <v>0</v>
      </c>
      <c r="AH59" s="781">
        <v>0</v>
      </c>
      <c r="AI59" s="781">
        <v>0</v>
      </c>
      <c r="AJ59" s="781">
        <v>0</v>
      </c>
      <c r="AK59" s="715" t="s">
        <v>384</v>
      </c>
      <c r="AL59" s="711" t="s">
        <v>742</v>
      </c>
      <c r="AM59" s="715" t="s">
        <v>1186</v>
      </c>
      <c r="AN59" s="715" t="s">
        <v>1152</v>
      </c>
      <c r="AO59" s="711" t="s">
        <v>1</v>
      </c>
      <c r="AP59" s="1024"/>
      <c r="AQ59" s="1024"/>
      <c r="AR59" s="1024"/>
      <c r="AS59" s="715" t="s">
        <v>1153</v>
      </c>
      <c r="AT59" s="715" t="s">
        <v>745</v>
      </c>
      <c r="AU59" s="715" t="s">
        <v>746</v>
      </c>
      <c r="AV59" s="715">
        <v>8</v>
      </c>
      <c r="AW59" s="715">
        <v>15</v>
      </c>
      <c r="AX59" s="715" t="s">
        <v>1487</v>
      </c>
      <c r="AY59" s="716">
        <v>1</v>
      </c>
      <c r="AZ59" s="716">
        <v>1</v>
      </c>
      <c r="BA59" s="717">
        <v>0</v>
      </c>
      <c r="BB59" s="721">
        <f t="shared" ref="BB59" si="418">J59</f>
        <v>0</v>
      </c>
      <c r="BC59" s="499">
        <f t="shared" ref="BC59" si="419">BB59</f>
        <v>0</v>
      </c>
      <c r="BD59" s="499">
        <f t="shared" ref="BD59" si="420">BC59</f>
        <v>0</v>
      </c>
      <c r="BE59" s="499">
        <f t="shared" ref="BE59" si="421">BD59</f>
        <v>0</v>
      </c>
      <c r="BF59" s="499">
        <f t="shared" ref="BF59" si="422">BC59</f>
        <v>0</v>
      </c>
      <c r="BG59" s="499">
        <f t="shared" ref="BG59" si="423">BD59</f>
        <v>0</v>
      </c>
      <c r="BH59" s="499">
        <f t="shared" ref="BH59" si="424">BE59</f>
        <v>0</v>
      </c>
      <c r="BI59" s="721">
        <f t="shared" si="258"/>
        <v>0</v>
      </c>
      <c r="BJ59" s="499">
        <f t="shared" ref="BJ59" si="425">BI59</f>
        <v>0</v>
      </c>
      <c r="BK59" s="499">
        <f t="shared" ref="BK59" si="426">BJ59</f>
        <v>0</v>
      </c>
      <c r="BL59" s="499">
        <f t="shared" ref="BL59" si="427">BK59</f>
        <v>0</v>
      </c>
      <c r="BM59" s="499">
        <f t="shared" ref="BM59" si="428">BL59</f>
        <v>0</v>
      </c>
      <c r="BN59" s="499">
        <f t="shared" ref="BN59" si="429">BM59</f>
        <v>0</v>
      </c>
      <c r="BO59" s="499">
        <f t="shared" ref="BO59" si="430">BN59</f>
        <v>0</v>
      </c>
      <c r="BP59" s="721">
        <f t="shared" si="260"/>
        <v>0</v>
      </c>
      <c r="BQ59" s="499">
        <f t="shared" si="332"/>
        <v>0</v>
      </c>
      <c r="BR59" s="499">
        <f t="shared" ref="BR59" si="431">BQ59</f>
        <v>0</v>
      </c>
      <c r="BS59" s="499">
        <f t="shared" ref="BS59" si="432">BR59</f>
        <v>0</v>
      </c>
      <c r="BT59" s="499">
        <f t="shared" ref="BT59" si="433">BS59</f>
        <v>0</v>
      </c>
      <c r="BU59" s="499">
        <f t="shared" ref="BU59" si="434">BT59</f>
        <v>0</v>
      </c>
      <c r="BV59" s="499">
        <f t="shared" ref="BV59" si="435">BU59</f>
        <v>0</v>
      </c>
      <c r="BW59" s="774">
        <f t="shared" ref="BW59:CC59" si="436">$Q59</f>
        <v>0</v>
      </c>
      <c r="BX59" s="503">
        <f t="shared" si="436"/>
        <v>0</v>
      </c>
      <c r="BY59" s="503">
        <f t="shared" si="436"/>
        <v>0</v>
      </c>
      <c r="BZ59" s="503">
        <f t="shared" si="436"/>
        <v>0</v>
      </c>
      <c r="CA59" s="503">
        <f t="shared" si="436"/>
        <v>0</v>
      </c>
      <c r="CB59" s="503">
        <f t="shared" si="436"/>
        <v>0</v>
      </c>
      <c r="CC59" s="503">
        <f t="shared" si="436"/>
        <v>0</v>
      </c>
      <c r="CD59" s="722">
        <f t="shared" si="261"/>
        <v>339</v>
      </c>
      <c r="CE59" s="511">
        <f t="shared" ref="CE59" si="437">CD59</f>
        <v>339</v>
      </c>
      <c r="CF59" s="511">
        <f t="shared" ref="CF59" si="438">CE59</f>
        <v>339</v>
      </c>
      <c r="CG59" s="511">
        <f t="shared" ref="CG59" si="439">CF59</f>
        <v>339</v>
      </c>
      <c r="CH59" s="511">
        <f t="shared" ref="CH59" si="440">CG59</f>
        <v>339</v>
      </c>
      <c r="CI59" s="511">
        <f t="shared" ref="CI59" si="441">CH59</f>
        <v>339</v>
      </c>
      <c r="CJ59" s="511">
        <f t="shared" ref="CJ59" si="442">CI59</f>
        <v>339</v>
      </c>
      <c r="CK59" s="722">
        <f t="shared" si="263"/>
        <v>0</v>
      </c>
      <c r="CL59" s="511">
        <f t="shared" ref="CL59" si="443">CK59</f>
        <v>0</v>
      </c>
      <c r="CM59" s="511">
        <f t="shared" ref="CM59" si="444">CL59</f>
        <v>0</v>
      </c>
      <c r="CN59" s="511">
        <f t="shared" ref="CN59" si="445">CM59</f>
        <v>0</v>
      </c>
      <c r="CO59" s="511">
        <f t="shared" ref="CO59" si="446">CN59</f>
        <v>0</v>
      </c>
      <c r="CP59" s="511">
        <f t="shared" ref="CP59" si="447">CO59</f>
        <v>0</v>
      </c>
      <c r="CQ59" s="511">
        <f t="shared" ref="CQ59" si="448">CP59</f>
        <v>0</v>
      </c>
      <c r="CR59" s="722">
        <f t="shared" si="265"/>
        <v>0</v>
      </c>
      <c r="CS59" s="511">
        <f t="shared" ref="CS59" si="449">CR59</f>
        <v>0</v>
      </c>
      <c r="CT59" s="511">
        <f t="shared" ref="CT59" si="450">CS59</f>
        <v>0</v>
      </c>
      <c r="CU59" s="511">
        <f t="shared" ref="CU59" si="451">CT59</f>
        <v>0</v>
      </c>
      <c r="CV59" s="511">
        <f t="shared" ref="CV59" si="452">CU59</f>
        <v>0</v>
      </c>
      <c r="CW59" s="511">
        <f t="shared" ref="CW59" si="453">CV59</f>
        <v>0</v>
      </c>
      <c r="CX59" s="539">
        <f t="shared" ref="CX59" si="454">CW59</f>
        <v>0</v>
      </c>
      <c r="CY59" s="724">
        <f t="shared" si="267"/>
        <v>0</v>
      </c>
      <c r="CZ59" s="508">
        <f t="shared" si="268"/>
        <v>0</v>
      </c>
      <c r="DA59" s="508">
        <f t="shared" si="269"/>
        <v>0</v>
      </c>
      <c r="DB59" s="508">
        <f t="shared" si="270"/>
        <v>0</v>
      </c>
      <c r="DC59" s="508">
        <f t="shared" si="271"/>
        <v>0</v>
      </c>
      <c r="DD59" s="508">
        <f t="shared" si="272"/>
        <v>0</v>
      </c>
      <c r="DE59" s="726">
        <f t="shared" si="273"/>
        <v>0</v>
      </c>
      <c r="DF59" s="724">
        <f t="shared" si="274"/>
        <v>0</v>
      </c>
      <c r="DG59" s="509">
        <f t="shared" si="275"/>
        <v>0</v>
      </c>
      <c r="DH59" s="509">
        <f t="shared" si="276"/>
        <v>0</v>
      </c>
      <c r="DI59" s="509">
        <f t="shared" si="277"/>
        <v>0</v>
      </c>
      <c r="DJ59" s="509">
        <f t="shared" si="278"/>
        <v>0</v>
      </c>
      <c r="DK59" s="509">
        <f t="shared" si="279"/>
        <v>0</v>
      </c>
      <c r="DL59" s="451">
        <f t="shared" si="280"/>
        <v>0</v>
      </c>
      <c r="DM59" s="509">
        <f t="shared" si="281"/>
        <v>0</v>
      </c>
      <c r="DN59" s="509">
        <f t="shared" si="282"/>
        <v>0</v>
      </c>
      <c r="DO59" s="509">
        <f t="shared" si="283"/>
        <v>0</v>
      </c>
      <c r="DP59" s="509">
        <f t="shared" si="284"/>
        <v>0</v>
      </c>
      <c r="DQ59" s="509">
        <f t="shared" si="285"/>
        <v>0</v>
      </c>
      <c r="DR59" s="509">
        <f t="shared" si="286"/>
        <v>0</v>
      </c>
      <c r="DS59" s="450">
        <f t="shared" si="287"/>
        <v>0</v>
      </c>
      <c r="DT59" s="724">
        <f t="shared" si="288"/>
        <v>0</v>
      </c>
      <c r="DU59" s="508">
        <f t="shared" si="289"/>
        <v>0</v>
      </c>
      <c r="DV59" s="508">
        <f t="shared" si="290"/>
        <v>0</v>
      </c>
      <c r="DW59" s="508">
        <f t="shared" si="291"/>
        <v>0</v>
      </c>
      <c r="DX59" s="508">
        <f t="shared" si="292"/>
        <v>0</v>
      </c>
      <c r="DY59" s="508">
        <f t="shared" si="293"/>
        <v>0</v>
      </c>
      <c r="DZ59" s="726">
        <f t="shared" si="294"/>
        <v>0</v>
      </c>
      <c r="EA59" s="722">
        <f t="shared" si="295"/>
        <v>0</v>
      </c>
      <c r="EB59" s="511">
        <f t="shared" si="296"/>
        <v>0</v>
      </c>
      <c r="EC59" s="511">
        <f t="shared" si="297"/>
        <v>0</v>
      </c>
      <c r="ED59" s="511">
        <f t="shared" si="298"/>
        <v>0</v>
      </c>
      <c r="EE59" s="511">
        <f t="shared" si="299"/>
        <v>0</v>
      </c>
      <c r="EF59" s="511">
        <f t="shared" si="300"/>
        <v>0</v>
      </c>
      <c r="EG59" s="723">
        <f t="shared" si="301"/>
        <v>0</v>
      </c>
      <c r="EH59" s="397">
        <f t="shared" si="302"/>
        <v>0</v>
      </c>
      <c r="EI59" s="397">
        <f t="shared" si="303"/>
        <v>0</v>
      </c>
      <c r="EJ59" s="397">
        <f t="shared" si="304"/>
        <v>0</v>
      </c>
      <c r="EK59" s="397">
        <f t="shared" si="305"/>
        <v>0</v>
      </c>
      <c r="EL59" s="397">
        <f t="shared" si="306"/>
        <v>0</v>
      </c>
      <c r="EM59" s="397">
        <f t="shared" si="307"/>
        <v>0</v>
      </c>
      <c r="EN59" s="398">
        <f t="shared" si="308"/>
        <v>0</v>
      </c>
      <c r="EO59" s="722">
        <f t="shared" si="309"/>
        <v>0</v>
      </c>
      <c r="EP59" s="511">
        <f t="shared" si="310"/>
        <v>0</v>
      </c>
      <c r="EQ59" s="511">
        <f t="shared" si="311"/>
        <v>0</v>
      </c>
      <c r="ER59" s="511">
        <f t="shared" si="312"/>
        <v>0</v>
      </c>
      <c r="ES59" s="511">
        <f t="shared" si="313"/>
        <v>0</v>
      </c>
      <c r="ET59" s="511">
        <f t="shared" si="314"/>
        <v>0</v>
      </c>
      <c r="EU59" s="723">
        <f t="shared" si="315"/>
        <v>0</v>
      </c>
      <c r="EV59" s="977">
        <f t="shared" si="316"/>
        <v>0</v>
      </c>
      <c r="EW59" s="728">
        <f t="shared" si="317"/>
        <v>0</v>
      </c>
      <c r="EX59" s="728">
        <f t="shared" si="318"/>
        <v>0</v>
      </c>
      <c r="EY59" s="728">
        <f t="shared" si="319"/>
        <v>0</v>
      </c>
      <c r="EZ59" s="728">
        <f t="shared" si="320"/>
        <v>0</v>
      </c>
      <c r="FA59" s="978">
        <f t="shared" si="321"/>
        <v>0</v>
      </c>
      <c r="FB59" s="978">
        <f t="shared" si="322"/>
        <v>0</v>
      </c>
      <c r="FC59" s="778">
        <f t="shared" si="323"/>
        <v>0</v>
      </c>
      <c r="FE59" s="10" t="b">
        <f t="shared" si="324"/>
        <v>1</v>
      </c>
      <c r="FF59" s="10" t="b">
        <f t="shared" si="325"/>
        <v>1</v>
      </c>
      <c r="FG59" s="10" t="b">
        <f t="shared" si="326"/>
        <v>1</v>
      </c>
      <c r="FH59" s="10" t="b">
        <f t="shared" si="327"/>
        <v>1</v>
      </c>
      <c r="FI59" s="10" t="b">
        <f t="shared" si="328"/>
        <v>1</v>
      </c>
      <c r="FJ59" s="10" t="b">
        <f t="shared" si="329"/>
        <v>1</v>
      </c>
      <c r="FK59" s="10" t="b">
        <f t="shared" si="330"/>
        <v>1</v>
      </c>
      <c r="FL59" s="10" t="b">
        <f t="shared" si="350"/>
        <v>1</v>
      </c>
    </row>
    <row r="60" spans="1:168" s="10" customFormat="1" ht="12.5">
      <c r="A60" s="662">
        <v>55</v>
      </c>
      <c r="B60" s="789" t="s">
        <v>1349</v>
      </c>
      <c r="C60" s="662" t="s">
        <v>1318</v>
      </c>
      <c r="D60" s="715" t="s">
        <v>1350</v>
      </c>
      <c r="E60" s="789" t="s">
        <v>1183</v>
      </c>
      <c r="F60" s="789" t="s">
        <v>331</v>
      </c>
      <c r="G60" s="704" t="s">
        <v>402</v>
      </c>
      <c r="H60" s="1032">
        <v>489</v>
      </c>
      <c r="I60" s="1032">
        <v>0</v>
      </c>
      <c r="J60" s="704">
        <f t="shared" si="240"/>
        <v>489</v>
      </c>
      <c r="K60" s="1032">
        <v>-2.0299999999999998</v>
      </c>
      <c r="L60" s="704">
        <f t="shared" si="119"/>
        <v>244.5</v>
      </c>
      <c r="M60" s="1035" t="s">
        <v>1351</v>
      </c>
      <c r="N60" s="1033">
        <v>35</v>
      </c>
      <c r="O60" s="1033">
        <v>35</v>
      </c>
      <c r="P60" s="707">
        <v>0</v>
      </c>
      <c r="Q60" s="707">
        <v>0</v>
      </c>
      <c r="R60" s="1021">
        <f>((229.5-135.5)/1000)*3338</f>
        <v>313.77199999999999</v>
      </c>
      <c r="S60" s="872">
        <v>0</v>
      </c>
      <c r="T60" s="1022">
        <v>0</v>
      </c>
      <c r="U60" s="1026" t="s">
        <v>1352</v>
      </c>
      <c r="V60" s="716">
        <v>0</v>
      </c>
      <c r="W60" s="711">
        <v>1</v>
      </c>
      <c r="X60" s="781">
        <v>0</v>
      </c>
      <c r="Y60" s="781">
        <v>0</v>
      </c>
      <c r="Z60" s="781">
        <v>0</v>
      </c>
      <c r="AA60" s="781">
        <v>0</v>
      </c>
      <c r="AB60" s="781">
        <f t="shared" si="336"/>
        <v>0</v>
      </c>
      <c r="AC60" s="1030">
        <f>MROUND(AB60,1)</f>
        <v>0</v>
      </c>
      <c r="AD60" s="781">
        <f t="shared" ref="AD60:AJ61" si="455">AC60</f>
        <v>0</v>
      </c>
      <c r="AE60" s="781">
        <f t="shared" si="455"/>
        <v>0</v>
      </c>
      <c r="AF60" s="781">
        <f t="shared" si="455"/>
        <v>0</v>
      </c>
      <c r="AG60" s="781">
        <f t="shared" si="455"/>
        <v>0</v>
      </c>
      <c r="AH60" s="781">
        <f t="shared" si="455"/>
        <v>0</v>
      </c>
      <c r="AI60" s="781">
        <f t="shared" si="455"/>
        <v>0</v>
      </c>
      <c r="AJ60" s="781">
        <f t="shared" si="455"/>
        <v>0</v>
      </c>
      <c r="AK60" s="715" t="s">
        <v>384</v>
      </c>
      <c r="AL60" s="711" t="s">
        <v>742</v>
      </c>
      <c r="AM60" s="715" t="s">
        <v>1186</v>
      </c>
      <c r="AN60" s="715" t="s">
        <v>1152</v>
      </c>
      <c r="AO60" s="711" t="s">
        <v>1</v>
      </c>
      <c r="AP60" s="1024"/>
      <c r="AQ60" s="1024"/>
      <c r="AR60" s="1024"/>
      <c r="AS60" s="715" t="s">
        <v>1153</v>
      </c>
      <c r="AT60" s="715" t="s">
        <v>745</v>
      </c>
      <c r="AU60" s="715" t="s">
        <v>746</v>
      </c>
      <c r="AV60" s="715">
        <v>19</v>
      </c>
      <c r="AW60" s="715">
        <v>15</v>
      </c>
      <c r="AX60" s="715" t="s">
        <v>2718</v>
      </c>
      <c r="AY60" s="716">
        <v>1</v>
      </c>
      <c r="AZ60" s="716">
        <v>1</v>
      </c>
      <c r="BA60" s="717">
        <v>0</v>
      </c>
      <c r="BB60" s="721">
        <f t="shared" si="139"/>
        <v>489</v>
      </c>
      <c r="BC60" s="499">
        <f t="shared" si="140"/>
        <v>489</v>
      </c>
      <c r="BD60" s="499">
        <f t="shared" si="141"/>
        <v>489</v>
      </c>
      <c r="BE60" s="499">
        <f t="shared" si="142"/>
        <v>489</v>
      </c>
      <c r="BF60" s="499">
        <f t="shared" si="143"/>
        <v>489</v>
      </c>
      <c r="BG60" s="499">
        <f t="shared" si="144"/>
        <v>489</v>
      </c>
      <c r="BH60" s="499">
        <f t="shared" si="145"/>
        <v>489</v>
      </c>
      <c r="BI60" s="721">
        <f t="shared" si="258"/>
        <v>-2.0299999999999998</v>
      </c>
      <c r="BJ60" s="499">
        <f t="shared" ref="BJ60:BM60" si="456">BI60</f>
        <v>-2.0299999999999998</v>
      </c>
      <c r="BK60" s="499">
        <f t="shared" si="456"/>
        <v>-2.0299999999999998</v>
      </c>
      <c r="BL60" s="499">
        <f t="shared" si="456"/>
        <v>-2.0299999999999998</v>
      </c>
      <c r="BM60" s="499">
        <f t="shared" si="456"/>
        <v>-2.0299999999999998</v>
      </c>
      <c r="BN60" s="499">
        <f t="shared" si="147"/>
        <v>-2.0299999999999998</v>
      </c>
      <c r="BO60" s="499">
        <f t="shared" si="148"/>
        <v>-2.0299999999999998</v>
      </c>
      <c r="BP60" s="721">
        <f t="shared" si="260"/>
        <v>35</v>
      </c>
      <c r="BQ60" s="499">
        <f t="shared" si="332"/>
        <v>35</v>
      </c>
      <c r="BR60" s="499">
        <f t="shared" si="149"/>
        <v>35</v>
      </c>
      <c r="BS60" s="499">
        <f t="shared" si="150"/>
        <v>35</v>
      </c>
      <c r="BT60" s="499">
        <f t="shared" si="151"/>
        <v>35</v>
      </c>
      <c r="BU60" s="499">
        <f t="shared" si="152"/>
        <v>35</v>
      </c>
      <c r="BV60" s="499">
        <f t="shared" si="153"/>
        <v>35</v>
      </c>
      <c r="BW60" s="774">
        <f t="shared" si="196"/>
        <v>0</v>
      </c>
      <c r="BX60" s="503">
        <f t="shared" si="196"/>
        <v>0</v>
      </c>
      <c r="BY60" s="503">
        <f t="shared" si="196"/>
        <v>0</v>
      </c>
      <c r="BZ60" s="503">
        <f t="shared" ref="BX60:CC61" si="457">$Q60</f>
        <v>0</v>
      </c>
      <c r="CA60" s="503">
        <f t="shared" si="457"/>
        <v>0</v>
      </c>
      <c r="CB60" s="503">
        <f t="shared" si="457"/>
        <v>0</v>
      </c>
      <c r="CC60" s="503">
        <f t="shared" si="457"/>
        <v>0</v>
      </c>
      <c r="CD60" s="722">
        <f t="shared" si="261"/>
        <v>313.77199999999999</v>
      </c>
      <c r="CE60" s="511">
        <f t="shared" ref="CE60:CH60" si="458">CD60</f>
        <v>313.77199999999999</v>
      </c>
      <c r="CF60" s="511">
        <f t="shared" si="458"/>
        <v>313.77199999999999</v>
      </c>
      <c r="CG60" s="511">
        <f t="shared" si="458"/>
        <v>313.77199999999999</v>
      </c>
      <c r="CH60" s="511">
        <f t="shared" si="458"/>
        <v>313.77199999999999</v>
      </c>
      <c r="CI60" s="511">
        <f t="shared" si="103"/>
        <v>313.77199999999999</v>
      </c>
      <c r="CJ60" s="511">
        <f t="shared" si="104"/>
        <v>313.77199999999999</v>
      </c>
      <c r="CK60" s="722">
        <f t="shared" si="263"/>
        <v>0</v>
      </c>
      <c r="CL60" s="511">
        <f t="shared" ref="CL60:CO60" si="459">CK60</f>
        <v>0</v>
      </c>
      <c r="CM60" s="511">
        <f t="shared" si="459"/>
        <v>0</v>
      </c>
      <c r="CN60" s="511">
        <f t="shared" si="459"/>
        <v>0</v>
      </c>
      <c r="CO60" s="511">
        <f t="shared" si="459"/>
        <v>0</v>
      </c>
      <c r="CP60" s="511">
        <f t="shared" si="106"/>
        <v>0</v>
      </c>
      <c r="CQ60" s="511">
        <f t="shared" si="107"/>
        <v>0</v>
      </c>
      <c r="CR60" s="722">
        <f t="shared" si="265"/>
        <v>0</v>
      </c>
      <c r="CS60" s="511">
        <f t="shared" ref="CS60:CV60" si="460">CR60</f>
        <v>0</v>
      </c>
      <c r="CT60" s="511">
        <f t="shared" si="460"/>
        <v>0</v>
      </c>
      <c r="CU60" s="511">
        <f t="shared" si="460"/>
        <v>0</v>
      </c>
      <c r="CV60" s="511">
        <f t="shared" si="460"/>
        <v>0</v>
      </c>
      <c r="CW60" s="511">
        <f t="shared" si="109"/>
        <v>0</v>
      </c>
      <c r="CX60" s="539">
        <f t="shared" si="110"/>
        <v>0</v>
      </c>
      <c r="CY60" s="724">
        <f t="shared" si="267"/>
        <v>0</v>
      </c>
      <c r="CZ60" s="508">
        <f t="shared" si="268"/>
        <v>0</v>
      </c>
      <c r="DA60" s="508">
        <f t="shared" si="269"/>
        <v>0</v>
      </c>
      <c r="DB60" s="508">
        <f t="shared" si="270"/>
        <v>0</v>
      </c>
      <c r="DC60" s="508">
        <f t="shared" si="271"/>
        <v>0</v>
      </c>
      <c r="DD60" s="508">
        <f t="shared" si="272"/>
        <v>0</v>
      </c>
      <c r="DE60" s="726">
        <f t="shared" si="273"/>
        <v>0</v>
      </c>
      <c r="DF60" s="724">
        <f t="shared" si="274"/>
        <v>0</v>
      </c>
      <c r="DG60" s="509">
        <f t="shared" si="275"/>
        <v>0</v>
      </c>
      <c r="DH60" s="509">
        <f t="shared" si="276"/>
        <v>0</v>
      </c>
      <c r="DI60" s="509">
        <f t="shared" si="277"/>
        <v>0</v>
      </c>
      <c r="DJ60" s="509">
        <f t="shared" si="278"/>
        <v>0</v>
      </c>
      <c r="DK60" s="509">
        <f t="shared" si="279"/>
        <v>0</v>
      </c>
      <c r="DL60" s="451">
        <f t="shared" si="280"/>
        <v>0</v>
      </c>
      <c r="DM60" s="509">
        <f t="shared" si="281"/>
        <v>0</v>
      </c>
      <c r="DN60" s="509">
        <f t="shared" si="282"/>
        <v>0</v>
      </c>
      <c r="DO60" s="509">
        <f t="shared" si="283"/>
        <v>0</v>
      </c>
      <c r="DP60" s="509">
        <f t="shared" si="284"/>
        <v>0</v>
      </c>
      <c r="DQ60" s="509">
        <f t="shared" si="285"/>
        <v>0</v>
      </c>
      <c r="DR60" s="509">
        <f t="shared" si="286"/>
        <v>0</v>
      </c>
      <c r="DS60" s="450">
        <f t="shared" si="287"/>
        <v>0</v>
      </c>
      <c r="DT60" s="724">
        <f t="shared" si="288"/>
        <v>0</v>
      </c>
      <c r="DU60" s="508">
        <f t="shared" si="289"/>
        <v>0</v>
      </c>
      <c r="DV60" s="508">
        <f t="shared" si="290"/>
        <v>0</v>
      </c>
      <c r="DW60" s="508">
        <f t="shared" si="291"/>
        <v>0</v>
      </c>
      <c r="DX60" s="508">
        <f t="shared" si="292"/>
        <v>0</v>
      </c>
      <c r="DY60" s="508">
        <f t="shared" si="293"/>
        <v>0</v>
      </c>
      <c r="DZ60" s="726">
        <f t="shared" si="294"/>
        <v>0</v>
      </c>
      <c r="EA60" s="722">
        <f t="shared" si="295"/>
        <v>0</v>
      </c>
      <c r="EB60" s="511">
        <f t="shared" si="296"/>
        <v>0</v>
      </c>
      <c r="EC60" s="511">
        <f t="shared" si="297"/>
        <v>0</v>
      </c>
      <c r="ED60" s="511">
        <f t="shared" si="298"/>
        <v>0</v>
      </c>
      <c r="EE60" s="511">
        <f t="shared" si="299"/>
        <v>0</v>
      </c>
      <c r="EF60" s="511">
        <f t="shared" si="300"/>
        <v>0</v>
      </c>
      <c r="EG60" s="723">
        <f t="shared" si="301"/>
        <v>0</v>
      </c>
      <c r="EH60" s="397">
        <f t="shared" si="302"/>
        <v>0</v>
      </c>
      <c r="EI60" s="397">
        <f t="shared" si="303"/>
        <v>0</v>
      </c>
      <c r="EJ60" s="397">
        <f t="shared" si="304"/>
        <v>0</v>
      </c>
      <c r="EK60" s="397">
        <f t="shared" si="305"/>
        <v>0</v>
      </c>
      <c r="EL60" s="397">
        <f t="shared" si="306"/>
        <v>0</v>
      </c>
      <c r="EM60" s="397">
        <f t="shared" si="307"/>
        <v>0</v>
      </c>
      <c r="EN60" s="398">
        <f t="shared" si="308"/>
        <v>0</v>
      </c>
      <c r="EO60" s="722">
        <f t="shared" si="309"/>
        <v>0</v>
      </c>
      <c r="EP60" s="511">
        <f t="shared" si="310"/>
        <v>0</v>
      </c>
      <c r="EQ60" s="511">
        <f t="shared" si="311"/>
        <v>0</v>
      </c>
      <c r="ER60" s="511">
        <f t="shared" si="312"/>
        <v>0</v>
      </c>
      <c r="ES60" s="511">
        <f t="shared" si="313"/>
        <v>0</v>
      </c>
      <c r="ET60" s="511">
        <f t="shared" si="314"/>
        <v>0</v>
      </c>
      <c r="EU60" s="723">
        <f t="shared" si="315"/>
        <v>0</v>
      </c>
      <c r="EV60" s="727">
        <f t="shared" si="316"/>
        <v>0</v>
      </c>
      <c r="EW60" s="728">
        <f t="shared" si="317"/>
        <v>0</v>
      </c>
      <c r="EX60" s="728">
        <f t="shared" si="318"/>
        <v>0</v>
      </c>
      <c r="EY60" s="728">
        <f t="shared" si="319"/>
        <v>0</v>
      </c>
      <c r="EZ60" s="728">
        <f t="shared" si="320"/>
        <v>0</v>
      </c>
      <c r="FA60" s="777">
        <f t="shared" si="321"/>
        <v>0</v>
      </c>
      <c r="FB60" s="777">
        <f t="shared" si="322"/>
        <v>0</v>
      </c>
      <c r="FC60" s="778">
        <f t="shared" si="323"/>
        <v>0</v>
      </c>
      <c r="FE60" s="10" t="b">
        <f t="shared" si="324"/>
        <v>1</v>
      </c>
      <c r="FF60" s="10" t="b">
        <f t="shared" si="325"/>
        <v>1</v>
      </c>
      <c r="FG60" s="10" t="b">
        <f t="shared" si="326"/>
        <v>1</v>
      </c>
      <c r="FH60" s="10" t="b">
        <f t="shared" si="327"/>
        <v>1</v>
      </c>
      <c r="FI60" s="10" t="b">
        <f t="shared" si="328"/>
        <v>1</v>
      </c>
      <c r="FJ60" s="10" t="b">
        <f t="shared" si="329"/>
        <v>1</v>
      </c>
      <c r="FK60" s="10" t="b">
        <f t="shared" si="330"/>
        <v>1</v>
      </c>
      <c r="FL60" s="10" t="b">
        <f t="shared" si="350"/>
        <v>1</v>
      </c>
    </row>
    <row r="61" spans="1:168" s="10" customFormat="1" ht="12.5">
      <c r="A61" s="662">
        <v>56</v>
      </c>
      <c r="B61" s="789" t="s">
        <v>1353</v>
      </c>
      <c r="C61" s="662" t="s">
        <v>1318</v>
      </c>
      <c r="D61" s="715" t="s">
        <v>1350</v>
      </c>
      <c r="E61" s="789" t="s">
        <v>1183</v>
      </c>
      <c r="F61" s="789" t="s">
        <v>331</v>
      </c>
      <c r="G61" s="704" t="s">
        <v>402</v>
      </c>
      <c r="H61" s="1032">
        <v>750</v>
      </c>
      <c r="I61" s="1032">
        <v>0</v>
      </c>
      <c r="J61" s="704">
        <f t="shared" si="240"/>
        <v>750</v>
      </c>
      <c r="K61" s="1032">
        <f>-2.03</f>
        <v>-2.0299999999999998</v>
      </c>
      <c r="L61" s="704">
        <f t="shared" si="119"/>
        <v>375</v>
      </c>
      <c r="M61" s="1035" t="s">
        <v>1354</v>
      </c>
      <c r="N61" s="1033">
        <v>55</v>
      </c>
      <c r="O61" s="1033">
        <v>55</v>
      </c>
      <c r="P61" s="707">
        <v>0</v>
      </c>
      <c r="Q61" s="707">
        <v>0</v>
      </c>
      <c r="R61" s="1021">
        <f>((763.5-478)/1000)*3338</f>
        <v>952.99899999999991</v>
      </c>
      <c r="S61" s="872">
        <v>0</v>
      </c>
      <c r="T61" s="1022">
        <v>0</v>
      </c>
      <c r="U61" s="1026" t="s">
        <v>1352</v>
      </c>
      <c r="V61" s="716">
        <v>0</v>
      </c>
      <c r="W61" s="711">
        <v>1</v>
      </c>
      <c r="X61" s="781">
        <v>0</v>
      </c>
      <c r="Y61" s="781">
        <v>0</v>
      </c>
      <c r="Z61" s="781">
        <v>0</v>
      </c>
      <c r="AA61" s="781">
        <v>1501.7142857142856</v>
      </c>
      <c r="AB61" s="781">
        <f t="shared" si="336"/>
        <v>750.85714285714278</v>
      </c>
      <c r="AC61" s="1030">
        <f>MROUND(AB61,1)</f>
        <v>751</v>
      </c>
      <c r="AD61" s="781">
        <f t="shared" si="455"/>
        <v>751</v>
      </c>
      <c r="AE61" s="781">
        <f t="shared" si="455"/>
        <v>751</v>
      </c>
      <c r="AF61" s="781">
        <f t="shared" si="455"/>
        <v>751</v>
      </c>
      <c r="AG61" s="781">
        <f t="shared" si="455"/>
        <v>751</v>
      </c>
      <c r="AH61" s="781">
        <f t="shared" si="455"/>
        <v>751</v>
      </c>
      <c r="AI61" s="781">
        <f t="shared" si="455"/>
        <v>751</v>
      </c>
      <c r="AJ61" s="781">
        <f t="shared" si="455"/>
        <v>751</v>
      </c>
      <c r="AK61" s="715" t="s">
        <v>384</v>
      </c>
      <c r="AL61" s="711" t="s">
        <v>742</v>
      </c>
      <c r="AM61" s="715" t="s">
        <v>1186</v>
      </c>
      <c r="AN61" s="715" t="s">
        <v>1152</v>
      </c>
      <c r="AO61" s="711" t="s">
        <v>1</v>
      </c>
      <c r="AP61" s="1024"/>
      <c r="AQ61" s="1024"/>
      <c r="AR61" s="1024"/>
      <c r="AS61" s="715" t="s">
        <v>1153</v>
      </c>
      <c r="AT61" s="715" t="s">
        <v>745</v>
      </c>
      <c r="AU61" s="715" t="s">
        <v>746</v>
      </c>
      <c r="AV61" s="715">
        <v>19</v>
      </c>
      <c r="AW61" s="715">
        <v>15</v>
      </c>
      <c r="AX61" s="715" t="s">
        <v>2718</v>
      </c>
      <c r="AY61" s="716">
        <v>1</v>
      </c>
      <c r="AZ61" s="716">
        <v>1</v>
      </c>
      <c r="BA61" s="717">
        <v>0</v>
      </c>
      <c r="BB61" s="721">
        <f t="shared" si="139"/>
        <v>750</v>
      </c>
      <c r="BC61" s="499">
        <f t="shared" si="140"/>
        <v>750</v>
      </c>
      <c r="BD61" s="499">
        <f t="shared" si="141"/>
        <v>750</v>
      </c>
      <c r="BE61" s="499">
        <f t="shared" si="142"/>
        <v>750</v>
      </c>
      <c r="BF61" s="499">
        <f t="shared" si="143"/>
        <v>750</v>
      </c>
      <c r="BG61" s="499">
        <f t="shared" si="144"/>
        <v>750</v>
      </c>
      <c r="BH61" s="499">
        <f t="shared" si="145"/>
        <v>750</v>
      </c>
      <c r="BI61" s="721">
        <f t="shared" si="258"/>
        <v>-2.0299999999999998</v>
      </c>
      <c r="BJ61" s="499">
        <f t="shared" ref="BJ61:BM61" si="461">BI61</f>
        <v>-2.0299999999999998</v>
      </c>
      <c r="BK61" s="499">
        <f t="shared" si="461"/>
        <v>-2.0299999999999998</v>
      </c>
      <c r="BL61" s="499">
        <f t="shared" si="461"/>
        <v>-2.0299999999999998</v>
      </c>
      <c r="BM61" s="499">
        <f t="shared" si="461"/>
        <v>-2.0299999999999998</v>
      </c>
      <c r="BN61" s="499">
        <f t="shared" si="147"/>
        <v>-2.0299999999999998</v>
      </c>
      <c r="BO61" s="499">
        <f t="shared" si="148"/>
        <v>-2.0299999999999998</v>
      </c>
      <c r="BP61" s="721">
        <f t="shared" si="260"/>
        <v>55</v>
      </c>
      <c r="BQ61" s="499">
        <f t="shared" si="332"/>
        <v>55</v>
      </c>
      <c r="BR61" s="499">
        <f t="shared" si="149"/>
        <v>55</v>
      </c>
      <c r="BS61" s="499">
        <f t="shared" si="150"/>
        <v>55</v>
      </c>
      <c r="BT61" s="499">
        <f t="shared" si="151"/>
        <v>55</v>
      </c>
      <c r="BU61" s="499">
        <f t="shared" si="152"/>
        <v>55</v>
      </c>
      <c r="BV61" s="499">
        <f t="shared" si="153"/>
        <v>55</v>
      </c>
      <c r="BW61" s="774">
        <f t="shared" ref="BW61" si="462">$Q61</f>
        <v>0</v>
      </c>
      <c r="BX61" s="503">
        <f t="shared" si="457"/>
        <v>0</v>
      </c>
      <c r="BY61" s="503">
        <f t="shared" si="457"/>
        <v>0</v>
      </c>
      <c r="BZ61" s="503">
        <f t="shared" si="457"/>
        <v>0</v>
      </c>
      <c r="CA61" s="503">
        <f t="shared" si="457"/>
        <v>0</v>
      </c>
      <c r="CB61" s="503">
        <f t="shared" si="457"/>
        <v>0</v>
      </c>
      <c r="CC61" s="503">
        <f t="shared" si="457"/>
        <v>0</v>
      </c>
      <c r="CD61" s="722">
        <f t="shared" si="261"/>
        <v>952.99899999999991</v>
      </c>
      <c r="CE61" s="511">
        <f t="shared" ref="CE61:CH61" si="463">CD61</f>
        <v>952.99899999999991</v>
      </c>
      <c r="CF61" s="511">
        <f t="shared" si="463"/>
        <v>952.99899999999991</v>
      </c>
      <c r="CG61" s="511">
        <f t="shared" si="463"/>
        <v>952.99899999999991</v>
      </c>
      <c r="CH61" s="511">
        <f t="shared" si="463"/>
        <v>952.99899999999991</v>
      </c>
      <c r="CI61" s="511">
        <f t="shared" si="103"/>
        <v>952.99899999999991</v>
      </c>
      <c r="CJ61" s="511">
        <f t="shared" si="104"/>
        <v>952.99899999999991</v>
      </c>
      <c r="CK61" s="722">
        <f t="shared" si="263"/>
        <v>0</v>
      </c>
      <c r="CL61" s="511">
        <f t="shared" ref="CL61:CO61" si="464">CK61</f>
        <v>0</v>
      </c>
      <c r="CM61" s="511">
        <f t="shared" si="464"/>
        <v>0</v>
      </c>
      <c r="CN61" s="511">
        <f t="shared" si="464"/>
        <v>0</v>
      </c>
      <c r="CO61" s="511">
        <f t="shared" si="464"/>
        <v>0</v>
      </c>
      <c r="CP61" s="511">
        <f t="shared" si="106"/>
        <v>0</v>
      </c>
      <c r="CQ61" s="511">
        <f t="shared" si="107"/>
        <v>0</v>
      </c>
      <c r="CR61" s="722">
        <f t="shared" si="265"/>
        <v>0</v>
      </c>
      <c r="CS61" s="511">
        <f t="shared" ref="CS61:CV61" si="465">CR61</f>
        <v>0</v>
      </c>
      <c r="CT61" s="511">
        <f t="shared" si="465"/>
        <v>0</v>
      </c>
      <c r="CU61" s="511">
        <f t="shared" si="465"/>
        <v>0</v>
      </c>
      <c r="CV61" s="511">
        <f t="shared" si="465"/>
        <v>0</v>
      </c>
      <c r="CW61" s="511">
        <f t="shared" si="109"/>
        <v>0</v>
      </c>
      <c r="CX61" s="539">
        <f t="shared" si="110"/>
        <v>0</v>
      </c>
      <c r="CY61" s="724">
        <f t="shared" si="267"/>
        <v>563250</v>
      </c>
      <c r="CZ61" s="508">
        <f t="shared" si="268"/>
        <v>563250</v>
      </c>
      <c r="DA61" s="508">
        <f t="shared" si="269"/>
        <v>563250</v>
      </c>
      <c r="DB61" s="508">
        <f t="shared" si="270"/>
        <v>563250</v>
      </c>
      <c r="DC61" s="508">
        <f t="shared" si="271"/>
        <v>563250</v>
      </c>
      <c r="DD61" s="508">
        <f t="shared" si="272"/>
        <v>563250</v>
      </c>
      <c r="DE61" s="726">
        <f t="shared" si="273"/>
        <v>563250</v>
      </c>
      <c r="DF61" s="724">
        <f t="shared" si="274"/>
        <v>-1524.5299999999997</v>
      </c>
      <c r="DG61" s="509">
        <f t="shared" si="275"/>
        <v>-1524.5299999999997</v>
      </c>
      <c r="DH61" s="509">
        <f t="shared" si="276"/>
        <v>-1524.5299999999997</v>
      </c>
      <c r="DI61" s="509">
        <f t="shared" si="277"/>
        <v>-1524.5299999999997</v>
      </c>
      <c r="DJ61" s="509">
        <f t="shared" si="278"/>
        <v>-1524.5299999999997</v>
      </c>
      <c r="DK61" s="509">
        <f t="shared" si="279"/>
        <v>-1524.5299999999997</v>
      </c>
      <c r="DL61" s="451">
        <f t="shared" si="280"/>
        <v>-1524.5299999999997</v>
      </c>
      <c r="DM61" s="509">
        <f t="shared" si="281"/>
        <v>41305</v>
      </c>
      <c r="DN61" s="509">
        <f t="shared" si="282"/>
        <v>41305</v>
      </c>
      <c r="DO61" s="509">
        <f t="shared" si="283"/>
        <v>41305</v>
      </c>
      <c r="DP61" s="509">
        <f t="shared" si="284"/>
        <v>41305</v>
      </c>
      <c r="DQ61" s="509">
        <f t="shared" si="285"/>
        <v>41305</v>
      </c>
      <c r="DR61" s="509">
        <f t="shared" si="286"/>
        <v>41305</v>
      </c>
      <c r="DS61" s="450">
        <f t="shared" si="287"/>
        <v>41305</v>
      </c>
      <c r="DT61" s="724">
        <f t="shared" si="288"/>
        <v>0</v>
      </c>
      <c r="DU61" s="508">
        <f t="shared" si="289"/>
        <v>0</v>
      </c>
      <c r="DV61" s="508">
        <f t="shared" si="290"/>
        <v>0</v>
      </c>
      <c r="DW61" s="508">
        <f t="shared" si="291"/>
        <v>0</v>
      </c>
      <c r="DX61" s="508">
        <f t="shared" si="292"/>
        <v>0</v>
      </c>
      <c r="DY61" s="508">
        <f t="shared" si="293"/>
        <v>0</v>
      </c>
      <c r="DZ61" s="726">
        <f t="shared" si="294"/>
        <v>0</v>
      </c>
      <c r="EA61" s="722">
        <f t="shared" si="295"/>
        <v>715702.24899999995</v>
      </c>
      <c r="EB61" s="511">
        <f t="shared" si="296"/>
        <v>715702.24899999995</v>
      </c>
      <c r="EC61" s="511">
        <f t="shared" si="297"/>
        <v>715702.24899999995</v>
      </c>
      <c r="ED61" s="511">
        <f t="shared" si="298"/>
        <v>715702.24899999995</v>
      </c>
      <c r="EE61" s="511">
        <f t="shared" si="299"/>
        <v>715702.24899999995</v>
      </c>
      <c r="EF61" s="511">
        <f t="shared" si="300"/>
        <v>715702.24899999995</v>
      </c>
      <c r="EG61" s="723">
        <f t="shared" si="301"/>
        <v>715702.24899999995</v>
      </c>
      <c r="EH61" s="397">
        <f t="shared" si="302"/>
        <v>0</v>
      </c>
      <c r="EI61" s="397">
        <f t="shared" si="303"/>
        <v>0</v>
      </c>
      <c r="EJ61" s="397">
        <f t="shared" si="304"/>
        <v>0</v>
      </c>
      <c r="EK61" s="397">
        <f t="shared" si="305"/>
        <v>0</v>
      </c>
      <c r="EL61" s="397">
        <f t="shared" si="306"/>
        <v>0</v>
      </c>
      <c r="EM61" s="397">
        <f t="shared" si="307"/>
        <v>0</v>
      </c>
      <c r="EN61" s="398">
        <f t="shared" si="308"/>
        <v>0</v>
      </c>
      <c r="EO61" s="722">
        <f t="shared" si="309"/>
        <v>0</v>
      </c>
      <c r="EP61" s="511">
        <f t="shared" si="310"/>
        <v>0</v>
      </c>
      <c r="EQ61" s="511">
        <f t="shared" si="311"/>
        <v>0</v>
      </c>
      <c r="ER61" s="511">
        <f t="shared" si="312"/>
        <v>0</v>
      </c>
      <c r="ES61" s="511">
        <f t="shared" si="313"/>
        <v>0</v>
      </c>
      <c r="ET61" s="511">
        <f t="shared" si="314"/>
        <v>0</v>
      </c>
      <c r="EU61" s="723">
        <f t="shared" si="315"/>
        <v>0</v>
      </c>
      <c r="EV61" s="727">
        <f t="shared" si="316"/>
        <v>2253</v>
      </c>
      <c r="EW61" s="728">
        <f t="shared" si="317"/>
        <v>3942750</v>
      </c>
      <c r="EX61" s="728">
        <f t="shared" si="318"/>
        <v>-10671.71</v>
      </c>
      <c r="EY61" s="728">
        <f t="shared" si="319"/>
        <v>289135</v>
      </c>
      <c r="EZ61" s="728">
        <f t="shared" si="320"/>
        <v>0</v>
      </c>
      <c r="FA61" s="777">
        <f t="shared" si="321"/>
        <v>5009915.7429999998</v>
      </c>
      <c r="FB61" s="777">
        <f t="shared" si="322"/>
        <v>0</v>
      </c>
      <c r="FC61" s="778">
        <f t="shared" si="323"/>
        <v>0</v>
      </c>
      <c r="FE61" s="10" t="b">
        <f>EV61=SUM(EV118,EV175)</f>
        <v>1</v>
      </c>
      <c r="FF61" s="10" t="b">
        <f t="shared" si="325"/>
        <v>1</v>
      </c>
      <c r="FG61" s="10" t="b">
        <f t="shared" si="326"/>
        <v>1</v>
      </c>
      <c r="FH61" s="10" t="b">
        <f t="shared" si="327"/>
        <v>1</v>
      </c>
      <c r="FI61" s="10" t="b">
        <f t="shared" si="328"/>
        <v>1</v>
      </c>
      <c r="FJ61" s="10" t="b">
        <f t="shared" si="329"/>
        <v>1</v>
      </c>
      <c r="FK61" s="10" t="b">
        <f t="shared" si="330"/>
        <v>1</v>
      </c>
      <c r="FL61" s="10" t="b">
        <f t="shared" si="350"/>
        <v>1</v>
      </c>
    </row>
    <row r="62" spans="1:168" s="433" customFormat="1" ht="12.5">
      <c r="A62" s="1036"/>
      <c r="B62" s="1037"/>
      <c r="C62" s="1036"/>
      <c r="D62" s="1038"/>
      <c r="E62" s="1037"/>
      <c r="F62" s="1037"/>
      <c r="G62" s="1039"/>
      <c r="H62" s="1040"/>
      <c r="I62" s="1038"/>
      <c r="J62" s="1041"/>
      <c r="K62" s="1038"/>
      <c r="L62" s="1041"/>
      <c r="M62" s="1038"/>
      <c r="N62" s="1042"/>
      <c r="O62" s="1039"/>
      <c r="P62" s="1038"/>
      <c r="Q62" s="1038"/>
      <c r="R62" s="1043"/>
      <c r="S62" s="1044"/>
      <c r="T62" s="1045"/>
      <c r="U62" s="1038"/>
      <c r="V62" s="1046"/>
      <c r="W62" s="1047"/>
      <c r="X62" s="1047"/>
      <c r="Y62" s="1047"/>
      <c r="Z62" s="1047"/>
      <c r="AA62" s="1047"/>
      <c r="AB62" s="1047"/>
      <c r="AC62" s="1047"/>
      <c r="AD62" s="1047"/>
      <c r="AE62" s="1047"/>
      <c r="AF62" s="1047"/>
      <c r="AG62" s="1047"/>
      <c r="AH62" s="1047"/>
      <c r="AI62" s="1047"/>
      <c r="AJ62" s="1047"/>
      <c r="AK62" s="1038"/>
      <c r="AL62" s="1038"/>
      <c r="AM62" s="1048"/>
      <c r="AN62" s="1048"/>
      <c r="AO62" s="1048"/>
      <c r="AP62" s="1042"/>
      <c r="AQ62" s="1042"/>
      <c r="AR62" s="1042"/>
      <c r="AS62" s="1042"/>
      <c r="AT62" s="1042"/>
      <c r="AU62" s="1042"/>
      <c r="AV62" s="1038"/>
      <c r="AW62" s="1038"/>
      <c r="AX62" s="1038"/>
      <c r="AY62" s="1049"/>
      <c r="AZ62" s="1049"/>
      <c r="BA62" s="1050"/>
      <c r="BB62" s="1051"/>
      <c r="BC62" s="1052"/>
      <c r="BD62" s="1052"/>
      <c r="BE62" s="1052"/>
      <c r="BF62" s="1052"/>
      <c r="BG62" s="1052"/>
      <c r="BH62" s="1052"/>
      <c r="BI62" s="1051"/>
      <c r="BJ62" s="1052"/>
      <c r="BK62" s="1052"/>
      <c r="BL62" s="1052"/>
      <c r="BM62" s="1052"/>
      <c r="BN62" s="1052"/>
      <c r="BO62" s="1052"/>
      <c r="BP62" s="1051"/>
      <c r="BQ62" s="1052"/>
      <c r="BR62" s="1052"/>
      <c r="BS62" s="1052"/>
      <c r="BT62" s="1052"/>
      <c r="BU62" s="1052"/>
      <c r="BV62" s="1052"/>
      <c r="BW62" s="1051"/>
      <c r="BX62" s="1052"/>
      <c r="BY62" s="1052"/>
      <c r="BZ62" s="1052"/>
      <c r="CA62" s="1052"/>
      <c r="CB62" s="1052"/>
      <c r="CC62" s="1052"/>
      <c r="CD62" s="1053"/>
      <c r="CE62" s="1054"/>
      <c r="CF62" s="1054"/>
      <c r="CG62" s="1054"/>
      <c r="CH62" s="1054"/>
      <c r="CI62" s="1054"/>
      <c r="CJ62" s="1054"/>
      <c r="CK62" s="1053"/>
      <c r="CL62" s="1054"/>
      <c r="CM62" s="1054"/>
      <c r="CN62" s="1054"/>
      <c r="CO62" s="1054"/>
      <c r="CP62" s="1054"/>
      <c r="CQ62" s="1054"/>
      <c r="CR62" s="1053"/>
      <c r="CS62" s="1054"/>
      <c r="CT62" s="1054"/>
      <c r="CU62" s="1054"/>
      <c r="CV62" s="1054"/>
      <c r="CW62" s="1054"/>
      <c r="CX62" s="1055"/>
      <c r="CY62" s="1056">
        <f t="shared" si="267"/>
        <v>0</v>
      </c>
      <c r="CZ62" s="1057">
        <f t="shared" si="268"/>
        <v>0</v>
      </c>
      <c r="DA62" s="1057">
        <f t="shared" si="269"/>
        <v>0</v>
      </c>
      <c r="DB62" s="1057">
        <f t="shared" si="270"/>
        <v>0</v>
      </c>
      <c r="DC62" s="1057">
        <f t="shared" si="271"/>
        <v>0</v>
      </c>
      <c r="DD62" s="1057">
        <f t="shared" si="272"/>
        <v>0</v>
      </c>
      <c r="DE62" s="1058">
        <f t="shared" si="273"/>
        <v>0</v>
      </c>
      <c r="DF62" s="1056">
        <f t="shared" si="274"/>
        <v>0</v>
      </c>
      <c r="DG62" s="1059">
        <f t="shared" si="275"/>
        <v>0</v>
      </c>
      <c r="DH62" s="1059">
        <f t="shared" si="276"/>
        <v>0</v>
      </c>
      <c r="DI62" s="1059">
        <f t="shared" si="277"/>
        <v>0</v>
      </c>
      <c r="DJ62" s="1059">
        <f t="shared" si="278"/>
        <v>0</v>
      </c>
      <c r="DK62" s="1059">
        <f t="shared" si="279"/>
        <v>0</v>
      </c>
      <c r="DL62" s="456">
        <f t="shared" si="280"/>
        <v>0</v>
      </c>
      <c r="DM62" s="1059">
        <f t="shared" si="281"/>
        <v>0</v>
      </c>
      <c r="DN62" s="1059">
        <f t="shared" si="282"/>
        <v>0</v>
      </c>
      <c r="DO62" s="1059">
        <f t="shared" si="283"/>
        <v>0</v>
      </c>
      <c r="DP62" s="1059">
        <f t="shared" si="284"/>
        <v>0</v>
      </c>
      <c r="DQ62" s="1059">
        <f t="shared" si="285"/>
        <v>0</v>
      </c>
      <c r="DR62" s="1059">
        <f t="shared" si="286"/>
        <v>0</v>
      </c>
      <c r="DS62" s="457">
        <f t="shared" si="287"/>
        <v>0</v>
      </c>
      <c r="DT62" s="1056">
        <f t="shared" si="288"/>
        <v>0</v>
      </c>
      <c r="DU62" s="1057">
        <f t="shared" si="289"/>
        <v>0</v>
      </c>
      <c r="DV62" s="1057">
        <f t="shared" si="290"/>
        <v>0</v>
      </c>
      <c r="DW62" s="1057">
        <f t="shared" si="291"/>
        <v>0</v>
      </c>
      <c r="DX62" s="1057">
        <f t="shared" si="292"/>
        <v>0</v>
      </c>
      <c r="DY62" s="1057">
        <f t="shared" si="293"/>
        <v>0</v>
      </c>
      <c r="DZ62" s="1058">
        <f t="shared" si="294"/>
        <v>0</v>
      </c>
      <c r="EA62" s="1053">
        <f t="shared" si="295"/>
        <v>0</v>
      </c>
      <c r="EB62" s="1054">
        <f t="shared" si="296"/>
        <v>0</v>
      </c>
      <c r="EC62" s="1054">
        <f t="shared" si="297"/>
        <v>0</v>
      </c>
      <c r="ED62" s="1054">
        <f t="shared" si="298"/>
        <v>0</v>
      </c>
      <c r="EE62" s="1054">
        <f t="shared" si="299"/>
        <v>0</v>
      </c>
      <c r="EF62" s="1054">
        <f t="shared" si="300"/>
        <v>0</v>
      </c>
      <c r="EG62" s="1060">
        <f t="shared" si="301"/>
        <v>0</v>
      </c>
      <c r="EH62" s="431">
        <f t="shared" si="302"/>
        <v>0</v>
      </c>
      <c r="EI62" s="431">
        <f t="shared" si="303"/>
        <v>0</v>
      </c>
      <c r="EJ62" s="431">
        <f t="shared" si="304"/>
        <v>0</v>
      </c>
      <c r="EK62" s="431">
        <f t="shared" si="305"/>
        <v>0</v>
      </c>
      <c r="EL62" s="431">
        <f t="shared" si="306"/>
        <v>0</v>
      </c>
      <c r="EM62" s="431">
        <f t="shared" si="307"/>
        <v>0</v>
      </c>
      <c r="EN62" s="432">
        <f t="shared" si="308"/>
        <v>0</v>
      </c>
      <c r="EO62" s="1053">
        <f t="shared" si="309"/>
        <v>0</v>
      </c>
      <c r="EP62" s="1054">
        <f t="shared" si="310"/>
        <v>0</v>
      </c>
      <c r="EQ62" s="1054">
        <f t="shared" si="311"/>
        <v>0</v>
      </c>
      <c r="ER62" s="1054">
        <f t="shared" si="312"/>
        <v>0</v>
      </c>
      <c r="ES62" s="1054">
        <f t="shared" si="313"/>
        <v>0</v>
      </c>
      <c r="ET62" s="1054">
        <f t="shared" si="314"/>
        <v>0</v>
      </c>
      <c r="EU62" s="1060">
        <f t="shared" si="315"/>
        <v>0</v>
      </c>
      <c r="EV62" s="1061">
        <f t="shared" si="316"/>
        <v>0</v>
      </c>
      <c r="EW62" s="1062">
        <f t="shared" si="317"/>
        <v>0</v>
      </c>
      <c r="EX62" s="1062">
        <f t="shared" si="318"/>
        <v>0</v>
      </c>
      <c r="EY62" s="1062">
        <f t="shared" si="319"/>
        <v>0</v>
      </c>
      <c r="EZ62" s="1062">
        <f t="shared" si="320"/>
        <v>0</v>
      </c>
      <c r="FA62" s="1063">
        <f t="shared" si="321"/>
        <v>0</v>
      </c>
      <c r="FB62" s="1063">
        <f t="shared" si="322"/>
        <v>0</v>
      </c>
      <c r="FC62" s="1064">
        <f t="shared" si="323"/>
        <v>0</v>
      </c>
    </row>
    <row r="63" spans="1:168" s="10" customFormat="1" ht="12.75" customHeight="1">
      <c r="A63" s="662" t="s">
        <v>171</v>
      </c>
      <c r="B63" s="789" t="s">
        <v>1355</v>
      </c>
      <c r="C63" s="789" t="str">
        <f t="shared" ref="C63:W63" si="466">C6</f>
        <v>Audit</v>
      </c>
      <c r="D63" s="789" t="str">
        <f t="shared" si="466"/>
        <v>n/a</v>
      </c>
      <c r="E63" s="789" t="str">
        <f>E6</f>
        <v>Per Audit</v>
      </c>
      <c r="F63" s="789" t="str">
        <f t="shared" si="466"/>
        <v>Per Audit</v>
      </c>
      <c r="G63" s="704" t="str">
        <f t="shared" si="466"/>
        <v>Full Cost</v>
      </c>
      <c r="H63" s="704">
        <f t="shared" si="466"/>
        <v>0</v>
      </c>
      <c r="I63" s="704">
        <f t="shared" si="466"/>
        <v>12000</v>
      </c>
      <c r="J63" s="704">
        <f t="shared" si="466"/>
        <v>12000</v>
      </c>
      <c r="K63" s="704">
        <f t="shared" si="466"/>
        <v>0</v>
      </c>
      <c r="L63" s="704">
        <f t="shared" si="466"/>
        <v>0</v>
      </c>
      <c r="M63" s="707" t="str">
        <f t="shared" si="466"/>
        <v>LG&amp;E and KU previous plan max program requirements</v>
      </c>
      <c r="N63" s="704">
        <f t="shared" si="466"/>
        <v>3000</v>
      </c>
      <c r="O63" s="704">
        <f t="shared" si="466"/>
        <v>3000</v>
      </c>
      <c r="P63" s="704">
        <f t="shared" si="466"/>
        <v>0</v>
      </c>
      <c r="Q63" s="704">
        <f t="shared" si="466"/>
        <v>0</v>
      </c>
      <c r="R63" s="1021">
        <f t="shared" si="466"/>
        <v>0</v>
      </c>
      <c r="S63" s="872">
        <f t="shared" si="466"/>
        <v>0</v>
      </c>
      <c r="T63" s="1022">
        <f t="shared" si="466"/>
        <v>0</v>
      </c>
      <c r="U63" s="711" t="str">
        <f t="shared" si="466"/>
        <v>No savings for audit</v>
      </c>
      <c r="V63" s="716">
        <f t="shared" si="466"/>
        <v>0</v>
      </c>
      <c r="W63" s="711">
        <f t="shared" si="466"/>
        <v>1</v>
      </c>
      <c r="X63" s="781">
        <f t="shared" ref="X63:AJ63" si="467">X6/2</f>
        <v>80858.5</v>
      </c>
      <c r="Y63" s="781">
        <f t="shared" si="467"/>
        <v>38422</v>
      </c>
      <c r="Z63" s="781">
        <f t="shared" si="467"/>
        <v>62361</v>
      </c>
      <c r="AA63" s="781">
        <f t="shared" si="467"/>
        <v>5142.8571428571422</v>
      </c>
      <c r="AB63" s="781">
        <f t="shared" si="467"/>
        <v>33751.928571428572</v>
      </c>
      <c r="AC63" s="781">
        <f t="shared" si="467"/>
        <v>5</v>
      </c>
      <c r="AD63" s="781">
        <f t="shared" si="467"/>
        <v>5</v>
      </c>
      <c r="AE63" s="781">
        <f t="shared" si="467"/>
        <v>5</v>
      </c>
      <c r="AF63" s="781">
        <f t="shared" si="467"/>
        <v>5</v>
      </c>
      <c r="AG63" s="781">
        <f t="shared" si="467"/>
        <v>5</v>
      </c>
      <c r="AH63" s="781">
        <f t="shared" si="467"/>
        <v>5</v>
      </c>
      <c r="AI63" s="781">
        <f t="shared" si="467"/>
        <v>5</v>
      </c>
      <c r="AJ63" s="781">
        <f t="shared" si="467"/>
        <v>5</v>
      </c>
      <c r="AK63" s="711" t="str">
        <f t="shared" ref="AK63:BA63" si="468">AK6</f>
        <v>Both</v>
      </c>
      <c r="AL63" s="711" t="str">
        <f t="shared" si="468"/>
        <v>Commercial</v>
      </c>
      <c r="AM63" s="711" t="str">
        <f t="shared" si="468"/>
        <v>Large Office</v>
      </c>
      <c r="AN63" s="711" t="str">
        <f t="shared" si="468"/>
        <v>All</v>
      </c>
      <c r="AO63" s="711" t="str">
        <f t="shared" si="468"/>
        <v>Existing</v>
      </c>
      <c r="AP63" s="711">
        <f t="shared" si="468"/>
        <v>0</v>
      </c>
      <c r="AQ63" s="711">
        <f t="shared" si="468"/>
        <v>0</v>
      </c>
      <c r="AR63" s="711">
        <f t="shared" si="468"/>
        <v>0</v>
      </c>
      <c r="AS63" s="711" t="str">
        <f t="shared" si="468"/>
        <v>OFFSMCool</v>
      </c>
      <c r="AT63" s="715" t="s">
        <v>745</v>
      </c>
      <c r="AU63" s="1065" t="s">
        <v>771</v>
      </c>
      <c r="AV63" s="711">
        <f t="shared" si="468"/>
        <v>1</v>
      </c>
      <c r="AW63" s="711">
        <f t="shared" si="468"/>
        <v>1</v>
      </c>
      <c r="AX63" s="711" t="s">
        <v>1188</v>
      </c>
      <c r="AY63" s="711">
        <f t="shared" si="468"/>
        <v>1</v>
      </c>
      <c r="AZ63" s="711">
        <f t="shared" si="468"/>
        <v>1</v>
      </c>
      <c r="BA63" s="1066">
        <f t="shared" si="468"/>
        <v>1</v>
      </c>
      <c r="BB63" s="721">
        <f t="shared" ref="BB63" si="469">J63</f>
        <v>12000</v>
      </c>
      <c r="BC63" s="499">
        <f t="shared" ref="BC63" si="470">BB63</f>
        <v>12000</v>
      </c>
      <c r="BD63" s="499">
        <f t="shared" ref="BD63" si="471">BC63</f>
        <v>12000</v>
      </c>
      <c r="BE63" s="499">
        <f t="shared" ref="BE63" si="472">BD63</f>
        <v>12000</v>
      </c>
      <c r="BF63" s="499">
        <f>BC63</f>
        <v>12000</v>
      </c>
      <c r="BG63" s="499">
        <f t="shared" ref="BG63:BH63" si="473">BD63</f>
        <v>12000</v>
      </c>
      <c r="BH63" s="499">
        <f t="shared" si="473"/>
        <v>12000</v>
      </c>
      <c r="BI63" s="721">
        <f t="shared" ref="BI63:BI94" si="474">K63</f>
        <v>0</v>
      </c>
      <c r="BJ63" s="499">
        <f>BI63</f>
        <v>0</v>
      </c>
      <c r="BK63" s="499">
        <f>BJ63</f>
        <v>0</v>
      </c>
      <c r="BL63" s="499">
        <f>BK63</f>
        <v>0</v>
      </c>
      <c r="BM63" s="499">
        <f>BL63</f>
        <v>0</v>
      </c>
      <c r="BN63" s="499">
        <f t="shared" ref="BN63:BO63" si="475">BM63</f>
        <v>0</v>
      </c>
      <c r="BO63" s="499">
        <f t="shared" si="475"/>
        <v>0</v>
      </c>
      <c r="BP63" s="721">
        <f t="shared" ref="BP63:BP94" si="476">O63+P63</f>
        <v>3000</v>
      </c>
      <c r="BQ63" s="499">
        <f t="shared" ref="BQ63:BQ94" si="477">BP63</f>
        <v>3000</v>
      </c>
      <c r="BR63" s="499">
        <f t="shared" ref="BR63" si="478">BQ63</f>
        <v>3000</v>
      </c>
      <c r="BS63" s="499">
        <f t="shared" ref="BS63" si="479">BR63</f>
        <v>3000</v>
      </c>
      <c r="BT63" s="499">
        <f t="shared" ref="BT63" si="480">BS63</f>
        <v>3000</v>
      </c>
      <c r="BU63" s="499">
        <f t="shared" ref="BU63" si="481">BT63</f>
        <v>3000</v>
      </c>
      <c r="BV63" s="499">
        <f t="shared" ref="BV63" si="482">BU63</f>
        <v>3000</v>
      </c>
      <c r="BW63" s="774">
        <f>$Q63</f>
        <v>0</v>
      </c>
      <c r="BX63" s="503">
        <f t="shared" ref="BX63:CC78" si="483">$Q63</f>
        <v>0</v>
      </c>
      <c r="BY63" s="503">
        <f t="shared" si="483"/>
        <v>0</v>
      </c>
      <c r="BZ63" s="503">
        <f t="shared" si="483"/>
        <v>0</v>
      </c>
      <c r="CA63" s="503">
        <f t="shared" si="483"/>
        <v>0</v>
      </c>
      <c r="CB63" s="503">
        <f t="shared" si="483"/>
        <v>0</v>
      </c>
      <c r="CC63" s="503">
        <f t="shared" si="483"/>
        <v>0</v>
      </c>
      <c r="CD63" s="722">
        <f t="shared" ref="CD63:CD94" si="484">R63*AZ63</f>
        <v>0</v>
      </c>
      <c r="CE63" s="511">
        <f>CD63</f>
        <v>0</v>
      </c>
      <c r="CF63" s="511">
        <f>CE63</f>
        <v>0</v>
      </c>
      <c r="CG63" s="511">
        <f>CF63</f>
        <v>0</v>
      </c>
      <c r="CH63" s="511">
        <f>CG63</f>
        <v>0</v>
      </c>
      <c r="CI63" s="511">
        <f t="shared" ref="CI63:CJ63" si="485">CH63</f>
        <v>0</v>
      </c>
      <c r="CJ63" s="511">
        <f t="shared" si="485"/>
        <v>0</v>
      </c>
      <c r="CK63" s="722">
        <f t="shared" ref="CK63:CK94" si="486">S63*AZ63</f>
        <v>0</v>
      </c>
      <c r="CL63" s="511">
        <f>CK63</f>
        <v>0</v>
      </c>
      <c r="CM63" s="511">
        <f>CL63</f>
        <v>0</v>
      </c>
      <c r="CN63" s="511">
        <f>CM63</f>
        <v>0</v>
      </c>
      <c r="CO63" s="511">
        <f>CN63</f>
        <v>0</v>
      </c>
      <c r="CP63" s="511">
        <f t="shared" ref="CP63:CQ63" si="487">CO63</f>
        <v>0</v>
      </c>
      <c r="CQ63" s="511">
        <f t="shared" si="487"/>
        <v>0</v>
      </c>
      <c r="CR63" s="722">
        <f t="shared" ref="CR63:CR94" si="488">T63*BA63</f>
        <v>0</v>
      </c>
      <c r="CS63" s="511">
        <f>CR63</f>
        <v>0</v>
      </c>
      <c r="CT63" s="511">
        <f>CS63</f>
        <v>0</v>
      </c>
      <c r="CU63" s="511">
        <f>CT63</f>
        <v>0</v>
      </c>
      <c r="CV63" s="511">
        <f>CU63</f>
        <v>0</v>
      </c>
      <c r="CW63" s="511">
        <f t="shared" ref="CW63:CX63" si="489">CV63</f>
        <v>0</v>
      </c>
      <c r="CX63" s="539">
        <f t="shared" si="489"/>
        <v>0</v>
      </c>
      <c r="CY63" s="724">
        <f t="shared" si="267"/>
        <v>60000</v>
      </c>
      <c r="CZ63" s="508">
        <f t="shared" si="268"/>
        <v>60000</v>
      </c>
      <c r="DA63" s="508">
        <f t="shared" si="269"/>
        <v>60000</v>
      </c>
      <c r="DB63" s="508">
        <f t="shared" si="270"/>
        <v>60000</v>
      </c>
      <c r="DC63" s="508">
        <f t="shared" si="271"/>
        <v>60000</v>
      </c>
      <c r="DD63" s="508">
        <f t="shared" si="272"/>
        <v>60000</v>
      </c>
      <c r="DE63" s="726">
        <f t="shared" si="273"/>
        <v>60000</v>
      </c>
      <c r="DF63" s="724">
        <f t="shared" si="274"/>
        <v>0</v>
      </c>
      <c r="DG63" s="509">
        <f t="shared" si="275"/>
        <v>0</v>
      </c>
      <c r="DH63" s="509">
        <f t="shared" si="276"/>
        <v>0</v>
      </c>
      <c r="DI63" s="509">
        <f t="shared" si="277"/>
        <v>0</v>
      </c>
      <c r="DJ63" s="509">
        <f t="shared" si="278"/>
        <v>0</v>
      </c>
      <c r="DK63" s="509">
        <f t="shared" si="279"/>
        <v>0</v>
      </c>
      <c r="DL63" s="451">
        <f t="shared" si="280"/>
        <v>0</v>
      </c>
      <c r="DM63" s="509">
        <f t="shared" si="281"/>
        <v>15000</v>
      </c>
      <c r="DN63" s="509">
        <f t="shared" si="282"/>
        <v>15000</v>
      </c>
      <c r="DO63" s="509">
        <f t="shared" si="283"/>
        <v>15000</v>
      </c>
      <c r="DP63" s="509">
        <f t="shared" si="284"/>
        <v>15000</v>
      </c>
      <c r="DQ63" s="509">
        <f t="shared" si="285"/>
        <v>15000</v>
      </c>
      <c r="DR63" s="509">
        <f t="shared" si="286"/>
        <v>15000</v>
      </c>
      <c r="DS63" s="450">
        <f t="shared" si="287"/>
        <v>15000</v>
      </c>
      <c r="DT63" s="724">
        <f t="shared" si="288"/>
        <v>0</v>
      </c>
      <c r="DU63" s="508">
        <f t="shared" si="289"/>
        <v>0</v>
      </c>
      <c r="DV63" s="508">
        <f t="shared" si="290"/>
        <v>0</v>
      </c>
      <c r="DW63" s="508">
        <f t="shared" si="291"/>
        <v>0</v>
      </c>
      <c r="DX63" s="508">
        <f t="shared" si="292"/>
        <v>0</v>
      </c>
      <c r="DY63" s="508">
        <f t="shared" si="293"/>
        <v>0</v>
      </c>
      <c r="DZ63" s="726">
        <f t="shared" si="294"/>
        <v>0</v>
      </c>
      <c r="EA63" s="722">
        <f t="shared" si="295"/>
        <v>0</v>
      </c>
      <c r="EB63" s="511">
        <f t="shared" si="296"/>
        <v>0</v>
      </c>
      <c r="EC63" s="511">
        <f t="shared" si="297"/>
        <v>0</v>
      </c>
      <c r="ED63" s="511">
        <f t="shared" si="298"/>
        <v>0</v>
      </c>
      <c r="EE63" s="511">
        <f t="shared" si="299"/>
        <v>0</v>
      </c>
      <c r="EF63" s="511">
        <f t="shared" si="300"/>
        <v>0</v>
      </c>
      <c r="EG63" s="723">
        <f t="shared" si="301"/>
        <v>0</v>
      </c>
      <c r="EH63" s="397">
        <f t="shared" si="302"/>
        <v>0</v>
      </c>
      <c r="EI63" s="397">
        <f t="shared" si="303"/>
        <v>0</v>
      </c>
      <c r="EJ63" s="397">
        <f t="shared" si="304"/>
        <v>0</v>
      </c>
      <c r="EK63" s="397">
        <f t="shared" si="305"/>
        <v>0</v>
      </c>
      <c r="EL63" s="397">
        <f t="shared" si="306"/>
        <v>0</v>
      </c>
      <c r="EM63" s="397">
        <f t="shared" si="307"/>
        <v>0</v>
      </c>
      <c r="EN63" s="398">
        <f t="shared" si="308"/>
        <v>0</v>
      </c>
      <c r="EO63" s="722">
        <f t="shared" si="309"/>
        <v>0</v>
      </c>
      <c r="EP63" s="511">
        <f t="shared" si="310"/>
        <v>0</v>
      </c>
      <c r="EQ63" s="511">
        <f t="shared" si="311"/>
        <v>0</v>
      </c>
      <c r="ER63" s="511">
        <f t="shared" si="312"/>
        <v>0</v>
      </c>
      <c r="ES63" s="511">
        <f t="shared" si="313"/>
        <v>0</v>
      </c>
      <c r="ET63" s="511">
        <f t="shared" si="314"/>
        <v>0</v>
      </c>
      <c r="EU63" s="723">
        <f t="shared" si="315"/>
        <v>0</v>
      </c>
      <c r="EV63" s="727">
        <f t="shared" si="316"/>
        <v>15</v>
      </c>
      <c r="EW63" s="728">
        <f t="shared" si="317"/>
        <v>420000</v>
      </c>
      <c r="EX63" s="728">
        <f t="shared" si="318"/>
        <v>0</v>
      </c>
      <c r="EY63" s="728">
        <f t="shared" si="319"/>
        <v>105000</v>
      </c>
      <c r="EZ63" s="728">
        <f t="shared" si="320"/>
        <v>0</v>
      </c>
      <c r="FA63" s="777">
        <f t="shared" si="321"/>
        <v>0</v>
      </c>
      <c r="FB63" s="777">
        <f t="shared" si="322"/>
        <v>0</v>
      </c>
      <c r="FC63" s="778">
        <f t="shared" si="323"/>
        <v>0</v>
      </c>
    </row>
    <row r="64" spans="1:168">
      <c r="A64" s="662" t="s">
        <v>173</v>
      </c>
      <c r="B64" s="789" t="s">
        <v>1356</v>
      </c>
      <c r="C64" s="789" t="str">
        <f t="shared" ref="C64:W64" si="490">C7</f>
        <v>1.18 kW/ton full load (10.1 EER)</v>
      </c>
      <c r="D64" s="789" t="str">
        <f t="shared" si="490"/>
        <v>IECC 2012 Code 9.562 EER (1.25 kW/ton)</v>
      </c>
      <c r="E64" s="789" t="str">
        <f t="shared" si="490"/>
        <v>Per Unit</v>
      </c>
      <c r="F64" s="789" t="str">
        <f t="shared" si="490"/>
        <v>Per Ton</v>
      </c>
      <c r="G64" s="704" t="str">
        <f t="shared" si="490"/>
        <v>Incremental Cost</v>
      </c>
      <c r="H64" s="704">
        <f t="shared" si="490"/>
        <v>109</v>
      </c>
      <c r="I64" s="704">
        <f t="shared" si="490"/>
        <v>0</v>
      </c>
      <c r="J64" s="704">
        <f t="shared" si="490"/>
        <v>109</v>
      </c>
      <c r="K64" s="704">
        <f t="shared" si="490"/>
        <v>0</v>
      </c>
      <c r="L64" s="704">
        <f t="shared" si="490"/>
        <v>54.5</v>
      </c>
      <c r="M64" s="707" t="str">
        <f t="shared" si="490"/>
        <v>Mid-Atlantic TRM V9 Electric Chillers (p.435) - Assuming 100 tons from 'Assumptions' tab</v>
      </c>
      <c r="N64" s="704">
        <f t="shared" si="490"/>
        <v>5</v>
      </c>
      <c r="O64" s="704">
        <f t="shared" si="490"/>
        <v>5</v>
      </c>
      <c r="P64" s="704">
        <f t="shared" si="490"/>
        <v>0</v>
      </c>
      <c r="Q64" s="704">
        <f t="shared" si="490"/>
        <v>0</v>
      </c>
      <c r="R64" s="1021">
        <f t="shared" si="490"/>
        <v>91.771415253249614</v>
      </c>
      <c r="S64" s="872">
        <f t="shared" si="490"/>
        <v>5.4013804643380146E-2</v>
      </c>
      <c r="T64" s="1022">
        <f t="shared" si="490"/>
        <v>0</v>
      </c>
      <c r="U64" s="711" t="str">
        <f t="shared" si="490"/>
        <v>Per unit savings estimate from Mid-Atlantic TRM v9 "Electric Chillers"</v>
      </c>
      <c r="V64" s="716">
        <f t="shared" si="490"/>
        <v>0</v>
      </c>
      <c r="W64" s="711">
        <f t="shared" si="490"/>
        <v>1</v>
      </c>
      <c r="X64" s="781">
        <f t="shared" ref="X64:AJ64" si="491">X7/2</f>
        <v>291</v>
      </c>
      <c r="Y64" s="781">
        <f t="shared" si="491"/>
        <v>0</v>
      </c>
      <c r="Z64" s="781">
        <f t="shared" si="491"/>
        <v>283</v>
      </c>
      <c r="AA64" s="781">
        <f t="shared" si="491"/>
        <v>0</v>
      </c>
      <c r="AB64" s="781">
        <f t="shared" si="491"/>
        <v>141.5</v>
      </c>
      <c r="AC64" s="781">
        <f>AC7/2</f>
        <v>141.5</v>
      </c>
      <c r="AD64" s="781">
        <f t="shared" si="491"/>
        <v>141.5</v>
      </c>
      <c r="AE64" s="781">
        <f t="shared" si="491"/>
        <v>141.5</v>
      </c>
      <c r="AF64" s="781">
        <f t="shared" si="491"/>
        <v>141.5</v>
      </c>
      <c r="AG64" s="781">
        <f t="shared" si="491"/>
        <v>141.5</v>
      </c>
      <c r="AH64" s="781">
        <f t="shared" si="491"/>
        <v>141.5</v>
      </c>
      <c r="AI64" s="781">
        <f t="shared" si="491"/>
        <v>141.5</v>
      </c>
      <c r="AJ64" s="781">
        <f t="shared" si="491"/>
        <v>141.5</v>
      </c>
      <c r="AK64" s="711" t="str">
        <f t="shared" ref="AK64:BA64" si="492">AK7</f>
        <v>Electric</v>
      </c>
      <c r="AL64" s="711" t="str">
        <f t="shared" si="492"/>
        <v>Commercial</v>
      </c>
      <c r="AM64" s="711" t="str">
        <f t="shared" si="492"/>
        <v>Miscellaneous</v>
      </c>
      <c r="AN64" s="711" t="str">
        <f t="shared" si="492"/>
        <v>Cooling Chillers</v>
      </c>
      <c r="AO64" s="711" t="str">
        <f t="shared" si="492"/>
        <v>Existing</v>
      </c>
      <c r="AP64" s="711">
        <f t="shared" si="492"/>
        <v>0</v>
      </c>
      <c r="AQ64" s="711">
        <f t="shared" si="492"/>
        <v>0</v>
      </c>
      <c r="AR64" s="711">
        <f t="shared" si="492"/>
        <v>0</v>
      </c>
      <c r="AS64" s="711" t="str">
        <f t="shared" si="492"/>
        <v>OFFSMCool</v>
      </c>
      <c r="AT64" s="715" t="s">
        <v>745</v>
      </c>
      <c r="AU64" s="1065" t="s">
        <v>771</v>
      </c>
      <c r="AV64" s="711">
        <f t="shared" si="492"/>
        <v>20</v>
      </c>
      <c r="AW64" s="711">
        <f t="shared" si="492"/>
        <v>20</v>
      </c>
      <c r="AX64" s="711" t="s">
        <v>1197</v>
      </c>
      <c r="AY64" s="711">
        <f t="shared" si="492"/>
        <v>1</v>
      </c>
      <c r="AZ64" s="711">
        <f t="shared" si="492"/>
        <v>1</v>
      </c>
      <c r="BA64" s="1066">
        <f t="shared" si="492"/>
        <v>0</v>
      </c>
      <c r="BB64" s="721">
        <f t="shared" ref="BB64:BB118" si="493">J64</f>
        <v>109</v>
      </c>
      <c r="BC64" s="499">
        <f t="shared" ref="BC64:BC118" si="494">BB64</f>
        <v>109</v>
      </c>
      <c r="BD64" s="499">
        <f t="shared" ref="BD64:BD118" si="495">BC64</f>
        <v>109</v>
      </c>
      <c r="BE64" s="499">
        <f t="shared" ref="BE64:BE118" si="496">BD64</f>
        <v>109</v>
      </c>
      <c r="BF64" s="499">
        <f t="shared" ref="BF64:BF118" si="497">BC64</f>
        <v>109</v>
      </c>
      <c r="BG64" s="499">
        <f t="shared" ref="BG64:BG118" si="498">BD64</f>
        <v>109</v>
      </c>
      <c r="BH64" s="499">
        <f t="shared" ref="BH64:BH118" si="499">BE64</f>
        <v>109</v>
      </c>
      <c r="BI64" s="721">
        <f t="shared" si="474"/>
        <v>0</v>
      </c>
      <c r="BJ64" s="499">
        <f t="shared" ref="BJ64:BM64" si="500">BI64</f>
        <v>0</v>
      </c>
      <c r="BK64" s="499">
        <f t="shared" si="500"/>
        <v>0</v>
      </c>
      <c r="BL64" s="499">
        <f t="shared" si="500"/>
        <v>0</v>
      </c>
      <c r="BM64" s="499">
        <f t="shared" si="500"/>
        <v>0</v>
      </c>
      <c r="BN64" s="499">
        <f t="shared" ref="BN64:BN118" si="501">BM64</f>
        <v>0</v>
      </c>
      <c r="BO64" s="499">
        <f t="shared" ref="BO64:BO118" si="502">BN64</f>
        <v>0</v>
      </c>
      <c r="BP64" s="721">
        <f t="shared" si="476"/>
        <v>5</v>
      </c>
      <c r="BQ64" s="499">
        <f t="shared" si="477"/>
        <v>5</v>
      </c>
      <c r="BR64" s="499">
        <f t="shared" ref="BR64:BR118" si="503">BQ64</f>
        <v>5</v>
      </c>
      <c r="BS64" s="499">
        <f t="shared" ref="BS64:BS118" si="504">BR64</f>
        <v>5</v>
      </c>
      <c r="BT64" s="499">
        <f t="shared" ref="BT64:BT118" si="505">BS64</f>
        <v>5</v>
      </c>
      <c r="BU64" s="499">
        <f t="shared" ref="BU64:BU118" si="506">BT64</f>
        <v>5</v>
      </c>
      <c r="BV64" s="499">
        <f t="shared" ref="BV64:BV118" si="507">BU64</f>
        <v>5</v>
      </c>
      <c r="BW64" s="774">
        <f t="shared" ref="BW64:CC95" si="508">$Q64</f>
        <v>0</v>
      </c>
      <c r="BX64" s="503">
        <f t="shared" si="483"/>
        <v>0</v>
      </c>
      <c r="BY64" s="503">
        <f t="shared" si="483"/>
        <v>0</v>
      </c>
      <c r="BZ64" s="503">
        <f t="shared" si="483"/>
        <v>0</v>
      </c>
      <c r="CA64" s="503">
        <f t="shared" si="483"/>
        <v>0</v>
      </c>
      <c r="CB64" s="503">
        <f t="shared" si="483"/>
        <v>0</v>
      </c>
      <c r="CC64" s="503">
        <f t="shared" si="483"/>
        <v>0</v>
      </c>
      <c r="CD64" s="722">
        <f t="shared" si="484"/>
        <v>91.771415253249614</v>
      </c>
      <c r="CE64" s="511">
        <f t="shared" ref="CE64:CH64" si="509">CD64</f>
        <v>91.771415253249614</v>
      </c>
      <c r="CF64" s="511">
        <f t="shared" si="509"/>
        <v>91.771415253249614</v>
      </c>
      <c r="CG64" s="511">
        <f t="shared" si="509"/>
        <v>91.771415253249614</v>
      </c>
      <c r="CH64" s="511">
        <f t="shared" si="509"/>
        <v>91.771415253249614</v>
      </c>
      <c r="CI64" s="511">
        <f t="shared" ref="CI64:CI118" si="510">CH64</f>
        <v>91.771415253249614</v>
      </c>
      <c r="CJ64" s="511">
        <f t="shared" ref="CJ64:CJ118" si="511">CI64</f>
        <v>91.771415253249614</v>
      </c>
      <c r="CK64" s="722">
        <f t="shared" si="486"/>
        <v>5.4013804643380146E-2</v>
      </c>
      <c r="CL64" s="511">
        <f t="shared" ref="CL64:CO64" si="512">CK64</f>
        <v>5.4013804643380146E-2</v>
      </c>
      <c r="CM64" s="511">
        <f t="shared" si="512"/>
        <v>5.4013804643380146E-2</v>
      </c>
      <c r="CN64" s="511">
        <f t="shared" si="512"/>
        <v>5.4013804643380146E-2</v>
      </c>
      <c r="CO64" s="511">
        <f t="shared" si="512"/>
        <v>5.4013804643380146E-2</v>
      </c>
      <c r="CP64" s="511">
        <f t="shared" ref="CP64:CP118" si="513">CO64</f>
        <v>5.4013804643380146E-2</v>
      </c>
      <c r="CQ64" s="511">
        <f t="shared" ref="CQ64:CQ118" si="514">CP64</f>
        <v>5.4013804643380146E-2</v>
      </c>
      <c r="CR64" s="722">
        <f t="shared" si="488"/>
        <v>0</v>
      </c>
      <c r="CS64" s="511">
        <f t="shared" ref="CS64:CV64" si="515">CR64</f>
        <v>0</v>
      </c>
      <c r="CT64" s="511">
        <f t="shared" si="515"/>
        <v>0</v>
      </c>
      <c r="CU64" s="511">
        <f t="shared" si="515"/>
        <v>0</v>
      </c>
      <c r="CV64" s="511">
        <f t="shared" si="515"/>
        <v>0</v>
      </c>
      <c r="CW64" s="511">
        <f t="shared" ref="CW64:CW118" si="516">CV64</f>
        <v>0</v>
      </c>
      <c r="CX64" s="539">
        <f t="shared" ref="CX64:CX118" si="517">CW64</f>
        <v>0</v>
      </c>
      <c r="CY64" s="724">
        <f t="shared" si="267"/>
        <v>15423.5</v>
      </c>
      <c r="CZ64" s="508">
        <f t="shared" si="268"/>
        <v>15423.5</v>
      </c>
      <c r="DA64" s="508">
        <f t="shared" si="269"/>
        <v>15423.5</v>
      </c>
      <c r="DB64" s="508">
        <f t="shared" si="270"/>
        <v>15423.5</v>
      </c>
      <c r="DC64" s="508">
        <f t="shared" si="271"/>
        <v>15423.5</v>
      </c>
      <c r="DD64" s="508">
        <f t="shared" si="272"/>
        <v>15423.5</v>
      </c>
      <c r="DE64" s="726">
        <f t="shared" si="273"/>
        <v>15423.5</v>
      </c>
      <c r="DF64" s="724">
        <f t="shared" si="274"/>
        <v>0</v>
      </c>
      <c r="DG64" s="509">
        <f t="shared" si="275"/>
        <v>0</v>
      </c>
      <c r="DH64" s="509">
        <f t="shared" si="276"/>
        <v>0</v>
      </c>
      <c r="DI64" s="509">
        <f t="shared" si="277"/>
        <v>0</v>
      </c>
      <c r="DJ64" s="509">
        <f t="shared" si="278"/>
        <v>0</v>
      </c>
      <c r="DK64" s="509">
        <f t="shared" si="279"/>
        <v>0</v>
      </c>
      <c r="DL64" s="451">
        <f t="shared" si="280"/>
        <v>0</v>
      </c>
      <c r="DM64" s="509">
        <f t="shared" si="281"/>
        <v>707.5</v>
      </c>
      <c r="DN64" s="509">
        <f t="shared" si="282"/>
        <v>707.5</v>
      </c>
      <c r="DO64" s="509">
        <f t="shared" si="283"/>
        <v>707.5</v>
      </c>
      <c r="DP64" s="509">
        <f t="shared" si="284"/>
        <v>707.5</v>
      </c>
      <c r="DQ64" s="509">
        <f t="shared" si="285"/>
        <v>707.5</v>
      </c>
      <c r="DR64" s="509">
        <f t="shared" si="286"/>
        <v>707.5</v>
      </c>
      <c r="DS64" s="450">
        <f t="shared" si="287"/>
        <v>707.5</v>
      </c>
      <c r="DT64" s="724">
        <f t="shared" si="288"/>
        <v>0</v>
      </c>
      <c r="DU64" s="508">
        <f t="shared" si="289"/>
        <v>0</v>
      </c>
      <c r="DV64" s="508">
        <f t="shared" si="290"/>
        <v>0</v>
      </c>
      <c r="DW64" s="508">
        <f t="shared" si="291"/>
        <v>0</v>
      </c>
      <c r="DX64" s="508">
        <f t="shared" si="292"/>
        <v>0</v>
      </c>
      <c r="DY64" s="508">
        <f t="shared" si="293"/>
        <v>0</v>
      </c>
      <c r="DZ64" s="726">
        <f t="shared" si="294"/>
        <v>0</v>
      </c>
      <c r="EA64" s="722">
        <f t="shared" si="295"/>
        <v>12985.65525833482</v>
      </c>
      <c r="EB64" s="511">
        <f t="shared" si="296"/>
        <v>12985.65525833482</v>
      </c>
      <c r="EC64" s="511">
        <f t="shared" si="297"/>
        <v>12985.65525833482</v>
      </c>
      <c r="ED64" s="511">
        <f t="shared" si="298"/>
        <v>12985.65525833482</v>
      </c>
      <c r="EE64" s="511">
        <f t="shared" si="299"/>
        <v>12985.65525833482</v>
      </c>
      <c r="EF64" s="511">
        <f t="shared" si="300"/>
        <v>12985.65525833482</v>
      </c>
      <c r="EG64" s="723">
        <f t="shared" si="301"/>
        <v>12985.65525833482</v>
      </c>
      <c r="EH64" s="397">
        <f t="shared" si="302"/>
        <v>7.6429533570382908</v>
      </c>
      <c r="EI64" s="397">
        <f t="shared" si="303"/>
        <v>7.6429533570382908</v>
      </c>
      <c r="EJ64" s="397">
        <f t="shared" si="304"/>
        <v>7.6429533570382908</v>
      </c>
      <c r="EK64" s="397">
        <f t="shared" si="305"/>
        <v>7.6429533570382908</v>
      </c>
      <c r="EL64" s="397">
        <f t="shared" si="306"/>
        <v>7.6429533570382908</v>
      </c>
      <c r="EM64" s="397">
        <f t="shared" si="307"/>
        <v>7.6429533570382908</v>
      </c>
      <c r="EN64" s="398">
        <f t="shared" si="308"/>
        <v>7.6429533570382908</v>
      </c>
      <c r="EO64" s="722">
        <f t="shared" si="309"/>
        <v>0</v>
      </c>
      <c r="EP64" s="511">
        <f t="shared" si="310"/>
        <v>0</v>
      </c>
      <c r="EQ64" s="511">
        <f t="shared" si="311"/>
        <v>0</v>
      </c>
      <c r="ER64" s="511">
        <f t="shared" si="312"/>
        <v>0</v>
      </c>
      <c r="ES64" s="511">
        <f t="shared" si="313"/>
        <v>0</v>
      </c>
      <c r="ET64" s="511">
        <f t="shared" si="314"/>
        <v>0</v>
      </c>
      <c r="EU64" s="723">
        <f t="shared" si="315"/>
        <v>0</v>
      </c>
      <c r="EV64" s="727">
        <f t="shared" si="316"/>
        <v>424.5</v>
      </c>
      <c r="EW64" s="728">
        <f t="shared" si="317"/>
        <v>107964.5</v>
      </c>
      <c r="EX64" s="728">
        <f t="shared" si="318"/>
        <v>0</v>
      </c>
      <c r="EY64" s="728">
        <f t="shared" si="319"/>
        <v>4952.5</v>
      </c>
      <c r="EZ64" s="728">
        <f t="shared" si="320"/>
        <v>0</v>
      </c>
      <c r="FA64" s="777">
        <f t="shared" si="321"/>
        <v>90899.586808343753</v>
      </c>
      <c r="FB64" s="777">
        <f t="shared" si="322"/>
        <v>53.500673499268046</v>
      </c>
      <c r="FC64" s="778">
        <f t="shared" si="323"/>
        <v>0</v>
      </c>
      <c r="FE64" s="10"/>
      <c r="FF64" s="10"/>
    </row>
    <row r="65" spans="1:162">
      <c r="A65" s="662" t="s">
        <v>175</v>
      </c>
      <c r="B65" s="789" t="s">
        <v>1357</v>
      </c>
      <c r="C65" s="789" t="str">
        <f t="shared" ref="C65:W65" si="518">C8</f>
        <v>0.66 kW/ton (full load); 0.54 kW/ton (IPLV)</v>
      </c>
      <c r="D65" s="789" t="str">
        <f t="shared" si="518"/>
        <v>IECC 2015 - 0.72 kW/ton (full load); 0.56 kW/ton (IPLV)</v>
      </c>
      <c r="E65" s="789" t="str">
        <f t="shared" si="518"/>
        <v>Per Unit</v>
      </c>
      <c r="F65" s="789" t="str">
        <f t="shared" si="518"/>
        <v>Per Ton</v>
      </c>
      <c r="G65" s="704" t="str">
        <f t="shared" si="518"/>
        <v>Incremental Cost</v>
      </c>
      <c r="H65" s="704">
        <f t="shared" si="518"/>
        <v>104</v>
      </c>
      <c r="I65" s="704">
        <f t="shared" si="518"/>
        <v>0</v>
      </c>
      <c r="J65" s="704">
        <f t="shared" si="518"/>
        <v>104</v>
      </c>
      <c r="K65" s="704">
        <f t="shared" si="518"/>
        <v>0</v>
      </c>
      <c r="L65" s="704">
        <f t="shared" si="518"/>
        <v>52</v>
      </c>
      <c r="M65" s="707" t="str">
        <f t="shared" si="518"/>
        <v>Mid-Atlantic TRM V9 Electric Chillers (p.435) - Assuming 100 tons from 'Assumptions' tab, 0.68 kW/ton for efficient equipment to match TRM table, and Water-Cooled Scroll/Screw Chiller Incremental Costs ($/Ton) for Maryland to match baseline kW/ton</v>
      </c>
      <c r="N65" s="704">
        <f t="shared" si="518"/>
        <v>3</v>
      </c>
      <c r="O65" s="704">
        <f t="shared" si="518"/>
        <v>3</v>
      </c>
      <c r="P65" s="704">
        <f t="shared" si="518"/>
        <v>0</v>
      </c>
      <c r="Q65" s="704">
        <f t="shared" si="518"/>
        <v>0</v>
      </c>
      <c r="R65" s="1021">
        <f t="shared" si="518"/>
        <v>21.827576197387536</v>
      </c>
      <c r="S65" s="872">
        <f t="shared" si="518"/>
        <v>4.8479999999999954E-2</v>
      </c>
      <c r="T65" s="1022">
        <f t="shared" si="518"/>
        <v>0</v>
      </c>
      <c r="U65" s="711" t="str">
        <f t="shared" si="518"/>
        <v>Per unit savings estimate from Mid-Atlantic TRM v9 "Electric Chillers"</v>
      </c>
      <c r="V65" s="716">
        <f t="shared" si="518"/>
        <v>0</v>
      </c>
      <c r="W65" s="711">
        <f t="shared" si="518"/>
        <v>100</v>
      </c>
      <c r="X65" s="781">
        <f t="shared" ref="X65:AJ65" si="519">X8/2</f>
        <v>0</v>
      </c>
      <c r="Y65" s="781">
        <f t="shared" si="519"/>
        <v>0</v>
      </c>
      <c r="Z65" s="781">
        <f t="shared" si="519"/>
        <v>0</v>
      </c>
      <c r="AA65" s="781">
        <f t="shared" si="519"/>
        <v>0</v>
      </c>
      <c r="AB65" s="781">
        <f t="shared" si="519"/>
        <v>0</v>
      </c>
      <c r="AC65" s="781">
        <f t="shared" si="519"/>
        <v>0.5</v>
      </c>
      <c r="AD65" s="781">
        <f t="shared" si="519"/>
        <v>0</v>
      </c>
      <c r="AE65" s="781">
        <f t="shared" si="519"/>
        <v>0</v>
      </c>
      <c r="AF65" s="781">
        <f t="shared" si="519"/>
        <v>0.5</v>
      </c>
      <c r="AG65" s="781">
        <f t="shared" si="519"/>
        <v>0</v>
      </c>
      <c r="AH65" s="781">
        <f t="shared" si="519"/>
        <v>0</v>
      </c>
      <c r="AI65" s="781">
        <f t="shared" si="519"/>
        <v>0.5</v>
      </c>
      <c r="AJ65" s="781">
        <f t="shared" si="519"/>
        <v>0</v>
      </c>
      <c r="AK65" s="711" t="str">
        <f t="shared" ref="AK65:BA65" si="520">AK8</f>
        <v>Electric</v>
      </c>
      <c r="AL65" s="711" t="str">
        <f t="shared" si="520"/>
        <v>Commercial</v>
      </c>
      <c r="AM65" s="711" t="str">
        <f t="shared" si="520"/>
        <v>Miscellaneous</v>
      </c>
      <c r="AN65" s="711" t="str">
        <f t="shared" si="520"/>
        <v>Cooling Chillers</v>
      </c>
      <c r="AO65" s="711" t="str">
        <f t="shared" si="520"/>
        <v>Existing</v>
      </c>
      <c r="AP65" s="711">
        <f t="shared" si="520"/>
        <v>0</v>
      </c>
      <c r="AQ65" s="711">
        <f t="shared" si="520"/>
        <v>0</v>
      </c>
      <c r="AR65" s="711">
        <f t="shared" si="520"/>
        <v>0</v>
      </c>
      <c r="AS65" s="711" t="str">
        <f t="shared" si="520"/>
        <v>OFFSMCool</v>
      </c>
      <c r="AT65" s="715" t="s">
        <v>745</v>
      </c>
      <c r="AU65" s="1065" t="s">
        <v>771</v>
      </c>
      <c r="AV65" s="711">
        <f t="shared" si="520"/>
        <v>20</v>
      </c>
      <c r="AW65" s="711">
        <f t="shared" si="520"/>
        <v>20</v>
      </c>
      <c r="AX65" s="711" t="s">
        <v>2711</v>
      </c>
      <c r="AY65" s="711">
        <f t="shared" si="520"/>
        <v>1</v>
      </c>
      <c r="AZ65" s="711">
        <f t="shared" si="520"/>
        <v>1</v>
      </c>
      <c r="BA65" s="1066">
        <f t="shared" si="520"/>
        <v>0</v>
      </c>
      <c r="BB65" s="721">
        <f t="shared" si="493"/>
        <v>104</v>
      </c>
      <c r="BC65" s="499">
        <f t="shared" si="494"/>
        <v>104</v>
      </c>
      <c r="BD65" s="499">
        <f t="shared" si="495"/>
        <v>104</v>
      </c>
      <c r="BE65" s="499">
        <f t="shared" si="496"/>
        <v>104</v>
      </c>
      <c r="BF65" s="499">
        <f t="shared" si="497"/>
        <v>104</v>
      </c>
      <c r="BG65" s="499">
        <f t="shared" si="498"/>
        <v>104</v>
      </c>
      <c r="BH65" s="499">
        <f t="shared" si="499"/>
        <v>104</v>
      </c>
      <c r="BI65" s="721">
        <f t="shared" si="474"/>
        <v>0</v>
      </c>
      <c r="BJ65" s="499">
        <f t="shared" ref="BJ65:BM65" si="521">BI65</f>
        <v>0</v>
      </c>
      <c r="BK65" s="499">
        <f t="shared" si="521"/>
        <v>0</v>
      </c>
      <c r="BL65" s="499">
        <f t="shared" si="521"/>
        <v>0</v>
      </c>
      <c r="BM65" s="499">
        <f t="shared" si="521"/>
        <v>0</v>
      </c>
      <c r="BN65" s="499">
        <f t="shared" si="501"/>
        <v>0</v>
      </c>
      <c r="BO65" s="499">
        <f t="shared" si="502"/>
        <v>0</v>
      </c>
      <c r="BP65" s="721">
        <f t="shared" si="476"/>
        <v>3</v>
      </c>
      <c r="BQ65" s="499">
        <f t="shared" si="477"/>
        <v>3</v>
      </c>
      <c r="BR65" s="499">
        <f t="shared" si="503"/>
        <v>3</v>
      </c>
      <c r="BS65" s="499">
        <f t="shared" si="504"/>
        <v>3</v>
      </c>
      <c r="BT65" s="499">
        <f t="shared" si="505"/>
        <v>3</v>
      </c>
      <c r="BU65" s="499">
        <f t="shared" si="506"/>
        <v>3</v>
      </c>
      <c r="BV65" s="499">
        <f t="shared" si="507"/>
        <v>3</v>
      </c>
      <c r="BW65" s="774">
        <f t="shared" si="508"/>
        <v>0</v>
      </c>
      <c r="BX65" s="503">
        <f t="shared" si="483"/>
        <v>0</v>
      </c>
      <c r="BY65" s="503">
        <f t="shared" si="483"/>
        <v>0</v>
      </c>
      <c r="BZ65" s="503">
        <f t="shared" si="483"/>
        <v>0</v>
      </c>
      <c r="CA65" s="503">
        <f t="shared" si="483"/>
        <v>0</v>
      </c>
      <c r="CB65" s="503">
        <f t="shared" si="483"/>
        <v>0</v>
      </c>
      <c r="CC65" s="503">
        <f t="shared" si="483"/>
        <v>0</v>
      </c>
      <c r="CD65" s="722">
        <f t="shared" si="484"/>
        <v>21.827576197387536</v>
      </c>
      <c r="CE65" s="511">
        <f t="shared" ref="CE65:CH65" si="522">CD65</f>
        <v>21.827576197387536</v>
      </c>
      <c r="CF65" s="511">
        <f t="shared" si="522"/>
        <v>21.827576197387536</v>
      </c>
      <c r="CG65" s="511">
        <f t="shared" si="522"/>
        <v>21.827576197387536</v>
      </c>
      <c r="CH65" s="511">
        <f t="shared" si="522"/>
        <v>21.827576197387536</v>
      </c>
      <c r="CI65" s="511">
        <f t="shared" si="510"/>
        <v>21.827576197387536</v>
      </c>
      <c r="CJ65" s="511">
        <f t="shared" si="511"/>
        <v>21.827576197387536</v>
      </c>
      <c r="CK65" s="722">
        <f t="shared" si="486"/>
        <v>4.8479999999999954E-2</v>
      </c>
      <c r="CL65" s="511">
        <f t="shared" ref="CL65:CO65" si="523">CK65</f>
        <v>4.8479999999999954E-2</v>
      </c>
      <c r="CM65" s="511">
        <f t="shared" si="523"/>
        <v>4.8479999999999954E-2</v>
      </c>
      <c r="CN65" s="511">
        <f t="shared" si="523"/>
        <v>4.8479999999999954E-2</v>
      </c>
      <c r="CO65" s="511">
        <f t="shared" si="523"/>
        <v>4.8479999999999954E-2</v>
      </c>
      <c r="CP65" s="511">
        <f t="shared" si="513"/>
        <v>4.8479999999999954E-2</v>
      </c>
      <c r="CQ65" s="511">
        <f t="shared" si="514"/>
        <v>4.8479999999999954E-2</v>
      </c>
      <c r="CR65" s="722">
        <f t="shared" si="488"/>
        <v>0</v>
      </c>
      <c r="CS65" s="511">
        <f t="shared" ref="CS65:CV65" si="524">CR65</f>
        <v>0</v>
      </c>
      <c r="CT65" s="511">
        <f t="shared" si="524"/>
        <v>0</v>
      </c>
      <c r="CU65" s="511">
        <f t="shared" si="524"/>
        <v>0</v>
      </c>
      <c r="CV65" s="511">
        <f t="shared" si="524"/>
        <v>0</v>
      </c>
      <c r="CW65" s="511">
        <f t="shared" si="516"/>
        <v>0</v>
      </c>
      <c r="CX65" s="539">
        <f t="shared" si="517"/>
        <v>0</v>
      </c>
      <c r="CY65" s="724">
        <f t="shared" si="267"/>
        <v>0</v>
      </c>
      <c r="CZ65" s="508">
        <f t="shared" si="268"/>
        <v>0</v>
      </c>
      <c r="DA65" s="508">
        <f t="shared" si="269"/>
        <v>5200</v>
      </c>
      <c r="DB65" s="508">
        <f t="shared" si="270"/>
        <v>0</v>
      </c>
      <c r="DC65" s="508">
        <f t="shared" si="271"/>
        <v>0</v>
      </c>
      <c r="DD65" s="508">
        <f t="shared" si="272"/>
        <v>5200</v>
      </c>
      <c r="DE65" s="726">
        <f t="shared" si="273"/>
        <v>0</v>
      </c>
      <c r="DF65" s="724">
        <f t="shared" si="274"/>
        <v>0</v>
      </c>
      <c r="DG65" s="509">
        <f t="shared" si="275"/>
        <v>0</v>
      </c>
      <c r="DH65" s="509">
        <f t="shared" si="276"/>
        <v>0</v>
      </c>
      <c r="DI65" s="509">
        <f t="shared" si="277"/>
        <v>0</v>
      </c>
      <c r="DJ65" s="509">
        <f t="shared" si="278"/>
        <v>0</v>
      </c>
      <c r="DK65" s="509">
        <f t="shared" si="279"/>
        <v>0</v>
      </c>
      <c r="DL65" s="451">
        <f t="shared" si="280"/>
        <v>0</v>
      </c>
      <c r="DM65" s="509">
        <f t="shared" si="281"/>
        <v>0</v>
      </c>
      <c r="DN65" s="509">
        <f t="shared" si="282"/>
        <v>0</v>
      </c>
      <c r="DO65" s="509">
        <f t="shared" si="283"/>
        <v>150</v>
      </c>
      <c r="DP65" s="509">
        <f t="shared" si="284"/>
        <v>0</v>
      </c>
      <c r="DQ65" s="509">
        <f t="shared" si="285"/>
        <v>0</v>
      </c>
      <c r="DR65" s="509">
        <f t="shared" si="286"/>
        <v>150</v>
      </c>
      <c r="DS65" s="450">
        <f t="shared" si="287"/>
        <v>0</v>
      </c>
      <c r="DT65" s="724">
        <f t="shared" si="288"/>
        <v>0</v>
      </c>
      <c r="DU65" s="508">
        <f t="shared" si="289"/>
        <v>0</v>
      </c>
      <c r="DV65" s="508">
        <f t="shared" si="290"/>
        <v>0</v>
      </c>
      <c r="DW65" s="508">
        <f t="shared" si="291"/>
        <v>0</v>
      </c>
      <c r="DX65" s="508">
        <f t="shared" si="292"/>
        <v>0</v>
      </c>
      <c r="DY65" s="508">
        <f t="shared" si="293"/>
        <v>0</v>
      </c>
      <c r="DZ65" s="726">
        <f t="shared" si="294"/>
        <v>0</v>
      </c>
      <c r="EA65" s="722">
        <f t="shared" si="295"/>
        <v>0</v>
      </c>
      <c r="EB65" s="511">
        <f t="shared" si="296"/>
        <v>0</v>
      </c>
      <c r="EC65" s="511">
        <f t="shared" si="297"/>
        <v>1091.3788098693767</v>
      </c>
      <c r="ED65" s="511">
        <f t="shared" si="298"/>
        <v>0</v>
      </c>
      <c r="EE65" s="511">
        <f t="shared" si="299"/>
        <v>0</v>
      </c>
      <c r="EF65" s="511">
        <f t="shared" si="300"/>
        <v>1091.3788098693767</v>
      </c>
      <c r="EG65" s="723">
        <f t="shared" si="301"/>
        <v>0</v>
      </c>
      <c r="EH65" s="397">
        <f t="shared" si="302"/>
        <v>0</v>
      </c>
      <c r="EI65" s="397">
        <f t="shared" si="303"/>
        <v>0</v>
      </c>
      <c r="EJ65" s="397">
        <f t="shared" si="304"/>
        <v>2.4239999999999977</v>
      </c>
      <c r="EK65" s="397">
        <f t="shared" si="305"/>
        <v>0</v>
      </c>
      <c r="EL65" s="397">
        <f t="shared" si="306"/>
        <v>0</v>
      </c>
      <c r="EM65" s="397">
        <f t="shared" si="307"/>
        <v>2.4239999999999977</v>
      </c>
      <c r="EN65" s="398">
        <f t="shared" si="308"/>
        <v>0</v>
      </c>
      <c r="EO65" s="722">
        <f t="shared" si="309"/>
        <v>0</v>
      </c>
      <c r="EP65" s="511">
        <f t="shared" si="310"/>
        <v>0</v>
      </c>
      <c r="EQ65" s="511">
        <f t="shared" si="311"/>
        <v>0</v>
      </c>
      <c r="ER65" s="511">
        <f t="shared" si="312"/>
        <v>0</v>
      </c>
      <c r="ES65" s="511">
        <f t="shared" si="313"/>
        <v>0</v>
      </c>
      <c r="ET65" s="511">
        <f t="shared" si="314"/>
        <v>0</v>
      </c>
      <c r="EU65" s="723">
        <f t="shared" si="315"/>
        <v>0</v>
      </c>
      <c r="EV65" s="727">
        <f t="shared" si="316"/>
        <v>0.5</v>
      </c>
      <c r="EW65" s="728">
        <f t="shared" si="317"/>
        <v>10400</v>
      </c>
      <c r="EX65" s="728">
        <f t="shared" si="318"/>
        <v>0</v>
      </c>
      <c r="EY65" s="728">
        <f t="shared" si="319"/>
        <v>300</v>
      </c>
      <c r="EZ65" s="728">
        <f t="shared" si="320"/>
        <v>0</v>
      </c>
      <c r="FA65" s="777">
        <f t="shared" si="321"/>
        <v>2182.7576197387534</v>
      </c>
      <c r="FB65" s="777">
        <f t="shared" si="322"/>
        <v>4.8479999999999954</v>
      </c>
      <c r="FC65" s="778">
        <f t="shared" si="323"/>
        <v>0</v>
      </c>
      <c r="FE65" s="10"/>
      <c r="FF65" s="10"/>
    </row>
    <row r="66" spans="1:162">
      <c r="A66" s="662" t="s">
        <v>176</v>
      </c>
      <c r="B66" s="789" t="s">
        <v>1358</v>
      </c>
      <c r="C66" s="789" t="str">
        <f t="shared" ref="C66:W66" si="525">C9</f>
        <v>0.58 kW/ton (full load); 0.49 kW/ton (IPLV)</v>
      </c>
      <c r="D66" s="789" t="str">
        <f t="shared" si="525"/>
        <v>IECC 2015 - 0.66 kW/ton (full load); 0.54 kW/ton (IPLV)</v>
      </c>
      <c r="E66" s="789" t="str">
        <f t="shared" si="525"/>
        <v>Per Unit</v>
      </c>
      <c r="F66" s="789" t="str">
        <f t="shared" si="525"/>
        <v>Per Ton</v>
      </c>
      <c r="G66" s="704" t="str">
        <f t="shared" si="525"/>
        <v>Incremental Cost</v>
      </c>
      <c r="H66" s="704">
        <f t="shared" si="525"/>
        <v>78</v>
      </c>
      <c r="I66" s="704">
        <f t="shared" si="525"/>
        <v>0</v>
      </c>
      <c r="J66" s="704">
        <f t="shared" si="525"/>
        <v>78</v>
      </c>
      <c r="K66" s="704">
        <f t="shared" si="525"/>
        <v>0</v>
      </c>
      <c r="L66" s="704">
        <f t="shared" si="525"/>
        <v>39</v>
      </c>
      <c r="M66" s="707" t="str">
        <f t="shared" si="525"/>
        <v>Mid-Atlantic TRM V9 Electric Chillers (p.435) - Assuming 200 tons from 'Assumptions' tab, 0.60 kW/ton for efficient equipment to match TRM table, and Water-Cooled Scroll/Screw Chiller Incremental Costs ($/Ton) for Maryland to match baseline kW/ton</v>
      </c>
      <c r="N66" s="704">
        <f t="shared" si="525"/>
        <v>3</v>
      </c>
      <c r="O66" s="704">
        <f t="shared" si="525"/>
        <v>3</v>
      </c>
      <c r="P66" s="704">
        <f t="shared" si="525"/>
        <v>0</v>
      </c>
      <c r="Q66" s="704">
        <f t="shared" si="525"/>
        <v>0</v>
      </c>
      <c r="R66" s="1021">
        <f t="shared" si="525"/>
        <v>54.568940493468844</v>
      </c>
      <c r="S66" s="872">
        <f t="shared" si="525"/>
        <v>6.4640000000000059E-2</v>
      </c>
      <c r="T66" s="1022">
        <f t="shared" si="525"/>
        <v>0</v>
      </c>
      <c r="U66" s="711" t="str">
        <f t="shared" si="525"/>
        <v>Per unit savings estimate from Mid-Atlantic TRM v9 "Electric Chillers"</v>
      </c>
      <c r="V66" s="716">
        <f t="shared" si="525"/>
        <v>0</v>
      </c>
      <c r="W66" s="711">
        <f t="shared" si="525"/>
        <v>200</v>
      </c>
      <c r="X66" s="781">
        <f t="shared" ref="X66:AJ66" si="526">X9/2</f>
        <v>150</v>
      </c>
      <c r="Y66" s="781">
        <f t="shared" si="526"/>
        <v>0</v>
      </c>
      <c r="Z66" s="781">
        <f t="shared" si="526"/>
        <v>0</v>
      </c>
      <c r="AA66" s="781">
        <f t="shared" si="526"/>
        <v>0</v>
      </c>
      <c r="AB66" s="781">
        <f t="shared" si="526"/>
        <v>0</v>
      </c>
      <c r="AC66" s="781">
        <f t="shared" si="526"/>
        <v>0</v>
      </c>
      <c r="AD66" s="781">
        <f t="shared" si="526"/>
        <v>0.5</v>
      </c>
      <c r="AE66" s="781">
        <f t="shared" si="526"/>
        <v>0</v>
      </c>
      <c r="AF66" s="781">
        <f t="shared" si="526"/>
        <v>0</v>
      </c>
      <c r="AG66" s="781">
        <f t="shared" si="526"/>
        <v>0.5</v>
      </c>
      <c r="AH66" s="781">
        <f t="shared" si="526"/>
        <v>0</v>
      </c>
      <c r="AI66" s="781">
        <f t="shared" si="526"/>
        <v>0</v>
      </c>
      <c r="AJ66" s="781">
        <f t="shared" si="526"/>
        <v>0.5</v>
      </c>
      <c r="AK66" s="711" t="str">
        <f t="shared" ref="AK66:BA66" si="527">AK9</f>
        <v>Electric</v>
      </c>
      <c r="AL66" s="711" t="str">
        <f t="shared" si="527"/>
        <v>Commercial</v>
      </c>
      <c r="AM66" s="711" t="str">
        <f t="shared" si="527"/>
        <v>Health</v>
      </c>
      <c r="AN66" s="711" t="str">
        <f t="shared" si="527"/>
        <v>Cooling Chillers</v>
      </c>
      <c r="AO66" s="711" t="str">
        <f t="shared" si="527"/>
        <v>Existing</v>
      </c>
      <c r="AP66" s="711">
        <f t="shared" si="527"/>
        <v>0</v>
      </c>
      <c r="AQ66" s="711">
        <f t="shared" si="527"/>
        <v>0</v>
      </c>
      <c r="AR66" s="711">
        <f t="shared" si="527"/>
        <v>0</v>
      </c>
      <c r="AS66" s="711" t="str">
        <f t="shared" si="527"/>
        <v>OFFLGCool</v>
      </c>
      <c r="AT66" s="715" t="s">
        <v>745</v>
      </c>
      <c r="AU66" s="1065" t="s">
        <v>771</v>
      </c>
      <c r="AV66" s="711">
        <f t="shared" si="527"/>
        <v>20</v>
      </c>
      <c r="AW66" s="711">
        <f t="shared" si="527"/>
        <v>20</v>
      </c>
      <c r="AX66" s="711" t="s">
        <v>2711</v>
      </c>
      <c r="AY66" s="711">
        <f t="shared" si="527"/>
        <v>1</v>
      </c>
      <c r="AZ66" s="711">
        <f t="shared" si="527"/>
        <v>1</v>
      </c>
      <c r="BA66" s="1066">
        <f t="shared" si="527"/>
        <v>0</v>
      </c>
      <c r="BB66" s="721">
        <f t="shared" si="493"/>
        <v>78</v>
      </c>
      <c r="BC66" s="499">
        <f t="shared" si="494"/>
        <v>78</v>
      </c>
      <c r="BD66" s="499">
        <f t="shared" si="495"/>
        <v>78</v>
      </c>
      <c r="BE66" s="499">
        <f t="shared" si="496"/>
        <v>78</v>
      </c>
      <c r="BF66" s="499">
        <f t="shared" si="497"/>
        <v>78</v>
      </c>
      <c r="BG66" s="499">
        <f t="shared" si="498"/>
        <v>78</v>
      </c>
      <c r="BH66" s="499">
        <f t="shared" si="499"/>
        <v>78</v>
      </c>
      <c r="BI66" s="721">
        <f t="shared" si="474"/>
        <v>0</v>
      </c>
      <c r="BJ66" s="499">
        <f t="shared" ref="BJ66:BM66" si="528">BI66</f>
        <v>0</v>
      </c>
      <c r="BK66" s="499">
        <f t="shared" si="528"/>
        <v>0</v>
      </c>
      <c r="BL66" s="499">
        <f t="shared" si="528"/>
        <v>0</v>
      </c>
      <c r="BM66" s="499">
        <f t="shared" si="528"/>
        <v>0</v>
      </c>
      <c r="BN66" s="499">
        <f t="shared" si="501"/>
        <v>0</v>
      </c>
      <c r="BO66" s="499">
        <f t="shared" si="502"/>
        <v>0</v>
      </c>
      <c r="BP66" s="721">
        <f t="shared" si="476"/>
        <v>3</v>
      </c>
      <c r="BQ66" s="499">
        <f t="shared" si="477"/>
        <v>3</v>
      </c>
      <c r="BR66" s="499">
        <f t="shared" si="503"/>
        <v>3</v>
      </c>
      <c r="BS66" s="499">
        <f t="shared" si="504"/>
        <v>3</v>
      </c>
      <c r="BT66" s="499">
        <f t="shared" si="505"/>
        <v>3</v>
      </c>
      <c r="BU66" s="499">
        <f t="shared" si="506"/>
        <v>3</v>
      </c>
      <c r="BV66" s="499">
        <f t="shared" si="507"/>
        <v>3</v>
      </c>
      <c r="BW66" s="774">
        <f t="shared" si="508"/>
        <v>0</v>
      </c>
      <c r="BX66" s="503">
        <f t="shared" si="483"/>
        <v>0</v>
      </c>
      <c r="BY66" s="503">
        <f t="shared" si="483"/>
        <v>0</v>
      </c>
      <c r="BZ66" s="503">
        <f t="shared" si="483"/>
        <v>0</v>
      </c>
      <c r="CA66" s="503">
        <f t="shared" si="483"/>
        <v>0</v>
      </c>
      <c r="CB66" s="503">
        <f t="shared" si="483"/>
        <v>0</v>
      </c>
      <c r="CC66" s="503">
        <f t="shared" si="483"/>
        <v>0</v>
      </c>
      <c r="CD66" s="722">
        <f t="shared" si="484"/>
        <v>54.568940493468844</v>
      </c>
      <c r="CE66" s="511">
        <f t="shared" ref="CE66:CH66" si="529">CD66</f>
        <v>54.568940493468844</v>
      </c>
      <c r="CF66" s="511">
        <f t="shared" si="529"/>
        <v>54.568940493468844</v>
      </c>
      <c r="CG66" s="511">
        <f t="shared" si="529"/>
        <v>54.568940493468844</v>
      </c>
      <c r="CH66" s="511">
        <f t="shared" si="529"/>
        <v>54.568940493468844</v>
      </c>
      <c r="CI66" s="511">
        <f t="shared" si="510"/>
        <v>54.568940493468844</v>
      </c>
      <c r="CJ66" s="511">
        <f t="shared" si="511"/>
        <v>54.568940493468844</v>
      </c>
      <c r="CK66" s="722">
        <f t="shared" si="486"/>
        <v>6.4640000000000059E-2</v>
      </c>
      <c r="CL66" s="511">
        <f t="shared" ref="CL66:CO66" si="530">CK66</f>
        <v>6.4640000000000059E-2</v>
      </c>
      <c r="CM66" s="511">
        <f t="shared" si="530"/>
        <v>6.4640000000000059E-2</v>
      </c>
      <c r="CN66" s="511">
        <f t="shared" si="530"/>
        <v>6.4640000000000059E-2</v>
      </c>
      <c r="CO66" s="511">
        <f t="shared" si="530"/>
        <v>6.4640000000000059E-2</v>
      </c>
      <c r="CP66" s="511">
        <f t="shared" si="513"/>
        <v>6.4640000000000059E-2</v>
      </c>
      <c r="CQ66" s="511">
        <f t="shared" si="514"/>
        <v>6.4640000000000059E-2</v>
      </c>
      <c r="CR66" s="722">
        <f t="shared" si="488"/>
        <v>0</v>
      </c>
      <c r="CS66" s="511">
        <f t="shared" ref="CS66:CV66" si="531">CR66</f>
        <v>0</v>
      </c>
      <c r="CT66" s="511">
        <f t="shared" si="531"/>
        <v>0</v>
      </c>
      <c r="CU66" s="511">
        <f t="shared" si="531"/>
        <v>0</v>
      </c>
      <c r="CV66" s="511">
        <f t="shared" si="531"/>
        <v>0</v>
      </c>
      <c r="CW66" s="511">
        <f t="shared" si="516"/>
        <v>0</v>
      </c>
      <c r="CX66" s="539">
        <f t="shared" si="517"/>
        <v>0</v>
      </c>
      <c r="CY66" s="724">
        <f t="shared" si="267"/>
        <v>7800</v>
      </c>
      <c r="CZ66" s="508">
        <f t="shared" si="268"/>
        <v>0</v>
      </c>
      <c r="DA66" s="508">
        <f t="shared" si="269"/>
        <v>0</v>
      </c>
      <c r="DB66" s="508">
        <f t="shared" si="270"/>
        <v>7800</v>
      </c>
      <c r="DC66" s="508">
        <f t="shared" si="271"/>
        <v>0</v>
      </c>
      <c r="DD66" s="508">
        <f t="shared" si="272"/>
        <v>0</v>
      </c>
      <c r="DE66" s="726">
        <f t="shared" si="273"/>
        <v>7800</v>
      </c>
      <c r="DF66" s="724">
        <f t="shared" si="274"/>
        <v>0</v>
      </c>
      <c r="DG66" s="509">
        <f t="shared" si="275"/>
        <v>0</v>
      </c>
      <c r="DH66" s="509">
        <f t="shared" si="276"/>
        <v>0</v>
      </c>
      <c r="DI66" s="509">
        <f t="shared" si="277"/>
        <v>0</v>
      </c>
      <c r="DJ66" s="509">
        <f t="shared" si="278"/>
        <v>0</v>
      </c>
      <c r="DK66" s="509">
        <f t="shared" si="279"/>
        <v>0</v>
      </c>
      <c r="DL66" s="451">
        <f t="shared" si="280"/>
        <v>0</v>
      </c>
      <c r="DM66" s="509">
        <f t="shared" si="281"/>
        <v>300</v>
      </c>
      <c r="DN66" s="509">
        <f t="shared" si="282"/>
        <v>0</v>
      </c>
      <c r="DO66" s="509">
        <f t="shared" si="283"/>
        <v>0</v>
      </c>
      <c r="DP66" s="509">
        <f t="shared" si="284"/>
        <v>300</v>
      </c>
      <c r="DQ66" s="509">
        <f t="shared" si="285"/>
        <v>0</v>
      </c>
      <c r="DR66" s="509">
        <f t="shared" si="286"/>
        <v>0</v>
      </c>
      <c r="DS66" s="450">
        <f t="shared" si="287"/>
        <v>300</v>
      </c>
      <c r="DT66" s="724">
        <f t="shared" si="288"/>
        <v>0</v>
      </c>
      <c r="DU66" s="508">
        <f t="shared" si="289"/>
        <v>0</v>
      </c>
      <c r="DV66" s="508">
        <f t="shared" si="290"/>
        <v>0</v>
      </c>
      <c r="DW66" s="508">
        <f t="shared" si="291"/>
        <v>0</v>
      </c>
      <c r="DX66" s="508">
        <f t="shared" si="292"/>
        <v>0</v>
      </c>
      <c r="DY66" s="508">
        <f t="shared" si="293"/>
        <v>0</v>
      </c>
      <c r="DZ66" s="726">
        <f t="shared" si="294"/>
        <v>0</v>
      </c>
      <c r="EA66" s="722">
        <f t="shared" si="295"/>
        <v>5456.8940493468845</v>
      </c>
      <c r="EB66" s="511">
        <f t="shared" si="296"/>
        <v>0</v>
      </c>
      <c r="EC66" s="511">
        <f t="shared" si="297"/>
        <v>0</v>
      </c>
      <c r="ED66" s="511">
        <f t="shared" si="298"/>
        <v>5456.8940493468845</v>
      </c>
      <c r="EE66" s="511">
        <f t="shared" si="299"/>
        <v>0</v>
      </c>
      <c r="EF66" s="511">
        <f t="shared" si="300"/>
        <v>0</v>
      </c>
      <c r="EG66" s="723">
        <f t="shared" si="301"/>
        <v>5456.8940493468845</v>
      </c>
      <c r="EH66" s="397">
        <f t="shared" si="302"/>
        <v>6.4640000000000057</v>
      </c>
      <c r="EI66" s="397">
        <f t="shared" si="303"/>
        <v>0</v>
      </c>
      <c r="EJ66" s="397">
        <f t="shared" si="304"/>
        <v>0</v>
      </c>
      <c r="EK66" s="397">
        <f t="shared" si="305"/>
        <v>6.4640000000000057</v>
      </c>
      <c r="EL66" s="397">
        <f t="shared" si="306"/>
        <v>0</v>
      </c>
      <c r="EM66" s="397">
        <f t="shared" si="307"/>
        <v>0</v>
      </c>
      <c r="EN66" s="398">
        <f t="shared" si="308"/>
        <v>6.4640000000000057</v>
      </c>
      <c r="EO66" s="722">
        <f t="shared" si="309"/>
        <v>0</v>
      </c>
      <c r="EP66" s="511">
        <f t="shared" si="310"/>
        <v>0</v>
      </c>
      <c r="EQ66" s="511">
        <f t="shared" si="311"/>
        <v>0</v>
      </c>
      <c r="ER66" s="511">
        <f t="shared" si="312"/>
        <v>0</v>
      </c>
      <c r="ES66" s="511">
        <f t="shared" si="313"/>
        <v>0</v>
      </c>
      <c r="ET66" s="511">
        <f t="shared" si="314"/>
        <v>0</v>
      </c>
      <c r="EU66" s="723">
        <f t="shared" si="315"/>
        <v>0</v>
      </c>
      <c r="EV66" s="727">
        <f t="shared" si="316"/>
        <v>0.5</v>
      </c>
      <c r="EW66" s="728">
        <f t="shared" si="317"/>
        <v>23400</v>
      </c>
      <c r="EX66" s="728">
        <f t="shared" si="318"/>
        <v>0</v>
      </c>
      <c r="EY66" s="728">
        <f t="shared" si="319"/>
        <v>900</v>
      </c>
      <c r="EZ66" s="728">
        <f t="shared" si="320"/>
        <v>0</v>
      </c>
      <c r="FA66" s="777">
        <f t="shared" si="321"/>
        <v>16370.682148040654</v>
      </c>
      <c r="FB66" s="777">
        <f t="shared" si="322"/>
        <v>19.392000000000017</v>
      </c>
      <c r="FC66" s="778">
        <f t="shared" si="323"/>
        <v>0</v>
      </c>
      <c r="FE66" s="10"/>
      <c r="FF66" s="10"/>
    </row>
    <row r="67" spans="1:162">
      <c r="A67" s="662" t="s">
        <v>177</v>
      </c>
      <c r="B67" s="789" t="s">
        <v>1359</v>
      </c>
      <c r="C67" s="789" t="str">
        <f t="shared" ref="C67:W67" si="532">C10</f>
        <v>0.53 kW/ton (full load); 0.46 kW/ton (IPLV)</v>
      </c>
      <c r="D67" s="789" t="str">
        <f t="shared" si="532"/>
        <v>IECC 2015 - 0.56 kW/ton (full load); 0.52 kW/ton (IPLV)</v>
      </c>
      <c r="E67" s="789" t="str">
        <f t="shared" si="532"/>
        <v>Per Unit</v>
      </c>
      <c r="F67" s="789" t="str">
        <f t="shared" si="532"/>
        <v>Per Ton</v>
      </c>
      <c r="G67" s="704" t="str">
        <f t="shared" si="532"/>
        <v>Incremental Cost</v>
      </c>
      <c r="H67" s="704">
        <f t="shared" si="532"/>
        <v>14.33</v>
      </c>
      <c r="I67" s="704">
        <f t="shared" si="532"/>
        <v>0</v>
      </c>
      <c r="J67" s="704">
        <f t="shared" si="532"/>
        <v>14.33</v>
      </c>
      <c r="K67" s="704">
        <f t="shared" si="532"/>
        <v>0</v>
      </c>
      <c r="L67" s="704">
        <f t="shared" si="532"/>
        <v>7.165</v>
      </c>
      <c r="M67" s="707" t="str">
        <f t="shared" si="532"/>
        <v>Mid-Atlantic TRM V9 Electric Chillers (p.435) - Assuming 400 tons from 'Assumptions' tab - See BizRebates_Cost_Savings tab for calculations (assumed Water-Cooled Centrifugal Chiller Incremental Costs ($/Ton) for Maryland for 300 and 600 tons as baseline kW/ton was more accurate)</v>
      </c>
      <c r="N67" s="704">
        <f t="shared" si="532"/>
        <v>3</v>
      </c>
      <c r="O67" s="704">
        <f t="shared" si="532"/>
        <v>3</v>
      </c>
      <c r="P67" s="704">
        <f t="shared" si="532"/>
        <v>0</v>
      </c>
      <c r="Q67" s="704">
        <f t="shared" si="532"/>
        <v>0</v>
      </c>
      <c r="R67" s="1021">
        <f t="shared" si="532"/>
        <v>128.30384226491407</v>
      </c>
      <c r="S67" s="872">
        <f t="shared" si="532"/>
        <v>5.3837209302325578E-2</v>
      </c>
      <c r="T67" s="1022">
        <f t="shared" si="532"/>
        <v>0</v>
      </c>
      <c r="U67" s="711" t="str">
        <f t="shared" si="532"/>
        <v>LG&amp;E/KU Commercial Rebates Report - Appendix A</v>
      </c>
      <c r="V67" s="716">
        <f t="shared" si="532"/>
        <v>0</v>
      </c>
      <c r="W67" s="711">
        <f t="shared" si="532"/>
        <v>400</v>
      </c>
      <c r="X67" s="781">
        <f t="shared" ref="X67:AJ67" si="533">X10/2</f>
        <v>1214</v>
      </c>
      <c r="Y67" s="781">
        <f t="shared" si="533"/>
        <v>0</v>
      </c>
      <c r="Z67" s="781">
        <f t="shared" si="533"/>
        <v>0</v>
      </c>
      <c r="AA67" s="781">
        <f t="shared" si="533"/>
        <v>0</v>
      </c>
      <c r="AB67" s="781">
        <f t="shared" si="533"/>
        <v>0</v>
      </c>
      <c r="AC67" s="781">
        <f t="shared" si="533"/>
        <v>0</v>
      </c>
      <c r="AD67" s="781">
        <f t="shared" si="533"/>
        <v>0</v>
      </c>
      <c r="AE67" s="781">
        <f t="shared" si="533"/>
        <v>0.5</v>
      </c>
      <c r="AF67" s="781">
        <f t="shared" si="533"/>
        <v>0</v>
      </c>
      <c r="AG67" s="781">
        <f t="shared" si="533"/>
        <v>0</v>
      </c>
      <c r="AH67" s="781">
        <f t="shared" si="533"/>
        <v>0.5</v>
      </c>
      <c r="AI67" s="781">
        <f t="shared" si="533"/>
        <v>0</v>
      </c>
      <c r="AJ67" s="781">
        <f t="shared" si="533"/>
        <v>0</v>
      </c>
      <c r="AK67" s="711" t="str">
        <f t="shared" ref="AK67:BA67" si="534">AK10</f>
        <v>Electric</v>
      </c>
      <c r="AL67" s="711" t="str">
        <f t="shared" si="534"/>
        <v>Commercial</v>
      </c>
      <c r="AM67" s="711" t="str">
        <f t="shared" si="534"/>
        <v>Large Office</v>
      </c>
      <c r="AN67" s="711" t="str">
        <f t="shared" si="534"/>
        <v>Cooling Chillers</v>
      </c>
      <c r="AO67" s="711" t="str">
        <f t="shared" si="534"/>
        <v>Existing</v>
      </c>
      <c r="AP67" s="711">
        <f t="shared" si="534"/>
        <v>0</v>
      </c>
      <c r="AQ67" s="711">
        <f t="shared" si="534"/>
        <v>0</v>
      </c>
      <c r="AR67" s="711">
        <f t="shared" si="534"/>
        <v>0</v>
      </c>
      <c r="AS67" s="711" t="str">
        <f t="shared" si="534"/>
        <v>OFFLGCool</v>
      </c>
      <c r="AT67" s="715" t="s">
        <v>745</v>
      </c>
      <c r="AU67" s="1065" t="s">
        <v>771</v>
      </c>
      <c r="AV67" s="711">
        <f t="shared" si="534"/>
        <v>20</v>
      </c>
      <c r="AW67" s="711">
        <f t="shared" si="534"/>
        <v>20</v>
      </c>
      <c r="AX67" s="711" t="s">
        <v>2711</v>
      </c>
      <c r="AY67" s="711">
        <f t="shared" si="534"/>
        <v>1</v>
      </c>
      <c r="AZ67" s="711">
        <f t="shared" si="534"/>
        <v>1</v>
      </c>
      <c r="BA67" s="1066">
        <f t="shared" si="534"/>
        <v>0</v>
      </c>
      <c r="BB67" s="721">
        <f t="shared" si="493"/>
        <v>14.33</v>
      </c>
      <c r="BC67" s="499">
        <f t="shared" si="494"/>
        <v>14.33</v>
      </c>
      <c r="BD67" s="499">
        <f t="shared" si="495"/>
        <v>14.33</v>
      </c>
      <c r="BE67" s="499">
        <f t="shared" si="496"/>
        <v>14.33</v>
      </c>
      <c r="BF67" s="499">
        <f t="shared" si="497"/>
        <v>14.33</v>
      </c>
      <c r="BG67" s="499">
        <f t="shared" si="498"/>
        <v>14.33</v>
      </c>
      <c r="BH67" s="499">
        <f t="shared" si="499"/>
        <v>14.33</v>
      </c>
      <c r="BI67" s="721">
        <f t="shared" si="474"/>
        <v>0</v>
      </c>
      <c r="BJ67" s="499">
        <f t="shared" ref="BJ67:BM67" si="535">BI67</f>
        <v>0</v>
      </c>
      <c r="BK67" s="499">
        <f t="shared" si="535"/>
        <v>0</v>
      </c>
      <c r="BL67" s="499">
        <f t="shared" si="535"/>
        <v>0</v>
      </c>
      <c r="BM67" s="499">
        <f t="shared" si="535"/>
        <v>0</v>
      </c>
      <c r="BN67" s="499">
        <f t="shared" si="501"/>
        <v>0</v>
      </c>
      <c r="BO67" s="499">
        <f t="shared" si="502"/>
        <v>0</v>
      </c>
      <c r="BP67" s="721">
        <f t="shared" si="476"/>
        <v>3</v>
      </c>
      <c r="BQ67" s="499">
        <f t="shared" si="477"/>
        <v>3</v>
      </c>
      <c r="BR67" s="499">
        <f t="shared" si="503"/>
        <v>3</v>
      </c>
      <c r="BS67" s="499">
        <f t="shared" si="504"/>
        <v>3</v>
      </c>
      <c r="BT67" s="499">
        <f t="shared" si="505"/>
        <v>3</v>
      </c>
      <c r="BU67" s="499">
        <f t="shared" si="506"/>
        <v>3</v>
      </c>
      <c r="BV67" s="499">
        <f t="shared" si="507"/>
        <v>3</v>
      </c>
      <c r="BW67" s="774">
        <f t="shared" si="508"/>
        <v>0</v>
      </c>
      <c r="BX67" s="503">
        <f t="shared" si="483"/>
        <v>0</v>
      </c>
      <c r="BY67" s="503">
        <f t="shared" si="483"/>
        <v>0</v>
      </c>
      <c r="BZ67" s="503">
        <f t="shared" si="483"/>
        <v>0</v>
      </c>
      <c r="CA67" s="503">
        <f t="shared" si="483"/>
        <v>0</v>
      </c>
      <c r="CB67" s="503">
        <f t="shared" si="483"/>
        <v>0</v>
      </c>
      <c r="CC67" s="503">
        <f t="shared" si="483"/>
        <v>0</v>
      </c>
      <c r="CD67" s="722">
        <f t="shared" si="484"/>
        <v>128.30384226491407</v>
      </c>
      <c r="CE67" s="511">
        <f t="shared" ref="CE67:CH67" si="536">CD67</f>
        <v>128.30384226491407</v>
      </c>
      <c r="CF67" s="511">
        <f t="shared" si="536"/>
        <v>128.30384226491407</v>
      </c>
      <c r="CG67" s="511">
        <f t="shared" si="536"/>
        <v>128.30384226491407</v>
      </c>
      <c r="CH67" s="511">
        <f t="shared" si="536"/>
        <v>128.30384226491407</v>
      </c>
      <c r="CI67" s="511">
        <f t="shared" si="510"/>
        <v>128.30384226491407</v>
      </c>
      <c r="CJ67" s="511">
        <f t="shared" si="511"/>
        <v>128.30384226491407</v>
      </c>
      <c r="CK67" s="722">
        <f t="shared" si="486"/>
        <v>5.3837209302325578E-2</v>
      </c>
      <c r="CL67" s="511">
        <f t="shared" ref="CL67:CO67" si="537">CK67</f>
        <v>5.3837209302325578E-2</v>
      </c>
      <c r="CM67" s="511">
        <f t="shared" si="537"/>
        <v>5.3837209302325578E-2</v>
      </c>
      <c r="CN67" s="511">
        <f t="shared" si="537"/>
        <v>5.3837209302325578E-2</v>
      </c>
      <c r="CO67" s="511">
        <f t="shared" si="537"/>
        <v>5.3837209302325578E-2</v>
      </c>
      <c r="CP67" s="511">
        <f t="shared" si="513"/>
        <v>5.3837209302325578E-2</v>
      </c>
      <c r="CQ67" s="511">
        <f t="shared" si="514"/>
        <v>5.3837209302325578E-2</v>
      </c>
      <c r="CR67" s="722">
        <f t="shared" si="488"/>
        <v>0</v>
      </c>
      <c r="CS67" s="511">
        <f t="shared" ref="CS67:CV67" si="538">CR67</f>
        <v>0</v>
      </c>
      <c r="CT67" s="511">
        <f t="shared" si="538"/>
        <v>0</v>
      </c>
      <c r="CU67" s="511">
        <f t="shared" si="538"/>
        <v>0</v>
      </c>
      <c r="CV67" s="511">
        <f t="shared" si="538"/>
        <v>0</v>
      </c>
      <c r="CW67" s="511">
        <f t="shared" si="516"/>
        <v>0</v>
      </c>
      <c r="CX67" s="539">
        <f t="shared" si="517"/>
        <v>0</v>
      </c>
      <c r="CY67" s="724">
        <f t="shared" si="267"/>
        <v>0</v>
      </c>
      <c r="CZ67" s="508">
        <f t="shared" si="268"/>
        <v>2866</v>
      </c>
      <c r="DA67" s="508">
        <f t="shared" si="269"/>
        <v>0</v>
      </c>
      <c r="DB67" s="508">
        <f t="shared" si="270"/>
        <v>0</v>
      </c>
      <c r="DC67" s="508">
        <f t="shared" si="271"/>
        <v>2866</v>
      </c>
      <c r="DD67" s="508">
        <f t="shared" si="272"/>
        <v>0</v>
      </c>
      <c r="DE67" s="726">
        <f t="shared" si="273"/>
        <v>0</v>
      </c>
      <c r="DF67" s="724">
        <f t="shared" si="274"/>
        <v>0</v>
      </c>
      <c r="DG67" s="509">
        <f t="shared" si="275"/>
        <v>0</v>
      </c>
      <c r="DH67" s="509">
        <f t="shared" si="276"/>
        <v>0</v>
      </c>
      <c r="DI67" s="509">
        <f t="shared" si="277"/>
        <v>0</v>
      </c>
      <c r="DJ67" s="509">
        <f t="shared" si="278"/>
        <v>0</v>
      </c>
      <c r="DK67" s="509">
        <f t="shared" si="279"/>
        <v>0</v>
      </c>
      <c r="DL67" s="451">
        <f t="shared" si="280"/>
        <v>0</v>
      </c>
      <c r="DM67" s="509">
        <f t="shared" si="281"/>
        <v>0</v>
      </c>
      <c r="DN67" s="509">
        <f t="shared" si="282"/>
        <v>600</v>
      </c>
      <c r="DO67" s="509">
        <f t="shared" si="283"/>
        <v>0</v>
      </c>
      <c r="DP67" s="509">
        <f t="shared" si="284"/>
        <v>0</v>
      </c>
      <c r="DQ67" s="509">
        <f t="shared" si="285"/>
        <v>600</v>
      </c>
      <c r="DR67" s="509">
        <f t="shared" si="286"/>
        <v>0</v>
      </c>
      <c r="DS67" s="450">
        <f t="shared" si="287"/>
        <v>0</v>
      </c>
      <c r="DT67" s="724">
        <f t="shared" si="288"/>
        <v>0</v>
      </c>
      <c r="DU67" s="508">
        <f t="shared" si="289"/>
        <v>0</v>
      </c>
      <c r="DV67" s="508">
        <f t="shared" si="290"/>
        <v>0</v>
      </c>
      <c r="DW67" s="508">
        <f t="shared" si="291"/>
        <v>0</v>
      </c>
      <c r="DX67" s="508">
        <f t="shared" si="292"/>
        <v>0</v>
      </c>
      <c r="DY67" s="508">
        <f t="shared" si="293"/>
        <v>0</v>
      </c>
      <c r="DZ67" s="726">
        <f t="shared" si="294"/>
        <v>0</v>
      </c>
      <c r="EA67" s="722">
        <f t="shared" si="295"/>
        <v>0</v>
      </c>
      <c r="EB67" s="511">
        <f t="shared" si="296"/>
        <v>25660.768452982815</v>
      </c>
      <c r="EC67" s="511">
        <f t="shared" si="297"/>
        <v>0</v>
      </c>
      <c r="ED67" s="511">
        <f t="shared" si="298"/>
        <v>0</v>
      </c>
      <c r="EE67" s="511">
        <f t="shared" si="299"/>
        <v>25660.768452982815</v>
      </c>
      <c r="EF67" s="511">
        <f t="shared" si="300"/>
        <v>0</v>
      </c>
      <c r="EG67" s="723">
        <f t="shared" si="301"/>
        <v>0</v>
      </c>
      <c r="EH67" s="397">
        <f t="shared" si="302"/>
        <v>0</v>
      </c>
      <c r="EI67" s="397">
        <f t="shared" si="303"/>
        <v>10.767441860465116</v>
      </c>
      <c r="EJ67" s="397">
        <f t="shared" si="304"/>
        <v>0</v>
      </c>
      <c r="EK67" s="397">
        <f t="shared" si="305"/>
        <v>0</v>
      </c>
      <c r="EL67" s="397">
        <f t="shared" si="306"/>
        <v>10.767441860465116</v>
      </c>
      <c r="EM67" s="397">
        <f t="shared" si="307"/>
        <v>0</v>
      </c>
      <c r="EN67" s="398">
        <f t="shared" si="308"/>
        <v>0</v>
      </c>
      <c r="EO67" s="722">
        <f t="shared" si="309"/>
        <v>0</v>
      </c>
      <c r="EP67" s="511">
        <f t="shared" si="310"/>
        <v>0</v>
      </c>
      <c r="EQ67" s="511">
        <f t="shared" si="311"/>
        <v>0</v>
      </c>
      <c r="ER67" s="511">
        <f t="shared" si="312"/>
        <v>0</v>
      </c>
      <c r="ES67" s="511">
        <f t="shared" si="313"/>
        <v>0</v>
      </c>
      <c r="ET67" s="511">
        <f t="shared" si="314"/>
        <v>0</v>
      </c>
      <c r="EU67" s="723">
        <f t="shared" si="315"/>
        <v>0</v>
      </c>
      <c r="EV67" s="727">
        <f t="shared" si="316"/>
        <v>0.5</v>
      </c>
      <c r="EW67" s="728">
        <f t="shared" si="317"/>
        <v>5732</v>
      </c>
      <c r="EX67" s="728">
        <f t="shared" si="318"/>
        <v>0</v>
      </c>
      <c r="EY67" s="728">
        <f t="shared" si="319"/>
        <v>1200</v>
      </c>
      <c r="EZ67" s="728">
        <f t="shared" si="320"/>
        <v>0</v>
      </c>
      <c r="FA67" s="777">
        <f t="shared" si="321"/>
        <v>51321.53690596563</v>
      </c>
      <c r="FB67" s="777">
        <f t="shared" si="322"/>
        <v>21.534883720930232</v>
      </c>
      <c r="FC67" s="778">
        <f t="shared" si="323"/>
        <v>0</v>
      </c>
      <c r="FE67" s="10"/>
      <c r="FF67" s="10"/>
    </row>
    <row r="68" spans="1:162">
      <c r="A68" s="662" t="s">
        <v>178</v>
      </c>
      <c r="B68" s="789" t="s">
        <v>1360</v>
      </c>
      <c r="C68" s="789" t="str">
        <f t="shared" ref="C68:W68" si="539">C11</f>
        <v>Air Cooled Chilled Water Reset</v>
      </c>
      <c r="D68" s="789" t="str">
        <f t="shared" si="539"/>
        <v>No Reset</v>
      </c>
      <c r="E68" s="789" t="str">
        <f t="shared" si="539"/>
        <v>Per Unit</v>
      </c>
      <c r="F68" s="789" t="str">
        <f t="shared" si="539"/>
        <v>Per Unit</v>
      </c>
      <c r="G68" s="704" t="str">
        <f t="shared" si="539"/>
        <v>Incremental Cost</v>
      </c>
      <c r="H68" s="704">
        <f t="shared" si="539"/>
        <v>400</v>
      </c>
      <c r="I68" s="704">
        <f t="shared" si="539"/>
        <v>0</v>
      </c>
      <c r="J68" s="704">
        <f t="shared" si="539"/>
        <v>400</v>
      </c>
      <c r="K68" s="704">
        <f t="shared" si="539"/>
        <v>0</v>
      </c>
      <c r="L68" s="704">
        <f t="shared" si="539"/>
        <v>200</v>
      </c>
      <c r="M68" s="707" t="str">
        <f t="shared" si="539"/>
        <v>Estimated incentive equals 25% of incremental cost. Reference: Assume 2 point for air cooled. CWST Reset Costs CA 2013 Standard Doc: http://www.energy.ca.gov/title24/2013standards/prerulemaking/documents/2011-08-17_workshop/presentations/05%20Condenser%20Water%20Reset%20Control.pdf</v>
      </c>
      <c r="N68" s="704">
        <f t="shared" si="539"/>
        <v>100</v>
      </c>
      <c r="O68" s="704">
        <f t="shared" si="539"/>
        <v>100</v>
      </c>
      <c r="P68" s="704">
        <f t="shared" si="539"/>
        <v>0</v>
      </c>
      <c r="Q68" s="704">
        <f t="shared" si="539"/>
        <v>0</v>
      </c>
      <c r="R68" s="1021">
        <f t="shared" si="539"/>
        <v>2825.8201326315789</v>
      </c>
      <c r="S68" s="872">
        <f t="shared" si="539"/>
        <v>1.79571110984056</v>
      </c>
      <c r="T68" s="1022">
        <f t="shared" si="539"/>
        <v>0</v>
      </c>
      <c r="U68" s="711" t="str">
        <f t="shared" si="539"/>
        <v>LG&amp;E and KU Commercial Rebates Program Impact Evaluation for Chillers - FINAL October 24, 2016 by The Tetra Tech Evaluation Team</v>
      </c>
      <c r="V68" s="716">
        <f t="shared" si="539"/>
        <v>0</v>
      </c>
      <c r="W68" s="711">
        <f t="shared" si="539"/>
        <v>1</v>
      </c>
      <c r="X68" s="781">
        <f t="shared" ref="X68:AJ68" si="540">X11/2</f>
        <v>0</v>
      </c>
      <c r="Y68" s="781">
        <f t="shared" si="540"/>
        <v>0</v>
      </c>
      <c r="Z68" s="781">
        <f t="shared" si="540"/>
        <v>0</v>
      </c>
      <c r="AA68" s="781">
        <f t="shared" si="540"/>
        <v>0</v>
      </c>
      <c r="AB68" s="781">
        <f t="shared" si="540"/>
        <v>0</v>
      </c>
      <c r="AC68" s="781">
        <f t="shared" si="540"/>
        <v>0</v>
      </c>
      <c r="AD68" s="781">
        <f t="shared" si="540"/>
        <v>0</v>
      </c>
      <c r="AE68" s="781">
        <f t="shared" si="540"/>
        <v>0.5</v>
      </c>
      <c r="AF68" s="781">
        <f t="shared" si="540"/>
        <v>0</v>
      </c>
      <c r="AG68" s="781">
        <f t="shared" si="540"/>
        <v>0</v>
      </c>
      <c r="AH68" s="781">
        <f t="shared" si="540"/>
        <v>0.5</v>
      </c>
      <c r="AI68" s="781">
        <f t="shared" si="540"/>
        <v>0</v>
      </c>
      <c r="AJ68" s="781">
        <f t="shared" si="540"/>
        <v>0</v>
      </c>
      <c r="AK68" s="711" t="str">
        <f t="shared" ref="AK68:BA68" si="541">AK11</f>
        <v>Electric</v>
      </c>
      <c r="AL68" s="711" t="str">
        <f t="shared" si="541"/>
        <v>Commercial</v>
      </c>
      <c r="AM68" s="711" t="str">
        <f t="shared" si="541"/>
        <v>Miscellaneous</v>
      </c>
      <c r="AN68" s="711" t="str">
        <f t="shared" si="541"/>
        <v>Cooling Chillers</v>
      </c>
      <c r="AO68" s="711" t="str">
        <f t="shared" si="541"/>
        <v>Existing</v>
      </c>
      <c r="AP68" s="711">
        <f t="shared" si="541"/>
        <v>0</v>
      </c>
      <c r="AQ68" s="711">
        <f t="shared" si="541"/>
        <v>0</v>
      </c>
      <c r="AR68" s="711">
        <f t="shared" si="541"/>
        <v>0</v>
      </c>
      <c r="AS68" s="711" t="str">
        <f t="shared" si="541"/>
        <v>OFFSMCool</v>
      </c>
      <c r="AT68" s="715" t="s">
        <v>745</v>
      </c>
      <c r="AU68" s="1065" t="s">
        <v>771</v>
      </c>
      <c r="AV68" s="711">
        <f t="shared" si="541"/>
        <v>10</v>
      </c>
      <c r="AW68" s="711">
        <f t="shared" si="541"/>
        <v>10</v>
      </c>
      <c r="AX68" s="711" t="s">
        <v>2712</v>
      </c>
      <c r="AY68" s="711">
        <f t="shared" si="541"/>
        <v>1</v>
      </c>
      <c r="AZ68" s="711">
        <f t="shared" si="541"/>
        <v>1</v>
      </c>
      <c r="BA68" s="1066">
        <f t="shared" si="541"/>
        <v>0</v>
      </c>
      <c r="BB68" s="721">
        <f t="shared" si="493"/>
        <v>400</v>
      </c>
      <c r="BC68" s="499">
        <f t="shared" si="494"/>
        <v>400</v>
      </c>
      <c r="BD68" s="499">
        <f t="shared" si="495"/>
        <v>400</v>
      </c>
      <c r="BE68" s="499">
        <f t="shared" si="496"/>
        <v>400</v>
      </c>
      <c r="BF68" s="499">
        <f t="shared" si="497"/>
        <v>400</v>
      </c>
      <c r="BG68" s="499">
        <f t="shared" si="498"/>
        <v>400</v>
      </c>
      <c r="BH68" s="499">
        <f t="shared" si="499"/>
        <v>400</v>
      </c>
      <c r="BI68" s="721">
        <f t="shared" si="474"/>
        <v>0</v>
      </c>
      <c r="BJ68" s="499">
        <f t="shared" ref="BJ68:BM68" si="542">BI68</f>
        <v>0</v>
      </c>
      <c r="BK68" s="499">
        <f t="shared" si="542"/>
        <v>0</v>
      </c>
      <c r="BL68" s="499">
        <f t="shared" si="542"/>
        <v>0</v>
      </c>
      <c r="BM68" s="499">
        <f t="shared" si="542"/>
        <v>0</v>
      </c>
      <c r="BN68" s="499">
        <f t="shared" si="501"/>
        <v>0</v>
      </c>
      <c r="BO68" s="499">
        <f t="shared" si="502"/>
        <v>0</v>
      </c>
      <c r="BP68" s="721">
        <f t="shared" si="476"/>
        <v>100</v>
      </c>
      <c r="BQ68" s="499">
        <f t="shared" si="477"/>
        <v>100</v>
      </c>
      <c r="BR68" s="499">
        <f t="shared" si="503"/>
        <v>100</v>
      </c>
      <c r="BS68" s="499">
        <f t="shared" si="504"/>
        <v>100</v>
      </c>
      <c r="BT68" s="499">
        <f t="shared" si="505"/>
        <v>100</v>
      </c>
      <c r="BU68" s="499">
        <f t="shared" si="506"/>
        <v>100</v>
      </c>
      <c r="BV68" s="499">
        <f t="shared" si="507"/>
        <v>100</v>
      </c>
      <c r="BW68" s="774">
        <f t="shared" si="508"/>
        <v>0</v>
      </c>
      <c r="BX68" s="503">
        <f t="shared" si="483"/>
        <v>0</v>
      </c>
      <c r="BY68" s="503">
        <f t="shared" si="483"/>
        <v>0</v>
      </c>
      <c r="BZ68" s="503">
        <f t="shared" si="483"/>
        <v>0</v>
      </c>
      <c r="CA68" s="503">
        <f t="shared" si="483"/>
        <v>0</v>
      </c>
      <c r="CB68" s="503">
        <f t="shared" si="483"/>
        <v>0</v>
      </c>
      <c r="CC68" s="503">
        <f t="shared" si="483"/>
        <v>0</v>
      </c>
      <c r="CD68" s="722">
        <f t="shared" si="484"/>
        <v>2825.8201326315789</v>
      </c>
      <c r="CE68" s="511">
        <f t="shared" ref="CE68:CH68" si="543">CD68</f>
        <v>2825.8201326315789</v>
      </c>
      <c r="CF68" s="511">
        <f t="shared" si="543"/>
        <v>2825.8201326315789</v>
      </c>
      <c r="CG68" s="511">
        <f t="shared" si="543"/>
        <v>2825.8201326315789</v>
      </c>
      <c r="CH68" s="511">
        <f t="shared" si="543"/>
        <v>2825.8201326315789</v>
      </c>
      <c r="CI68" s="511">
        <f t="shared" si="510"/>
        <v>2825.8201326315789</v>
      </c>
      <c r="CJ68" s="511">
        <f t="shared" si="511"/>
        <v>2825.8201326315789</v>
      </c>
      <c r="CK68" s="722">
        <f t="shared" si="486"/>
        <v>1.79571110984056</v>
      </c>
      <c r="CL68" s="511">
        <f t="shared" ref="CL68:CO68" si="544">CK68</f>
        <v>1.79571110984056</v>
      </c>
      <c r="CM68" s="511">
        <f t="shared" si="544"/>
        <v>1.79571110984056</v>
      </c>
      <c r="CN68" s="511">
        <f t="shared" si="544"/>
        <v>1.79571110984056</v>
      </c>
      <c r="CO68" s="511">
        <f t="shared" si="544"/>
        <v>1.79571110984056</v>
      </c>
      <c r="CP68" s="511">
        <f t="shared" si="513"/>
        <v>1.79571110984056</v>
      </c>
      <c r="CQ68" s="511">
        <f t="shared" si="514"/>
        <v>1.79571110984056</v>
      </c>
      <c r="CR68" s="722">
        <f t="shared" si="488"/>
        <v>0</v>
      </c>
      <c r="CS68" s="511">
        <f t="shared" ref="CS68:CV68" si="545">CR68</f>
        <v>0</v>
      </c>
      <c r="CT68" s="511">
        <f t="shared" si="545"/>
        <v>0</v>
      </c>
      <c r="CU68" s="511">
        <f t="shared" si="545"/>
        <v>0</v>
      </c>
      <c r="CV68" s="511">
        <f t="shared" si="545"/>
        <v>0</v>
      </c>
      <c r="CW68" s="511">
        <f t="shared" si="516"/>
        <v>0</v>
      </c>
      <c r="CX68" s="539">
        <f t="shared" si="517"/>
        <v>0</v>
      </c>
      <c r="CY68" s="724">
        <f t="shared" si="267"/>
        <v>0</v>
      </c>
      <c r="CZ68" s="508">
        <f t="shared" si="268"/>
        <v>200</v>
      </c>
      <c r="DA68" s="508">
        <f t="shared" si="269"/>
        <v>0</v>
      </c>
      <c r="DB68" s="508">
        <f t="shared" si="270"/>
        <v>0</v>
      </c>
      <c r="DC68" s="508">
        <f t="shared" si="271"/>
        <v>200</v>
      </c>
      <c r="DD68" s="508">
        <f t="shared" si="272"/>
        <v>0</v>
      </c>
      <c r="DE68" s="726">
        <f t="shared" si="273"/>
        <v>0</v>
      </c>
      <c r="DF68" s="724">
        <f t="shared" si="274"/>
        <v>0</v>
      </c>
      <c r="DG68" s="509">
        <f t="shared" si="275"/>
        <v>0</v>
      </c>
      <c r="DH68" s="509">
        <f t="shared" si="276"/>
        <v>0</v>
      </c>
      <c r="DI68" s="509">
        <f t="shared" si="277"/>
        <v>0</v>
      </c>
      <c r="DJ68" s="509">
        <f t="shared" si="278"/>
        <v>0</v>
      </c>
      <c r="DK68" s="509">
        <f t="shared" si="279"/>
        <v>0</v>
      </c>
      <c r="DL68" s="451">
        <f t="shared" si="280"/>
        <v>0</v>
      </c>
      <c r="DM68" s="509">
        <f t="shared" si="281"/>
        <v>0</v>
      </c>
      <c r="DN68" s="509">
        <f t="shared" si="282"/>
        <v>50</v>
      </c>
      <c r="DO68" s="509">
        <f t="shared" si="283"/>
        <v>0</v>
      </c>
      <c r="DP68" s="509">
        <f t="shared" si="284"/>
        <v>0</v>
      </c>
      <c r="DQ68" s="509">
        <f t="shared" si="285"/>
        <v>50</v>
      </c>
      <c r="DR68" s="509">
        <f t="shared" si="286"/>
        <v>0</v>
      </c>
      <c r="DS68" s="450">
        <f t="shared" si="287"/>
        <v>0</v>
      </c>
      <c r="DT68" s="724">
        <f t="shared" si="288"/>
        <v>0</v>
      </c>
      <c r="DU68" s="508">
        <f t="shared" si="289"/>
        <v>0</v>
      </c>
      <c r="DV68" s="508">
        <f t="shared" si="290"/>
        <v>0</v>
      </c>
      <c r="DW68" s="508">
        <f t="shared" si="291"/>
        <v>0</v>
      </c>
      <c r="DX68" s="508">
        <f t="shared" si="292"/>
        <v>0</v>
      </c>
      <c r="DY68" s="508">
        <f t="shared" si="293"/>
        <v>0</v>
      </c>
      <c r="DZ68" s="726">
        <f t="shared" si="294"/>
        <v>0</v>
      </c>
      <c r="EA68" s="722">
        <f t="shared" si="295"/>
        <v>0</v>
      </c>
      <c r="EB68" s="511">
        <f t="shared" si="296"/>
        <v>1412.9100663157894</v>
      </c>
      <c r="EC68" s="511">
        <f t="shared" si="297"/>
        <v>0</v>
      </c>
      <c r="ED68" s="511">
        <f t="shared" si="298"/>
        <v>0</v>
      </c>
      <c r="EE68" s="511">
        <f t="shared" si="299"/>
        <v>1412.9100663157894</v>
      </c>
      <c r="EF68" s="511">
        <f t="shared" si="300"/>
        <v>0</v>
      </c>
      <c r="EG68" s="723">
        <f t="shared" si="301"/>
        <v>0</v>
      </c>
      <c r="EH68" s="397">
        <f t="shared" si="302"/>
        <v>0</v>
      </c>
      <c r="EI68" s="397">
        <f t="shared" si="303"/>
        <v>0.89785555492028002</v>
      </c>
      <c r="EJ68" s="397">
        <f t="shared" si="304"/>
        <v>0</v>
      </c>
      <c r="EK68" s="397">
        <f t="shared" si="305"/>
        <v>0</v>
      </c>
      <c r="EL68" s="397">
        <f t="shared" si="306"/>
        <v>0.89785555492028002</v>
      </c>
      <c r="EM68" s="397">
        <f t="shared" si="307"/>
        <v>0</v>
      </c>
      <c r="EN68" s="398">
        <f t="shared" si="308"/>
        <v>0</v>
      </c>
      <c r="EO68" s="722">
        <f t="shared" si="309"/>
        <v>0</v>
      </c>
      <c r="EP68" s="511">
        <f t="shared" si="310"/>
        <v>0</v>
      </c>
      <c r="EQ68" s="511">
        <f t="shared" si="311"/>
        <v>0</v>
      </c>
      <c r="ER68" s="511">
        <f t="shared" si="312"/>
        <v>0</v>
      </c>
      <c r="ES68" s="511">
        <f t="shared" si="313"/>
        <v>0</v>
      </c>
      <c r="ET68" s="511">
        <f t="shared" si="314"/>
        <v>0</v>
      </c>
      <c r="EU68" s="723">
        <f t="shared" si="315"/>
        <v>0</v>
      </c>
      <c r="EV68" s="727">
        <f t="shared" si="316"/>
        <v>0.5</v>
      </c>
      <c r="EW68" s="728">
        <f t="shared" si="317"/>
        <v>400</v>
      </c>
      <c r="EX68" s="728">
        <f t="shared" si="318"/>
        <v>0</v>
      </c>
      <c r="EY68" s="728">
        <f t="shared" si="319"/>
        <v>100</v>
      </c>
      <c r="EZ68" s="728">
        <f t="shared" si="320"/>
        <v>0</v>
      </c>
      <c r="FA68" s="777">
        <f t="shared" si="321"/>
        <v>2825.8201326315789</v>
      </c>
      <c r="FB68" s="777">
        <f t="shared" si="322"/>
        <v>1.79571110984056</v>
      </c>
      <c r="FC68" s="778">
        <f t="shared" si="323"/>
        <v>0</v>
      </c>
      <c r="FE68" s="10"/>
      <c r="FF68" s="10"/>
    </row>
    <row r="69" spans="1:162">
      <c r="A69" s="662" t="s">
        <v>183</v>
      </c>
      <c r="B69" s="789" t="s">
        <v>1361</v>
      </c>
      <c r="C69" s="789" t="str">
        <f t="shared" ref="C69:W69" si="546">C12</f>
        <v>Air Cooled Chilled Water Reset</v>
      </c>
      <c r="D69" s="789" t="str">
        <f t="shared" si="546"/>
        <v>No Reset</v>
      </c>
      <c r="E69" s="789" t="str">
        <f t="shared" si="546"/>
        <v>Per Unit</v>
      </c>
      <c r="F69" s="789" t="str">
        <f t="shared" si="546"/>
        <v>Per Unit</v>
      </c>
      <c r="G69" s="704" t="str">
        <f t="shared" si="546"/>
        <v>Incremental Cost</v>
      </c>
      <c r="H69" s="704">
        <f t="shared" si="546"/>
        <v>800</v>
      </c>
      <c r="I69" s="704">
        <f t="shared" si="546"/>
        <v>0</v>
      </c>
      <c r="J69" s="704">
        <f t="shared" si="546"/>
        <v>800</v>
      </c>
      <c r="K69" s="704">
        <f t="shared" si="546"/>
        <v>0</v>
      </c>
      <c r="L69" s="704">
        <f t="shared" si="546"/>
        <v>400</v>
      </c>
      <c r="M69" s="707" t="str">
        <f t="shared" si="546"/>
        <v>Estimated incentive equals 25% of incremental cost. Reference: Assume 2 point for air cooled. CWST Reset Costs CA 2013 Standard Doc: http://www.energy.ca.gov/title24/2013standards/prerulemaking/documents/2011-08-17_workshop/presentations/05%20Condenser%20Water%20Reset%20Control.pdf</v>
      </c>
      <c r="N69" s="704">
        <f t="shared" si="546"/>
        <v>200</v>
      </c>
      <c r="O69" s="704">
        <f t="shared" si="546"/>
        <v>200</v>
      </c>
      <c r="P69" s="704">
        <f t="shared" si="546"/>
        <v>0</v>
      </c>
      <c r="Q69" s="704">
        <f t="shared" si="546"/>
        <v>0</v>
      </c>
      <c r="R69" s="1021">
        <f t="shared" si="546"/>
        <v>6704.3425865131576</v>
      </c>
      <c r="S69" s="872">
        <f t="shared" si="546"/>
        <v>4.2603781917171606</v>
      </c>
      <c r="T69" s="1022">
        <f t="shared" si="546"/>
        <v>0</v>
      </c>
      <c r="U69" s="711" t="str">
        <f t="shared" si="546"/>
        <v>LG&amp;E and KU Commercial Rebates Program Impact Evaluation for Chillers - FINAL October 24, 2016 by The Tetra Tech Evaluation Team</v>
      </c>
      <c r="V69" s="716">
        <f t="shared" si="546"/>
        <v>0</v>
      </c>
      <c r="W69" s="711">
        <f t="shared" si="546"/>
        <v>1</v>
      </c>
      <c r="X69" s="781">
        <f t="shared" ref="X69:AJ69" si="547">X12/2</f>
        <v>0</v>
      </c>
      <c r="Y69" s="781">
        <f t="shared" si="547"/>
        <v>0</v>
      </c>
      <c r="Z69" s="781">
        <f t="shared" si="547"/>
        <v>0</v>
      </c>
      <c r="AA69" s="781">
        <f t="shared" si="547"/>
        <v>0</v>
      </c>
      <c r="AB69" s="781">
        <f t="shared" si="547"/>
        <v>0</v>
      </c>
      <c r="AC69" s="781">
        <f t="shared" si="547"/>
        <v>0.5</v>
      </c>
      <c r="AD69" s="781">
        <f t="shared" si="547"/>
        <v>0</v>
      </c>
      <c r="AE69" s="781">
        <f t="shared" si="547"/>
        <v>0</v>
      </c>
      <c r="AF69" s="781">
        <f t="shared" si="547"/>
        <v>0.5</v>
      </c>
      <c r="AG69" s="781">
        <f t="shared" si="547"/>
        <v>0</v>
      </c>
      <c r="AH69" s="781">
        <f t="shared" si="547"/>
        <v>0</v>
      </c>
      <c r="AI69" s="781">
        <f t="shared" si="547"/>
        <v>0.5</v>
      </c>
      <c r="AJ69" s="781">
        <f t="shared" si="547"/>
        <v>0</v>
      </c>
      <c r="AK69" s="711" t="str">
        <f t="shared" ref="AK69:BA69" si="548">AK12</f>
        <v>Electric</v>
      </c>
      <c r="AL69" s="711" t="str">
        <f t="shared" si="548"/>
        <v>Commercial</v>
      </c>
      <c r="AM69" s="711" t="str">
        <f t="shared" si="548"/>
        <v>Miscellaneous</v>
      </c>
      <c r="AN69" s="711" t="str">
        <f t="shared" si="548"/>
        <v>Cooling Chillers</v>
      </c>
      <c r="AO69" s="711" t="str">
        <f t="shared" si="548"/>
        <v>Existing</v>
      </c>
      <c r="AP69" s="711">
        <f t="shared" si="548"/>
        <v>0</v>
      </c>
      <c r="AQ69" s="711">
        <f t="shared" si="548"/>
        <v>0</v>
      </c>
      <c r="AR69" s="711">
        <f t="shared" si="548"/>
        <v>0</v>
      </c>
      <c r="AS69" s="711" t="str">
        <f t="shared" si="548"/>
        <v>OFFLGCool</v>
      </c>
      <c r="AT69" s="715" t="s">
        <v>745</v>
      </c>
      <c r="AU69" s="1065" t="s">
        <v>771</v>
      </c>
      <c r="AV69" s="711">
        <f t="shared" si="548"/>
        <v>10</v>
      </c>
      <c r="AW69" s="711">
        <f t="shared" si="548"/>
        <v>10</v>
      </c>
      <c r="AX69" s="711" t="s">
        <v>2712</v>
      </c>
      <c r="AY69" s="711">
        <f t="shared" si="548"/>
        <v>1</v>
      </c>
      <c r="AZ69" s="711">
        <f t="shared" si="548"/>
        <v>1</v>
      </c>
      <c r="BA69" s="1066">
        <f t="shared" si="548"/>
        <v>0</v>
      </c>
      <c r="BB69" s="721">
        <f t="shared" si="493"/>
        <v>800</v>
      </c>
      <c r="BC69" s="499">
        <f t="shared" si="494"/>
        <v>800</v>
      </c>
      <c r="BD69" s="499">
        <f t="shared" si="495"/>
        <v>800</v>
      </c>
      <c r="BE69" s="499">
        <f t="shared" si="496"/>
        <v>800</v>
      </c>
      <c r="BF69" s="499">
        <f t="shared" si="497"/>
        <v>800</v>
      </c>
      <c r="BG69" s="499">
        <f t="shared" si="498"/>
        <v>800</v>
      </c>
      <c r="BH69" s="499">
        <f t="shared" si="499"/>
        <v>800</v>
      </c>
      <c r="BI69" s="721">
        <f t="shared" si="474"/>
        <v>0</v>
      </c>
      <c r="BJ69" s="499">
        <f t="shared" ref="BJ69:BM69" si="549">BI69</f>
        <v>0</v>
      </c>
      <c r="BK69" s="499">
        <f t="shared" si="549"/>
        <v>0</v>
      </c>
      <c r="BL69" s="499">
        <f t="shared" si="549"/>
        <v>0</v>
      </c>
      <c r="BM69" s="499">
        <f t="shared" si="549"/>
        <v>0</v>
      </c>
      <c r="BN69" s="499">
        <f t="shared" si="501"/>
        <v>0</v>
      </c>
      <c r="BO69" s="499">
        <f t="shared" si="502"/>
        <v>0</v>
      </c>
      <c r="BP69" s="721">
        <f t="shared" si="476"/>
        <v>200</v>
      </c>
      <c r="BQ69" s="499">
        <f t="shared" si="477"/>
        <v>200</v>
      </c>
      <c r="BR69" s="499">
        <f t="shared" si="503"/>
        <v>200</v>
      </c>
      <c r="BS69" s="499">
        <f t="shared" si="504"/>
        <v>200</v>
      </c>
      <c r="BT69" s="499">
        <f t="shared" si="505"/>
        <v>200</v>
      </c>
      <c r="BU69" s="499">
        <f t="shared" si="506"/>
        <v>200</v>
      </c>
      <c r="BV69" s="499">
        <f t="shared" si="507"/>
        <v>200</v>
      </c>
      <c r="BW69" s="774">
        <f t="shared" si="508"/>
        <v>0</v>
      </c>
      <c r="BX69" s="503">
        <f t="shared" si="483"/>
        <v>0</v>
      </c>
      <c r="BY69" s="503">
        <f t="shared" si="483"/>
        <v>0</v>
      </c>
      <c r="BZ69" s="503">
        <f t="shared" si="483"/>
        <v>0</v>
      </c>
      <c r="CA69" s="503">
        <f t="shared" si="483"/>
        <v>0</v>
      </c>
      <c r="CB69" s="503">
        <f t="shared" si="483"/>
        <v>0</v>
      </c>
      <c r="CC69" s="503">
        <f t="shared" si="483"/>
        <v>0</v>
      </c>
      <c r="CD69" s="722">
        <f t="shared" si="484"/>
        <v>6704.3425865131576</v>
      </c>
      <c r="CE69" s="511">
        <f t="shared" ref="CE69:CH69" si="550">CD69</f>
        <v>6704.3425865131576</v>
      </c>
      <c r="CF69" s="511">
        <f t="shared" si="550"/>
        <v>6704.3425865131576</v>
      </c>
      <c r="CG69" s="511">
        <f t="shared" si="550"/>
        <v>6704.3425865131576</v>
      </c>
      <c r="CH69" s="511">
        <f t="shared" si="550"/>
        <v>6704.3425865131576</v>
      </c>
      <c r="CI69" s="511">
        <f t="shared" si="510"/>
        <v>6704.3425865131576</v>
      </c>
      <c r="CJ69" s="511">
        <f t="shared" si="511"/>
        <v>6704.3425865131576</v>
      </c>
      <c r="CK69" s="722">
        <f t="shared" si="486"/>
        <v>4.2603781917171606</v>
      </c>
      <c r="CL69" s="511">
        <f t="shared" ref="CL69:CO69" si="551">CK69</f>
        <v>4.2603781917171606</v>
      </c>
      <c r="CM69" s="511">
        <f t="shared" si="551"/>
        <v>4.2603781917171606</v>
      </c>
      <c r="CN69" s="511">
        <f t="shared" si="551"/>
        <v>4.2603781917171606</v>
      </c>
      <c r="CO69" s="511">
        <f t="shared" si="551"/>
        <v>4.2603781917171606</v>
      </c>
      <c r="CP69" s="511">
        <f t="shared" si="513"/>
        <v>4.2603781917171606</v>
      </c>
      <c r="CQ69" s="511">
        <f t="shared" si="514"/>
        <v>4.2603781917171606</v>
      </c>
      <c r="CR69" s="722">
        <f t="shared" si="488"/>
        <v>0</v>
      </c>
      <c r="CS69" s="511">
        <f t="shared" ref="CS69:CV69" si="552">CR69</f>
        <v>0</v>
      </c>
      <c r="CT69" s="511">
        <f t="shared" si="552"/>
        <v>0</v>
      </c>
      <c r="CU69" s="511">
        <f t="shared" si="552"/>
        <v>0</v>
      </c>
      <c r="CV69" s="511">
        <f t="shared" si="552"/>
        <v>0</v>
      </c>
      <c r="CW69" s="511">
        <f t="shared" si="516"/>
        <v>0</v>
      </c>
      <c r="CX69" s="539">
        <f t="shared" si="517"/>
        <v>0</v>
      </c>
      <c r="CY69" s="724">
        <f t="shared" si="267"/>
        <v>0</v>
      </c>
      <c r="CZ69" s="508">
        <f t="shared" si="268"/>
        <v>0</v>
      </c>
      <c r="DA69" s="508">
        <f t="shared" si="269"/>
        <v>400</v>
      </c>
      <c r="DB69" s="508">
        <f t="shared" si="270"/>
        <v>0</v>
      </c>
      <c r="DC69" s="508">
        <f t="shared" si="271"/>
        <v>0</v>
      </c>
      <c r="DD69" s="508">
        <f t="shared" si="272"/>
        <v>400</v>
      </c>
      <c r="DE69" s="726">
        <f t="shared" si="273"/>
        <v>0</v>
      </c>
      <c r="DF69" s="724">
        <f t="shared" si="274"/>
        <v>0</v>
      </c>
      <c r="DG69" s="509">
        <f t="shared" si="275"/>
        <v>0</v>
      </c>
      <c r="DH69" s="509">
        <f t="shared" si="276"/>
        <v>0</v>
      </c>
      <c r="DI69" s="509">
        <f t="shared" si="277"/>
        <v>0</v>
      </c>
      <c r="DJ69" s="509">
        <f t="shared" si="278"/>
        <v>0</v>
      </c>
      <c r="DK69" s="509">
        <f t="shared" si="279"/>
        <v>0</v>
      </c>
      <c r="DL69" s="451">
        <f t="shared" si="280"/>
        <v>0</v>
      </c>
      <c r="DM69" s="509">
        <f t="shared" si="281"/>
        <v>0</v>
      </c>
      <c r="DN69" s="509">
        <f t="shared" si="282"/>
        <v>0</v>
      </c>
      <c r="DO69" s="509">
        <f t="shared" si="283"/>
        <v>100</v>
      </c>
      <c r="DP69" s="509">
        <f t="shared" si="284"/>
        <v>0</v>
      </c>
      <c r="DQ69" s="509">
        <f t="shared" si="285"/>
        <v>0</v>
      </c>
      <c r="DR69" s="509">
        <f t="shared" si="286"/>
        <v>100</v>
      </c>
      <c r="DS69" s="450">
        <f t="shared" si="287"/>
        <v>0</v>
      </c>
      <c r="DT69" s="724">
        <f t="shared" si="288"/>
        <v>0</v>
      </c>
      <c r="DU69" s="508">
        <f t="shared" si="289"/>
        <v>0</v>
      </c>
      <c r="DV69" s="508">
        <f t="shared" si="290"/>
        <v>0</v>
      </c>
      <c r="DW69" s="508">
        <f t="shared" si="291"/>
        <v>0</v>
      </c>
      <c r="DX69" s="508">
        <f t="shared" si="292"/>
        <v>0</v>
      </c>
      <c r="DY69" s="508">
        <f t="shared" si="293"/>
        <v>0</v>
      </c>
      <c r="DZ69" s="726">
        <f t="shared" si="294"/>
        <v>0</v>
      </c>
      <c r="EA69" s="722">
        <f t="shared" si="295"/>
        <v>0</v>
      </c>
      <c r="EB69" s="511">
        <f t="shared" si="296"/>
        <v>0</v>
      </c>
      <c r="EC69" s="511">
        <f t="shared" si="297"/>
        <v>3352.1712932565788</v>
      </c>
      <c r="ED69" s="511">
        <f t="shared" si="298"/>
        <v>0</v>
      </c>
      <c r="EE69" s="511">
        <f t="shared" si="299"/>
        <v>0</v>
      </c>
      <c r="EF69" s="511">
        <f t="shared" si="300"/>
        <v>3352.1712932565788</v>
      </c>
      <c r="EG69" s="723">
        <f t="shared" si="301"/>
        <v>0</v>
      </c>
      <c r="EH69" s="397">
        <f t="shared" si="302"/>
        <v>0</v>
      </c>
      <c r="EI69" s="397">
        <f t="shared" si="303"/>
        <v>0</v>
      </c>
      <c r="EJ69" s="397">
        <f t="shared" si="304"/>
        <v>2.1301890958585803</v>
      </c>
      <c r="EK69" s="397">
        <f t="shared" si="305"/>
        <v>0</v>
      </c>
      <c r="EL69" s="397">
        <f t="shared" si="306"/>
        <v>0</v>
      </c>
      <c r="EM69" s="397">
        <f t="shared" si="307"/>
        <v>2.1301890958585803</v>
      </c>
      <c r="EN69" s="398">
        <f t="shared" si="308"/>
        <v>0</v>
      </c>
      <c r="EO69" s="722">
        <f t="shared" si="309"/>
        <v>0</v>
      </c>
      <c r="EP69" s="511">
        <f t="shared" si="310"/>
        <v>0</v>
      </c>
      <c r="EQ69" s="511">
        <f t="shared" si="311"/>
        <v>0</v>
      </c>
      <c r="ER69" s="511">
        <f t="shared" si="312"/>
        <v>0</v>
      </c>
      <c r="ES69" s="511">
        <f t="shared" si="313"/>
        <v>0</v>
      </c>
      <c r="ET69" s="511">
        <f t="shared" si="314"/>
        <v>0</v>
      </c>
      <c r="EU69" s="723">
        <f t="shared" si="315"/>
        <v>0</v>
      </c>
      <c r="EV69" s="727">
        <f t="shared" si="316"/>
        <v>0.5</v>
      </c>
      <c r="EW69" s="728">
        <f t="shared" si="317"/>
        <v>800</v>
      </c>
      <c r="EX69" s="728">
        <f t="shared" si="318"/>
        <v>0</v>
      </c>
      <c r="EY69" s="728">
        <f t="shared" si="319"/>
        <v>200</v>
      </c>
      <c r="EZ69" s="728">
        <f t="shared" si="320"/>
        <v>0</v>
      </c>
      <c r="FA69" s="777">
        <f t="shared" si="321"/>
        <v>6704.3425865131576</v>
      </c>
      <c r="FB69" s="777">
        <f t="shared" si="322"/>
        <v>4.2603781917171606</v>
      </c>
      <c r="FC69" s="778">
        <f t="shared" si="323"/>
        <v>0</v>
      </c>
      <c r="FE69" s="10"/>
      <c r="FF69" s="10"/>
    </row>
    <row r="70" spans="1:162">
      <c r="A70" s="662" t="s">
        <v>184</v>
      </c>
      <c r="B70" s="789" t="s">
        <v>1362</v>
      </c>
      <c r="C70" s="789" t="str">
        <f t="shared" ref="C70:W70" si="553">C13</f>
        <v>Air Cooled Chilled Water Reset</v>
      </c>
      <c r="D70" s="789" t="str">
        <f t="shared" si="553"/>
        <v>No Reset</v>
      </c>
      <c r="E70" s="789" t="str">
        <f t="shared" si="553"/>
        <v>Per Unit</v>
      </c>
      <c r="F70" s="789" t="str">
        <f t="shared" si="553"/>
        <v>Per Unit</v>
      </c>
      <c r="G70" s="704" t="str">
        <f t="shared" si="553"/>
        <v>Incremental Cost</v>
      </c>
      <c r="H70" s="704">
        <f t="shared" si="553"/>
        <v>1200</v>
      </c>
      <c r="I70" s="704">
        <f t="shared" si="553"/>
        <v>0</v>
      </c>
      <c r="J70" s="704">
        <f t="shared" si="553"/>
        <v>1200</v>
      </c>
      <c r="K70" s="704">
        <f t="shared" si="553"/>
        <v>0</v>
      </c>
      <c r="L70" s="704">
        <f t="shared" si="553"/>
        <v>600</v>
      </c>
      <c r="M70" s="707" t="str">
        <f t="shared" si="553"/>
        <v>Estimated incentive equals 25% of incremental cost. Reference: Assume 2 point for air cooled. CWST Reset Costs CA 2013 Standard Doc: http://www.energy.ca.gov/title24/2013standards/prerulemaking/documents/2011-08-17_workshop/presentations/05%20Condenser%20Water%20Reset%20Control.pdf</v>
      </c>
      <c r="N70" s="704">
        <f t="shared" si="553"/>
        <v>300</v>
      </c>
      <c r="O70" s="704">
        <f t="shared" si="553"/>
        <v>300</v>
      </c>
      <c r="P70" s="704">
        <f t="shared" si="553"/>
        <v>0</v>
      </c>
      <c r="Q70" s="704">
        <f t="shared" si="553"/>
        <v>0</v>
      </c>
      <c r="R70" s="1021">
        <f t="shared" si="553"/>
        <v>10141.441894736843</v>
      </c>
      <c r="S70" s="872">
        <f t="shared" si="553"/>
        <v>6.4445361082561696</v>
      </c>
      <c r="T70" s="1022">
        <f t="shared" si="553"/>
        <v>0</v>
      </c>
      <c r="U70" s="711" t="str">
        <f t="shared" si="553"/>
        <v>LG&amp;E and KU Commercial Rebates Program Impact Evaluation for Chillers - FINAL October 24, 2016 by The Tetra Tech Evaluation Team</v>
      </c>
      <c r="V70" s="716">
        <f t="shared" si="553"/>
        <v>0</v>
      </c>
      <c r="W70" s="711">
        <f t="shared" si="553"/>
        <v>1</v>
      </c>
      <c r="X70" s="781">
        <f t="shared" ref="X70:AJ70" si="554">X13/2</f>
        <v>0</v>
      </c>
      <c r="Y70" s="781">
        <f t="shared" si="554"/>
        <v>0</v>
      </c>
      <c r="Z70" s="781">
        <f t="shared" si="554"/>
        <v>0</v>
      </c>
      <c r="AA70" s="781">
        <f t="shared" si="554"/>
        <v>0</v>
      </c>
      <c r="AB70" s="781">
        <f t="shared" si="554"/>
        <v>0</v>
      </c>
      <c r="AC70" s="781">
        <f t="shared" si="554"/>
        <v>0</v>
      </c>
      <c r="AD70" s="781">
        <f t="shared" si="554"/>
        <v>0.5</v>
      </c>
      <c r="AE70" s="781">
        <f t="shared" si="554"/>
        <v>0</v>
      </c>
      <c r="AF70" s="781">
        <f t="shared" si="554"/>
        <v>0</v>
      </c>
      <c r="AG70" s="781">
        <f t="shared" si="554"/>
        <v>0.5</v>
      </c>
      <c r="AH70" s="781">
        <f t="shared" si="554"/>
        <v>0</v>
      </c>
      <c r="AI70" s="781">
        <f t="shared" si="554"/>
        <v>0</v>
      </c>
      <c r="AJ70" s="781">
        <f t="shared" si="554"/>
        <v>0.5</v>
      </c>
      <c r="AK70" s="711" t="str">
        <f t="shared" ref="AK70:BA70" si="555">AK13</f>
        <v>Electric</v>
      </c>
      <c r="AL70" s="711" t="str">
        <f t="shared" si="555"/>
        <v>Commercial</v>
      </c>
      <c r="AM70" s="711" t="str">
        <f t="shared" si="555"/>
        <v>Miscellaneous</v>
      </c>
      <c r="AN70" s="711" t="str">
        <f t="shared" si="555"/>
        <v>Cooling Chillers</v>
      </c>
      <c r="AO70" s="711" t="str">
        <f t="shared" si="555"/>
        <v>Existing</v>
      </c>
      <c r="AP70" s="711">
        <f t="shared" si="555"/>
        <v>0</v>
      </c>
      <c r="AQ70" s="711">
        <f t="shared" si="555"/>
        <v>0</v>
      </c>
      <c r="AR70" s="711">
        <f t="shared" si="555"/>
        <v>0</v>
      </c>
      <c r="AS70" s="711" t="str">
        <f t="shared" si="555"/>
        <v>OFFLGCool</v>
      </c>
      <c r="AT70" s="715" t="s">
        <v>745</v>
      </c>
      <c r="AU70" s="1065" t="s">
        <v>771</v>
      </c>
      <c r="AV70" s="711">
        <f t="shared" si="555"/>
        <v>10</v>
      </c>
      <c r="AW70" s="711">
        <f t="shared" si="555"/>
        <v>10</v>
      </c>
      <c r="AX70" s="711" t="s">
        <v>2712</v>
      </c>
      <c r="AY70" s="711">
        <f t="shared" si="555"/>
        <v>1</v>
      </c>
      <c r="AZ70" s="711">
        <f t="shared" si="555"/>
        <v>1</v>
      </c>
      <c r="BA70" s="1066">
        <f t="shared" si="555"/>
        <v>0</v>
      </c>
      <c r="BB70" s="721">
        <f t="shared" si="493"/>
        <v>1200</v>
      </c>
      <c r="BC70" s="499">
        <f t="shared" si="494"/>
        <v>1200</v>
      </c>
      <c r="BD70" s="499">
        <f t="shared" si="495"/>
        <v>1200</v>
      </c>
      <c r="BE70" s="499">
        <f t="shared" si="496"/>
        <v>1200</v>
      </c>
      <c r="BF70" s="499">
        <f t="shared" si="497"/>
        <v>1200</v>
      </c>
      <c r="BG70" s="499">
        <f t="shared" si="498"/>
        <v>1200</v>
      </c>
      <c r="BH70" s="499">
        <f t="shared" si="499"/>
        <v>1200</v>
      </c>
      <c r="BI70" s="721">
        <f t="shared" si="474"/>
        <v>0</v>
      </c>
      <c r="BJ70" s="499">
        <f t="shared" ref="BJ70:BM70" si="556">BI70</f>
        <v>0</v>
      </c>
      <c r="BK70" s="499">
        <f t="shared" si="556"/>
        <v>0</v>
      </c>
      <c r="BL70" s="499">
        <f t="shared" si="556"/>
        <v>0</v>
      </c>
      <c r="BM70" s="499">
        <f t="shared" si="556"/>
        <v>0</v>
      </c>
      <c r="BN70" s="499">
        <f t="shared" si="501"/>
        <v>0</v>
      </c>
      <c r="BO70" s="499">
        <f t="shared" si="502"/>
        <v>0</v>
      </c>
      <c r="BP70" s="721">
        <f t="shared" si="476"/>
        <v>300</v>
      </c>
      <c r="BQ70" s="499">
        <f t="shared" si="477"/>
        <v>300</v>
      </c>
      <c r="BR70" s="499">
        <f t="shared" si="503"/>
        <v>300</v>
      </c>
      <c r="BS70" s="499">
        <f t="shared" si="504"/>
        <v>300</v>
      </c>
      <c r="BT70" s="499">
        <f t="shared" si="505"/>
        <v>300</v>
      </c>
      <c r="BU70" s="499">
        <f t="shared" si="506"/>
        <v>300</v>
      </c>
      <c r="BV70" s="499">
        <f t="shared" si="507"/>
        <v>300</v>
      </c>
      <c r="BW70" s="774">
        <f t="shared" si="508"/>
        <v>0</v>
      </c>
      <c r="BX70" s="503">
        <f t="shared" si="483"/>
        <v>0</v>
      </c>
      <c r="BY70" s="503">
        <f t="shared" si="483"/>
        <v>0</v>
      </c>
      <c r="BZ70" s="503">
        <f t="shared" si="483"/>
        <v>0</v>
      </c>
      <c r="CA70" s="503">
        <f t="shared" si="483"/>
        <v>0</v>
      </c>
      <c r="CB70" s="503">
        <f t="shared" si="483"/>
        <v>0</v>
      </c>
      <c r="CC70" s="503">
        <f t="shared" si="483"/>
        <v>0</v>
      </c>
      <c r="CD70" s="722">
        <f t="shared" si="484"/>
        <v>10141.441894736843</v>
      </c>
      <c r="CE70" s="511">
        <f t="shared" ref="CE70:CH70" si="557">CD70</f>
        <v>10141.441894736843</v>
      </c>
      <c r="CF70" s="511">
        <f t="shared" si="557"/>
        <v>10141.441894736843</v>
      </c>
      <c r="CG70" s="511">
        <f t="shared" si="557"/>
        <v>10141.441894736843</v>
      </c>
      <c r="CH70" s="511">
        <f t="shared" si="557"/>
        <v>10141.441894736843</v>
      </c>
      <c r="CI70" s="511">
        <f t="shared" si="510"/>
        <v>10141.441894736843</v>
      </c>
      <c r="CJ70" s="511">
        <f t="shared" si="511"/>
        <v>10141.441894736843</v>
      </c>
      <c r="CK70" s="722">
        <f t="shared" si="486"/>
        <v>6.4445361082561696</v>
      </c>
      <c r="CL70" s="511">
        <f t="shared" ref="CL70:CO70" si="558">CK70</f>
        <v>6.4445361082561696</v>
      </c>
      <c r="CM70" s="511">
        <f t="shared" si="558"/>
        <v>6.4445361082561696</v>
      </c>
      <c r="CN70" s="511">
        <f t="shared" si="558"/>
        <v>6.4445361082561696</v>
      </c>
      <c r="CO70" s="511">
        <f t="shared" si="558"/>
        <v>6.4445361082561696</v>
      </c>
      <c r="CP70" s="511">
        <f t="shared" si="513"/>
        <v>6.4445361082561696</v>
      </c>
      <c r="CQ70" s="511">
        <f t="shared" si="514"/>
        <v>6.4445361082561696</v>
      </c>
      <c r="CR70" s="722">
        <f t="shared" si="488"/>
        <v>0</v>
      </c>
      <c r="CS70" s="511">
        <f t="shared" ref="CS70:CV70" si="559">CR70</f>
        <v>0</v>
      </c>
      <c r="CT70" s="511">
        <f t="shared" si="559"/>
        <v>0</v>
      </c>
      <c r="CU70" s="511">
        <f t="shared" si="559"/>
        <v>0</v>
      </c>
      <c r="CV70" s="511">
        <f t="shared" si="559"/>
        <v>0</v>
      </c>
      <c r="CW70" s="511">
        <f t="shared" si="516"/>
        <v>0</v>
      </c>
      <c r="CX70" s="539">
        <f t="shared" si="517"/>
        <v>0</v>
      </c>
      <c r="CY70" s="724">
        <f t="shared" ref="CY70:CY101" si="560">AD70*BB70*$W70</f>
        <v>600</v>
      </c>
      <c r="CZ70" s="508">
        <f t="shared" ref="CZ70:CZ101" si="561">AE70*BC70*$W70</f>
        <v>0</v>
      </c>
      <c r="DA70" s="508">
        <f t="shared" ref="DA70:DA101" si="562">AF70*BD70*$W70</f>
        <v>0</v>
      </c>
      <c r="DB70" s="508">
        <f t="shared" ref="DB70:DB101" si="563">AG70*BE70*$W70</f>
        <v>600</v>
      </c>
      <c r="DC70" s="508">
        <f t="shared" ref="DC70:DC101" si="564">AH70*BF70*$W70</f>
        <v>0</v>
      </c>
      <c r="DD70" s="508">
        <f t="shared" ref="DD70:DD101" si="565">AI70*BG70*$W70</f>
        <v>0</v>
      </c>
      <c r="DE70" s="726">
        <f t="shared" ref="DE70:DE101" si="566">AJ70*BH70*$W70</f>
        <v>600</v>
      </c>
      <c r="DF70" s="724">
        <f t="shared" ref="DF70:DF101" si="567">AD70*BI70*$W70</f>
        <v>0</v>
      </c>
      <c r="DG70" s="509">
        <f t="shared" ref="DG70:DG101" si="568">AE70*BJ70*$W70</f>
        <v>0</v>
      </c>
      <c r="DH70" s="509">
        <f t="shared" ref="DH70:DH101" si="569">AF70*BK70*$W70</f>
        <v>0</v>
      </c>
      <c r="DI70" s="509">
        <f t="shared" ref="DI70:DI101" si="570">AG70*BL70*$W70</f>
        <v>0</v>
      </c>
      <c r="DJ70" s="509">
        <f t="shared" ref="DJ70:DJ101" si="571">AH70*BM70*$W70</f>
        <v>0</v>
      </c>
      <c r="DK70" s="509">
        <f t="shared" ref="DK70:DK101" si="572">AI70*BN70*$W70</f>
        <v>0</v>
      </c>
      <c r="DL70" s="451">
        <f t="shared" ref="DL70:DL101" si="573">AJ70*BO70*$W70</f>
        <v>0</v>
      </c>
      <c r="DM70" s="509">
        <f t="shared" ref="DM70:DM101" si="574">AD70*BP70*$W70</f>
        <v>150</v>
      </c>
      <c r="DN70" s="509">
        <f t="shared" ref="DN70:DN101" si="575">AE70*BQ70*$W70</f>
        <v>0</v>
      </c>
      <c r="DO70" s="509">
        <f t="shared" ref="DO70:DO101" si="576">AF70*BR70*$W70</f>
        <v>0</v>
      </c>
      <c r="DP70" s="509">
        <f t="shared" ref="DP70:DP101" si="577">AG70*BS70*$W70</f>
        <v>150</v>
      </c>
      <c r="DQ70" s="509">
        <f t="shared" ref="DQ70:DQ101" si="578">AH70*BT70*$W70</f>
        <v>0</v>
      </c>
      <c r="DR70" s="509">
        <f t="shared" ref="DR70:DR101" si="579">AI70*BU70*$W70</f>
        <v>0</v>
      </c>
      <c r="DS70" s="450">
        <f t="shared" ref="DS70:DS101" si="580">AJ70*BV70*$W70</f>
        <v>150</v>
      </c>
      <c r="DT70" s="724">
        <f t="shared" ref="DT70:DT101" si="581">BW70*AD70*$W70</f>
        <v>0</v>
      </c>
      <c r="DU70" s="508">
        <f t="shared" ref="DU70:DU101" si="582">BX70*AE70*$W70</f>
        <v>0</v>
      </c>
      <c r="DV70" s="508">
        <f t="shared" ref="DV70:DV101" si="583">BY70*AF70*$W70</f>
        <v>0</v>
      </c>
      <c r="DW70" s="508">
        <f t="shared" ref="DW70:DW101" si="584">BZ70*AG70*$W70</f>
        <v>0</v>
      </c>
      <c r="DX70" s="508">
        <f t="shared" ref="DX70:DX101" si="585">CA70*AH70*$W70</f>
        <v>0</v>
      </c>
      <c r="DY70" s="508">
        <f t="shared" ref="DY70:DY101" si="586">CB70*AI70*$W70</f>
        <v>0</v>
      </c>
      <c r="DZ70" s="726">
        <f t="shared" ref="DZ70:DZ101" si="587">CC70*AJ70*$W70</f>
        <v>0</v>
      </c>
      <c r="EA70" s="722">
        <f t="shared" ref="EA70:EA101" si="588">AD70*CD70*$W70</f>
        <v>5070.7209473684215</v>
      </c>
      <c r="EB70" s="511">
        <f t="shared" ref="EB70:EB101" si="589">AE70*CE70*$W70</f>
        <v>0</v>
      </c>
      <c r="EC70" s="511">
        <f t="shared" ref="EC70:EC101" si="590">AF70*CF70*$W70</f>
        <v>0</v>
      </c>
      <c r="ED70" s="511">
        <f t="shared" ref="ED70:ED101" si="591">AG70*CG70*$W70</f>
        <v>5070.7209473684215</v>
      </c>
      <c r="EE70" s="511">
        <f t="shared" ref="EE70:EE101" si="592">AH70*CH70*$W70</f>
        <v>0</v>
      </c>
      <c r="EF70" s="511">
        <f t="shared" ref="EF70:EF101" si="593">AI70*CI70*$W70</f>
        <v>0</v>
      </c>
      <c r="EG70" s="723">
        <f t="shared" ref="EG70:EG101" si="594">AJ70*CJ70*$W70</f>
        <v>5070.7209473684215</v>
      </c>
      <c r="EH70" s="397">
        <f t="shared" ref="EH70:EH101" si="595">AD70*CK70*$W70</f>
        <v>3.2222680541280848</v>
      </c>
      <c r="EI70" s="397">
        <f t="shared" ref="EI70:EI101" si="596">AE70*CL70*$W70</f>
        <v>0</v>
      </c>
      <c r="EJ70" s="397">
        <f t="shared" ref="EJ70:EJ101" si="597">AF70*CM70*$W70</f>
        <v>0</v>
      </c>
      <c r="EK70" s="397">
        <f t="shared" ref="EK70:EK101" si="598">AG70*CN70*$W70</f>
        <v>3.2222680541280848</v>
      </c>
      <c r="EL70" s="397">
        <f t="shared" ref="EL70:EL101" si="599">AH70*CO70*$W70</f>
        <v>0</v>
      </c>
      <c r="EM70" s="397">
        <f t="shared" ref="EM70:EM101" si="600">AI70*CP70*$W70</f>
        <v>0</v>
      </c>
      <c r="EN70" s="398">
        <f t="shared" ref="EN70:EN101" si="601">AJ70*CQ70*$W70</f>
        <v>3.2222680541280848</v>
      </c>
      <c r="EO70" s="722">
        <f t="shared" ref="EO70:EO101" si="602">AD70*CR70*$W70</f>
        <v>0</v>
      </c>
      <c r="EP70" s="511">
        <f t="shared" ref="EP70:EP101" si="603">AE70*CS70*$W70</f>
        <v>0</v>
      </c>
      <c r="EQ70" s="511">
        <f t="shared" ref="EQ70:EQ101" si="604">AF70*CT70*$W70</f>
        <v>0</v>
      </c>
      <c r="ER70" s="511">
        <f t="shared" ref="ER70:ER101" si="605">AG70*CU70*$W70</f>
        <v>0</v>
      </c>
      <c r="ES70" s="511">
        <f t="shared" ref="ES70:ES101" si="606">AH70*CV70*$W70</f>
        <v>0</v>
      </c>
      <c r="ET70" s="511">
        <f t="shared" ref="ET70:ET101" si="607">AI70*CW70*$W70</f>
        <v>0</v>
      </c>
      <c r="EU70" s="723">
        <f t="shared" ref="EU70:EU101" si="608">AJ70*CX70*$W70</f>
        <v>0</v>
      </c>
      <c r="EV70" s="727">
        <f t="shared" ref="EV70:EV101" si="609">SUM(AD70:AF70)</f>
        <v>0.5</v>
      </c>
      <c r="EW70" s="728">
        <f t="shared" ref="EW70:EW101" si="610">SUM(CY70:DE70)</f>
        <v>1800</v>
      </c>
      <c r="EX70" s="728">
        <f t="shared" ref="EX70:EX101" si="611">SUM(DF70:DL70)</f>
        <v>0</v>
      </c>
      <c r="EY70" s="728">
        <f t="shared" ref="EY70:EY101" si="612">SUM(DM70:DS70)</f>
        <v>450</v>
      </c>
      <c r="EZ70" s="728">
        <f t="shared" ref="EZ70:EZ101" si="613">SUM(DT70:DZ70)</f>
        <v>0</v>
      </c>
      <c r="FA70" s="777">
        <f t="shared" ref="FA70:FA101" si="614">SUM(EA70:EG70)</f>
        <v>15212.162842105265</v>
      </c>
      <c r="FB70" s="777">
        <f t="shared" ref="FB70:FB101" si="615">SUM(EH70:EN70)</f>
        <v>9.6668041623842544</v>
      </c>
      <c r="FC70" s="778">
        <f t="shared" ref="FC70:FC101" si="616">SUM(EO70:EU70)</f>
        <v>0</v>
      </c>
      <c r="FE70" s="10"/>
      <c r="FF70" s="10"/>
    </row>
    <row r="71" spans="1:162">
      <c r="A71" s="662" t="s">
        <v>185</v>
      </c>
      <c r="B71" s="789" t="s">
        <v>1363</v>
      </c>
      <c r="C71" s="789" t="str">
        <f t="shared" ref="C71:W71" si="617">C14</f>
        <v>Air Cooled Chilled Water Reset</v>
      </c>
      <c r="D71" s="789" t="str">
        <f t="shared" si="617"/>
        <v>No Reset</v>
      </c>
      <c r="E71" s="789" t="str">
        <f t="shared" si="617"/>
        <v>Per Unit</v>
      </c>
      <c r="F71" s="789" t="str">
        <f t="shared" si="617"/>
        <v>Per Unit</v>
      </c>
      <c r="G71" s="704" t="str">
        <f t="shared" si="617"/>
        <v>Incremental Cost</v>
      </c>
      <c r="H71" s="704">
        <f t="shared" si="617"/>
        <v>2000</v>
      </c>
      <c r="I71" s="704">
        <f t="shared" si="617"/>
        <v>0</v>
      </c>
      <c r="J71" s="704">
        <f t="shared" si="617"/>
        <v>2000</v>
      </c>
      <c r="K71" s="704">
        <f t="shared" si="617"/>
        <v>0</v>
      </c>
      <c r="L71" s="704">
        <f t="shared" si="617"/>
        <v>1000</v>
      </c>
      <c r="M71" s="707" t="str">
        <f t="shared" si="617"/>
        <v>Estimated incentive equals 25% of incremental cost. Reference: Assume 2 point for air cooled. CWST Reset Costs CA 2013 Standard Doc: http://www.energy.ca.gov/title24/2013standards/prerulemaking/documents/2011-08-17_workshop/presentations/05%20Condenser%20Water%20Reset%20Control.pdf</v>
      </c>
      <c r="N71" s="704">
        <f t="shared" si="617"/>
        <v>500</v>
      </c>
      <c r="O71" s="704">
        <f t="shared" si="617"/>
        <v>500</v>
      </c>
      <c r="P71" s="704">
        <f t="shared" si="617"/>
        <v>0</v>
      </c>
      <c r="Q71" s="704">
        <f t="shared" si="617"/>
        <v>0</v>
      </c>
      <c r="R71" s="1021">
        <f t="shared" si="617"/>
        <v>15974.368421052633</v>
      </c>
      <c r="S71" s="872">
        <f t="shared" si="617"/>
        <v>10.151159486452112</v>
      </c>
      <c r="T71" s="1022">
        <f t="shared" si="617"/>
        <v>0</v>
      </c>
      <c r="U71" s="711" t="str">
        <f t="shared" si="617"/>
        <v>LG&amp;E and KU Commercial Rebates Program Impact Evaluation for Chillers - FINAL October 24, 2016 by The Tetra Tech Evaluation Team</v>
      </c>
      <c r="V71" s="716">
        <f t="shared" si="617"/>
        <v>0</v>
      </c>
      <c r="W71" s="711">
        <f t="shared" si="617"/>
        <v>1</v>
      </c>
      <c r="X71" s="781">
        <f t="shared" ref="X71:AJ71" si="618">X14/2</f>
        <v>0</v>
      </c>
      <c r="Y71" s="781">
        <f t="shared" si="618"/>
        <v>0</v>
      </c>
      <c r="Z71" s="781">
        <f t="shared" si="618"/>
        <v>0</v>
      </c>
      <c r="AA71" s="781">
        <f t="shared" si="618"/>
        <v>0</v>
      </c>
      <c r="AB71" s="781">
        <f t="shared" si="618"/>
        <v>0</v>
      </c>
      <c r="AC71" s="781">
        <f t="shared" si="618"/>
        <v>0</v>
      </c>
      <c r="AD71" s="781">
        <f t="shared" si="618"/>
        <v>0</v>
      </c>
      <c r="AE71" s="781">
        <f t="shared" si="618"/>
        <v>0.5</v>
      </c>
      <c r="AF71" s="781">
        <f t="shared" si="618"/>
        <v>0</v>
      </c>
      <c r="AG71" s="781">
        <f t="shared" si="618"/>
        <v>0</v>
      </c>
      <c r="AH71" s="781">
        <f t="shared" si="618"/>
        <v>0.5</v>
      </c>
      <c r="AI71" s="781">
        <f t="shared" si="618"/>
        <v>0</v>
      </c>
      <c r="AJ71" s="781">
        <f t="shared" si="618"/>
        <v>0</v>
      </c>
      <c r="AK71" s="711" t="str">
        <f t="shared" ref="AK71:BA71" si="619">AK14</f>
        <v>Electric</v>
      </c>
      <c r="AL71" s="711" t="str">
        <f t="shared" si="619"/>
        <v>Commercial</v>
      </c>
      <c r="AM71" s="711" t="str">
        <f t="shared" si="619"/>
        <v>Miscellaneous</v>
      </c>
      <c r="AN71" s="711" t="str">
        <f t="shared" si="619"/>
        <v>Cooling Chillers</v>
      </c>
      <c r="AO71" s="711" t="str">
        <f t="shared" si="619"/>
        <v>Existing</v>
      </c>
      <c r="AP71" s="711">
        <f t="shared" si="619"/>
        <v>0</v>
      </c>
      <c r="AQ71" s="711">
        <f t="shared" si="619"/>
        <v>0</v>
      </c>
      <c r="AR71" s="711">
        <f t="shared" si="619"/>
        <v>0</v>
      </c>
      <c r="AS71" s="711" t="str">
        <f t="shared" si="619"/>
        <v>OFFLGCool</v>
      </c>
      <c r="AT71" s="715" t="s">
        <v>745</v>
      </c>
      <c r="AU71" s="1065" t="s">
        <v>771</v>
      </c>
      <c r="AV71" s="711">
        <f t="shared" si="619"/>
        <v>10</v>
      </c>
      <c r="AW71" s="711">
        <f t="shared" si="619"/>
        <v>10</v>
      </c>
      <c r="AX71" s="711" t="s">
        <v>2712</v>
      </c>
      <c r="AY71" s="711">
        <f t="shared" si="619"/>
        <v>1</v>
      </c>
      <c r="AZ71" s="711">
        <f t="shared" si="619"/>
        <v>1</v>
      </c>
      <c r="BA71" s="1066">
        <f t="shared" si="619"/>
        <v>0</v>
      </c>
      <c r="BB71" s="721">
        <f t="shared" si="493"/>
        <v>2000</v>
      </c>
      <c r="BC71" s="499">
        <f t="shared" si="494"/>
        <v>2000</v>
      </c>
      <c r="BD71" s="499">
        <f t="shared" si="495"/>
        <v>2000</v>
      </c>
      <c r="BE71" s="499">
        <f t="shared" si="496"/>
        <v>2000</v>
      </c>
      <c r="BF71" s="499">
        <f t="shared" si="497"/>
        <v>2000</v>
      </c>
      <c r="BG71" s="499">
        <f t="shared" si="498"/>
        <v>2000</v>
      </c>
      <c r="BH71" s="499">
        <f t="shared" si="499"/>
        <v>2000</v>
      </c>
      <c r="BI71" s="721">
        <f t="shared" si="474"/>
        <v>0</v>
      </c>
      <c r="BJ71" s="499">
        <f t="shared" ref="BJ71:BM71" si="620">BI71</f>
        <v>0</v>
      </c>
      <c r="BK71" s="499">
        <f t="shared" si="620"/>
        <v>0</v>
      </c>
      <c r="BL71" s="499">
        <f t="shared" si="620"/>
        <v>0</v>
      </c>
      <c r="BM71" s="499">
        <f t="shared" si="620"/>
        <v>0</v>
      </c>
      <c r="BN71" s="499">
        <f t="shared" si="501"/>
        <v>0</v>
      </c>
      <c r="BO71" s="499">
        <f t="shared" si="502"/>
        <v>0</v>
      </c>
      <c r="BP71" s="721">
        <f t="shared" si="476"/>
        <v>500</v>
      </c>
      <c r="BQ71" s="499">
        <f t="shared" si="477"/>
        <v>500</v>
      </c>
      <c r="BR71" s="499">
        <f t="shared" si="503"/>
        <v>500</v>
      </c>
      <c r="BS71" s="499">
        <f t="shared" si="504"/>
        <v>500</v>
      </c>
      <c r="BT71" s="499">
        <f t="shared" si="505"/>
        <v>500</v>
      </c>
      <c r="BU71" s="499">
        <f t="shared" si="506"/>
        <v>500</v>
      </c>
      <c r="BV71" s="499">
        <f t="shared" si="507"/>
        <v>500</v>
      </c>
      <c r="BW71" s="774">
        <f t="shared" si="508"/>
        <v>0</v>
      </c>
      <c r="BX71" s="503">
        <f t="shared" si="483"/>
        <v>0</v>
      </c>
      <c r="BY71" s="503">
        <f t="shared" si="483"/>
        <v>0</v>
      </c>
      <c r="BZ71" s="503">
        <f t="shared" si="483"/>
        <v>0</v>
      </c>
      <c r="CA71" s="503">
        <f t="shared" si="483"/>
        <v>0</v>
      </c>
      <c r="CB71" s="503">
        <f t="shared" si="483"/>
        <v>0</v>
      </c>
      <c r="CC71" s="503">
        <f t="shared" si="483"/>
        <v>0</v>
      </c>
      <c r="CD71" s="722">
        <f t="shared" si="484"/>
        <v>15974.368421052633</v>
      </c>
      <c r="CE71" s="511">
        <f t="shared" ref="CE71:CH71" si="621">CD71</f>
        <v>15974.368421052633</v>
      </c>
      <c r="CF71" s="511">
        <f t="shared" si="621"/>
        <v>15974.368421052633</v>
      </c>
      <c r="CG71" s="511">
        <f t="shared" si="621"/>
        <v>15974.368421052633</v>
      </c>
      <c r="CH71" s="511">
        <f t="shared" si="621"/>
        <v>15974.368421052633</v>
      </c>
      <c r="CI71" s="511">
        <f t="shared" si="510"/>
        <v>15974.368421052633</v>
      </c>
      <c r="CJ71" s="511">
        <f t="shared" si="511"/>
        <v>15974.368421052633</v>
      </c>
      <c r="CK71" s="722">
        <f t="shared" si="486"/>
        <v>10.151159486452112</v>
      </c>
      <c r="CL71" s="511">
        <f t="shared" ref="CL71:CO71" si="622">CK71</f>
        <v>10.151159486452112</v>
      </c>
      <c r="CM71" s="511">
        <f t="shared" si="622"/>
        <v>10.151159486452112</v>
      </c>
      <c r="CN71" s="511">
        <f t="shared" si="622"/>
        <v>10.151159486452112</v>
      </c>
      <c r="CO71" s="511">
        <f t="shared" si="622"/>
        <v>10.151159486452112</v>
      </c>
      <c r="CP71" s="511">
        <f t="shared" si="513"/>
        <v>10.151159486452112</v>
      </c>
      <c r="CQ71" s="511">
        <f t="shared" si="514"/>
        <v>10.151159486452112</v>
      </c>
      <c r="CR71" s="722">
        <f t="shared" si="488"/>
        <v>0</v>
      </c>
      <c r="CS71" s="511">
        <f t="shared" ref="CS71:CV71" si="623">CR71</f>
        <v>0</v>
      </c>
      <c r="CT71" s="511">
        <f t="shared" si="623"/>
        <v>0</v>
      </c>
      <c r="CU71" s="511">
        <f t="shared" si="623"/>
        <v>0</v>
      </c>
      <c r="CV71" s="511">
        <f t="shared" si="623"/>
        <v>0</v>
      </c>
      <c r="CW71" s="511">
        <f t="shared" si="516"/>
        <v>0</v>
      </c>
      <c r="CX71" s="539">
        <f t="shared" si="517"/>
        <v>0</v>
      </c>
      <c r="CY71" s="724">
        <f t="shared" si="560"/>
        <v>0</v>
      </c>
      <c r="CZ71" s="508">
        <f t="shared" si="561"/>
        <v>1000</v>
      </c>
      <c r="DA71" s="508">
        <f t="shared" si="562"/>
        <v>0</v>
      </c>
      <c r="DB71" s="508">
        <f t="shared" si="563"/>
        <v>0</v>
      </c>
      <c r="DC71" s="508">
        <f t="shared" si="564"/>
        <v>1000</v>
      </c>
      <c r="DD71" s="508">
        <f t="shared" si="565"/>
        <v>0</v>
      </c>
      <c r="DE71" s="726">
        <f t="shared" si="566"/>
        <v>0</v>
      </c>
      <c r="DF71" s="724">
        <f t="shared" si="567"/>
        <v>0</v>
      </c>
      <c r="DG71" s="509">
        <f t="shared" si="568"/>
        <v>0</v>
      </c>
      <c r="DH71" s="509">
        <f t="shared" si="569"/>
        <v>0</v>
      </c>
      <c r="DI71" s="509">
        <f t="shared" si="570"/>
        <v>0</v>
      </c>
      <c r="DJ71" s="509">
        <f t="shared" si="571"/>
        <v>0</v>
      </c>
      <c r="DK71" s="509">
        <f t="shared" si="572"/>
        <v>0</v>
      </c>
      <c r="DL71" s="451">
        <f t="shared" si="573"/>
        <v>0</v>
      </c>
      <c r="DM71" s="509">
        <f t="shared" si="574"/>
        <v>0</v>
      </c>
      <c r="DN71" s="509">
        <f t="shared" si="575"/>
        <v>250</v>
      </c>
      <c r="DO71" s="509">
        <f t="shared" si="576"/>
        <v>0</v>
      </c>
      <c r="DP71" s="509">
        <f t="shared" si="577"/>
        <v>0</v>
      </c>
      <c r="DQ71" s="509">
        <f t="shared" si="578"/>
        <v>250</v>
      </c>
      <c r="DR71" s="509">
        <f t="shared" si="579"/>
        <v>0</v>
      </c>
      <c r="DS71" s="450">
        <f t="shared" si="580"/>
        <v>0</v>
      </c>
      <c r="DT71" s="724">
        <f t="shared" si="581"/>
        <v>0</v>
      </c>
      <c r="DU71" s="508">
        <f t="shared" si="582"/>
        <v>0</v>
      </c>
      <c r="DV71" s="508">
        <f t="shared" si="583"/>
        <v>0</v>
      </c>
      <c r="DW71" s="508">
        <f t="shared" si="584"/>
        <v>0</v>
      </c>
      <c r="DX71" s="508">
        <f t="shared" si="585"/>
        <v>0</v>
      </c>
      <c r="DY71" s="508">
        <f t="shared" si="586"/>
        <v>0</v>
      </c>
      <c r="DZ71" s="726">
        <f t="shared" si="587"/>
        <v>0</v>
      </c>
      <c r="EA71" s="722">
        <f t="shared" si="588"/>
        <v>0</v>
      </c>
      <c r="EB71" s="511">
        <f t="shared" si="589"/>
        <v>7987.1842105263167</v>
      </c>
      <c r="EC71" s="511">
        <f t="shared" si="590"/>
        <v>0</v>
      </c>
      <c r="ED71" s="511">
        <f t="shared" si="591"/>
        <v>0</v>
      </c>
      <c r="EE71" s="511">
        <f t="shared" si="592"/>
        <v>7987.1842105263167</v>
      </c>
      <c r="EF71" s="511">
        <f t="shared" si="593"/>
        <v>0</v>
      </c>
      <c r="EG71" s="723">
        <f t="shared" si="594"/>
        <v>0</v>
      </c>
      <c r="EH71" s="397">
        <f t="shared" si="595"/>
        <v>0</v>
      </c>
      <c r="EI71" s="397">
        <f t="shared" si="596"/>
        <v>5.0755797432260561</v>
      </c>
      <c r="EJ71" s="397">
        <f t="shared" si="597"/>
        <v>0</v>
      </c>
      <c r="EK71" s="397">
        <f t="shared" si="598"/>
        <v>0</v>
      </c>
      <c r="EL71" s="397">
        <f t="shared" si="599"/>
        <v>5.0755797432260561</v>
      </c>
      <c r="EM71" s="397">
        <f t="shared" si="600"/>
        <v>0</v>
      </c>
      <c r="EN71" s="398">
        <f t="shared" si="601"/>
        <v>0</v>
      </c>
      <c r="EO71" s="722">
        <f t="shared" si="602"/>
        <v>0</v>
      </c>
      <c r="EP71" s="511">
        <f t="shared" si="603"/>
        <v>0</v>
      </c>
      <c r="EQ71" s="511">
        <f t="shared" si="604"/>
        <v>0</v>
      </c>
      <c r="ER71" s="511">
        <f t="shared" si="605"/>
        <v>0</v>
      </c>
      <c r="ES71" s="511">
        <f t="shared" si="606"/>
        <v>0</v>
      </c>
      <c r="ET71" s="511">
        <f t="shared" si="607"/>
        <v>0</v>
      </c>
      <c r="EU71" s="723">
        <f t="shared" si="608"/>
        <v>0</v>
      </c>
      <c r="EV71" s="727">
        <f t="shared" si="609"/>
        <v>0.5</v>
      </c>
      <c r="EW71" s="728">
        <f t="shared" si="610"/>
        <v>2000</v>
      </c>
      <c r="EX71" s="728">
        <f t="shared" si="611"/>
        <v>0</v>
      </c>
      <c r="EY71" s="728">
        <f t="shared" si="612"/>
        <v>500</v>
      </c>
      <c r="EZ71" s="728">
        <f t="shared" si="613"/>
        <v>0</v>
      </c>
      <c r="FA71" s="777">
        <f t="shared" si="614"/>
        <v>15974.368421052633</v>
      </c>
      <c r="FB71" s="777">
        <f t="shared" si="615"/>
        <v>10.151159486452112</v>
      </c>
      <c r="FC71" s="778">
        <f t="shared" si="616"/>
        <v>0</v>
      </c>
      <c r="FE71" s="10"/>
      <c r="FF71" s="10"/>
    </row>
    <row r="72" spans="1:162">
      <c r="A72" s="662" t="s">
        <v>186</v>
      </c>
      <c r="B72" s="789" t="s">
        <v>1364</v>
      </c>
      <c r="C72" s="789" t="str">
        <f t="shared" ref="C72:W72" si="624">C15</f>
        <v>Air Cooled Chilled Water Reset</v>
      </c>
      <c r="D72" s="789" t="str">
        <f t="shared" si="624"/>
        <v>No Reset</v>
      </c>
      <c r="E72" s="789" t="str">
        <f t="shared" si="624"/>
        <v>Per Unit</v>
      </c>
      <c r="F72" s="789" t="str">
        <f t="shared" si="624"/>
        <v>Per Unit</v>
      </c>
      <c r="G72" s="704" t="str">
        <f t="shared" si="624"/>
        <v>Incremental Cost</v>
      </c>
      <c r="H72" s="704">
        <f t="shared" si="624"/>
        <v>3200</v>
      </c>
      <c r="I72" s="704">
        <f t="shared" si="624"/>
        <v>0</v>
      </c>
      <c r="J72" s="704">
        <f t="shared" si="624"/>
        <v>3200</v>
      </c>
      <c r="K72" s="704">
        <f t="shared" si="624"/>
        <v>0</v>
      </c>
      <c r="L72" s="704">
        <f t="shared" si="624"/>
        <v>1600</v>
      </c>
      <c r="M72" s="881" t="str">
        <f t="shared" si="624"/>
        <v>Estimated incentive equals 25% of incremental cost. Reference: Assume 2 point for air cooled. CWST Reset Costs CA 2013 Standard Doc: http://www.energy.ca.gov/title24/2013standards/prerulemaking/documents/2011-08-17_workshop/presentations/05%20Condenser%20Water%20Reset%20Control.pdf</v>
      </c>
      <c r="N72" s="704">
        <f t="shared" si="624"/>
        <v>800</v>
      </c>
      <c r="O72" s="704">
        <f t="shared" si="624"/>
        <v>800</v>
      </c>
      <c r="P72" s="704">
        <f t="shared" si="624"/>
        <v>0</v>
      </c>
      <c r="Q72" s="704">
        <f t="shared" si="624"/>
        <v>0</v>
      </c>
      <c r="R72" s="1021">
        <f t="shared" si="624"/>
        <v>25335.348315789477</v>
      </c>
      <c r="S72" s="872">
        <f t="shared" si="624"/>
        <v>16.09973894551305</v>
      </c>
      <c r="T72" s="1022">
        <f t="shared" si="624"/>
        <v>0</v>
      </c>
      <c r="U72" s="711" t="str">
        <f t="shared" si="624"/>
        <v>LG&amp;E and KU Commercial Rebates Program Impact Evaluation for Chillers - FINAL October 24, 2016 by The Tetra Tech Evaluation Team</v>
      </c>
      <c r="V72" s="716">
        <f t="shared" si="624"/>
        <v>0</v>
      </c>
      <c r="W72" s="711">
        <f t="shared" si="624"/>
        <v>1</v>
      </c>
      <c r="X72" s="781">
        <f t="shared" ref="X72:AJ72" si="625">X15/2</f>
        <v>0</v>
      </c>
      <c r="Y72" s="781">
        <f t="shared" si="625"/>
        <v>0</v>
      </c>
      <c r="Z72" s="781">
        <f t="shared" si="625"/>
        <v>0</v>
      </c>
      <c r="AA72" s="781">
        <f t="shared" si="625"/>
        <v>0</v>
      </c>
      <c r="AB72" s="781">
        <f t="shared" si="625"/>
        <v>0</v>
      </c>
      <c r="AC72" s="781">
        <f t="shared" si="625"/>
        <v>0.5</v>
      </c>
      <c r="AD72" s="781">
        <f t="shared" si="625"/>
        <v>0</v>
      </c>
      <c r="AE72" s="781">
        <f t="shared" si="625"/>
        <v>0</v>
      </c>
      <c r="AF72" s="781">
        <f t="shared" si="625"/>
        <v>0.5</v>
      </c>
      <c r="AG72" s="781">
        <f t="shared" si="625"/>
        <v>0</v>
      </c>
      <c r="AH72" s="781">
        <f t="shared" si="625"/>
        <v>0</v>
      </c>
      <c r="AI72" s="781">
        <f t="shared" si="625"/>
        <v>0.5</v>
      </c>
      <c r="AJ72" s="781">
        <f t="shared" si="625"/>
        <v>0</v>
      </c>
      <c r="AK72" s="711" t="str">
        <f t="shared" ref="AK72:BA72" si="626">AK15</f>
        <v>Electric</v>
      </c>
      <c r="AL72" s="711" t="str">
        <f t="shared" si="626"/>
        <v>Commercial</v>
      </c>
      <c r="AM72" s="711" t="str">
        <f t="shared" si="626"/>
        <v>Miscellaneous</v>
      </c>
      <c r="AN72" s="711" t="str">
        <f t="shared" si="626"/>
        <v>Cooling Chillers</v>
      </c>
      <c r="AO72" s="711" t="str">
        <f t="shared" si="626"/>
        <v>Existing</v>
      </c>
      <c r="AP72" s="711">
        <f t="shared" si="626"/>
        <v>0</v>
      </c>
      <c r="AQ72" s="711">
        <f t="shared" si="626"/>
        <v>0</v>
      </c>
      <c r="AR72" s="711">
        <f t="shared" si="626"/>
        <v>0</v>
      </c>
      <c r="AS72" s="711" t="str">
        <f t="shared" si="626"/>
        <v>OFFLGCool</v>
      </c>
      <c r="AT72" s="715" t="s">
        <v>745</v>
      </c>
      <c r="AU72" s="1065" t="s">
        <v>771</v>
      </c>
      <c r="AV72" s="711">
        <f t="shared" si="626"/>
        <v>10</v>
      </c>
      <c r="AW72" s="711">
        <f t="shared" si="626"/>
        <v>10</v>
      </c>
      <c r="AX72" s="711" t="s">
        <v>2712</v>
      </c>
      <c r="AY72" s="711">
        <f t="shared" si="626"/>
        <v>1</v>
      </c>
      <c r="AZ72" s="711">
        <f t="shared" si="626"/>
        <v>1</v>
      </c>
      <c r="BA72" s="1066">
        <f t="shared" si="626"/>
        <v>0</v>
      </c>
      <c r="BB72" s="721">
        <f t="shared" si="493"/>
        <v>3200</v>
      </c>
      <c r="BC72" s="499">
        <f t="shared" si="494"/>
        <v>3200</v>
      </c>
      <c r="BD72" s="499">
        <f t="shared" si="495"/>
        <v>3200</v>
      </c>
      <c r="BE72" s="499">
        <f t="shared" si="496"/>
        <v>3200</v>
      </c>
      <c r="BF72" s="499">
        <f t="shared" si="497"/>
        <v>3200</v>
      </c>
      <c r="BG72" s="499">
        <f t="shared" si="498"/>
        <v>3200</v>
      </c>
      <c r="BH72" s="499">
        <f t="shared" si="499"/>
        <v>3200</v>
      </c>
      <c r="BI72" s="721">
        <f t="shared" si="474"/>
        <v>0</v>
      </c>
      <c r="BJ72" s="499">
        <f t="shared" ref="BJ72:BM72" si="627">BI72</f>
        <v>0</v>
      </c>
      <c r="BK72" s="499">
        <f t="shared" si="627"/>
        <v>0</v>
      </c>
      <c r="BL72" s="499">
        <f t="shared" si="627"/>
        <v>0</v>
      </c>
      <c r="BM72" s="499">
        <f t="shared" si="627"/>
        <v>0</v>
      </c>
      <c r="BN72" s="499">
        <f t="shared" si="501"/>
        <v>0</v>
      </c>
      <c r="BO72" s="499">
        <f t="shared" si="502"/>
        <v>0</v>
      </c>
      <c r="BP72" s="721">
        <f t="shared" si="476"/>
        <v>800</v>
      </c>
      <c r="BQ72" s="499">
        <f t="shared" si="477"/>
        <v>800</v>
      </c>
      <c r="BR72" s="499">
        <f t="shared" si="503"/>
        <v>800</v>
      </c>
      <c r="BS72" s="499">
        <f t="shared" si="504"/>
        <v>800</v>
      </c>
      <c r="BT72" s="499">
        <f t="shared" si="505"/>
        <v>800</v>
      </c>
      <c r="BU72" s="499">
        <f t="shared" si="506"/>
        <v>800</v>
      </c>
      <c r="BV72" s="499">
        <f t="shared" si="507"/>
        <v>800</v>
      </c>
      <c r="BW72" s="774">
        <f t="shared" si="508"/>
        <v>0</v>
      </c>
      <c r="BX72" s="503">
        <f t="shared" si="483"/>
        <v>0</v>
      </c>
      <c r="BY72" s="503">
        <f t="shared" si="483"/>
        <v>0</v>
      </c>
      <c r="BZ72" s="503">
        <f t="shared" si="483"/>
        <v>0</v>
      </c>
      <c r="CA72" s="503">
        <f t="shared" si="483"/>
        <v>0</v>
      </c>
      <c r="CB72" s="503">
        <f t="shared" si="483"/>
        <v>0</v>
      </c>
      <c r="CC72" s="503">
        <f t="shared" si="483"/>
        <v>0</v>
      </c>
      <c r="CD72" s="722">
        <f t="shared" si="484"/>
        <v>25335.348315789477</v>
      </c>
      <c r="CE72" s="511">
        <f t="shared" ref="CE72:CH72" si="628">CD72</f>
        <v>25335.348315789477</v>
      </c>
      <c r="CF72" s="511">
        <f t="shared" si="628"/>
        <v>25335.348315789477</v>
      </c>
      <c r="CG72" s="511">
        <f t="shared" si="628"/>
        <v>25335.348315789477</v>
      </c>
      <c r="CH72" s="511">
        <f t="shared" si="628"/>
        <v>25335.348315789477</v>
      </c>
      <c r="CI72" s="511">
        <f t="shared" si="510"/>
        <v>25335.348315789477</v>
      </c>
      <c r="CJ72" s="511">
        <f t="shared" si="511"/>
        <v>25335.348315789477</v>
      </c>
      <c r="CK72" s="722">
        <f t="shared" si="486"/>
        <v>16.09973894551305</v>
      </c>
      <c r="CL72" s="511">
        <f t="shared" ref="CL72:CO72" si="629">CK72</f>
        <v>16.09973894551305</v>
      </c>
      <c r="CM72" s="511">
        <f t="shared" si="629"/>
        <v>16.09973894551305</v>
      </c>
      <c r="CN72" s="511">
        <f t="shared" si="629"/>
        <v>16.09973894551305</v>
      </c>
      <c r="CO72" s="511">
        <f t="shared" si="629"/>
        <v>16.09973894551305</v>
      </c>
      <c r="CP72" s="511">
        <f t="shared" si="513"/>
        <v>16.09973894551305</v>
      </c>
      <c r="CQ72" s="511">
        <f t="shared" si="514"/>
        <v>16.09973894551305</v>
      </c>
      <c r="CR72" s="722">
        <f t="shared" si="488"/>
        <v>0</v>
      </c>
      <c r="CS72" s="511">
        <f t="shared" ref="CS72:CV72" si="630">CR72</f>
        <v>0</v>
      </c>
      <c r="CT72" s="511">
        <f t="shared" si="630"/>
        <v>0</v>
      </c>
      <c r="CU72" s="511">
        <f t="shared" si="630"/>
        <v>0</v>
      </c>
      <c r="CV72" s="511">
        <f t="shared" si="630"/>
        <v>0</v>
      </c>
      <c r="CW72" s="511">
        <f t="shared" si="516"/>
        <v>0</v>
      </c>
      <c r="CX72" s="539">
        <f t="shared" si="517"/>
        <v>0</v>
      </c>
      <c r="CY72" s="724">
        <f t="shared" si="560"/>
        <v>0</v>
      </c>
      <c r="CZ72" s="508">
        <f t="shared" si="561"/>
        <v>0</v>
      </c>
      <c r="DA72" s="508">
        <f t="shared" si="562"/>
        <v>1600</v>
      </c>
      <c r="DB72" s="508">
        <f t="shared" si="563"/>
        <v>0</v>
      </c>
      <c r="DC72" s="508">
        <f t="shared" si="564"/>
        <v>0</v>
      </c>
      <c r="DD72" s="508">
        <f t="shared" si="565"/>
        <v>1600</v>
      </c>
      <c r="DE72" s="726">
        <f t="shared" si="566"/>
        <v>0</v>
      </c>
      <c r="DF72" s="724">
        <f t="shared" si="567"/>
        <v>0</v>
      </c>
      <c r="DG72" s="509">
        <f t="shared" si="568"/>
        <v>0</v>
      </c>
      <c r="DH72" s="509">
        <f t="shared" si="569"/>
        <v>0</v>
      </c>
      <c r="DI72" s="509">
        <f t="shared" si="570"/>
        <v>0</v>
      </c>
      <c r="DJ72" s="509">
        <f t="shared" si="571"/>
        <v>0</v>
      </c>
      <c r="DK72" s="509">
        <f t="shared" si="572"/>
        <v>0</v>
      </c>
      <c r="DL72" s="451">
        <f t="shared" si="573"/>
        <v>0</v>
      </c>
      <c r="DM72" s="509">
        <f t="shared" si="574"/>
        <v>0</v>
      </c>
      <c r="DN72" s="509">
        <f t="shared" si="575"/>
        <v>0</v>
      </c>
      <c r="DO72" s="509">
        <f t="shared" si="576"/>
        <v>400</v>
      </c>
      <c r="DP72" s="509">
        <f t="shared" si="577"/>
        <v>0</v>
      </c>
      <c r="DQ72" s="509">
        <f t="shared" si="578"/>
        <v>0</v>
      </c>
      <c r="DR72" s="509">
        <f t="shared" si="579"/>
        <v>400</v>
      </c>
      <c r="DS72" s="450">
        <f t="shared" si="580"/>
        <v>0</v>
      </c>
      <c r="DT72" s="724">
        <f t="shared" si="581"/>
        <v>0</v>
      </c>
      <c r="DU72" s="508">
        <f t="shared" si="582"/>
        <v>0</v>
      </c>
      <c r="DV72" s="508">
        <f t="shared" si="583"/>
        <v>0</v>
      </c>
      <c r="DW72" s="508">
        <f t="shared" si="584"/>
        <v>0</v>
      </c>
      <c r="DX72" s="508">
        <f t="shared" si="585"/>
        <v>0</v>
      </c>
      <c r="DY72" s="508">
        <f t="shared" si="586"/>
        <v>0</v>
      </c>
      <c r="DZ72" s="726">
        <f t="shared" si="587"/>
        <v>0</v>
      </c>
      <c r="EA72" s="722">
        <f t="shared" si="588"/>
        <v>0</v>
      </c>
      <c r="EB72" s="511">
        <f t="shared" si="589"/>
        <v>0</v>
      </c>
      <c r="EC72" s="511">
        <f t="shared" si="590"/>
        <v>12667.674157894739</v>
      </c>
      <c r="ED72" s="511">
        <f t="shared" si="591"/>
        <v>0</v>
      </c>
      <c r="EE72" s="511">
        <f t="shared" si="592"/>
        <v>0</v>
      </c>
      <c r="EF72" s="511">
        <f t="shared" si="593"/>
        <v>12667.674157894739</v>
      </c>
      <c r="EG72" s="723">
        <f t="shared" si="594"/>
        <v>0</v>
      </c>
      <c r="EH72" s="397">
        <f t="shared" si="595"/>
        <v>0</v>
      </c>
      <c r="EI72" s="397">
        <f t="shared" si="596"/>
        <v>0</v>
      </c>
      <c r="EJ72" s="397">
        <f t="shared" si="597"/>
        <v>8.0498694727565248</v>
      </c>
      <c r="EK72" s="397">
        <f t="shared" si="598"/>
        <v>0</v>
      </c>
      <c r="EL72" s="397">
        <f t="shared" si="599"/>
        <v>0</v>
      </c>
      <c r="EM72" s="397">
        <f t="shared" si="600"/>
        <v>8.0498694727565248</v>
      </c>
      <c r="EN72" s="398">
        <f t="shared" si="601"/>
        <v>0</v>
      </c>
      <c r="EO72" s="722">
        <f t="shared" si="602"/>
        <v>0</v>
      </c>
      <c r="EP72" s="511">
        <f t="shared" si="603"/>
        <v>0</v>
      </c>
      <c r="EQ72" s="511">
        <f t="shared" si="604"/>
        <v>0</v>
      </c>
      <c r="ER72" s="511">
        <f t="shared" si="605"/>
        <v>0</v>
      </c>
      <c r="ES72" s="511">
        <f t="shared" si="606"/>
        <v>0</v>
      </c>
      <c r="ET72" s="511">
        <f t="shared" si="607"/>
        <v>0</v>
      </c>
      <c r="EU72" s="723">
        <f t="shared" si="608"/>
        <v>0</v>
      </c>
      <c r="EV72" s="727">
        <f t="shared" si="609"/>
        <v>0.5</v>
      </c>
      <c r="EW72" s="728">
        <f t="shared" si="610"/>
        <v>3200</v>
      </c>
      <c r="EX72" s="728">
        <f t="shared" si="611"/>
        <v>0</v>
      </c>
      <c r="EY72" s="728">
        <f t="shared" si="612"/>
        <v>800</v>
      </c>
      <c r="EZ72" s="728">
        <f t="shared" si="613"/>
        <v>0</v>
      </c>
      <c r="FA72" s="777">
        <f t="shared" si="614"/>
        <v>25335.348315789477</v>
      </c>
      <c r="FB72" s="777">
        <f t="shared" si="615"/>
        <v>16.09973894551305</v>
      </c>
      <c r="FC72" s="778">
        <f t="shared" si="616"/>
        <v>0</v>
      </c>
      <c r="FE72" s="10"/>
      <c r="FF72" s="10"/>
    </row>
    <row r="73" spans="1:162">
      <c r="A73" s="662" t="s">
        <v>187</v>
      </c>
      <c r="B73" s="789" t="s">
        <v>1365</v>
      </c>
      <c r="C73" s="789" t="str">
        <f t="shared" ref="C73:W73" si="631">C16</f>
        <v>Water Cooled Chilled Water Reset</v>
      </c>
      <c r="D73" s="789" t="str">
        <f t="shared" si="631"/>
        <v>No Reset</v>
      </c>
      <c r="E73" s="789" t="str">
        <f t="shared" si="631"/>
        <v>Per Unit</v>
      </c>
      <c r="F73" s="789" t="str">
        <f t="shared" si="631"/>
        <v>Per Unit</v>
      </c>
      <c r="G73" s="704" t="str">
        <f t="shared" si="631"/>
        <v>Incremental Cost</v>
      </c>
      <c r="H73" s="704">
        <f t="shared" si="631"/>
        <v>1200</v>
      </c>
      <c r="I73" s="704">
        <f t="shared" si="631"/>
        <v>0</v>
      </c>
      <c r="J73" s="704">
        <f t="shared" si="631"/>
        <v>1200</v>
      </c>
      <c r="K73" s="704">
        <f t="shared" si="631"/>
        <v>0</v>
      </c>
      <c r="L73" s="704">
        <f t="shared" si="631"/>
        <v>600</v>
      </c>
      <c r="M73" s="707" t="str">
        <f t="shared" si="631"/>
        <v>Estimated incentive equals 25% of incremental cost. Reference: Assume 2 point for air cooled. CWST Reset Costs CA 2013 Standard Doc: http://www.energy.ca.gov/title24/2013standards/prerulemaking/documents/2011-08-17_workshop/presentations/05%20Condenser%20Water%20Reset%20Control.pdf</v>
      </c>
      <c r="N73" s="704">
        <f t="shared" si="631"/>
        <v>300</v>
      </c>
      <c r="O73" s="704">
        <f t="shared" si="631"/>
        <v>300</v>
      </c>
      <c r="P73" s="704">
        <f t="shared" si="631"/>
        <v>0</v>
      </c>
      <c r="Q73" s="704">
        <f t="shared" si="631"/>
        <v>0</v>
      </c>
      <c r="R73" s="1021">
        <f t="shared" si="631"/>
        <v>13465.139191630722</v>
      </c>
      <c r="S73" s="872">
        <f t="shared" si="631"/>
        <v>7.9032285049888067</v>
      </c>
      <c r="T73" s="1022">
        <f t="shared" si="631"/>
        <v>0</v>
      </c>
      <c r="U73" s="711" t="str">
        <f t="shared" si="631"/>
        <v>LG&amp;E and KU Commercial Rebates Program Impact Evaluation for Chillers - FINAL October 24, 2016 by The Tetra Tech Evaluation Team</v>
      </c>
      <c r="V73" s="716">
        <f t="shared" si="631"/>
        <v>0</v>
      </c>
      <c r="W73" s="711">
        <f t="shared" si="631"/>
        <v>1</v>
      </c>
      <c r="X73" s="781">
        <f t="shared" ref="X73:AJ73" si="632">X16/2</f>
        <v>0</v>
      </c>
      <c r="Y73" s="781">
        <f t="shared" si="632"/>
        <v>0</v>
      </c>
      <c r="Z73" s="781">
        <f t="shared" si="632"/>
        <v>1.5</v>
      </c>
      <c r="AA73" s="781">
        <f t="shared" si="632"/>
        <v>0</v>
      </c>
      <c r="AB73" s="781">
        <f t="shared" si="632"/>
        <v>0.75</v>
      </c>
      <c r="AC73" s="781">
        <f t="shared" si="632"/>
        <v>1</v>
      </c>
      <c r="AD73" s="781">
        <f t="shared" si="632"/>
        <v>0.5</v>
      </c>
      <c r="AE73" s="781">
        <f t="shared" si="632"/>
        <v>1</v>
      </c>
      <c r="AF73" s="781">
        <f t="shared" si="632"/>
        <v>0.5</v>
      </c>
      <c r="AG73" s="781">
        <f t="shared" si="632"/>
        <v>1</v>
      </c>
      <c r="AH73" s="781">
        <f t="shared" si="632"/>
        <v>0.5</v>
      </c>
      <c r="AI73" s="781">
        <f t="shared" si="632"/>
        <v>1</v>
      </c>
      <c r="AJ73" s="781">
        <f t="shared" si="632"/>
        <v>0.5</v>
      </c>
      <c r="AK73" s="711" t="str">
        <f t="shared" ref="AK73:BA73" si="633">AK16</f>
        <v>Electric</v>
      </c>
      <c r="AL73" s="711" t="str">
        <f t="shared" si="633"/>
        <v>Commercial</v>
      </c>
      <c r="AM73" s="711" t="str">
        <f t="shared" si="633"/>
        <v>Large Office</v>
      </c>
      <c r="AN73" s="711" t="str">
        <f t="shared" si="633"/>
        <v>Cooling Chillers</v>
      </c>
      <c r="AO73" s="711" t="str">
        <f t="shared" si="633"/>
        <v>Existing</v>
      </c>
      <c r="AP73" s="711">
        <f t="shared" si="633"/>
        <v>0</v>
      </c>
      <c r="AQ73" s="711">
        <f t="shared" si="633"/>
        <v>0</v>
      </c>
      <c r="AR73" s="711">
        <f t="shared" si="633"/>
        <v>0</v>
      </c>
      <c r="AS73" s="711" t="str">
        <f t="shared" si="633"/>
        <v>OFFLGCool</v>
      </c>
      <c r="AT73" s="715" t="s">
        <v>745</v>
      </c>
      <c r="AU73" s="1065" t="s">
        <v>771</v>
      </c>
      <c r="AV73" s="711">
        <f t="shared" si="633"/>
        <v>10</v>
      </c>
      <c r="AW73" s="711">
        <f t="shared" si="633"/>
        <v>10</v>
      </c>
      <c r="AX73" s="711" t="s">
        <v>2712</v>
      </c>
      <c r="AY73" s="711">
        <f t="shared" si="633"/>
        <v>1</v>
      </c>
      <c r="AZ73" s="711">
        <f t="shared" si="633"/>
        <v>1</v>
      </c>
      <c r="BA73" s="1066">
        <f t="shared" si="633"/>
        <v>0</v>
      </c>
      <c r="BB73" s="721">
        <f t="shared" si="493"/>
        <v>1200</v>
      </c>
      <c r="BC73" s="499">
        <f t="shared" si="494"/>
        <v>1200</v>
      </c>
      <c r="BD73" s="499">
        <f t="shared" si="495"/>
        <v>1200</v>
      </c>
      <c r="BE73" s="499">
        <f t="shared" si="496"/>
        <v>1200</v>
      </c>
      <c r="BF73" s="499">
        <f t="shared" si="497"/>
        <v>1200</v>
      </c>
      <c r="BG73" s="499">
        <f t="shared" si="498"/>
        <v>1200</v>
      </c>
      <c r="BH73" s="499">
        <f t="shared" si="499"/>
        <v>1200</v>
      </c>
      <c r="BI73" s="721">
        <f t="shared" si="474"/>
        <v>0</v>
      </c>
      <c r="BJ73" s="499">
        <f t="shared" ref="BJ73:BM73" si="634">BI73</f>
        <v>0</v>
      </c>
      <c r="BK73" s="499">
        <f t="shared" si="634"/>
        <v>0</v>
      </c>
      <c r="BL73" s="499">
        <f t="shared" si="634"/>
        <v>0</v>
      </c>
      <c r="BM73" s="499">
        <f t="shared" si="634"/>
        <v>0</v>
      </c>
      <c r="BN73" s="499">
        <f t="shared" si="501"/>
        <v>0</v>
      </c>
      <c r="BO73" s="499">
        <f t="shared" si="502"/>
        <v>0</v>
      </c>
      <c r="BP73" s="721">
        <f t="shared" si="476"/>
        <v>300</v>
      </c>
      <c r="BQ73" s="499">
        <f t="shared" si="477"/>
        <v>300</v>
      </c>
      <c r="BR73" s="499">
        <f t="shared" si="503"/>
        <v>300</v>
      </c>
      <c r="BS73" s="499">
        <f t="shared" si="504"/>
        <v>300</v>
      </c>
      <c r="BT73" s="499">
        <f t="shared" si="505"/>
        <v>300</v>
      </c>
      <c r="BU73" s="499">
        <f t="shared" si="506"/>
        <v>300</v>
      </c>
      <c r="BV73" s="499">
        <f t="shared" si="507"/>
        <v>300</v>
      </c>
      <c r="BW73" s="774">
        <f t="shared" si="508"/>
        <v>0</v>
      </c>
      <c r="BX73" s="503">
        <f t="shared" si="483"/>
        <v>0</v>
      </c>
      <c r="BY73" s="503">
        <f t="shared" si="483"/>
        <v>0</v>
      </c>
      <c r="BZ73" s="503">
        <f t="shared" si="483"/>
        <v>0</v>
      </c>
      <c r="CA73" s="503">
        <f t="shared" si="483"/>
        <v>0</v>
      </c>
      <c r="CB73" s="503">
        <f t="shared" si="483"/>
        <v>0</v>
      </c>
      <c r="CC73" s="503">
        <f t="shared" si="483"/>
        <v>0</v>
      </c>
      <c r="CD73" s="722">
        <f t="shared" si="484"/>
        <v>13465.139191630722</v>
      </c>
      <c r="CE73" s="511">
        <f t="shared" ref="CE73:CH73" si="635">CD73</f>
        <v>13465.139191630722</v>
      </c>
      <c r="CF73" s="511">
        <f t="shared" si="635"/>
        <v>13465.139191630722</v>
      </c>
      <c r="CG73" s="511">
        <f t="shared" si="635"/>
        <v>13465.139191630722</v>
      </c>
      <c r="CH73" s="511">
        <f t="shared" si="635"/>
        <v>13465.139191630722</v>
      </c>
      <c r="CI73" s="511">
        <f t="shared" si="510"/>
        <v>13465.139191630722</v>
      </c>
      <c r="CJ73" s="511">
        <f t="shared" si="511"/>
        <v>13465.139191630722</v>
      </c>
      <c r="CK73" s="722">
        <f t="shared" si="486"/>
        <v>7.9032285049888067</v>
      </c>
      <c r="CL73" s="511">
        <f t="shared" ref="CL73:CO73" si="636">CK73</f>
        <v>7.9032285049888067</v>
      </c>
      <c r="CM73" s="511">
        <f t="shared" si="636"/>
        <v>7.9032285049888067</v>
      </c>
      <c r="CN73" s="511">
        <f t="shared" si="636"/>
        <v>7.9032285049888067</v>
      </c>
      <c r="CO73" s="511">
        <f t="shared" si="636"/>
        <v>7.9032285049888067</v>
      </c>
      <c r="CP73" s="511">
        <f t="shared" si="513"/>
        <v>7.9032285049888067</v>
      </c>
      <c r="CQ73" s="511">
        <f t="shared" si="514"/>
        <v>7.9032285049888067</v>
      </c>
      <c r="CR73" s="722">
        <f t="shared" si="488"/>
        <v>0</v>
      </c>
      <c r="CS73" s="511">
        <f t="shared" ref="CS73:CV73" si="637">CR73</f>
        <v>0</v>
      </c>
      <c r="CT73" s="511">
        <f t="shared" si="637"/>
        <v>0</v>
      </c>
      <c r="CU73" s="511">
        <f t="shared" si="637"/>
        <v>0</v>
      </c>
      <c r="CV73" s="511">
        <f t="shared" si="637"/>
        <v>0</v>
      </c>
      <c r="CW73" s="511">
        <f t="shared" si="516"/>
        <v>0</v>
      </c>
      <c r="CX73" s="539">
        <f t="shared" si="517"/>
        <v>0</v>
      </c>
      <c r="CY73" s="724">
        <f t="shared" si="560"/>
        <v>600</v>
      </c>
      <c r="CZ73" s="508">
        <f t="shared" si="561"/>
        <v>1200</v>
      </c>
      <c r="DA73" s="508">
        <f t="shared" si="562"/>
        <v>600</v>
      </c>
      <c r="DB73" s="508">
        <f t="shared" si="563"/>
        <v>1200</v>
      </c>
      <c r="DC73" s="508">
        <f t="shared" si="564"/>
        <v>600</v>
      </c>
      <c r="DD73" s="508">
        <f t="shared" si="565"/>
        <v>1200</v>
      </c>
      <c r="DE73" s="726">
        <f t="shared" si="566"/>
        <v>600</v>
      </c>
      <c r="DF73" s="724">
        <f t="shared" si="567"/>
        <v>0</v>
      </c>
      <c r="DG73" s="509">
        <f t="shared" si="568"/>
        <v>0</v>
      </c>
      <c r="DH73" s="509">
        <f t="shared" si="569"/>
        <v>0</v>
      </c>
      <c r="DI73" s="509">
        <f t="shared" si="570"/>
        <v>0</v>
      </c>
      <c r="DJ73" s="509">
        <f t="shared" si="571"/>
        <v>0</v>
      </c>
      <c r="DK73" s="509">
        <f t="shared" si="572"/>
        <v>0</v>
      </c>
      <c r="DL73" s="451">
        <f t="shared" si="573"/>
        <v>0</v>
      </c>
      <c r="DM73" s="509">
        <f t="shared" si="574"/>
        <v>150</v>
      </c>
      <c r="DN73" s="509">
        <f t="shared" si="575"/>
        <v>300</v>
      </c>
      <c r="DO73" s="509">
        <f t="shared" si="576"/>
        <v>150</v>
      </c>
      <c r="DP73" s="509">
        <f t="shared" si="577"/>
        <v>300</v>
      </c>
      <c r="DQ73" s="509">
        <f t="shared" si="578"/>
        <v>150</v>
      </c>
      <c r="DR73" s="509">
        <f t="shared" si="579"/>
        <v>300</v>
      </c>
      <c r="DS73" s="450">
        <f t="shared" si="580"/>
        <v>150</v>
      </c>
      <c r="DT73" s="724">
        <f t="shared" si="581"/>
        <v>0</v>
      </c>
      <c r="DU73" s="508">
        <f t="shared" si="582"/>
        <v>0</v>
      </c>
      <c r="DV73" s="508">
        <f t="shared" si="583"/>
        <v>0</v>
      </c>
      <c r="DW73" s="508">
        <f t="shared" si="584"/>
        <v>0</v>
      </c>
      <c r="DX73" s="508">
        <f t="shared" si="585"/>
        <v>0</v>
      </c>
      <c r="DY73" s="508">
        <f t="shared" si="586"/>
        <v>0</v>
      </c>
      <c r="DZ73" s="726">
        <f t="shared" si="587"/>
        <v>0</v>
      </c>
      <c r="EA73" s="722">
        <f t="shared" si="588"/>
        <v>6732.569595815361</v>
      </c>
      <c r="EB73" s="511">
        <f t="shared" si="589"/>
        <v>13465.139191630722</v>
      </c>
      <c r="EC73" s="511">
        <f t="shared" si="590"/>
        <v>6732.569595815361</v>
      </c>
      <c r="ED73" s="511">
        <f t="shared" si="591"/>
        <v>13465.139191630722</v>
      </c>
      <c r="EE73" s="511">
        <f t="shared" si="592"/>
        <v>6732.569595815361</v>
      </c>
      <c r="EF73" s="511">
        <f t="shared" si="593"/>
        <v>13465.139191630722</v>
      </c>
      <c r="EG73" s="723">
        <f t="shared" si="594"/>
        <v>6732.569595815361</v>
      </c>
      <c r="EH73" s="397">
        <f t="shared" si="595"/>
        <v>3.9516142524944033</v>
      </c>
      <c r="EI73" s="397">
        <f t="shared" si="596"/>
        <v>7.9032285049888067</v>
      </c>
      <c r="EJ73" s="397">
        <f t="shared" si="597"/>
        <v>3.9516142524944033</v>
      </c>
      <c r="EK73" s="397">
        <f t="shared" si="598"/>
        <v>7.9032285049888067</v>
      </c>
      <c r="EL73" s="397">
        <f t="shared" si="599"/>
        <v>3.9516142524944033</v>
      </c>
      <c r="EM73" s="397">
        <f t="shared" si="600"/>
        <v>7.9032285049888067</v>
      </c>
      <c r="EN73" s="398">
        <f t="shared" si="601"/>
        <v>3.9516142524944033</v>
      </c>
      <c r="EO73" s="722">
        <f t="shared" si="602"/>
        <v>0</v>
      </c>
      <c r="EP73" s="511">
        <f t="shared" si="603"/>
        <v>0</v>
      </c>
      <c r="EQ73" s="511">
        <f t="shared" si="604"/>
        <v>0</v>
      </c>
      <c r="ER73" s="511">
        <f t="shared" si="605"/>
        <v>0</v>
      </c>
      <c r="ES73" s="511">
        <f t="shared" si="606"/>
        <v>0</v>
      </c>
      <c r="ET73" s="511">
        <f t="shared" si="607"/>
        <v>0</v>
      </c>
      <c r="EU73" s="723">
        <f t="shared" si="608"/>
        <v>0</v>
      </c>
      <c r="EV73" s="727">
        <f t="shared" si="609"/>
        <v>2</v>
      </c>
      <c r="EW73" s="728">
        <f t="shared" si="610"/>
        <v>6000</v>
      </c>
      <c r="EX73" s="728">
        <f t="shared" si="611"/>
        <v>0</v>
      </c>
      <c r="EY73" s="728">
        <f t="shared" si="612"/>
        <v>1500</v>
      </c>
      <c r="EZ73" s="728">
        <f t="shared" si="613"/>
        <v>0</v>
      </c>
      <c r="FA73" s="777">
        <f t="shared" si="614"/>
        <v>67325.695958153621</v>
      </c>
      <c r="FB73" s="777">
        <f t="shared" si="615"/>
        <v>39.516142524944037</v>
      </c>
      <c r="FC73" s="778">
        <f t="shared" si="616"/>
        <v>0</v>
      </c>
      <c r="FE73" s="10"/>
      <c r="FF73" s="10"/>
    </row>
    <row r="74" spans="1:162">
      <c r="A74" s="662" t="s">
        <v>188</v>
      </c>
      <c r="B74" s="789" t="s">
        <v>1366</v>
      </c>
      <c r="C74" s="789" t="str">
        <f t="shared" ref="C74:W74" si="638">C17</f>
        <v>Water Cooled Chilled Water Reset</v>
      </c>
      <c r="D74" s="789" t="str">
        <f t="shared" si="638"/>
        <v>No Reset</v>
      </c>
      <c r="E74" s="789" t="str">
        <f t="shared" si="638"/>
        <v>Per Unit</v>
      </c>
      <c r="F74" s="789" t="str">
        <f t="shared" si="638"/>
        <v>Per Unit</v>
      </c>
      <c r="G74" s="704" t="str">
        <f t="shared" si="638"/>
        <v>Incremental Cost</v>
      </c>
      <c r="H74" s="704">
        <f t="shared" si="638"/>
        <v>3200</v>
      </c>
      <c r="I74" s="704">
        <f t="shared" si="638"/>
        <v>0</v>
      </c>
      <c r="J74" s="704">
        <f t="shared" si="638"/>
        <v>3200</v>
      </c>
      <c r="K74" s="704">
        <f t="shared" si="638"/>
        <v>0</v>
      </c>
      <c r="L74" s="704">
        <f t="shared" si="638"/>
        <v>1600</v>
      </c>
      <c r="M74" s="707" t="str">
        <f t="shared" si="638"/>
        <v>Estimated incentive equals 25% of incremental cost. Reference: Assume 2 point for air cooled. CWST Reset Costs CA 2013 Standard Doc: http://www.energy.ca.gov/title24/2013standards/prerulemaking/documents/2011-08-17_workshop/presentations/05%20Condenser%20Water%20Reset%20Control.pdf</v>
      </c>
      <c r="N74" s="704">
        <f t="shared" si="638"/>
        <v>800</v>
      </c>
      <c r="O74" s="704">
        <f t="shared" si="638"/>
        <v>800</v>
      </c>
      <c r="P74" s="704">
        <f t="shared" si="638"/>
        <v>0</v>
      </c>
      <c r="Q74" s="704">
        <f t="shared" si="638"/>
        <v>0</v>
      </c>
      <c r="R74" s="1021">
        <f t="shared" si="638"/>
        <v>39279.830921052635</v>
      </c>
      <c r="S74" s="872">
        <f t="shared" si="638"/>
        <v>23.054903108566215</v>
      </c>
      <c r="T74" s="1022">
        <f t="shared" si="638"/>
        <v>0</v>
      </c>
      <c r="U74" s="711" t="str">
        <f t="shared" si="638"/>
        <v>LG&amp;E and KU Commercial Rebates Program Impact Evaluation for Chillers - FINAL October 24, 2016 by The Tetra Tech Evaluation Team</v>
      </c>
      <c r="V74" s="716">
        <f t="shared" si="638"/>
        <v>0</v>
      </c>
      <c r="W74" s="711">
        <f t="shared" si="638"/>
        <v>1</v>
      </c>
      <c r="X74" s="781">
        <f t="shared" ref="X74:AJ74" si="639">X17/2</f>
        <v>0</v>
      </c>
      <c r="Y74" s="781">
        <f t="shared" si="639"/>
        <v>0</v>
      </c>
      <c r="Z74" s="781">
        <f t="shared" si="639"/>
        <v>1.5</v>
      </c>
      <c r="AA74" s="781">
        <f t="shared" si="639"/>
        <v>0</v>
      </c>
      <c r="AB74" s="781">
        <f t="shared" si="639"/>
        <v>0.75</v>
      </c>
      <c r="AC74" s="781">
        <f t="shared" si="639"/>
        <v>0.5</v>
      </c>
      <c r="AD74" s="781">
        <f t="shared" si="639"/>
        <v>1</v>
      </c>
      <c r="AE74" s="781">
        <f t="shared" si="639"/>
        <v>0.5</v>
      </c>
      <c r="AF74" s="781">
        <f t="shared" si="639"/>
        <v>1</v>
      </c>
      <c r="AG74" s="781">
        <f t="shared" si="639"/>
        <v>0.5</v>
      </c>
      <c r="AH74" s="781">
        <f t="shared" si="639"/>
        <v>1</v>
      </c>
      <c r="AI74" s="781">
        <f t="shared" si="639"/>
        <v>0.5</v>
      </c>
      <c r="AJ74" s="781">
        <f t="shared" si="639"/>
        <v>1</v>
      </c>
      <c r="AK74" s="711" t="str">
        <f t="shared" ref="AK74:BA74" si="640">AK17</f>
        <v>Electric</v>
      </c>
      <c r="AL74" s="711" t="str">
        <f t="shared" si="640"/>
        <v>Commercial</v>
      </c>
      <c r="AM74" s="711" t="str">
        <f t="shared" si="640"/>
        <v>Large Office</v>
      </c>
      <c r="AN74" s="711" t="str">
        <f t="shared" si="640"/>
        <v>Cooling Chillers</v>
      </c>
      <c r="AO74" s="711" t="str">
        <f t="shared" si="640"/>
        <v>Existing</v>
      </c>
      <c r="AP74" s="711">
        <f t="shared" si="640"/>
        <v>0</v>
      </c>
      <c r="AQ74" s="711">
        <f t="shared" si="640"/>
        <v>0</v>
      </c>
      <c r="AR74" s="711">
        <f t="shared" si="640"/>
        <v>0</v>
      </c>
      <c r="AS74" s="711" t="str">
        <f t="shared" si="640"/>
        <v>OFFLGCool</v>
      </c>
      <c r="AT74" s="715" t="s">
        <v>745</v>
      </c>
      <c r="AU74" s="1065" t="s">
        <v>771</v>
      </c>
      <c r="AV74" s="711">
        <f t="shared" si="640"/>
        <v>10</v>
      </c>
      <c r="AW74" s="711">
        <f t="shared" si="640"/>
        <v>10</v>
      </c>
      <c r="AX74" s="711" t="s">
        <v>2712</v>
      </c>
      <c r="AY74" s="711">
        <f t="shared" si="640"/>
        <v>1</v>
      </c>
      <c r="AZ74" s="711">
        <f t="shared" si="640"/>
        <v>1</v>
      </c>
      <c r="BA74" s="1066">
        <f t="shared" si="640"/>
        <v>0</v>
      </c>
      <c r="BB74" s="721">
        <f t="shared" si="493"/>
        <v>3200</v>
      </c>
      <c r="BC74" s="499">
        <f t="shared" si="494"/>
        <v>3200</v>
      </c>
      <c r="BD74" s="499">
        <f t="shared" si="495"/>
        <v>3200</v>
      </c>
      <c r="BE74" s="499">
        <f t="shared" si="496"/>
        <v>3200</v>
      </c>
      <c r="BF74" s="499">
        <f t="shared" si="497"/>
        <v>3200</v>
      </c>
      <c r="BG74" s="499">
        <f t="shared" si="498"/>
        <v>3200</v>
      </c>
      <c r="BH74" s="499">
        <f t="shared" si="499"/>
        <v>3200</v>
      </c>
      <c r="BI74" s="721">
        <f t="shared" si="474"/>
        <v>0</v>
      </c>
      <c r="BJ74" s="499">
        <f t="shared" ref="BJ74:BM74" si="641">BI74</f>
        <v>0</v>
      </c>
      <c r="BK74" s="499">
        <f t="shared" si="641"/>
        <v>0</v>
      </c>
      <c r="BL74" s="499">
        <f t="shared" si="641"/>
        <v>0</v>
      </c>
      <c r="BM74" s="499">
        <f t="shared" si="641"/>
        <v>0</v>
      </c>
      <c r="BN74" s="499">
        <f t="shared" si="501"/>
        <v>0</v>
      </c>
      <c r="BO74" s="499">
        <f t="shared" si="502"/>
        <v>0</v>
      </c>
      <c r="BP74" s="721">
        <f t="shared" si="476"/>
        <v>800</v>
      </c>
      <c r="BQ74" s="499">
        <f t="shared" si="477"/>
        <v>800</v>
      </c>
      <c r="BR74" s="499">
        <f t="shared" si="503"/>
        <v>800</v>
      </c>
      <c r="BS74" s="499">
        <f t="shared" si="504"/>
        <v>800</v>
      </c>
      <c r="BT74" s="499">
        <f t="shared" si="505"/>
        <v>800</v>
      </c>
      <c r="BU74" s="499">
        <f t="shared" si="506"/>
        <v>800</v>
      </c>
      <c r="BV74" s="499">
        <f t="shared" si="507"/>
        <v>800</v>
      </c>
      <c r="BW74" s="774">
        <f t="shared" si="508"/>
        <v>0</v>
      </c>
      <c r="BX74" s="503">
        <f t="shared" si="483"/>
        <v>0</v>
      </c>
      <c r="BY74" s="503">
        <f t="shared" si="483"/>
        <v>0</v>
      </c>
      <c r="BZ74" s="503">
        <f t="shared" si="483"/>
        <v>0</v>
      </c>
      <c r="CA74" s="503">
        <f t="shared" si="483"/>
        <v>0</v>
      </c>
      <c r="CB74" s="503">
        <f t="shared" si="483"/>
        <v>0</v>
      </c>
      <c r="CC74" s="503">
        <f t="shared" si="483"/>
        <v>0</v>
      </c>
      <c r="CD74" s="722">
        <f t="shared" si="484"/>
        <v>39279.830921052635</v>
      </c>
      <c r="CE74" s="511">
        <f t="shared" ref="CE74:CH74" si="642">CD74</f>
        <v>39279.830921052635</v>
      </c>
      <c r="CF74" s="511">
        <f t="shared" si="642"/>
        <v>39279.830921052635</v>
      </c>
      <c r="CG74" s="511">
        <f t="shared" si="642"/>
        <v>39279.830921052635</v>
      </c>
      <c r="CH74" s="511">
        <f t="shared" si="642"/>
        <v>39279.830921052635</v>
      </c>
      <c r="CI74" s="511">
        <f t="shared" si="510"/>
        <v>39279.830921052635</v>
      </c>
      <c r="CJ74" s="511">
        <f t="shared" si="511"/>
        <v>39279.830921052635</v>
      </c>
      <c r="CK74" s="722">
        <f t="shared" si="486"/>
        <v>23.054903108566215</v>
      </c>
      <c r="CL74" s="511">
        <f t="shared" ref="CL74:CO74" si="643">CK74</f>
        <v>23.054903108566215</v>
      </c>
      <c r="CM74" s="511">
        <f t="shared" si="643"/>
        <v>23.054903108566215</v>
      </c>
      <c r="CN74" s="511">
        <f t="shared" si="643"/>
        <v>23.054903108566215</v>
      </c>
      <c r="CO74" s="511">
        <f t="shared" si="643"/>
        <v>23.054903108566215</v>
      </c>
      <c r="CP74" s="511">
        <f t="shared" si="513"/>
        <v>23.054903108566215</v>
      </c>
      <c r="CQ74" s="511">
        <f t="shared" si="514"/>
        <v>23.054903108566215</v>
      </c>
      <c r="CR74" s="722">
        <f t="shared" si="488"/>
        <v>0</v>
      </c>
      <c r="CS74" s="511">
        <f t="shared" ref="CS74:CV74" si="644">CR74</f>
        <v>0</v>
      </c>
      <c r="CT74" s="511">
        <f t="shared" si="644"/>
        <v>0</v>
      </c>
      <c r="CU74" s="511">
        <f t="shared" si="644"/>
        <v>0</v>
      </c>
      <c r="CV74" s="511">
        <f t="shared" si="644"/>
        <v>0</v>
      </c>
      <c r="CW74" s="511">
        <f t="shared" si="516"/>
        <v>0</v>
      </c>
      <c r="CX74" s="539">
        <f t="shared" si="517"/>
        <v>0</v>
      </c>
      <c r="CY74" s="724">
        <f t="shared" si="560"/>
        <v>3200</v>
      </c>
      <c r="CZ74" s="508">
        <f t="shared" si="561"/>
        <v>1600</v>
      </c>
      <c r="DA74" s="508">
        <f t="shared" si="562"/>
        <v>3200</v>
      </c>
      <c r="DB74" s="508">
        <f t="shared" si="563"/>
        <v>1600</v>
      </c>
      <c r="DC74" s="508">
        <f t="shared" si="564"/>
        <v>3200</v>
      </c>
      <c r="DD74" s="508">
        <f t="shared" si="565"/>
        <v>1600</v>
      </c>
      <c r="DE74" s="726">
        <f t="shared" si="566"/>
        <v>3200</v>
      </c>
      <c r="DF74" s="724">
        <f t="shared" si="567"/>
        <v>0</v>
      </c>
      <c r="DG74" s="509">
        <f t="shared" si="568"/>
        <v>0</v>
      </c>
      <c r="DH74" s="509">
        <f t="shared" si="569"/>
        <v>0</v>
      </c>
      <c r="DI74" s="509">
        <f t="shared" si="570"/>
        <v>0</v>
      </c>
      <c r="DJ74" s="509">
        <f t="shared" si="571"/>
        <v>0</v>
      </c>
      <c r="DK74" s="509">
        <f t="shared" si="572"/>
        <v>0</v>
      </c>
      <c r="DL74" s="451">
        <f t="shared" si="573"/>
        <v>0</v>
      </c>
      <c r="DM74" s="509">
        <f t="shared" si="574"/>
        <v>800</v>
      </c>
      <c r="DN74" s="509">
        <f t="shared" si="575"/>
        <v>400</v>
      </c>
      <c r="DO74" s="509">
        <f t="shared" si="576"/>
        <v>800</v>
      </c>
      <c r="DP74" s="509">
        <f t="shared" si="577"/>
        <v>400</v>
      </c>
      <c r="DQ74" s="509">
        <f t="shared" si="578"/>
        <v>800</v>
      </c>
      <c r="DR74" s="509">
        <f t="shared" si="579"/>
        <v>400</v>
      </c>
      <c r="DS74" s="450">
        <f t="shared" si="580"/>
        <v>800</v>
      </c>
      <c r="DT74" s="724">
        <f t="shared" si="581"/>
        <v>0</v>
      </c>
      <c r="DU74" s="508">
        <f t="shared" si="582"/>
        <v>0</v>
      </c>
      <c r="DV74" s="508">
        <f t="shared" si="583"/>
        <v>0</v>
      </c>
      <c r="DW74" s="508">
        <f t="shared" si="584"/>
        <v>0</v>
      </c>
      <c r="DX74" s="508">
        <f t="shared" si="585"/>
        <v>0</v>
      </c>
      <c r="DY74" s="508">
        <f t="shared" si="586"/>
        <v>0</v>
      </c>
      <c r="DZ74" s="726">
        <f t="shared" si="587"/>
        <v>0</v>
      </c>
      <c r="EA74" s="722">
        <f t="shared" si="588"/>
        <v>39279.830921052635</v>
      </c>
      <c r="EB74" s="511">
        <f t="shared" si="589"/>
        <v>19639.915460526317</v>
      </c>
      <c r="EC74" s="511">
        <f t="shared" si="590"/>
        <v>39279.830921052635</v>
      </c>
      <c r="ED74" s="511">
        <f t="shared" si="591"/>
        <v>19639.915460526317</v>
      </c>
      <c r="EE74" s="511">
        <f t="shared" si="592"/>
        <v>39279.830921052635</v>
      </c>
      <c r="EF74" s="511">
        <f t="shared" si="593"/>
        <v>19639.915460526317</v>
      </c>
      <c r="EG74" s="723">
        <f t="shared" si="594"/>
        <v>39279.830921052635</v>
      </c>
      <c r="EH74" s="397">
        <f t="shared" si="595"/>
        <v>23.054903108566215</v>
      </c>
      <c r="EI74" s="397">
        <f t="shared" si="596"/>
        <v>11.527451554283108</v>
      </c>
      <c r="EJ74" s="397">
        <f t="shared" si="597"/>
        <v>23.054903108566215</v>
      </c>
      <c r="EK74" s="397">
        <f t="shared" si="598"/>
        <v>11.527451554283108</v>
      </c>
      <c r="EL74" s="397">
        <f t="shared" si="599"/>
        <v>23.054903108566215</v>
      </c>
      <c r="EM74" s="397">
        <f t="shared" si="600"/>
        <v>11.527451554283108</v>
      </c>
      <c r="EN74" s="398">
        <f t="shared" si="601"/>
        <v>23.054903108566215</v>
      </c>
      <c r="EO74" s="722">
        <f t="shared" si="602"/>
        <v>0</v>
      </c>
      <c r="EP74" s="511">
        <f t="shared" si="603"/>
        <v>0</v>
      </c>
      <c r="EQ74" s="511">
        <f t="shared" si="604"/>
        <v>0</v>
      </c>
      <c r="ER74" s="511">
        <f t="shared" si="605"/>
        <v>0</v>
      </c>
      <c r="ES74" s="511">
        <f t="shared" si="606"/>
        <v>0</v>
      </c>
      <c r="ET74" s="511">
        <f t="shared" si="607"/>
        <v>0</v>
      </c>
      <c r="EU74" s="723">
        <f t="shared" si="608"/>
        <v>0</v>
      </c>
      <c r="EV74" s="727">
        <f t="shared" si="609"/>
        <v>2.5</v>
      </c>
      <c r="EW74" s="728">
        <f t="shared" si="610"/>
        <v>17600</v>
      </c>
      <c r="EX74" s="728">
        <f t="shared" si="611"/>
        <v>0</v>
      </c>
      <c r="EY74" s="728">
        <f t="shared" si="612"/>
        <v>4400</v>
      </c>
      <c r="EZ74" s="728">
        <f t="shared" si="613"/>
        <v>0</v>
      </c>
      <c r="FA74" s="777">
        <f t="shared" si="614"/>
        <v>216039.07006578948</v>
      </c>
      <c r="FB74" s="777">
        <f t="shared" si="615"/>
        <v>126.80196709711419</v>
      </c>
      <c r="FC74" s="778">
        <f t="shared" si="616"/>
        <v>0</v>
      </c>
      <c r="FE74" s="10"/>
      <c r="FF74" s="10"/>
    </row>
    <row r="75" spans="1:162">
      <c r="A75" s="662" t="s">
        <v>189</v>
      </c>
      <c r="B75" s="789" t="s">
        <v>1367</v>
      </c>
      <c r="C75" s="789" t="str">
        <f t="shared" ref="C75:W75" si="645">C18</f>
        <v>Water Cooled Chilled Water Reset</v>
      </c>
      <c r="D75" s="789" t="str">
        <f t="shared" si="645"/>
        <v>No Reset</v>
      </c>
      <c r="E75" s="789" t="str">
        <f t="shared" si="645"/>
        <v>Per Unit</v>
      </c>
      <c r="F75" s="789" t="str">
        <f t="shared" si="645"/>
        <v>Per Unit</v>
      </c>
      <c r="G75" s="704" t="str">
        <f t="shared" si="645"/>
        <v>Incremental Cost</v>
      </c>
      <c r="H75" s="704">
        <f t="shared" si="645"/>
        <v>8000</v>
      </c>
      <c r="I75" s="704">
        <f t="shared" si="645"/>
        <v>0</v>
      </c>
      <c r="J75" s="704">
        <f t="shared" si="645"/>
        <v>8000</v>
      </c>
      <c r="K75" s="704">
        <f t="shared" si="645"/>
        <v>0</v>
      </c>
      <c r="L75" s="704">
        <f t="shared" si="645"/>
        <v>4000</v>
      </c>
      <c r="M75" s="707" t="str">
        <f t="shared" si="645"/>
        <v>Estimated incentive equals 25% of incremental cost. Reference: Assume 2 point for air cooled. CWST Reset Costs CA 2013 Standard Doc: http://www.energy.ca.gov/title24/2013standards/prerulemaking/documents/2011-08-17_workshop/presentations/05%20Condenser%20Water%20Reset%20Control.pdf</v>
      </c>
      <c r="N75" s="704">
        <f t="shared" si="645"/>
        <v>2000</v>
      </c>
      <c r="O75" s="704">
        <f t="shared" si="645"/>
        <v>2000</v>
      </c>
      <c r="P75" s="704">
        <f t="shared" si="645"/>
        <v>0</v>
      </c>
      <c r="Q75" s="704">
        <f t="shared" si="645"/>
        <v>0</v>
      </c>
      <c r="R75" s="1021">
        <f t="shared" si="645"/>
        <v>65466.384868421061</v>
      </c>
      <c r="S75" s="872">
        <f t="shared" si="645"/>
        <v>38.424838514277027</v>
      </c>
      <c r="T75" s="1022">
        <f t="shared" si="645"/>
        <v>0</v>
      </c>
      <c r="U75" s="711" t="str">
        <f t="shared" si="645"/>
        <v>LG&amp;E and KU Commercial Rebates Program Impact Evaluation for Chillers - FINAL October 24, 2016 by The Tetra Tech Evaluation Team</v>
      </c>
      <c r="V75" s="716">
        <f t="shared" si="645"/>
        <v>0</v>
      </c>
      <c r="W75" s="711">
        <f t="shared" si="645"/>
        <v>1</v>
      </c>
      <c r="X75" s="781">
        <f t="shared" ref="X75:AJ75" si="646">X18/2</f>
        <v>0</v>
      </c>
      <c r="Y75" s="781">
        <f t="shared" si="646"/>
        <v>0</v>
      </c>
      <c r="Z75" s="781">
        <f t="shared" si="646"/>
        <v>0</v>
      </c>
      <c r="AA75" s="781">
        <f t="shared" si="646"/>
        <v>0</v>
      </c>
      <c r="AB75" s="781">
        <f t="shared" si="646"/>
        <v>0</v>
      </c>
      <c r="AC75" s="781">
        <f t="shared" si="646"/>
        <v>0</v>
      </c>
      <c r="AD75" s="781">
        <f t="shared" si="646"/>
        <v>0.5</v>
      </c>
      <c r="AE75" s="781">
        <f t="shared" si="646"/>
        <v>0</v>
      </c>
      <c r="AF75" s="781">
        <f t="shared" si="646"/>
        <v>0</v>
      </c>
      <c r="AG75" s="781">
        <f t="shared" si="646"/>
        <v>0.5</v>
      </c>
      <c r="AH75" s="781">
        <f t="shared" si="646"/>
        <v>0</v>
      </c>
      <c r="AI75" s="781">
        <f t="shared" si="646"/>
        <v>0</v>
      </c>
      <c r="AJ75" s="781">
        <f t="shared" si="646"/>
        <v>0.5</v>
      </c>
      <c r="AK75" s="711" t="str">
        <f t="shared" ref="AK75:BA75" si="647">AK18</f>
        <v>Electric</v>
      </c>
      <c r="AL75" s="711" t="str">
        <f t="shared" si="647"/>
        <v>Commercial</v>
      </c>
      <c r="AM75" s="711" t="str">
        <f t="shared" si="647"/>
        <v>Large Office</v>
      </c>
      <c r="AN75" s="711" t="str">
        <f t="shared" si="647"/>
        <v>Cooling Chillers</v>
      </c>
      <c r="AO75" s="711" t="str">
        <f t="shared" si="647"/>
        <v>Existing</v>
      </c>
      <c r="AP75" s="711">
        <f t="shared" si="647"/>
        <v>0</v>
      </c>
      <c r="AQ75" s="711">
        <f t="shared" si="647"/>
        <v>0</v>
      </c>
      <c r="AR75" s="711">
        <f t="shared" si="647"/>
        <v>0</v>
      </c>
      <c r="AS75" s="711" t="str">
        <f t="shared" si="647"/>
        <v>OFFLGCool</v>
      </c>
      <c r="AT75" s="715" t="s">
        <v>745</v>
      </c>
      <c r="AU75" s="1065" t="s">
        <v>771</v>
      </c>
      <c r="AV75" s="711">
        <f t="shared" si="647"/>
        <v>10</v>
      </c>
      <c r="AW75" s="711">
        <f t="shared" si="647"/>
        <v>10</v>
      </c>
      <c r="AX75" s="711" t="s">
        <v>2712</v>
      </c>
      <c r="AY75" s="711">
        <f t="shared" si="647"/>
        <v>1</v>
      </c>
      <c r="AZ75" s="711">
        <f t="shared" si="647"/>
        <v>1</v>
      </c>
      <c r="BA75" s="1066">
        <f t="shared" si="647"/>
        <v>0</v>
      </c>
      <c r="BB75" s="721">
        <f t="shared" si="493"/>
        <v>8000</v>
      </c>
      <c r="BC75" s="499">
        <f t="shared" si="494"/>
        <v>8000</v>
      </c>
      <c r="BD75" s="499">
        <f t="shared" si="495"/>
        <v>8000</v>
      </c>
      <c r="BE75" s="499">
        <f t="shared" si="496"/>
        <v>8000</v>
      </c>
      <c r="BF75" s="499">
        <f t="shared" si="497"/>
        <v>8000</v>
      </c>
      <c r="BG75" s="499">
        <f t="shared" si="498"/>
        <v>8000</v>
      </c>
      <c r="BH75" s="499">
        <f t="shared" si="499"/>
        <v>8000</v>
      </c>
      <c r="BI75" s="721">
        <f t="shared" si="474"/>
        <v>0</v>
      </c>
      <c r="BJ75" s="499">
        <f t="shared" ref="BJ75:BM75" si="648">BI75</f>
        <v>0</v>
      </c>
      <c r="BK75" s="499">
        <f t="shared" si="648"/>
        <v>0</v>
      </c>
      <c r="BL75" s="499">
        <f t="shared" si="648"/>
        <v>0</v>
      </c>
      <c r="BM75" s="499">
        <f t="shared" si="648"/>
        <v>0</v>
      </c>
      <c r="BN75" s="499">
        <f t="shared" si="501"/>
        <v>0</v>
      </c>
      <c r="BO75" s="499">
        <f t="shared" si="502"/>
        <v>0</v>
      </c>
      <c r="BP75" s="721">
        <f t="shared" si="476"/>
        <v>2000</v>
      </c>
      <c r="BQ75" s="499">
        <f t="shared" si="477"/>
        <v>2000</v>
      </c>
      <c r="BR75" s="499">
        <f t="shared" si="503"/>
        <v>2000</v>
      </c>
      <c r="BS75" s="499">
        <f t="shared" si="504"/>
        <v>2000</v>
      </c>
      <c r="BT75" s="499">
        <f t="shared" si="505"/>
        <v>2000</v>
      </c>
      <c r="BU75" s="499">
        <f t="shared" si="506"/>
        <v>2000</v>
      </c>
      <c r="BV75" s="499">
        <f t="shared" si="507"/>
        <v>2000</v>
      </c>
      <c r="BW75" s="774">
        <f t="shared" si="508"/>
        <v>0</v>
      </c>
      <c r="BX75" s="503">
        <f t="shared" si="483"/>
        <v>0</v>
      </c>
      <c r="BY75" s="503">
        <f t="shared" si="483"/>
        <v>0</v>
      </c>
      <c r="BZ75" s="503">
        <f t="shared" si="483"/>
        <v>0</v>
      </c>
      <c r="CA75" s="503">
        <f t="shared" si="483"/>
        <v>0</v>
      </c>
      <c r="CB75" s="503">
        <f t="shared" si="483"/>
        <v>0</v>
      </c>
      <c r="CC75" s="503">
        <f t="shared" si="483"/>
        <v>0</v>
      </c>
      <c r="CD75" s="722">
        <f t="shared" si="484"/>
        <v>65466.384868421061</v>
      </c>
      <c r="CE75" s="511">
        <f t="shared" ref="CE75:CH75" si="649">CD75</f>
        <v>65466.384868421061</v>
      </c>
      <c r="CF75" s="511">
        <f t="shared" si="649"/>
        <v>65466.384868421061</v>
      </c>
      <c r="CG75" s="511">
        <f t="shared" si="649"/>
        <v>65466.384868421061</v>
      </c>
      <c r="CH75" s="511">
        <f t="shared" si="649"/>
        <v>65466.384868421061</v>
      </c>
      <c r="CI75" s="511">
        <f t="shared" si="510"/>
        <v>65466.384868421061</v>
      </c>
      <c r="CJ75" s="511">
        <f t="shared" si="511"/>
        <v>65466.384868421061</v>
      </c>
      <c r="CK75" s="722">
        <f t="shared" si="486"/>
        <v>38.424838514277027</v>
      </c>
      <c r="CL75" s="511">
        <f t="shared" ref="CL75:CO75" si="650">CK75</f>
        <v>38.424838514277027</v>
      </c>
      <c r="CM75" s="511">
        <f t="shared" si="650"/>
        <v>38.424838514277027</v>
      </c>
      <c r="CN75" s="511">
        <f t="shared" si="650"/>
        <v>38.424838514277027</v>
      </c>
      <c r="CO75" s="511">
        <f t="shared" si="650"/>
        <v>38.424838514277027</v>
      </c>
      <c r="CP75" s="511">
        <f t="shared" si="513"/>
        <v>38.424838514277027</v>
      </c>
      <c r="CQ75" s="511">
        <f t="shared" si="514"/>
        <v>38.424838514277027</v>
      </c>
      <c r="CR75" s="722">
        <f t="shared" si="488"/>
        <v>0</v>
      </c>
      <c r="CS75" s="511">
        <f t="shared" ref="CS75:CV75" si="651">CR75</f>
        <v>0</v>
      </c>
      <c r="CT75" s="511">
        <f t="shared" si="651"/>
        <v>0</v>
      </c>
      <c r="CU75" s="511">
        <f t="shared" si="651"/>
        <v>0</v>
      </c>
      <c r="CV75" s="511">
        <f t="shared" si="651"/>
        <v>0</v>
      </c>
      <c r="CW75" s="511">
        <f t="shared" si="516"/>
        <v>0</v>
      </c>
      <c r="CX75" s="539">
        <f t="shared" si="517"/>
        <v>0</v>
      </c>
      <c r="CY75" s="724">
        <f t="shared" si="560"/>
        <v>4000</v>
      </c>
      <c r="CZ75" s="508">
        <f t="shared" si="561"/>
        <v>0</v>
      </c>
      <c r="DA75" s="508">
        <f t="shared" si="562"/>
        <v>0</v>
      </c>
      <c r="DB75" s="508">
        <f t="shared" si="563"/>
        <v>4000</v>
      </c>
      <c r="DC75" s="508">
        <f t="shared" si="564"/>
        <v>0</v>
      </c>
      <c r="DD75" s="508">
        <f t="shared" si="565"/>
        <v>0</v>
      </c>
      <c r="DE75" s="726">
        <f t="shared" si="566"/>
        <v>4000</v>
      </c>
      <c r="DF75" s="724">
        <f t="shared" si="567"/>
        <v>0</v>
      </c>
      <c r="DG75" s="509">
        <f t="shared" si="568"/>
        <v>0</v>
      </c>
      <c r="DH75" s="509">
        <f t="shared" si="569"/>
        <v>0</v>
      </c>
      <c r="DI75" s="509">
        <f t="shared" si="570"/>
        <v>0</v>
      </c>
      <c r="DJ75" s="509">
        <f t="shared" si="571"/>
        <v>0</v>
      </c>
      <c r="DK75" s="509">
        <f t="shared" si="572"/>
        <v>0</v>
      </c>
      <c r="DL75" s="451">
        <f t="shared" si="573"/>
        <v>0</v>
      </c>
      <c r="DM75" s="509">
        <f t="shared" si="574"/>
        <v>1000</v>
      </c>
      <c r="DN75" s="509">
        <f t="shared" si="575"/>
        <v>0</v>
      </c>
      <c r="DO75" s="509">
        <f t="shared" si="576"/>
        <v>0</v>
      </c>
      <c r="DP75" s="509">
        <f t="shared" si="577"/>
        <v>1000</v>
      </c>
      <c r="DQ75" s="509">
        <f t="shared" si="578"/>
        <v>0</v>
      </c>
      <c r="DR75" s="509">
        <f t="shared" si="579"/>
        <v>0</v>
      </c>
      <c r="DS75" s="450">
        <f t="shared" si="580"/>
        <v>1000</v>
      </c>
      <c r="DT75" s="724">
        <f t="shared" si="581"/>
        <v>0</v>
      </c>
      <c r="DU75" s="508">
        <f t="shared" si="582"/>
        <v>0</v>
      </c>
      <c r="DV75" s="508">
        <f t="shared" si="583"/>
        <v>0</v>
      </c>
      <c r="DW75" s="508">
        <f t="shared" si="584"/>
        <v>0</v>
      </c>
      <c r="DX75" s="508">
        <f t="shared" si="585"/>
        <v>0</v>
      </c>
      <c r="DY75" s="508">
        <f t="shared" si="586"/>
        <v>0</v>
      </c>
      <c r="DZ75" s="726">
        <f t="shared" si="587"/>
        <v>0</v>
      </c>
      <c r="EA75" s="722">
        <f t="shared" si="588"/>
        <v>32733.19243421053</v>
      </c>
      <c r="EB75" s="511">
        <f t="shared" si="589"/>
        <v>0</v>
      </c>
      <c r="EC75" s="511">
        <f t="shared" si="590"/>
        <v>0</v>
      </c>
      <c r="ED75" s="511">
        <f t="shared" si="591"/>
        <v>32733.19243421053</v>
      </c>
      <c r="EE75" s="511">
        <f t="shared" si="592"/>
        <v>0</v>
      </c>
      <c r="EF75" s="511">
        <f t="shared" si="593"/>
        <v>0</v>
      </c>
      <c r="EG75" s="723">
        <f t="shared" si="594"/>
        <v>32733.19243421053</v>
      </c>
      <c r="EH75" s="397">
        <f t="shared" si="595"/>
        <v>19.212419257138514</v>
      </c>
      <c r="EI75" s="397">
        <f t="shared" si="596"/>
        <v>0</v>
      </c>
      <c r="EJ75" s="397">
        <f t="shared" si="597"/>
        <v>0</v>
      </c>
      <c r="EK75" s="397">
        <f t="shared" si="598"/>
        <v>19.212419257138514</v>
      </c>
      <c r="EL75" s="397">
        <f t="shared" si="599"/>
        <v>0</v>
      </c>
      <c r="EM75" s="397">
        <f t="shared" si="600"/>
        <v>0</v>
      </c>
      <c r="EN75" s="398">
        <f t="shared" si="601"/>
        <v>19.212419257138514</v>
      </c>
      <c r="EO75" s="722">
        <f t="shared" si="602"/>
        <v>0</v>
      </c>
      <c r="EP75" s="511">
        <f t="shared" si="603"/>
        <v>0</v>
      </c>
      <c r="EQ75" s="511">
        <f t="shared" si="604"/>
        <v>0</v>
      </c>
      <c r="ER75" s="511">
        <f t="shared" si="605"/>
        <v>0</v>
      </c>
      <c r="ES75" s="511">
        <f t="shared" si="606"/>
        <v>0</v>
      </c>
      <c r="ET75" s="511">
        <f t="shared" si="607"/>
        <v>0</v>
      </c>
      <c r="EU75" s="723">
        <f t="shared" si="608"/>
        <v>0</v>
      </c>
      <c r="EV75" s="727">
        <f t="shared" si="609"/>
        <v>0.5</v>
      </c>
      <c r="EW75" s="728">
        <f t="shared" si="610"/>
        <v>12000</v>
      </c>
      <c r="EX75" s="728">
        <f t="shared" si="611"/>
        <v>0</v>
      </c>
      <c r="EY75" s="728">
        <f t="shared" si="612"/>
        <v>3000</v>
      </c>
      <c r="EZ75" s="728">
        <f t="shared" si="613"/>
        <v>0</v>
      </c>
      <c r="FA75" s="777">
        <f t="shared" si="614"/>
        <v>98199.577302631587</v>
      </c>
      <c r="FB75" s="777">
        <f t="shared" si="615"/>
        <v>57.637257771415541</v>
      </c>
      <c r="FC75" s="778">
        <f t="shared" si="616"/>
        <v>0</v>
      </c>
      <c r="FE75" s="10"/>
      <c r="FF75" s="10"/>
    </row>
    <row r="76" spans="1:162">
      <c r="A76" s="662" t="s">
        <v>190</v>
      </c>
      <c r="B76" s="789" t="s">
        <v>1368</v>
      </c>
      <c r="C76" s="789" t="str">
        <f t="shared" ref="C76:W76" si="652">C19</f>
        <v>High Efficiency Motors - 1 HP to 250 HP (Open Drip Roof and Totally Enclosed Fan-Cooled)</v>
      </c>
      <c r="D76" s="789" t="str">
        <f t="shared" si="652"/>
        <v xml:space="preserve">Standard Motor Efficiency </v>
      </c>
      <c r="E76" s="789" t="str">
        <f t="shared" si="652"/>
        <v>Per Motor</v>
      </c>
      <c r="F76" s="789" t="str">
        <f t="shared" si="652"/>
        <v>Per HP</v>
      </c>
      <c r="G76" s="704" t="str">
        <f t="shared" si="652"/>
        <v>Incremental Cost</v>
      </c>
      <c r="H76" s="704">
        <f t="shared" si="652"/>
        <v>86.364702605042069</v>
      </c>
      <c r="I76" s="704">
        <f t="shared" si="652"/>
        <v>0</v>
      </c>
      <c r="J76" s="704">
        <f t="shared" si="652"/>
        <v>86.364702605042069</v>
      </c>
      <c r="K76" s="704">
        <f t="shared" si="652"/>
        <v>0</v>
      </c>
      <c r="L76" s="704">
        <f t="shared" si="652"/>
        <v>43.182351302521035</v>
      </c>
      <c r="M76" s="707" t="str">
        <f t="shared" si="652"/>
        <v>This is the average ($/HP) cost of all possible motors (HP, RPM, and open drip proof/Totally Enclosed Fan-Cooled) See BizRebates_Costs_Savings for full table adapted from MN TRM</v>
      </c>
      <c r="N76" s="704">
        <f t="shared" si="652"/>
        <v>2</v>
      </c>
      <c r="O76" s="704">
        <f t="shared" si="652"/>
        <v>2</v>
      </c>
      <c r="P76" s="704">
        <f t="shared" si="652"/>
        <v>0</v>
      </c>
      <c r="Q76" s="704">
        <f t="shared" si="652"/>
        <v>0</v>
      </c>
      <c r="R76" s="1021">
        <f t="shared" si="652"/>
        <v>30.223750000000003</v>
      </c>
      <c r="S76" s="872">
        <f t="shared" si="652"/>
        <v>6.3036111111111105E-3</v>
      </c>
      <c r="T76" s="1022">
        <f t="shared" si="652"/>
        <v>0</v>
      </c>
      <c r="U76" s="711" t="str">
        <f t="shared" si="652"/>
        <v>LG&amp;E/KU Commercial Rebates Report - Appendix A</v>
      </c>
      <c r="V76" s="716">
        <f t="shared" si="652"/>
        <v>0</v>
      </c>
      <c r="W76" s="711">
        <f t="shared" si="652"/>
        <v>1</v>
      </c>
      <c r="X76" s="781">
        <f t="shared" ref="X76:AJ76" si="653">X19/2</f>
        <v>1815</v>
      </c>
      <c r="Y76" s="781">
        <f t="shared" si="653"/>
        <v>199</v>
      </c>
      <c r="Z76" s="781">
        <f t="shared" si="653"/>
        <v>261</v>
      </c>
      <c r="AA76" s="781">
        <f t="shared" si="653"/>
        <v>546</v>
      </c>
      <c r="AB76" s="781">
        <f t="shared" si="653"/>
        <v>403.5</v>
      </c>
      <c r="AC76" s="781">
        <f t="shared" si="653"/>
        <v>403.5</v>
      </c>
      <c r="AD76" s="781">
        <f t="shared" si="653"/>
        <v>403.5</v>
      </c>
      <c r="AE76" s="781">
        <f t="shared" si="653"/>
        <v>403.5</v>
      </c>
      <c r="AF76" s="781">
        <f t="shared" si="653"/>
        <v>403.5</v>
      </c>
      <c r="AG76" s="781">
        <f t="shared" si="653"/>
        <v>403.5</v>
      </c>
      <c r="AH76" s="781">
        <f t="shared" si="653"/>
        <v>403.5</v>
      </c>
      <c r="AI76" s="781">
        <f t="shared" si="653"/>
        <v>403.5</v>
      </c>
      <c r="AJ76" s="781">
        <f t="shared" si="653"/>
        <v>403.5</v>
      </c>
      <c r="AK76" s="711" t="str">
        <f t="shared" ref="AK76:BA76" si="654">AK19</f>
        <v>Electric</v>
      </c>
      <c r="AL76" s="711" t="str">
        <f t="shared" si="654"/>
        <v>Commercial</v>
      </c>
      <c r="AM76" s="711" t="str">
        <f t="shared" si="654"/>
        <v>Large Office</v>
      </c>
      <c r="AN76" s="711" t="str">
        <f t="shared" si="654"/>
        <v>Ventilation And Circulation</v>
      </c>
      <c r="AO76" s="711" t="str">
        <f t="shared" si="654"/>
        <v>Existing</v>
      </c>
      <c r="AP76" s="711">
        <f t="shared" si="654"/>
        <v>0</v>
      </c>
      <c r="AQ76" s="711">
        <f t="shared" si="654"/>
        <v>0</v>
      </c>
      <c r="AR76" s="711">
        <f t="shared" si="654"/>
        <v>0</v>
      </c>
      <c r="AS76" s="711" t="str">
        <f t="shared" si="654"/>
        <v>OFFLGCool</v>
      </c>
      <c r="AT76" s="715" t="s">
        <v>745</v>
      </c>
      <c r="AU76" s="1065" t="s">
        <v>771</v>
      </c>
      <c r="AV76" s="711">
        <f t="shared" si="654"/>
        <v>20</v>
      </c>
      <c r="AW76" s="711">
        <f t="shared" si="654"/>
        <v>20</v>
      </c>
      <c r="AX76" s="711" t="s">
        <v>2713</v>
      </c>
      <c r="AY76" s="711">
        <f t="shared" si="654"/>
        <v>1</v>
      </c>
      <c r="AZ76" s="711">
        <f t="shared" si="654"/>
        <v>1</v>
      </c>
      <c r="BA76" s="1066">
        <f t="shared" si="654"/>
        <v>0</v>
      </c>
      <c r="BB76" s="721">
        <f t="shared" si="493"/>
        <v>86.364702605042069</v>
      </c>
      <c r="BC76" s="499">
        <f t="shared" si="494"/>
        <v>86.364702605042069</v>
      </c>
      <c r="BD76" s="499">
        <f t="shared" si="495"/>
        <v>86.364702605042069</v>
      </c>
      <c r="BE76" s="499">
        <f t="shared" si="496"/>
        <v>86.364702605042069</v>
      </c>
      <c r="BF76" s="499">
        <f t="shared" si="497"/>
        <v>86.364702605042069</v>
      </c>
      <c r="BG76" s="499">
        <f t="shared" si="498"/>
        <v>86.364702605042069</v>
      </c>
      <c r="BH76" s="499">
        <f t="shared" si="499"/>
        <v>86.364702605042069</v>
      </c>
      <c r="BI76" s="721">
        <f t="shared" si="474"/>
        <v>0</v>
      </c>
      <c r="BJ76" s="499">
        <f t="shared" ref="BJ76:BM76" si="655">BI76</f>
        <v>0</v>
      </c>
      <c r="BK76" s="499">
        <f t="shared" si="655"/>
        <v>0</v>
      </c>
      <c r="BL76" s="499">
        <f t="shared" si="655"/>
        <v>0</v>
      </c>
      <c r="BM76" s="499">
        <f t="shared" si="655"/>
        <v>0</v>
      </c>
      <c r="BN76" s="499">
        <f t="shared" si="501"/>
        <v>0</v>
      </c>
      <c r="BO76" s="499">
        <f t="shared" si="502"/>
        <v>0</v>
      </c>
      <c r="BP76" s="721">
        <f t="shared" si="476"/>
        <v>2</v>
      </c>
      <c r="BQ76" s="499">
        <f t="shared" si="477"/>
        <v>2</v>
      </c>
      <c r="BR76" s="499">
        <f t="shared" si="503"/>
        <v>2</v>
      </c>
      <c r="BS76" s="499">
        <f t="shared" si="504"/>
        <v>2</v>
      </c>
      <c r="BT76" s="499">
        <f t="shared" si="505"/>
        <v>2</v>
      </c>
      <c r="BU76" s="499">
        <f t="shared" si="506"/>
        <v>2</v>
      </c>
      <c r="BV76" s="499">
        <f t="shared" si="507"/>
        <v>2</v>
      </c>
      <c r="BW76" s="774">
        <f t="shared" si="508"/>
        <v>0</v>
      </c>
      <c r="BX76" s="503">
        <f t="shared" si="483"/>
        <v>0</v>
      </c>
      <c r="BY76" s="503">
        <f t="shared" si="483"/>
        <v>0</v>
      </c>
      <c r="BZ76" s="503">
        <f t="shared" si="483"/>
        <v>0</v>
      </c>
      <c r="CA76" s="503">
        <f t="shared" si="483"/>
        <v>0</v>
      </c>
      <c r="CB76" s="503">
        <f t="shared" si="483"/>
        <v>0</v>
      </c>
      <c r="CC76" s="503">
        <f t="shared" si="483"/>
        <v>0</v>
      </c>
      <c r="CD76" s="722">
        <f t="shared" si="484"/>
        <v>30.223750000000003</v>
      </c>
      <c r="CE76" s="511">
        <f t="shared" ref="CE76:CH76" si="656">CD76</f>
        <v>30.223750000000003</v>
      </c>
      <c r="CF76" s="511">
        <f t="shared" si="656"/>
        <v>30.223750000000003</v>
      </c>
      <c r="CG76" s="511">
        <f t="shared" si="656"/>
        <v>30.223750000000003</v>
      </c>
      <c r="CH76" s="511">
        <f t="shared" si="656"/>
        <v>30.223750000000003</v>
      </c>
      <c r="CI76" s="511">
        <f t="shared" si="510"/>
        <v>30.223750000000003</v>
      </c>
      <c r="CJ76" s="511">
        <f t="shared" si="511"/>
        <v>30.223750000000003</v>
      </c>
      <c r="CK76" s="722">
        <f t="shared" si="486"/>
        <v>6.3036111111111105E-3</v>
      </c>
      <c r="CL76" s="511">
        <f t="shared" ref="CL76:CO76" si="657">CK76</f>
        <v>6.3036111111111105E-3</v>
      </c>
      <c r="CM76" s="511">
        <f t="shared" si="657"/>
        <v>6.3036111111111105E-3</v>
      </c>
      <c r="CN76" s="511">
        <f t="shared" si="657"/>
        <v>6.3036111111111105E-3</v>
      </c>
      <c r="CO76" s="511">
        <f t="shared" si="657"/>
        <v>6.3036111111111105E-3</v>
      </c>
      <c r="CP76" s="511">
        <f t="shared" si="513"/>
        <v>6.3036111111111105E-3</v>
      </c>
      <c r="CQ76" s="511">
        <f t="shared" si="514"/>
        <v>6.3036111111111105E-3</v>
      </c>
      <c r="CR76" s="722">
        <f t="shared" si="488"/>
        <v>0</v>
      </c>
      <c r="CS76" s="511">
        <f t="shared" ref="CS76:CV76" si="658">CR76</f>
        <v>0</v>
      </c>
      <c r="CT76" s="511">
        <f t="shared" si="658"/>
        <v>0</v>
      </c>
      <c r="CU76" s="511">
        <f t="shared" si="658"/>
        <v>0</v>
      </c>
      <c r="CV76" s="511">
        <f t="shared" si="658"/>
        <v>0</v>
      </c>
      <c r="CW76" s="511">
        <f t="shared" si="516"/>
        <v>0</v>
      </c>
      <c r="CX76" s="539">
        <f t="shared" si="517"/>
        <v>0</v>
      </c>
      <c r="CY76" s="724">
        <f t="shared" si="560"/>
        <v>34848.157501134476</v>
      </c>
      <c r="CZ76" s="508">
        <f t="shared" si="561"/>
        <v>34848.157501134476</v>
      </c>
      <c r="DA76" s="508">
        <f t="shared" si="562"/>
        <v>34848.157501134476</v>
      </c>
      <c r="DB76" s="508">
        <f t="shared" si="563"/>
        <v>34848.157501134476</v>
      </c>
      <c r="DC76" s="508">
        <f t="shared" si="564"/>
        <v>34848.157501134476</v>
      </c>
      <c r="DD76" s="508">
        <f t="shared" si="565"/>
        <v>34848.157501134476</v>
      </c>
      <c r="DE76" s="726">
        <f t="shared" si="566"/>
        <v>34848.157501134476</v>
      </c>
      <c r="DF76" s="724">
        <f t="shared" si="567"/>
        <v>0</v>
      </c>
      <c r="DG76" s="509">
        <f t="shared" si="568"/>
        <v>0</v>
      </c>
      <c r="DH76" s="509">
        <f t="shared" si="569"/>
        <v>0</v>
      </c>
      <c r="DI76" s="509">
        <f t="shared" si="570"/>
        <v>0</v>
      </c>
      <c r="DJ76" s="509">
        <f t="shared" si="571"/>
        <v>0</v>
      </c>
      <c r="DK76" s="509">
        <f t="shared" si="572"/>
        <v>0</v>
      </c>
      <c r="DL76" s="451">
        <f t="shared" si="573"/>
        <v>0</v>
      </c>
      <c r="DM76" s="509">
        <f t="shared" si="574"/>
        <v>807</v>
      </c>
      <c r="DN76" s="509">
        <f t="shared" si="575"/>
        <v>807</v>
      </c>
      <c r="DO76" s="509">
        <f t="shared" si="576"/>
        <v>807</v>
      </c>
      <c r="DP76" s="509">
        <f t="shared" si="577"/>
        <v>807</v>
      </c>
      <c r="DQ76" s="509">
        <f t="shared" si="578"/>
        <v>807</v>
      </c>
      <c r="DR76" s="509">
        <f t="shared" si="579"/>
        <v>807</v>
      </c>
      <c r="DS76" s="450">
        <f t="shared" si="580"/>
        <v>807</v>
      </c>
      <c r="DT76" s="724">
        <f t="shared" si="581"/>
        <v>0</v>
      </c>
      <c r="DU76" s="508">
        <f t="shared" si="582"/>
        <v>0</v>
      </c>
      <c r="DV76" s="508">
        <f t="shared" si="583"/>
        <v>0</v>
      </c>
      <c r="DW76" s="508">
        <f t="shared" si="584"/>
        <v>0</v>
      </c>
      <c r="DX76" s="508">
        <f t="shared" si="585"/>
        <v>0</v>
      </c>
      <c r="DY76" s="508">
        <f t="shared" si="586"/>
        <v>0</v>
      </c>
      <c r="DZ76" s="726">
        <f t="shared" si="587"/>
        <v>0</v>
      </c>
      <c r="EA76" s="722">
        <f t="shared" si="588"/>
        <v>12195.283125000002</v>
      </c>
      <c r="EB76" s="511">
        <f t="shared" si="589"/>
        <v>12195.283125000002</v>
      </c>
      <c r="EC76" s="511">
        <f t="shared" si="590"/>
        <v>12195.283125000002</v>
      </c>
      <c r="ED76" s="511">
        <f t="shared" si="591"/>
        <v>12195.283125000002</v>
      </c>
      <c r="EE76" s="511">
        <f t="shared" si="592"/>
        <v>12195.283125000002</v>
      </c>
      <c r="EF76" s="511">
        <f t="shared" si="593"/>
        <v>12195.283125000002</v>
      </c>
      <c r="EG76" s="723">
        <f t="shared" si="594"/>
        <v>12195.283125000002</v>
      </c>
      <c r="EH76" s="397">
        <f t="shared" si="595"/>
        <v>2.5435070833333331</v>
      </c>
      <c r="EI76" s="397">
        <f t="shared" si="596"/>
        <v>2.5435070833333331</v>
      </c>
      <c r="EJ76" s="397">
        <f t="shared" si="597"/>
        <v>2.5435070833333331</v>
      </c>
      <c r="EK76" s="397">
        <f t="shared" si="598"/>
        <v>2.5435070833333331</v>
      </c>
      <c r="EL76" s="397">
        <f t="shared" si="599"/>
        <v>2.5435070833333331</v>
      </c>
      <c r="EM76" s="397">
        <f t="shared" si="600"/>
        <v>2.5435070833333331</v>
      </c>
      <c r="EN76" s="398">
        <f t="shared" si="601"/>
        <v>2.5435070833333331</v>
      </c>
      <c r="EO76" s="722">
        <f t="shared" si="602"/>
        <v>0</v>
      </c>
      <c r="EP76" s="511">
        <f t="shared" si="603"/>
        <v>0</v>
      </c>
      <c r="EQ76" s="511">
        <f t="shared" si="604"/>
        <v>0</v>
      </c>
      <c r="ER76" s="511">
        <f t="shared" si="605"/>
        <v>0</v>
      </c>
      <c r="ES76" s="511">
        <f t="shared" si="606"/>
        <v>0</v>
      </c>
      <c r="ET76" s="511">
        <f t="shared" si="607"/>
        <v>0</v>
      </c>
      <c r="EU76" s="723">
        <f t="shared" si="608"/>
        <v>0</v>
      </c>
      <c r="EV76" s="727">
        <f t="shared" si="609"/>
        <v>1210.5</v>
      </c>
      <c r="EW76" s="728">
        <f t="shared" si="610"/>
        <v>243937.10250794131</v>
      </c>
      <c r="EX76" s="728">
        <f t="shared" si="611"/>
        <v>0</v>
      </c>
      <c r="EY76" s="728">
        <f t="shared" si="612"/>
        <v>5649</v>
      </c>
      <c r="EZ76" s="728">
        <f t="shared" si="613"/>
        <v>0</v>
      </c>
      <c r="FA76" s="777">
        <f t="shared" si="614"/>
        <v>85366.981875000012</v>
      </c>
      <c r="FB76" s="777">
        <f t="shared" si="615"/>
        <v>17.804549583333333</v>
      </c>
      <c r="FC76" s="778">
        <f t="shared" si="616"/>
        <v>0</v>
      </c>
      <c r="FE76" s="10"/>
      <c r="FF76" s="10"/>
    </row>
    <row r="77" spans="1:162">
      <c r="A77" s="662" t="s">
        <v>199</v>
      </c>
      <c r="B77" s="789" t="s">
        <v>1369</v>
      </c>
      <c r="C77" s="789" t="str">
        <f t="shared" ref="C77:W77" si="659">C20</f>
        <v xml:space="preserve">Efficiency of 73% or more for system </v>
      </c>
      <c r="D77" s="789" t="str">
        <f t="shared" si="659"/>
        <v>Standard Pump Efficiency</v>
      </c>
      <c r="E77" s="789" t="str">
        <f t="shared" si="659"/>
        <v>Per Pump</v>
      </c>
      <c r="F77" s="789" t="str">
        <f t="shared" si="659"/>
        <v>Per Pump</v>
      </c>
      <c r="G77" s="704" t="str">
        <f t="shared" si="659"/>
        <v>Incremental Cost</v>
      </c>
      <c r="H77" s="704">
        <f t="shared" si="659"/>
        <v>875.75766439527331</v>
      </c>
      <c r="I77" s="704">
        <f t="shared" si="659"/>
        <v>0</v>
      </c>
      <c r="J77" s="704">
        <f t="shared" si="659"/>
        <v>875.75766439527331</v>
      </c>
      <c r="K77" s="704">
        <f t="shared" si="659"/>
        <v>0</v>
      </c>
      <c r="L77" s="704">
        <f t="shared" si="659"/>
        <v>437.87883219763665</v>
      </c>
      <c r="M77" s="707" t="str">
        <f t="shared" si="659"/>
        <v>Adapted from data in https://nwcouncil.app.box.com/v/ComAgIndPumpsv2-2 (See 'BizRebates_Costs' tab for full methodology)</v>
      </c>
      <c r="N77" s="704">
        <f t="shared" si="659"/>
        <v>50</v>
      </c>
      <c r="O77" s="704">
        <f t="shared" si="659"/>
        <v>50</v>
      </c>
      <c r="P77" s="704">
        <f t="shared" si="659"/>
        <v>0</v>
      </c>
      <c r="Q77" s="704">
        <f t="shared" si="659"/>
        <v>0</v>
      </c>
      <c r="R77" s="1021">
        <f t="shared" si="659"/>
        <v>1683.5625</v>
      </c>
      <c r="S77" s="872">
        <f t="shared" si="659"/>
        <v>0.56437499999999996</v>
      </c>
      <c r="T77" s="1022">
        <f t="shared" si="659"/>
        <v>0</v>
      </c>
      <c r="U77" s="711" t="str">
        <f t="shared" si="659"/>
        <v>Based on savings from LG&amp;E/KU Commercial Rebates report for 20 HP pump - assumes savings increase linearly per HP increases</v>
      </c>
      <c r="V77" s="716">
        <f t="shared" si="659"/>
        <v>0</v>
      </c>
      <c r="W77" s="711">
        <f t="shared" si="659"/>
        <v>1</v>
      </c>
      <c r="X77" s="781">
        <f t="shared" ref="X77:AJ77" si="660">X20/2</f>
        <v>7.5</v>
      </c>
      <c r="Y77" s="781">
        <f t="shared" si="660"/>
        <v>0</v>
      </c>
      <c r="Z77" s="781">
        <f t="shared" si="660"/>
        <v>0.5</v>
      </c>
      <c r="AA77" s="781">
        <f t="shared" si="660"/>
        <v>2.5714285714285712</v>
      </c>
      <c r="AB77" s="781">
        <f t="shared" si="660"/>
        <v>1.5357142857142856</v>
      </c>
      <c r="AC77" s="781">
        <f t="shared" si="660"/>
        <v>1.5357142857142856</v>
      </c>
      <c r="AD77" s="781">
        <f t="shared" si="660"/>
        <v>1.5357142857142856</v>
      </c>
      <c r="AE77" s="781">
        <f t="shared" si="660"/>
        <v>1.5357142857142856</v>
      </c>
      <c r="AF77" s="781">
        <f t="shared" si="660"/>
        <v>1.5357142857142856</v>
      </c>
      <c r="AG77" s="781">
        <f t="shared" si="660"/>
        <v>1.5357142857142856</v>
      </c>
      <c r="AH77" s="781">
        <f t="shared" si="660"/>
        <v>1.5357142857142856</v>
      </c>
      <c r="AI77" s="781">
        <f t="shared" si="660"/>
        <v>1.5357142857142856</v>
      </c>
      <c r="AJ77" s="781">
        <f t="shared" si="660"/>
        <v>1.5357142857142856</v>
      </c>
      <c r="AK77" s="711" t="str">
        <f t="shared" ref="AK77:BA77" si="661">AK20</f>
        <v>Electric</v>
      </c>
      <c r="AL77" s="711" t="str">
        <f t="shared" si="661"/>
        <v>Commercial</v>
      </c>
      <c r="AM77" s="711" t="str">
        <f t="shared" si="661"/>
        <v>Large Office</v>
      </c>
      <c r="AN77" s="711" t="str">
        <f t="shared" si="661"/>
        <v>Ventilation And Circulation</v>
      </c>
      <c r="AO77" s="711" t="str">
        <f t="shared" si="661"/>
        <v>Existing</v>
      </c>
      <c r="AP77" s="711">
        <f t="shared" si="661"/>
        <v>0</v>
      </c>
      <c r="AQ77" s="711">
        <f t="shared" si="661"/>
        <v>0</v>
      </c>
      <c r="AR77" s="711">
        <f t="shared" si="661"/>
        <v>0</v>
      </c>
      <c r="AS77" s="711" t="str">
        <f t="shared" si="661"/>
        <v>OFFLGCool</v>
      </c>
      <c r="AT77" s="715" t="s">
        <v>745</v>
      </c>
      <c r="AU77" s="1065" t="s">
        <v>771</v>
      </c>
      <c r="AV77" s="711">
        <f t="shared" si="661"/>
        <v>20</v>
      </c>
      <c r="AW77" s="711">
        <f t="shared" si="661"/>
        <v>20</v>
      </c>
      <c r="AX77" s="711" t="s">
        <v>2713</v>
      </c>
      <c r="AY77" s="711">
        <f t="shared" si="661"/>
        <v>1</v>
      </c>
      <c r="AZ77" s="711">
        <f t="shared" si="661"/>
        <v>1</v>
      </c>
      <c r="BA77" s="1066">
        <f t="shared" si="661"/>
        <v>0</v>
      </c>
      <c r="BB77" s="721">
        <f t="shared" si="493"/>
        <v>875.75766439527331</v>
      </c>
      <c r="BC77" s="499">
        <f t="shared" si="494"/>
        <v>875.75766439527331</v>
      </c>
      <c r="BD77" s="499">
        <f t="shared" si="495"/>
        <v>875.75766439527331</v>
      </c>
      <c r="BE77" s="499">
        <f t="shared" si="496"/>
        <v>875.75766439527331</v>
      </c>
      <c r="BF77" s="499">
        <f t="shared" si="497"/>
        <v>875.75766439527331</v>
      </c>
      <c r="BG77" s="499">
        <f t="shared" si="498"/>
        <v>875.75766439527331</v>
      </c>
      <c r="BH77" s="499">
        <f t="shared" si="499"/>
        <v>875.75766439527331</v>
      </c>
      <c r="BI77" s="721">
        <f t="shared" si="474"/>
        <v>0</v>
      </c>
      <c r="BJ77" s="499">
        <f t="shared" ref="BJ77:BM77" si="662">BI77</f>
        <v>0</v>
      </c>
      <c r="BK77" s="499">
        <f t="shared" si="662"/>
        <v>0</v>
      </c>
      <c r="BL77" s="499">
        <f t="shared" si="662"/>
        <v>0</v>
      </c>
      <c r="BM77" s="499">
        <f t="shared" si="662"/>
        <v>0</v>
      </c>
      <c r="BN77" s="499">
        <f t="shared" si="501"/>
        <v>0</v>
      </c>
      <c r="BO77" s="499">
        <f t="shared" si="502"/>
        <v>0</v>
      </c>
      <c r="BP77" s="721">
        <f t="shared" si="476"/>
        <v>50</v>
      </c>
      <c r="BQ77" s="499">
        <f t="shared" si="477"/>
        <v>50</v>
      </c>
      <c r="BR77" s="499">
        <f t="shared" si="503"/>
        <v>50</v>
      </c>
      <c r="BS77" s="499">
        <f t="shared" si="504"/>
        <v>50</v>
      </c>
      <c r="BT77" s="499">
        <f t="shared" si="505"/>
        <v>50</v>
      </c>
      <c r="BU77" s="499">
        <f t="shared" si="506"/>
        <v>50</v>
      </c>
      <c r="BV77" s="499">
        <f t="shared" si="507"/>
        <v>50</v>
      </c>
      <c r="BW77" s="774">
        <f t="shared" si="508"/>
        <v>0</v>
      </c>
      <c r="BX77" s="503">
        <f t="shared" si="483"/>
        <v>0</v>
      </c>
      <c r="BY77" s="503">
        <f t="shared" si="483"/>
        <v>0</v>
      </c>
      <c r="BZ77" s="503">
        <f t="shared" si="483"/>
        <v>0</v>
      </c>
      <c r="CA77" s="503">
        <f t="shared" si="483"/>
        <v>0</v>
      </c>
      <c r="CB77" s="503">
        <f t="shared" si="483"/>
        <v>0</v>
      </c>
      <c r="CC77" s="503">
        <f t="shared" si="483"/>
        <v>0</v>
      </c>
      <c r="CD77" s="722">
        <f t="shared" si="484"/>
        <v>1683.5625</v>
      </c>
      <c r="CE77" s="511">
        <f t="shared" ref="CE77:CH77" si="663">CD77</f>
        <v>1683.5625</v>
      </c>
      <c r="CF77" s="511">
        <f t="shared" si="663"/>
        <v>1683.5625</v>
      </c>
      <c r="CG77" s="511">
        <f t="shared" si="663"/>
        <v>1683.5625</v>
      </c>
      <c r="CH77" s="511">
        <f t="shared" si="663"/>
        <v>1683.5625</v>
      </c>
      <c r="CI77" s="511">
        <f t="shared" si="510"/>
        <v>1683.5625</v>
      </c>
      <c r="CJ77" s="511">
        <f t="shared" si="511"/>
        <v>1683.5625</v>
      </c>
      <c r="CK77" s="722">
        <f t="shared" si="486"/>
        <v>0.56437499999999996</v>
      </c>
      <c r="CL77" s="511">
        <f t="shared" ref="CL77:CO77" si="664">CK77</f>
        <v>0.56437499999999996</v>
      </c>
      <c r="CM77" s="511">
        <f t="shared" si="664"/>
        <v>0.56437499999999996</v>
      </c>
      <c r="CN77" s="511">
        <f t="shared" si="664"/>
        <v>0.56437499999999996</v>
      </c>
      <c r="CO77" s="511">
        <f t="shared" si="664"/>
        <v>0.56437499999999996</v>
      </c>
      <c r="CP77" s="511">
        <f t="shared" si="513"/>
        <v>0.56437499999999996</v>
      </c>
      <c r="CQ77" s="511">
        <f t="shared" si="514"/>
        <v>0.56437499999999996</v>
      </c>
      <c r="CR77" s="722">
        <f t="shared" si="488"/>
        <v>0</v>
      </c>
      <c r="CS77" s="511">
        <f t="shared" ref="CS77:CV77" si="665">CR77</f>
        <v>0</v>
      </c>
      <c r="CT77" s="511">
        <f t="shared" si="665"/>
        <v>0</v>
      </c>
      <c r="CU77" s="511">
        <f t="shared" si="665"/>
        <v>0</v>
      </c>
      <c r="CV77" s="511">
        <f t="shared" si="665"/>
        <v>0</v>
      </c>
      <c r="CW77" s="511">
        <f t="shared" si="516"/>
        <v>0</v>
      </c>
      <c r="CX77" s="539">
        <f t="shared" si="517"/>
        <v>0</v>
      </c>
      <c r="CY77" s="724">
        <f t="shared" si="560"/>
        <v>1344.9135560355983</v>
      </c>
      <c r="CZ77" s="508">
        <f t="shared" si="561"/>
        <v>1344.9135560355983</v>
      </c>
      <c r="DA77" s="508">
        <f t="shared" si="562"/>
        <v>1344.9135560355983</v>
      </c>
      <c r="DB77" s="508">
        <f t="shared" si="563"/>
        <v>1344.9135560355983</v>
      </c>
      <c r="DC77" s="508">
        <f t="shared" si="564"/>
        <v>1344.9135560355983</v>
      </c>
      <c r="DD77" s="508">
        <f t="shared" si="565"/>
        <v>1344.9135560355983</v>
      </c>
      <c r="DE77" s="726">
        <f t="shared" si="566"/>
        <v>1344.9135560355983</v>
      </c>
      <c r="DF77" s="724">
        <f t="shared" si="567"/>
        <v>0</v>
      </c>
      <c r="DG77" s="509">
        <f t="shared" si="568"/>
        <v>0</v>
      </c>
      <c r="DH77" s="509">
        <f t="shared" si="569"/>
        <v>0</v>
      </c>
      <c r="DI77" s="509">
        <f t="shared" si="570"/>
        <v>0</v>
      </c>
      <c r="DJ77" s="509">
        <f t="shared" si="571"/>
        <v>0</v>
      </c>
      <c r="DK77" s="509">
        <f t="shared" si="572"/>
        <v>0</v>
      </c>
      <c r="DL77" s="451">
        <f t="shared" si="573"/>
        <v>0</v>
      </c>
      <c r="DM77" s="509">
        <f t="shared" si="574"/>
        <v>76.785714285714278</v>
      </c>
      <c r="DN77" s="509">
        <f t="shared" si="575"/>
        <v>76.785714285714278</v>
      </c>
      <c r="DO77" s="509">
        <f t="shared" si="576"/>
        <v>76.785714285714278</v>
      </c>
      <c r="DP77" s="509">
        <f t="shared" si="577"/>
        <v>76.785714285714278</v>
      </c>
      <c r="DQ77" s="509">
        <f t="shared" si="578"/>
        <v>76.785714285714278</v>
      </c>
      <c r="DR77" s="509">
        <f t="shared" si="579"/>
        <v>76.785714285714278</v>
      </c>
      <c r="DS77" s="450">
        <f t="shared" si="580"/>
        <v>76.785714285714278</v>
      </c>
      <c r="DT77" s="724">
        <f t="shared" si="581"/>
        <v>0</v>
      </c>
      <c r="DU77" s="508">
        <f t="shared" si="582"/>
        <v>0</v>
      </c>
      <c r="DV77" s="508">
        <f t="shared" si="583"/>
        <v>0</v>
      </c>
      <c r="DW77" s="508">
        <f t="shared" si="584"/>
        <v>0</v>
      </c>
      <c r="DX77" s="508">
        <f t="shared" si="585"/>
        <v>0</v>
      </c>
      <c r="DY77" s="508">
        <f t="shared" si="586"/>
        <v>0</v>
      </c>
      <c r="DZ77" s="726">
        <f t="shared" si="587"/>
        <v>0</v>
      </c>
      <c r="EA77" s="722">
        <f t="shared" si="588"/>
        <v>2585.4709821428569</v>
      </c>
      <c r="EB77" s="511">
        <f t="shared" si="589"/>
        <v>2585.4709821428569</v>
      </c>
      <c r="EC77" s="511">
        <f t="shared" si="590"/>
        <v>2585.4709821428569</v>
      </c>
      <c r="ED77" s="511">
        <f t="shared" si="591"/>
        <v>2585.4709821428569</v>
      </c>
      <c r="EE77" s="511">
        <f t="shared" si="592"/>
        <v>2585.4709821428569</v>
      </c>
      <c r="EF77" s="511">
        <f t="shared" si="593"/>
        <v>2585.4709821428569</v>
      </c>
      <c r="EG77" s="723">
        <f t="shared" si="594"/>
        <v>2585.4709821428569</v>
      </c>
      <c r="EH77" s="397">
        <f t="shared" si="595"/>
        <v>0.86671874999999987</v>
      </c>
      <c r="EI77" s="397">
        <f t="shared" si="596"/>
        <v>0.86671874999999987</v>
      </c>
      <c r="EJ77" s="397">
        <f t="shared" si="597"/>
        <v>0.86671874999999987</v>
      </c>
      <c r="EK77" s="397">
        <f t="shared" si="598"/>
        <v>0.86671874999999987</v>
      </c>
      <c r="EL77" s="397">
        <f t="shared" si="599"/>
        <v>0.86671874999999987</v>
      </c>
      <c r="EM77" s="397">
        <f t="shared" si="600"/>
        <v>0.86671874999999987</v>
      </c>
      <c r="EN77" s="398">
        <f t="shared" si="601"/>
        <v>0.86671874999999987</v>
      </c>
      <c r="EO77" s="722">
        <f t="shared" si="602"/>
        <v>0</v>
      </c>
      <c r="EP77" s="511">
        <f t="shared" si="603"/>
        <v>0</v>
      </c>
      <c r="EQ77" s="511">
        <f t="shared" si="604"/>
        <v>0</v>
      </c>
      <c r="ER77" s="511">
        <f t="shared" si="605"/>
        <v>0</v>
      </c>
      <c r="ES77" s="511">
        <f t="shared" si="606"/>
        <v>0</v>
      </c>
      <c r="ET77" s="511">
        <f t="shared" si="607"/>
        <v>0</v>
      </c>
      <c r="EU77" s="723">
        <f t="shared" si="608"/>
        <v>0</v>
      </c>
      <c r="EV77" s="727">
        <f t="shared" si="609"/>
        <v>4.6071428571428568</v>
      </c>
      <c r="EW77" s="728">
        <f t="shared" si="610"/>
        <v>9414.3948922491873</v>
      </c>
      <c r="EX77" s="728">
        <f t="shared" si="611"/>
        <v>0</v>
      </c>
      <c r="EY77" s="728">
        <f t="shared" si="612"/>
        <v>537.5</v>
      </c>
      <c r="EZ77" s="728">
        <f t="shared" si="613"/>
        <v>0</v>
      </c>
      <c r="FA77" s="777">
        <f t="shared" si="614"/>
        <v>18098.296875</v>
      </c>
      <c r="FB77" s="777">
        <f t="shared" si="615"/>
        <v>6.0670312499999985</v>
      </c>
      <c r="FC77" s="778">
        <f t="shared" si="616"/>
        <v>0</v>
      </c>
      <c r="FE77" s="10"/>
      <c r="FF77" s="10"/>
    </row>
    <row r="78" spans="1:162">
      <c r="A78" s="662" t="s">
        <v>200</v>
      </c>
      <c r="B78" s="789" t="s">
        <v>1370</v>
      </c>
      <c r="C78" s="789" t="str">
        <f t="shared" ref="C78:W78" si="666">C21</f>
        <v xml:space="preserve">Efficiency of 75% or more for system </v>
      </c>
      <c r="D78" s="789" t="str">
        <f t="shared" si="666"/>
        <v>Standard Pump Efficiency</v>
      </c>
      <c r="E78" s="789" t="str">
        <f t="shared" si="666"/>
        <v>Per Pump</v>
      </c>
      <c r="F78" s="789" t="str">
        <f t="shared" si="666"/>
        <v>Per Pump</v>
      </c>
      <c r="G78" s="704" t="str">
        <f t="shared" si="666"/>
        <v>Incremental Cost</v>
      </c>
      <c r="H78" s="704">
        <f t="shared" si="666"/>
        <v>946.13908893278608</v>
      </c>
      <c r="I78" s="704">
        <f t="shared" si="666"/>
        <v>0</v>
      </c>
      <c r="J78" s="704">
        <f t="shared" si="666"/>
        <v>946.13908893278608</v>
      </c>
      <c r="K78" s="704">
        <f t="shared" si="666"/>
        <v>0</v>
      </c>
      <c r="L78" s="704">
        <f t="shared" si="666"/>
        <v>473.06954446639304</v>
      </c>
      <c r="M78" s="707" t="str">
        <f t="shared" si="666"/>
        <v>Adapted from data in https://nwcouncil.app.box.com/v/ComAgIndPumpsv2-2</v>
      </c>
      <c r="N78" s="704">
        <f t="shared" si="666"/>
        <v>60</v>
      </c>
      <c r="O78" s="704">
        <f t="shared" si="666"/>
        <v>60</v>
      </c>
      <c r="P78" s="704">
        <f t="shared" si="666"/>
        <v>0</v>
      </c>
      <c r="Q78" s="704">
        <f t="shared" si="666"/>
        <v>0</v>
      </c>
      <c r="R78" s="1021">
        <f t="shared" si="666"/>
        <v>2244.75</v>
      </c>
      <c r="S78" s="872">
        <f t="shared" si="666"/>
        <v>0.75249999999999995</v>
      </c>
      <c r="T78" s="1022">
        <f t="shared" si="666"/>
        <v>0</v>
      </c>
      <c r="U78" s="711" t="str">
        <f t="shared" si="666"/>
        <v>Based on savings from LG&amp;E/KU Commercial Rebates report for 20 HP pump - assumes savings increase linearly per HP increases</v>
      </c>
      <c r="V78" s="716">
        <f t="shared" si="666"/>
        <v>0</v>
      </c>
      <c r="W78" s="711">
        <f t="shared" si="666"/>
        <v>1</v>
      </c>
      <c r="X78" s="781">
        <f t="shared" ref="X78:AJ78" si="667">X21/2</f>
        <v>1</v>
      </c>
      <c r="Y78" s="781">
        <f t="shared" si="667"/>
        <v>0</v>
      </c>
      <c r="Z78" s="781">
        <f t="shared" si="667"/>
        <v>0</v>
      </c>
      <c r="AA78" s="781">
        <f t="shared" si="667"/>
        <v>5.1428571428571423</v>
      </c>
      <c r="AB78" s="781">
        <f t="shared" si="667"/>
        <v>2.5714285714285712</v>
      </c>
      <c r="AC78" s="781">
        <f t="shared" si="667"/>
        <v>2.5714285714285712</v>
      </c>
      <c r="AD78" s="781">
        <f t="shared" si="667"/>
        <v>2.5714285714285712</v>
      </c>
      <c r="AE78" s="781">
        <f t="shared" si="667"/>
        <v>2.5714285714285712</v>
      </c>
      <c r="AF78" s="781">
        <f t="shared" si="667"/>
        <v>2.5714285714285712</v>
      </c>
      <c r="AG78" s="781">
        <f t="shared" si="667"/>
        <v>2.5714285714285712</v>
      </c>
      <c r="AH78" s="781">
        <f t="shared" si="667"/>
        <v>2.5714285714285712</v>
      </c>
      <c r="AI78" s="781">
        <f t="shared" si="667"/>
        <v>2.5714285714285712</v>
      </c>
      <c r="AJ78" s="781">
        <f t="shared" si="667"/>
        <v>2.5714285714285712</v>
      </c>
      <c r="AK78" s="711" t="str">
        <f t="shared" ref="AK78:BA78" si="668">AK21</f>
        <v>Electric</v>
      </c>
      <c r="AL78" s="711" t="str">
        <f t="shared" si="668"/>
        <v>Commercial</v>
      </c>
      <c r="AM78" s="711" t="str">
        <f t="shared" si="668"/>
        <v>Large Office</v>
      </c>
      <c r="AN78" s="711" t="str">
        <f t="shared" si="668"/>
        <v>Ventilation And Circulation</v>
      </c>
      <c r="AO78" s="711" t="str">
        <f t="shared" si="668"/>
        <v>Existing</v>
      </c>
      <c r="AP78" s="711">
        <f t="shared" si="668"/>
        <v>0</v>
      </c>
      <c r="AQ78" s="711">
        <f t="shared" si="668"/>
        <v>0</v>
      </c>
      <c r="AR78" s="711">
        <f t="shared" si="668"/>
        <v>0</v>
      </c>
      <c r="AS78" s="711" t="str">
        <f t="shared" si="668"/>
        <v>OFFLGCool</v>
      </c>
      <c r="AT78" s="715" t="s">
        <v>745</v>
      </c>
      <c r="AU78" s="1065" t="s">
        <v>771</v>
      </c>
      <c r="AV78" s="711">
        <f t="shared" si="668"/>
        <v>20</v>
      </c>
      <c r="AW78" s="711">
        <f t="shared" si="668"/>
        <v>20</v>
      </c>
      <c r="AX78" s="711" t="s">
        <v>2713</v>
      </c>
      <c r="AY78" s="711">
        <f t="shared" si="668"/>
        <v>1</v>
      </c>
      <c r="AZ78" s="711">
        <f t="shared" si="668"/>
        <v>1</v>
      </c>
      <c r="BA78" s="1066">
        <f t="shared" si="668"/>
        <v>0</v>
      </c>
      <c r="BB78" s="721">
        <f t="shared" si="493"/>
        <v>946.13908893278608</v>
      </c>
      <c r="BC78" s="499">
        <f t="shared" si="494"/>
        <v>946.13908893278608</v>
      </c>
      <c r="BD78" s="499">
        <f t="shared" si="495"/>
        <v>946.13908893278608</v>
      </c>
      <c r="BE78" s="499">
        <f t="shared" si="496"/>
        <v>946.13908893278608</v>
      </c>
      <c r="BF78" s="499">
        <f t="shared" si="497"/>
        <v>946.13908893278608</v>
      </c>
      <c r="BG78" s="499">
        <f t="shared" si="498"/>
        <v>946.13908893278608</v>
      </c>
      <c r="BH78" s="499">
        <f t="shared" si="499"/>
        <v>946.13908893278608</v>
      </c>
      <c r="BI78" s="721">
        <f t="shared" si="474"/>
        <v>0</v>
      </c>
      <c r="BJ78" s="499">
        <f t="shared" ref="BJ78:BM78" si="669">BI78</f>
        <v>0</v>
      </c>
      <c r="BK78" s="499">
        <f t="shared" si="669"/>
        <v>0</v>
      </c>
      <c r="BL78" s="499">
        <f t="shared" si="669"/>
        <v>0</v>
      </c>
      <c r="BM78" s="499">
        <f t="shared" si="669"/>
        <v>0</v>
      </c>
      <c r="BN78" s="499">
        <f t="shared" si="501"/>
        <v>0</v>
      </c>
      <c r="BO78" s="499">
        <f t="shared" si="502"/>
        <v>0</v>
      </c>
      <c r="BP78" s="721">
        <f t="shared" si="476"/>
        <v>60</v>
      </c>
      <c r="BQ78" s="499">
        <f t="shared" si="477"/>
        <v>60</v>
      </c>
      <c r="BR78" s="499">
        <f t="shared" si="503"/>
        <v>60</v>
      </c>
      <c r="BS78" s="499">
        <f t="shared" si="504"/>
        <v>60</v>
      </c>
      <c r="BT78" s="499">
        <f t="shared" si="505"/>
        <v>60</v>
      </c>
      <c r="BU78" s="499">
        <f t="shared" si="506"/>
        <v>60</v>
      </c>
      <c r="BV78" s="499">
        <f t="shared" si="507"/>
        <v>60</v>
      </c>
      <c r="BW78" s="774">
        <f t="shared" si="508"/>
        <v>0</v>
      </c>
      <c r="BX78" s="503">
        <f t="shared" si="483"/>
        <v>0</v>
      </c>
      <c r="BY78" s="503">
        <f t="shared" si="483"/>
        <v>0</v>
      </c>
      <c r="BZ78" s="503">
        <f t="shared" si="483"/>
        <v>0</v>
      </c>
      <c r="CA78" s="503">
        <f t="shared" si="483"/>
        <v>0</v>
      </c>
      <c r="CB78" s="503">
        <f t="shared" si="483"/>
        <v>0</v>
      </c>
      <c r="CC78" s="503">
        <f t="shared" si="483"/>
        <v>0</v>
      </c>
      <c r="CD78" s="722">
        <f t="shared" si="484"/>
        <v>2244.75</v>
      </c>
      <c r="CE78" s="511">
        <f t="shared" ref="CE78:CH78" si="670">CD78</f>
        <v>2244.75</v>
      </c>
      <c r="CF78" s="511">
        <f t="shared" si="670"/>
        <v>2244.75</v>
      </c>
      <c r="CG78" s="511">
        <f t="shared" si="670"/>
        <v>2244.75</v>
      </c>
      <c r="CH78" s="511">
        <f t="shared" si="670"/>
        <v>2244.75</v>
      </c>
      <c r="CI78" s="511">
        <f t="shared" si="510"/>
        <v>2244.75</v>
      </c>
      <c r="CJ78" s="511">
        <f t="shared" si="511"/>
        <v>2244.75</v>
      </c>
      <c r="CK78" s="722">
        <f t="shared" si="486"/>
        <v>0.75249999999999995</v>
      </c>
      <c r="CL78" s="511">
        <f t="shared" ref="CL78:CO78" si="671">CK78</f>
        <v>0.75249999999999995</v>
      </c>
      <c r="CM78" s="511">
        <f t="shared" si="671"/>
        <v>0.75249999999999995</v>
      </c>
      <c r="CN78" s="511">
        <f t="shared" si="671"/>
        <v>0.75249999999999995</v>
      </c>
      <c r="CO78" s="511">
        <f t="shared" si="671"/>
        <v>0.75249999999999995</v>
      </c>
      <c r="CP78" s="511">
        <f t="shared" si="513"/>
        <v>0.75249999999999995</v>
      </c>
      <c r="CQ78" s="511">
        <f t="shared" si="514"/>
        <v>0.75249999999999995</v>
      </c>
      <c r="CR78" s="722">
        <f t="shared" si="488"/>
        <v>0</v>
      </c>
      <c r="CS78" s="511">
        <f t="shared" ref="CS78:CV78" si="672">CR78</f>
        <v>0</v>
      </c>
      <c r="CT78" s="511">
        <f t="shared" si="672"/>
        <v>0</v>
      </c>
      <c r="CU78" s="511">
        <f t="shared" si="672"/>
        <v>0</v>
      </c>
      <c r="CV78" s="511">
        <f t="shared" si="672"/>
        <v>0</v>
      </c>
      <c r="CW78" s="511">
        <f t="shared" si="516"/>
        <v>0</v>
      </c>
      <c r="CX78" s="539">
        <f t="shared" si="517"/>
        <v>0</v>
      </c>
      <c r="CY78" s="724">
        <f t="shared" si="560"/>
        <v>2432.9290858271638</v>
      </c>
      <c r="CZ78" s="508">
        <f t="shared" si="561"/>
        <v>2432.9290858271638</v>
      </c>
      <c r="DA78" s="508">
        <f t="shared" si="562"/>
        <v>2432.9290858271638</v>
      </c>
      <c r="DB78" s="508">
        <f t="shared" si="563"/>
        <v>2432.9290858271638</v>
      </c>
      <c r="DC78" s="508">
        <f t="shared" si="564"/>
        <v>2432.9290858271638</v>
      </c>
      <c r="DD78" s="508">
        <f t="shared" si="565"/>
        <v>2432.9290858271638</v>
      </c>
      <c r="DE78" s="726">
        <f t="shared" si="566"/>
        <v>2432.9290858271638</v>
      </c>
      <c r="DF78" s="724">
        <f t="shared" si="567"/>
        <v>0</v>
      </c>
      <c r="DG78" s="509">
        <f t="shared" si="568"/>
        <v>0</v>
      </c>
      <c r="DH78" s="509">
        <f t="shared" si="569"/>
        <v>0</v>
      </c>
      <c r="DI78" s="509">
        <f t="shared" si="570"/>
        <v>0</v>
      </c>
      <c r="DJ78" s="509">
        <f t="shared" si="571"/>
        <v>0</v>
      </c>
      <c r="DK78" s="509">
        <f t="shared" si="572"/>
        <v>0</v>
      </c>
      <c r="DL78" s="451">
        <f t="shared" si="573"/>
        <v>0</v>
      </c>
      <c r="DM78" s="509">
        <f t="shared" si="574"/>
        <v>154.28571428571428</v>
      </c>
      <c r="DN78" s="509">
        <f t="shared" si="575"/>
        <v>154.28571428571428</v>
      </c>
      <c r="DO78" s="509">
        <f t="shared" si="576"/>
        <v>154.28571428571428</v>
      </c>
      <c r="DP78" s="509">
        <f t="shared" si="577"/>
        <v>154.28571428571428</v>
      </c>
      <c r="DQ78" s="509">
        <f t="shared" si="578"/>
        <v>154.28571428571428</v>
      </c>
      <c r="DR78" s="509">
        <f t="shared" si="579"/>
        <v>154.28571428571428</v>
      </c>
      <c r="DS78" s="450">
        <f t="shared" si="580"/>
        <v>154.28571428571428</v>
      </c>
      <c r="DT78" s="724">
        <f t="shared" si="581"/>
        <v>0</v>
      </c>
      <c r="DU78" s="508">
        <f t="shared" si="582"/>
        <v>0</v>
      </c>
      <c r="DV78" s="508">
        <f t="shared" si="583"/>
        <v>0</v>
      </c>
      <c r="DW78" s="508">
        <f t="shared" si="584"/>
        <v>0</v>
      </c>
      <c r="DX78" s="508">
        <f t="shared" si="585"/>
        <v>0</v>
      </c>
      <c r="DY78" s="508">
        <f t="shared" si="586"/>
        <v>0</v>
      </c>
      <c r="DZ78" s="726">
        <f t="shared" si="587"/>
        <v>0</v>
      </c>
      <c r="EA78" s="722">
        <f t="shared" si="588"/>
        <v>5772.2142857142853</v>
      </c>
      <c r="EB78" s="511">
        <f t="shared" si="589"/>
        <v>5772.2142857142853</v>
      </c>
      <c r="EC78" s="511">
        <f t="shared" si="590"/>
        <v>5772.2142857142853</v>
      </c>
      <c r="ED78" s="511">
        <f t="shared" si="591"/>
        <v>5772.2142857142853</v>
      </c>
      <c r="EE78" s="511">
        <f t="shared" si="592"/>
        <v>5772.2142857142853</v>
      </c>
      <c r="EF78" s="511">
        <f t="shared" si="593"/>
        <v>5772.2142857142853</v>
      </c>
      <c r="EG78" s="723">
        <f t="shared" si="594"/>
        <v>5772.2142857142853</v>
      </c>
      <c r="EH78" s="397">
        <f t="shared" si="595"/>
        <v>1.9349999999999996</v>
      </c>
      <c r="EI78" s="397">
        <f t="shared" si="596"/>
        <v>1.9349999999999996</v>
      </c>
      <c r="EJ78" s="397">
        <f t="shared" si="597"/>
        <v>1.9349999999999996</v>
      </c>
      <c r="EK78" s="397">
        <f t="shared" si="598"/>
        <v>1.9349999999999996</v>
      </c>
      <c r="EL78" s="397">
        <f t="shared" si="599"/>
        <v>1.9349999999999996</v>
      </c>
      <c r="EM78" s="397">
        <f t="shared" si="600"/>
        <v>1.9349999999999996</v>
      </c>
      <c r="EN78" s="398">
        <f t="shared" si="601"/>
        <v>1.9349999999999996</v>
      </c>
      <c r="EO78" s="722">
        <f t="shared" si="602"/>
        <v>0</v>
      </c>
      <c r="EP78" s="511">
        <f t="shared" si="603"/>
        <v>0</v>
      </c>
      <c r="EQ78" s="511">
        <f t="shared" si="604"/>
        <v>0</v>
      </c>
      <c r="ER78" s="511">
        <f t="shared" si="605"/>
        <v>0</v>
      </c>
      <c r="ES78" s="511">
        <f t="shared" si="606"/>
        <v>0</v>
      </c>
      <c r="ET78" s="511">
        <f t="shared" si="607"/>
        <v>0</v>
      </c>
      <c r="EU78" s="723">
        <f t="shared" si="608"/>
        <v>0</v>
      </c>
      <c r="EV78" s="727">
        <f t="shared" si="609"/>
        <v>7.7142857142857135</v>
      </c>
      <c r="EW78" s="728">
        <f t="shared" si="610"/>
        <v>17030.503600790147</v>
      </c>
      <c r="EX78" s="728">
        <f t="shared" si="611"/>
        <v>0</v>
      </c>
      <c r="EY78" s="728">
        <f t="shared" si="612"/>
        <v>1079.9999999999998</v>
      </c>
      <c r="EZ78" s="728">
        <f t="shared" si="613"/>
        <v>0</v>
      </c>
      <c r="FA78" s="777">
        <f t="shared" si="614"/>
        <v>40405.499999999993</v>
      </c>
      <c r="FB78" s="777">
        <f t="shared" si="615"/>
        <v>13.544999999999995</v>
      </c>
      <c r="FC78" s="778">
        <f t="shared" si="616"/>
        <v>0</v>
      </c>
      <c r="FE78" s="10"/>
      <c r="FF78" s="10"/>
    </row>
    <row r="79" spans="1:162">
      <c r="A79" s="662" t="s">
        <v>201</v>
      </c>
      <c r="B79" s="789" t="s">
        <v>1371</v>
      </c>
      <c r="C79" s="789" t="str">
        <f t="shared" ref="C79:W79" si="673">C22</f>
        <v xml:space="preserve">Efficiency of 77% or more for system </v>
      </c>
      <c r="D79" s="789" t="str">
        <f t="shared" si="673"/>
        <v>Standard Pump Efficiency</v>
      </c>
      <c r="E79" s="789" t="str">
        <f t="shared" si="673"/>
        <v>Per Pump</v>
      </c>
      <c r="F79" s="789" t="str">
        <f t="shared" si="673"/>
        <v>Per Pump</v>
      </c>
      <c r="G79" s="704" t="str">
        <f t="shared" si="673"/>
        <v>Incremental Cost</v>
      </c>
      <c r="H79" s="704">
        <f t="shared" si="673"/>
        <v>1055.044327128539</v>
      </c>
      <c r="I79" s="704">
        <f t="shared" si="673"/>
        <v>0</v>
      </c>
      <c r="J79" s="704">
        <f t="shared" si="673"/>
        <v>1055.044327128539</v>
      </c>
      <c r="K79" s="704">
        <f t="shared" si="673"/>
        <v>0</v>
      </c>
      <c r="L79" s="704">
        <f t="shared" si="673"/>
        <v>527.52216356426948</v>
      </c>
      <c r="M79" s="707" t="str">
        <f t="shared" si="673"/>
        <v>Adapted from data in https://nwcouncil.app.box.com/v/ComAgIndPumpsv2-2</v>
      </c>
      <c r="N79" s="704">
        <f t="shared" si="673"/>
        <v>100</v>
      </c>
      <c r="O79" s="704">
        <f t="shared" si="673"/>
        <v>100</v>
      </c>
      <c r="P79" s="704">
        <f t="shared" si="673"/>
        <v>0</v>
      </c>
      <c r="Q79" s="704">
        <f t="shared" si="673"/>
        <v>0</v>
      </c>
      <c r="R79" s="1021">
        <f t="shared" si="673"/>
        <v>3367.125</v>
      </c>
      <c r="S79" s="872">
        <f t="shared" si="673"/>
        <v>1.1287499999999999</v>
      </c>
      <c r="T79" s="1022">
        <f t="shared" si="673"/>
        <v>0</v>
      </c>
      <c r="U79" s="711" t="str">
        <f t="shared" si="673"/>
        <v>Based on savings from LG&amp;E/KU Commercial Rebates report for 20 HP pump - assumes savings increase linearly per HP increases</v>
      </c>
      <c r="V79" s="716">
        <f t="shared" si="673"/>
        <v>0</v>
      </c>
      <c r="W79" s="711">
        <f t="shared" si="673"/>
        <v>1</v>
      </c>
      <c r="X79" s="781">
        <f t="shared" ref="X79:AJ79" si="674">X22/2</f>
        <v>1</v>
      </c>
      <c r="Y79" s="781">
        <f t="shared" si="674"/>
        <v>0</v>
      </c>
      <c r="Z79" s="781">
        <f t="shared" si="674"/>
        <v>0.5</v>
      </c>
      <c r="AA79" s="781">
        <f t="shared" si="674"/>
        <v>0</v>
      </c>
      <c r="AB79" s="781">
        <f t="shared" si="674"/>
        <v>0.25</v>
      </c>
      <c r="AC79" s="781">
        <f t="shared" si="674"/>
        <v>0.25</v>
      </c>
      <c r="AD79" s="781">
        <f t="shared" si="674"/>
        <v>0.25</v>
      </c>
      <c r="AE79" s="781">
        <f t="shared" si="674"/>
        <v>0.25</v>
      </c>
      <c r="AF79" s="781">
        <f t="shared" si="674"/>
        <v>0.25</v>
      </c>
      <c r="AG79" s="781">
        <f t="shared" si="674"/>
        <v>0.25</v>
      </c>
      <c r="AH79" s="781">
        <f t="shared" si="674"/>
        <v>0.25</v>
      </c>
      <c r="AI79" s="781">
        <f t="shared" si="674"/>
        <v>0.25</v>
      </c>
      <c r="AJ79" s="781">
        <f t="shared" si="674"/>
        <v>0.25</v>
      </c>
      <c r="AK79" s="711" t="str">
        <f t="shared" ref="AK79:BA79" si="675">AK22</f>
        <v>Electric</v>
      </c>
      <c r="AL79" s="711" t="str">
        <f t="shared" si="675"/>
        <v>Commercial</v>
      </c>
      <c r="AM79" s="711" t="str">
        <f t="shared" si="675"/>
        <v>Large Office</v>
      </c>
      <c r="AN79" s="711" t="str">
        <f t="shared" si="675"/>
        <v>Ventilation And Circulation</v>
      </c>
      <c r="AO79" s="711" t="str">
        <f t="shared" si="675"/>
        <v>Existing</v>
      </c>
      <c r="AP79" s="711">
        <f t="shared" si="675"/>
        <v>0</v>
      </c>
      <c r="AQ79" s="711">
        <f t="shared" si="675"/>
        <v>0</v>
      </c>
      <c r="AR79" s="711">
        <f t="shared" si="675"/>
        <v>0</v>
      </c>
      <c r="AS79" s="711" t="str">
        <f t="shared" si="675"/>
        <v>OFFLGCool</v>
      </c>
      <c r="AT79" s="715" t="s">
        <v>745</v>
      </c>
      <c r="AU79" s="1065" t="s">
        <v>771</v>
      </c>
      <c r="AV79" s="711">
        <f t="shared" si="675"/>
        <v>20</v>
      </c>
      <c r="AW79" s="711">
        <f t="shared" si="675"/>
        <v>20</v>
      </c>
      <c r="AX79" s="711" t="s">
        <v>2713</v>
      </c>
      <c r="AY79" s="711">
        <f t="shared" si="675"/>
        <v>1</v>
      </c>
      <c r="AZ79" s="711">
        <f t="shared" si="675"/>
        <v>1</v>
      </c>
      <c r="BA79" s="1066">
        <f t="shared" si="675"/>
        <v>0</v>
      </c>
      <c r="BB79" s="721">
        <f t="shared" si="493"/>
        <v>1055.044327128539</v>
      </c>
      <c r="BC79" s="499">
        <f t="shared" si="494"/>
        <v>1055.044327128539</v>
      </c>
      <c r="BD79" s="499">
        <f t="shared" si="495"/>
        <v>1055.044327128539</v>
      </c>
      <c r="BE79" s="499">
        <f t="shared" si="496"/>
        <v>1055.044327128539</v>
      </c>
      <c r="BF79" s="499">
        <f t="shared" si="497"/>
        <v>1055.044327128539</v>
      </c>
      <c r="BG79" s="499">
        <f t="shared" si="498"/>
        <v>1055.044327128539</v>
      </c>
      <c r="BH79" s="499">
        <f t="shared" si="499"/>
        <v>1055.044327128539</v>
      </c>
      <c r="BI79" s="721">
        <f t="shared" si="474"/>
        <v>0</v>
      </c>
      <c r="BJ79" s="499">
        <f t="shared" ref="BJ79:BM79" si="676">BI79</f>
        <v>0</v>
      </c>
      <c r="BK79" s="499">
        <f t="shared" si="676"/>
        <v>0</v>
      </c>
      <c r="BL79" s="499">
        <f t="shared" si="676"/>
        <v>0</v>
      </c>
      <c r="BM79" s="499">
        <f t="shared" si="676"/>
        <v>0</v>
      </c>
      <c r="BN79" s="499">
        <f t="shared" si="501"/>
        <v>0</v>
      </c>
      <c r="BO79" s="499">
        <f t="shared" si="502"/>
        <v>0</v>
      </c>
      <c r="BP79" s="721">
        <f t="shared" si="476"/>
        <v>100</v>
      </c>
      <c r="BQ79" s="499">
        <f t="shared" si="477"/>
        <v>100</v>
      </c>
      <c r="BR79" s="499">
        <f t="shared" si="503"/>
        <v>100</v>
      </c>
      <c r="BS79" s="499">
        <f t="shared" si="504"/>
        <v>100</v>
      </c>
      <c r="BT79" s="499">
        <f t="shared" si="505"/>
        <v>100</v>
      </c>
      <c r="BU79" s="499">
        <f t="shared" si="506"/>
        <v>100</v>
      </c>
      <c r="BV79" s="499">
        <f t="shared" si="507"/>
        <v>100</v>
      </c>
      <c r="BW79" s="774">
        <f t="shared" si="508"/>
        <v>0</v>
      </c>
      <c r="BX79" s="503">
        <f t="shared" si="508"/>
        <v>0</v>
      </c>
      <c r="BY79" s="503">
        <f t="shared" si="508"/>
        <v>0</v>
      </c>
      <c r="BZ79" s="503">
        <f t="shared" si="508"/>
        <v>0</v>
      </c>
      <c r="CA79" s="503">
        <f t="shared" si="508"/>
        <v>0</v>
      </c>
      <c r="CB79" s="503">
        <f t="shared" si="508"/>
        <v>0</v>
      </c>
      <c r="CC79" s="503">
        <f t="shared" si="508"/>
        <v>0</v>
      </c>
      <c r="CD79" s="722">
        <f t="shared" si="484"/>
        <v>3367.125</v>
      </c>
      <c r="CE79" s="511">
        <f t="shared" ref="CE79:CH79" si="677">CD79</f>
        <v>3367.125</v>
      </c>
      <c r="CF79" s="511">
        <f t="shared" si="677"/>
        <v>3367.125</v>
      </c>
      <c r="CG79" s="511">
        <f t="shared" si="677"/>
        <v>3367.125</v>
      </c>
      <c r="CH79" s="511">
        <f t="shared" si="677"/>
        <v>3367.125</v>
      </c>
      <c r="CI79" s="511">
        <f t="shared" si="510"/>
        <v>3367.125</v>
      </c>
      <c r="CJ79" s="511">
        <f t="shared" si="511"/>
        <v>3367.125</v>
      </c>
      <c r="CK79" s="722">
        <f t="shared" si="486"/>
        <v>1.1287499999999999</v>
      </c>
      <c r="CL79" s="511">
        <f t="shared" ref="CL79:CO79" si="678">CK79</f>
        <v>1.1287499999999999</v>
      </c>
      <c r="CM79" s="511">
        <f t="shared" si="678"/>
        <v>1.1287499999999999</v>
      </c>
      <c r="CN79" s="511">
        <f t="shared" si="678"/>
        <v>1.1287499999999999</v>
      </c>
      <c r="CO79" s="511">
        <f t="shared" si="678"/>
        <v>1.1287499999999999</v>
      </c>
      <c r="CP79" s="511">
        <f t="shared" si="513"/>
        <v>1.1287499999999999</v>
      </c>
      <c r="CQ79" s="511">
        <f t="shared" si="514"/>
        <v>1.1287499999999999</v>
      </c>
      <c r="CR79" s="722">
        <f t="shared" si="488"/>
        <v>0</v>
      </c>
      <c r="CS79" s="511">
        <f t="shared" ref="CS79:CV79" si="679">CR79</f>
        <v>0</v>
      </c>
      <c r="CT79" s="511">
        <f t="shared" si="679"/>
        <v>0</v>
      </c>
      <c r="CU79" s="511">
        <f t="shared" si="679"/>
        <v>0</v>
      </c>
      <c r="CV79" s="511">
        <f t="shared" si="679"/>
        <v>0</v>
      </c>
      <c r="CW79" s="511">
        <f t="shared" si="516"/>
        <v>0</v>
      </c>
      <c r="CX79" s="539">
        <f t="shared" si="517"/>
        <v>0</v>
      </c>
      <c r="CY79" s="724">
        <f t="shared" si="560"/>
        <v>263.76108178213474</v>
      </c>
      <c r="CZ79" s="508">
        <f t="shared" si="561"/>
        <v>263.76108178213474</v>
      </c>
      <c r="DA79" s="508">
        <f t="shared" si="562"/>
        <v>263.76108178213474</v>
      </c>
      <c r="DB79" s="508">
        <f t="shared" si="563"/>
        <v>263.76108178213474</v>
      </c>
      <c r="DC79" s="508">
        <f t="shared" si="564"/>
        <v>263.76108178213474</v>
      </c>
      <c r="DD79" s="508">
        <f t="shared" si="565"/>
        <v>263.76108178213474</v>
      </c>
      <c r="DE79" s="726">
        <f t="shared" si="566"/>
        <v>263.76108178213474</v>
      </c>
      <c r="DF79" s="724">
        <f t="shared" si="567"/>
        <v>0</v>
      </c>
      <c r="DG79" s="509">
        <f t="shared" si="568"/>
        <v>0</v>
      </c>
      <c r="DH79" s="509">
        <f t="shared" si="569"/>
        <v>0</v>
      </c>
      <c r="DI79" s="509">
        <f t="shared" si="570"/>
        <v>0</v>
      </c>
      <c r="DJ79" s="509">
        <f t="shared" si="571"/>
        <v>0</v>
      </c>
      <c r="DK79" s="509">
        <f t="shared" si="572"/>
        <v>0</v>
      </c>
      <c r="DL79" s="451">
        <f t="shared" si="573"/>
        <v>0</v>
      </c>
      <c r="DM79" s="509">
        <f t="shared" si="574"/>
        <v>25</v>
      </c>
      <c r="DN79" s="509">
        <f t="shared" si="575"/>
        <v>25</v>
      </c>
      <c r="DO79" s="509">
        <f t="shared" si="576"/>
        <v>25</v>
      </c>
      <c r="DP79" s="509">
        <f t="shared" si="577"/>
        <v>25</v>
      </c>
      <c r="DQ79" s="509">
        <f t="shared" si="578"/>
        <v>25</v>
      </c>
      <c r="DR79" s="509">
        <f t="shared" si="579"/>
        <v>25</v>
      </c>
      <c r="DS79" s="450">
        <f t="shared" si="580"/>
        <v>25</v>
      </c>
      <c r="DT79" s="724">
        <f t="shared" si="581"/>
        <v>0</v>
      </c>
      <c r="DU79" s="508">
        <f t="shared" si="582"/>
        <v>0</v>
      </c>
      <c r="DV79" s="508">
        <f t="shared" si="583"/>
        <v>0</v>
      </c>
      <c r="DW79" s="508">
        <f t="shared" si="584"/>
        <v>0</v>
      </c>
      <c r="DX79" s="508">
        <f t="shared" si="585"/>
        <v>0</v>
      </c>
      <c r="DY79" s="508">
        <f t="shared" si="586"/>
        <v>0</v>
      </c>
      <c r="DZ79" s="726">
        <f t="shared" si="587"/>
        <v>0</v>
      </c>
      <c r="EA79" s="722">
        <f t="shared" si="588"/>
        <v>841.78125</v>
      </c>
      <c r="EB79" s="511">
        <f t="shared" si="589"/>
        <v>841.78125</v>
      </c>
      <c r="EC79" s="511">
        <f t="shared" si="590"/>
        <v>841.78125</v>
      </c>
      <c r="ED79" s="511">
        <f t="shared" si="591"/>
        <v>841.78125</v>
      </c>
      <c r="EE79" s="511">
        <f t="shared" si="592"/>
        <v>841.78125</v>
      </c>
      <c r="EF79" s="511">
        <f t="shared" si="593"/>
        <v>841.78125</v>
      </c>
      <c r="EG79" s="723">
        <f t="shared" si="594"/>
        <v>841.78125</v>
      </c>
      <c r="EH79" s="397">
        <f t="shared" si="595"/>
        <v>0.28218749999999998</v>
      </c>
      <c r="EI79" s="397">
        <f t="shared" si="596"/>
        <v>0.28218749999999998</v>
      </c>
      <c r="EJ79" s="397">
        <f t="shared" si="597"/>
        <v>0.28218749999999998</v>
      </c>
      <c r="EK79" s="397">
        <f t="shared" si="598"/>
        <v>0.28218749999999998</v>
      </c>
      <c r="EL79" s="397">
        <f t="shared" si="599"/>
        <v>0.28218749999999998</v>
      </c>
      <c r="EM79" s="397">
        <f t="shared" si="600"/>
        <v>0.28218749999999998</v>
      </c>
      <c r="EN79" s="398">
        <f t="shared" si="601"/>
        <v>0.28218749999999998</v>
      </c>
      <c r="EO79" s="722">
        <f t="shared" si="602"/>
        <v>0</v>
      </c>
      <c r="EP79" s="511">
        <f t="shared" si="603"/>
        <v>0</v>
      </c>
      <c r="EQ79" s="511">
        <f t="shared" si="604"/>
        <v>0</v>
      </c>
      <c r="ER79" s="511">
        <f t="shared" si="605"/>
        <v>0</v>
      </c>
      <c r="ES79" s="511">
        <f t="shared" si="606"/>
        <v>0</v>
      </c>
      <c r="ET79" s="511">
        <f t="shared" si="607"/>
        <v>0</v>
      </c>
      <c r="EU79" s="723">
        <f t="shared" si="608"/>
        <v>0</v>
      </c>
      <c r="EV79" s="727">
        <f t="shared" si="609"/>
        <v>0.75</v>
      </c>
      <c r="EW79" s="728">
        <f t="shared" si="610"/>
        <v>1846.3275724749428</v>
      </c>
      <c r="EX79" s="728">
        <f t="shared" si="611"/>
        <v>0</v>
      </c>
      <c r="EY79" s="728">
        <f t="shared" si="612"/>
        <v>175</v>
      </c>
      <c r="EZ79" s="728">
        <f t="shared" si="613"/>
        <v>0</v>
      </c>
      <c r="FA79" s="777">
        <f t="shared" si="614"/>
        <v>5892.46875</v>
      </c>
      <c r="FB79" s="777">
        <f t="shared" si="615"/>
        <v>1.9753125</v>
      </c>
      <c r="FC79" s="778">
        <f t="shared" si="616"/>
        <v>0</v>
      </c>
      <c r="FE79" s="10"/>
      <c r="FF79" s="10"/>
    </row>
    <row r="80" spans="1:162">
      <c r="A80" s="662" t="s">
        <v>202</v>
      </c>
      <c r="B80" s="789" t="s">
        <v>1372</v>
      </c>
      <c r="C80" s="789" t="str">
        <f t="shared" ref="C80:W80" si="680">C23</f>
        <v xml:space="preserve">Efficiency of 77% or more for system </v>
      </c>
      <c r="D80" s="789" t="str">
        <f t="shared" si="680"/>
        <v>Standard Pump Efficiency</v>
      </c>
      <c r="E80" s="789" t="str">
        <f t="shared" si="680"/>
        <v>Per Pump</v>
      </c>
      <c r="F80" s="789" t="str">
        <f t="shared" si="680"/>
        <v>Per Pump</v>
      </c>
      <c r="G80" s="704" t="str">
        <f t="shared" si="680"/>
        <v>Incremental Cost</v>
      </c>
      <c r="H80" s="704">
        <f t="shared" si="680"/>
        <v>1139.8343617607823</v>
      </c>
      <c r="I80" s="704">
        <f t="shared" si="680"/>
        <v>0</v>
      </c>
      <c r="J80" s="704">
        <f t="shared" si="680"/>
        <v>1139.8343617607823</v>
      </c>
      <c r="K80" s="704">
        <f t="shared" si="680"/>
        <v>0</v>
      </c>
      <c r="L80" s="704">
        <f t="shared" si="680"/>
        <v>569.91718088039113</v>
      </c>
      <c r="M80" s="707" t="str">
        <f t="shared" si="680"/>
        <v>Adapted from data in https://nwcouncil.app.box.com/v/ComAgIndPumpsv2-2</v>
      </c>
      <c r="N80" s="704">
        <f t="shared" si="680"/>
        <v>150</v>
      </c>
      <c r="O80" s="704">
        <f t="shared" si="680"/>
        <v>150</v>
      </c>
      <c r="P80" s="704">
        <f t="shared" si="680"/>
        <v>0</v>
      </c>
      <c r="Q80" s="704">
        <f t="shared" si="680"/>
        <v>0</v>
      </c>
      <c r="R80" s="1021">
        <f t="shared" si="680"/>
        <v>4489.5</v>
      </c>
      <c r="S80" s="872">
        <f t="shared" si="680"/>
        <v>1.5049999999999999</v>
      </c>
      <c r="T80" s="1022">
        <f t="shared" si="680"/>
        <v>0</v>
      </c>
      <c r="U80" s="711" t="str">
        <f t="shared" si="680"/>
        <v>LG&amp;E/KU Commercial Rebates Report - Appendix A</v>
      </c>
      <c r="V80" s="716">
        <f t="shared" si="680"/>
        <v>0</v>
      </c>
      <c r="W80" s="711">
        <f t="shared" si="680"/>
        <v>1</v>
      </c>
      <c r="X80" s="781">
        <f t="shared" ref="X80:AJ80" si="681">X23/2</f>
        <v>1</v>
      </c>
      <c r="Y80" s="781">
        <f t="shared" si="681"/>
        <v>1</v>
      </c>
      <c r="Z80" s="781">
        <f t="shared" si="681"/>
        <v>3.5</v>
      </c>
      <c r="AA80" s="781">
        <f t="shared" si="681"/>
        <v>2.5714285714285712</v>
      </c>
      <c r="AB80" s="781">
        <f t="shared" si="681"/>
        <v>3.0357142857142856</v>
      </c>
      <c r="AC80" s="781">
        <f t="shared" si="681"/>
        <v>3.0357142857142856</v>
      </c>
      <c r="AD80" s="781">
        <f t="shared" si="681"/>
        <v>3.0357142857142856</v>
      </c>
      <c r="AE80" s="781">
        <f t="shared" si="681"/>
        <v>3.0357142857142856</v>
      </c>
      <c r="AF80" s="781">
        <f t="shared" si="681"/>
        <v>3.0357142857142856</v>
      </c>
      <c r="AG80" s="781">
        <f t="shared" si="681"/>
        <v>3.0357142857142856</v>
      </c>
      <c r="AH80" s="781">
        <f t="shared" si="681"/>
        <v>3.0357142857142856</v>
      </c>
      <c r="AI80" s="781">
        <f t="shared" si="681"/>
        <v>3.0357142857142856</v>
      </c>
      <c r="AJ80" s="781">
        <f t="shared" si="681"/>
        <v>3.0357142857142856</v>
      </c>
      <c r="AK80" s="711" t="str">
        <f t="shared" ref="AK80:BA80" si="682">AK23</f>
        <v>Electric</v>
      </c>
      <c r="AL80" s="711" t="str">
        <f t="shared" si="682"/>
        <v>Commercial</v>
      </c>
      <c r="AM80" s="711" t="str">
        <f t="shared" si="682"/>
        <v>Large Office</v>
      </c>
      <c r="AN80" s="711" t="str">
        <f t="shared" si="682"/>
        <v>Ventilation And Circulation</v>
      </c>
      <c r="AO80" s="711" t="str">
        <f t="shared" si="682"/>
        <v>Existing</v>
      </c>
      <c r="AP80" s="711">
        <f t="shared" si="682"/>
        <v>0</v>
      </c>
      <c r="AQ80" s="711">
        <f t="shared" si="682"/>
        <v>0</v>
      </c>
      <c r="AR80" s="711">
        <f t="shared" si="682"/>
        <v>0</v>
      </c>
      <c r="AS80" s="711" t="str">
        <f t="shared" si="682"/>
        <v>OFFLGCool</v>
      </c>
      <c r="AT80" s="715" t="s">
        <v>745</v>
      </c>
      <c r="AU80" s="1065" t="s">
        <v>771</v>
      </c>
      <c r="AV80" s="711">
        <f t="shared" si="682"/>
        <v>20</v>
      </c>
      <c r="AW80" s="711">
        <f t="shared" si="682"/>
        <v>20</v>
      </c>
      <c r="AX80" s="711" t="s">
        <v>2713</v>
      </c>
      <c r="AY80" s="711">
        <f t="shared" si="682"/>
        <v>1</v>
      </c>
      <c r="AZ80" s="711">
        <f t="shared" si="682"/>
        <v>1</v>
      </c>
      <c r="BA80" s="1066">
        <f t="shared" si="682"/>
        <v>0</v>
      </c>
      <c r="BB80" s="721">
        <f t="shared" si="493"/>
        <v>1139.8343617607823</v>
      </c>
      <c r="BC80" s="499">
        <f t="shared" si="494"/>
        <v>1139.8343617607823</v>
      </c>
      <c r="BD80" s="499">
        <f t="shared" si="495"/>
        <v>1139.8343617607823</v>
      </c>
      <c r="BE80" s="499">
        <f t="shared" si="496"/>
        <v>1139.8343617607823</v>
      </c>
      <c r="BF80" s="499">
        <f t="shared" si="497"/>
        <v>1139.8343617607823</v>
      </c>
      <c r="BG80" s="499">
        <f t="shared" si="498"/>
        <v>1139.8343617607823</v>
      </c>
      <c r="BH80" s="499">
        <f t="shared" si="499"/>
        <v>1139.8343617607823</v>
      </c>
      <c r="BI80" s="721">
        <f t="shared" si="474"/>
        <v>0</v>
      </c>
      <c r="BJ80" s="499">
        <f t="shared" ref="BJ80:BM80" si="683">BI80</f>
        <v>0</v>
      </c>
      <c r="BK80" s="499">
        <f t="shared" si="683"/>
        <v>0</v>
      </c>
      <c r="BL80" s="499">
        <f t="shared" si="683"/>
        <v>0</v>
      </c>
      <c r="BM80" s="499">
        <f t="shared" si="683"/>
        <v>0</v>
      </c>
      <c r="BN80" s="499">
        <f t="shared" si="501"/>
        <v>0</v>
      </c>
      <c r="BO80" s="499">
        <f t="shared" si="502"/>
        <v>0</v>
      </c>
      <c r="BP80" s="721">
        <f t="shared" si="476"/>
        <v>150</v>
      </c>
      <c r="BQ80" s="499">
        <f t="shared" si="477"/>
        <v>150</v>
      </c>
      <c r="BR80" s="499">
        <f t="shared" si="503"/>
        <v>150</v>
      </c>
      <c r="BS80" s="499">
        <f t="shared" si="504"/>
        <v>150</v>
      </c>
      <c r="BT80" s="499">
        <f t="shared" si="505"/>
        <v>150</v>
      </c>
      <c r="BU80" s="499">
        <f t="shared" si="506"/>
        <v>150</v>
      </c>
      <c r="BV80" s="499">
        <f t="shared" si="507"/>
        <v>150</v>
      </c>
      <c r="BW80" s="774">
        <f t="shared" si="508"/>
        <v>0</v>
      </c>
      <c r="BX80" s="503">
        <f t="shared" si="508"/>
        <v>0</v>
      </c>
      <c r="BY80" s="503">
        <f t="shared" si="508"/>
        <v>0</v>
      </c>
      <c r="BZ80" s="503">
        <f t="shared" si="508"/>
        <v>0</v>
      </c>
      <c r="CA80" s="503">
        <f t="shared" si="508"/>
        <v>0</v>
      </c>
      <c r="CB80" s="503">
        <f t="shared" si="508"/>
        <v>0</v>
      </c>
      <c r="CC80" s="503">
        <f t="shared" si="508"/>
        <v>0</v>
      </c>
      <c r="CD80" s="722">
        <f t="shared" si="484"/>
        <v>4489.5</v>
      </c>
      <c r="CE80" s="511">
        <f t="shared" ref="CE80:CH80" si="684">CD80</f>
        <v>4489.5</v>
      </c>
      <c r="CF80" s="511">
        <f t="shared" si="684"/>
        <v>4489.5</v>
      </c>
      <c r="CG80" s="511">
        <f t="shared" si="684"/>
        <v>4489.5</v>
      </c>
      <c r="CH80" s="511">
        <f t="shared" si="684"/>
        <v>4489.5</v>
      </c>
      <c r="CI80" s="511">
        <f t="shared" si="510"/>
        <v>4489.5</v>
      </c>
      <c r="CJ80" s="511">
        <f t="shared" si="511"/>
        <v>4489.5</v>
      </c>
      <c r="CK80" s="722">
        <f t="shared" si="486"/>
        <v>1.5049999999999999</v>
      </c>
      <c r="CL80" s="511">
        <f t="shared" ref="CL80:CO80" si="685">CK80</f>
        <v>1.5049999999999999</v>
      </c>
      <c r="CM80" s="511">
        <f t="shared" si="685"/>
        <v>1.5049999999999999</v>
      </c>
      <c r="CN80" s="511">
        <f t="shared" si="685"/>
        <v>1.5049999999999999</v>
      </c>
      <c r="CO80" s="511">
        <f t="shared" si="685"/>
        <v>1.5049999999999999</v>
      </c>
      <c r="CP80" s="511">
        <f t="shared" si="513"/>
        <v>1.5049999999999999</v>
      </c>
      <c r="CQ80" s="511">
        <f t="shared" si="514"/>
        <v>1.5049999999999999</v>
      </c>
      <c r="CR80" s="722">
        <f t="shared" si="488"/>
        <v>0</v>
      </c>
      <c r="CS80" s="511">
        <f t="shared" ref="CS80:CV80" si="686">CR80</f>
        <v>0</v>
      </c>
      <c r="CT80" s="511">
        <f t="shared" si="686"/>
        <v>0</v>
      </c>
      <c r="CU80" s="511">
        <f t="shared" si="686"/>
        <v>0</v>
      </c>
      <c r="CV80" s="511">
        <f t="shared" si="686"/>
        <v>0</v>
      </c>
      <c r="CW80" s="511">
        <f t="shared" si="516"/>
        <v>0</v>
      </c>
      <c r="CX80" s="539">
        <f t="shared" si="517"/>
        <v>0</v>
      </c>
      <c r="CY80" s="724">
        <f t="shared" si="560"/>
        <v>3460.2114553452316</v>
      </c>
      <c r="CZ80" s="508">
        <f t="shared" si="561"/>
        <v>3460.2114553452316</v>
      </c>
      <c r="DA80" s="508">
        <f t="shared" si="562"/>
        <v>3460.2114553452316</v>
      </c>
      <c r="DB80" s="508">
        <f t="shared" si="563"/>
        <v>3460.2114553452316</v>
      </c>
      <c r="DC80" s="508">
        <f t="shared" si="564"/>
        <v>3460.2114553452316</v>
      </c>
      <c r="DD80" s="508">
        <f t="shared" si="565"/>
        <v>3460.2114553452316</v>
      </c>
      <c r="DE80" s="726">
        <f t="shared" si="566"/>
        <v>3460.2114553452316</v>
      </c>
      <c r="DF80" s="724">
        <f t="shared" si="567"/>
        <v>0</v>
      </c>
      <c r="DG80" s="509">
        <f t="shared" si="568"/>
        <v>0</v>
      </c>
      <c r="DH80" s="509">
        <f t="shared" si="569"/>
        <v>0</v>
      </c>
      <c r="DI80" s="509">
        <f t="shared" si="570"/>
        <v>0</v>
      </c>
      <c r="DJ80" s="509">
        <f t="shared" si="571"/>
        <v>0</v>
      </c>
      <c r="DK80" s="509">
        <f t="shared" si="572"/>
        <v>0</v>
      </c>
      <c r="DL80" s="451">
        <f t="shared" si="573"/>
        <v>0</v>
      </c>
      <c r="DM80" s="509">
        <f t="shared" si="574"/>
        <v>455.35714285714283</v>
      </c>
      <c r="DN80" s="509">
        <f t="shared" si="575"/>
        <v>455.35714285714283</v>
      </c>
      <c r="DO80" s="509">
        <f t="shared" si="576"/>
        <v>455.35714285714283</v>
      </c>
      <c r="DP80" s="509">
        <f t="shared" si="577"/>
        <v>455.35714285714283</v>
      </c>
      <c r="DQ80" s="509">
        <f t="shared" si="578"/>
        <v>455.35714285714283</v>
      </c>
      <c r="DR80" s="509">
        <f t="shared" si="579"/>
        <v>455.35714285714283</v>
      </c>
      <c r="DS80" s="450">
        <f t="shared" si="580"/>
        <v>455.35714285714283</v>
      </c>
      <c r="DT80" s="724">
        <f t="shared" si="581"/>
        <v>0</v>
      </c>
      <c r="DU80" s="508">
        <f t="shared" si="582"/>
        <v>0</v>
      </c>
      <c r="DV80" s="508">
        <f t="shared" si="583"/>
        <v>0</v>
      </c>
      <c r="DW80" s="508">
        <f t="shared" si="584"/>
        <v>0</v>
      </c>
      <c r="DX80" s="508">
        <f t="shared" si="585"/>
        <v>0</v>
      </c>
      <c r="DY80" s="508">
        <f t="shared" si="586"/>
        <v>0</v>
      </c>
      <c r="DZ80" s="726">
        <f t="shared" si="587"/>
        <v>0</v>
      </c>
      <c r="EA80" s="722">
        <f t="shared" si="588"/>
        <v>13628.839285714284</v>
      </c>
      <c r="EB80" s="511">
        <f t="shared" si="589"/>
        <v>13628.839285714284</v>
      </c>
      <c r="EC80" s="511">
        <f t="shared" si="590"/>
        <v>13628.839285714284</v>
      </c>
      <c r="ED80" s="511">
        <f t="shared" si="591"/>
        <v>13628.839285714284</v>
      </c>
      <c r="EE80" s="511">
        <f t="shared" si="592"/>
        <v>13628.839285714284</v>
      </c>
      <c r="EF80" s="511">
        <f t="shared" si="593"/>
        <v>13628.839285714284</v>
      </c>
      <c r="EG80" s="723">
        <f t="shared" si="594"/>
        <v>13628.839285714284</v>
      </c>
      <c r="EH80" s="397">
        <f t="shared" si="595"/>
        <v>4.5687499999999996</v>
      </c>
      <c r="EI80" s="397">
        <f t="shared" si="596"/>
        <v>4.5687499999999996</v>
      </c>
      <c r="EJ80" s="397">
        <f t="shared" si="597"/>
        <v>4.5687499999999996</v>
      </c>
      <c r="EK80" s="397">
        <f t="shared" si="598"/>
        <v>4.5687499999999996</v>
      </c>
      <c r="EL80" s="397">
        <f t="shared" si="599"/>
        <v>4.5687499999999996</v>
      </c>
      <c r="EM80" s="397">
        <f t="shared" si="600"/>
        <v>4.5687499999999996</v>
      </c>
      <c r="EN80" s="398">
        <f t="shared" si="601"/>
        <v>4.5687499999999996</v>
      </c>
      <c r="EO80" s="722">
        <f t="shared" si="602"/>
        <v>0</v>
      </c>
      <c r="EP80" s="511">
        <f t="shared" si="603"/>
        <v>0</v>
      </c>
      <c r="EQ80" s="511">
        <f t="shared" si="604"/>
        <v>0</v>
      </c>
      <c r="ER80" s="511">
        <f t="shared" si="605"/>
        <v>0</v>
      </c>
      <c r="ES80" s="511">
        <f t="shared" si="606"/>
        <v>0</v>
      </c>
      <c r="ET80" s="511">
        <f t="shared" si="607"/>
        <v>0</v>
      </c>
      <c r="EU80" s="723">
        <f t="shared" si="608"/>
        <v>0</v>
      </c>
      <c r="EV80" s="727">
        <f t="shared" si="609"/>
        <v>9.1071428571428577</v>
      </c>
      <c r="EW80" s="728">
        <f t="shared" si="610"/>
        <v>24221.480187416619</v>
      </c>
      <c r="EX80" s="728">
        <f t="shared" si="611"/>
        <v>0</v>
      </c>
      <c r="EY80" s="728">
        <f t="shared" si="612"/>
        <v>3187.4999999999995</v>
      </c>
      <c r="EZ80" s="728">
        <f t="shared" si="613"/>
        <v>0</v>
      </c>
      <c r="FA80" s="777">
        <f t="shared" si="614"/>
        <v>95401.875</v>
      </c>
      <c r="FB80" s="777">
        <f t="shared" si="615"/>
        <v>31.981250000000003</v>
      </c>
      <c r="FC80" s="778">
        <f t="shared" si="616"/>
        <v>0</v>
      </c>
      <c r="FE80" s="10"/>
      <c r="FF80" s="10"/>
    </row>
    <row r="81" spans="1:162">
      <c r="A81" s="662" t="s">
        <v>203</v>
      </c>
      <c r="B81" s="789" t="s">
        <v>1373</v>
      </c>
      <c r="C81" s="789" t="str">
        <f t="shared" ref="C81:W81" si="687">C24</f>
        <v xml:space="preserve">Efficiency of 77% or more for system </v>
      </c>
      <c r="D81" s="789" t="str">
        <f t="shared" si="687"/>
        <v>Standard Pump Efficiency</v>
      </c>
      <c r="E81" s="789" t="str">
        <f t="shared" si="687"/>
        <v>Per Pump</v>
      </c>
      <c r="F81" s="789" t="str">
        <f t="shared" si="687"/>
        <v>Per Pump</v>
      </c>
      <c r="G81" s="704" t="str">
        <f t="shared" si="687"/>
        <v>Incremental Cost</v>
      </c>
      <c r="H81" s="704">
        <f t="shared" si="687"/>
        <v>1271.0348735283292</v>
      </c>
      <c r="I81" s="704">
        <f t="shared" si="687"/>
        <v>0</v>
      </c>
      <c r="J81" s="704">
        <f t="shared" si="687"/>
        <v>1271.0348735283292</v>
      </c>
      <c r="K81" s="704">
        <f t="shared" si="687"/>
        <v>0</v>
      </c>
      <c r="L81" s="704">
        <f t="shared" si="687"/>
        <v>635.51743676416459</v>
      </c>
      <c r="M81" s="707" t="str">
        <f t="shared" si="687"/>
        <v>Adapted from data in https://nwcouncil.app.box.com/v/ComAgIndPumpsv2-2</v>
      </c>
      <c r="N81" s="704">
        <f t="shared" si="687"/>
        <v>200</v>
      </c>
      <c r="O81" s="704">
        <f t="shared" si="687"/>
        <v>200</v>
      </c>
      <c r="P81" s="704">
        <f t="shared" si="687"/>
        <v>0</v>
      </c>
      <c r="Q81" s="704">
        <f t="shared" si="687"/>
        <v>0</v>
      </c>
      <c r="R81" s="1021">
        <f t="shared" si="687"/>
        <v>6734.25</v>
      </c>
      <c r="S81" s="872">
        <f t="shared" si="687"/>
        <v>2.2574999999999998</v>
      </c>
      <c r="T81" s="1022">
        <f t="shared" si="687"/>
        <v>0</v>
      </c>
      <c r="U81" s="711" t="str">
        <f t="shared" si="687"/>
        <v>Based on savings from LG&amp;E/KU Commercial Rebates report for 20 HP pump - assumes savings increase linearly per HP increases</v>
      </c>
      <c r="V81" s="716">
        <f t="shared" si="687"/>
        <v>0</v>
      </c>
      <c r="W81" s="711">
        <f t="shared" si="687"/>
        <v>1</v>
      </c>
      <c r="X81" s="781">
        <f t="shared" ref="X81:AJ81" si="688">X24/2</f>
        <v>1</v>
      </c>
      <c r="Y81" s="781">
        <f t="shared" si="688"/>
        <v>2.5</v>
      </c>
      <c r="Z81" s="781">
        <f t="shared" si="688"/>
        <v>1.5</v>
      </c>
      <c r="AA81" s="781">
        <f t="shared" si="688"/>
        <v>0</v>
      </c>
      <c r="AB81" s="781">
        <f t="shared" si="688"/>
        <v>0.75</v>
      </c>
      <c r="AC81" s="781">
        <f t="shared" si="688"/>
        <v>0.75</v>
      </c>
      <c r="AD81" s="781">
        <f t="shared" si="688"/>
        <v>0.75</v>
      </c>
      <c r="AE81" s="781">
        <f t="shared" si="688"/>
        <v>0.75</v>
      </c>
      <c r="AF81" s="781">
        <f t="shared" si="688"/>
        <v>0.75</v>
      </c>
      <c r="AG81" s="781">
        <f t="shared" si="688"/>
        <v>0.75</v>
      </c>
      <c r="AH81" s="781">
        <f t="shared" si="688"/>
        <v>0.75</v>
      </c>
      <c r="AI81" s="781">
        <f t="shared" si="688"/>
        <v>0.75</v>
      </c>
      <c r="AJ81" s="781">
        <f t="shared" si="688"/>
        <v>0.75</v>
      </c>
      <c r="AK81" s="711" t="str">
        <f t="shared" ref="AK81:BA81" si="689">AK24</f>
        <v>Electric</v>
      </c>
      <c r="AL81" s="711" t="str">
        <f t="shared" si="689"/>
        <v>Commercial</v>
      </c>
      <c r="AM81" s="711" t="str">
        <f t="shared" si="689"/>
        <v>Large Office</v>
      </c>
      <c r="AN81" s="711" t="str">
        <f t="shared" si="689"/>
        <v>Ventilation And Circulation</v>
      </c>
      <c r="AO81" s="711" t="str">
        <f t="shared" si="689"/>
        <v>Existing</v>
      </c>
      <c r="AP81" s="711">
        <f t="shared" si="689"/>
        <v>0</v>
      </c>
      <c r="AQ81" s="711">
        <f t="shared" si="689"/>
        <v>0</v>
      </c>
      <c r="AR81" s="711">
        <f t="shared" si="689"/>
        <v>0</v>
      </c>
      <c r="AS81" s="711" t="str">
        <f t="shared" si="689"/>
        <v>OFFLGCool</v>
      </c>
      <c r="AT81" s="715" t="s">
        <v>745</v>
      </c>
      <c r="AU81" s="1065" t="s">
        <v>771</v>
      </c>
      <c r="AV81" s="711">
        <f t="shared" si="689"/>
        <v>20</v>
      </c>
      <c r="AW81" s="711">
        <f t="shared" si="689"/>
        <v>20</v>
      </c>
      <c r="AX81" s="711" t="s">
        <v>2713</v>
      </c>
      <c r="AY81" s="711">
        <f t="shared" si="689"/>
        <v>1</v>
      </c>
      <c r="AZ81" s="711">
        <f t="shared" si="689"/>
        <v>1</v>
      </c>
      <c r="BA81" s="1066">
        <f t="shared" si="689"/>
        <v>0</v>
      </c>
      <c r="BB81" s="721">
        <f t="shared" si="493"/>
        <v>1271.0348735283292</v>
      </c>
      <c r="BC81" s="499">
        <f t="shared" si="494"/>
        <v>1271.0348735283292</v>
      </c>
      <c r="BD81" s="499">
        <f t="shared" si="495"/>
        <v>1271.0348735283292</v>
      </c>
      <c r="BE81" s="499">
        <f t="shared" si="496"/>
        <v>1271.0348735283292</v>
      </c>
      <c r="BF81" s="499">
        <f t="shared" si="497"/>
        <v>1271.0348735283292</v>
      </c>
      <c r="BG81" s="499">
        <f t="shared" si="498"/>
        <v>1271.0348735283292</v>
      </c>
      <c r="BH81" s="499">
        <f t="shared" si="499"/>
        <v>1271.0348735283292</v>
      </c>
      <c r="BI81" s="721">
        <f t="shared" si="474"/>
        <v>0</v>
      </c>
      <c r="BJ81" s="499">
        <f t="shared" ref="BJ81:BM81" si="690">BI81</f>
        <v>0</v>
      </c>
      <c r="BK81" s="499">
        <f t="shared" si="690"/>
        <v>0</v>
      </c>
      <c r="BL81" s="499">
        <f t="shared" si="690"/>
        <v>0</v>
      </c>
      <c r="BM81" s="499">
        <f t="shared" si="690"/>
        <v>0</v>
      </c>
      <c r="BN81" s="499">
        <f t="shared" si="501"/>
        <v>0</v>
      </c>
      <c r="BO81" s="499">
        <f t="shared" si="502"/>
        <v>0</v>
      </c>
      <c r="BP81" s="721">
        <f t="shared" si="476"/>
        <v>200</v>
      </c>
      <c r="BQ81" s="499">
        <f t="shared" si="477"/>
        <v>200</v>
      </c>
      <c r="BR81" s="499">
        <f t="shared" si="503"/>
        <v>200</v>
      </c>
      <c r="BS81" s="499">
        <f t="shared" si="504"/>
        <v>200</v>
      </c>
      <c r="BT81" s="499">
        <f t="shared" si="505"/>
        <v>200</v>
      </c>
      <c r="BU81" s="499">
        <f t="shared" si="506"/>
        <v>200</v>
      </c>
      <c r="BV81" s="499">
        <f t="shared" si="507"/>
        <v>200</v>
      </c>
      <c r="BW81" s="774">
        <f t="shared" si="508"/>
        <v>0</v>
      </c>
      <c r="BX81" s="503">
        <f t="shared" si="508"/>
        <v>0</v>
      </c>
      <c r="BY81" s="503">
        <f t="shared" si="508"/>
        <v>0</v>
      </c>
      <c r="BZ81" s="503">
        <f t="shared" si="508"/>
        <v>0</v>
      </c>
      <c r="CA81" s="503">
        <f t="shared" si="508"/>
        <v>0</v>
      </c>
      <c r="CB81" s="503">
        <f t="shared" si="508"/>
        <v>0</v>
      </c>
      <c r="CC81" s="503">
        <f t="shared" si="508"/>
        <v>0</v>
      </c>
      <c r="CD81" s="722">
        <f t="shared" si="484"/>
        <v>6734.25</v>
      </c>
      <c r="CE81" s="511">
        <f t="shared" ref="CE81:CH81" si="691">CD81</f>
        <v>6734.25</v>
      </c>
      <c r="CF81" s="511">
        <f t="shared" si="691"/>
        <v>6734.25</v>
      </c>
      <c r="CG81" s="511">
        <f t="shared" si="691"/>
        <v>6734.25</v>
      </c>
      <c r="CH81" s="511">
        <f t="shared" si="691"/>
        <v>6734.25</v>
      </c>
      <c r="CI81" s="511">
        <f t="shared" si="510"/>
        <v>6734.25</v>
      </c>
      <c r="CJ81" s="511">
        <f t="shared" si="511"/>
        <v>6734.25</v>
      </c>
      <c r="CK81" s="722">
        <f t="shared" si="486"/>
        <v>2.2574999999999998</v>
      </c>
      <c r="CL81" s="511">
        <f t="shared" ref="CL81:CO81" si="692">CK81</f>
        <v>2.2574999999999998</v>
      </c>
      <c r="CM81" s="511">
        <f t="shared" si="692"/>
        <v>2.2574999999999998</v>
      </c>
      <c r="CN81" s="511">
        <f t="shared" si="692"/>
        <v>2.2574999999999998</v>
      </c>
      <c r="CO81" s="511">
        <f t="shared" si="692"/>
        <v>2.2574999999999998</v>
      </c>
      <c r="CP81" s="511">
        <f t="shared" si="513"/>
        <v>2.2574999999999998</v>
      </c>
      <c r="CQ81" s="511">
        <f t="shared" si="514"/>
        <v>2.2574999999999998</v>
      </c>
      <c r="CR81" s="722">
        <f t="shared" si="488"/>
        <v>0</v>
      </c>
      <c r="CS81" s="511">
        <f t="shared" ref="CS81:CV81" si="693">CR81</f>
        <v>0</v>
      </c>
      <c r="CT81" s="511">
        <f t="shared" si="693"/>
        <v>0</v>
      </c>
      <c r="CU81" s="511">
        <f t="shared" si="693"/>
        <v>0</v>
      </c>
      <c r="CV81" s="511">
        <f t="shared" si="693"/>
        <v>0</v>
      </c>
      <c r="CW81" s="511">
        <f t="shared" si="516"/>
        <v>0</v>
      </c>
      <c r="CX81" s="539">
        <f t="shared" si="517"/>
        <v>0</v>
      </c>
      <c r="CY81" s="724">
        <f t="shared" si="560"/>
        <v>953.27615514624688</v>
      </c>
      <c r="CZ81" s="508">
        <f t="shared" si="561"/>
        <v>953.27615514624688</v>
      </c>
      <c r="DA81" s="508">
        <f t="shared" si="562"/>
        <v>953.27615514624688</v>
      </c>
      <c r="DB81" s="508">
        <f t="shared" si="563"/>
        <v>953.27615514624688</v>
      </c>
      <c r="DC81" s="508">
        <f t="shared" si="564"/>
        <v>953.27615514624688</v>
      </c>
      <c r="DD81" s="508">
        <f t="shared" si="565"/>
        <v>953.27615514624688</v>
      </c>
      <c r="DE81" s="726">
        <f t="shared" si="566"/>
        <v>953.27615514624688</v>
      </c>
      <c r="DF81" s="724">
        <f t="shared" si="567"/>
        <v>0</v>
      </c>
      <c r="DG81" s="509">
        <f t="shared" si="568"/>
        <v>0</v>
      </c>
      <c r="DH81" s="509">
        <f t="shared" si="569"/>
        <v>0</v>
      </c>
      <c r="DI81" s="509">
        <f t="shared" si="570"/>
        <v>0</v>
      </c>
      <c r="DJ81" s="509">
        <f t="shared" si="571"/>
        <v>0</v>
      </c>
      <c r="DK81" s="509">
        <f t="shared" si="572"/>
        <v>0</v>
      </c>
      <c r="DL81" s="451">
        <f t="shared" si="573"/>
        <v>0</v>
      </c>
      <c r="DM81" s="509">
        <f t="shared" si="574"/>
        <v>150</v>
      </c>
      <c r="DN81" s="509">
        <f t="shared" si="575"/>
        <v>150</v>
      </c>
      <c r="DO81" s="509">
        <f t="shared" si="576"/>
        <v>150</v>
      </c>
      <c r="DP81" s="509">
        <f t="shared" si="577"/>
        <v>150</v>
      </c>
      <c r="DQ81" s="509">
        <f t="shared" si="578"/>
        <v>150</v>
      </c>
      <c r="DR81" s="509">
        <f t="shared" si="579"/>
        <v>150</v>
      </c>
      <c r="DS81" s="450">
        <f t="shared" si="580"/>
        <v>150</v>
      </c>
      <c r="DT81" s="724">
        <f t="shared" si="581"/>
        <v>0</v>
      </c>
      <c r="DU81" s="508">
        <f t="shared" si="582"/>
        <v>0</v>
      </c>
      <c r="DV81" s="508">
        <f t="shared" si="583"/>
        <v>0</v>
      </c>
      <c r="DW81" s="508">
        <f t="shared" si="584"/>
        <v>0</v>
      </c>
      <c r="DX81" s="508">
        <f t="shared" si="585"/>
        <v>0</v>
      </c>
      <c r="DY81" s="508">
        <f t="shared" si="586"/>
        <v>0</v>
      </c>
      <c r="DZ81" s="726">
        <f t="shared" si="587"/>
        <v>0</v>
      </c>
      <c r="EA81" s="722">
        <f t="shared" si="588"/>
        <v>5050.6875</v>
      </c>
      <c r="EB81" s="511">
        <f t="shared" si="589"/>
        <v>5050.6875</v>
      </c>
      <c r="EC81" s="511">
        <f t="shared" si="590"/>
        <v>5050.6875</v>
      </c>
      <c r="ED81" s="511">
        <f t="shared" si="591"/>
        <v>5050.6875</v>
      </c>
      <c r="EE81" s="511">
        <f t="shared" si="592"/>
        <v>5050.6875</v>
      </c>
      <c r="EF81" s="511">
        <f t="shared" si="593"/>
        <v>5050.6875</v>
      </c>
      <c r="EG81" s="723">
        <f t="shared" si="594"/>
        <v>5050.6875</v>
      </c>
      <c r="EH81" s="397">
        <f t="shared" si="595"/>
        <v>1.6931249999999998</v>
      </c>
      <c r="EI81" s="397">
        <f t="shared" si="596"/>
        <v>1.6931249999999998</v>
      </c>
      <c r="EJ81" s="397">
        <f t="shared" si="597"/>
        <v>1.6931249999999998</v>
      </c>
      <c r="EK81" s="397">
        <f t="shared" si="598"/>
        <v>1.6931249999999998</v>
      </c>
      <c r="EL81" s="397">
        <f t="shared" si="599"/>
        <v>1.6931249999999998</v>
      </c>
      <c r="EM81" s="397">
        <f t="shared" si="600"/>
        <v>1.6931249999999998</v>
      </c>
      <c r="EN81" s="398">
        <f t="shared" si="601"/>
        <v>1.6931249999999998</v>
      </c>
      <c r="EO81" s="722">
        <f t="shared" si="602"/>
        <v>0</v>
      </c>
      <c r="EP81" s="511">
        <f t="shared" si="603"/>
        <v>0</v>
      </c>
      <c r="EQ81" s="511">
        <f t="shared" si="604"/>
        <v>0</v>
      </c>
      <c r="ER81" s="511">
        <f t="shared" si="605"/>
        <v>0</v>
      </c>
      <c r="ES81" s="511">
        <f t="shared" si="606"/>
        <v>0</v>
      </c>
      <c r="ET81" s="511">
        <f t="shared" si="607"/>
        <v>0</v>
      </c>
      <c r="EU81" s="723">
        <f t="shared" si="608"/>
        <v>0</v>
      </c>
      <c r="EV81" s="727">
        <f t="shared" si="609"/>
        <v>2.25</v>
      </c>
      <c r="EW81" s="728">
        <f t="shared" si="610"/>
        <v>6672.9330860237287</v>
      </c>
      <c r="EX81" s="728">
        <f t="shared" si="611"/>
        <v>0</v>
      </c>
      <c r="EY81" s="728">
        <f t="shared" si="612"/>
        <v>1050</v>
      </c>
      <c r="EZ81" s="728">
        <f t="shared" si="613"/>
        <v>0</v>
      </c>
      <c r="FA81" s="777">
        <f t="shared" si="614"/>
        <v>35354.8125</v>
      </c>
      <c r="FB81" s="777">
        <f t="shared" si="615"/>
        <v>11.851875</v>
      </c>
      <c r="FC81" s="778">
        <f t="shared" si="616"/>
        <v>0</v>
      </c>
      <c r="FE81" s="10"/>
      <c r="FF81" s="10"/>
    </row>
    <row r="82" spans="1:162">
      <c r="A82" s="662" t="s">
        <v>204</v>
      </c>
      <c r="B82" s="789" t="s">
        <v>1374</v>
      </c>
      <c r="C82" s="789" t="str">
        <f t="shared" ref="C82:W82" si="694">C25</f>
        <v xml:space="preserve">Efficiency of 77% or more for system </v>
      </c>
      <c r="D82" s="789" t="str">
        <f t="shared" si="694"/>
        <v>Standard Pump Efficiency</v>
      </c>
      <c r="E82" s="789" t="str">
        <f t="shared" si="694"/>
        <v>Per Pump</v>
      </c>
      <c r="F82" s="789" t="str">
        <f t="shared" si="694"/>
        <v>Per Pump</v>
      </c>
      <c r="G82" s="704" t="str">
        <f t="shared" si="694"/>
        <v>Incremental Cost</v>
      </c>
      <c r="H82" s="704">
        <f t="shared" si="694"/>
        <v>1373.1832744761564</v>
      </c>
      <c r="I82" s="704">
        <f t="shared" si="694"/>
        <v>0</v>
      </c>
      <c r="J82" s="704">
        <f t="shared" si="694"/>
        <v>1373.1832744761564</v>
      </c>
      <c r="K82" s="704">
        <f t="shared" si="694"/>
        <v>0</v>
      </c>
      <c r="L82" s="704">
        <f t="shared" si="694"/>
        <v>686.59163723807819</v>
      </c>
      <c r="M82" s="707" t="str">
        <f t="shared" si="694"/>
        <v>Adapted from data in https://nwcouncil.app.box.com/v/ComAgIndPumpsv2-2</v>
      </c>
      <c r="N82" s="704">
        <f t="shared" si="694"/>
        <v>250</v>
      </c>
      <c r="O82" s="704">
        <f t="shared" si="694"/>
        <v>250</v>
      </c>
      <c r="P82" s="704">
        <f t="shared" si="694"/>
        <v>0</v>
      </c>
      <c r="Q82" s="704">
        <f t="shared" si="694"/>
        <v>0</v>
      </c>
      <c r="R82" s="1021">
        <f t="shared" si="694"/>
        <v>8979</v>
      </c>
      <c r="S82" s="872">
        <f t="shared" si="694"/>
        <v>3.01</v>
      </c>
      <c r="T82" s="1022">
        <f t="shared" si="694"/>
        <v>0</v>
      </c>
      <c r="U82" s="711" t="str">
        <f t="shared" si="694"/>
        <v>Based on savings from LG&amp;E/KU Commercial Rebates report for 20 HP pump - assumes savings increase linearly per HP increases</v>
      </c>
      <c r="V82" s="716">
        <f t="shared" si="694"/>
        <v>0</v>
      </c>
      <c r="W82" s="711">
        <f t="shared" si="694"/>
        <v>1</v>
      </c>
      <c r="X82" s="781">
        <f t="shared" ref="X82:AJ82" si="695">X25/2</f>
        <v>0</v>
      </c>
      <c r="Y82" s="781">
        <f t="shared" si="695"/>
        <v>0</v>
      </c>
      <c r="Z82" s="781">
        <f t="shared" si="695"/>
        <v>0</v>
      </c>
      <c r="AA82" s="781">
        <f t="shared" si="695"/>
        <v>2.5714285714285712</v>
      </c>
      <c r="AB82" s="781">
        <f t="shared" si="695"/>
        <v>1.2857142857142856</v>
      </c>
      <c r="AC82" s="781">
        <f t="shared" si="695"/>
        <v>1.2857142857142856</v>
      </c>
      <c r="AD82" s="781">
        <f t="shared" si="695"/>
        <v>1.2857142857142856</v>
      </c>
      <c r="AE82" s="781">
        <f t="shared" si="695"/>
        <v>1.2857142857142856</v>
      </c>
      <c r="AF82" s="781">
        <f t="shared" si="695"/>
        <v>1.2857142857142856</v>
      </c>
      <c r="AG82" s="781">
        <f t="shared" si="695"/>
        <v>1.2857142857142856</v>
      </c>
      <c r="AH82" s="781">
        <f t="shared" si="695"/>
        <v>1.2857142857142856</v>
      </c>
      <c r="AI82" s="781">
        <f t="shared" si="695"/>
        <v>1.2857142857142856</v>
      </c>
      <c r="AJ82" s="781">
        <f t="shared" si="695"/>
        <v>1.2857142857142856</v>
      </c>
      <c r="AK82" s="711" t="str">
        <f t="shared" ref="AK82:BA82" si="696">AK25</f>
        <v>Electric</v>
      </c>
      <c r="AL82" s="711" t="str">
        <f t="shared" si="696"/>
        <v>Commercial</v>
      </c>
      <c r="AM82" s="711" t="str">
        <f t="shared" si="696"/>
        <v>Large Office</v>
      </c>
      <c r="AN82" s="711" t="str">
        <f t="shared" si="696"/>
        <v>Ventilation And Circulation</v>
      </c>
      <c r="AO82" s="711" t="str">
        <f t="shared" si="696"/>
        <v>Existing</v>
      </c>
      <c r="AP82" s="711">
        <f t="shared" si="696"/>
        <v>0</v>
      </c>
      <c r="AQ82" s="711">
        <f t="shared" si="696"/>
        <v>0</v>
      </c>
      <c r="AR82" s="711">
        <f t="shared" si="696"/>
        <v>0</v>
      </c>
      <c r="AS82" s="711" t="str">
        <f t="shared" si="696"/>
        <v>OFFLGCool</v>
      </c>
      <c r="AT82" s="715" t="s">
        <v>745</v>
      </c>
      <c r="AU82" s="1065" t="s">
        <v>771</v>
      </c>
      <c r="AV82" s="711">
        <f t="shared" si="696"/>
        <v>20</v>
      </c>
      <c r="AW82" s="711">
        <f t="shared" si="696"/>
        <v>20</v>
      </c>
      <c r="AX82" s="711" t="s">
        <v>2713</v>
      </c>
      <c r="AY82" s="711">
        <f t="shared" si="696"/>
        <v>1</v>
      </c>
      <c r="AZ82" s="711">
        <f t="shared" si="696"/>
        <v>1</v>
      </c>
      <c r="BA82" s="1066">
        <f t="shared" si="696"/>
        <v>0</v>
      </c>
      <c r="BB82" s="721">
        <f t="shared" si="493"/>
        <v>1373.1832744761564</v>
      </c>
      <c r="BC82" s="499">
        <f t="shared" si="494"/>
        <v>1373.1832744761564</v>
      </c>
      <c r="BD82" s="499">
        <f t="shared" si="495"/>
        <v>1373.1832744761564</v>
      </c>
      <c r="BE82" s="499">
        <f t="shared" si="496"/>
        <v>1373.1832744761564</v>
      </c>
      <c r="BF82" s="499">
        <f t="shared" si="497"/>
        <v>1373.1832744761564</v>
      </c>
      <c r="BG82" s="499">
        <f t="shared" si="498"/>
        <v>1373.1832744761564</v>
      </c>
      <c r="BH82" s="499">
        <f t="shared" si="499"/>
        <v>1373.1832744761564</v>
      </c>
      <c r="BI82" s="721">
        <f t="shared" si="474"/>
        <v>0</v>
      </c>
      <c r="BJ82" s="499">
        <f t="shared" ref="BJ82:BM82" si="697">BI82</f>
        <v>0</v>
      </c>
      <c r="BK82" s="499">
        <f t="shared" si="697"/>
        <v>0</v>
      </c>
      <c r="BL82" s="499">
        <f t="shared" si="697"/>
        <v>0</v>
      </c>
      <c r="BM82" s="499">
        <f t="shared" si="697"/>
        <v>0</v>
      </c>
      <c r="BN82" s="499">
        <f t="shared" si="501"/>
        <v>0</v>
      </c>
      <c r="BO82" s="499">
        <f t="shared" si="502"/>
        <v>0</v>
      </c>
      <c r="BP82" s="721">
        <f t="shared" si="476"/>
        <v>250</v>
      </c>
      <c r="BQ82" s="499">
        <f t="shared" si="477"/>
        <v>250</v>
      </c>
      <c r="BR82" s="499">
        <f t="shared" si="503"/>
        <v>250</v>
      </c>
      <c r="BS82" s="499">
        <f t="shared" si="504"/>
        <v>250</v>
      </c>
      <c r="BT82" s="499">
        <f t="shared" si="505"/>
        <v>250</v>
      </c>
      <c r="BU82" s="499">
        <f t="shared" si="506"/>
        <v>250</v>
      </c>
      <c r="BV82" s="499">
        <f t="shared" si="507"/>
        <v>250</v>
      </c>
      <c r="BW82" s="774">
        <f t="shared" si="508"/>
        <v>0</v>
      </c>
      <c r="BX82" s="503">
        <f t="shared" si="508"/>
        <v>0</v>
      </c>
      <c r="BY82" s="503">
        <f t="shared" si="508"/>
        <v>0</v>
      </c>
      <c r="BZ82" s="503">
        <f t="shared" si="508"/>
        <v>0</v>
      </c>
      <c r="CA82" s="503">
        <f t="shared" si="508"/>
        <v>0</v>
      </c>
      <c r="CB82" s="503">
        <f t="shared" si="508"/>
        <v>0</v>
      </c>
      <c r="CC82" s="503">
        <f t="shared" si="508"/>
        <v>0</v>
      </c>
      <c r="CD82" s="722">
        <f t="shared" si="484"/>
        <v>8979</v>
      </c>
      <c r="CE82" s="511">
        <f t="shared" ref="CE82:CH82" si="698">CD82</f>
        <v>8979</v>
      </c>
      <c r="CF82" s="511">
        <f t="shared" si="698"/>
        <v>8979</v>
      </c>
      <c r="CG82" s="511">
        <f t="shared" si="698"/>
        <v>8979</v>
      </c>
      <c r="CH82" s="511">
        <f t="shared" si="698"/>
        <v>8979</v>
      </c>
      <c r="CI82" s="511">
        <f t="shared" si="510"/>
        <v>8979</v>
      </c>
      <c r="CJ82" s="511">
        <f t="shared" si="511"/>
        <v>8979</v>
      </c>
      <c r="CK82" s="722">
        <f t="shared" si="486"/>
        <v>3.01</v>
      </c>
      <c r="CL82" s="511">
        <f t="shared" ref="CL82:CO82" si="699">CK82</f>
        <v>3.01</v>
      </c>
      <c r="CM82" s="511">
        <f t="shared" si="699"/>
        <v>3.01</v>
      </c>
      <c r="CN82" s="511">
        <f t="shared" si="699"/>
        <v>3.01</v>
      </c>
      <c r="CO82" s="511">
        <f t="shared" si="699"/>
        <v>3.01</v>
      </c>
      <c r="CP82" s="511">
        <f t="shared" si="513"/>
        <v>3.01</v>
      </c>
      <c r="CQ82" s="511">
        <f t="shared" si="514"/>
        <v>3.01</v>
      </c>
      <c r="CR82" s="722">
        <f t="shared" si="488"/>
        <v>0</v>
      </c>
      <c r="CS82" s="511">
        <f t="shared" ref="CS82:CV82" si="700">CR82</f>
        <v>0</v>
      </c>
      <c r="CT82" s="511">
        <f t="shared" si="700"/>
        <v>0</v>
      </c>
      <c r="CU82" s="511">
        <f t="shared" si="700"/>
        <v>0</v>
      </c>
      <c r="CV82" s="511">
        <f t="shared" si="700"/>
        <v>0</v>
      </c>
      <c r="CW82" s="511">
        <f t="shared" si="516"/>
        <v>0</v>
      </c>
      <c r="CX82" s="539">
        <f t="shared" si="517"/>
        <v>0</v>
      </c>
      <c r="CY82" s="724">
        <f t="shared" si="560"/>
        <v>1765.5213528979152</v>
      </c>
      <c r="CZ82" s="508">
        <f t="shared" si="561"/>
        <v>1765.5213528979152</v>
      </c>
      <c r="DA82" s="508">
        <f t="shared" si="562"/>
        <v>1765.5213528979152</v>
      </c>
      <c r="DB82" s="508">
        <f t="shared" si="563"/>
        <v>1765.5213528979152</v>
      </c>
      <c r="DC82" s="508">
        <f t="shared" si="564"/>
        <v>1765.5213528979152</v>
      </c>
      <c r="DD82" s="508">
        <f t="shared" si="565"/>
        <v>1765.5213528979152</v>
      </c>
      <c r="DE82" s="726">
        <f t="shared" si="566"/>
        <v>1765.5213528979152</v>
      </c>
      <c r="DF82" s="724">
        <f t="shared" si="567"/>
        <v>0</v>
      </c>
      <c r="DG82" s="509">
        <f t="shared" si="568"/>
        <v>0</v>
      </c>
      <c r="DH82" s="509">
        <f t="shared" si="569"/>
        <v>0</v>
      </c>
      <c r="DI82" s="509">
        <f t="shared" si="570"/>
        <v>0</v>
      </c>
      <c r="DJ82" s="509">
        <f t="shared" si="571"/>
        <v>0</v>
      </c>
      <c r="DK82" s="509">
        <f t="shared" si="572"/>
        <v>0</v>
      </c>
      <c r="DL82" s="451">
        <f t="shared" si="573"/>
        <v>0</v>
      </c>
      <c r="DM82" s="509">
        <f t="shared" si="574"/>
        <v>321.42857142857139</v>
      </c>
      <c r="DN82" s="509">
        <f t="shared" si="575"/>
        <v>321.42857142857139</v>
      </c>
      <c r="DO82" s="509">
        <f t="shared" si="576"/>
        <v>321.42857142857139</v>
      </c>
      <c r="DP82" s="509">
        <f t="shared" si="577"/>
        <v>321.42857142857139</v>
      </c>
      <c r="DQ82" s="509">
        <f t="shared" si="578"/>
        <v>321.42857142857139</v>
      </c>
      <c r="DR82" s="509">
        <f t="shared" si="579"/>
        <v>321.42857142857139</v>
      </c>
      <c r="DS82" s="450">
        <f t="shared" si="580"/>
        <v>321.42857142857139</v>
      </c>
      <c r="DT82" s="724">
        <f t="shared" si="581"/>
        <v>0</v>
      </c>
      <c r="DU82" s="508">
        <f t="shared" si="582"/>
        <v>0</v>
      </c>
      <c r="DV82" s="508">
        <f t="shared" si="583"/>
        <v>0</v>
      </c>
      <c r="DW82" s="508">
        <f t="shared" si="584"/>
        <v>0</v>
      </c>
      <c r="DX82" s="508">
        <f t="shared" si="585"/>
        <v>0</v>
      </c>
      <c r="DY82" s="508">
        <f t="shared" si="586"/>
        <v>0</v>
      </c>
      <c r="DZ82" s="726">
        <f t="shared" si="587"/>
        <v>0</v>
      </c>
      <c r="EA82" s="722">
        <f t="shared" si="588"/>
        <v>11544.428571428571</v>
      </c>
      <c r="EB82" s="511">
        <f t="shared" si="589"/>
        <v>11544.428571428571</v>
      </c>
      <c r="EC82" s="511">
        <f t="shared" si="590"/>
        <v>11544.428571428571</v>
      </c>
      <c r="ED82" s="511">
        <f t="shared" si="591"/>
        <v>11544.428571428571</v>
      </c>
      <c r="EE82" s="511">
        <f t="shared" si="592"/>
        <v>11544.428571428571</v>
      </c>
      <c r="EF82" s="511">
        <f t="shared" si="593"/>
        <v>11544.428571428571</v>
      </c>
      <c r="EG82" s="723">
        <f t="shared" si="594"/>
        <v>11544.428571428571</v>
      </c>
      <c r="EH82" s="397">
        <f t="shared" si="595"/>
        <v>3.8699999999999992</v>
      </c>
      <c r="EI82" s="397">
        <f t="shared" si="596"/>
        <v>3.8699999999999992</v>
      </c>
      <c r="EJ82" s="397">
        <f t="shared" si="597"/>
        <v>3.8699999999999992</v>
      </c>
      <c r="EK82" s="397">
        <f t="shared" si="598"/>
        <v>3.8699999999999992</v>
      </c>
      <c r="EL82" s="397">
        <f t="shared" si="599"/>
        <v>3.8699999999999992</v>
      </c>
      <c r="EM82" s="397">
        <f t="shared" si="600"/>
        <v>3.8699999999999992</v>
      </c>
      <c r="EN82" s="398">
        <f t="shared" si="601"/>
        <v>3.8699999999999992</v>
      </c>
      <c r="EO82" s="722">
        <f t="shared" si="602"/>
        <v>0</v>
      </c>
      <c r="EP82" s="511">
        <f t="shared" si="603"/>
        <v>0</v>
      </c>
      <c r="EQ82" s="511">
        <f t="shared" si="604"/>
        <v>0</v>
      </c>
      <c r="ER82" s="511">
        <f t="shared" si="605"/>
        <v>0</v>
      </c>
      <c r="ES82" s="511">
        <f t="shared" si="606"/>
        <v>0</v>
      </c>
      <c r="ET82" s="511">
        <f t="shared" si="607"/>
        <v>0</v>
      </c>
      <c r="EU82" s="723">
        <f t="shared" si="608"/>
        <v>0</v>
      </c>
      <c r="EV82" s="727">
        <f t="shared" si="609"/>
        <v>3.8571428571428568</v>
      </c>
      <c r="EW82" s="728">
        <f t="shared" si="610"/>
        <v>12358.649470285405</v>
      </c>
      <c r="EX82" s="728">
        <f t="shared" si="611"/>
        <v>0</v>
      </c>
      <c r="EY82" s="728">
        <f t="shared" si="612"/>
        <v>2249.9999999999995</v>
      </c>
      <c r="EZ82" s="728">
        <f t="shared" si="613"/>
        <v>0</v>
      </c>
      <c r="FA82" s="777">
        <f t="shared" si="614"/>
        <v>80810.999999999985</v>
      </c>
      <c r="FB82" s="777">
        <f t="shared" si="615"/>
        <v>27.089999999999989</v>
      </c>
      <c r="FC82" s="778">
        <f t="shared" si="616"/>
        <v>0</v>
      </c>
      <c r="FE82" s="10"/>
      <c r="FF82" s="10"/>
    </row>
    <row r="83" spans="1:162">
      <c r="A83" s="662" t="s">
        <v>205</v>
      </c>
      <c r="B83" s="789" t="s">
        <v>1375</v>
      </c>
      <c r="C83" s="789" t="str">
        <f t="shared" ref="C83:W83" si="701">C26</f>
        <v xml:space="preserve">Efficiency of 77% or more for system </v>
      </c>
      <c r="D83" s="789" t="str">
        <f t="shared" si="701"/>
        <v>Standard Pump Efficiency</v>
      </c>
      <c r="E83" s="789" t="str">
        <f t="shared" si="701"/>
        <v>Per Pump</v>
      </c>
      <c r="F83" s="789" t="str">
        <f t="shared" si="701"/>
        <v>Per Pump</v>
      </c>
      <c r="G83" s="704" t="str">
        <f t="shared" si="701"/>
        <v>Incremental Cost</v>
      </c>
      <c r="H83" s="704">
        <f t="shared" si="701"/>
        <v>1458.0359273368367</v>
      </c>
      <c r="I83" s="704">
        <f t="shared" si="701"/>
        <v>0</v>
      </c>
      <c r="J83" s="704">
        <f t="shared" si="701"/>
        <v>1458.0359273368367</v>
      </c>
      <c r="K83" s="704">
        <f t="shared" si="701"/>
        <v>0</v>
      </c>
      <c r="L83" s="704">
        <f t="shared" si="701"/>
        <v>729.01796366841836</v>
      </c>
      <c r="M83" s="707" t="str">
        <f t="shared" si="701"/>
        <v>Adapted from data in https://nwcouncil.app.box.com/v/ComAgIndPumpsv2-2</v>
      </c>
      <c r="N83" s="704">
        <f t="shared" si="701"/>
        <v>300</v>
      </c>
      <c r="O83" s="704">
        <f t="shared" si="701"/>
        <v>300</v>
      </c>
      <c r="P83" s="704">
        <f t="shared" si="701"/>
        <v>0</v>
      </c>
      <c r="Q83" s="704">
        <f t="shared" si="701"/>
        <v>0</v>
      </c>
      <c r="R83" s="1021">
        <f t="shared" si="701"/>
        <v>11223.75</v>
      </c>
      <c r="S83" s="872">
        <f t="shared" si="701"/>
        <v>3.7624999999999997</v>
      </c>
      <c r="T83" s="1022">
        <f t="shared" si="701"/>
        <v>0</v>
      </c>
      <c r="U83" s="711" t="str">
        <f t="shared" si="701"/>
        <v>Based on savings from LG&amp;E/KU Commercial Rebates report for 20 HP pump - assumes savings increase linearly per HP increases</v>
      </c>
      <c r="V83" s="716">
        <f t="shared" si="701"/>
        <v>0</v>
      </c>
      <c r="W83" s="711">
        <f t="shared" si="701"/>
        <v>1</v>
      </c>
      <c r="X83" s="781">
        <f t="shared" ref="X83:AJ83" si="702">X26/2</f>
        <v>0</v>
      </c>
      <c r="Y83" s="781">
        <f t="shared" si="702"/>
        <v>0</v>
      </c>
      <c r="Z83" s="781">
        <f t="shared" si="702"/>
        <v>2</v>
      </c>
      <c r="AA83" s="781">
        <f t="shared" si="702"/>
        <v>0</v>
      </c>
      <c r="AB83" s="781">
        <f t="shared" si="702"/>
        <v>1</v>
      </c>
      <c r="AC83" s="781">
        <f t="shared" si="702"/>
        <v>1</v>
      </c>
      <c r="AD83" s="781">
        <f t="shared" si="702"/>
        <v>1</v>
      </c>
      <c r="AE83" s="781">
        <f t="shared" si="702"/>
        <v>1</v>
      </c>
      <c r="AF83" s="781">
        <f t="shared" si="702"/>
        <v>1</v>
      </c>
      <c r="AG83" s="781">
        <f t="shared" si="702"/>
        <v>1</v>
      </c>
      <c r="AH83" s="781">
        <f t="shared" si="702"/>
        <v>1</v>
      </c>
      <c r="AI83" s="781">
        <f t="shared" si="702"/>
        <v>1</v>
      </c>
      <c r="AJ83" s="781">
        <f t="shared" si="702"/>
        <v>1</v>
      </c>
      <c r="AK83" s="711" t="str">
        <f t="shared" ref="AK83:BA83" si="703">AK26</f>
        <v>Electric</v>
      </c>
      <c r="AL83" s="711" t="str">
        <f t="shared" si="703"/>
        <v>Commercial</v>
      </c>
      <c r="AM83" s="711" t="str">
        <f t="shared" si="703"/>
        <v>Large Office</v>
      </c>
      <c r="AN83" s="711" t="str">
        <f t="shared" si="703"/>
        <v>Ventilation And Circulation</v>
      </c>
      <c r="AO83" s="711" t="str">
        <f t="shared" si="703"/>
        <v>Existing</v>
      </c>
      <c r="AP83" s="711">
        <f t="shared" si="703"/>
        <v>0</v>
      </c>
      <c r="AQ83" s="711">
        <f t="shared" si="703"/>
        <v>0</v>
      </c>
      <c r="AR83" s="711">
        <f t="shared" si="703"/>
        <v>0</v>
      </c>
      <c r="AS83" s="711" t="str">
        <f t="shared" si="703"/>
        <v>OFFLGCool</v>
      </c>
      <c r="AT83" s="715" t="s">
        <v>745</v>
      </c>
      <c r="AU83" s="1065" t="s">
        <v>771</v>
      </c>
      <c r="AV83" s="711">
        <f t="shared" si="703"/>
        <v>20</v>
      </c>
      <c r="AW83" s="711">
        <f t="shared" si="703"/>
        <v>20</v>
      </c>
      <c r="AX83" s="711" t="s">
        <v>2713</v>
      </c>
      <c r="AY83" s="711">
        <f t="shared" si="703"/>
        <v>1</v>
      </c>
      <c r="AZ83" s="711">
        <f t="shared" si="703"/>
        <v>1</v>
      </c>
      <c r="BA83" s="1066">
        <f t="shared" si="703"/>
        <v>0</v>
      </c>
      <c r="BB83" s="721">
        <f t="shared" si="493"/>
        <v>1458.0359273368367</v>
      </c>
      <c r="BC83" s="499">
        <f t="shared" si="494"/>
        <v>1458.0359273368367</v>
      </c>
      <c r="BD83" s="499">
        <f t="shared" si="495"/>
        <v>1458.0359273368367</v>
      </c>
      <c r="BE83" s="499">
        <f t="shared" si="496"/>
        <v>1458.0359273368367</v>
      </c>
      <c r="BF83" s="499">
        <f t="shared" si="497"/>
        <v>1458.0359273368367</v>
      </c>
      <c r="BG83" s="499">
        <f t="shared" si="498"/>
        <v>1458.0359273368367</v>
      </c>
      <c r="BH83" s="499">
        <f t="shared" si="499"/>
        <v>1458.0359273368367</v>
      </c>
      <c r="BI83" s="721">
        <f t="shared" si="474"/>
        <v>0</v>
      </c>
      <c r="BJ83" s="499">
        <f t="shared" ref="BJ83:BM83" si="704">BI83</f>
        <v>0</v>
      </c>
      <c r="BK83" s="499">
        <f t="shared" si="704"/>
        <v>0</v>
      </c>
      <c r="BL83" s="499">
        <f t="shared" si="704"/>
        <v>0</v>
      </c>
      <c r="BM83" s="499">
        <f t="shared" si="704"/>
        <v>0</v>
      </c>
      <c r="BN83" s="499">
        <f t="shared" si="501"/>
        <v>0</v>
      </c>
      <c r="BO83" s="499">
        <f t="shared" si="502"/>
        <v>0</v>
      </c>
      <c r="BP83" s="721">
        <f t="shared" si="476"/>
        <v>300</v>
      </c>
      <c r="BQ83" s="499">
        <f t="shared" si="477"/>
        <v>300</v>
      </c>
      <c r="BR83" s="499">
        <f t="shared" si="503"/>
        <v>300</v>
      </c>
      <c r="BS83" s="499">
        <f t="shared" si="504"/>
        <v>300</v>
      </c>
      <c r="BT83" s="499">
        <f t="shared" si="505"/>
        <v>300</v>
      </c>
      <c r="BU83" s="499">
        <f t="shared" si="506"/>
        <v>300</v>
      </c>
      <c r="BV83" s="499">
        <f t="shared" si="507"/>
        <v>300</v>
      </c>
      <c r="BW83" s="774">
        <f t="shared" si="508"/>
        <v>0</v>
      </c>
      <c r="BX83" s="503">
        <f t="shared" si="508"/>
        <v>0</v>
      </c>
      <c r="BY83" s="503">
        <f t="shared" si="508"/>
        <v>0</v>
      </c>
      <c r="BZ83" s="503">
        <f t="shared" si="508"/>
        <v>0</v>
      </c>
      <c r="CA83" s="503">
        <f t="shared" si="508"/>
        <v>0</v>
      </c>
      <c r="CB83" s="503">
        <f t="shared" si="508"/>
        <v>0</v>
      </c>
      <c r="CC83" s="503">
        <f t="shared" si="508"/>
        <v>0</v>
      </c>
      <c r="CD83" s="722">
        <f t="shared" si="484"/>
        <v>11223.75</v>
      </c>
      <c r="CE83" s="511">
        <f t="shared" ref="CE83:CH83" si="705">CD83</f>
        <v>11223.75</v>
      </c>
      <c r="CF83" s="511">
        <f t="shared" si="705"/>
        <v>11223.75</v>
      </c>
      <c r="CG83" s="511">
        <f t="shared" si="705"/>
        <v>11223.75</v>
      </c>
      <c r="CH83" s="511">
        <f t="shared" si="705"/>
        <v>11223.75</v>
      </c>
      <c r="CI83" s="511">
        <f t="shared" si="510"/>
        <v>11223.75</v>
      </c>
      <c r="CJ83" s="511">
        <f t="shared" si="511"/>
        <v>11223.75</v>
      </c>
      <c r="CK83" s="722">
        <f t="shared" si="486"/>
        <v>3.7624999999999997</v>
      </c>
      <c r="CL83" s="511">
        <f t="shared" ref="CL83:CO83" si="706">CK83</f>
        <v>3.7624999999999997</v>
      </c>
      <c r="CM83" s="511">
        <f t="shared" si="706"/>
        <v>3.7624999999999997</v>
      </c>
      <c r="CN83" s="511">
        <f t="shared" si="706"/>
        <v>3.7624999999999997</v>
      </c>
      <c r="CO83" s="511">
        <f t="shared" si="706"/>
        <v>3.7624999999999997</v>
      </c>
      <c r="CP83" s="511">
        <f t="shared" si="513"/>
        <v>3.7624999999999997</v>
      </c>
      <c r="CQ83" s="511">
        <f t="shared" si="514"/>
        <v>3.7624999999999997</v>
      </c>
      <c r="CR83" s="722">
        <f t="shared" si="488"/>
        <v>0</v>
      </c>
      <c r="CS83" s="511">
        <f t="shared" ref="CS83:CV83" si="707">CR83</f>
        <v>0</v>
      </c>
      <c r="CT83" s="511">
        <f t="shared" si="707"/>
        <v>0</v>
      </c>
      <c r="CU83" s="511">
        <f t="shared" si="707"/>
        <v>0</v>
      </c>
      <c r="CV83" s="511">
        <f t="shared" si="707"/>
        <v>0</v>
      </c>
      <c r="CW83" s="511">
        <f t="shared" si="516"/>
        <v>0</v>
      </c>
      <c r="CX83" s="539">
        <f t="shared" si="517"/>
        <v>0</v>
      </c>
      <c r="CY83" s="724">
        <f t="shared" si="560"/>
        <v>1458.0359273368367</v>
      </c>
      <c r="CZ83" s="508">
        <f t="shared" si="561"/>
        <v>1458.0359273368367</v>
      </c>
      <c r="DA83" s="508">
        <f t="shared" si="562"/>
        <v>1458.0359273368367</v>
      </c>
      <c r="DB83" s="508">
        <f t="shared" si="563"/>
        <v>1458.0359273368367</v>
      </c>
      <c r="DC83" s="508">
        <f t="shared" si="564"/>
        <v>1458.0359273368367</v>
      </c>
      <c r="DD83" s="508">
        <f t="shared" si="565"/>
        <v>1458.0359273368367</v>
      </c>
      <c r="DE83" s="726">
        <f t="shared" si="566"/>
        <v>1458.0359273368367</v>
      </c>
      <c r="DF83" s="724">
        <f t="shared" si="567"/>
        <v>0</v>
      </c>
      <c r="DG83" s="509">
        <f t="shared" si="568"/>
        <v>0</v>
      </c>
      <c r="DH83" s="509">
        <f t="shared" si="569"/>
        <v>0</v>
      </c>
      <c r="DI83" s="509">
        <f t="shared" si="570"/>
        <v>0</v>
      </c>
      <c r="DJ83" s="509">
        <f t="shared" si="571"/>
        <v>0</v>
      </c>
      <c r="DK83" s="509">
        <f t="shared" si="572"/>
        <v>0</v>
      </c>
      <c r="DL83" s="451">
        <f t="shared" si="573"/>
        <v>0</v>
      </c>
      <c r="DM83" s="509">
        <f t="shared" si="574"/>
        <v>300</v>
      </c>
      <c r="DN83" s="509">
        <f t="shared" si="575"/>
        <v>300</v>
      </c>
      <c r="DO83" s="509">
        <f t="shared" si="576"/>
        <v>300</v>
      </c>
      <c r="DP83" s="509">
        <f t="shared" si="577"/>
        <v>300</v>
      </c>
      <c r="DQ83" s="509">
        <f t="shared" si="578"/>
        <v>300</v>
      </c>
      <c r="DR83" s="509">
        <f t="shared" si="579"/>
        <v>300</v>
      </c>
      <c r="DS83" s="450">
        <f t="shared" si="580"/>
        <v>300</v>
      </c>
      <c r="DT83" s="724">
        <f t="shared" si="581"/>
        <v>0</v>
      </c>
      <c r="DU83" s="508">
        <f t="shared" si="582"/>
        <v>0</v>
      </c>
      <c r="DV83" s="508">
        <f t="shared" si="583"/>
        <v>0</v>
      </c>
      <c r="DW83" s="508">
        <f t="shared" si="584"/>
        <v>0</v>
      </c>
      <c r="DX83" s="508">
        <f t="shared" si="585"/>
        <v>0</v>
      </c>
      <c r="DY83" s="508">
        <f t="shared" si="586"/>
        <v>0</v>
      </c>
      <c r="DZ83" s="726">
        <f t="shared" si="587"/>
        <v>0</v>
      </c>
      <c r="EA83" s="722">
        <f t="shared" si="588"/>
        <v>11223.75</v>
      </c>
      <c r="EB83" s="511">
        <f t="shared" si="589"/>
        <v>11223.75</v>
      </c>
      <c r="EC83" s="511">
        <f t="shared" si="590"/>
        <v>11223.75</v>
      </c>
      <c r="ED83" s="511">
        <f t="shared" si="591"/>
        <v>11223.75</v>
      </c>
      <c r="EE83" s="511">
        <f t="shared" si="592"/>
        <v>11223.75</v>
      </c>
      <c r="EF83" s="511">
        <f t="shared" si="593"/>
        <v>11223.75</v>
      </c>
      <c r="EG83" s="723">
        <f t="shared" si="594"/>
        <v>11223.75</v>
      </c>
      <c r="EH83" s="397">
        <f t="shared" si="595"/>
        <v>3.7624999999999997</v>
      </c>
      <c r="EI83" s="397">
        <f t="shared" si="596"/>
        <v>3.7624999999999997</v>
      </c>
      <c r="EJ83" s="397">
        <f t="shared" si="597"/>
        <v>3.7624999999999997</v>
      </c>
      <c r="EK83" s="397">
        <f t="shared" si="598"/>
        <v>3.7624999999999997</v>
      </c>
      <c r="EL83" s="397">
        <f t="shared" si="599"/>
        <v>3.7624999999999997</v>
      </c>
      <c r="EM83" s="397">
        <f t="shared" si="600"/>
        <v>3.7624999999999997</v>
      </c>
      <c r="EN83" s="398">
        <f t="shared" si="601"/>
        <v>3.7624999999999997</v>
      </c>
      <c r="EO83" s="722">
        <f t="shared" si="602"/>
        <v>0</v>
      </c>
      <c r="EP83" s="511">
        <f t="shared" si="603"/>
        <v>0</v>
      </c>
      <c r="EQ83" s="511">
        <f t="shared" si="604"/>
        <v>0</v>
      </c>
      <c r="ER83" s="511">
        <f t="shared" si="605"/>
        <v>0</v>
      </c>
      <c r="ES83" s="511">
        <f t="shared" si="606"/>
        <v>0</v>
      </c>
      <c r="ET83" s="511">
        <f t="shared" si="607"/>
        <v>0</v>
      </c>
      <c r="EU83" s="723">
        <f t="shared" si="608"/>
        <v>0</v>
      </c>
      <c r="EV83" s="727">
        <f t="shared" si="609"/>
        <v>3</v>
      </c>
      <c r="EW83" s="728">
        <f t="shared" si="610"/>
        <v>10206.251491357856</v>
      </c>
      <c r="EX83" s="728">
        <f t="shared" si="611"/>
        <v>0</v>
      </c>
      <c r="EY83" s="728">
        <f t="shared" si="612"/>
        <v>2100</v>
      </c>
      <c r="EZ83" s="728">
        <f t="shared" si="613"/>
        <v>0</v>
      </c>
      <c r="FA83" s="777">
        <f t="shared" si="614"/>
        <v>78566.25</v>
      </c>
      <c r="FB83" s="777">
        <f t="shared" si="615"/>
        <v>26.337499999999999</v>
      </c>
      <c r="FC83" s="778">
        <f t="shared" si="616"/>
        <v>0</v>
      </c>
      <c r="FE83" s="10"/>
      <c r="FF83" s="10"/>
    </row>
    <row r="84" spans="1:162">
      <c r="A84" s="662" t="s">
        <v>206</v>
      </c>
      <c r="B84" s="789" t="s">
        <v>1376</v>
      </c>
      <c r="C84" s="789" t="str">
        <f t="shared" ref="C84:W84" si="708">C27</f>
        <v>Variable Frequency Drives (VFDs) - All Sizes</v>
      </c>
      <c r="D84" s="789" t="str">
        <f t="shared" si="708"/>
        <v>No Drive</v>
      </c>
      <c r="E84" s="789" t="str">
        <f t="shared" si="708"/>
        <v>Per VFD</v>
      </c>
      <c r="F84" s="789" t="str">
        <f t="shared" si="708"/>
        <v>Per HP</v>
      </c>
      <c r="G84" s="704" t="str">
        <f t="shared" si="708"/>
        <v>Incremental Cost</v>
      </c>
      <c r="H84" s="704">
        <f t="shared" si="708"/>
        <v>166.5</v>
      </c>
      <c r="I84" s="704">
        <f t="shared" si="708"/>
        <v>0</v>
      </c>
      <c r="J84" s="704">
        <f t="shared" si="708"/>
        <v>166.5</v>
      </c>
      <c r="K84" s="704">
        <f t="shared" si="708"/>
        <v>0</v>
      </c>
      <c r="L84" s="704">
        <f t="shared" si="708"/>
        <v>83.25</v>
      </c>
      <c r="M84" s="707" t="str">
        <f t="shared" si="708"/>
        <v>$210.52/HP for variable torque measures; $122.48/HP for constant torque measures per FOE TRM (p. 721). This cost represents an everage of the two values.</v>
      </c>
      <c r="N84" s="704">
        <f t="shared" si="708"/>
        <v>16</v>
      </c>
      <c r="O84" s="704">
        <f t="shared" si="708"/>
        <v>16</v>
      </c>
      <c r="P84" s="704">
        <f t="shared" si="708"/>
        <v>0</v>
      </c>
      <c r="Q84" s="704">
        <f t="shared" si="708"/>
        <v>0</v>
      </c>
      <c r="R84" s="1021">
        <f t="shared" si="708"/>
        <v>506.02290683714386</v>
      </c>
      <c r="S84" s="872">
        <f t="shared" si="708"/>
        <v>0.11135992280977929</v>
      </c>
      <c r="T84" s="1022">
        <f t="shared" si="708"/>
        <v>0</v>
      </c>
      <c r="U84" s="711" t="str">
        <f t="shared" si="708"/>
        <v>LG&amp;E/KU Commercial Rebates Report - Appendix A</v>
      </c>
      <c r="V84" s="716">
        <f t="shared" si="708"/>
        <v>0</v>
      </c>
      <c r="W84" s="711">
        <f t="shared" si="708"/>
        <v>1</v>
      </c>
      <c r="X84" s="781">
        <f t="shared" ref="X84:AJ84" si="709">X27/2</f>
        <v>3865.5</v>
      </c>
      <c r="Y84" s="781">
        <f t="shared" si="709"/>
        <v>577</v>
      </c>
      <c r="Z84" s="781">
        <f t="shared" si="709"/>
        <v>1299.5</v>
      </c>
      <c r="AA84" s="781">
        <f t="shared" si="709"/>
        <v>1795.7142857142856</v>
      </c>
      <c r="AB84" s="781">
        <f t="shared" si="709"/>
        <v>1547.6071428571427</v>
      </c>
      <c r="AC84" s="781">
        <f t="shared" si="709"/>
        <v>1547.6071428571427</v>
      </c>
      <c r="AD84" s="781">
        <f t="shared" si="709"/>
        <v>1547.6071428571427</v>
      </c>
      <c r="AE84" s="781">
        <f t="shared" si="709"/>
        <v>1547.6071428571427</v>
      </c>
      <c r="AF84" s="781">
        <f t="shared" si="709"/>
        <v>1547.6071428571427</v>
      </c>
      <c r="AG84" s="781">
        <f t="shared" si="709"/>
        <v>1547.6071428571427</v>
      </c>
      <c r="AH84" s="781">
        <f t="shared" si="709"/>
        <v>1547.6071428571427</v>
      </c>
      <c r="AI84" s="781">
        <f t="shared" si="709"/>
        <v>1547.6071428571427</v>
      </c>
      <c r="AJ84" s="781">
        <f t="shared" si="709"/>
        <v>1547.6071428571427</v>
      </c>
      <c r="AK84" s="711" t="str">
        <f t="shared" ref="AK84:BA84" si="710">AK27</f>
        <v>Electric</v>
      </c>
      <c r="AL84" s="711" t="str">
        <f t="shared" si="710"/>
        <v>Commercial</v>
      </c>
      <c r="AM84" s="711" t="str">
        <f t="shared" si="710"/>
        <v>Large Office</v>
      </c>
      <c r="AN84" s="711" t="str">
        <f t="shared" si="710"/>
        <v>Ventilation And Circulation</v>
      </c>
      <c r="AO84" s="711" t="str">
        <f t="shared" si="710"/>
        <v>Existing</v>
      </c>
      <c r="AP84" s="711">
        <f t="shared" si="710"/>
        <v>0</v>
      </c>
      <c r="AQ84" s="711">
        <f t="shared" si="710"/>
        <v>0</v>
      </c>
      <c r="AR84" s="711">
        <f t="shared" si="710"/>
        <v>0</v>
      </c>
      <c r="AS84" s="711" t="str">
        <f t="shared" si="710"/>
        <v>OFFLGCool</v>
      </c>
      <c r="AT84" s="715" t="s">
        <v>745</v>
      </c>
      <c r="AU84" s="1065" t="s">
        <v>771</v>
      </c>
      <c r="AV84" s="711">
        <f t="shared" si="710"/>
        <v>15</v>
      </c>
      <c r="AW84" s="711">
        <f t="shared" si="710"/>
        <v>15</v>
      </c>
      <c r="AX84" s="711" t="s">
        <v>2714</v>
      </c>
      <c r="AY84" s="711">
        <f t="shared" si="710"/>
        <v>1</v>
      </c>
      <c r="AZ84" s="711">
        <f t="shared" si="710"/>
        <v>1</v>
      </c>
      <c r="BA84" s="1066">
        <f t="shared" si="710"/>
        <v>0</v>
      </c>
      <c r="BB84" s="721">
        <f t="shared" si="493"/>
        <v>166.5</v>
      </c>
      <c r="BC84" s="499">
        <f t="shared" si="494"/>
        <v>166.5</v>
      </c>
      <c r="BD84" s="499">
        <f t="shared" si="495"/>
        <v>166.5</v>
      </c>
      <c r="BE84" s="499">
        <f t="shared" si="496"/>
        <v>166.5</v>
      </c>
      <c r="BF84" s="499">
        <f t="shared" si="497"/>
        <v>166.5</v>
      </c>
      <c r="BG84" s="499">
        <f t="shared" si="498"/>
        <v>166.5</v>
      </c>
      <c r="BH84" s="499">
        <f t="shared" si="499"/>
        <v>166.5</v>
      </c>
      <c r="BI84" s="721">
        <f t="shared" si="474"/>
        <v>0</v>
      </c>
      <c r="BJ84" s="499">
        <f t="shared" ref="BJ84:BM84" si="711">BI84</f>
        <v>0</v>
      </c>
      <c r="BK84" s="499">
        <f t="shared" si="711"/>
        <v>0</v>
      </c>
      <c r="BL84" s="499">
        <f t="shared" si="711"/>
        <v>0</v>
      </c>
      <c r="BM84" s="499">
        <f t="shared" si="711"/>
        <v>0</v>
      </c>
      <c r="BN84" s="499">
        <f t="shared" si="501"/>
        <v>0</v>
      </c>
      <c r="BO84" s="499">
        <f t="shared" si="502"/>
        <v>0</v>
      </c>
      <c r="BP84" s="721">
        <f t="shared" si="476"/>
        <v>16</v>
      </c>
      <c r="BQ84" s="499">
        <f t="shared" si="477"/>
        <v>16</v>
      </c>
      <c r="BR84" s="499">
        <f t="shared" si="503"/>
        <v>16</v>
      </c>
      <c r="BS84" s="499">
        <f t="shared" si="504"/>
        <v>16</v>
      </c>
      <c r="BT84" s="499">
        <f t="shared" si="505"/>
        <v>16</v>
      </c>
      <c r="BU84" s="499">
        <f t="shared" si="506"/>
        <v>16</v>
      </c>
      <c r="BV84" s="499">
        <f t="shared" si="507"/>
        <v>16</v>
      </c>
      <c r="BW84" s="774">
        <f t="shared" si="508"/>
        <v>0</v>
      </c>
      <c r="BX84" s="503">
        <f t="shared" si="508"/>
        <v>0</v>
      </c>
      <c r="BY84" s="503">
        <f t="shared" si="508"/>
        <v>0</v>
      </c>
      <c r="BZ84" s="503">
        <f t="shared" si="508"/>
        <v>0</v>
      </c>
      <c r="CA84" s="503">
        <f t="shared" si="508"/>
        <v>0</v>
      </c>
      <c r="CB84" s="503">
        <f t="shared" si="508"/>
        <v>0</v>
      </c>
      <c r="CC84" s="503">
        <f t="shared" si="508"/>
        <v>0</v>
      </c>
      <c r="CD84" s="722">
        <f t="shared" si="484"/>
        <v>506.02290683714386</v>
      </c>
      <c r="CE84" s="511">
        <f t="shared" ref="CE84:CH84" si="712">CD84</f>
        <v>506.02290683714386</v>
      </c>
      <c r="CF84" s="511">
        <f t="shared" si="712"/>
        <v>506.02290683714386</v>
      </c>
      <c r="CG84" s="511">
        <f t="shared" si="712"/>
        <v>506.02290683714386</v>
      </c>
      <c r="CH84" s="511">
        <f t="shared" si="712"/>
        <v>506.02290683714386</v>
      </c>
      <c r="CI84" s="511">
        <f t="shared" si="510"/>
        <v>506.02290683714386</v>
      </c>
      <c r="CJ84" s="511">
        <f t="shared" si="511"/>
        <v>506.02290683714386</v>
      </c>
      <c r="CK84" s="722">
        <f t="shared" si="486"/>
        <v>0.11135992280977929</v>
      </c>
      <c r="CL84" s="511">
        <f t="shared" ref="CL84:CO84" si="713">CK84</f>
        <v>0.11135992280977929</v>
      </c>
      <c r="CM84" s="511">
        <f t="shared" si="713"/>
        <v>0.11135992280977929</v>
      </c>
      <c r="CN84" s="511">
        <f t="shared" si="713"/>
        <v>0.11135992280977929</v>
      </c>
      <c r="CO84" s="511">
        <f t="shared" si="713"/>
        <v>0.11135992280977929</v>
      </c>
      <c r="CP84" s="511">
        <f t="shared" si="513"/>
        <v>0.11135992280977929</v>
      </c>
      <c r="CQ84" s="511">
        <f t="shared" si="514"/>
        <v>0.11135992280977929</v>
      </c>
      <c r="CR84" s="722">
        <f t="shared" si="488"/>
        <v>0</v>
      </c>
      <c r="CS84" s="511">
        <f t="shared" ref="CS84:CV84" si="714">CR84</f>
        <v>0</v>
      </c>
      <c r="CT84" s="511">
        <f t="shared" si="714"/>
        <v>0</v>
      </c>
      <c r="CU84" s="511">
        <f t="shared" si="714"/>
        <v>0</v>
      </c>
      <c r="CV84" s="511">
        <f t="shared" si="714"/>
        <v>0</v>
      </c>
      <c r="CW84" s="511">
        <f t="shared" si="516"/>
        <v>0</v>
      </c>
      <c r="CX84" s="539">
        <f t="shared" si="517"/>
        <v>0</v>
      </c>
      <c r="CY84" s="724">
        <f t="shared" si="560"/>
        <v>257676.58928571426</v>
      </c>
      <c r="CZ84" s="508">
        <f t="shared" si="561"/>
        <v>257676.58928571426</v>
      </c>
      <c r="DA84" s="508">
        <f t="shared" si="562"/>
        <v>257676.58928571426</v>
      </c>
      <c r="DB84" s="508">
        <f t="shared" si="563"/>
        <v>257676.58928571426</v>
      </c>
      <c r="DC84" s="508">
        <f t="shared" si="564"/>
        <v>257676.58928571426</v>
      </c>
      <c r="DD84" s="508">
        <f t="shared" si="565"/>
        <v>257676.58928571426</v>
      </c>
      <c r="DE84" s="726">
        <f t="shared" si="566"/>
        <v>257676.58928571426</v>
      </c>
      <c r="DF84" s="724">
        <f t="shared" si="567"/>
        <v>0</v>
      </c>
      <c r="DG84" s="509">
        <f t="shared" si="568"/>
        <v>0</v>
      </c>
      <c r="DH84" s="509">
        <f t="shared" si="569"/>
        <v>0</v>
      </c>
      <c r="DI84" s="509">
        <f t="shared" si="570"/>
        <v>0</v>
      </c>
      <c r="DJ84" s="509">
        <f t="shared" si="571"/>
        <v>0</v>
      </c>
      <c r="DK84" s="509">
        <f t="shared" si="572"/>
        <v>0</v>
      </c>
      <c r="DL84" s="451">
        <f t="shared" si="573"/>
        <v>0</v>
      </c>
      <c r="DM84" s="509">
        <f t="shared" si="574"/>
        <v>24761.714285714283</v>
      </c>
      <c r="DN84" s="509">
        <f t="shared" si="575"/>
        <v>24761.714285714283</v>
      </c>
      <c r="DO84" s="509">
        <f t="shared" si="576"/>
        <v>24761.714285714283</v>
      </c>
      <c r="DP84" s="509">
        <f t="shared" si="577"/>
        <v>24761.714285714283</v>
      </c>
      <c r="DQ84" s="509">
        <f t="shared" si="578"/>
        <v>24761.714285714283</v>
      </c>
      <c r="DR84" s="509">
        <f t="shared" si="579"/>
        <v>24761.714285714283</v>
      </c>
      <c r="DS84" s="450">
        <f t="shared" si="580"/>
        <v>24761.714285714283</v>
      </c>
      <c r="DT84" s="724">
        <f t="shared" si="581"/>
        <v>0</v>
      </c>
      <c r="DU84" s="508">
        <f t="shared" si="582"/>
        <v>0</v>
      </c>
      <c r="DV84" s="508">
        <f t="shared" si="583"/>
        <v>0</v>
      </c>
      <c r="DW84" s="508">
        <f t="shared" si="584"/>
        <v>0</v>
      </c>
      <c r="DX84" s="508">
        <f t="shared" si="585"/>
        <v>0</v>
      </c>
      <c r="DY84" s="508">
        <f t="shared" si="586"/>
        <v>0</v>
      </c>
      <c r="DZ84" s="726">
        <f t="shared" si="587"/>
        <v>0</v>
      </c>
      <c r="EA84" s="722">
        <f t="shared" si="588"/>
        <v>783124.66507049825</v>
      </c>
      <c r="EB84" s="511">
        <f t="shared" si="589"/>
        <v>783124.66507049825</v>
      </c>
      <c r="EC84" s="511">
        <f t="shared" si="590"/>
        <v>783124.66507049825</v>
      </c>
      <c r="ED84" s="511">
        <f t="shared" si="591"/>
        <v>783124.66507049825</v>
      </c>
      <c r="EE84" s="511">
        <f t="shared" si="592"/>
        <v>783124.66507049825</v>
      </c>
      <c r="EF84" s="511">
        <f t="shared" si="593"/>
        <v>783124.66507049825</v>
      </c>
      <c r="EG84" s="723">
        <f t="shared" si="594"/>
        <v>783124.66507049825</v>
      </c>
      <c r="EH84" s="397">
        <f t="shared" si="595"/>
        <v>172.34141196843447</v>
      </c>
      <c r="EI84" s="397">
        <f t="shared" si="596"/>
        <v>172.34141196843447</v>
      </c>
      <c r="EJ84" s="397">
        <f t="shared" si="597"/>
        <v>172.34141196843447</v>
      </c>
      <c r="EK84" s="397">
        <f t="shared" si="598"/>
        <v>172.34141196843447</v>
      </c>
      <c r="EL84" s="397">
        <f t="shared" si="599"/>
        <v>172.34141196843447</v>
      </c>
      <c r="EM84" s="397">
        <f t="shared" si="600"/>
        <v>172.34141196843447</v>
      </c>
      <c r="EN84" s="398">
        <f t="shared" si="601"/>
        <v>172.34141196843447</v>
      </c>
      <c r="EO84" s="722">
        <f t="shared" si="602"/>
        <v>0</v>
      </c>
      <c r="EP84" s="511">
        <f t="shared" si="603"/>
        <v>0</v>
      </c>
      <c r="EQ84" s="511">
        <f t="shared" si="604"/>
        <v>0</v>
      </c>
      <c r="ER84" s="511">
        <f t="shared" si="605"/>
        <v>0</v>
      </c>
      <c r="ES84" s="511">
        <f t="shared" si="606"/>
        <v>0</v>
      </c>
      <c r="ET84" s="511">
        <f t="shared" si="607"/>
        <v>0</v>
      </c>
      <c r="EU84" s="723">
        <f t="shared" si="608"/>
        <v>0</v>
      </c>
      <c r="EV84" s="727">
        <f t="shared" si="609"/>
        <v>4642.8214285714275</v>
      </c>
      <c r="EW84" s="728">
        <f t="shared" si="610"/>
        <v>1803736.125</v>
      </c>
      <c r="EX84" s="728">
        <f t="shared" si="611"/>
        <v>0</v>
      </c>
      <c r="EY84" s="728">
        <f t="shared" si="612"/>
        <v>173332</v>
      </c>
      <c r="EZ84" s="728">
        <f t="shared" si="613"/>
        <v>0</v>
      </c>
      <c r="FA84" s="777">
        <f t="shared" si="614"/>
        <v>5481872.6554934876</v>
      </c>
      <c r="FB84" s="777">
        <f t="shared" si="615"/>
        <v>1206.3898837790412</v>
      </c>
      <c r="FC84" s="778">
        <f t="shared" si="616"/>
        <v>0</v>
      </c>
      <c r="FE84" s="10"/>
      <c r="FF84" s="10"/>
    </row>
    <row r="85" spans="1:162">
      <c r="A85" s="662" t="s">
        <v>207</v>
      </c>
      <c r="B85" s="789" t="s">
        <v>1377</v>
      </c>
      <c r="C85" s="789" t="str">
        <f t="shared" ref="C85:W85" si="715">C28</f>
        <v>LED Refrigerated Display Light</v>
      </c>
      <c r="D85" s="789" t="str">
        <f t="shared" si="715"/>
        <v>T8 Refrigerated Display Light</v>
      </c>
      <c r="E85" s="789" t="str">
        <f t="shared" si="715"/>
        <v>Per 5' Lamp</v>
      </c>
      <c r="F85" s="789" t="str">
        <f t="shared" si="715"/>
        <v>Per Unit</v>
      </c>
      <c r="G85" s="704" t="str">
        <f t="shared" si="715"/>
        <v>Incremental Cost</v>
      </c>
      <c r="H85" s="704">
        <f t="shared" si="715"/>
        <v>115</v>
      </c>
      <c r="I85" s="704">
        <f t="shared" si="715"/>
        <v>0</v>
      </c>
      <c r="J85" s="704">
        <f t="shared" si="715"/>
        <v>115</v>
      </c>
      <c r="K85" s="704">
        <f t="shared" si="715"/>
        <v>-0.72333333333333327</v>
      </c>
      <c r="L85" s="704">
        <f t="shared" si="715"/>
        <v>57.5</v>
      </c>
      <c r="M85" s="707" t="str">
        <f t="shared" si="715"/>
        <v>Assuming 5' lamp, incremental cost is $23/linear foot; PV lifetime O&amp;M impacts per linear foot are $2.17 - assumed 5' lamp with maximum 15 year measure life</v>
      </c>
      <c r="N85" s="704">
        <f t="shared" si="715"/>
        <v>9</v>
      </c>
      <c r="O85" s="704">
        <f t="shared" si="715"/>
        <v>9</v>
      </c>
      <c r="P85" s="704">
        <f t="shared" si="715"/>
        <v>0</v>
      </c>
      <c r="Q85" s="704">
        <f t="shared" si="715"/>
        <v>0</v>
      </c>
      <c r="R85" s="1021">
        <f t="shared" si="715"/>
        <v>345.43234999999999</v>
      </c>
      <c r="S85" s="872">
        <f t="shared" si="715"/>
        <v>5.3078399999999998E-2</v>
      </c>
      <c r="T85" s="1022">
        <f t="shared" si="715"/>
        <v>0</v>
      </c>
      <c r="U85" s="711" t="str">
        <f t="shared" si="715"/>
        <v>Based on savings algorithms and assumptions from Mid-Atlanatic TRM v10 (LED Refrigerated Case Lighting) - Assuming unit size is 5' as with costs</v>
      </c>
      <c r="V85" s="716">
        <f t="shared" si="715"/>
        <v>0</v>
      </c>
      <c r="W85" s="711">
        <f t="shared" si="715"/>
        <v>1</v>
      </c>
      <c r="X85" s="781">
        <f t="shared" ref="X85:AJ85" si="716">X28/2</f>
        <v>1224.5</v>
      </c>
      <c r="Y85" s="781">
        <f t="shared" si="716"/>
        <v>597.5</v>
      </c>
      <c r="Z85" s="781">
        <f t="shared" si="716"/>
        <v>310.5</v>
      </c>
      <c r="AA85" s="781">
        <f t="shared" si="716"/>
        <v>324.85714285714283</v>
      </c>
      <c r="AB85" s="781">
        <f t="shared" si="716"/>
        <v>317.67857142857144</v>
      </c>
      <c r="AC85" s="781">
        <f>AC28/2</f>
        <v>317.67857142857144</v>
      </c>
      <c r="AD85" s="781">
        <f t="shared" si="716"/>
        <v>317.67857142857144</v>
      </c>
      <c r="AE85" s="781">
        <f t="shared" si="716"/>
        <v>317.67857142857144</v>
      </c>
      <c r="AF85" s="781">
        <f t="shared" si="716"/>
        <v>317.67857142857144</v>
      </c>
      <c r="AG85" s="781">
        <f t="shared" si="716"/>
        <v>317.67857142857144</v>
      </c>
      <c r="AH85" s="781">
        <f t="shared" si="716"/>
        <v>317.67857142857144</v>
      </c>
      <c r="AI85" s="781">
        <f t="shared" si="716"/>
        <v>317.67857142857144</v>
      </c>
      <c r="AJ85" s="781">
        <f t="shared" si="716"/>
        <v>317.67857142857144</v>
      </c>
      <c r="AK85" s="711" t="str">
        <f t="shared" ref="AK85:BA85" si="717">AK28</f>
        <v>Electric</v>
      </c>
      <c r="AL85" s="711" t="str">
        <f t="shared" si="717"/>
        <v>Commercial</v>
      </c>
      <c r="AM85" s="711" t="str">
        <f t="shared" si="717"/>
        <v>Grocery</v>
      </c>
      <c r="AN85" s="711" t="str">
        <f t="shared" si="717"/>
        <v>Lighting</v>
      </c>
      <c r="AO85" s="711" t="str">
        <f t="shared" si="717"/>
        <v>Existing</v>
      </c>
      <c r="AP85" s="711" t="str">
        <f t="shared" si="717"/>
        <v>Display Case LEDs (Closed Cases)</v>
      </c>
      <c r="AQ85" s="711" t="str">
        <f t="shared" si="717"/>
        <v>Display Case LEDs (Closed Cases)</v>
      </c>
      <c r="AR85" s="711" t="str">
        <f t="shared" si="717"/>
        <v>Standard Case Lighting</v>
      </c>
      <c r="AS85" s="711" t="str">
        <f t="shared" si="717"/>
        <v>Grocery InLight</v>
      </c>
      <c r="AT85" s="715" t="s">
        <v>745</v>
      </c>
      <c r="AU85" s="1065" t="s">
        <v>771</v>
      </c>
      <c r="AV85" s="711">
        <f t="shared" si="717"/>
        <v>8</v>
      </c>
      <c r="AW85" s="711">
        <f t="shared" si="717"/>
        <v>8</v>
      </c>
      <c r="AX85" s="711" t="s">
        <v>2715</v>
      </c>
      <c r="AY85" s="711">
        <f t="shared" si="717"/>
        <v>1</v>
      </c>
      <c r="AZ85" s="711">
        <f t="shared" si="717"/>
        <v>1</v>
      </c>
      <c r="BA85" s="1066">
        <f t="shared" si="717"/>
        <v>0</v>
      </c>
      <c r="BB85" s="721">
        <f t="shared" si="493"/>
        <v>115</v>
      </c>
      <c r="BC85" s="499">
        <f t="shared" si="494"/>
        <v>115</v>
      </c>
      <c r="BD85" s="499">
        <f t="shared" si="495"/>
        <v>115</v>
      </c>
      <c r="BE85" s="499">
        <f t="shared" si="496"/>
        <v>115</v>
      </c>
      <c r="BF85" s="499">
        <f t="shared" si="497"/>
        <v>115</v>
      </c>
      <c r="BG85" s="499">
        <f t="shared" si="498"/>
        <v>115</v>
      </c>
      <c r="BH85" s="499">
        <f t="shared" si="499"/>
        <v>115</v>
      </c>
      <c r="BI85" s="721">
        <f t="shared" si="474"/>
        <v>-0.72333333333333327</v>
      </c>
      <c r="BJ85" s="499">
        <f t="shared" ref="BJ85:BM85" si="718">BI85</f>
        <v>-0.72333333333333327</v>
      </c>
      <c r="BK85" s="499">
        <f t="shared" si="718"/>
        <v>-0.72333333333333327</v>
      </c>
      <c r="BL85" s="499">
        <f t="shared" si="718"/>
        <v>-0.72333333333333327</v>
      </c>
      <c r="BM85" s="499">
        <f t="shared" si="718"/>
        <v>-0.72333333333333327</v>
      </c>
      <c r="BN85" s="499">
        <f t="shared" si="501"/>
        <v>-0.72333333333333327</v>
      </c>
      <c r="BO85" s="499">
        <f t="shared" si="502"/>
        <v>-0.72333333333333327</v>
      </c>
      <c r="BP85" s="721">
        <f t="shared" si="476"/>
        <v>9</v>
      </c>
      <c r="BQ85" s="499">
        <f t="shared" si="477"/>
        <v>9</v>
      </c>
      <c r="BR85" s="499">
        <f t="shared" si="503"/>
        <v>9</v>
      </c>
      <c r="BS85" s="499">
        <f t="shared" si="504"/>
        <v>9</v>
      </c>
      <c r="BT85" s="499">
        <f t="shared" si="505"/>
        <v>9</v>
      </c>
      <c r="BU85" s="499">
        <f t="shared" si="506"/>
        <v>9</v>
      </c>
      <c r="BV85" s="499">
        <f t="shared" si="507"/>
        <v>9</v>
      </c>
      <c r="BW85" s="774">
        <f t="shared" si="508"/>
        <v>0</v>
      </c>
      <c r="BX85" s="503">
        <f t="shared" si="508"/>
        <v>0</v>
      </c>
      <c r="BY85" s="503">
        <f t="shared" si="508"/>
        <v>0</v>
      </c>
      <c r="BZ85" s="503">
        <f t="shared" si="508"/>
        <v>0</v>
      </c>
      <c r="CA85" s="503">
        <f t="shared" si="508"/>
        <v>0</v>
      </c>
      <c r="CB85" s="503">
        <f t="shared" si="508"/>
        <v>0</v>
      </c>
      <c r="CC85" s="503">
        <f t="shared" si="508"/>
        <v>0</v>
      </c>
      <c r="CD85" s="722">
        <f t="shared" si="484"/>
        <v>345.43234999999999</v>
      </c>
      <c r="CE85" s="511">
        <f t="shared" ref="CE85:CH85" si="719">CD85</f>
        <v>345.43234999999999</v>
      </c>
      <c r="CF85" s="511">
        <f t="shared" si="719"/>
        <v>345.43234999999999</v>
      </c>
      <c r="CG85" s="511">
        <f t="shared" si="719"/>
        <v>345.43234999999999</v>
      </c>
      <c r="CH85" s="511">
        <f t="shared" si="719"/>
        <v>345.43234999999999</v>
      </c>
      <c r="CI85" s="511">
        <f t="shared" si="510"/>
        <v>345.43234999999999</v>
      </c>
      <c r="CJ85" s="511">
        <f t="shared" si="511"/>
        <v>345.43234999999999</v>
      </c>
      <c r="CK85" s="722">
        <f t="shared" si="486"/>
        <v>5.3078399999999998E-2</v>
      </c>
      <c r="CL85" s="511">
        <f t="shared" ref="CL85:CO85" si="720">CK85</f>
        <v>5.3078399999999998E-2</v>
      </c>
      <c r="CM85" s="511">
        <f t="shared" si="720"/>
        <v>5.3078399999999998E-2</v>
      </c>
      <c r="CN85" s="511">
        <f t="shared" si="720"/>
        <v>5.3078399999999998E-2</v>
      </c>
      <c r="CO85" s="511">
        <f t="shared" si="720"/>
        <v>5.3078399999999998E-2</v>
      </c>
      <c r="CP85" s="511">
        <f t="shared" si="513"/>
        <v>5.3078399999999998E-2</v>
      </c>
      <c r="CQ85" s="511">
        <f t="shared" si="514"/>
        <v>5.3078399999999998E-2</v>
      </c>
      <c r="CR85" s="722">
        <f t="shared" si="488"/>
        <v>0</v>
      </c>
      <c r="CS85" s="511">
        <f t="shared" ref="CS85:CV85" si="721">CR85</f>
        <v>0</v>
      </c>
      <c r="CT85" s="511">
        <f t="shared" si="721"/>
        <v>0</v>
      </c>
      <c r="CU85" s="511">
        <f t="shared" si="721"/>
        <v>0</v>
      </c>
      <c r="CV85" s="511">
        <f t="shared" si="721"/>
        <v>0</v>
      </c>
      <c r="CW85" s="511">
        <f t="shared" si="516"/>
        <v>0</v>
      </c>
      <c r="CX85" s="539">
        <f t="shared" si="517"/>
        <v>0</v>
      </c>
      <c r="CY85" s="724">
        <f t="shared" si="560"/>
        <v>36533.035714285717</v>
      </c>
      <c r="CZ85" s="508">
        <f t="shared" si="561"/>
        <v>36533.035714285717</v>
      </c>
      <c r="DA85" s="508">
        <f t="shared" si="562"/>
        <v>36533.035714285717</v>
      </c>
      <c r="DB85" s="508">
        <f t="shared" si="563"/>
        <v>36533.035714285717</v>
      </c>
      <c r="DC85" s="508">
        <f t="shared" si="564"/>
        <v>36533.035714285717</v>
      </c>
      <c r="DD85" s="508">
        <f t="shared" si="565"/>
        <v>36533.035714285717</v>
      </c>
      <c r="DE85" s="726">
        <f t="shared" si="566"/>
        <v>36533.035714285717</v>
      </c>
      <c r="DF85" s="724">
        <f t="shared" si="567"/>
        <v>-229.78749999999999</v>
      </c>
      <c r="DG85" s="509">
        <f t="shared" si="568"/>
        <v>-229.78749999999999</v>
      </c>
      <c r="DH85" s="509">
        <f t="shared" si="569"/>
        <v>-229.78749999999999</v>
      </c>
      <c r="DI85" s="509">
        <f t="shared" si="570"/>
        <v>-229.78749999999999</v>
      </c>
      <c r="DJ85" s="509">
        <f t="shared" si="571"/>
        <v>-229.78749999999999</v>
      </c>
      <c r="DK85" s="509">
        <f t="shared" si="572"/>
        <v>-229.78749999999999</v>
      </c>
      <c r="DL85" s="451">
        <f t="shared" si="573"/>
        <v>-229.78749999999999</v>
      </c>
      <c r="DM85" s="509">
        <f t="shared" si="574"/>
        <v>2859.1071428571431</v>
      </c>
      <c r="DN85" s="509">
        <f t="shared" si="575"/>
        <v>2859.1071428571431</v>
      </c>
      <c r="DO85" s="509">
        <f t="shared" si="576"/>
        <v>2859.1071428571431</v>
      </c>
      <c r="DP85" s="509">
        <f t="shared" si="577"/>
        <v>2859.1071428571431</v>
      </c>
      <c r="DQ85" s="509">
        <f t="shared" si="578"/>
        <v>2859.1071428571431</v>
      </c>
      <c r="DR85" s="509">
        <f t="shared" si="579"/>
        <v>2859.1071428571431</v>
      </c>
      <c r="DS85" s="450">
        <f t="shared" si="580"/>
        <v>2859.1071428571431</v>
      </c>
      <c r="DT85" s="724">
        <f t="shared" si="581"/>
        <v>0</v>
      </c>
      <c r="DU85" s="508">
        <f t="shared" si="582"/>
        <v>0</v>
      </c>
      <c r="DV85" s="508">
        <f t="shared" si="583"/>
        <v>0</v>
      </c>
      <c r="DW85" s="508">
        <f t="shared" si="584"/>
        <v>0</v>
      </c>
      <c r="DX85" s="508">
        <f t="shared" si="585"/>
        <v>0</v>
      </c>
      <c r="DY85" s="508">
        <f t="shared" si="586"/>
        <v>0</v>
      </c>
      <c r="DZ85" s="726">
        <f t="shared" si="587"/>
        <v>0</v>
      </c>
      <c r="EA85" s="722">
        <f t="shared" si="588"/>
        <v>109736.45547321429</v>
      </c>
      <c r="EB85" s="511">
        <f t="shared" si="589"/>
        <v>109736.45547321429</v>
      </c>
      <c r="EC85" s="511">
        <f t="shared" si="590"/>
        <v>109736.45547321429</v>
      </c>
      <c r="ED85" s="511">
        <f t="shared" si="591"/>
        <v>109736.45547321429</v>
      </c>
      <c r="EE85" s="511">
        <f t="shared" si="592"/>
        <v>109736.45547321429</v>
      </c>
      <c r="EF85" s="511">
        <f t="shared" si="593"/>
        <v>109736.45547321429</v>
      </c>
      <c r="EG85" s="723">
        <f t="shared" si="594"/>
        <v>109736.45547321429</v>
      </c>
      <c r="EH85" s="397">
        <f t="shared" si="595"/>
        <v>16.861870285714286</v>
      </c>
      <c r="EI85" s="397">
        <f t="shared" si="596"/>
        <v>16.861870285714286</v>
      </c>
      <c r="EJ85" s="397">
        <f t="shared" si="597"/>
        <v>16.861870285714286</v>
      </c>
      <c r="EK85" s="397">
        <f t="shared" si="598"/>
        <v>16.861870285714286</v>
      </c>
      <c r="EL85" s="397">
        <f t="shared" si="599"/>
        <v>16.861870285714286</v>
      </c>
      <c r="EM85" s="397">
        <f t="shared" si="600"/>
        <v>16.861870285714286</v>
      </c>
      <c r="EN85" s="398">
        <f t="shared" si="601"/>
        <v>16.861870285714286</v>
      </c>
      <c r="EO85" s="722">
        <f t="shared" si="602"/>
        <v>0</v>
      </c>
      <c r="EP85" s="511">
        <f t="shared" si="603"/>
        <v>0</v>
      </c>
      <c r="EQ85" s="511">
        <f t="shared" si="604"/>
        <v>0</v>
      </c>
      <c r="ER85" s="511">
        <f t="shared" si="605"/>
        <v>0</v>
      </c>
      <c r="ES85" s="511">
        <f t="shared" si="606"/>
        <v>0</v>
      </c>
      <c r="ET85" s="511">
        <f t="shared" si="607"/>
        <v>0</v>
      </c>
      <c r="EU85" s="723">
        <f t="shared" si="608"/>
        <v>0</v>
      </c>
      <c r="EV85" s="727">
        <f t="shared" si="609"/>
        <v>953.03571428571433</v>
      </c>
      <c r="EW85" s="728">
        <f t="shared" si="610"/>
        <v>255731.25</v>
      </c>
      <c r="EX85" s="728">
        <f t="shared" si="611"/>
        <v>-1608.5124999999998</v>
      </c>
      <c r="EY85" s="728">
        <f t="shared" si="612"/>
        <v>20013.75</v>
      </c>
      <c r="EZ85" s="728">
        <f t="shared" si="613"/>
        <v>0</v>
      </c>
      <c r="FA85" s="777">
        <f t="shared" si="614"/>
        <v>768155.18831250002</v>
      </c>
      <c r="FB85" s="777">
        <f t="shared" si="615"/>
        <v>118.03309200000001</v>
      </c>
      <c r="FC85" s="778">
        <f t="shared" si="616"/>
        <v>0</v>
      </c>
      <c r="FE85" s="10"/>
      <c r="FF85" s="10"/>
    </row>
    <row r="86" spans="1:162">
      <c r="A86" s="662" t="s">
        <v>208</v>
      </c>
      <c r="B86" s="789" t="s">
        <v>1378</v>
      </c>
      <c r="C86" s="789" t="str">
        <f t="shared" ref="C86:W86" si="722">C29</f>
        <v>LED Exit Signs (replacement)</v>
      </c>
      <c r="D86" s="789" t="str">
        <f t="shared" si="722"/>
        <v>CFL Exit Signs</v>
      </c>
      <c r="E86" s="789" t="str">
        <f t="shared" si="722"/>
        <v>Per Fixture</v>
      </c>
      <c r="F86" s="789" t="str">
        <f t="shared" si="722"/>
        <v>Per Unit</v>
      </c>
      <c r="G86" s="704" t="str">
        <f t="shared" si="722"/>
        <v>Incremental Cost</v>
      </c>
      <c r="H86" s="704">
        <f t="shared" si="722"/>
        <v>35</v>
      </c>
      <c r="I86" s="704">
        <f t="shared" si="722"/>
        <v>0</v>
      </c>
      <c r="J86" s="704">
        <f t="shared" si="722"/>
        <v>35</v>
      </c>
      <c r="K86" s="704">
        <f t="shared" si="722"/>
        <v>0</v>
      </c>
      <c r="L86" s="704">
        <f t="shared" si="722"/>
        <v>17.5</v>
      </c>
      <c r="M86" s="707" t="str">
        <f t="shared" si="722"/>
        <v>LED Exit Sign from Mid-Atl TRM v9</v>
      </c>
      <c r="N86" s="704">
        <f t="shared" si="722"/>
        <v>10</v>
      </c>
      <c r="O86" s="704">
        <f t="shared" si="722"/>
        <v>10</v>
      </c>
      <c r="P86" s="704">
        <f t="shared" si="722"/>
        <v>0</v>
      </c>
      <c r="Q86" s="704">
        <f t="shared" si="722"/>
        <v>0</v>
      </c>
      <c r="R86" s="1021">
        <f t="shared" si="722"/>
        <v>304.34429618001042</v>
      </c>
      <c r="S86" s="872">
        <f t="shared" si="722"/>
        <v>4.7084510727367863E-2</v>
      </c>
      <c r="T86" s="1022">
        <f t="shared" si="722"/>
        <v>0</v>
      </c>
      <c r="U86" s="711" t="str">
        <f t="shared" si="722"/>
        <v>LG&amp;E/KU Commercial Rebates Report - Appendix A</v>
      </c>
      <c r="V86" s="716">
        <f t="shared" si="722"/>
        <v>0</v>
      </c>
      <c r="W86" s="711">
        <f t="shared" si="722"/>
        <v>1</v>
      </c>
      <c r="X86" s="781">
        <f t="shared" ref="X86:AJ86" si="723">X29/2</f>
        <v>652.5</v>
      </c>
      <c r="Y86" s="781">
        <f t="shared" si="723"/>
        <v>1109</v>
      </c>
      <c r="Z86" s="781">
        <f t="shared" si="723"/>
        <v>877.5</v>
      </c>
      <c r="AA86" s="781">
        <f t="shared" si="723"/>
        <v>498</v>
      </c>
      <c r="AB86" s="781">
        <f t="shared" si="723"/>
        <v>687.75</v>
      </c>
      <c r="AC86" s="781">
        <f t="shared" si="723"/>
        <v>687.75</v>
      </c>
      <c r="AD86" s="781">
        <f t="shared" si="723"/>
        <v>687.75</v>
      </c>
      <c r="AE86" s="781">
        <f t="shared" si="723"/>
        <v>687.75</v>
      </c>
      <c r="AF86" s="781">
        <f t="shared" si="723"/>
        <v>687.75</v>
      </c>
      <c r="AG86" s="781">
        <f t="shared" si="723"/>
        <v>687.75</v>
      </c>
      <c r="AH86" s="781">
        <f t="shared" si="723"/>
        <v>687.75</v>
      </c>
      <c r="AI86" s="781">
        <f t="shared" si="723"/>
        <v>687.75</v>
      </c>
      <c r="AJ86" s="781">
        <f t="shared" si="723"/>
        <v>687.75</v>
      </c>
      <c r="AK86" s="711" t="str">
        <f t="shared" ref="AK86:BA86" si="724">AK29</f>
        <v>Electric</v>
      </c>
      <c r="AL86" s="711" t="str">
        <f t="shared" si="724"/>
        <v>Commercial</v>
      </c>
      <c r="AM86" s="711" t="str">
        <f t="shared" si="724"/>
        <v>Large Office</v>
      </c>
      <c r="AN86" s="711" t="str">
        <f t="shared" si="724"/>
        <v>Lighting</v>
      </c>
      <c r="AO86" s="711" t="str">
        <f t="shared" si="724"/>
        <v>Existing</v>
      </c>
      <c r="AP86" s="711" t="str">
        <f t="shared" si="724"/>
        <v>Exit Sign - LED</v>
      </c>
      <c r="AQ86" s="711" t="str">
        <f t="shared" si="724"/>
        <v>LED Exit Sign</v>
      </c>
      <c r="AR86" s="711" t="str">
        <f t="shared" si="724"/>
        <v>CFL Exit Sign</v>
      </c>
      <c r="AS86" s="711" t="str">
        <f t="shared" si="724"/>
        <v>OFFLGInLight</v>
      </c>
      <c r="AT86" s="715" t="s">
        <v>745</v>
      </c>
      <c r="AU86" s="1065" t="s">
        <v>771</v>
      </c>
      <c r="AV86" s="711">
        <f t="shared" si="724"/>
        <v>16</v>
      </c>
      <c r="AW86" s="711">
        <f t="shared" si="724"/>
        <v>16</v>
      </c>
      <c r="AX86" s="711" t="s">
        <v>2716</v>
      </c>
      <c r="AY86" s="711">
        <f t="shared" si="724"/>
        <v>1</v>
      </c>
      <c r="AZ86" s="711">
        <f t="shared" si="724"/>
        <v>1</v>
      </c>
      <c r="BA86" s="1066">
        <f t="shared" si="724"/>
        <v>0</v>
      </c>
      <c r="BB86" s="721">
        <f t="shared" si="493"/>
        <v>35</v>
      </c>
      <c r="BC86" s="499">
        <f t="shared" si="494"/>
        <v>35</v>
      </c>
      <c r="BD86" s="499">
        <f t="shared" si="495"/>
        <v>35</v>
      </c>
      <c r="BE86" s="499">
        <f t="shared" si="496"/>
        <v>35</v>
      </c>
      <c r="BF86" s="499">
        <f t="shared" si="497"/>
        <v>35</v>
      </c>
      <c r="BG86" s="499">
        <f t="shared" si="498"/>
        <v>35</v>
      </c>
      <c r="BH86" s="499">
        <f t="shared" si="499"/>
        <v>35</v>
      </c>
      <c r="BI86" s="721">
        <f t="shared" si="474"/>
        <v>0</v>
      </c>
      <c r="BJ86" s="499">
        <f t="shared" ref="BJ86:BM86" si="725">BI86</f>
        <v>0</v>
      </c>
      <c r="BK86" s="499">
        <f t="shared" si="725"/>
        <v>0</v>
      </c>
      <c r="BL86" s="499">
        <f t="shared" si="725"/>
        <v>0</v>
      </c>
      <c r="BM86" s="499">
        <f t="shared" si="725"/>
        <v>0</v>
      </c>
      <c r="BN86" s="499">
        <f t="shared" si="501"/>
        <v>0</v>
      </c>
      <c r="BO86" s="499">
        <f t="shared" si="502"/>
        <v>0</v>
      </c>
      <c r="BP86" s="721">
        <f t="shared" si="476"/>
        <v>10</v>
      </c>
      <c r="BQ86" s="499">
        <f t="shared" si="477"/>
        <v>10</v>
      </c>
      <c r="BR86" s="499">
        <f t="shared" si="503"/>
        <v>10</v>
      </c>
      <c r="BS86" s="499">
        <f t="shared" si="504"/>
        <v>10</v>
      </c>
      <c r="BT86" s="499">
        <f t="shared" si="505"/>
        <v>10</v>
      </c>
      <c r="BU86" s="499">
        <f t="shared" si="506"/>
        <v>10</v>
      </c>
      <c r="BV86" s="499">
        <f t="shared" si="507"/>
        <v>10</v>
      </c>
      <c r="BW86" s="774">
        <f t="shared" si="508"/>
        <v>0</v>
      </c>
      <c r="BX86" s="503">
        <f t="shared" si="508"/>
        <v>0</v>
      </c>
      <c r="BY86" s="503">
        <f t="shared" si="508"/>
        <v>0</v>
      </c>
      <c r="BZ86" s="503">
        <f t="shared" si="508"/>
        <v>0</v>
      </c>
      <c r="CA86" s="503">
        <f t="shared" si="508"/>
        <v>0</v>
      </c>
      <c r="CB86" s="503">
        <f t="shared" si="508"/>
        <v>0</v>
      </c>
      <c r="CC86" s="503">
        <f t="shared" si="508"/>
        <v>0</v>
      </c>
      <c r="CD86" s="722">
        <f t="shared" si="484"/>
        <v>304.34429618001042</v>
      </c>
      <c r="CE86" s="511">
        <f t="shared" ref="CE86:CH86" si="726">CD86</f>
        <v>304.34429618001042</v>
      </c>
      <c r="CF86" s="511">
        <f t="shared" si="726"/>
        <v>304.34429618001042</v>
      </c>
      <c r="CG86" s="511">
        <f t="shared" si="726"/>
        <v>304.34429618001042</v>
      </c>
      <c r="CH86" s="511">
        <f t="shared" si="726"/>
        <v>304.34429618001042</v>
      </c>
      <c r="CI86" s="511">
        <f t="shared" si="510"/>
        <v>304.34429618001042</v>
      </c>
      <c r="CJ86" s="511">
        <f t="shared" si="511"/>
        <v>304.34429618001042</v>
      </c>
      <c r="CK86" s="722">
        <f t="shared" si="486"/>
        <v>4.7084510727367863E-2</v>
      </c>
      <c r="CL86" s="511">
        <f t="shared" ref="CL86:CO86" si="727">CK86</f>
        <v>4.7084510727367863E-2</v>
      </c>
      <c r="CM86" s="511">
        <f t="shared" si="727"/>
        <v>4.7084510727367863E-2</v>
      </c>
      <c r="CN86" s="511">
        <f t="shared" si="727"/>
        <v>4.7084510727367863E-2</v>
      </c>
      <c r="CO86" s="511">
        <f t="shared" si="727"/>
        <v>4.7084510727367863E-2</v>
      </c>
      <c r="CP86" s="511">
        <f t="shared" si="513"/>
        <v>4.7084510727367863E-2</v>
      </c>
      <c r="CQ86" s="511">
        <f t="shared" si="514"/>
        <v>4.7084510727367863E-2</v>
      </c>
      <c r="CR86" s="722">
        <f t="shared" si="488"/>
        <v>0</v>
      </c>
      <c r="CS86" s="511">
        <f t="shared" ref="CS86:CV86" si="728">CR86</f>
        <v>0</v>
      </c>
      <c r="CT86" s="511">
        <f t="shared" si="728"/>
        <v>0</v>
      </c>
      <c r="CU86" s="511">
        <f t="shared" si="728"/>
        <v>0</v>
      </c>
      <c r="CV86" s="511">
        <f t="shared" si="728"/>
        <v>0</v>
      </c>
      <c r="CW86" s="511">
        <f t="shared" si="516"/>
        <v>0</v>
      </c>
      <c r="CX86" s="539">
        <f t="shared" si="517"/>
        <v>0</v>
      </c>
      <c r="CY86" s="724">
        <f t="shared" si="560"/>
        <v>24071.25</v>
      </c>
      <c r="CZ86" s="508">
        <f t="shared" si="561"/>
        <v>24071.25</v>
      </c>
      <c r="DA86" s="508">
        <f t="shared" si="562"/>
        <v>24071.25</v>
      </c>
      <c r="DB86" s="508">
        <f t="shared" si="563"/>
        <v>24071.25</v>
      </c>
      <c r="DC86" s="508">
        <f t="shared" si="564"/>
        <v>24071.25</v>
      </c>
      <c r="DD86" s="508">
        <f t="shared" si="565"/>
        <v>24071.25</v>
      </c>
      <c r="DE86" s="726">
        <f t="shared" si="566"/>
        <v>24071.25</v>
      </c>
      <c r="DF86" s="724">
        <f t="shared" si="567"/>
        <v>0</v>
      </c>
      <c r="DG86" s="509">
        <f t="shared" si="568"/>
        <v>0</v>
      </c>
      <c r="DH86" s="509">
        <f t="shared" si="569"/>
        <v>0</v>
      </c>
      <c r="DI86" s="509">
        <f t="shared" si="570"/>
        <v>0</v>
      </c>
      <c r="DJ86" s="509">
        <f t="shared" si="571"/>
        <v>0</v>
      </c>
      <c r="DK86" s="509">
        <f t="shared" si="572"/>
        <v>0</v>
      </c>
      <c r="DL86" s="451">
        <f t="shared" si="573"/>
        <v>0</v>
      </c>
      <c r="DM86" s="509">
        <f t="shared" si="574"/>
        <v>6877.5</v>
      </c>
      <c r="DN86" s="509">
        <f t="shared" si="575"/>
        <v>6877.5</v>
      </c>
      <c r="DO86" s="509">
        <f t="shared" si="576"/>
        <v>6877.5</v>
      </c>
      <c r="DP86" s="509">
        <f t="shared" si="577"/>
        <v>6877.5</v>
      </c>
      <c r="DQ86" s="509">
        <f t="shared" si="578"/>
        <v>6877.5</v>
      </c>
      <c r="DR86" s="509">
        <f t="shared" si="579"/>
        <v>6877.5</v>
      </c>
      <c r="DS86" s="450">
        <f t="shared" si="580"/>
        <v>6877.5</v>
      </c>
      <c r="DT86" s="724">
        <f t="shared" si="581"/>
        <v>0</v>
      </c>
      <c r="DU86" s="508">
        <f t="shared" si="582"/>
        <v>0</v>
      </c>
      <c r="DV86" s="508">
        <f t="shared" si="583"/>
        <v>0</v>
      </c>
      <c r="DW86" s="508">
        <f t="shared" si="584"/>
        <v>0</v>
      </c>
      <c r="DX86" s="508">
        <f t="shared" si="585"/>
        <v>0</v>
      </c>
      <c r="DY86" s="508">
        <f t="shared" si="586"/>
        <v>0</v>
      </c>
      <c r="DZ86" s="726">
        <f t="shared" si="587"/>
        <v>0</v>
      </c>
      <c r="EA86" s="722">
        <f t="shared" si="588"/>
        <v>209312.78969780216</v>
      </c>
      <c r="EB86" s="511">
        <f t="shared" si="589"/>
        <v>209312.78969780216</v>
      </c>
      <c r="EC86" s="511">
        <f t="shared" si="590"/>
        <v>209312.78969780216</v>
      </c>
      <c r="ED86" s="511">
        <f t="shared" si="591"/>
        <v>209312.78969780216</v>
      </c>
      <c r="EE86" s="511">
        <f t="shared" si="592"/>
        <v>209312.78969780216</v>
      </c>
      <c r="EF86" s="511">
        <f t="shared" si="593"/>
        <v>209312.78969780216</v>
      </c>
      <c r="EG86" s="723">
        <f t="shared" si="594"/>
        <v>209312.78969780216</v>
      </c>
      <c r="EH86" s="397">
        <f t="shared" si="595"/>
        <v>32.382372252747246</v>
      </c>
      <c r="EI86" s="397">
        <f t="shared" si="596"/>
        <v>32.382372252747246</v>
      </c>
      <c r="EJ86" s="397">
        <f t="shared" si="597"/>
        <v>32.382372252747246</v>
      </c>
      <c r="EK86" s="397">
        <f t="shared" si="598"/>
        <v>32.382372252747246</v>
      </c>
      <c r="EL86" s="397">
        <f t="shared" si="599"/>
        <v>32.382372252747246</v>
      </c>
      <c r="EM86" s="397">
        <f t="shared" si="600"/>
        <v>32.382372252747246</v>
      </c>
      <c r="EN86" s="398">
        <f t="shared" si="601"/>
        <v>32.382372252747246</v>
      </c>
      <c r="EO86" s="722">
        <f t="shared" si="602"/>
        <v>0</v>
      </c>
      <c r="EP86" s="511">
        <f t="shared" si="603"/>
        <v>0</v>
      </c>
      <c r="EQ86" s="511">
        <f t="shared" si="604"/>
        <v>0</v>
      </c>
      <c r="ER86" s="511">
        <f t="shared" si="605"/>
        <v>0</v>
      </c>
      <c r="ES86" s="511">
        <f t="shared" si="606"/>
        <v>0</v>
      </c>
      <c r="ET86" s="511">
        <f t="shared" si="607"/>
        <v>0</v>
      </c>
      <c r="EU86" s="723">
        <f t="shared" si="608"/>
        <v>0</v>
      </c>
      <c r="EV86" s="727">
        <f t="shared" si="609"/>
        <v>2063.25</v>
      </c>
      <c r="EW86" s="728">
        <f t="shared" si="610"/>
        <v>168498.75</v>
      </c>
      <c r="EX86" s="728">
        <f t="shared" si="611"/>
        <v>0</v>
      </c>
      <c r="EY86" s="728">
        <f t="shared" si="612"/>
        <v>48142.5</v>
      </c>
      <c r="EZ86" s="728">
        <f t="shared" si="613"/>
        <v>0</v>
      </c>
      <c r="FA86" s="777">
        <f t="shared" si="614"/>
        <v>1465189.5278846151</v>
      </c>
      <c r="FB86" s="777">
        <f t="shared" si="615"/>
        <v>226.67660576923072</v>
      </c>
      <c r="FC86" s="778">
        <f t="shared" si="616"/>
        <v>0</v>
      </c>
      <c r="FE86" s="10"/>
      <c r="FF86" s="10"/>
    </row>
    <row r="87" spans="1:162">
      <c r="A87" s="662" t="s">
        <v>209</v>
      </c>
      <c r="B87" s="789" t="s">
        <v>1379</v>
      </c>
      <c r="C87" s="789" t="str">
        <f t="shared" ref="C87:W87" si="729">C30</f>
        <v>Occupancy Sensor ($0.03 per Controlled Watt)</v>
      </c>
      <c r="D87" s="789" t="str">
        <f t="shared" si="729"/>
        <v xml:space="preserve">No Occupancy Sensor Controls </v>
      </c>
      <c r="E87" s="789" t="str">
        <f t="shared" si="729"/>
        <v>Per Watt Controlled</v>
      </c>
      <c r="F87" s="789" t="str">
        <f t="shared" si="729"/>
        <v>Per Controlled Watt</v>
      </c>
      <c r="G87" s="704" t="str">
        <f t="shared" si="729"/>
        <v>Full Cost</v>
      </c>
      <c r="H87" s="704">
        <f t="shared" si="729"/>
        <v>0.73908981456363465</v>
      </c>
      <c r="I87" s="704">
        <f t="shared" si="729"/>
        <v>0</v>
      </c>
      <c r="J87" s="704">
        <f t="shared" si="729"/>
        <v>0.73908981456363465</v>
      </c>
      <c r="K87" s="704">
        <f t="shared" si="729"/>
        <v>0</v>
      </c>
      <c r="L87" s="704">
        <f t="shared" si="729"/>
        <v>0.36954490728181733</v>
      </c>
      <c r="M87" s="707" t="str">
        <f t="shared" si="729"/>
        <v>Costs estimated from IL TRM v9: 4.5.10 Lighting Controls</v>
      </c>
      <c r="N87" s="704">
        <f t="shared" si="729"/>
        <v>0.03</v>
      </c>
      <c r="O87" s="704">
        <f t="shared" si="729"/>
        <v>0.03</v>
      </c>
      <c r="P87" s="704">
        <f t="shared" si="729"/>
        <v>0</v>
      </c>
      <c r="Q87" s="704">
        <f t="shared" si="729"/>
        <v>0</v>
      </c>
      <c r="R87" s="1021">
        <f t="shared" si="729"/>
        <v>1.1500286088095752</v>
      </c>
      <c r="S87" s="872">
        <f t="shared" si="729"/>
        <v>1.3076625366983857E-4</v>
      </c>
      <c r="T87" s="1022">
        <f t="shared" si="729"/>
        <v>0</v>
      </c>
      <c r="U87" s="711" t="str">
        <f t="shared" si="729"/>
        <v>LG&amp;E/KU Commercial Rebates Report - Appendix A</v>
      </c>
      <c r="V87" s="716">
        <f t="shared" si="729"/>
        <v>0</v>
      </c>
      <c r="W87" s="711">
        <f t="shared" si="729"/>
        <v>1</v>
      </c>
      <c r="X87" s="781">
        <f t="shared" ref="X87:AJ87" si="730">X30/2</f>
        <v>117320.5</v>
      </c>
      <c r="Y87" s="781">
        <f t="shared" si="730"/>
        <v>156123.5</v>
      </c>
      <c r="Z87" s="781">
        <f t="shared" si="730"/>
        <v>179199.5</v>
      </c>
      <c r="AA87" s="781">
        <f t="shared" si="730"/>
        <v>197432.57142857142</v>
      </c>
      <c r="AB87" s="781">
        <f t="shared" si="730"/>
        <v>188316.03571428571</v>
      </c>
      <c r="AC87" s="781">
        <f t="shared" si="730"/>
        <v>188316.03571428571</v>
      </c>
      <c r="AD87" s="781">
        <f t="shared" si="730"/>
        <v>188316.03571428571</v>
      </c>
      <c r="AE87" s="781">
        <f t="shared" si="730"/>
        <v>188316.03571428571</v>
      </c>
      <c r="AF87" s="781">
        <f t="shared" si="730"/>
        <v>188316.03571428571</v>
      </c>
      <c r="AG87" s="781">
        <f t="shared" si="730"/>
        <v>188316.03571428571</v>
      </c>
      <c r="AH87" s="781">
        <f t="shared" si="730"/>
        <v>188316.03571428571</v>
      </c>
      <c r="AI87" s="781">
        <f t="shared" si="730"/>
        <v>188316.03571428571</v>
      </c>
      <c r="AJ87" s="781">
        <f t="shared" si="730"/>
        <v>188316.03571428571</v>
      </c>
      <c r="AK87" s="711" t="str">
        <f t="shared" ref="AK87:BA87" si="731">AK30</f>
        <v>Electric</v>
      </c>
      <c r="AL87" s="711" t="str">
        <f t="shared" si="731"/>
        <v>Commercial</v>
      </c>
      <c r="AM87" s="711" t="str">
        <f t="shared" si="731"/>
        <v>Large Office</v>
      </c>
      <c r="AN87" s="711" t="str">
        <f t="shared" si="731"/>
        <v>Lighting</v>
      </c>
      <c r="AO87" s="711" t="str">
        <f t="shared" si="731"/>
        <v>Existing</v>
      </c>
      <c r="AP87" s="711">
        <f t="shared" si="731"/>
        <v>0</v>
      </c>
      <c r="AQ87" s="711">
        <f t="shared" si="731"/>
        <v>0</v>
      </c>
      <c r="AR87" s="711">
        <f t="shared" si="731"/>
        <v>0</v>
      </c>
      <c r="AS87" s="711" t="str">
        <f t="shared" si="731"/>
        <v>OFFLGInLight</v>
      </c>
      <c r="AT87" s="715" t="s">
        <v>745</v>
      </c>
      <c r="AU87" s="1065" t="s">
        <v>771</v>
      </c>
      <c r="AV87" s="711">
        <f t="shared" si="731"/>
        <v>8</v>
      </c>
      <c r="AW87" s="711">
        <f t="shared" si="731"/>
        <v>8</v>
      </c>
      <c r="AX87" s="711" t="s">
        <v>1487</v>
      </c>
      <c r="AY87" s="711">
        <f t="shared" si="731"/>
        <v>1</v>
      </c>
      <c r="AZ87" s="711">
        <f t="shared" si="731"/>
        <v>1</v>
      </c>
      <c r="BA87" s="1066">
        <f t="shared" si="731"/>
        <v>0</v>
      </c>
      <c r="BB87" s="721">
        <f t="shared" si="493"/>
        <v>0.73908981456363465</v>
      </c>
      <c r="BC87" s="499">
        <f t="shared" si="494"/>
        <v>0.73908981456363465</v>
      </c>
      <c r="BD87" s="499">
        <f t="shared" si="495"/>
        <v>0.73908981456363465</v>
      </c>
      <c r="BE87" s="499">
        <f t="shared" si="496"/>
        <v>0.73908981456363465</v>
      </c>
      <c r="BF87" s="499">
        <f t="shared" si="497"/>
        <v>0.73908981456363465</v>
      </c>
      <c r="BG87" s="499">
        <f t="shared" si="498"/>
        <v>0.73908981456363465</v>
      </c>
      <c r="BH87" s="499">
        <f t="shared" si="499"/>
        <v>0.73908981456363465</v>
      </c>
      <c r="BI87" s="721">
        <f t="shared" si="474"/>
        <v>0</v>
      </c>
      <c r="BJ87" s="499">
        <f t="shared" ref="BJ87:BM87" si="732">BI87</f>
        <v>0</v>
      </c>
      <c r="BK87" s="499">
        <f t="shared" si="732"/>
        <v>0</v>
      </c>
      <c r="BL87" s="499">
        <f t="shared" si="732"/>
        <v>0</v>
      </c>
      <c r="BM87" s="499">
        <f t="shared" si="732"/>
        <v>0</v>
      </c>
      <c r="BN87" s="499">
        <f t="shared" si="501"/>
        <v>0</v>
      </c>
      <c r="BO87" s="499">
        <f t="shared" si="502"/>
        <v>0</v>
      </c>
      <c r="BP87" s="721">
        <f t="shared" si="476"/>
        <v>0.03</v>
      </c>
      <c r="BQ87" s="499">
        <f t="shared" si="477"/>
        <v>0.03</v>
      </c>
      <c r="BR87" s="499">
        <f t="shared" si="503"/>
        <v>0.03</v>
      </c>
      <c r="BS87" s="499">
        <f t="shared" si="504"/>
        <v>0.03</v>
      </c>
      <c r="BT87" s="499">
        <f t="shared" si="505"/>
        <v>0.03</v>
      </c>
      <c r="BU87" s="499">
        <f t="shared" si="506"/>
        <v>0.03</v>
      </c>
      <c r="BV87" s="499">
        <f t="shared" si="507"/>
        <v>0.03</v>
      </c>
      <c r="BW87" s="774">
        <f t="shared" si="508"/>
        <v>0</v>
      </c>
      <c r="BX87" s="503">
        <f t="shared" si="508"/>
        <v>0</v>
      </c>
      <c r="BY87" s="503">
        <f t="shared" si="508"/>
        <v>0</v>
      </c>
      <c r="BZ87" s="503">
        <f t="shared" si="508"/>
        <v>0</v>
      </c>
      <c r="CA87" s="503">
        <f t="shared" si="508"/>
        <v>0</v>
      </c>
      <c r="CB87" s="503">
        <f t="shared" si="508"/>
        <v>0</v>
      </c>
      <c r="CC87" s="503">
        <f t="shared" si="508"/>
        <v>0</v>
      </c>
      <c r="CD87" s="722">
        <f t="shared" si="484"/>
        <v>1.1500286088095752</v>
      </c>
      <c r="CE87" s="511">
        <f t="shared" ref="CE87:CH87" si="733">CD87</f>
        <v>1.1500286088095752</v>
      </c>
      <c r="CF87" s="511">
        <f t="shared" si="733"/>
        <v>1.1500286088095752</v>
      </c>
      <c r="CG87" s="511">
        <f t="shared" si="733"/>
        <v>1.1500286088095752</v>
      </c>
      <c r="CH87" s="511">
        <f t="shared" si="733"/>
        <v>1.1500286088095752</v>
      </c>
      <c r="CI87" s="511">
        <f t="shared" si="510"/>
        <v>1.1500286088095752</v>
      </c>
      <c r="CJ87" s="511">
        <f t="shared" si="511"/>
        <v>1.1500286088095752</v>
      </c>
      <c r="CK87" s="722">
        <f t="shared" si="486"/>
        <v>1.3076625366983857E-4</v>
      </c>
      <c r="CL87" s="511">
        <f t="shared" ref="CL87:CO87" si="734">CK87</f>
        <v>1.3076625366983857E-4</v>
      </c>
      <c r="CM87" s="511">
        <f t="shared" si="734"/>
        <v>1.3076625366983857E-4</v>
      </c>
      <c r="CN87" s="511">
        <f t="shared" si="734"/>
        <v>1.3076625366983857E-4</v>
      </c>
      <c r="CO87" s="511">
        <f t="shared" si="734"/>
        <v>1.3076625366983857E-4</v>
      </c>
      <c r="CP87" s="511">
        <f t="shared" si="513"/>
        <v>1.3076625366983857E-4</v>
      </c>
      <c r="CQ87" s="511">
        <f t="shared" si="514"/>
        <v>1.3076625366983857E-4</v>
      </c>
      <c r="CR87" s="722">
        <f t="shared" si="488"/>
        <v>0</v>
      </c>
      <c r="CS87" s="511">
        <f t="shared" ref="CS87:CV87" si="735">CR87</f>
        <v>0</v>
      </c>
      <c r="CT87" s="511">
        <f t="shared" si="735"/>
        <v>0</v>
      </c>
      <c r="CU87" s="511">
        <f t="shared" si="735"/>
        <v>0</v>
      </c>
      <c r="CV87" s="511">
        <f t="shared" si="735"/>
        <v>0</v>
      </c>
      <c r="CW87" s="511">
        <f t="shared" si="516"/>
        <v>0</v>
      </c>
      <c r="CX87" s="539">
        <f t="shared" si="517"/>
        <v>0</v>
      </c>
      <c r="CY87" s="724">
        <f t="shared" si="560"/>
        <v>139182.46391543021</v>
      </c>
      <c r="CZ87" s="508">
        <f t="shared" si="561"/>
        <v>139182.46391543021</v>
      </c>
      <c r="DA87" s="508">
        <f t="shared" si="562"/>
        <v>139182.46391543021</v>
      </c>
      <c r="DB87" s="508">
        <f t="shared" si="563"/>
        <v>139182.46391543021</v>
      </c>
      <c r="DC87" s="508">
        <f t="shared" si="564"/>
        <v>139182.46391543021</v>
      </c>
      <c r="DD87" s="508">
        <f t="shared" si="565"/>
        <v>139182.46391543021</v>
      </c>
      <c r="DE87" s="726">
        <f t="shared" si="566"/>
        <v>139182.46391543021</v>
      </c>
      <c r="DF87" s="724">
        <f t="shared" si="567"/>
        <v>0</v>
      </c>
      <c r="DG87" s="509">
        <f t="shared" si="568"/>
        <v>0</v>
      </c>
      <c r="DH87" s="509">
        <f t="shared" si="569"/>
        <v>0</v>
      </c>
      <c r="DI87" s="509">
        <f t="shared" si="570"/>
        <v>0</v>
      </c>
      <c r="DJ87" s="509">
        <f t="shared" si="571"/>
        <v>0</v>
      </c>
      <c r="DK87" s="509">
        <f t="shared" si="572"/>
        <v>0</v>
      </c>
      <c r="DL87" s="451">
        <f t="shared" si="573"/>
        <v>0</v>
      </c>
      <c r="DM87" s="509">
        <f t="shared" si="574"/>
        <v>5649.4810714285713</v>
      </c>
      <c r="DN87" s="509">
        <f t="shared" si="575"/>
        <v>5649.4810714285713</v>
      </c>
      <c r="DO87" s="509">
        <f t="shared" si="576"/>
        <v>5649.4810714285713</v>
      </c>
      <c r="DP87" s="509">
        <f t="shared" si="577"/>
        <v>5649.4810714285713</v>
      </c>
      <c r="DQ87" s="509">
        <f t="shared" si="578"/>
        <v>5649.4810714285713</v>
      </c>
      <c r="DR87" s="509">
        <f t="shared" si="579"/>
        <v>5649.4810714285713</v>
      </c>
      <c r="DS87" s="450">
        <f t="shared" si="580"/>
        <v>5649.4810714285713</v>
      </c>
      <c r="DT87" s="724">
        <f t="shared" si="581"/>
        <v>0</v>
      </c>
      <c r="DU87" s="508">
        <f t="shared" si="582"/>
        <v>0</v>
      </c>
      <c r="DV87" s="508">
        <f t="shared" si="583"/>
        <v>0</v>
      </c>
      <c r="DW87" s="508">
        <f t="shared" si="584"/>
        <v>0</v>
      </c>
      <c r="DX87" s="508">
        <f t="shared" si="585"/>
        <v>0</v>
      </c>
      <c r="DY87" s="508">
        <f t="shared" si="586"/>
        <v>0</v>
      </c>
      <c r="DZ87" s="726">
        <f t="shared" si="587"/>
        <v>0</v>
      </c>
      <c r="EA87" s="722">
        <f t="shared" si="588"/>
        <v>216568.82856903429</v>
      </c>
      <c r="EB87" s="511">
        <f t="shared" si="589"/>
        <v>216568.82856903429</v>
      </c>
      <c r="EC87" s="511">
        <f t="shared" si="590"/>
        <v>216568.82856903429</v>
      </c>
      <c r="ED87" s="511">
        <f t="shared" si="591"/>
        <v>216568.82856903429</v>
      </c>
      <c r="EE87" s="511">
        <f t="shared" si="592"/>
        <v>216568.82856903429</v>
      </c>
      <c r="EF87" s="511">
        <f t="shared" si="593"/>
        <v>216568.82856903429</v>
      </c>
      <c r="EG87" s="723">
        <f t="shared" si="594"/>
        <v>216568.82856903429</v>
      </c>
      <c r="EH87" s="397">
        <f t="shared" si="595"/>
        <v>24.625382496312664</v>
      </c>
      <c r="EI87" s="397">
        <f t="shared" si="596"/>
        <v>24.625382496312664</v>
      </c>
      <c r="EJ87" s="397">
        <f t="shared" si="597"/>
        <v>24.625382496312664</v>
      </c>
      <c r="EK87" s="397">
        <f t="shared" si="598"/>
        <v>24.625382496312664</v>
      </c>
      <c r="EL87" s="397">
        <f t="shared" si="599"/>
        <v>24.625382496312664</v>
      </c>
      <c r="EM87" s="397">
        <f t="shared" si="600"/>
        <v>24.625382496312664</v>
      </c>
      <c r="EN87" s="398">
        <f t="shared" si="601"/>
        <v>24.625382496312664</v>
      </c>
      <c r="EO87" s="722">
        <f t="shared" si="602"/>
        <v>0</v>
      </c>
      <c r="EP87" s="511">
        <f t="shared" si="603"/>
        <v>0</v>
      </c>
      <c r="EQ87" s="511">
        <f t="shared" si="604"/>
        <v>0</v>
      </c>
      <c r="ER87" s="511">
        <f t="shared" si="605"/>
        <v>0</v>
      </c>
      <c r="ES87" s="511">
        <f t="shared" si="606"/>
        <v>0</v>
      </c>
      <c r="ET87" s="511">
        <f t="shared" si="607"/>
        <v>0</v>
      </c>
      <c r="EU87" s="723">
        <f t="shared" si="608"/>
        <v>0</v>
      </c>
      <c r="EV87" s="727">
        <f t="shared" si="609"/>
        <v>564948.10714285716</v>
      </c>
      <c r="EW87" s="728">
        <f t="shared" si="610"/>
        <v>974277.24740801158</v>
      </c>
      <c r="EX87" s="728">
        <f t="shared" si="611"/>
        <v>0</v>
      </c>
      <c r="EY87" s="728">
        <f t="shared" si="612"/>
        <v>39546.3675</v>
      </c>
      <c r="EZ87" s="728">
        <f t="shared" si="613"/>
        <v>0</v>
      </c>
      <c r="FA87" s="777">
        <f t="shared" si="614"/>
        <v>1515981.7999832402</v>
      </c>
      <c r="FB87" s="777">
        <f t="shared" si="615"/>
        <v>172.37767747418863</v>
      </c>
      <c r="FC87" s="778">
        <f t="shared" si="616"/>
        <v>0</v>
      </c>
      <c r="FE87" s="10"/>
      <c r="FF87" s="10"/>
    </row>
    <row r="88" spans="1:162">
      <c r="A88" s="662" t="s">
        <v>210</v>
      </c>
      <c r="B88" s="789" t="s">
        <v>1380</v>
      </c>
      <c r="C88" s="789" t="str">
        <f t="shared" ref="C88:W88" si="736">C31</f>
        <v>Daylight Dimming-Continuous Fixtures ($0.03 per Controlled Watt)</v>
      </c>
      <c r="D88" s="789" t="str">
        <f t="shared" si="736"/>
        <v xml:space="preserve">No Daylight Controls </v>
      </c>
      <c r="E88" s="789" t="str">
        <f t="shared" si="736"/>
        <v>Per Watt Controlled</v>
      </c>
      <c r="F88" s="789" t="str">
        <f t="shared" si="736"/>
        <v>Per Controlled Watt</v>
      </c>
      <c r="G88" s="704" t="str">
        <f t="shared" si="736"/>
        <v>Full Cost</v>
      </c>
      <c r="H88" s="704">
        <f t="shared" si="736"/>
        <v>0.39914115833516844</v>
      </c>
      <c r="I88" s="704">
        <f t="shared" si="736"/>
        <v>0</v>
      </c>
      <c r="J88" s="704">
        <f t="shared" si="736"/>
        <v>0.39914115833516844</v>
      </c>
      <c r="K88" s="704">
        <f t="shared" si="736"/>
        <v>0</v>
      </c>
      <c r="L88" s="704">
        <f t="shared" si="736"/>
        <v>0.19957057916758422</v>
      </c>
      <c r="M88" s="707" t="str">
        <f t="shared" si="736"/>
        <v>Costs estimated from IL TRM v9: 4.5.10 Lighting Controls</v>
      </c>
      <c r="N88" s="704">
        <f t="shared" si="736"/>
        <v>0.03</v>
      </c>
      <c r="O88" s="704">
        <f t="shared" si="736"/>
        <v>0.03</v>
      </c>
      <c r="P88" s="704">
        <f t="shared" si="736"/>
        <v>0</v>
      </c>
      <c r="Q88" s="704">
        <f t="shared" si="736"/>
        <v>0</v>
      </c>
      <c r="R88" s="1021">
        <f t="shared" si="736"/>
        <v>1.0571904000000001</v>
      </c>
      <c r="S88" s="872">
        <f t="shared" si="736"/>
        <v>6.6300000000000007E-4</v>
      </c>
      <c r="T88" s="1022">
        <f t="shared" si="736"/>
        <v>-1.46832E-2</v>
      </c>
      <c r="U88" s="711" t="str">
        <f t="shared" si="736"/>
        <v>Per Watt savings estimate from IL TRM v10.0 "4.5.10 Lighting Controls" - use-specific input assumptions are for "unknown" building type</v>
      </c>
      <c r="V88" s="716">
        <f t="shared" si="736"/>
        <v>0</v>
      </c>
      <c r="W88" s="711">
        <f t="shared" si="736"/>
        <v>6309</v>
      </c>
      <c r="X88" s="781">
        <f t="shared" ref="X88:AJ88" si="737">X31/2</f>
        <v>0</v>
      </c>
      <c r="Y88" s="781">
        <f t="shared" si="737"/>
        <v>0</v>
      </c>
      <c r="Z88" s="781">
        <f t="shared" si="737"/>
        <v>0</v>
      </c>
      <c r="AA88" s="781">
        <f t="shared" si="737"/>
        <v>0</v>
      </c>
      <c r="AB88" s="781">
        <f t="shared" si="737"/>
        <v>0</v>
      </c>
      <c r="AC88" s="781">
        <f t="shared" si="737"/>
        <v>0</v>
      </c>
      <c r="AD88" s="781">
        <f t="shared" si="737"/>
        <v>0</v>
      </c>
      <c r="AE88" s="781">
        <f t="shared" si="737"/>
        <v>0.5</v>
      </c>
      <c r="AF88" s="781">
        <f t="shared" si="737"/>
        <v>0</v>
      </c>
      <c r="AG88" s="781">
        <f t="shared" si="737"/>
        <v>0</v>
      </c>
      <c r="AH88" s="781">
        <f t="shared" si="737"/>
        <v>0.5</v>
      </c>
      <c r="AI88" s="781">
        <f t="shared" si="737"/>
        <v>0</v>
      </c>
      <c r="AJ88" s="781">
        <f t="shared" si="737"/>
        <v>0</v>
      </c>
      <c r="AK88" s="711" t="str">
        <f t="shared" ref="AK88:BA88" si="738">AK31</f>
        <v>Electric</v>
      </c>
      <c r="AL88" s="711" t="str">
        <f t="shared" si="738"/>
        <v>Commercial</v>
      </c>
      <c r="AM88" s="711" t="str">
        <f t="shared" si="738"/>
        <v>Large Office</v>
      </c>
      <c r="AN88" s="711" t="str">
        <f t="shared" si="738"/>
        <v>Lighting</v>
      </c>
      <c r="AO88" s="711" t="str">
        <f t="shared" si="738"/>
        <v>Existing</v>
      </c>
      <c r="AP88" s="711">
        <f t="shared" si="738"/>
        <v>0</v>
      </c>
      <c r="AQ88" s="711">
        <f t="shared" si="738"/>
        <v>0</v>
      </c>
      <c r="AR88" s="711">
        <f t="shared" si="738"/>
        <v>0</v>
      </c>
      <c r="AS88" s="711" t="str">
        <f t="shared" si="738"/>
        <v>OFFLGInLight</v>
      </c>
      <c r="AT88" s="715" t="s">
        <v>745</v>
      </c>
      <c r="AU88" s="1065" t="s">
        <v>771</v>
      </c>
      <c r="AV88" s="711">
        <f t="shared" si="738"/>
        <v>8</v>
      </c>
      <c r="AW88" s="711">
        <f t="shared" si="738"/>
        <v>8</v>
      </c>
      <c r="AX88" s="711" t="s">
        <v>2717</v>
      </c>
      <c r="AY88" s="711">
        <f t="shared" si="738"/>
        <v>1</v>
      </c>
      <c r="AZ88" s="711">
        <f t="shared" si="738"/>
        <v>1</v>
      </c>
      <c r="BA88" s="1066">
        <f t="shared" si="738"/>
        <v>0</v>
      </c>
      <c r="BB88" s="721">
        <f t="shared" si="493"/>
        <v>0.39914115833516844</v>
      </c>
      <c r="BC88" s="499">
        <f t="shared" si="494"/>
        <v>0.39914115833516844</v>
      </c>
      <c r="BD88" s="499">
        <f t="shared" si="495"/>
        <v>0.39914115833516844</v>
      </c>
      <c r="BE88" s="499">
        <f t="shared" si="496"/>
        <v>0.39914115833516844</v>
      </c>
      <c r="BF88" s="499">
        <f t="shared" si="497"/>
        <v>0.39914115833516844</v>
      </c>
      <c r="BG88" s="499">
        <f t="shared" si="498"/>
        <v>0.39914115833516844</v>
      </c>
      <c r="BH88" s="499">
        <f t="shared" si="499"/>
        <v>0.39914115833516844</v>
      </c>
      <c r="BI88" s="721">
        <f t="shared" si="474"/>
        <v>0</v>
      </c>
      <c r="BJ88" s="499">
        <f t="shared" ref="BJ88:BM88" si="739">BI88</f>
        <v>0</v>
      </c>
      <c r="BK88" s="499">
        <f t="shared" si="739"/>
        <v>0</v>
      </c>
      <c r="BL88" s="499">
        <f t="shared" si="739"/>
        <v>0</v>
      </c>
      <c r="BM88" s="499">
        <f t="shared" si="739"/>
        <v>0</v>
      </c>
      <c r="BN88" s="499">
        <f t="shared" si="501"/>
        <v>0</v>
      </c>
      <c r="BO88" s="499">
        <f t="shared" si="502"/>
        <v>0</v>
      </c>
      <c r="BP88" s="721">
        <f t="shared" si="476"/>
        <v>0.03</v>
      </c>
      <c r="BQ88" s="499">
        <f t="shared" si="477"/>
        <v>0.03</v>
      </c>
      <c r="BR88" s="499">
        <f t="shared" si="503"/>
        <v>0.03</v>
      </c>
      <c r="BS88" s="499">
        <f t="shared" si="504"/>
        <v>0.03</v>
      </c>
      <c r="BT88" s="499">
        <f t="shared" si="505"/>
        <v>0.03</v>
      </c>
      <c r="BU88" s="499">
        <f t="shared" si="506"/>
        <v>0.03</v>
      </c>
      <c r="BV88" s="499">
        <f t="shared" si="507"/>
        <v>0.03</v>
      </c>
      <c r="BW88" s="774">
        <f t="shared" si="508"/>
        <v>0</v>
      </c>
      <c r="BX88" s="503">
        <f t="shared" si="508"/>
        <v>0</v>
      </c>
      <c r="BY88" s="503">
        <f t="shared" si="508"/>
        <v>0</v>
      </c>
      <c r="BZ88" s="503">
        <f t="shared" si="508"/>
        <v>0</v>
      </c>
      <c r="CA88" s="503">
        <f t="shared" si="508"/>
        <v>0</v>
      </c>
      <c r="CB88" s="503">
        <f t="shared" si="508"/>
        <v>0</v>
      </c>
      <c r="CC88" s="503">
        <f t="shared" si="508"/>
        <v>0</v>
      </c>
      <c r="CD88" s="722">
        <f t="shared" si="484"/>
        <v>1.0571904000000001</v>
      </c>
      <c r="CE88" s="511">
        <f t="shared" ref="CE88:CH88" si="740">CD88</f>
        <v>1.0571904000000001</v>
      </c>
      <c r="CF88" s="511">
        <f t="shared" si="740"/>
        <v>1.0571904000000001</v>
      </c>
      <c r="CG88" s="511">
        <f t="shared" si="740"/>
        <v>1.0571904000000001</v>
      </c>
      <c r="CH88" s="511">
        <f t="shared" si="740"/>
        <v>1.0571904000000001</v>
      </c>
      <c r="CI88" s="511">
        <f t="shared" si="510"/>
        <v>1.0571904000000001</v>
      </c>
      <c r="CJ88" s="511">
        <f t="shared" si="511"/>
        <v>1.0571904000000001</v>
      </c>
      <c r="CK88" s="722">
        <f t="shared" si="486"/>
        <v>6.6300000000000007E-4</v>
      </c>
      <c r="CL88" s="511">
        <f t="shared" ref="CL88:CO88" si="741">CK88</f>
        <v>6.6300000000000007E-4</v>
      </c>
      <c r="CM88" s="511">
        <f t="shared" si="741"/>
        <v>6.6300000000000007E-4</v>
      </c>
      <c r="CN88" s="511">
        <f t="shared" si="741"/>
        <v>6.6300000000000007E-4</v>
      </c>
      <c r="CO88" s="511">
        <f t="shared" si="741"/>
        <v>6.6300000000000007E-4</v>
      </c>
      <c r="CP88" s="511">
        <f t="shared" si="513"/>
        <v>6.6300000000000007E-4</v>
      </c>
      <c r="CQ88" s="511">
        <f t="shared" si="514"/>
        <v>6.6300000000000007E-4</v>
      </c>
      <c r="CR88" s="722">
        <f t="shared" si="488"/>
        <v>0</v>
      </c>
      <c r="CS88" s="511">
        <f t="shared" ref="CS88:CV88" si="742">CR88</f>
        <v>0</v>
      </c>
      <c r="CT88" s="511">
        <f t="shared" si="742"/>
        <v>0</v>
      </c>
      <c r="CU88" s="511">
        <f t="shared" si="742"/>
        <v>0</v>
      </c>
      <c r="CV88" s="511">
        <f t="shared" si="742"/>
        <v>0</v>
      </c>
      <c r="CW88" s="511">
        <f t="shared" si="516"/>
        <v>0</v>
      </c>
      <c r="CX88" s="539">
        <f t="shared" si="517"/>
        <v>0</v>
      </c>
      <c r="CY88" s="724">
        <f t="shared" si="560"/>
        <v>0</v>
      </c>
      <c r="CZ88" s="508">
        <f t="shared" si="561"/>
        <v>1259.0907839682889</v>
      </c>
      <c r="DA88" s="508">
        <f t="shared" si="562"/>
        <v>0</v>
      </c>
      <c r="DB88" s="508">
        <f t="shared" si="563"/>
        <v>0</v>
      </c>
      <c r="DC88" s="508">
        <f t="shared" si="564"/>
        <v>1259.0907839682889</v>
      </c>
      <c r="DD88" s="508">
        <f t="shared" si="565"/>
        <v>0</v>
      </c>
      <c r="DE88" s="726">
        <f t="shared" si="566"/>
        <v>0</v>
      </c>
      <c r="DF88" s="724">
        <f t="shared" si="567"/>
        <v>0</v>
      </c>
      <c r="DG88" s="509">
        <f t="shared" si="568"/>
        <v>0</v>
      </c>
      <c r="DH88" s="509">
        <f t="shared" si="569"/>
        <v>0</v>
      </c>
      <c r="DI88" s="509">
        <f t="shared" si="570"/>
        <v>0</v>
      </c>
      <c r="DJ88" s="509">
        <f t="shared" si="571"/>
        <v>0</v>
      </c>
      <c r="DK88" s="509">
        <f t="shared" si="572"/>
        <v>0</v>
      </c>
      <c r="DL88" s="451">
        <f t="shared" si="573"/>
        <v>0</v>
      </c>
      <c r="DM88" s="509">
        <f t="shared" si="574"/>
        <v>0</v>
      </c>
      <c r="DN88" s="509">
        <f t="shared" si="575"/>
        <v>94.634999999999991</v>
      </c>
      <c r="DO88" s="509">
        <f t="shared" si="576"/>
        <v>0</v>
      </c>
      <c r="DP88" s="509">
        <f t="shared" si="577"/>
        <v>0</v>
      </c>
      <c r="DQ88" s="509">
        <f t="shared" si="578"/>
        <v>94.634999999999991</v>
      </c>
      <c r="DR88" s="509">
        <f t="shared" si="579"/>
        <v>0</v>
      </c>
      <c r="DS88" s="450">
        <f t="shared" si="580"/>
        <v>0</v>
      </c>
      <c r="DT88" s="724">
        <f t="shared" si="581"/>
        <v>0</v>
      </c>
      <c r="DU88" s="508">
        <f t="shared" si="582"/>
        <v>0</v>
      </c>
      <c r="DV88" s="508">
        <f t="shared" si="583"/>
        <v>0</v>
      </c>
      <c r="DW88" s="508">
        <f t="shared" si="584"/>
        <v>0</v>
      </c>
      <c r="DX88" s="508">
        <f t="shared" si="585"/>
        <v>0</v>
      </c>
      <c r="DY88" s="508">
        <f t="shared" si="586"/>
        <v>0</v>
      </c>
      <c r="DZ88" s="726">
        <f t="shared" si="587"/>
        <v>0</v>
      </c>
      <c r="EA88" s="722">
        <f t="shared" si="588"/>
        <v>0</v>
      </c>
      <c r="EB88" s="511">
        <f t="shared" si="589"/>
        <v>3334.9071168000005</v>
      </c>
      <c r="EC88" s="511">
        <f t="shared" si="590"/>
        <v>0</v>
      </c>
      <c r="ED88" s="511">
        <f t="shared" si="591"/>
        <v>0</v>
      </c>
      <c r="EE88" s="511">
        <f t="shared" si="592"/>
        <v>3334.9071168000005</v>
      </c>
      <c r="EF88" s="511">
        <f t="shared" si="593"/>
        <v>0</v>
      </c>
      <c r="EG88" s="723">
        <f t="shared" si="594"/>
        <v>0</v>
      </c>
      <c r="EH88" s="397">
        <f t="shared" si="595"/>
        <v>0</v>
      </c>
      <c r="EI88" s="397">
        <f t="shared" si="596"/>
        <v>2.0914335000000004</v>
      </c>
      <c r="EJ88" s="397">
        <f t="shared" si="597"/>
        <v>0</v>
      </c>
      <c r="EK88" s="397">
        <f t="shared" si="598"/>
        <v>0</v>
      </c>
      <c r="EL88" s="397">
        <f t="shared" si="599"/>
        <v>2.0914335000000004</v>
      </c>
      <c r="EM88" s="397">
        <f t="shared" si="600"/>
        <v>0</v>
      </c>
      <c r="EN88" s="398">
        <f t="shared" si="601"/>
        <v>0</v>
      </c>
      <c r="EO88" s="722">
        <f t="shared" si="602"/>
        <v>0</v>
      </c>
      <c r="EP88" s="511">
        <f t="shared" si="603"/>
        <v>0</v>
      </c>
      <c r="EQ88" s="511">
        <f t="shared" si="604"/>
        <v>0</v>
      </c>
      <c r="ER88" s="511">
        <f t="shared" si="605"/>
        <v>0</v>
      </c>
      <c r="ES88" s="511">
        <f t="shared" si="606"/>
        <v>0</v>
      </c>
      <c r="ET88" s="511">
        <f t="shared" si="607"/>
        <v>0</v>
      </c>
      <c r="EU88" s="723">
        <f t="shared" si="608"/>
        <v>0</v>
      </c>
      <c r="EV88" s="727">
        <f t="shared" si="609"/>
        <v>0.5</v>
      </c>
      <c r="EW88" s="728">
        <f t="shared" si="610"/>
        <v>2518.1815679365777</v>
      </c>
      <c r="EX88" s="728">
        <f t="shared" si="611"/>
        <v>0</v>
      </c>
      <c r="EY88" s="728">
        <f t="shared" si="612"/>
        <v>189.26999999999998</v>
      </c>
      <c r="EZ88" s="728">
        <f t="shared" si="613"/>
        <v>0</v>
      </c>
      <c r="FA88" s="777">
        <f t="shared" si="614"/>
        <v>6669.814233600001</v>
      </c>
      <c r="FB88" s="777">
        <f t="shared" si="615"/>
        <v>4.1828670000000008</v>
      </c>
      <c r="FC88" s="778">
        <f t="shared" si="616"/>
        <v>0</v>
      </c>
      <c r="FE88" s="10"/>
      <c r="FF88" s="10"/>
    </row>
    <row r="89" spans="1:162">
      <c r="A89" s="662" t="s">
        <v>211</v>
      </c>
      <c r="B89" s="789" t="s">
        <v>1381</v>
      </c>
      <c r="C89" s="789" t="str">
        <f t="shared" ref="C89:W89" si="743">C32</f>
        <v>Occupancy/Daylight Dual Control ($0.03 per Controlled Watt)</v>
      </c>
      <c r="D89" s="789" t="str">
        <f t="shared" si="743"/>
        <v>No Lighting Controls</v>
      </c>
      <c r="E89" s="789" t="str">
        <f t="shared" si="743"/>
        <v>n/a</v>
      </c>
      <c r="F89" s="789" t="str">
        <f t="shared" si="743"/>
        <v>Per Controlled Watt</v>
      </c>
      <c r="G89" s="704" t="str">
        <f t="shared" si="743"/>
        <v>Full Cost</v>
      </c>
      <c r="H89" s="704">
        <f t="shared" si="743"/>
        <v>1.5274740295243303</v>
      </c>
      <c r="I89" s="704">
        <f t="shared" si="743"/>
        <v>0</v>
      </c>
      <c r="J89" s="704">
        <f t="shared" si="743"/>
        <v>1.5274740295243303</v>
      </c>
      <c r="K89" s="704">
        <f t="shared" si="743"/>
        <v>0</v>
      </c>
      <c r="L89" s="704">
        <f t="shared" si="743"/>
        <v>0.76373701476216516</v>
      </c>
      <c r="M89" s="707" t="str">
        <f t="shared" si="743"/>
        <v>Costs estimated from IL TRM v9: 4.5.10 Lighting Controls</v>
      </c>
      <c r="N89" s="704">
        <f t="shared" si="743"/>
        <v>0.03</v>
      </c>
      <c r="O89" s="704">
        <f t="shared" si="743"/>
        <v>0.03</v>
      </c>
      <c r="P89" s="704">
        <f t="shared" si="743"/>
        <v>0</v>
      </c>
      <c r="Q89" s="704">
        <f t="shared" si="743"/>
        <v>0</v>
      </c>
      <c r="R89" s="1021">
        <f t="shared" si="743"/>
        <v>1.4347584000000002</v>
      </c>
      <c r="S89" s="872">
        <f t="shared" si="743"/>
        <v>6.6300000000000007E-4</v>
      </c>
      <c r="T89" s="1022">
        <f t="shared" si="743"/>
        <v>-1.9927200000000003E-2</v>
      </c>
      <c r="U89" s="711" t="str">
        <f t="shared" si="743"/>
        <v>Per Watt savings estimate from IL TRM v10.0 "4.5.10 Lighting Controls" - use-specific input assumptions are for "unknown" building type</v>
      </c>
      <c r="V89" s="716">
        <f t="shared" si="743"/>
        <v>0</v>
      </c>
      <c r="W89" s="711">
        <f t="shared" si="743"/>
        <v>6309</v>
      </c>
      <c r="X89" s="781">
        <f t="shared" ref="X89:AJ89" si="744">X32/2</f>
        <v>0</v>
      </c>
      <c r="Y89" s="781">
        <f t="shared" si="744"/>
        <v>0</v>
      </c>
      <c r="Z89" s="781">
        <f t="shared" si="744"/>
        <v>0</v>
      </c>
      <c r="AA89" s="781">
        <f t="shared" si="744"/>
        <v>0</v>
      </c>
      <c r="AB89" s="781">
        <f t="shared" si="744"/>
        <v>0</v>
      </c>
      <c r="AC89" s="781">
        <f t="shared" si="744"/>
        <v>0.5</v>
      </c>
      <c r="AD89" s="781">
        <f t="shared" si="744"/>
        <v>0</v>
      </c>
      <c r="AE89" s="781">
        <f t="shared" si="744"/>
        <v>0</v>
      </c>
      <c r="AF89" s="781">
        <f t="shared" si="744"/>
        <v>0.5</v>
      </c>
      <c r="AG89" s="781">
        <f t="shared" si="744"/>
        <v>0</v>
      </c>
      <c r="AH89" s="781">
        <f t="shared" si="744"/>
        <v>0</v>
      </c>
      <c r="AI89" s="781">
        <f t="shared" si="744"/>
        <v>0.5</v>
      </c>
      <c r="AJ89" s="781">
        <f t="shared" si="744"/>
        <v>0</v>
      </c>
      <c r="AK89" s="711" t="str">
        <f t="shared" ref="AK89:BA89" si="745">AK32</f>
        <v>Electric</v>
      </c>
      <c r="AL89" s="711" t="str">
        <f t="shared" si="745"/>
        <v>Commercial</v>
      </c>
      <c r="AM89" s="711" t="str">
        <f t="shared" si="745"/>
        <v>Large Office</v>
      </c>
      <c r="AN89" s="711" t="str">
        <f t="shared" si="745"/>
        <v>Lighting</v>
      </c>
      <c r="AO89" s="711" t="str">
        <f t="shared" si="745"/>
        <v>Existing</v>
      </c>
      <c r="AP89" s="711">
        <f t="shared" si="745"/>
        <v>0</v>
      </c>
      <c r="AQ89" s="711">
        <f t="shared" si="745"/>
        <v>0</v>
      </c>
      <c r="AR89" s="711">
        <f t="shared" si="745"/>
        <v>0</v>
      </c>
      <c r="AS89" s="711" t="str">
        <f t="shared" si="745"/>
        <v>OFFLGInLight</v>
      </c>
      <c r="AT89" s="715" t="s">
        <v>745</v>
      </c>
      <c r="AU89" s="1065" t="s">
        <v>771</v>
      </c>
      <c r="AV89" s="711">
        <f t="shared" si="745"/>
        <v>8</v>
      </c>
      <c r="AW89" s="711">
        <f t="shared" si="745"/>
        <v>8</v>
      </c>
      <c r="AX89" s="711" t="s">
        <v>2717</v>
      </c>
      <c r="AY89" s="711">
        <f t="shared" si="745"/>
        <v>1</v>
      </c>
      <c r="AZ89" s="711">
        <f t="shared" si="745"/>
        <v>1</v>
      </c>
      <c r="BA89" s="1066">
        <f t="shared" si="745"/>
        <v>0</v>
      </c>
      <c r="BB89" s="721">
        <f t="shared" si="493"/>
        <v>1.5274740295243303</v>
      </c>
      <c r="BC89" s="499">
        <f t="shared" si="494"/>
        <v>1.5274740295243303</v>
      </c>
      <c r="BD89" s="499">
        <f t="shared" si="495"/>
        <v>1.5274740295243303</v>
      </c>
      <c r="BE89" s="499">
        <f t="shared" si="496"/>
        <v>1.5274740295243303</v>
      </c>
      <c r="BF89" s="499">
        <f t="shared" si="497"/>
        <v>1.5274740295243303</v>
      </c>
      <c r="BG89" s="499">
        <f t="shared" si="498"/>
        <v>1.5274740295243303</v>
      </c>
      <c r="BH89" s="499">
        <f t="shared" si="499"/>
        <v>1.5274740295243303</v>
      </c>
      <c r="BI89" s="721">
        <f t="shared" si="474"/>
        <v>0</v>
      </c>
      <c r="BJ89" s="499">
        <f t="shared" ref="BJ89:BM89" si="746">BI89</f>
        <v>0</v>
      </c>
      <c r="BK89" s="499">
        <f t="shared" si="746"/>
        <v>0</v>
      </c>
      <c r="BL89" s="499">
        <f t="shared" si="746"/>
        <v>0</v>
      </c>
      <c r="BM89" s="499">
        <f t="shared" si="746"/>
        <v>0</v>
      </c>
      <c r="BN89" s="499">
        <f t="shared" si="501"/>
        <v>0</v>
      </c>
      <c r="BO89" s="499">
        <f t="shared" si="502"/>
        <v>0</v>
      </c>
      <c r="BP89" s="721">
        <f t="shared" si="476"/>
        <v>0.03</v>
      </c>
      <c r="BQ89" s="499">
        <f t="shared" si="477"/>
        <v>0.03</v>
      </c>
      <c r="BR89" s="499">
        <f t="shared" si="503"/>
        <v>0.03</v>
      </c>
      <c r="BS89" s="499">
        <f t="shared" si="504"/>
        <v>0.03</v>
      </c>
      <c r="BT89" s="499">
        <f t="shared" si="505"/>
        <v>0.03</v>
      </c>
      <c r="BU89" s="499">
        <f t="shared" si="506"/>
        <v>0.03</v>
      </c>
      <c r="BV89" s="499">
        <f t="shared" si="507"/>
        <v>0.03</v>
      </c>
      <c r="BW89" s="774">
        <f t="shared" si="508"/>
        <v>0</v>
      </c>
      <c r="BX89" s="503">
        <f t="shared" si="508"/>
        <v>0</v>
      </c>
      <c r="BY89" s="503">
        <f t="shared" si="508"/>
        <v>0</v>
      </c>
      <c r="BZ89" s="503">
        <f t="shared" si="508"/>
        <v>0</v>
      </c>
      <c r="CA89" s="503">
        <f t="shared" si="508"/>
        <v>0</v>
      </c>
      <c r="CB89" s="503">
        <f t="shared" si="508"/>
        <v>0</v>
      </c>
      <c r="CC89" s="503">
        <f t="shared" si="508"/>
        <v>0</v>
      </c>
      <c r="CD89" s="722">
        <f t="shared" si="484"/>
        <v>1.4347584000000002</v>
      </c>
      <c r="CE89" s="511">
        <f t="shared" ref="CE89:CH89" si="747">CD89</f>
        <v>1.4347584000000002</v>
      </c>
      <c r="CF89" s="511">
        <f t="shared" si="747"/>
        <v>1.4347584000000002</v>
      </c>
      <c r="CG89" s="511">
        <f t="shared" si="747"/>
        <v>1.4347584000000002</v>
      </c>
      <c r="CH89" s="511">
        <f t="shared" si="747"/>
        <v>1.4347584000000002</v>
      </c>
      <c r="CI89" s="511">
        <f t="shared" si="510"/>
        <v>1.4347584000000002</v>
      </c>
      <c r="CJ89" s="511">
        <f t="shared" si="511"/>
        <v>1.4347584000000002</v>
      </c>
      <c r="CK89" s="722">
        <f t="shared" si="486"/>
        <v>6.6300000000000007E-4</v>
      </c>
      <c r="CL89" s="511">
        <f t="shared" ref="CL89:CO89" si="748">CK89</f>
        <v>6.6300000000000007E-4</v>
      </c>
      <c r="CM89" s="511">
        <f t="shared" si="748"/>
        <v>6.6300000000000007E-4</v>
      </c>
      <c r="CN89" s="511">
        <f t="shared" si="748"/>
        <v>6.6300000000000007E-4</v>
      </c>
      <c r="CO89" s="511">
        <f t="shared" si="748"/>
        <v>6.6300000000000007E-4</v>
      </c>
      <c r="CP89" s="511">
        <f t="shared" si="513"/>
        <v>6.6300000000000007E-4</v>
      </c>
      <c r="CQ89" s="511">
        <f t="shared" si="514"/>
        <v>6.6300000000000007E-4</v>
      </c>
      <c r="CR89" s="722">
        <f t="shared" si="488"/>
        <v>0</v>
      </c>
      <c r="CS89" s="511">
        <f t="shared" ref="CS89:CV89" si="749">CR89</f>
        <v>0</v>
      </c>
      <c r="CT89" s="511">
        <f t="shared" si="749"/>
        <v>0</v>
      </c>
      <c r="CU89" s="511">
        <f t="shared" si="749"/>
        <v>0</v>
      </c>
      <c r="CV89" s="511">
        <f t="shared" si="749"/>
        <v>0</v>
      </c>
      <c r="CW89" s="511">
        <f t="shared" si="516"/>
        <v>0</v>
      </c>
      <c r="CX89" s="539">
        <f t="shared" si="517"/>
        <v>0</v>
      </c>
      <c r="CY89" s="724">
        <f t="shared" si="560"/>
        <v>0</v>
      </c>
      <c r="CZ89" s="508">
        <f t="shared" si="561"/>
        <v>0</v>
      </c>
      <c r="DA89" s="508">
        <f t="shared" si="562"/>
        <v>4818.4168261345003</v>
      </c>
      <c r="DB89" s="508">
        <f t="shared" si="563"/>
        <v>0</v>
      </c>
      <c r="DC89" s="508">
        <f t="shared" si="564"/>
        <v>0</v>
      </c>
      <c r="DD89" s="508">
        <f t="shared" si="565"/>
        <v>4818.4168261345003</v>
      </c>
      <c r="DE89" s="726">
        <f t="shared" si="566"/>
        <v>0</v>
      </c>
      <c r="DF89" s="724">
        <f t="shared" si="567"/>
        <v>0</v>
      </c>
      <c r="DG89" s="509">
        <f t="shared" si="568"/>
        <v>0</v>
      </c>
      <c r="DH89" s="509">
        <f t="shared" si="569"/>
        <v>0</v>
      </c>
      <c r="DI89" s="509">
        <f t="shared" si="570"/>
        <v>0</v>
      </c>
      <c r="DJ89" s="509">
        <f t="shared" si="571"/>
        <v>0</v>
      </c>
      <c r="DK89" s="509">
        <f t="shared" si="572"/>
        <v>0</v>
      </c>
      <c r="DL89" s="451">
        <f t="shared" si="573"/>
        <v>0</v>
      </c>
      <c r="DM89" s="509">
        <f t="shared" si="574"/>
        <v>0</v>
      </c>
      <c r="DN89" s="509">
        <f t="shared" si="575"/>
        <v>0</v>
      </c>
      <c r="DO89" s="509">
        <f t="shared" si="576"/>
        <v>94.634999999999991</v>
      </c>
      <c r="DP89" s="509">
        <f t="shared" si="577"/>
        <v>0</v>
      </c>
      <c r="DQ89" s="509">
        <f t="shared" si="578"/>
        <v>0</v>
      </c>
      <c r="DR89" s="509">
        <f t="shared" si="579"/>
        <v>94.634999999999991</v>
      </c>
      <c r="DS89" s="450">
        <f t="shared" si="580"/>
        <v>0</v>
      </c>
      <c r="DT89" s="724">
        <f t="shared" si="581"/>
        <v>0</v>
      </c>
      <c r="DU89" s="508">
        <f t="shared" si="582"/>
        <v>0</v>
      </c>
      <c r="DV89" s="508">
        <f t="shared" si="583"/>
        <v>0</v>
      </c>
      <c r="DW89" s="508">
        <f t="shared" si="584"/>
        <v>0</v>
      </c>
      <c r="DX89" s="508">
        <f t="shared" si="585"/>
        <v>0</v>
      </c>
      <c r="DY89" s="508">
        <f t="shared" si="586"/>
        <v>0</v>
      </c>
      <c r="DZ89" s="726">
        <f t="shared" si="587"/>
        <v>0</v>
      </c>
      <c r="EA89" s="722">
        <f t="shared" si="588"/>
        <v>0</v>
      </c>
      <c r="EB89" s="511">
        <f t="shared" si="589"/>
        <v>0</v>
      </c>
      <c r="EC89" s="511">
        <f t="shared" si="590"/>
        <v>4525.9453728000008</v>
      </c>
      <c r="ED89" s="511">
        <f t="shared" si="591"/>
        <v>0</v>
      </c>
      <c r="EE89" s="511">
        <f t="shared" si="592"/>
        <v>0</v>
      </c>
      <c r="EF89" s="511">
        <f t="shared" si="593"/>
        <v>4525.9453728000008</v>
      </c>
      <c r="EG89" s="723">
        <f t="shared" si="594"/>
        <v>0</v>
      </c>
      <c r="EH89" s="397">
        <f t="shared" si="595"/>
        <v>0</v>
      </c>
      <c r="EI89" s="397">
        <f t="shared" si="596"/>
        <v>0</v>
      </c>
      <c r="EJ89" s="397">
        <f t="shared" si="597"/>
        <v>2.0914335000000004</v>
      </c>
      <c r="EK89" s="397">
        <f t="shared" si="598"/>
        <v>0</v>
      </c>
      <c r="EL89" s="397">
        <f t="shared" si="599"/>
        <v>0</v>
      </c>
      <c r="EM89" s="397">
        <f t="shared" si="600"/>
        <v>2.0914335000000004</v>
      </c>
      <c r="EN89" s="398">
        <f t="shared" si="601"/>
        <v>0</v>
      </c>
      <c r="EO89" s="722">
        <f t="shared" si="602"/>
        <v>0</v>
      </c>
      <c r="EP89" s="511">
        <f t="shared" si="603"/>
        <v>0</v>
      </c>
      <c r="EQ89" s="511">
        <f t="shared" si="604"/>
        <v>0</v>
      </c>
      <c r="ER89" s="511">
        <f t="shared" si="605"/>
        <v>0</v>
      </c>
      <c r="ES89" s="511">
        <f t="shared" si="606"/>
        <v>0</v>
      </c>
      <c r="ET89" s="511">
        <f t="shared" si="607"/>
        <v>0</v>
      </c>
      <c r="EU89" s="723">
        <f t="shared" si="608"/>
        <v>0</v>
      </c>
      <c r="EV89" s="727">
        <f t="shared" si="609"/>
        <v>0.5</v>
      </c>
      <c r="EW89" s="728">
        <f t="shared" si="610"/>
        <v>9636.8336522690006</v>
      </c>
      <c r="EX89" s="728">
        <f t="shared" si="611"/>
        <v>0</v>
      </c>
      <c r="EY89" s="728">
        <f t="shared" si="612"/>
        <v>189.26999999999998</v>
      </c>
      <c r="EZ89" s="728">
        <f t="shared" si="613"/>
        <v>0</v>
      </c>
      <c r="FA89" s="777">
        <f t="shared" si="614"/>
        <v>9051.8907456000015</v>
      </c>
      <c r="FB89" s="777">
        <f t="shared" si="615"/>
        <v>4.1828670000000008</v>
      </c>
      <c r="FC89" s="778">
        <f t="shared" si="616"/>
        <v>0</v>
      </c>
      <c r="FE89" s="10"/>
      <c r="FF89" s="10"/>
    </row>
    <row r="90" spans="1:162">
      <c r="A90" s="662" t="s">
        <v>212</v>
      </c>
      <c r="B90" s="789" t="s">
        <v>1382</v>
      </c>
      <c r="C90" s="789" t="str">
        <f t="shared" ref="C90:W90" si="750">C33</f>
        <v>Custom Projects - Saves 1 kW of Demand or More</v>
      </c>
      <c r="D90" s="789" t="str">
        <f t="shared" si="750"/>
        <v>Existing Equipment</v>
      </c>
      <c r="E90" s="789" t="str">
        <f t="shared" si="750"/>
        <v>Per Saved kW</v>
      </c>
      <c r="F90" s="789" t="str">
        <f t="shared" si="750"/>
        <v>Per Saved kWh (first year savings only)</v>
      </c>
      <c r="G90" s="704" t="str">
        <f t="shared" si="750"/>
        <v>Incremental Cost</v>
      </c>
      <c r="H90" s="704">
        <f t="shared" si="750"/>
        <v>0.22117875297672002</v>
      </c>
      <c r="I90" s="704">
        <f t="shared" si="750"/>
        <v>0</v>
      </c>
      <c r="J90" s="704">
        <f t="shared" si="750"/>
        <v>0.22117875297672002</v>
      </c>
      <c r="K90" s="704">
        <f t="shared" si="750"/>
        <v>0</v>
      </c>
      <c r="L90" s="704">
        <f t="shared" si="750"/>
        <v>0.11058937648836001</v>
      </c>
      <c r="M90" s="707" t="str">
        <f t="shared" si="750"/>
        <v xml:space="preserve">Benchmarking custom projects from other utilties to estimate incremental cost. Roughly $0.22 per kWh saved as incermental costs. </v>
      </c>
      <c r="N90" s="704">
        <f t="shared" si="750"/>
        <v>0.03</v>
      </c>
      <c r="O90" s="704">
        <f t="shared" si="750"/>
        <v>8.4140489623261386E-2</v>
      </c>
      <c r="P90" s="704">
        <f t="shared" si="750"/>
        <v>0</v>
      </c>
      <c r="Q90" s="704">
        <f t="shared" si="750"/>
        <v>0</v>
      </c>
      <c r="R90" s="1021">
        <f t="shared" si="750"/>
        <v>1</v>
      </c>
      <c r="S90" s="872">
        <f t="shared" si="750"/>
        <v>2.7312391698609107E-4</v>
      </c>
      <c r="T90" s="1022">
        <f t="shared" si="750"/>
        <v>0</v>
      </c>
      <c r="U90" s="711" t="str">
        <f t="shared" si="750"/>
        <v>LG&amp;E and KUCommercial Rebates Program Impact Evaluation for Custom Projects – FINAL November 3, 2016 by The Tetra Tech Evaluation Team</v>
      </c>
      <c r="V90" s="716">
        <f t="shared" si="750"/>
        <v>0.05</v>
      </c>
      <c r="W90" s="711">
        <f t="shared" si="750"/>
        <v>1</v>
      </c>
      <c r="X90" s="781">
        <f t="shared" ref="X90:AJ90" si="751">X33/2</f>
        <v>1020118.5</v>
      </c>
      <c r="Y90" s="781">
        <f t="shared" si="751"/>
        <v>14035909.5</v>
      </c>
      <c r="Z90" s="781">
        <f t="shared" si="751"/>
        <v>10569394.5</v>
      </c>
      <c r="AA90" s="781">
        <f t="shared" si="751"/>
        <v>6315212.5</v>
      </c>
      <c r="AB90" s="781">
        <f t="shared" si="751"/>
        <v>8442303.5</v>
      </c>
      <c r="AC90" s="781">
        <f t="shared" si="751"/>
        <v>8442303.5</v>
      </c>
      <c r="AD90" s="781">
        <f t="shared" si="751"/>
        <v>5000000</v>
      </c>
      <c r="AE90" s="781">
        <f t="shared" si="751"/>
        <v>8000000</v>
      </c>
      <c r="AF90" s="781">
        <f t="shared" si="751"/>
        <v>12000000</v>
      </c>
      <c r="AG90" s="781">
        <f t="shared" si="751"/>
        <v>12000000</v>
      </c>
      <c r="AH90" s="781">
        <f t="shared" si="751"/>
        <v>12000000</v>
      </c>
      <c r="AI90" s="781">
        <f t="shared" si="751"/>
        <v>12000000</v>
      </c>
      <c r="AJ90" s="781">
        <f t="shared" si="751"/>
        <v>12000000</v>
      </c>
      <c r="AK90" s="711" t="str">
        <f t="shared" ref="AK90:BA90" si="752">AK33</f>
        <v>Both</v>
      </c>
      <c r="AL90" s="711" t="str">
        <f t="shared" si="752"/>
        <v>Commercial</v>
      </c>
      <c r="AM90" s="711" t="str">
        <f t="shared" si="752"/>
        <v>Large Office</v>
      </c>
      <c r="AN90" s="711" t="str">
        <f t="shared" si="752"/>
        <v>All</v>
      </c>
      <c r="AO90" s="711" t="str">
        <f t="shared" si="752"/>
        <v>Existing</v>
      </c>
      <c r="AP90" s="711">
        <f t="shared" si="752"/>
        <v>0</v>
      </c>
      <c r="AQ90" s="711">
        <f t="shared" si="752"/>
        <v>0</v>
      </c>
      <c r="AR90" s="711">
        <f t="shared" si="752"/>
        <v>0</v>
      </c>
      <c r="AS90" s="711" t="str">
        <f t="shared" si="752"/>
        <v>OFFLGElecTotl</v>
      </c>
      <c r="AT90" s="715" t="s">
        <v>745</v>
      </c>
      <c r="AU90" s="1065" t="s">
        <v>771</v>
      </c>
      <c r="AV90" s="711">
        <f t="shared" si="752"/>
        <v>15</v>
      </c>
      <c r="AW90" s="711">
        <f t="shared" si="752"/>
        <v>15</v>
      </c>
      <c r="AX90" s="711" t="s">
        <v>769</v>
      </c>
      <c r="AY90" s="711">
        <f t="shared" si="752"/>
        <v>1</v>
      </c>
      <c r="AZ90" s="711">
        <f t="shared" si="752"/>
        <v>1</v>
      </c>
      <c r="BA90" s="1066">
        <f t="shared" si="752"/>
        <v>0</v>
      </c>
      <c r="BB90" s="721">
        <f t="shared" si="493"/>
        <v>0.22117875297672002</v>
      </c>
      <c r="BC90" s="499">
        <f t="shared" si="494"/>
        <v>0.22117875297672002</v>
      </c>
      <c r="BD90" s="499">
        <f t="shared" si="495"/>
        <v>0.22117875297672002</v>
      </c>
      <c r="BE90" s="499">
        <f t="shared" si="496"/>
        <v>0.22117875297672002</v>
      </c>
      <c r="BF90" s="499">
        <f t="shared" si="497"/>
        <v>0.22117875297672002</v>
      </c>
      <c r="BG90" s="499">
        <f t="shared" si="498"/>
        <v>0.22117875297672002</v>
      </c>
      <c r="BH90" s="499">
        <f t="shared" si="499"/>
        <v>0.22117875297672002</v>
      </c>
      <c r="BI90" s="721">
        <f t="shared" si="474"/>
        <v>0</v>
      </c>
      <c r="BJ90" s="499">
        <f t="shared" ref="BJ90:BM90" si="753">BI90</f>
        <v>0</v>
      </c>
      <c r="BK90" s="499">
        <f t="shared" si="753"/>
        <v>0</v>
      </c>
      <c r="BL90" s="499">
        <f t="shared" si="753"/>
        <v>0</v>
      </c>
      <c r="BM90" s="499">
        <f t="shared" si="753"/>
        <v>0</v>
      </c>
      <c r="BN90" s="499">
        <f t="shared" si="501"/>
        <v>0</v>
      </c>
      <c r="BO90" s="499">
        <f t="shared" si="502"/>
        <v>0</v>
      </c>
      <c r="BP90" s="721">
        <f t="shared" si="476"/>
        <v>8.4140489623261386E-2</v>
      </c>
      <c r="BQ90" s="499">
        <f t="shared" si="477"/>
        <v>8.4140489623261386E-2</v>
      </c>
      <c r="BR90" s="499">
        <f t="shared" si="503"/>
        <v>8.4140489623261386E-2</v>
      </c>
      <c r="BS90" s="499">
        <f t="shared" si="504"/>
        <v>8.4140489623261386E-2</v>
      </c>
      <c r="BT90" s="499">
        <f t="shared" si="505"/>
        <v>8.4140489623261386E-2</v>
      </c>
      <c r="BU90" s="499">
        <f t="shared" si="506"/>
        <v>8.4140489623261386E-2</v>
      </c>
      <c r="BV90" s="499">
        <f t="shared" si="507"/>
        <v>8.4140489623261386E-2</v>
      </c>
      <c r="BW90" s="774">
        <f t="shared" si="508"/>
        <v>0</v>
      </c>
      <c r="BX90" s="503">
        <f t="shared" si="508"/>
        <v>0</v>
      </c>
      <c r="BY90" s="503">
        <f t="shared" si="508"/>
        <v>0</v>
      </c>
      <c r="BZ90" s="503">
        <f t="shared" si="508"/>
        <v>0</v>
      </c>
      <c r="CA90" s="503">
        <f t="shared" si="508"/>
        <v>0</v>
      </c>
      <c r="CB90" s="503">
        <f t="shared" si="508"/>
        <v>0</v>
      </c>
      <c r="CC90" s="503">
        <f t="shared" si="508"/>
        <v>0</v>
      </c>
      <c r="CD90" s="722">
        <f t="shared" si="484"/>
        <v>1</v>
      </c>
      <c r="CE90" s="511">
        <f t="shared" ref="CE90:CH90" si="754">CD90</f>
        <v>1</v>
      </c>
      <c r="CF90" s="511">
        <f t="shared" si="754"/>
        <v>1</v>
      </c>
      <c r="CG90" s="511">
        <f t="shared" si="754"/>
        <v>1</v>
      </c>
      <c r="CH90" s="511">
        <f t="shared" si="754"/>
        <v>1</v>
      </c>
      <c r="CI90" s="511">
        <f t="shared" si="510"/>
        <v>1</v>
      </c>
      <c r="CJ90" s="511">
        <f t="shared" si="511"/>
        <v>1</v>
      </c>
      <c r="CK90" s="722">
        <f t="shared" si="486"/>
        <v>2.7312391698609107E-4</v>
      </c>
      <c r="CL90" s="511">
        <f t="shared" ref="CL90:CO90" si="755">CK90</f>
        <v>2.7312391698609107E-4</v>
      </c>
      <c r="CM90" s="511">
        <f t="shared" si="755"/>
        <v>2.7312391698609107E-4</v>
      </c>
      <c r="CN90" s="511">
        <f t="shared" si="755"/>
        <v>2.7312391698609107E-4</v>
      </c>
      <c r="CO90" s="511">
        <f t="shared" si="755"/>
        <v>2.7312391698609107E-4</v>
      </c>
      <c r="CP90" s="511">
        <f t="shared" si="513"/>
        <v>2.7312391698609107E-4</v>
      </c>
      <c r="CQ90" s="511">
        <f t="shared" si="514"/>
        <v>2.7312391698609107E-4</v>
      </c>
      <c r="CR90" s="722">
        <f t="shared" si="488"/>
        <v>0</v>
      </c>
      <c r="CS90" s="511">
        <f t="shared" ref="CS90:CV90" si="756">CR90</f>
        <v>0</v>
      </c>
      <c r="CT90" s="511">
        <f t="shared" si="756"/>
        <v>0</v>
      </c>
      <c r="CU90" s="511">
        <f t="shared" si="756"/>
        <v>0</v>
      </c>
      <c r="CV90" s="511">
        <f t="shared" si="756"/>
        <v>0</v>
      </c>
      <c r="CW90" s="511">
        <f t="shared" si="516"/>
        <v>0</v>
      </c>
      <c r="CX90" s="539">
        <f t="shared" si="517"/>
        <v>0</v>
      </c>
      <c r="CY90" s="724">
        <f t="shared" si="560"/>
        <v>1105893.7648836002</v>
      </c>
      <c r="CZ90" s="508">
        <f t="shared" si="561"/>
        <v>1769430.0238137601</v>
      </c>
      <c r="DA90" s="508">
        <f t="shared" si="562"/>
        <v>2654145.0357206403</v>
      </c>
      <c r="DB90" s="508">
        <f t="shared" si="563"/>
        <v>2654145.0357206403</v>
      </c>
      <c r="DC90" s="508">
        <f t="shared" si="564"/>
        <v>2654145.0357206403</v>
      </c>
      <c r="DD90" s="508">
        <f t="shared" si="565"/>
        <v>2654145.0357206403</v>
      </c>
      <c r="DE90" s="726">
        <f t="shared" si="566"/>
        <v>2654145.0357206403</v>
      </c>
      <c r="DF90" s="724">
        <f t="shared" si="567"/>
        <v>0</v>
      </c>
      <c r="DG90" s="509">
        <f t="shared" si="568"/>
        <v>0</v>
      </c>
      <c r="DH90" s="509">
        <f t="shared" si="569"/>
        <v>0</v>
      </c>
      <c r="DI90" s="509">
        <f t="shared" si="570"/>
        <v>0</v>
      </c>
      <c r="DJ90" s="509">
        <f t="shared" si="571"/>
        <v>0</v>
      </c>
      <c r="DK90" s="509">
        <f t="shared" si="572"/>
        <v>0</v>
      </c>
      <c r="DL90" s="451">
        <f t="shared" si="573"/>
        <v>0</v>
      </c>
      <c r="DM90" s="509">
        <f t="shared" si="574"/>
        <v>420702.44811630691</v>
      </c>
      <c r="DN90" s="509">
        <f t="shared" si="575"/>
        <v>673123.91698609106</v>
      </c>
      <c r="DO90" s="509">
        <f t="shared" si="576"/>
        <v>1009685.8754791366</v>
      </c>
      <c r="DP90" s="509">
        <f t="shared" si="577"/>
        <v>1009685.8754791366</v>
      </c>
      <c r="DQ90" s="509">
        <f t="shared" si="578"/>
        <v>1009685.8754791366</v>
      </c>
      <c r="DR90" s="509">
        <f t="shared" si="579"/>
        <v>1009685.8754791366</v>
      </c>
      <c r="DS90" s="450">
        <f t="shared" si="580"/>
        <v>1009685.8754791366</v>
      </c>
      <c r="DT90" s="724">
        <f t="shared" si="581"/>
        <v>0</v>
      </c>
      <c r="DU90" s="508">
        <f t="shared" si="582"/>
        <v>0</v>
      </c>
      <c r="DV90" s="508">
        <f t="shared" si="583"/>
        <v>0</v>
      </c>
      <c r="DW90" s="508">
        <f t="shared" si="584"/>
        <v>0</v>
      </c>
      <c r="DX90" s="508">
        <f t="shared" si="585"/>
        <v>0</v>
      </c>
      <c r="DY90" s="508">
        <f t="shared" si="586"/>
        <v>0</v>
      </c>
      <c r="DZ90" s="726">
        <f t="shared" si="587"/>
        <v>0</v>
      </c>
      <c r="EA90" s="722">
        <f t="shared" si="588"/>
        <v>5000000</v>
      </c>
      <c r="EB90" s="511">
        <f t="shared" si="589"/>
        <v>8000000</v>
      </c>
      <c r="EC90" s="511">
        <f t="shared" si="590"/>
        <v>12000000</v>
      </c>
      <c r="ED90" s="511">
        <f t="shared" si="591"/>
        <v>12000000</v>
      </c>
      <c r="EE90" s="511">
        <f t="shared" si="592"/>
        <v>12000000</v>
      </c>
      <c r="EF90" s="511">
        <f t="shared" si="593"/>
        <v>12000000</v>
      </c>
      <c r="EG90" s="723">
        <f t="shared" si="594"/>
        <v>12000000</v>
      </c>
      <c r="EH90" s="397">
        <f t="shared" si="595"/>
        <v>1365.6195849304554</v>
      </c>
      <c r="EI90" s="397">
        <f t="shared" si="596"/>
        <v>2184.9913358887284</v>
      </c>
      <c r="EJ90" s="397">
        <f t="shared" si="597"/>
        <v>3277.4870038330928</v>
      </c>
      <c r="EK90" s="397">
        <f t="shared" si="598"/>
        <v>3277.4870038330928</v>
      </c>
      <c r="EL90" s="397">
        <f t="shared" si="599"/>
        <v>3277.4870038330928</v>
      </c>
      <c r="EM90" s="397">
        <f t="shared" si="600"/>
        <v>3277.4870038330928</v>
      </c>
      <c r="EN90" s="398">
        <f t="shared" si="601"/>
        <v>3277.4870038330928</v>
      </c>
      <c r="EO90" s="722">
        <f t="shared" si="602"/>
        <v>0</v>
      </c>
      <c r="EP90" s="511">
        <f t="shared" si="603"/>
        <v>0</v>
      </c>
      <c r="EQ90" s="511">
        <f t="shared" si="604"/>
        <v>0</v>
      </c>
      <c r="ER90" s="511">
        <f t="shared" si="605"/>
        <v>0</v>
      </c>
      <c r="ES90" s="511">
        <f t="shared" si="606"/>
        <v>0</v>
      </c>
      <c r="ET90" s="511">
        <f t="shared" si="607"/>
        <v>0</v>
      </c>
      <c r="EU90" s="723">
        <f t="shared" si="608"/>
        <v>0</v>
      </c>
      <c r="EV90" s="727">
        <f t="shared" si="609"/>
        <v>25000000</v>
      </c>
      <c r="EW90" s="728">
        <f t="shared" si="610"/>
        <v>16146048.967300564</v>
      </c>
      <c r="EX90" s="728">
        <f t="shared" si="611"/>
        <v>0</v>
      </c>
      <c r="EY90" s="728">
        <f t="shared" si="612"/>
        <v>6142255.7424980812</v>
      </c>
      <c r="EZ90" s="728">
        <f t="shared" si="613"/>
        <v>0</v>
      </c>
      <c r="FA90" s="777">
        <f t="shared" si="614"/>
        <v>73000000</v>
      </c>
      <c r="FB90" s="777">
        <f t="shared" si="615"/>
        <v>19938.045939984644</v>
      </c>
      <c r="FC90" s="778">
        <f t="shared" si="616"/>
        <v>0</v>
      </c>
      <c r="FE90" s="10"/>
      <c r="FF90" s="10"/>
    </row>
    <row r="91" spans="1:162">
      <c r="A91" s="662" t="s">
        <v>213</v>
      </c>
      <c r="B91" s="789" t="s">
        <v>1383</v>
      </c>
      <c r="C91" s="789" t="str">
        <f t="shared" ref="C91:W91" si="757">C34</f>
        <v>Commercial New Construction Tier 1 - 10% Over Code</v>
      </c>
      <c r="D91" s="789" t="str">
        <f t="shared" si="757"/>
        <v>State and Federal Energy Code</v>
      </c>
      <c r="E91" s="789" t="str">
        <f t="shared" si="757"/>
        <v>Per Project</v>
      </c>
      <c r="F91" s="789" t="str">
        <f t="shared" si="757"/>
        <v>Per Project</v>
      </c>
      <c r="G91" s="704" t="str">
        <f t="shared" si="757"/>
        <v>Incremental Cost</v>
      </c>
      <c r="H91" s="704">
        <f t="shared" si="757"/>
        <v>10980.198012776291</v>
      </c>
      <c r="I91" s="704">
        <f t="shared" si="757"/>
        <v>0</v>
      </c>
      <c r="J91" s="704">
        <f t="shared" si="757"/>
        <v>10980.198012776291</v>
      </c>
      <c r="K91" s="704">
        <f t="shared" si="757"/>
        <v>0</v>
      </c>
      <c r="L91" s="704">
        <f t="shared" si="757"/>
        <v>5490.0990063881454</v>
      </c>
      <c r="M91" s="707" t="str">
        <f t="shared" si="757"/>
        <v xml:space="preserve">Benchmarking custom projects from other utilties to estimate incremental cost. Roughly $0.22 per kWh saved as incermental costs. </v>
      </c>
      <c r="N91" s="704">
        <f t="shared" si="757"/>
        <v>1500</v>
      </c>
      <c r="O91" s="704">
        <f t="shared" si="757"/>
        <v>1500</v>
      </c>
      <c r="P91" s="704">
        <f t="shared" si="757"/>
        <v>0</v>
      </c>
      <c r="Q91" s="704">
        <f t="shared" si="757"/>
        <v>0</v>
      </c>
      <c r="R91" s="1021">
        <f t="shared" si="757"/>
        <v>49644.000000000007</v>
      </c>
      <c r="S91" s="872">
        <f t="shared" si="757"/>
        <v>7.7428571428571429</v>
      </c>
      <c r="T91" s="1022">
        <f>T34</f>
        <v>397.40571428571434</v>
      </c>
      <c r="U91" s="711" t="str">
        <f t="shared" si="757"/>
        <v>Estimated savings from LG&amp;E and KU projections and 2016 program data.</v>
      </c>
      <c r="V91" s="716">
        <f t="shared" si="757"/>
        <v>0</v>
      </c>
      <c r="W91" s="711">
        <f t="shared" si="757"/>
        <v>1</v>
      </c>
      <c r="X91" s="781">
        <f t="shared" ref="X91:AJ91" si="758">X34/2</f>
        <v>0</v>
      </c>
      <c r="Y91" s="781">
        <f t="shared" si="758"/>
        <v>0</v>
      </c>
      <c r="Z91" s="781">
        <f t="shared" si="758"/>
        <v>0</v>
      </c>
      <c r="AA91" s="781">
        <f t="shared" si="758"/>
        <v>0</v>
      </c>
      <c r="AB91" s="781">
        <f t="shared" si="758"/>
        <v>0</v>
      </c>
      <c r="AC91" s="781">
        <f t="shared" si="758"/>
        <v>0</v>
      </c>
      <c r="AD91" s="781">
        <f t="shared" si="758"/>
        <v>0</v>
      </c>
      <c r="AE91" s="781">
        <f t="shared" si="758"/>
        <v>0.5</v>
      </c>
      <c r="AF91" s="781">
        <f t="shared" si="758"/>
        <v>0</v>
      </c>
      <c r="AG91" s="781">
        <f t="shared" si="758"/>
        <v>0</v>
      </c>
      <c r="AH91" s="781">
        <f t="shared" si="758"/>
        <v>0.5</v>
      </c>
      <c r="AI91" s="781">
        <f t="shared" si="758"/>
        <v>0</v>
      </c>
      <c r="AJ91" s="781">
        <f t="shared" si="758"/>
        <v>0</v>
      </c>
      <c r="AK91" s="711" t="str">
        <f t="shared" ref="AK91:AZ91" si="759">AK34</f>
        <v>Both</v>
      </c>
      <c r="AL91" s="711" t="str">
        <f t="shared" si="759"/>
        <v>Commercial</v>
      </c>
      <c r="AM91" s="711" t="str">
        <f t="shared" si="759"/>
        <v>Large Office</v>
      </c>
      <c r="AN91" s="711" t="str">
        <f t="shared" si="759"/>
        <v>All</v>
      </c>
      <c r="AO91" s="711" t="str">
        <f t="shared" si="759"/>
        <v>New</v>
      </c>
      <c r="AP91" s="711">
        <f t="shared" si="759"/>
        <v>0</v>
      </c>
      <c r="AQ91" s="711">
        <f t="shared" si="759"/>
        <v>0</v>
      </c>
      <c r="AR91" s="711">
        <f t="shared" si="759"/>
        <v>0</v>
      </c>
      <c r="AS91" s="711" t="str">
        <f t="shared" si="759"/>
        <v>OFFLGElecTotl</v>
      </c>
      <c r="AT91" s="715" t="s">
        <v>745</v>
      </c>
      <c r="AU91" s="1065" t="s">
        <v>771</v>
      </c>
      <c r="AV91" s="711">
        <f t="shared" si="759"/>
        <v>15</v>
      </c>
      <c r="AW91" s="711">
        <f t="shared" si="759"/>
        <v>15</v>
      </c>
      <c r="AX91" s="711" t="s">
        <v>769</v>
      </c>
      <c r="AY91" s="711">
        <f t="shared" si="759"/>
        <v>1</v>
      </c>
      <c r="AZ91" s="711">
        <f t="shared" si="759"/>
        <v>1</v>
      </c>
      <c r="BA91" s="1067">
        <v>0</v>
      </c>
      <c r="BB91" s="721">
        <f t="shared" si="493"/>
        <v>10980.198012776291</v>
      </c>
      <c r="BC91" s="499">
        <f t="shared" si="494"/>
        <v>10980.198012776291</v>
      </c>
      <c r="BD91" s="499">
        <f t="shared" si="495"/>
        <v>10980.198012776291</v>
      </c>
      <c r="BE91" s="499">
        <f t="shared" si="496"/>
        <v>10980.198012776291</v>
      </c>
      <c r="BF91" s="499">
        <f t="shared" si="497"/>
        <v>10980.198012776291</v>
      </c>
      <c r="BG91" s="499">
        <f t="shared" si="498"/>
        <v>10980.198012776291</v>
      </c>
      <c r="BH91" s="499">
        <f t="shared" si="499"/>
        <v>10980.198012776291</v>
      </c>
      <c r="BI91" s="721">
        <f t="shared" si="474"/>
        <v>0</v>
      </c>
      <c r="BJ91" s="499">
        <f t="shared" ref="BJ91:BM91" si="760">BI91</f>
        <v>0</v>
      </c>
      <c r="BK91" s="499">
        <f t="shared" si="760"/>
        <v>0</v>
      </c>
      <c r="BL91" s="499">
        <f t="shared" si="760"/>
        <v>0</v>
      </c>
      <c r="BM91" s="499">
        <f t="shared" si="760"/>
        <v>0</v>
      </c>
      <c r="BN91" s="499">
        <f t="shared" si="501"/>
        <v>0</v>
      </c>
      <c r="BO91" s="499">
        <f t="shared" si="502"/>
        <v>0</v>
      </c>
      <c r="BP91" s="721">
        <f t="shared" si="476"/>
        <v>1500</v>
      </c>
      <c r="BQ91" s="499">
        <f t="shared" si="477"/>
        <v>1500</v>
      </c>
      <c r="BR91" s="499">
        <f t="shared" si="503"/>
        <v>1500</v>
      </c>
      <c r="BS91" s="499">
        <f t="shared" si="504"/>
        <v>1500</v>
      </c>
      <c r="BT91" s="499">
        <f t="shared" si="505"/>
        <v>1500</v>
      </c>
      <c r="BU91" s="499">
        <f t="shared" si="506"/>
        <v>1500</v>
      </c>
      <c r="BV91" s="499">
        <f t="shared" si="507"/>
        <v>1500</v>
      </c>
      <c r="BW91" s="774">
        <f t="shared" si="508"/>
        <v>0</v>
      </c>
      <c r="BX91" s="503">
        <f t="shared" si="508"/>
        <v>0</v>
      </c>
      <c r="BY91" s="503">
        <f t="shared" si="508"/>
        <v>0</v>
      </c>
      <c r="BZ91" s="503">
        <f t="shared" si="508"/>
        <v>0</v>
      </c>
      <c r="CA91" s="503">
        <f t="shared" si="508"/>
        <v>0</v>
      </c>
      <c r="CB91" s="503">
        <f t="shared" si="508"/>
        <v>0</v>
      </c>
      <c r="CC91" s="503">
        <f t="shared" si="508"/>
        <v>0</v>
      </c>
      <c r="CD91" s="722">
        <f t="shared" si="484"/>
        <v>49644.000000000007</v>
      </c>
      <c r="CE91" s="511">
        <f t="shared" ref="CE91:CH91" si="761">CD91</f>
        <v>49644.000000000007</v>
      </c>
      <c r="CF91" s="511">
        <f t="shared" si="761"/>
        <v>49644.000000000007</v>
      </c>
      <c r="CG91" s="511">
        <f t="shared" si="761"/>
        <v>49644.000000000007</v>
      </c>
      <c r="CH91" s="511">
        <f t="shared" si="761"/>
        <v>49644.000000000007</v>
      </c>
      <c r="CI91" s="511">
        <f t="shared" si="510"/>
        <v>49644.000000000007</v>
      </c>
      <c r="CJ91" s="511">
        <f t="shared" si="511"/>
        <v>49644.000000000007</v>
      </c>
      <c r="CK91" s="722">
        <f t="shared" si="486"/>
        <v>7.7428571428571429</v>
      </c>
      <c r="CL91" s="511">
        <f t="shared" ref="CL91:CO91" si="762">CK91</f>
        <v>7.7428571428571429</v>
      </c>
      <c r="CM91" s="511">
        <f t="shared" si="762"/>
        <v>7.7428571428571429</v>
      </c>
      <c r="CN91" s="511">
        <f t="shared" si="762"/>
        <v>7.7428571428571429</v>
      </c>
      <c r="CO91" s="511">
        <f t="shared" si="762"/>
        <v>7.7428571428571429</v>
      </c>
      <c r="CP91" s="511">
        <f t="shared" si="513"/>
        <v>7.7428571428571429</v>
      </c>
      <c r="CQ91" s="511">
        <f t="shared" si="514"/>
        <v>7.7428571428571429</v>
      </c>
      <c r="CR91" s="722">
        <f t="shared" si="488"/>
        <v>0</v>
      </c>
      <c r="CS91" s="511">
        <f t="shared" ref="CS91:CV91" si="763">CR91</f>
        <v>0</v>
      </c>
      <c r="CT91" s="511">
        <f t="shared" si="763"/>
        <v>0</v>
      </c>
      <c r="CU91" s="511">
        <f t="shared" si="763"/>
        <v>0</v>
      </c>
      <c r="CV91" s="511">
        <f t="shared" si="763"/>
        <v>0</v>
      </c>
      <c r="CW91" s="511">
        <f t="shared" si="516"/>
        <v>0</v>
      </c>
      <c r="CX91" s="539">
        <f t="shared" si="517"/>
        <v>0</v>
      </c>
      <c r="CY91" s="724">
        <f t="shared" si="560"/>
        <v>0</v>
      </c>
      <c r="CZ91" s="508">
        <f t="shared" si="561"/>
        <v>5490.0990063881454</v>
      </c>
      <c r="DA91" s="508">
        <f t="shared" si="562"/>
        <v>0</v>
      </c>
      <c r="DB91" s="508">
        <f t="shared" si="563"/>
        <v>0</v>
      </c>
      <c r="DC91" s="508">
        <f t="shared" si="564"/>
        <v>5490.0990063881454</v>
      </c>
      <c r="DD91" s="508">
        <f t="shared" si="565"/>
        <v>0</v>
      </c>
      <c r="DE91" s="726">
        <f t="shared" si="566"/>
        <v>0</v>
      </c>
      <c r="DF91" s="724">
        <f t="shared" si="567"/>
        <v>0</v>
      </c>
      <c r="DG91" s="509">
        <f t="shared" si="568"/>
        <v>0</v>
      </c>
      <c r="DH91" s="509">
        <f t="shared" si="569"/>
        <v>0</v>
      </c>
      <c r="DI91" s="509">
        <f t="shared" si="570"/>
        <v>0</v>
      </c>
      <c r="DJ91" s="509">
        <f t="shared" si="571"/>
        <v>0</v>
      </c>
      <c r="DK91" s="509">
        <f t="shared" si="572"/>
        <v>0</v>
      </c>
      <c r="DL91" s="451">
        <f t="shared" si="573"/>
        <v>0</v>
      </c>
      <c r="DM91" s="509">
        <f t="shared" si="574"/>
        <v>0</v>
      </c>
      <c r="DN91" s="509">
        <f t="shared" si="575"/>
        <v>750</v>
      </c>
      <c r="DO91" s="509">
        <f t="shared" si="576"/>
        <v>0</v>
      </c>
      <c r="DP91" s="509">
        <f t="shared" si="577"/>
        <v>0</v>
      </c>
      <c r="DQ91" s="509">
        <f t="shared" si="578"/>
        <v>750</v>
      </c>
      <c r="DR91" s="509">
        <f t="shared" si="579"/>
        <v>0</v>
      </c>
      <c r="DS91" s="450">
        <f t="shared" si="580"/>
        <v>0</v>
      </c>
      <c r="DT91" s="724">
        <f t="shared" si="581"/>
        <v>0</v>
      </c>
      <c r="DU91" s="508">
        <f t="shared" si="582"/>
        <v>0</v>
      </c>
      <c r="DV91" s="508">
        <f t="shared" si="583"/>
        <v>0</v>
      </c>
      <c r="DW91" s="508">
        <f t="shared" si="584"/>
        <v>0</v>
      </c>
      <c r="DX91" s="508">
        <f t="shared" si="585"/>
        <v>0</v>
      </c>
      <c r="DY91" s="508">
        <f t="shared" si="586"/>
        <v>0</v>
      </c>
      <c r="DZ91" s="726">
        <f t="shared" si="587"/>
        <v>0</v>
      </c>
      <c r="EA91" s="722">
        <f t="shared" si="588"/>
        <v>0</v>
      </c>
      <c r="EB91" s="511">
        <f t="shared" si="589"/>
        <v>24822.000000000004</v>
      </c>
      <c r="EC91" s="511">
        <f t="shared" si="590"/>
        <v>0</v>
      </c>
      <c r="ED91" s="511">
        <f t="shared" si="591"/>
        <v>0</v>
      </c>
      <c r="EE91" s="511">
        <f t="shared" si="592"/>
        <v>24822.000000000004</v>
      </c>
      <c r="EF91" s="511">
        <f t="shared" si="593"/>
        <v>0</v>
      </c>
      <c r="EG91" s="723">
        <f t="shared" si="594"/>
        <v>0</v>
      </c>
      <c r="EH91" s="397">
        <f t="shared" si="595"/>
        <v>0</v>
      </c>
      <c r="EI91" s="397">
        <f t="shared" si="596"/>
        <v>3.8714285714285714</v>
      </c>
      <c r="EJ91" s="397">
        <f t="shared" si="597"/>
        <v>0</v>
      </c>
      <c r="EK91" s="397">
        <f t="shared" si="598"/>
        <v>0</v>
      </c>
      <c r="EL91" s="397">
        <f t="shared" si="599"/>
        <v>3.8714285714285714</v>
      </c>
      <c r="EM91" s="397">
        <f t="shared" si="600"/>
        <v>0</v>
      </c>
      <c r="EN91" s="398">
        <f t="shared" si="601"/>
        <v>0</v>
      </c>
      <c r="EO91" s="722">
        <f t="shared" si="602"/>
        <v>0</v>
      </c>
      <c r="EP91" s="511">
        <f t="shared" si="603"/>
        <v>0</v>
      </c>
      <c r="EQ91" s="511">
        <f t="shared" si="604"/>
        <v>0</v>
      </c>
      <c r="ER91" s="511">
        <f t="shared" si="605"/>
        <v>0</v>
      </c>
      <c r="ES91" s="511">
        <f t="shared" si="606"/>
        <v>0</v>
      </c>
      <c r="ET91" s="511">
        <f t="shared" si="607"/>
        <v>0</v>
      </c>
      <c r="EU91" s="723">
        <f t="shared" si="608"/>
        <v>0</v>
      </c>
      <c r="EV91" s="727">
        <f t="shared" si="609"/>
        <v>0.5</v>
      </c>
      <c r="EW91" s="728">
        <f t="shared" si="610"/>
        <v>10980.198012776291</v>
      </c>
      <c r="EX91" s="728">
        <f t="shared" si="611"/>
        <v>0</v>
      </c>
      <c r="EY91" s="728">
        <f t="shared" si="612"/>
        <v>1500</v>
      </c>
      <c r="EZ91" s="728">
        <f t="shared" si="613"/>
        <v>0</v>
      </c>
      <c r="FA91" s="777">
        <f t="shared" si="614"/>
        <v>49644.000000000007</v>
      </c>
      <c r="FB91" s="777">
        <f t="shared" si="615"/>
        <v>7.7428571428571429</v>
      </c>
      <c r="FC91" s="778">
        <f t="shared" si="616"/>
        <v>0</v>
      </c>
      <c r="FE91" s="10"/>
      <c r="FF91" s="10"/>
    </row>
    <row r="92" spans="1:162">
      <c r="A92" s="662" t="s">
        <v>214</v>
      </c>
      <c r="B92" s="789" t="s">
        <v>1384</v>
      </c>
      <c r="C92" s="789" t="str">
        <f t="shared" ref="C92:W92" si="764">C35</f>
        <v>Commercial New Construction Tier 2 - 15% Over Code</v>
      </c>
      <c r="D92" s="789" t="str">
        <f t="shared" si="764"/>
        <v>State and Federal Energy Code</v>
      </c>
      <c r="E92" s="789" t="str">
        <f t="shared" si="764"/>
        <v>Per Project</v>
      </c>
      <c r="F92" s="789" t="str">
        <f t="shared" si="764"/>
        <v>Per Project</v>
      </c>
      <c r="G92" s="704" t="str">
        <f t="shared" si="764"/>
        <v>Incremental Cost</v>
      </c>
      <c r="H92" s="704">
        <f t="shared" si="764"/>
        <v>16470.297019164434</v>
      </c>
      <c r="I92" s="704">
        <f t="shared" si="764"/>
        <v>0</v>
      </c>
      <c r="J92" s="704">
        <f t="shared" si="764"/>
        <v>16470.297019164434</v>
      </c>
      <c r="K92" s="704">
        <f t="shared" si="764"/>
        <v>0</v>
      </c>
      <c r="L92" s="704">
        <f t="shared" si="764"/>
        <v>8235.1485095822172</v>
      </c>
      <c r="M92" s="707" t="str">
        <f t="shared" si="764"/>
        <v xml:space="preserve">Benchmarking custom projects from other utilties to estimate incremental cost. Roughly $0.22 per kWh saved as incermental costs. </v>
      </c>
      <c r="N92" s="704">
        <f t="shared" si="764"/>
        <v>2300</v>
      </c>
      <c r="O92" s="704">
        <f t="shared" si="764"/>
        <v>2300</v>
      </c>
      <c r="P92" s="704">
        <f t="shared" si="764"/>
        <v>0</v>
      </c>
      <c r="Q92" s="704">
        <f t="shared" si="764"/>
        <v>0</v>
      </c>
      <c r="R92" s="1021">
        <f t="shared" si="764"/>
        <v>74466</v>
      </c>
      <c r="S92" s="872">
        <f t="shared" si="764"/>
        <v>11.614285714285714</v>
      </c>
      <c r="T92" s="1022">
        <f t="shared" si="764"/>
        <v>596.10857142857151</v>
      </c>
      <c r="U92" s="711" t="str">
        <f t="shared" si="764"/>
        <v>Estimated savings from LG&amp;E and KU projections and 2016 program data.</v>
      </c>
      <c r="V92" s="716">
        <f t="shared" si="764"/>
        <v>0</v>
      </c>
      <c r="W92" s="711">
        <f t="shared" si="764"/>
        <v>1</v>
      </c>
      <c r="X92" s="781">
        <f t="shared" ref="X92:AJ92" si="765">X35/2</f>
        <v>0</v>
      </c>
      <c r="Y92" s="781">
        <f t="shared" si="765"/>
        <v>0</v>
      </c>
      <c r="Z92" s="781">
        <f t="shared" si="765"/>
        <v>0</v>
      </c>
      <c r="AA92" s="781">
        <f t="shared" si="765"/>
        <v>0</v>
      </c>
      <c r="AB92" s="781">
        <f t="shared" si="765"/>
        <v>0</v>
      </c>
      <c r="AC92" s="781">
        <f t="shared" si="765"/>
        <v>0</v>
      </c>
      <c r="AD92" s="781">
        <f t="shared" si="765"/>
        <v>0.5</v>
      </c>
      <c r="AE92" s="781">
        <f t="shared" si="765"/>
        <v>0</v>
      </c>
      <c r="AF92" s="781">
        <f t="shared" si="765"/>
        <v>0.5</v>
      </c>
      <c r="AG92" s="781">
        <f t="shared" si="765"/>
        <v>0</v>
      </c>
      <c r="AH92" s="781">
        <f t="shared" si="765"/>
        <v>0.5</v>
      </c>
      <c r="AI92" s="781">
        <f t="shared" si="765"/>
        <v>0</v>
      </c>
      <c r="AJ92" s="781">
        <f t="shared" si="765"/>
        <v>0.5</v>
      </c>
      <c r="AK92" s="711" t="str">
        <f t="shared" ref="AK92:AZ92" si="766">AK35</f>
        <v>Both</v>
      </c>
      <c r="AL92" s="711" t="str">
        <f t="shared" si="766"/>
        <v>Commercial</v>
      </c>
      <c r="AM92" s="711" t="str">
        <f t="shared" si="766"/>
        <v>Large Office</v>
      </c>
      <c r="AN92" s="711" t="str">
        <f t="shared" si="766"/>
        <v>All</v>
      </c>
      <c r="AO92" s="711" t="str">
        <f t="shared" si="766"/>
        <v>New</v>
      </c>
      <c r="AP92" s="711">
        <f t="shared" si="766"/>
        <v>0</v>
      </c>
      <c r="AQ92" s="711">
        <f t="shared" si="766"/>
        <v>0</v>
      </c>
      <c r="AR92" s="711">
        <f t="shared" si="766"/>
        <v>0</v>
      </c>
      <c r="AS92" s="711" t="str">
        <f t="shared" si="766"/>
        <v>OFFLGElecTotl</v>
      </c>
      <c r="AT92" s="715" t="s">
        <v>745</v>
      </c>
      <c r="AU92" s="1065" t="s">
        <v>771</v>
      </c>
      <c r="AV92" s="711">
        <f t="shared" si="766"/>
        <v>15</v>
      </c>
      <c r="AW92" s="711">
        <f t="shared" si="766"/>
        <v>15</v>
      </c>
      <c r="AX92" s="711" t="s">
        <v>769</v>
      </c>
      <c r="AY92" s="711">
        <f t="shared" si="766"/>
        <v>1</v>
      </c>
      <c r="AZ92" s="711">
        <f t="shared" si="766"/>
        <v>1</v>
      </c>
      <c r="BA92" s="1067">
        <v>0</v>
      </c>
      <c r="BB92" s="721">
        <f t="shared" si="493"/>
        <v>16470.297019164434</v>
      </c>
      <c r="BC92" s="499">
        <f t="shared" si="494"/>
        <v>16470.297019164434</v>
      </c>
      <c r="BD92" s="499">
        <f t="shared" si="495"/>
        <v>16470.297019164434</v>
      </c>
      <c r="BE92" s="499">
        <f t="shared" si="496"/>
        <v>16470.297019164434</v>
      </c>
      <c r="BF92" s="499">
        <f t="shared" si="497"/>
        <v>16470.297019164434</v>
      </c>
      <c r="BG92" s="499">
        <f t="shared" si="498"/>
        <v>16470.297019164434</v>
      </c>
      <c r="BH92" s="499">
        <f t="shared" si="499"/>
        <v>16470.297019164434</v>
      </c>
      <c r="BI92" s="721">
        <f t="shared" si="474"/>
        <v>0</v>
      </c>
      <c r="BJ92" s="499">
        <f t="shared" ref="BJ92:BM92" si="767">BI92</f>
        <v>0</v>
      </c>
      <c r="BK92" s="499">
        <f t="shared" si="767"/>
        <v>0</v>
      </c>
      <c r="BL92" s="499">
        <f t="shared" si="767"/>
        <v>0</v>
      </c>
      <c r="BM92" s="499">
        <f t="shared" si="767"/>
        <v>0</v>
      </c>
      <c r="BN92" s="499">
        <f t="shared" si="501"/>
        <v>0</v>
      </c>
      <c r="BO92" s="499">
        <f t="shared" si="502"/>
        <v>0</v>
      </c>
      <c r="BP92" s="721">
        <f t="shared" si="476"/>
        <v>2300</v>
      </c>
      <c r="BQ92" s="499">
        <f t="shared" si="477"/>
        <v>2300</v>
      </c>
      <c r="BR92" s="499">
        <f t="shared" si="503"/>
        <v>2300</v>
      </c>
      <c r="BS92" s="499">
        <f t="shared" si="504"/>
        <v>2300</v>
      </c>
      <c r="BT92" s="499">
        <f t="shared" si="505"/>
        <v>2300</v>
      </c>
      <c r="BU92" s="499">
        <f t="shared" si="506"/>
        <v>2300</v>
      </c>
      <c r="BV92" s="499">
        <f t="shared" si="507"/>
        <v>2300</v>
      </c>
      <c r="BW92" s="774">
        <f t="shared" si="508"/>
        <v>0</v>
      </c>
      <c r="BX92" s="503">
        <f t="shared" si="508"/>
        <v>0</v>
      </c>
      <c r="BY92" s="503">
        <f t="shared" si="508"/>
        <v>0</v>
      </c>
      <c r="BZ92" s="503">
        <f t="shared" si="508"/>
        <v>0</v>
      </c>
      <c r="CA92" s="503">
        <f t="shared" si="508"/>
        <v>0</v>
      </c>
      <c r="CB92" s="503">
        <f t="shared" si="508"/>
        <v>0</v>
      </c>
      <c r="CC92" s="503">
        <f t="shared" si="508"/>
        <v>0</v>
      </c>
      <c r="CD92" s="722">
        <f t="shared" si="484"/>
        <v>74466</v>
      </c>
      <c r="CE92" s="511">
        <f t="shared" ref="CE92:CH92" si="768">CD92</f>
        <v>74466</v>
      </c>
      <c r="CF92" s="511">
        <f t="shared" si="768"/>
        <v>74466</v>
      </c>
      <c r="CG92" s="511">
        <f t="shared" si="768"/>
        <v>74466</v>
      </c>
      <c r="CH92" s="511">
        <f t="shared" si="768"/>
        <v>74466</v>
      </c>
      <c r="CI92" s="511">
        <f t="shared" si="510"/>
        <v>74466</v>
      </c>
      <c r="CJ92" s="511">
        <f t="shared" si="511"/>
        <v>74466</v>
      </c>
      <c r="CK92" s="722">
        <f t="shared" si="486"/>
        <v>11.614285714285714</v>
      </c>
      <c r="CL92" s="511">
        <f t="shared" ref="CL92:CO92" si="769">CK92</f>
        <v>11.614285714285714</v>
      </c>
      <c r="CM92" s="511">
        <f t="shared" si="769"/>
        <v>11.614285714285714</v>
      </c>
      <c r="CN92" s="511">
        <f t="shared" si="769"/>
        <v>11.614285714285714</v>
      </c>
      <c r="CO92" s="511">
        <f t="shared" si="769"/>
        <v>11.614285714285714</v>
      </c>
      <c r="CP92" s="511">
        <f t="shared" si="513"/>
        <v>11.614285714285714</v>
      </c>
      <c r="CQ92" s="511">
        <f t="shared" si="514"/>
        <v>11.614285714285714</v>
      </c>
      <c r="CR92" s="722">
        <f t="shared" si="488"/>
        <v>0</v>
      </c>
      <c r="CS92" s="511">
        <f t="shared" ref="CS92:CV92" si="770">CR92</f>
        <v>0</v>
      </c>
      <c r="CT92" s="511">
        <f t="shared" si="770"/>
        <v>0</v>
      </c>
      <c r="CU92" s="511">
        <f t="shared" si="770"/>
        <v>0</v>
      </c>
      <c r="CV92" s="511">
        <f t="shared" si="770"/>
        <v>0</v>
      </c>
      <c r="CW92" s="511">
        <f t="shared" si="516"/>
        <v>0</v>
      </c>
      <c r="CX92" s="539">
        <f t="shared" si="517"/>
        <v>0</v>
      </c>
      <c r="CY92" s="724">
        <f t="shared" si="560"/>
        <v>8235.1485095822172</v>
      </c>
      <c r="CZ92" s="508">
        <f t="shared" si="561"/>
        <v>0</v>
      </c>
      <c r="DA92" s="508">
        <f t="shared" si="562"/>
        <v>8235.1485095822172</v>
      </c>
      <c r="DB92" s="508">
        <f t="shared" si="563"/>
        <v>0</v>
      </c>
      <c r="DC92" s="508">
        <f t="shared" si="564"/>
        <v>8235.1485095822172</v>
      </c>
      <c r="DD92" s="508">
        <f t="shared" si="565"/>
        <v>0</v>
      </c>
      <c r="DE92" s="726">
        <f t="shared" si="566"/>
        <v>8235.1485095822172</v>
      </c>
      <c r="DF92" s="724">
        <f t="shared" si="567"/>
        <v>0</v>
      </c>
      <c r="DG92" s="509">
        <f t="shared" si="568"/>
        <v>0</v>
      </c>
      <c r="DH92" s="509">
        <f t="shared" si="569"/>
        <v>0</v>
      </c>
      <c r="DI92" s="509">
        <f t="shared" si="570"/>
        <v>0</v>
      </c>
      <c r="DJ92" s="509">
        <f t="shared" si="571"/>
        <v>0</v>
      </c>
      <c r="DK92" s="509">
        <f t="shared" si="572"/>
        <v>0</v>
      </c>
      <c r="DL92" s="451">
        <f t="shared" si="573"/>
        <v>0</v>
      </c>
      <c r="DM92" s="509">
        <f t="shared" si="574"/>
        <v>1150</v>
      </c>
      <c r="DN92" s="509">
        <f t="shared" si="575"/>
        <v>0</v>
      </c>
      <c r="DO92" s="509">
        <f t="shared" si="576"/>
        <v>1150</v>
      </c>
      <c r="DP92" s="509">
        <f t="shared" si="577"/>
        <v>0</v>
      </c>
      <c r="DQ92" s="509">
        <f t="shared" si="578"/>
        <v>1150</v>
      </c>
      <c r="DR92" s="509">
        <f t="shared" si="579"/>
        <v>0</v>
      </c>
      <c r="DS92" s="450">
        <f t="shared" si="580"/>
        <v>1150</v>
      </c>
      <c r="DT92" s="724">
        <f t="shared" si="581"/>
        <v>0</v>
      </c>
      <c r="DU92" s="508">
        <f t="shared" si="582"/>
        <v>0</v>
      </c>
      <c r="DV92" s="508">
        <f t="shared" si="583"/>
        <v>0</v>
      </c>
      <c r="DW92" s="508">
        <f t="shared" si="584"/>
        <v>0</v>
      </c>
      <c r="DX92" s="508">
        <f t="shared" si="585"/>
        <v>0</v>
      </c>
      <c r="DY92" s="508">
        <f t="shared" si="586"/>
        <v>0</v>
      </c>
      <c r="DZ92" s="726">
        <f t="shared" si="587"/>
        <v>0</v>
      </c>
      <c r="EA92" s="722">
        <f t="shared" si="588"/>
        <v>37233</v>
      </c>
      <c r="EB92" s="511">
        <f t="shared" si="589"/>
        <v>0</v>
      </c>
      <c r="EC92" s="511">
        <f t="shared" si="590"/>
        <v>37233</v>
      </c>
      <c r="ED92" s="511">
        <f t="shared" si="591"/>
        <v>0</v>
      </c>
      <c r="EE92" s="511">
        <f t="shared" si="592"/>
        <v>37233</v>
      </c>
      <c r="EF92" s="511">
        <f t="shared" si="593"/>
        <v>0</v>
      </c>
      <c r="EG92" s="723">
        <f t="shared" si="594"/>
        <v>37233</v>
      </c>
      <c r="EH92" s="397">
        <f t="shared" si="595"/>
        <v>5.8071428571428569</v>
      </c>
      <c r="EI92" s="397">
        <f t="shared" si="596"/>
        <v>0</v>
      </c>
      <c r="EJ92" s="397">
        <f t="shared" si="597"/>
        <v>5.8071428571428569</v>
      </c>
      <c r="EK92" s="397">
        <f t="shared" si="598"/>
        <v>0</v>
      </c>
      <c r="EL92" s="397">
        <f t="shared" si="599"/>
        <v>5.8071428571428569</v>
      </c>
      <c r="EM92" s="397">
        <f t="shared" si="600"/>
        <v>0</v>
      </c>
      <c r="EN92" s="398">
        <f t="shared" si="601"/>
        <v>5.8071428571428569</v>
      </c>
      <c r="EO92" s="722">
        <f t="shared" si="602"/>
        <v>0</v>
      </c>
      <c r="EP92" s="511">
        <f t="shared" si="603"/>
        <v>0</v>
      </c>
      <c r="EQ92" s="511">
        <f t="shared" si="604"/>
        <v>0</v>
      </c>
      <c r="ER92" s="511">
        <f t="shared" si="605"/>
        <v>0</v>
      </c>
      <c r="ES92" s="511">
        <f t="shared" si="606"/>
        <v>0</v>
      </c>
      <c r="ET92" s="511">
        <f t="shared" si="607"/>
        <v>0</v>
      </c>
      <c r="EU92" s="723">
        <f t="shared" si="608"/>
        <v>0</v>
      </c>
      <c r="EV92" s="727">
        <f t="shared" si="609"/>
        <v>1</v>
      </c>
      <c r="EW92" s="728">
        <f t="shared" si="610"/>
        <v>32940.594038328869</v>
      </c>
      <c r="EX92" s="728">
        <f t="shared" si="611"/>
        <v>0</v>
      </c>
      <c r="EY92" s="728">
        <f t="shared" si="612"/>
        <v>4600</v>
      </c>
      <c r="EZ92" s="728">
        <f t="shared" si="613"/>
        <v>0</v>
      </c>
      <c r="FA92" s="777">
        <f t="shared" si="614"/>
        <v>148932</v>
      </c>
      <c r="FB92" s="777">
        <f t="shared" si="615"/>
        <v>23.228571428571428</v>
      </c>
      <c r="FC92" s="778">
        <f t="shared" si="616"/>
        <v>0</v>
      </c>
      <c r="FE92" s="10"/>
      <c r="FF92" s="10"/>
    </row>
    <row r="93" spans="1:162">
      <c r="A93" s="662" t="s">
        <v>215</v>
      </c>
      <c r="B93" s="789" t="s">
        <v>1385</v>
      </c>
      <c r="C93" s="789" t="str">
        <f t="shared" ref="C93:W93" si="771">C36</f>
        <v>Commercial New Construction Tier 3 - 20% Over Code</v>
      </c>
      <c r="D93" s="789" t="str">
        <f t="shared" si="771"/>
        <v>State and Federal Energy Code</v>
      </c>
      <c r="E93" s="789" t="str">
        <f t="shared" si="771"/>
        <v>Per Project</v>
      </c>
      <c r="F93" s="789" t="str">
        <f t="shared" si="771"/>
        <v>Per Project</v>
      </c>
      <c r="G93" s="704" t="str">
        <f t="shared" si="771"/>
        <v>Incremental Cost</v>
      </c>
      <c r="H93" s="704">
        <f t="shared" si="771"/>
        <v>21960.396025552582</v>
      </c>
      <c r="I93" s="704">
        <f t="shared" si="771"/>
        <v>0</v>
      </c>
      <c r="J93" s="704">
        <f t="shared" si="771"/>
        <v>21960.396025552582</v>
      </c>
      <c r="K93" s="704">
        <f t="shared" si="771"/>
        <v>0</v>
      </c>
      <c r="L93" s="704">
        <f t="shared" si="771"/>
        <v>10980.198012776291</v>
      </c>
      <c r="M93" s="707" t="str">
        <f t="shared" si="771"/>
        <v xml:space="preserve">Benchmarking custom projects from other utilties to estimate incremental cost. Roughly $0.22 per kWh saved as incermental costs. </v>
      </c>
      <c r="N93" s="704">
        <f t="shared" si="771"/>
        <v>3000</v>
      </c>
      <c r="O93" s="704">
        <f t="shared" si="771"/>
        <v>3000</v>
      </c>
      <c r="P93" s="704">
        <f t="shared" si="771"/>
        <v>0</v>
      </c>
      <c r="Q93" s="704">
        <f t="shared" si="771"/>
        <v>0</v>
      </c>
      <c r="R93" s="1021">
        <f t="shared" si="771"/>
        <v>99288.000000000015</v>
      </c>
      <c r="S93" s="872">
        <f t="shared" si="771"/>
        <v>15.485714285714286</v>
      </c>
      <c r="T93" s="1022">
        <f t="shared" si="771"/>
        <v>794.81142857142868</v>
      </c>
      <c r="U93" s="711" t="str">
        <f t="shared" si="771"/>
        <v>Estimated savings from LG&amp;E and KU projections and 2016 program data.</v>
      </c>
      <c r="V93" s="716">
        <f t="shared" si="771"/>
        <v>0</v>
      </c>
      <c r="W93" s="711">
        <f t="shared" si="771"/>
        <v>1</v>
      </c>
      <c r="X93" s="781">
        <f t="shared" ref="X93:AJ93" si="772">X36/2</f>
        <v>0</v>
      </c>
      <c r="Y93" s="781">
        <f t="shared" si="772"/>
        <v>0.5</v>
      </c>
      <c r="Z93" s="781">
        <f t="shared" si="772"/>
        <v>0</v>
      </c>
      <c r="AA93" s="781">
        <f t="shared" si="772"/>
        <v>0</v>
      </c>
      <c r="AB93" s="781">
        <f t="shared" si="772"/>
        <v>0</v>
      </c>
      <c r="AC93" s="781">
        <f t="shared" si="772"/>
        <v>0.5</v>
      </c>
      <c r="AD93" s="781">
        <f t="shared" si="772"/>
        <v>0</v>
      </c>
      <c r="AE93" s="781">
        <f t="shared" si="772"/>
        <v>0</v>
      </c>
      <c r="AF93" s="781">
        <f t="shared" si="772"/>
        <v>0.5</v>
      </c>
      <c r="AG93" s="781">
        <f t="shared" si="772"/>
        <v>0</v>
      </c>
      <c r="AH93" s="781">
        <f t="shared" si="772"/>
        <v>0</v>
      </c>
      <c r="AI93" s="781">
        <f t="shared" si="772"/>
        <v>0.5</v>
      </c>
      <c r="AJ93" s="781">
        <f t="shared" si="772"/>
        <v>0</v>
      </c>
      <c r="AK93" s="711" t="str">
        <f t="shared" ref="AK93:AZ93" si="773">AK36</f>
        <v>Both</v>
      </c>
      <c r="AL93" s="711" t="str">
        <f t="shared" si="773"/>
        <v>Commercial</v>
      </c>
      <c r="AM93" s="711" t="str">
        <f t="shared" si="773"/>
        <v>Large Office</v>
      </c>
      <c r="AN93" s="711" t="str">
        <f t="shared" si="773"/>
        <v>All</v>
      </c>
      <c r="AO93" s="711" t="str">
        <f t="shared" si="773"/>
        <v>New</v>
      </c>
      <c r="AP93" s="711">
        <f t="shared" si="773"/>
        <v>0</v>
      </c>
      <c r="AQ93" s="711">
        <f t="shared" si="773"/>
        <v>0</v>
      </c>
      <c r="AR93" s="711">
        <f t="shared" si="773"/>
        <v>0</v>
      </c>
      <c r="AS93" s="711" t="str">
        <f t="shared" si="773"/>
        <v>OFFLGElecTotl</v>
      </c>
      <c r="AT93" s="715" t="s">
        <v>745</v>
      </c>
      <c r="AU93" s="1065" t="s">
        <v>771</v>
      </c>
      <c r="AV93" s="711">
        <f t="shared" si="773"/>
        <v>15</v>
      </c>
      <c r="AW93" s="711">
        <f t="shared" si="773"/>
        <v>15</v>
      </c>
      <c r="AX93" s="711" t="s">
        <v>769</v>
      </c>
      <c r="AY93" s="711">
        <f t="shared" si="773"/>
        <v>1</v>
      </c>
      <c r="AZ93" s="711">
        <f t="shared" si="773"/>
        <v>1</v>
      </c>
      <c r="BA93" s="1067">
        <v>0</v>
      </c>
      <c r="BB93" s="721">
        <f t="shared" si="493"/>
        <v>21960.396025552582</v>
      </c>
      <c r="BC93" s="499">
        <f t="shared" si="494"/>
        <v>21960.396025552582</v>
      </c>
      <c r="BD93" s="499">
        <f t="shared" si="495"/>
        <v>21960.396025552582</v>
      </c>
      <c r="BE93" s="499">
        <f t="shared" si="496"/>
        <v>21960.396025552582</v>
      </c>
      <c r="BF93" s="499">
        <f t="shared" si="497"/>
        <v>21960.396025552582</v>
      </c>
      <c r="BG93" s="499">
        <f t="shared" si="498"/>
        <v>21960.396025552582</v>
      </c>
      <c r="BH93" s="499">
        <f t="shared" si="499"/>
        <v>21960.396025552582</v>
      </c>
      <c r="BI93" s="721">
        <f t="shared" si="474"/>
        <v>0</v>
      </c>
      <c r="BJ93" s="499">
        <f t="shared" ref="BJ93:BM93" si="774">BI93</f>
        <v>0</v>
      </c>
      <c r="BK93" s="499">
        <f t="shared" si="774"/>
        <v>0</v>
      </c>
      <c r="BL93" s="499">
        <f t="shared" si="774"/>
        <v>0</v>
      </c>
      <c r="BM93" s="499">
        <f t="shared" si="774"/>
        <v>0</v>
      </c>
      <c r="BN93" s="499">
        <f t="shared" si="501"/>
        <v>0</v>
      </c>
      <c r="BO93" s="499">
        <f t="shared" si="502"/>
        <v>0</v>
      </c>
      <c r="BP93" s="721">
        <f t="shared" si="476"/>
        <v>3000</v>
      </c>
      <c r="BQ93" s="499">
        <f t="shared" si="477"/>
        <v>3000</v>
      </c>
      <c r="BR93" s="499">
        <f t="shared" si="503"/>
        <v>3000</v>
      </c>
      <c r="BS93" s="499">
        <f t="shared" si="504"/>
        <v>3000</v>
      </c>
      <c r="BT93" s="499">
        <f t="shared" si="505"/>
        <v>3000</v>
      </c>
      <c r="BU93" s="499">
        <f t="shared" si="506"/>
        <v>3000</v>
      </c>
      <c r="BV93" s="499">
        <f t="shared" si="507"/>
        <v>3000</v>
      </c>
      <c r="BW93" s="774">
        <f t="shared" si="508"/>
        <v>0</v>
      </c>
      <c r="BX93" s="503">
        <f t="shared" si="508"/>
        <v>0</v>
      </c>
      <c r="BY93" s="503">
        <f t="shared" si="508"/>
        <v>0</v>
      </c>
      <c r="BZ93" s="503">
        <f t="shared" si="508"/>
        <v>0</v>
      </c>
      <c r="CA93" s="503">
        <f t="shared" si="508"/>
        <v>0</v>
      </c>
      <c r="CB93" s="503">
        <f t="shared" si="508"/>
        <v>0</v>
      </c>
      <c r="CC93" s="503">
        <f t="shared" si="508"/>
        <v>0</v>
      </c>
      <c r="CD93" s="722">
        <f t="shared" si="484"/>
        <v>99288.000000000015</v>
      </c>
      <c r="CE93" s="511">
        <f t="shared" ref="CE93:CH93" si="775">CD93</f>
        <v>99288.000000000015</v>
      </c>
      <c r="CF93" s="511">
        <f t="shared" si="775"/>
        <v>99288.000000000015</v>
      </c>
      <c r="CG93" s="511">
        <f t="shared" si="775"/>
        <v>99288.000000000015</v>
      </c>
      <c r="CH93" s="511">
        <f t="shared" si="775"/>
        <v>99288.000000000015</v>
      </c>
      <c r="CI93" s="511">
        <f t="shared" si="510"/>
        <v>99288.000000000015</v>
      </c>
      <c r="CJ93" s="511">
        <f t="shared" si="511"/>
        <v>99288.000000000015</v>
      </c>
      <c r="CK93" s="722">
        <f t="shared" si="486"/>
        <v>15.485714285714286</v>
      </c>
      <c r="CL93" s="511">
        <f t="shared" ref="CL93:CO93" si="776">CK93</f>
        <v>15.485714285714286</v>
      </c>
      <c r="CM93" s="511">
        <f t="shared" si="776"/>
        <v>15.485714285714286</v>
      </c>
      <c r="CN93" s="511">
        <f t="shared" si="776"/>
        <v>15.485714285714286</v>
      </c>
      <c r="CO93" s="511">
        <f t="shared" si="776"/>
        <v>15.485714285714286</v>
      </c>
      <c r="CP93" s="511">
        <f t="shared" si="513"/>
        <v>15.485714285714286</v>
      </c>
      <c r="CQ93" s="511">
        <f t="shared" si="514"/>
        <v>15.485714285714286</v>
      </c>
      <c r="CR93" s="722">
        <f t="shared" si="488"/>
        <v>0</v>
      </c>
      <c r="CS93" s="511">
        <f t="shared" ref="CS93:CV93" si="777">CR93</f>
        <v>0</v>
      </c>
      <c r="CT93" s="511">
        <f t="shared" si="777"/>
        <v>0</v>
      </c>
      <c r="CU93" s="511">
        <f t="shared" si="777"/>
        <v>0</v>
      </c>
      <c r="CV93" s="511">
        <f t="shared" si="777"/>
        <v>0</v>
      </c>
      <c r="CW93" s="511">
        <f t="shared" si="516"/>
        <v>0</v>
      </c>
      <c r="CX93" s="539">
        <f t="shared" si="517"/>
        <v>0</v>
      </c>
      <c r="CY93" s="724">
        <f t="shared" si="560"/>
        <v>0</v>
      </c>
      <c r="CZ93" s="508">
        <f t="shared" si="561"/>
        <v>0</v>
      </c>
      <c r="DA93" s="508">
        <f t="shared" si="562"/>
        <v>10980.198012776291</v>
      </c>
      <c r="DB93" s="508">
        <f t="shared" si="563"/>
        <v>0</v>
      </c>
      <c r="DC93" s="508">
        <f t="shared" si="564"/>
        <v>0</v>
      </c>
      <c r="DD93" s="508">
        <f t="shared" si="565"/>
        <v>10980.198012776291</v>
      </c>
      <c r="DE93" s="726">
        <f t="shared" si="566"/>
        <v>0</v>
      </c>
      <c r="DF93" s="724">
        <f t="shared" si="567"/>
        <v>0</v>
      </c>
      <c r="DG93" s="509">
        <f t="shared" si="568"/>
        <v>0</v>
      </c>
      <c r="DH93" s="509">
        <f t="shared" si="569"/>
        <v>0</v>
      </c>
      <c r="DI93" s="509">
        <f t="shared" si="570"/>
        <v>0</v>
      </c>
      <c r="DJ93" s="509">
        <f t="shared" si="571"/>
        <v>0</v>
      </c>
      <c r="DK93" s="509">
        <f t="shared" si="572"/>
        <v>0</v>
      </c>
      <c r="DL93" s="451">
        <f t="shared" si="573"/>
        <v>0</v>
      </c>
      <c r="DM93" s="509">
        <f t="shared" si="574"/>
        <v>0</v>
      </c>
      <c r="DN93" s="509">
        <f t="shared" si="575"/>
        <v>0</v>
      </c>
      <c r="DO93" s="509">
        <f t="shared" si="576"/>
        <v>1500</v>
      </c>
      <c r="DP93" s="509">
        <f t="shared" si="577"/>
        <v>0</v>
      </c>
      <c r="DQ93" s="509">
        <f t="shared" si="578"/>
        <v>0</v>
      </c>
      <c r="DR93" s="509">
        <f t="shared" si="579"/>
        <v>1500</v>
      </c>
      <c r="DS93" s="450">
        <f t="shared" si="580"/>
        <v>0</v>
      </c>
      <c r="DT93" s="724">
        <f t="shared" si="581"/>
        <v>0</v>
      </c>
      <c r="DU93" s="508">
        <f t="shared" si="582"/>
        <v>0</v>
      </c>
      <c r="DV93" s="508">
        <f t="shared" si="583"/>
        <v>0</v>
      </c>
      <c r="DW93" s="508">
        <f t="shared" si="584"/>
        <v>0</v>
      </c>
      <c r="DX93" s="508">
        <f t="shared" si="585"/>
        <v>0</v>
      </c>
      <c r="DY93" s="508">
        <f t="shared" si="586"/>
        <v>0</v>
      </c>
      <c r="DZ93" s="726">
        <f t="shared" si="587"/>
        <v>0</v>
      </c>
      <c r="EA93" s="722">
        <f t="shared" si="588"/>
        <v>0</v>
      </c>
      <c r="EB93" s="511">
        <f t="shared" si="589"/>
        <v>0</v>
      </c>
      <c r="EC93" s="511">
        <f t="shared" si="590"/>
        <v>49644.000000000007</v>
      </c>
      <c r="ED93" s="511">
        <f t="shared" si="591"/>
        <v>0</v>
      </c>
      <c r="EE93" s="511">
        <f t="shared" si="592"/>
        <v>0</v>
      </c>
      <c r="EF93" s="511">
        <f t="shared" si="593"/>
        <v>49644.000000000007</v>
      </c>
      <c r="EG93" s="723">
        <f t="shared" si="594"/>
        <v>0</v>
      </c>
      <c r="EH93" s="397">
        <f t="shared" si="595"/>
        <v>0</v>
      </c>
      <c r="EI93" s="397">
        <f t="shared" si="596"/>
        <v>0</v>
      </c>
      <c r="EJ93" s="397">
        <f t="shared" si="597"/>
        <v>7.7428571428571429</v>
      </c>
      <c r="EK93" s="397">
        <f t="shared" si="598"/>
        <v>0</v>
      </c>
      <c r="EL93" s="397">
        <f t="shared" si="599"/>
        <v>0</v>
      </c>
      <c r="EM93" s="397">
        <f t="shared" si="600"/>
        <v>7.7428571428571429</v>
      </c>
      <c r="EN93" s="398">
        <f t="shared" si="601"/>
        <v>0</v>
      </c>
      <c r="EO93" s="722">
        <f t="shared" si="602"/>
        <v>0</v>
      </c>
      <c r="EP93" s="511">
        <f t="shared" si="603"/>
        <v>0</v>
      </c>
      <c r="EQ93" s="511">
        <f t="shared" si="604"/>
        <v>0</v>
      </c>
      <c r="ER93" s="511">
        <f t="shared" si="605"/>
        <v>0</v>
      </c>
      <c r="ES93" s="511">
        <f t="shared" si="606"/>
        <v>0</v>
      </c>
      <c r="ET93" s="511">
        <f t="shared" si="607"/>
        <v>0</v>
      </c>
      <c r="EU93" s="723">
        <f t="shared" si="608"/>
        <v>0</v>
      </c>
      <c r="EV93" s="727">
        <f t="shared" si="609"/>
        <v>0.5</v>
      </c>
      <c r="EW93" s="728">
        <f t="shared" si="610"/>
        <v>21960.396025552582</v>
      </c>
      <c r="EX93" s="728">
        <f t="shared" si="611"/>
        <v>0</v>
      </c>
      <c r="EY93" s="728">
        <f t="shared" si="612"/>
        <v>3000</v>
      </c>
      <c r="EZ93" s="728">
        <f t="shared" si="613"/>
        <v>0</v>
      </c>
      <c r="FA93" s="777">
        <f t="shared" si="614"/>
        <v>99288.000000000015</v>
      </c>
      <c r="FB93" s="777">
        <f t="shared" si="615"/>
        <v>15.485714285714286</v>
      </c>
      <c r="FC93" s="778">
        <f t="shared" si="616"/>
        <v>0</v>
      </c>
      <c r="FE93" s="10"/>
      <c r="FF93" s="10"/>
    </row>
    <row r="94" spans="1:162">
      <c r="A94" s="662" t="s">
        <v>216</v>
      </c>
      <c r="B94" s="789" t="s">
        <v>1386</v>
      </c>
      <c r="C94" s="789" t="str">
        <f t="shared" ref="C94:W94" si="778">C37</f>
        <v>Commercial New Construction Tier 4 - 25% Over Code</v>
      </c>
      <c r="D94" s="789" t="str">
        <f t="shared" si="778"/>
        <v>State and Federal Energy Code</v>
      </c>
      <c r="E94" s="789" t="str">
        <f t="shared" si="778"/>
        <v>Per Project</v>
      </c>
      <c r="F94" s="789" t="str">
        <f t="shared" si="778"/>
        <v>Per Project</v>
      </c>
      <c r="G94" s="704" t="str">
        <f t="shared" si="778"/>
        <v>Incremental Cost</v>
      </c>
      <c r="H94" s="704">
        <f t="shared" si="778"/>
        <v>27450.495031940722</v>
      </c>
      <c r="I94" s="704">
        <f t="shared" si="778"/>
        <v>0</v>
      </c>
      <c r="J94" s="704">
        <f t="shared" si="778"/>
        <v>27450.495031940722</v>
      </c>
      <c r="K94" s="704">
        <f t="shared" si="778"/>
        <v>0</v>
      </c>
      <c r="L94" s="704">
        <f t="shared" si="778"/>
        <v>13725.247515970361</v>
      </c>
      <c r="M94" s="707" t="str">
        <f t="shared" si="778"/>
        <v xml:space="preserve">Benchmarking custom projects from other utilties to estimate incremental cost. Roughly $0.22 per kWh saved as incermental costs. </v>
      </c>
      <c r="N94" s="704">
        <f t="shared" si="778"/>
        <v>3800</v>
      </c>
      <c r="O94" s="704">
        <f t="shared" si="778"/>
        <v>3800</v>
      </c>
      <c r="P94" s="704">
        <f t="shared" si="778"/>
        <v>0</v>
      </c>
      <c r="Q94" s="704">
        <f t="shared" si="778"/>
        <v>0</v>
      </c>
      <c r="R94" s="1021">
        <f t="shared" si="778"/>
        <v>124110</v>
      </c>
      <c r="S94" s="872">
        <f t="shared" si="778"/>
        <v>19.357142857142858</v>
      </c>
      <c r="T94" s="1022">
        <f t="shared" si="778"/>
        <v>993.51428571428573</v>
      </c>
      <c r="U94" s="711" t="str">
        <f t="shared" si="778"/>
        <v>Estimated savings from LG&amp;E and KU projections and 2016 program data.</v>
      </c>
      <c r="V94" s="716">
        <f t="shared" si="778"/>
        <v>0</v>
      </c>
      <c r="W94" s="711">
        <f t="shared" si="778"/>
        <v>1</v>
      </c>
      <c r="X94" s="781">
        <f t="shared" ref="X94:AJ94" si="779">X37/2</f>
        <v>0</v>
      </c>
      <c r="Y94" s="781">
        <f t="shared" si="779"/>
        <v>0.5</v>
      </c>
      <c r="Z94" s="781">
        <f t="shared" si="779"/>
        <v>0</v>
      </c>
      <c r="AA94" s="781">
        <f t="shared" si="779"/>
        <v>0.8571428571428571</v>
      </c>
      <c r="AB94" s="781">
        <f t="shared" si="779"/>
        <v>0.42857142857142855</v>
      </c>
      <c r="AC94" s="781">
        <f t="shared" si="779"/>
        <v>0.5</v>
      </c>
      <c r="AD94" s="781">
        <f t="shared" si="779"/>
        <v>0.5</v>
      </c>
      <c r="AE94" s="781">
        <f t="shared" si="779"/>
        <v>0.5</v>
      </c>
      <c r="AF94" s="781">
        <f t="shared" si="779"/>
        <v>0.5</v>
      </c>
      <c r="AG94" s="781">
        <f t="shared" si="779"/>
        <v>0.5</v>
      </c>
      <c r="AH94" s="781">
        <f t="shared" si="779"/>
        <v>0.5</v>
      </c>
      <c r="AI94" s="781">
        <f t="shared" si="779"/>
        <v>0.5</v>
      </c>
      <c r="AJ94" s="781">
        <f t="shared" si="779"/>
        <v>0.5</v>
      </c>
      <c r="AK94" s="711" t="str">
        <f t="shared" ref="AK94:AZ94" si="780">AK37</f>
        <v>Both</v>
      </c>
      <c r="AL94" s="711" t="str">
        <f t="shared" si="780"/>
        <v>Commercial</v>
      </c>
      <c r="AM94" s="711" t="str">
        <f t="shared" si="780"/>
        <v>Large Office</v>
      </c>
      <c r="AN94" s="711" t="str">
        <f t="shared" si="780"/>
        <v>All</v>
      </c>
      <c r="AO94" s="711" t="str">
        <f t="shared" si="780"/>
        <v>New</v>
      </c>
      <c r="AP94" s="711">
        <f t="shared" si="780"/>
        <v>0</v>
      </c>
      <c r="AQ94" s="711">
        <f t="shared" si="780"/>
        <v>0</v>
      </c>
      <c r="AR94" s="711">
        <f t="shared" si="780"/>
        <v>0</v>
      </c>
      <c r="AS94" s="711" t="str">
        <f t="shared" si="780"/>
        <v>OFFLGElecTotl</v>
      </c>
      <c r="AT94" s="715" t="s">
        <v>745</v>
      </c>
      <c r="AU94" s="1065" t="s">
        <v>771</v>
      </c>
      <c r="AV94" s="711">
        <f t="shared" si="780"/>
        <v>15</v>
      </c>
      <c r="AW94" s="711">
        <f t="shared" si="780"/>
        <v>15</v>
      </c>
      <c r="AX94" s="711" t="s">
        <v>769</v>
      </c>
      <c r="AY94" s="711">
        <f t="shared" si="780"/>
        <v>1</v>
      </c>
      <c r="AZ94" s="711">
        <f t="shared" si="780"/>
        <v>1</v>
      </c>
      <c r="BA94" s="1067">
        <v>0</v>
      </c>
      <c r="BB94" s="721">
        <f t="shared" si="493"/>
        <v>27450.495031940722</v>
      </c>
      <c r="BC94" s="499">
        <f t="shared" si="494"/>
        <v>27450.495031940722</v>
      </c>
      <c r="BD94" s="499">
        <f t="shared" si="495"/>
        <v>27450.495031940722</v>
      </c>
      <c r="BE94" s="499">
        <f t="shared" si="496"/>
        <v>27450.495031940722</v>
      </c>
      <c r="BF94" s="499">
        <f t="shared" si="497"/>
        <v>27450.495031940722</v>
      </c>
      <c r="BG94" s="499">
        <f t="shared" si="498"/>
        <v>27450.495031940722</v>
      </c>
      <c r="BH94" s="499">
        <f t="shared" si="499"/>
        <v>27450.495031940722</v>
      </c>
      <c r="BI94" s="721">
        <f t="shared" si="474"/>
        <v>0</v>
      </c>
      <c r="BJ94" s="499">
        <f t="shared" ref="BJ94:BM94" si="781">BI94</f>
        <v>0</v>
      </c>
      <c r="BK94" s="499">
        <f t="shared" si="781"/>
        <v>0</v>
      </c>
      <c r="BL94" s="499">
        <f t="shared" si="781"/>
        <v>0</v>
      </c>
      <c r="BM94" s="499">
        <f t="shared" si="781"/>
        <v>0</v>
      </c>
      <c r="BN94" s="499">
        <f t="shared" si="501"/>
        <v>0</v>
      </c>
      <c r="BO94" s="499">
        <f t="shared" si="502"/>
        <v>0</v>
      </c>
      <c r="BP94" s="721">
        <f t="shared" si="476"/>
        <v>3800</v>
      </c>
      <c r="BQ94" s="499">
        <f t="shared" si="477"/>
        <v>3800</v>
      </c>
      <c r="BR94" s="499">
        <f t="shared" si="503"/>
        <v>3800</v>
      </c>
      <c r="BS94" s="499">
        <f t="shared" si="504"/>
        <v>3800</v>
      </c>
      <c r="BT94" s="499">
        <f t="shared" si="505"/>
        <v>3800</v>
      </c>
      <c r="BU94" s="499">
        <f t="shared" si="506"/>
        <v>3800</v>
      </c>
      <c r="BV94" s="499">
        <f t="shared" si="507"/>
        <v>3800</v>
      </c>
      <c r="BW94" s="774">
        <f t="shared" si="508"/>
        <v>0</v>
      </c>
      <c r="BX94" s="503">
        <f t="shared" si="508"/>
        <v>0</v>
      </c>
      <c r="BY94" s="503">
        <f t="shared" si="508"/>
        <v>0</v>
      </c>
      <c r="BZ94" s="503">
        <f t="shared" si="508"/>
        <v>0</v>
      </c>
      <c r="CA94" s="503">
        <f t="shared" si="508"/>
        <v>0</v>
      </c>
      <c r="CB94" s="503">
        <f t="shared" si="508"/>
        <v>0</v>
      </c>
      <c r="CC94" s="503">
        <f t="shared" si="508"/>
        <v>0</v>
      </c>
      <c r="CD94" s="722">
        <f t="shared" si="484"/>
        <v>124110</v>
      </c>
      <c r="CE94" s="511">
        <f t="shared" ref="CE94:CH94" si="782">CD94</f>
        <v>124110</v>
      </c>
      <c r="CF94" s="511">
        <f t="shared" si="782"/>
        <v>124110</v>
      </c>
      <c r="CG94" s="511">
        <f t="shared" si="782"/>
        <v>124110</v>
      </c>
      <c r="CH94" s="511">
        <f t="shared" si="782"/>
        <v>124110</v>
      </c>
      <c r="CI94" s="511">
        <f t="shared" si="510"/>
        <v>124110</v>
      </c>
      <c r="CJ94" s="511">
        <f t="shared" si="511"/>
        <v>124110</v>
      </c>
      <c r="CK94" s="722">
        <f t="shared" si="486"/>
        <v>19.357142857142858</v>
      </c>
      <c r="CL94" s="511">
        <f t="shared" ref="CL94:CO94" si="783">CK94</f>
        <v>19.357142857142858</v>
      </c>
      <c r="CM94" s="511">
        <f t="shared" si="783"/>
        <v>19.357142857142858</v>
      </c>
      <c r="CN94" s="511">
        <f t="shared" si="783"/>
        <v>19.357142857142858</v>
      </c>
      <c r="CO94" s="511">
        <f t="shared" si="783"/>
        <v>19.357142857142858</v>
      </c>
      <c r="CP94" s="511">
        <f t="shared" si="513"/>
        <v>19.357142857142858</v>
      </c>
      <c r="CQ94" s="511">
        <f t="shared" si="514"/>
        <v>19.357142857142858</v>
      </c>
      <c r="CR94" s="722">
        <f t="shared" si="488"/>
        <v>0</v>
      </c>
      <c r="CS94" s="511">
        <f t="shared" ref="CS94:CV94" si="784">CR94</f>
        <v>0</v>
      </c>
      <c r="CT94" s="511">
        <f t="shared" si="784"/>
        <v>0</v>
      </c>
      <c r="CU94" s="511">
        <f t="shared" si="784"/>
        <v>0</v>
      </c>
      <c r="CV94" s="511">
        <f t="shared" si="784"/>
        <v>0</v>
      </c>
      <c r="CW94" s="511">
        <f t="shared" si="516"/>
        <v>0</v>
      </c>
      <c r="CX94" s="539">
        <f t="shared" si="517"/>
        <v>0</v>
      </c>
      <c r="CY94" s="724">
        <f t="shared" si="560"/>
        <v>13725.247515970361</v>
      </c>
      <c r="CZ94" s="508">
        <f t="shared" si="561"/>
        <v>13725.247515970361</v>
      </c>
      <c r="DA94" s="508">
        <f t="shared" si="562"/>
        <v>13725.247515970361</v>
      </c>
      <c r="DB94" s="508">
        <f t="shared" si="563"/>
        <v>13725.247515970361</v>
      </c>
      <c r="DC94" s="508">
        <f t="shared" si="564"/>
        <v>13725.247515970361</v>
      </c>
      <c r="DD94" s="508">
        <f t="shared" si="565"/>
        <v>13725.247515970361</v>
      </c>
      <c r="DE94" s="726">
        <f t="shared" si="566"/>
        <v>13725.247515970361</v>
      </c>
      <c r="DF94" s="724">
        <f t="shared" si="567"/>
        <v>0</v>
      </c>
      <c r="DG94" s="509">
        <f t="shared" si="568"/>
        <v>0</v>
      </c>
      <c r="DH94" s="509">
        <f t="shared" si="569"/>
        <v>0</v>
      </c>
      <c r="DI94" s="509">
        <f t="shared" si="570"/>
        <v>0</v>
      </c>
      <c r="DJ94" s="509">
        <f t="shared" si="571"/>
        <v>0</v>
      </c>
      <c r="DK94" s="509">
        <f t="shared" si="572"/>
        <v>0</v>
      </c>
      <c r="DL94" s="451">
        <f t="shared" si="573"/>
        <v>0</v>
      </c>
      <c r="DM94" s="509">
        <f t="shared" si="574"/>
        <v>1900</v>
      </c>
      <c r="DN94" s="509">
        <f t="shared" si="575"/>
        <v>1900</v>
      </c>
      <c r="DO94" s="509">
        <f t="shared" si="576"/>
        <v>1900</v>
      </c>
      <c r="DP94" s="509">
        <f t="shared" si="577"/>
        <v>1900</v>
      </c>
      <c r="DQ94" s="509">
        <f t="shared" si="578"/>
        <v>1900</v>
      </c>
      <c r="DR94" s="509">
        <f t="shared" si="579"/>
        <v>1900</v>
      </c>
      <c r="DS94" s="450">
        <f t="shared" si="580"/>
        <v>1900</v>
      </c>
      <c r="DT94" s="724">
        <f t="shared" si="581"/>
        <v>0</v>
      </c>
      <c r="DU94" s="508">
        <f t="shared" si="582"/>
        <v>0</v>
      </c>
      <c r="DV94" s="508">
        <f t="shared" si="583"/>
        <v>0</v>
      </c>
      <c r="DW94" s="508">
        <f t="shared" si="584"/>
        <v>0</v>
      </c>
      <c r="DX94" s="508">
        <f t="shared" si="585"/>
        <v>0</v>
      </c>
      <c r="DY94" s="508">
        <f t="shared" si="586"/>
        <v>0</v>
      </c>
      <c r="DZ94" s="726">
        <f t="shared" si="587"/>
        <v>0</v>
      </c>
      <c r="EA94" s="722">
        <f t="shared" si="588"/>
        <v>62055</v>
      </c>
      <c r="EB94" s="511">
        <f t="shared" si="589"/>
        <v>62055</v>
      </c>
      <c r="EC94" s="511">
        <f t="shared" si="590"/>
        <v>62055</v>
      </c>
      <c r="ED94" s="511">
        <f t="shared" si="591"/>
        <v>62055</v>
      </c>
      <c r="EE94" s="511">
        <f t="shared" si="592"/>
        <v>62055</v>
      </c>
      <c r="EF94" s="511">
        <f t="shared" si="593"/>
        <v>62055</v>
      </c>
      <c r="EG94" s="723">
        <f t="shared" si="594"/>
        <v>62055</v>
      </c>
      <c r="EH94" s="397">
        <f t="shared" si="595"/>
        <v>9.6785714285714288</v>
      </c>
      <c r="EI94" s="397">
        <f t="shared" si="596"/>
        <v>9.6785714285714288</v>
      </c>
      <c r="EJ94" s="397">
        <f t="shared" si="597"/>
        <v>9.6785714285714288</v>
      </c>
      <c r="EK94" s="397">
        <f t="shared" si="598"/>
        <v>9.6785714285714288</v>
      </c>
      <c r="EL94" s="397">
        <f t="shared" si="599"/>
        <v>9.6785714285714288</v>
      </c>
      <c r="EM94" s="397">
        <f t="shared" si="600"/>
        <v>9.6785714285714288</v>
      </c>
      <c r="EN94" s="398">
        <f t="shared" si="601"/>
        <v>9.6785714285714288</v>
      </c>
      <c r="EO94" s="722">
        <f t="shared" si="602"/>
        <v>0</v>
      </c>
      <c r="EP94" s="511">
        <f t="shared" si="603"/>
        <v>0</v>
      </c>
      <c r="EQ94" s="511">
        <f t="shared" si="604"/>
        <v>0</v>
      </c>
      <c r="ER94" s="511">
        <f t="shared" si="605"/>
        <v>0</v>
      </c>
      <c r="ES94" s="511">
        <f t="shared" si="606"/>
        <v>0</v>
      </c>
      <c r="ET94" s="511">
        <f t="shared" si="607"/>
        <v>0</v>
      </c>
      <c r="EU94" s="723">
        <f t="shared" si="608"/>
        <v>0</v>
      </c>
      <c r="EV94" s="727">
        <f t="shared" si="609"/>
        <v>1.5</v>
      </c>
      <c r="EW94" s="728">
        <f t="shared" si="610"/>
        <v>96076.732611792526</v>
      </c>
      <c r="EX94" s="728">
        <f t="shared" si="611"/>
        <v>0</v>
      </c>
      <c r="EY94" s="728">
        <f t="shared" si="612"/>
        <v>13300</v>
      </c>
      <c r="EZ94" s="728">
        <f t="shared" si="613"/>
        <v>0</v>
      </c>
      <c r="FA94" s="777">
        <f t="shared" si="614"/>
        <v>434385</v>
      </c>
      <c r="FB94" s="777">
        <f t="shared" si="615"/>
        <v>67.75</v>
      </c>
      <c r="FC94" s="778">
        <f t="shared" si="616"/>
        <v>0</v>
      </c>
      <c r="FE94" s="10"/>
      <c r="FF94" s="10"/>
    </row>
    <row r="95" spans="1:162">
      <c r="A95" s="662" t="s">
        <v>217</v>
      </c>
      <c r="B95" s="789" t="s">
        <v>1387</v>
      </c>
      <c r="C95" s="789" t="str">
        <f t="shared" ref="C95:W95" si="785">C38</f>
        <v>Commercial New Construction Tier 1 - 10% Over Code</v>
      </c>
      <c r="D95" s="789" t="str">
        <f t="shared" si="785"/>
        <v>State and Federal Energy Code</v>
      </c>
      <c r="E95" s="789" t="str">
        <f t="shared" si="785"/>
        <v>Per Project</v>
      </c>
      <c r="F95" s="789" t="str">
        <f t="shared" si="785"/>
        <v>Per Project</v>
      </c>
      <c r="G95" s="704" t="str">
        <f t="shared" si="785"/>
        <v>Incremental Cost</v>
      </c>
      <c r="H95" s="704">
        <f t="shared" si="785"/>
        <v>32940.594038328869</v>
      </c>
      <c r="I95" s="704">
        <f t="shared" si="785"/>
        <v>0</v>
      </c>
      <c r="J95" s="704">
        <f t="shared" si="785"/>
        <v>32940.594038328869</v>
      </c>
      <c r="K95" s="704">
        <f t="shared" si="785"/>
        <v>0</v>
      </c>
      <c r="L95" s="704">
        <f t="shared" si="785"/>
        <v>16470.297019164434</v>
      </c>
      <c r="M95" s="707" t="str">
        <f t="shared" si="785"/>
        <v xml:space="preserve">Benchmarking custom projects from other utilties to estimate incremental cost. Roughly $0.22 per kWh saved as incermental costs. </v>
      </c>
      <c r="N95" s="704">
        <f t="shared" si="785"/>
        <v>4500</v>
      </c>
      <c r="O95" s="704">
        <f t="shared" si="785"/>
        <v>4500</v>
      </c>
      <c r="P95" s="704">
        <f t="shared" si="785"/>
        <v>0</v>
      </c>
      <c r="Q95" s="704">
        <f t="shared" si="785"/>
        <v>0</v>
      </c>
      <c r="R95" s="1021">
        <f t="shared" si="785"/>
        <v>148932</v>
      </c>
      <c r="S95" s="872">
        <f t="shared" si="785"/>
        <v>23.228571428571428</v>
      </c>
      <c r="T95" s="1022">
        <f t="shared" si="785"/>
        <v>1192.217142857143</v>
      </c>
      <c r="U95" s="711" t="str">
        <f t="shared" si="785"/>
        <v>Estimated savings from LG&amp;E and KU projections and 2016 program data.</v>
      </c>
      <c r="V95" s="716">
        <f t="shared" si="785"/>
        <v>0</v>
      </c>
      <c r="W95" s="711">
        <f t="shared" si="785"/>
        <v>1</v>
      </c>
      <c r="X95" s="781">
        <f t="shared" ref="X95:AJ95" si="786">X38/2</f>
        <v>0.5</v>
      </c>
      <c r="Y95" s="781">
        <f t="shared" si="786"/>
        <v>0</v>
      </c>
      <c r="Z95" s="781">
        <f t="shared" si="786"/>
        <v>0</v>
      </c>
      <c r="AA95" s="781">
        <f t="shared" si="786"/>
        <v>0</v>
      </c>
      <c r="AB95" s="781">
        <f t="shared" si="786"/>
        <v>0</v>
      </c>
      <c r="AC95" s="781">
        <f t="shared" si="786"/>
        <v>0</v>
      </c>
      <c r="AD95" s="781">
        <f t="shared" si="786"/>
        <v>0.5</v>
      </c>
      <c r="AE95" s="781">
        <f t="shared" si="786"/>
        <v>0</v>
      </c>
      <c r="AF95" s="781">
        <f t="shared" si="786"/>
        <v>0</v>
      </c>
      <c r="AG95" s="781">
        <f t="shared" si="786"/>
        <v>0.5</v>
      </c>
      <c r="AH95" s="781">
        <f t="shared" si="786"/>
        <v>0</v>
      </c>
      <c r="AI95" s="781">
        <f t="shared" si="786"/>
        <v>0</v>
      </c>
      <c r="AJ95" s="781">
        <f t="shared" si="786"/>
        <v>0.5</v>
      </c>
      <c r="AK95" s="711" t="str">
        <f t="shared" ref="AK95:AZ95" si="787">AK38</f>
        <v>Both</v>
      </c>
      <c r="AL95" s="711" t="str">
        <f t="shared" si="787"/>
        <v>Commercial</v>
      </c>
      <c r="AM95" s="711" t="str">
        <f t="shared" si="787"/>
        <v>Large Office</v>
      </c>
      <c r="AN95" s="711" t="str">
        <f t="shared" si="787"/>
        <v>All</v>
      </c>
      <c r="AO95" s="711" t="str">
        <f t="shared" si="787"/>
        <v>New</v>
      </c>
      <c r="AP95" s="711">
        <f t="shared" si="787"/>
        <v>0</v>
      </c>
      <c r="AQ95" s="711">
        <f t="shared" si="787"/>
        <v>0</v>
      </c>
      <c r="AR95" s="711">
        <f t="shared" si="787"/>
        <v>0</v>
      </c>
      <c r="AS95" s="711" t="str">
        <f t="shared" si="787"/>
        <v>OFFLGElecTotl</v>
      </c>
      <c r="AT95" s="715" t="s">
        <v>745</v>
      </c>
      <c r="AU95" s="1065" t="s">
        <v>771</v>
      </c>
      <c r="AV95" s="711">
        <f t="shared" si="787"/>
        <v>15</v>
      </c>
      <c r="AW95" s="711">
        <f t="shared" si="787"/>
        <v>15</v>
      </c>
      <c r="AX95" s="711" t="s">
        <v>769</v>
      </c>
      <c r="AY95" s="711">
        <f t="shared" si="787"/>
        <v>1</v>
      </c>
      <c r="AZ95" s="711">
        <f t="shared" si="787"/>
        <v>1</v>
      </c>
      <c r="BA95" s="1067">
        <v>0</v>
      </c>
      <c r="BB95" s="721">
        <f t="shared" si="493"/>
        <v>32940.594038328869</v>
      </c>
      <c r="BC95" s="499">
        <f t="shared" si="494"/>
        <v>32940.594038328869</v>
      </c>
      <c r="BD95" s="499">
        <f t="shared" si="495"/>
        <v>32940.594038328869</v>
      </c>
      <c r="BE95" s="499">
        <f t="shared" si="496"/>
        <v>32940.594038328869</v>
      </c>
      <c r="BF95" s="499">
        <f t="shared" si="497"/>
        <v>32940.594038328869</v>
      </c>
      <c r="BG95" s="499">
        <f t="shared" si="498"/>
        <v>32940.594038328869</v>
      </c>
      <c r="BH95" s="499">
        <f t="shared" si="499"/>
        <v>32940.594038328869</v>
      </c>
      <c r="BI95" s="721">
        <f t="shared" ref="BI95:BI118" si="788">K95</f>
        <v>0</v>
      </c>
      <c r="BJ95" s="499">
        <f t="shared" ref="BJ95:BM95" si="789">BI95</f>
        <v>0</v>
      </c>
      <c r="BK95" s="499">
        <f t="shared" si="789"/>
        <v>0</v>
      </c>
      <c r="BL95" s="499">
        <f t="shared" si="789"/>
        <v>0</v>
      </c>
      <c r="BM95" s="499">
        <f t="shared" si="789"/>
        <v>0</v>
      </c>
      <c r="BN95" s="499">
        <f t="shared" si="501"/>
        <v>0</v>
      </c>
      <c r="BO95" s="499">
        <f t="shared" si="502"/>
        <v>0</v>
      </c>
      <c r="BP95" s="721">
        <f t="shared" ref="BP95:BP118" si="790">O95+P95</f>
        <v>4500</v>
      </c>
      <c r="BQ95" s="499">
        <f t="shared" ref="BQ95:BQ118" si="791">BP95</f>
        <v>4500</v>
      </c>
      <c r="BR95" s="499">
        <f t="shared" si="503"/>
        <v>4500</v>
      </c>
      <c r="BS95" s="499">
        <f t="shared" si="504"/>
        <v>4500</v>
      </c>
      <c r="BT95" s="499">
        <f t="shared" si="505"/>
        <v>4500</v>
      </c>
      <c r="BU95" s="499">
        <f t="shared" si="506"/>
        <v>4500</v>
      </c>
      <c r="BV95" s="499">
        <f t="shared" si="507"/>
        <v>4500</v>
      </c>
      <c r="BW95" s="774">
        <f t="shared" si="508"/>
        <v>0</v>
      </c>
      <c r="BX95" s="503">
        <f t="shared" si="508"/>
        <v>0</v>
      </c>
      <c r="BY95" s="503">
        <f t="shared" si="508"/>
        <v>0</v>
      </c>
      <c r="BZ95" s="503">
        <f t="shared" si="508"/>
        <v>0</v>
      </c>
      <c r="CA95" s="503">
        <f t="shared" si="508"/>
        <v>0</v>
      </c>
      <c r="CB95" s="503">
        <f t="shared" si="508"/>
        <v>0</v>
      </c>
      <c r="CC95" s="503">
        <f t="shared" si="508"/>
        <v>0</v>
      </c>
      <c r="CD95" s="722">
        <f t="shared" ref="CD95:CD118" si="792">R95*AZ95</f>
        <v>148932</v>
      </c>
      <c r="CE95" s="511">
        <f t="shared" ref="CE95:CH95" si="793">CD95</f>
        <v>148932</v>
      </c>
      <c r="CF95" s="511">
        <f t="shared" si="793"/>
        <v>148932</v>
      </c>
      <c r="CG95" s="511">
        <f t="shared" si="793"/>
        <v>148932</v>
      </c>
      <c r="CH95" s="511">
        <f t="shared" si="793"/>
        <v>148932</v>
      </c>
      <c r="CI95" s="511">
        <f t="shared" si="510"/>
        <v>148932</v>
      </c>
      <c r="CJ95" s="511">
        <f t="shared" si="511"/>
        <v>148932</v>
      </c>
      <c r="CK95" s="722">
        <f t="shared" ref="CK95:CK118" si="794">S95*AZ95</f>
        <v>23.228571428571428</v>
      </c>
      <c r="CL95" s="511">
        <f t="shared" ref="CL95:CO95" si="795">CK95</f>
        <v>23.228571428571428</v>
      </c>
      <c r="CM95" s="511">
        <f t="shared" si="795"/>
        <v>23.228571428571428</v>
      </c>
      <c r="CN95" s="511">
        <f t="shared" si="795"/>
        <v>23.228571428571428</v>
      </c>
      <c r="CO95" s="511">
        <f t="shared" si="795"/>
        <v>23.228571428571428</v>
      </c>
      <c r="CP95" s="511">
        <f t="shared" si="513"/>
        <v>23.228571428571428</v>
      </c>
      <c r="CQ95" s="511">
        <f t="shared" si="514"/>
        <v>23.228571428571428</v>
      </c>
      <c r="CR95" s="722">
        <f t="shared" ref="CR95:CR118" si="796">T95*BA95</f>
        <v>0</v>
      </c>
      <c r="CS95" s="511">
        <f t="shared" ref="CS95:CV95" si="797">CR95</f>
        <v>0</v>
      </c>
      <c r="CT95" s="511">
        <f t="shared" si="797"/>
        <v>0</v>
      </c>
      <c r="CU95" s="511">
        <f t="shared" si="797"/>
        <v>0</v>
      </c>
      <c r="CV95" s="511">
        <f t="shared" si="797"/>
        <v>0</v>
      </c>
      <c r="CW95" s="511">
        <f t="shared" si="516"/>
        <v>0</v>
      </c>
      <c r="CX95" s="539">
        <f t="shared" si="517"/>
        <v>0</v>
      </c>
      <c r="CY95" s="724">
        <f t="shared" si="560"/>
        <v>16470.297019164434</v>
      </c>
      <c r="CZ95" s="508">
        <f t="shared" si="561"/>
        <v>0</v>
      </c>
      <c r="DA95" s="508">
        <f t="shared" si="562"/>
        <v>0</v>
      </c>
      <c r="DB95" s="508">
        <f t="shared" si="563"/>
        <v>16470.297019164434</v>
      </c>
      <c r="DC95" s="508">
        <f t="shared" si="564"/>
        <v>0</v>
      </c>
      <c r="DD95" s="508">
        <f t="shared" si="565"/>
        <v>0</v>
      </c>
      <c r="DE95" s="726">
        <f t="shared" si="566"/>
        <v>16470.297019164434</v>
      </c>
      <c r="DF95" s="724">
        <f t="shared" si="567"/>
        <v>0</v>
      </c>
      <c r="DG95" s="509">
        <f t="shared" si="568"/>
        <v>0</v>
      </c>
      <c r="DH95" s="509">
        <f t="shared" si="569"/>
        <v>0</v>
      </c>
      <c r="DI95" s="509">
        <f t="shared" si="570"/>
        <v>0</v>
      </c>
      <c r="DJ95" s="509">
        <f t="shared" si="571"/>
        <v>0</v>
      </c>
      <c r="DK95" s="509">
        <f t="shared" si="572"/>
        <v>0</v>
      </c>
      <c r="DL95" s="451">
        <f t="shared" si="573"/>
        <v>0</v>
      </c>
      <c r="DM95" s="509">
        <f t="shared" si="574"/>
        <v>2250</v>
      </c>
      <c r="DN95" s="509">
        <f t="shared" si="575"/>
        <v>0</v>
      </c>
      <c r="DO95" s="509">
        <f t="shared" si="576"/>
        <v>0</v>
      </c>
      <c r="DP95" s="509">
        <f t="shared" si="577"/>
        <v>2250</v>
      </c>
      <c r="DQ95" s="509">
        <f t="shared" si="578"/>
        <v>0</v>
      </c>
      <c r="DR95" s="509">
        <f t="shared" si="579"/>
        <v>0</v>
      </c>
      <c r="DS95" s="450">
        <f t="shared" si="580"/>
        <v>2250</v>
      </c>
      <c r="DT95" s="724">
        <f t="shared" si="581"/>
        <v>0</v>
      </c>
      <c r="DU95" s="508">
        <f t="shared" si="582"/>
        <v>0</v>
      </c>
      <c r="DV95" s="508">
        <f t="shared" si="583"/>
        <v>0</v>
      </c>
      <c r="DW95" s="508">
        <f t="shared" si="584"/>
        <v>0</v>
      </c>
      <c r="DX95" s="508">
        <f t="shared" si="585"/>
        <v>0</v>
      </c>
      <c r="DY95" s="508">
        <f t="shared" si="586"/>
        <v>0</v>
      </c>
      <c r="DZ95" s="726">
        <f t="shared" si="587"/>
        <v>0</v>
      </c>
      <c r="EA95" s="722">
        <f t="shared" si="588"/>
        <v>74466</v>
      </c>
      <c r="EB95" s="511">
        <f t="shared" si="589"/>
        <v>0</v>
      </c>
      <c r="EC95" s="511">
        <f t="shared" si="590"/>
        <v>0</v>
      </c>
      <c r="ED95" s="511">
        <f t="shared" si="591"/>
        <v>74466</v>
      </c>
      <c r="EE95" s="511">
        <f t="shared" si="592"/>
        <v>0</v>
      </c>
      <c r="EF95" s="511">
        <f t="shared" si="593"/>
        <v>0</v>
      </c>
      <c r="EG95" s="723">
        <f t="shared" si="594"/>
        <v>74466</v>
      </c>
      <c r="EH95" s="397">
        <f t="shared" si="595"/>
        <v>11.614285714285714</v>
      </c>
      <c r="EI95" s="397">
        <f t="shared" si="596"/>
        <v>0</v>
      </c>
      <c r="EJ95" s="397">
        <f t="shared" si="597"/>
        <v>0</v>
      </c>
      <c r="EK95" s="397">
        <f t="shared" si="598"/>
        <v>11.614285714285714</v>
      </c>
      <c r="EL95" s="397">
        <f t="shared" si="599"/>
        <v>0</v>
      </c>
      <c r="EM95" s="397">
        <f t="shared" si="600"/>
        <v>0</v>
      </c>
      <c r="EN95" s="398">
        <f t="shared" si="601"/>
        <v>11.614285714285714</v>
      </c>
      <c r="EO95" s="722">
        <f t="shared" si="602"/>
        <v>0</v>
      </c>
      <c r="EP95" s="511">
        <f t="shared" si="603"/>
        <v>0</v>
      </c>
      <c r="EQ95" s="511">
        <f t="shared" si="604"/>
        <v>0</v>
      </c>
      <c r="ER95" s="511">
        <f t="shared" si="605"/>
        <v>0</v>
      </c>
      <c r="ES95" s="511">
        <f t="shared" si="606"/>
        <v>0</v>
      </c>
      <c r="ET95" s="511">
        <f t="shared" si="607"/>
        <v>0</v>
      </c>
      <c r="EU95" s="723">
        <f t="shared" si="608"/>
        <v>0</v>
      </c>
      <c r="EV95" s="727">
        <f t="shared" si="609"/>
        <v>0.5</v>
      </c>
      <c r="EW95" s="728">
        <f t="shared" si="610"/>
        <v>49410.891057493303</v>
      </c>
      <c r="EX95" s="728">
        <f t="shared" si="611"/>
        <v>0</v>
      </c>
      <c r="EY95" s="728">
        <f t="shared" si="612"/>
        <v>6750</v>
      </c>
      <c r="EZ95" s="728">
        <f t="shared" si="613"/>
        <v>0</v>
      </c>
      <c r="FA95" s="777">
        <f t="shared" si="614"/>
        <v>223398</v>
      </c>
      <c r="FB95" s="777">
        <f t="shared" si="615"/>
        <v>34.842857142857142</v>
      </c>
      <c r="FC95" s="778">
        <f t="shared" si="616"/>
        <v>0</v>
      </c>
      <c r="FE95" s="10"/>
      <c r="FF95" s="10"/>
    </row>
    <row r="96" spans="1:162">
      <c r="A96" s="662" t="s">
        <v>218</v>
      </c>
      <c r="B96" s="789" t="s">
        <v>1388</v>
      </c>
      <c r="C96" s="789" t="str">
        <f t="shared" ref="C96:W96" si="798">C39</f>
        <v>Commercial New Construction Tier 2 - 15% Over Code</v>
      </c>
      <c r="D96" s="789" t="str">
        <f t="shared" si="798"/>
        <v>State and Federal Energy Code</v>
      </c>
      <c r="E96" s="789" t="str">
        <f t="shared" si="798"/>
        <v>Per Project</v>
      </c>
      <c r="F96" s="789" t="str">
        <f t="shared" si="798"/>
        <v>Per Project</v>
      </c>
      <c r="G96" s="704" t="str">
        <f t="shared" si="798"/>
        <v>Incremental Cost</v>
      </c>
      <c r="H96" s="704">
        <f t="shared" si="798"/>
        <v>49410.891057493303</v>
      </c>
      <c r="I96" s="704">
        <f t="shared" si="798"/>
        <v>0</v>
      </c>
      <c r="J96" s="704">
        <f t="shared" si="798"/>
        <v>49410.891057493303</v>
      </c>
      <c r="K96" s="704">
        <f t="shared" si="798"/>
        <v>0</v>
      </c>
      <c r="L96" s="704">
        <f t="shared" si="798"/>
        <v>24705.445528746652</v>
      </c>
      <c r="M96" s="707" t="str">
        <f t="shared" si="798"/>
        <v xml:space="preserve">Benchmarking custom projects from other utilties to estimate incremental cost. Roughly $0.22 per kWh saved as incermental costs. </v>
      </c>
      <c r="N96" s="704">
        <f t="shared" si="798"/>
        <v>6800</v>
      </c>
      <c r="O96" s="704">
        <f t="shared" si="798"/>
        <v>6800</v>
      </c>
      <c r="P96" s="704">
        <f t="shared" si="798"/>
        <v>0</v>
      </c>
      <c r="Q96" s="704">
        <f t="shared" si="798"/>
        <v>0</v>
      </c>
      <c r="R96" s="1021">
        <f t="shared" si="798"/>
        <v>223398.00000000003</v>
      </c>
      <c r="S96" s="872">
        <f t="shared" si="798"/>
        <v>34.842857142857142</v>
      </c>
      <c r="T96" s="1022">
        <f t="shared" si="798"/>
        <v>1788.3257142857144</v>
      </c>
      <c r="U96" s="711" t="str">
        <f t="shared" si="798"/>
        <v>Estimated savings from LG&amp;E and KU projections and 2016 program data.</v>
      </c>
      <c r="V96" s="716">
        <f t="shared" si="798"/>
        <v>0</v>
      </c>
      <c r="W96" s="711">
        <f t="shared" si="798"/>
        <v>1</v>
      </c>
      <c r="X96" s="781">
        <f t="shared" ref="X96:AJ96" si="799">X39/2</f>
        <v>8</v>
      </c>
      <c r="Y96" s="781">
        <f t="shared" si="799"/>
        <v>9.5</v>
      </c>
      <c r="Z96" s="781">
        <f t="shared" si="799"/>
        <v>6.5</v>
      </c>
      <c r="AA96" s="781">
        <f t="shared" si="799"/>
        <v>8.5714285714285712</v>
      </c>
      <c r="AB96" s="781">
        <f t="shared" si="799"/>
        <v>7.5357142857142856</v>
      </c>
      <c r="AC96" s="781">
        <f t="shared" si="799"/>
        <v>0</v>
      </c>
      <c r="AD96" s="781">
        <f t="shared" si="799"/>
        <v>0</v>
      </c>
      <c r="AE96" s="781">
        <f t="shared" si="799"/>
        <v>0.5</v>
      </c>
      <c r="AF96" s="781">
        <f t="shared" si="799"/>
        <v>0</v>
      </c>
      <c r="AG96" s="781">
        <f t="shared" si="799"/>
        <v>0</v>
      </c>
      <c r="AH96" s="781">
        <f t="shared" si="799"/>
        <v>0.5</v>
      </c>
      <c r="AI96" s="781">
        <f t="shared" si="799"/>
        <v>0</v>
      </c>
      <c r="AJ96" s="781">
        <f t="shared" si="799"/>
        <v>0</v>
      </c>
      <c r="AK96" s="711" t="str">
        <f t="shared" ref="AK96:AZ96" si="800">AK39</f>
        <v>Both</v>
      </c>
      <c r="AL96" s="711" t="str">
        <f t="shared" si="800"/>
        <v>Commercial</v>
      </c>
      <c r="AM96" s="711" t="str">
        <f t="shared" si="800"/>
        <v>Large Office</v>
      </c>
      <c r="AN96" s="711" t="str">
        <f t="shared" si="800"/>
        <v>All</v>
      </c>
      <c r="AO96" s="711" t="str">
        <f t="shared" si="800"/>
        <v>New</v>
      </c>
      <c r="AP96" s="711">
        <f t="shared" si="800"/>
        <v>0</v>
      </c>
      <c r="AQ96" s="711">
        <f t="shared" si="800"/>
        <v>0</v>
      </c>
      <c r="AR96" s="711">
        <f t="shared" si="800"/>
        <v>0</v>
      </c>
      <c r="AS96" s="711" t="str">
        <f t="shared" si="800"/>
        <v>OFFLGElecTotl</v>
      </c>
      <c r="AT96" s="715" t="s">
        <v>745</v>
      </c>
      <c r="AU96" s="1065" t="s">
        <v>771</v>
      </c>
      <c r="AV96" s="711">
        <f t="shared" si="800"/>
        <v>15</v>
      </c>
      <c r="AW96" s="711">
        <f t="shared" si="800"/>
        <v>15</v>
      </c>
      <c r="AX96" s="711" t="s">
        <v>769</v>
      </c>
      <c r="AY96" s="711">
        <f t="shared" si="800"/>
        <v>1</v>
      </c>
      <c r="AZ96" s="711">
        <f t="shared" si="800"/>
        <v>1</v>
      </c>
      <c r="BA96" s="1067">
        <v>0</v>
      </c>
      <c r="BB96" s="721">
        <f t="shared" si="493"/>
        <v>49410.891057493303</v>
      </c>
      <c r="BC96" s="499">
        <f t="shared" si="494"/>
        <v>49410.891057493303</v>
      </c>
      <c r="BD96" s="499">
        <f t="shared" si="495"/>
        <v>49410.891057493303</v>
      </c>
      <c r="BE96" s="499">
        <f t="shared" si="496"/>
        <v>49410.891057493303</v>
      </c>
      <c r="BF96" s="499">
        <f t="shared" si="497"/>
        <v>49410.891057493303</v>
      </c>
      <c r="BG96" s="499">
        <f t="shared" si="498"/>
        <v>49410.891057493303</v>
      </c>
      <c r="BH96" s="499">
        <f t="shared" si="499"/>
        <v>49410.891057493303</v>
      </c>
      <c r="BI96" s="721">
        <f t="shared" si="788"/>
        <v>0</v>
      </c>
      <c r="BJ96" s="499">
        <f t="shared" ref="BJ96:BM96" si="801">BI96</f>
        <v>0</v>
      </c>
      <c r="BK96" s="499">
        <f t="shared" si="801"/>
        <v>0</v>
      </c>
      <c r="BL96" s="499">
        <f t="shared" si="801"/>
        <v>0</v>
      </c>
      <c r="BM96" s="499">
        <f t="shared" si="801"/>
        <v>0</v>
      </c>
      <c r="BN96" s="499">
        <f t="shared" si="501"/>
        <v>0</v>
      </c>
      <c r="BO96" s="499">
        <f t="shared" si="502"/>
        <v>0</v>
      </c>
      <c r="BP96" s="721">
        <f t="shared" si="790"/>
        <v>6800</v>
      </c>
      <c r="BQ96" s="499">
        <f t="shared" si="791"/>
        <v>6800</v>
      </c>
      <c r="BR96" s="499">
        <f t="shared" si="503"/>
        <v>6800</v>
      </c>
      <c r="BS96" s="499">
        <f t="shared" si="504"/>
        <v>6800</v>
      </c>
      <c r="BT96" s="499">
        <f t="shared" si="505"/>
        <v>6800</v>
      </c>
      <c r="BU96" s="499">
        <f t="shared" si="506"/>
        <v>6800</v>
      </c>
      <c r="BV96" s="499">
        <f t="shared" si="507"/>
        <v>6800</v>
      </c>
      <c r="BW96" s="774">
        <f t="shared" ref="BW96:CC118" si="802">$Q96</f>
        <v>0</v>
      </c>
      <c r="BX96" s="503">
        <f t="shared" si="802"/>
        <v>0</v>
      </c>
      <c r="BY96" s="503">
        <f t="shared" si="802"/>
        <v>0</v>
      </c>
      <c r="BZ96" s="503">
        <f t="shared" si="802"/>
        <v>0</v>
      </c>
      <c r="CA96" s="503">
        <f t="shared" si="802"/>
        <v>0</v>
      </c>
      <c r="CB96" s="503">
        <f t="shared" si="802"/>
        <v>0</v>
      </c>
      <c r="CC96" s="503">
        <f t="shared" si="802"/>
        <v>0</v>
      </c>
      <c r="CD96" s="722">
        <f t="shared" si="792"/>
        <v>223398.00000000003</v>
      </c>
      <c r="CE96" s="511">
        <f t="shared" ref="CE96:CH96" si="803">CD96</f>
        <v>223398.00000000003</v>
      </c>
      <c r="CF96" s="511">
        <f t="shared" si="803"/>
        <v>223398.00000000003</v>
      </c>
      <c r="CG96" s="511">
        <f t="shared" si="803"/>
        <v>223398.00000000003</v>
      </c>
      <c r="CH96" s="511">
        <f t="shared" si="803"/>
        <v>223398.00000000003</v>
      </c>
      <c r="CI96" s="511">
        <f t="shared" si="510"/>
        <v>223398.00000000003</v>
      </c>
      <c r="CJ96" s="511">
        <f t="shared" si="511"/>
        <v>223398.00000000003</v>
      </c>
      <c r="CK96" s="722">
        <f t="shared" si="794"/>
        <v>34.842857142857142</v>
      </c>
      <c r="CL96" s="511">
        <f t="shared" ref="CL96:CO96" si="804">CK96</f>
        <v>34.842857142857142</v>
      </c>
      <c r="CM96" s="511">
        <f t="shared" si="804"/>
        <v>34.842857142857142</v>
      </c>
      <c r="CN96" s="511">
        <f t="shared" si="804"/>
        <v>34.842857142857142</v>
      </c>
      <c r="CO96" s="511">
        <f t="shared" si="804"/>
        <v>34.842857142857142</v>
      </c>
      <c r="CP96" s="511">
        <f t="shared" si="513"/>
        <v>34.842857142857142</v>
      </c>
      <c r="CQ96" s="511">
        <f t="shared" si="514"/>
        <v>34.842857142857142</v>
      </c>
      <c r="CR96" s="722">
        <f t="shared" si="796"/>
        <v>0</v>
      </c>
      <c r="CS96" s="511">
        <f t="shared" ref="CS96:CV96" si="805">CR96</f>
        <v>0</v>
      </c>
      <c r="CT96" s="511">
        <f t="shared" si="805"/>
        <v>0</v>
      </c>
      <c r="CU96" s="511">
        <f t="shared" si="805"/>
        <v>0</v>
      </c>
      <c r="CV96" s="511">
        <f t="shared" si="805"/>
        <v>0</v>
      </c>
      <c r="CW96" s="511">
        <f t="shared" si="516"/>
        <v>0</v>
      </c>
      <c r="CX96" s="539">
        <f t="shared" si="517"/>
        <v>0</v>
      </c>
      <c r="CY96" s="724">
        <f t="shared" si="560"/>
        <v>0</v>
      </c>
      <c r="CZ96" s="508">
        <f t="shared" si="561"/>
        <v>24705.445528746652</v>
      </c>
      <c r="DA96" s="508">
        <f t="shared" si="562"/>
        <v>0</v>
      </c>
      <c r="DB96" s="508">
        <f t="shared" si="563"/>
        <v>0</v>
      </c>
      <c r="DC96" s="508">
        <f t="shared" si="564"/>
        <v>24705.445528746652</v>
      </c>
      <c r="DD96" s="508">
        <f t="shared" si="565"/>
        <v>0</v>
      </c>
      <c r="DE96" s="726">
        <f t="shared" si="566"/>
        <v>0</v>
      </c>
      <c r="DF96" s="724">
        <f t="shared" si="567"/>
        <v>0</v>
      </c>
      <c r="DG96" s="509">
        <f t="shared" si="568"/>
        <v>0</v>
      </c>
      <c r="DH96" s="509">
        <f t="shared" si="569"/>
        <v>0</v>
      </c>
      <c r="DI96" s="509">
        <f t="shared" si="570"/>
        <v>0</v>
      </c>
      <c r="DJ96" s="509">
        <f t="shared" si="571"/>
        <v>0</v>
      </c>
      <c r="DK96" s="509">
        <f t="shared" si="572"/>
        <v>0</v>
      </c>
      <c r="DL96" s="451">
        <f t="shared" si="573"/>
        <v>0</v>
      </c>
      <c r="DM96" s="509">
        <f t="shared" si="574"/>
        <v>0</v>
      </c>
      <c r="DN96" s="509">
        <f t="shared" si="575"/>
        <v>3400</v>
      </c>
      <c r="DO96" s="509">
        <f t="shared" si="576"/>
        <v>0</v>
      </c>
      <c r="DP96" s="509">
        <f t="shared" si="577"/>
        <v>0</v>
      </c>
      <c r="DQ96" s="509">
        <f t="shared" si="578"/>
        <v>3400</v>
      </c>
      <c r="DR96" s="509">
        <f t="shared" si="579"/>
        <v>0</v>
      </c>
      <c r="DS96" s="450">
        <f t="shared" si="580"/>
        <v>0</v>
      </c>
      <c r="DT96" s="724">
        <f t="shared" si="581"/>
        <v>0</v>
      </c>
      <c r="DU96" s="508">
        <f t="shared" si="582"/>
        <v>0</v>
      </c>
      <c r="DV96" s="508">
        <f t="shared" si="583"/>
        <v>0</v>
      </c>
      <c r="DW96" s="508">
        <f t="shared" si="584"/>
        <v>0</v>
      </c>
      <c r="DX96" s="508">
        <f t="shared" si="585"/>
        <v>0</v>
      </c>
      <c r="DY96" s="508">
        <f t="shared" si="586"/>
        <v>0</v>
      </c>
      <c r="DZ96" s="726">
        <f t="shared" si="587"/>
        <v>0</v>
      </c>
      <c r="EA96" s="722">
        <f t="shared" si="588"/>
        <v>0</v>
      </c>
      <c r="EB96" s="511">
        <f t="shared" si="589"/>
        <v>111699.00000000001</v>
      </c>
      <c r="EC96" s="511">
        <f t="shared" si="590"/>
        <v>0</v>
      </c>
      <c r="ED96" s="511">
        <f t="shared" si="591"/>
        <v>0</v>
      </c>
      <c r="EE96" s="511">
        <f t="shared" si="592"/>
        <v>111699.00000000001</v>
      </c>
      <c r="EF96" s="511">
        <f t="shared" si="593"/>
        <v>0</v>
      </c>
      <c r="EG96" s="723">
        <f t="shared" si="594"/>
        <v>0</v>
      </c>
      <c r="EH96" s="397">
        <f t="shared" si="595"/>
        <v>0</v>
      </c>
      <c r="EI96" s="397">
        <f t="shared" si="596"/>
        <v>17.421428571428571</v>
      </c>
      <c r="EJ96" s="397">
        <f t="shared" si="597"/>
        <v>0</v>
      </c>
      <c r="EK96" s="397">
        <f t="shared" si="598"/>
        <v>0</v>
      </c>
      <c r="EL96" s="397">
        <f t="shared" si="599"/>
        <v>17.421428571428571</v>
      </c>
      <c r="EM96" s="397">
        <f t="shared" si="600"/>
        <v>0</v>
      </c>
      <c r="EN96" s="398">
        <f t="shared" si="601"/>
        <v>0</v>
      </c>
      <c r="EO96" s="722">
        <f t="shared" si="602"/>
        <v>0</v>
      </c>
      <c r="EP96" s="511">
        <f t="shared" si="603"/>
        <v>0</v>
      </c>
      <c r="EQ96" s="511">
        <f t="shared" si="604"/>
        <v>0</v>
      </c>
      <c r="ER96" s="511">
        <f t="shared" si="605"/>
        <v>0</v>
      </c>
      <c r="ES96" s="511">
        <f t="shared" si="606"/>
        <v>0</v>
      </c>
      <c r="ET96" s="511">
        <f t="shared" si="607"/>
        <v>0</v>
      </c>
      <c r="EU96" s="723">
        <f t="shared" si="608"/>
        <v>0</v>
      </c>
      <c r="EV96" s="727">
        <f t="shared" si="609"/>
        <v>0.5</v>
      </c>
      <c r="EW96" s="728">
        <f t="shared" si="610"/>
        <v>49410.891057493303</v>
      </c>
      <c r="EX96" s="728">
        <f t="shared" si="611"/>
        <v>0</v>
      </c>
      <c r="EY96" s="728">
        <f t="shared" si="612"/>
        <v>6800</v>
      </c>
      <c r="EZ96" s="728">
        <f t="shared" si="613"/>
        <v>0</v>
      </c>
      <c r="FA96" s="777">
        <f t="shared" si="614"/>
        <v>223398.00000000003</v>
      </c>
      <c r="FB96" s="777">
        <f t="shared" si="615"/>
        <v>34.842857142857142</v>
      </c>
      <c r="FC96" s="778">
        <f t="shared" si="616"/>
        <v>0</v>
      </c>
      <c r="FE96" s="10"/>
      <c r="FF96" s="10"/>
    </row>
    <row r="97" spans="1:162">
      <c r="A97" s="662" t="s">
        <v>219</v>
      </c>
      <c r="B97" s="789" t="s">
        <v>1389</v>
      </c>
      <c r="C97" s="789" t="str">
        <f t="shared" ref="C97:W97" si="806">C40</f>
        <v>Commercial New Construction Tier 3 - 20% Over Code</v>
      </c>
      <c r="D97" s="789" t="str">
        <f t="shared" si="806"/>
        <v>State and Federal Energy Code</v>
      </c>
      <c r="E97" s="789" t="str">
        <f t="shared" si="806"/>
        <v>Per Project</v>
      </c>
      <c r="F97" s="789" t="str">
        <f t="shared" si="806"/>
        <v>Per Project</v>
      </c>
      <c r="G97" s="704" t="str">
        <f t="shared" si="806"/>
        <v>Incremental Cost</v>
      </c>
      <c r="H97" s="704">
        <f t="shared" si="806"/>
        <v>65881.188076657738</v>
      </c>
      <c r="I97" s="704">
        <f t="shared" si="806"/>
        <v>0</v>
      </c>
      <c r="J97" s="704">
        <f t="shared" si="806"/>
        <v>65881.188076657738</v>
      </c>
      <c r="K97" s="704">
        <f t="shared" si="806"/>
        <v>0</v>
      </c>
      <c r="L97" s="704">
        <f t="shared" si="806"/>
        <v>32940.594038328869</v>
      </c>
      <c r="M97" s="707" t="str">
        <f t="shared" si="806"/>
        <v xml:space="preserve">Benchmarking custom projects from other utilties to estimate incremental cost. Roughly $0.22 per kWh saved as incermental costs. </v>
      </c>
      <c r="N97" s="704">
        <f t="shared" si="806"/>
        <v>9000</v>
      </c>
      <c r="O97" s="704">
        <f t="shared" si="806"/>
        <v>9000</v>
      </c>
      <c r="P97" s="704">
        <f t="shared" si="806"/>
        <v>0</v>
      </c>
      <c r="Q97" s="704">
        <f t="shared" si="806"/>
        <v>0</v>
      </c>
      <c r="R97" s="1021">
        <f t="shared" si="806"/>
        <v>297864</v>
      </c>
      <c r="S97" s="872">
        <f t="shared" si="806"/>
        <v>46.457142857142856</v>
      </c>
      <c r="T97" s="1022">
        <f t="shared" si="806"/>
        <v>2384.434285714286</v>
      </c>
      <c r="U97" s="711" t="str">
        <f t="shared" si="806"/>
        <v>Estimated savings from LG&amp;E and KU projections and 2016 program data.</v>
      </c>
      <c r="V97" s="716">
        <f t="shared" si="806"/>
        <v>0</v>
      </c>
      <c r="W97" s="711">
        <f t="shared" si="806"/>
        <v>1</v>
      </c>
      <c r="X97" s="781">
        <f t="shared" ref="X97:AJ97" si="807">X40/2</f>
        <v>0</v>
      </c>
      <c r="Y97" s="781">
        <f t="shared" si="807"/>
        <v>0</v>
      </c>
      <c r="Z97" s="781">
        <f t="shared" si="807"/>
        <v>0</v>
      </c>
      <c r="AA97" s="781">
        <f t="shared" si="807"/>
        <v>0</v>
      </c>
      <c r="AB97" s="781">
        <f t="shared" si="807"/>
        <v>0</v>
      </c>
      <c r="AC97" s="781">
        <f t="shared" si="807"/>
        <v>0.5</v>
      </c>
      <c r="AD97" s="781">
        <f t="shared" si="807"/>
        <v>0</v>
      </c>
      <c r="AE97" s="781">
        <f t="shared" si="807"/>
        <v>0</v>
      </c>
      <c r="AF97" s="781">
        <f t="shared" si="807"/>
        <v>0.5</v>
      </c>
      <c r="AG97" s="781">
        <f t="shared" si="807"/>
        <v>0</v>
      </c>
      <c r="AH97" s="781">
        <f t="shared" si="807"/>
        <v>0</v>
      </c>
      <c r="AI97" s="781">
        <f t="shared" si="807"/>
        <v>0.5</v>
      </c>
      <c r="AJ97" s="781">
        <f t="shared" si="807"/>
        <v>0</v>
      </c>
      <c r="AK97" s="711" t="str">
        <f t="shared" ref="AK97:AZ97" si="808">AK40</f>
        <v>Both</v>
      </c>
      <c r="AL97" s="711" t="str">
        <f t="shared" si="808"/>
        <v>Commercial</v>
      </c>
      <c r="AM97" s="711" t="str">
        <f t="shared" si="808"/>
        <v>Large Office</v>
      </c>
      <c r="AN97" s="711" t="str">
        <f t="shared" si="808"/>
        <v>All</v>
      </c>
      <c r="AO97" s="711" t="str">
        <f t="shared" si="808"/>
        <v>New</v>
      </c>
      <c r="AP97" s="711">
        <f t="shared" si="808"/>
        <v>0</v>
      </c>
      <c r="AQ97" s="711">
        <f t="shared" si="808"/>
        <v>0</v>
      </c>
      <c r="AR97" s="711">
        <f t="shared" si="808"/>
        <v>0</v>
      </c>
      <c r="AS97" s="711" t="str">
        <f t="shared" si="808"/>
        <v>OFFLGElecTotl</v>
      </c>
      <c r="AT97" s="715" t="s">
        <v>745</v>
      </c>
      <c r="AU97" s="1065" t="s">
        <v>771</v>
      </c>
      <c r="AV97" s="711">
        <f t="shared" si="808"/>
        <v>15</v>
      </c>
      <c r="AW97" s="711">
        <f t="shared" si="808"/>
        <v>15</v>
      </c>
      <c r="AX97" s="711" t="s">
        <v>769</v>
      </c>
      <c r="AY97" s="711">
        <f t="shared" si="808"/>
        <v>1</v>
      </c>
      <c r="AZ97" s="711">
        <f t="shared" si="808"/>
        <v>1</v>
      </c>
      <c r="BA97" s="1067">
        <v>0</v>
      </c>
      <c r="BB97" s="721">
        <f t="shared" si="493"/>
        <v>65881.188076657738</v>
      </c>
      <c r="BC97" s="499">
        <f t="shared" si="494"/>
        <v>65881.188076657738</v>
      </c>
      <c r="BD97" s="499">
        <f t="shared" si="495"/>
        <v>65881.188076657738</v>
      </c>
      <c r="BE97" s="499">
        <f t="shared" si="496"/>
        <v>65881.188076657738</v>
      </c>
      <c r="BF97" s="499">
        <f t="shared" si="497"/>
        <v>65881.188076657738</v>
      </c>
      <c r="BG97" s="499">
        <f t="shared" si="498"/>
        <v>65881.188076657738</v>
      </c>
      <c r="BH97" s="499">
        <f t="shared" si="499"/>
        <v>65881.188076657738</v>
      </c>
      <c r="BI97" s="721">
        <f t="shared" si="788"/>
        <v>0</v>
      </c>
      <c r="BJ97" s="499">
        <f t="shared" ref="BJ97:BM97" si="809">BI97</f>
        <v>0</v>
      </c>
      <c r="BK97" s="499">
        <f t="shared" si="809"/>
        <v>0</v>
      </c>
      <c r="BL97" s="499">
        <f t="shared" si="809"/>
        <v>0</v>
      </c>
      <c r="BM97" s="499">
        <f t="shared" si="809"/>
        <v>0</v>
      </c>
      <c r="BN97" s="499">
        <f t="shared" si="501"/>
        <v>0</v>
      </c>
      <c r="BO97" s="499">
        <f t="shared" si="502"/>
        <v>0</v>
      </c>
      <c r="BP97" s="721">
        <f t="shared" si="790"/>
        <v>9000</v>
      </c>
      <c r="BQ97" s="499">
        <f t="shared" si="791"/>
        <v>9000</v>
      </c>
      <c r="BR97" s="499">
        <f t="shared" si="503"/>
        <v>9000</v>
      </c>
      <c r="BS97" s="499">
        <f t="shared" si="504"/>
        <v>9000</v>
      </c>
      <c r="BT97" s="499">
        <f t="shared" si="505"/>
        <v>9000</v>
      </c>
      <c r="BU97" s="499">
        <f t="shared" si="506"/>
        <v>9000</v>
      </c>
      <c r="BV97" s="499">
        <f t="shared" si="507"/>
        <v>9000</v>
      </c>
      <c r="BW97" s="774">
        <f t="shared" si="802"/>
        <v>0</v>
      </c>
      <c r="BX97" s="503">
        <f t="shared" si="802"/>
        <v>0</v>
      </c>
      <c r="BY97" s="503">
        <f t="shared" si="802"/>
        <v>0</v>
      </c>
      <c r="BZ97" s="503">
        <f t="shared" si="802"/>
        <v>0</v>
      </c>
      <c r="CA97" s="503">
        <f t="shared" si="802"/>
        <v>0</v>
      </c>
      <c r="CB97" s="503">
        <f t="shared" si="802"/>
        <v>0</v>
      </c>
      <c r="CC97" s="503">
        <f t="shared" si="802"/>
        <v>0</v>
      </c>
      <c r="CD97" s="722">
        <f t="shared" si="792"/>
        <v>297864</v>
      </c>
      <c r="CE97" s="511">
        <f t="shared" ref="CE97:CH97" si="810">CD97</f>
        <v>297864</v>
      </c>
      <c r="CF97" s="511">
        <f t="shared" si="810"/>
        <v>297864</v>
      </c>
      <c r="CG97" s="511">
        <f t="shared" si="810"/>
        <v>297864</v>
      </c>
      <c r="CH97" s="511">
        <f t="shared" si="810"/>
        <v>297864</v>
      </c>
      <c r="CI97" s="511">
        <f t="shared" si="510"/>
        <v>297864</v>
      </c>
      <c r="CJ97" s="511">
        <f t="shared" si="511"/>
        <v>297864</v>
      </c>
      <c r="CK97" s="722">
        <f t="shared" si="794"/>
        <v>46.457142857142856</v>
      </c>
      <c r="CL97" s="511">
        <f t="shared" ref="CL97:CO97" si="811">CK97</f>
        <v>46.457142857142856</v>
      </c>
      <c r="CM97" s="511">
        <f t="shared" si="811"/>
        <v>46.457142857142856</v>
      </c>
      <c r="CN97" s="511">
        <f t="shared" si="811"/>
        <v>46.457142857142856</v>
      </c>
      <c r="CO97" s="511">
        <f t="shared" si="811"/>
        <v>46.457142857142856</v>
      </c>
      <c r="CP97" s="511">
        <f t="shared" si="513"/>
        <v>46.457142857142856</v>
      </c>
      <c r="CQ97" s="511">
        <f t="shared" si="514"/>
        <v>46.457142857142856</v>
      </c>
      <c r="CR97" s="722">
        <f t="shared" si="796"/>
        <v>0</v>
      </c>
      <c r="CS97" s="511">
        <f t="shared" ref="CS97:CV97" si="812">CR97</f>
        <v>0</v>
      </c>
      <c r="CT97" s="511">
        <f t="shared" si="812"/>
        <v>0</v>
      </c>
      <c r="CU97" s="511">
        <f t="shared" si="812"/>
        <v>0</v>
      </c>
      <c r="CV97" s="511">
        <f t="shared" si="812"/>
        <v>0</v>
      </c>
      <c r="CW97" s="511">
        <f t="shared" si="516"/>
        <v>0</v>
      </c>
      <c r="CX97" s="539">
        <f t="shared" si="517"/>
        <v>0</v>
      </c>
      <c r="CY97" s="724">
        <f t="shared" si="560"/>
        <v>0</v>
      </c>
      <c r="CZ97" s="508">
        <f t="shared" si="561"/>
        <v>0</v>
      </c>
      <c r="DA97" s="508">
        <f t="shared" si="562"/>
        <v>32940.594038328869</v>
      </c>
      <c r="DB97" s="508">
        <f t="shared" si="563"/>
        <v>0</v>
      </c>
      <c r="DC97" s="508">
        <f t="shared" si="564"/>
        <v>0</v>
      </c>
      <c r="DD97" s="508">
        <f t="shared" si="565"/>
        <v>32940.594038328869</v>
      </c>
      <c r="DE97" s="726">
        <f t="shared" si="566"/>
        <v>0</v>
      </c>
      <c r="DF97" s="724">
        <f t="shared" si="567"/>
        <v>0</v>
      </c>
      <c r="DG97" s="509">
        <f t="shared" si="568"/>
        <v>0</v>
      </c>
      <c r="DH97" s="509">
        <f t="shared" si="569"/>
        <v>0</v>
      </c>
      <c r="DI97" s="509">
        <f t="shared" si="570"/>
        <v>0</v>
      </c>
      <c r="DJ97" s="509">
        <f t="shared" si="571"/>
        <v>0</v>
      </c>
      <c r="DK97" s="509">
        <f t="shared" si="572"/>
        <v>0</v>
      </c>
      <c r="DL97" s="451">
        <f t="shared" si="573"/>
        <v>0</v>
      </c>
      <c r="DM97" s="509">
        <f t="shared" si="574"/>
        <v>0</v>
      </c>
      <c r="DN97" s="509">
        <f t="shared" si="575"/>
        <v>0</v>
      </c>
      <c r="DO97" s="509">
        <f t="shared" si="576"/>
        <v>4500</v>
      </c>
      <c r="DP97" s="509">
        <f t="shared" si="577"/>
        <v>0</v>
      </c>
      <c r="DQ97" s="509">
        <f t="shared" si="578"/>
        <v>0</v>
      </c>
      <c r="DR97" s="509">
        <f t="shared" si="579"/>
        <v>4500</v>
      </c>
      <c r="DS97" s="450">
        <f t="shared" si="580"/>
        <v>0</v>
      </c>
      <c r="DT97" s="724">
        <f t="shared" si="581"/>
        <v>0</v>
      </c>
      <c r="DU97" s="508">
        <f t="shared" si="582"/>
        <v>0</v>
      </c>
      <c r="DV97" s="508">
        <f t="shared" si="583"/>
        <v>0</v>
      </c>
      <c r="DW97" s="508">
        <f t="shared" si="584"/>
        <v>0</v>
      </c>
      <c r="DX97" s="508">
        <f t="shared" si="585"/>
        <v>0</v>
      </c>
      <c r="DY97" s="508">
        <f t="shared" si="586"/>
        <v>0</v>
      </c>
      <c r="DZ97" s="726">
        <f t="shared" si="587"/>
        <v>0</v>
      </c>
      <c r="EA97" s="722">
        <f t="shared" si="588"/>
        <v>0</v>
      </c>
      <c r="EB97" s="511">
        <f t="shared" si="589"/>
        <v>0</v>
      </c>
      <c r="EC97" s="511">
        <f t="shared" si="590"/>
        <v>148932</v>
      </c>
      <c r="ED97" s="511">
        <f t="shared" si="591"/>
        <v>0</v>
      </c>
      <c r="EE97" s="511">
        <f t="shared" si="592"/>
        <v>0</v>
      </c>
      <c r="EF97" s="511">
        <f t="shared" si="593"/>
        <v>148932</v>
      </c>
      <c r="EG97" s="723">
        <f t="shared" si="594"/>
        <v>0</v>
      </c>
      <c r="EH97" s="397">
        <f t="shared" si="595"/>
        <v>0</v>
      </c>
      <c r="EI97" s="397">
        <f t="shared" si="596"/>
        <v>0</v>
      </c>
      <c r="EJ97" s="397">
        <f t="shared" si="597"/>
        <v>23.228571428571428</v>
      </c>
      <c r="EK97" s="397">
        <f t="shared" si="598"/>
        <v>0</v>
      </c>
      <c r="EL97" s="397">
        <f t="shared" si="599"/>
        <v>0</v>
      </c>
      <c r="EM97" s="397">
        <f t="shared" si="600"/>
        <v>23.228571428571428</v>
      </c>
      <c r="EN97" s="398">
        <f t="shared" si="601"/>
        <v>0</v>
      </c>
      <c r="EO97" s="722">
        <f t="shared" si="602"/>
        <v>0</v>
      </c>
      <c r="EP97" s="511">
        <f t="shared" si="603"/>
        <v>0</v>
      </c>
      <c r="EQ97" s="511">
        <f t="shared" si="604"/>
        <v>0</v>
      </c>
      <c r="ER97" s="511">
        <f t="shared" si="605"/>
        <v>0</v>
      </c>
      <c r="ES97" s="511">
        <f t="shared" si="606"/>
        <v>0</v>
      </c>
      <c r="ET97" s="511">
        <f t="shared" si="607"/>
        <v>0</v>
      </c>
      <c r="EU97" s="723">
        <f t="shared" si="608"/>
        <v>0</v>
      </c>
      <c r="EV97" s="727">
        <f t="shared" si="609"/>
        <v>0.5</v>
      </c>
      <c r="EW97" s="728">
        <f t="shared" si="610"/>
        <v>65881.188076657738</v>
      </c>
      <c r="EX97" s="728">
        <f t="shared" si="611"/>
        <v>0</v>
      </c>
      <c r="EY97" s="728">
        <f t="shared" si="612"/>
        <v>9000</v>
      </c>
      <c r="EZ97" s="728">
        <f t="shared" si="613"/>
        <v>0</v>
      </c>
      <c r="FA97" s="777">
        <f t="shared" si="614"/>
        <v>297864</v>
      </c>
      <c r="FB97" s="777">
        <f t="shared" si="615"/>
        <v>46.457142857142856</v>
      </c>
      <c r="FC97" s="778">
        <f t="shared" si="616"/>
        <v>0</v>
      </c>
      <c r="FE97" s="10"/>
      <c r="FF97" s="10"/>
    </row>
    <row r="98" spans="1:162">
      <c r="A98" s="662" t="s">
        <v>220</v>
      </c>
      <c r="B98" s="789" t="s">
        <v>1390</v>
      </c>
      <c r="C98" s="789" t="str">
        <f t="shared" ref="C98:W98" si="813">C41</f>
        <v>Commercial New Construction Tier 4 - 25% Over Code</v>
      </c>
      <c r="D98" s="789" t="str">
        <f t="shared" si="813"/>
        <v>State and Federal Energy Code</v>
      </c>
      <c r="E98" s="789" t="str">
        <f t="shared" si="813"/>
        <v>Per Project</v>
      </c>
      <c r="F98" s="789" t="str">
        <f t="shared" si="813"/>
        <v>Per Project</v>
      </c>
      <c r="G98" s="704" t="str">
        <f t="shared" si="813"/>
        <v>Incremental Cost</v>
      </c>
      <c r="H98" s="704">
        <f t="shared" si="813"/>
        <v>82351.485095822165</v>
      </c>
      <c r="I98" s="704">
        <f t="shared" si="813"/>
        <v>0</v>
      </c>
      <c r="J98" s="704">
        <f t="shared" si="813"/>
        <v>82351.485095822165</v>
      </c>
      <c r="K98" s="704">
        <f t="shared" si="813"/>
        <v>0</v>
      </c>
      <c r="L98" s="704">
        <f t="shared" si="813"/>
        <v>41175.742547911083</v>
      </c>
      <c r="M98" s="707" t="str">
        <f t="shared" si="813"/>
        <v xml:space="preserve">Benchmarking custom projects from other utilties to estimate incremental cost. Roughly $0.22 per kWh saved as incermental costs. </v>
      </c>
      <c r="N98" s="704">
        <f t="shared" si="813"/>
        <v>11200</v>
      </c>
      <c r="O98" s="704">
        <f t="shared" si="813"/>
        <v>11200</v>
      </c>
      <c r="P98" s="704">
        <f t="shared" si="813"/>
        <v>0</v>
      </c>
      <c r="Q98" s="704">
        <f t="shared" si="813"/>
        <v>0</v>
      </c>
      <c r="R98" s="1021">
        <f t="shared" si="813"/>
        <v>372330</v>
      </c>
      <c r="S98" s="872">
        <f t="shared" si="813"/>
        <v>58.071428571428562</v>
      </c>
      <c r="T98" s="1022">
        <f t="shared" si="813"/>
        <v>2980.5428571428574</v>
      </c>
      <c r="U98" s="711" t="str">
        <f t="shared" si="813"/>
        <v>Estimated savings from LG&amp;E and KU projections and 2016 program data.</v>
      </c>
      <c r="V98" s="716">
        <f t="shared" si="813"/>
        <v>0</v>
      </c>
      <c r="W98" s="711">
        <f t="shared" si="813"/>
        <v>1</v>
      </c>
      <c r="X98" s="781">
        <f t="shared" ref="X98:AJ98" si="814">X41/2</f>
        <v>0.5</v>
      </c>
      <c r="Y98" s="781">
        <f t="shared" si="814"/>
        <v>0</v>
      </c>
      <c r="Z98" s="781">
        <f t="shared" si="814"/>
        <v>0</v>
      </c>
      <c r="AA98" s="781">
        <f t="shared" si="814"/>
        <v>0</v>
      </c>
      <c r="AB98" s="781">
        <f t="shared" si="814"/>
        <v>0</v>
      </c>
      <c r="AC98" s="781">
        <f t="shared" si="814"/>
        <v>0</v>
      </c>
      <c r="AD98" s="781">
        <f t="shared" si="814"/>
        <v>0</v>
      </c>
      <c r="AE98" s="781">
        <f t="shared" si="814"/>
        <v>0</v>
      </c>
      <c r="AF98" s="781">
        <f t="shared" si="814"/>
        <v>0</v>
      </c>
      <c r="AG98" s="781">
        <f t="shared" si="814"/>
        <v>0</v>
      </c>
      <c r="AH98" s="781">
        <f t="shared" si="814"/>
        <v>0</v>
      </c>
      <c r="AI98" s="781">
        <f t="shared" si="814"/>
        <v>0</v>
      </c>
      <c r="AJ98" s="781">
        <f t="shared" si="814"/>
        <v>0</v>
      </c>
      <c r="AK98" s="711" t="str">
        <f t="shared" ref="AK98:AZ98" si="815">AK41</f>
        <v>Both</v>
      </c>
      <c r="AL98" s="711" t="str">
        <f t="shared" si="815"/>
        <v>Commercial</v>
      </c>
      <c r="AM98" s="711" t="str">
        <f t="shared" si="815"/>
        <v>Large Office</v>
      </c>
      <c r="AN98" s="711" t="str">
        <f t="shared" si="815"/>
        <v>All</v>
      </c>
      <c r="AO98" s="711" t="str">
        <f t="shared" si="815"/>
        <v>New</v>
      </c>
      <c r="AP98" s="711">
        <f t="shared" si="815"/>
        <v>0</v>
      </c>
      <c r="AQ98" s="711">
        <f t="shared" si="815"/>
        <v>0</v>
      </c>
      <c r="AR98" s="711">
        <f t="shared" si="815"/>
        <v>0</v>
      </c>
      <c r="AS98" s="711" t="str">
        <f t="shared" si="815"/>
        <v>OFFLGElecTotl</v>
      </c>
      <c r="AT98" s="715" t="s">
        <v>745</v>
      </c>
      <c r="AU98" s="1065" t="s">
        <v>771</v>
      </c>
      <c r="AV98" s="711">
        <f t="shared" si="815"/>
        <v>15</v>
      </c>
      <c r="AW98" s="711">
        <f t="shared" si="815"/>
        <v>15</v>
      </c>
      <c r="AX98" s="711" t="s">
        <v>769</v>
      </c>
      <c r="AY98" s="711">
        <f t="shared" si="815"/>
        <v>1</v>
      </c>
      <c r="AZ98" s="711">
        <f t="shared" si="815"/>
        <v>1</v>
      </c>
      <c r="BA98" s="1067">
        <v>0</v>
      </c>
      <c r="BB98" s="721">
        <f t="shared" si="493"/>
        <v>82351.485095822165</v>
      </c>
      <c r="BC98" s="499">
        <f t="shared" si="494"/>
        <v>82351.485095822165</v>
      </c>
      <c r="BD98" s="499">
        <f t="shared" si="495"/>
        <v>82351.485095822165</v>
      </c>
      <c r="BE98" s="499">
        <f t="shared" si="496"/>
        <v>82351.485095822165</v>
      </c>
      <c r="BF98" s="499">
        <f t="shared" si="497"/>
        <v>82351.485095822165</v>
      </c>
      <c r="BG98" s="499">
        <f t="shared" si="498"/>
        <v>82351.485095822165</v>
      </c>
      <c r="BH98" s="499">
        <f t="shared" si="499"/>
        <v>82351.485095822165</v>
      </c>
      <c r="BI98" s="721">
        <f t="shared" si="788"/>
        <v>0</v>
      </c>
      <c r="BJ98" s="499">
        <f t="shared" ref="BJ98:BM98" si="816">BI98</f>
        <v>0</v>
      </c>
      <c r="BK98" s="499">
        <f t="shared" si="816"/>
        <v>0</v>
      </c>
      <c r="BL98" s="499">
        <f t="shared" si="816"/>
        <v>0</v>
      </c>
      <c r="BM98" s="499">
        <f t="shared" si="816"/>
        <v>0</v>
      </c>
      <c r="BN98" s="499">
        <f t="shared" si="501"/>
        <v>0</v>
      </c>
      <c r="BO98" s="499">
        <f t="shared" si="502"/>
        <v>0</v>
      </c>
      <c r="BP98" s="721">
        <f t="shared" si="790"/>
        <v>11200</v>
      </c>
      <c r="BQ98" s="499">
        <f t="shared" si="791"/>
        <v>11200</v>
      </c>
      <c r="BR98" s="499">
        <f t="shared" si="503"/>
        <v>11200</v>
      </c>
      <c r="BS98" s="499">
        <f t="shared" si="504"/>
        <v>11200</v>
      </c>
      <c r="BT98" s="499">
        <f t="shared" si="505"/>
        <v>11200</v>
      </c>
      <c r="BU98" s="499">
        <f t="shared" si="506"/>
        <v>11200</v>
      </c>
      <c r="BV98" s="499">
        <f t="shared" si="507"/>
        <v>11200</v>
      </c>
      <c r="BW98" s="774">
        <f t="shared" si="802"/>
        <v>0</v>
      </c>
      <c r="BX98" s="503">
        <f t="shared" si="802"/>
        <v>0</v>
      </c>
      <c r="BY98" s="503">
        <f t="shared" si="802"/>
        <v>0</v>
      </c>
      <c r="BZ98" s="503">
        <f t="shared" si="802"/>
        <v>0</v>
      </c>
      <c r="CA98" s="503">
        <f t="shared" si="802"/>
        <v>0</v>
      </c>
      <c r="CB98" s="503">
        <f t="shared" si="802"/>
        <v>0</v>
      </c>
      <c r="CC98" s="503">
        <f t="shared" si="802"/>
        <v>0</v>
      </c>
      <c r="CD98" s="722">
        <f t="shared" si="792"/>
        <v>372330</v>
      </c>
      <c r="CE98" s="511">
        <f t="shared" ref="CE98:CH98" si="817">CD98</f>
        <v>372330</v>
      </c>
      <c r="CF98" s="511">
        <f t="shared" si="817"/>
        <v>372330</v>
      </c>
      <c r="CG98" s="511">
        <f t="shared" si="817"/>
        <v>372330</v>
      </c>
      <c r="CH98" s="511">
        <f t="shared" si="817"/>
        <v>372330</v>
      </c>
      <c r="CI98" s="511">
        <f t="shared" si="510"/>
        <v>372330</v>
      </c>
      <c r="CJ98" s="511">
        <f t="shared" si="511"/>
        <v>372330</v>
      </c>
      <c r="CK98" s="722">
        <f t="shared" si="794"/>
        <v>58.071428571428562</v>
      </c>
      <c r="CL98" s="511">
        <f t="shared" ref="CL98:CO98" si="818">CK98</f>
        <v>58.071428571428562</v>
      </c>
      <c r="CM98" s="511">
        <f t="shared" si="818"/>
        <v>58.071428571428562</v>
      </c>
      <c r="CN98" s="511">
        <f t="shared" si="818"/>
        <v>58.071428571428562</v>
      </c>
      <c r="CO98" s="511">
        <f t="shared" si="818"/>
        <v>58.071428571428562</v>
      </c>
      <c r="CP98" s="511">
        <f t="shared" si="513"/>
        <v>58.071428571428562</v>
      </c>
      <c r="CQ98" s="511">
        <f t="shared" si="514"/>
        <v>58.071428571428562</v>
      </c>
      <c r="CR98" s="722">
        <f t="shared" si="796"/>
        <v>0</v>
      </c>
      <c r="CS98" s="511">
        <f t="shared" ref="CS98:CV98" si="819">CR98</f>
        <v>0</v>
      </c>
      <c r="CT98" s="511">
        <f t="shared" si="819"/>
        <v>0</v>
      </c>
      <c r="CU98" s="511">
        <f t="shared" si="819"/>
        <v>0</v>
      </c>
      <c r="CV98" s="511">
        <f t="shared" si="819"/>
        <v>0</v>
      </c>
      <c r="CW98" s="511">
        <f t="shared" si="516"/>
        <v>0</v>
      </c>
      <c r="CX98" s="539">
        <f t="shared" si="517"/>
        <v>0</v>
      </c>
      <c r="CY98" s="724">
        <f t="shared" si="560"/>
        <v>0</v>
      </c>
      <c r="CZ98" s="508">
        <f t="shared" si="561"/>
        <v>0</v>
      </c>
      <c r="DA98" s="508">
        <f t="shared" si="562"/>
        <v>0</v>
      </c>
      <c r="DB98" s="508">
        <f t="shared" si="563"/>
        <v>0</v>
      </c>
      <c r="DC98" s="508">
        <f t="shared" si="564"/>
        <v>0</v>
      </c>
      <c r="DD98" s="508">
        <f t="shared" si="565"/>
        <v>0</v>
      </c>
      <c r="DE98" s="726">
        <f t="shared" si="566"/>
        <v>0</v>
      </c>
      <c r="DF98" s="724">
        <f t="shared" si="567"/>
        <v>0</v>
      </c>
      <c r="DG98" s="509">
        <f t="shared" si="568"/>
        <v>0</v>
      </c>
      <c r="DH98" s="509">
        <f t="shared" si="569"/>
        <v>0</v>
      </c>
      <c r="DI98" s="509">
        <f t="shared" si="570"/>
        <v>0</v>
      </c>
      <c r="DJ98" s="509">
        <f t="shared" si="571"/>
        <v>0</v>
      </c>
      <c r="DK98" s="509">
        <f t="shared" si="572"/>
        <v>0</v>
      </c>
      <c r="DL98" s="451">
        <f t="shared" si="573"/>
        <v>0</v>
      </c>
      <c r="DM98" s="509">
        <f t="shared" si="574"/>
        <v>0</v>
      </c>
      <c r="DN98" s="509">
        <f t="shared" si="575"/>
        <v>0</v>
      </c>
      <c r="DO98" s="509">
        <f t="shared" si="576"/>
        <v>0</v>
      </c>
      <c r="DP98" s="509">
        <f t="shared" si="577"/>
        <v>0</v>
      </c>
      <c r="DQ98" s="509">
        <f t="shared" si="578"/>
        <v>0</v>
      </c>
      <c r="DR98" s="509">
        <f t="shared" si="579"/>
        <v>0</v>
      </c>
      <c r="DS98" s="450">
        <f t="shared" si="580"/>
        <v>0</v>
      </c>
      <c r="DT98" s="724">
        <f t="shared" si="581"/>
        <v>0</v>
      </c>
      <c r="DU98" s="508">
        <f t="shared" si="582"/>
        <v>0</v>
      </c>
      <c r="DV98" s="508">
        <f t="shared" si="583"/>
        <v>0</v>
      </c>
      <c r="DW98" s="508">
        <f t="shared" si="584"/>
        <v>0</v>
      </c>
      <c r="DX98" s="508">
        <f t="shared" si="585"/>
        <v>0</v>
      </c>
      <c r="DY98" s="508">
        <f t="shared" si="586"/>
        <v>0</v>
      </c>
      <c r="DZ98" s="726">
        <f t="shared" si="587"/>
        <v>0</v>
      </c>
      <c r="EA98" s="722">
        <f t="shared" si="588"/>
        <v>0</v>
      </c>
      <c r="EB98" s="511">
        <f t="shared" si="589"/>
        <v>0</v>
      </c>
      <c r="EC98" s="511">
        <f t="shared" si="590"/>
        <v>0</v>
      </c>
      <c r="ED98" s="511">
        <f t="shared" si="591"/>
        <v>0</v>
      </c>
      <c r="EE98" s="511">
        <f t="shared" si="592"/>
        <v>0</v>
      </c>
      <c r="EF98" s="511">
        <f t="shared" si="593"/>
        <v>0</v>
      </c>
      <c r="EG98" s="723">
        <f t="shared" si="594"/>
        <v>0</v>
      </c>
      <c r="EH98" s="397">
        <f t="shared" si="595"/>
        <v>0</v>
      </c>
      <c r="EI98" s="397">
        <f t="shared" si="596"/>
        <v>0</v>
      </c>
      <c r="EJ98" s="397">
        <f t="shared" si="597"/>
        <v>0</v>
      </c>
      <c r="EK98" s="397">
        <f t="shared" si="598"/>
        <v>0</v>
      </c>
      <c r="EL98" s="397">
        <f t="shared" si="599"/>
        <v>0</v>
      </c>
      <c r="EM98" s="397">
        <f t="shared" si="600"/>
        <v>0</v>
      </c>
      <c r="EN98" s="398">
        <f t="shared" si="601"/>
        <v>0</v>
      </c>
      <c r="EO98" s="722">
        <f t="shared" si="602"/>
        <v>0</v>
      </c>
      <c r="EP98" s="511">
        <f t="shared" si="603"/>
        <v>0</v>
      </c>
      <c r="EQ98" s="511">
        <f t="shared" si="604"/>
        <v>0</v>
      </c>
      <c r="ER98" s="511">
        <f t="shared" si="605"/>
        <v>0</v>
      </c>
      <c r="ES98" s="511">
        <f t="shared" si="606"/>
        <v>0</v>
      </c>
      <c r="ET98" s="511">
        <f t="shared" si="607"/>
        <v>0</v>
      </c>
      <c r="EU98" s="723">
        <f t="shared" si="608"/>
        <v>0</v>
      </c>
      <c r="EV98" s="727">
        <f t="shared" si="609"/>
        <v>0</v>
      </c>
      <c r="EW98" s="728">
        <f t="shared" si="610"/>
        <v>0</v>
      </c>
      <c r="EX98" s="728">
        <f t="shared" si="611"/>
        <v>0</v>
      </c>
      <c r="EY98" s="728">
        <f t="shared" si="612"/>
        <v>0</v>
      </c>
      <c r="EZ98" s="728">
        <f t="shared" si="613"/>
        <v>0</v>
      </c>
      <c r="FA98" s="777">
        <f t="shared" si="614"/>
        <v>0</v>
      </c>
      <c r="FB98" s="777">
        <f t="shared" si="615"/>
        <v>0</v>
      </c>
      <c r="FC98" s="778">
        <f t="shared" si="616"/>
        <v>0</v>
      </c>
      <c r="FE98" s="10"/>
      <c r="FF98" s="10"/>
    </row>
    <row r="99" spans="1:162">
      <c r="A99" s="662" t="s">
        <v>221</v>
      </c>
      <c r="B99" s="789" t="s">
        <v>1391</v>
      </c>
      <c r="C99" s="789" t="str">
        <f t="shared" ref="C99:W99" si="820">C42</f>
        <v>Commercial New Construction LEED 1 to 5 Points - LEED Energy &amp; Atmosphere, Credit 1 Category Optimize Energy Efficiency Performance</v>
      </c>
      <c r="D99" s="789" t="str">
        <f t="shared" si="820"/>
        <v>Non-LEED Building</v>
      </c>
      <c r="E99" s="789" t="str">
        <f t="shared" si="820"/>
        <v>Per Project</v>
      </c>
      <c r="F99" s="789" t="str">
        <f t="shared" si="820"/>
        <v>Per Project</v>
      </c>
      <c r="G99" s="704" t="str">
        <f t="shared" si="820"/>
        <v>Incremental Cost</v>
      </c>
      <c r="H99" s="704">
        <f t="shared" si="820"/>
        <v>37200</v>
      </c>
      <c r="I99" s="704">
        <f t="shared" si="820"/>
        <v>0</v>
      </c>
      <c r="J99" s="704">
        <f t="shared" si="820"/>
        <v>37200</v>
      </c>
      <c r="K99" s="704">
        <f t="shared" si="820"/>
        <v>0</v>
      </c>
      <c r="L99" s="704">
        <f t="shared" si="820"/>
        <v>18600</v>
      </c>
      <c r="M99" s="707" t="str">
        <f t="shared" si="820"/>
        <v>Assume Direct Costs of LEED Certification ONLY: http://www.josre.org/wp-content/uploads/2012/09/Cost_of_LEED_Analysis_of_Construction_Costs-JOSRE_v3-13.pdf</v>
      </c>
      <c r="N99" s="704">
        <f t="shared" si="820"/>
        <v>2000</v>
      </c>
      <c r="O99" s="704">
        <f t="shared" si="820"/>
        <v>2000</v>
      </c>
      <c r="P99" s="704">
        <f t="shared" si="820"/>
        <v>0</v>
      </c>
      <c r="Q99" s="704">
        <f t="shared" si="820"/>
        <v>0</v>
      </c>
      <c r="R99" s="1021">
        <f t="shared" si="820"/>
        <v>0</v>
      </c>
      <c r="S99" s="872">
        <f t="shared" si="820"/>
        <v>0</v>
      </c>
      <c r="T99" s="1022">
        <f t="shared" si="820"/>
        <v>0</v>
      </c>
      <c r="U99" s="711" t="str">
        <f t="shared" si="820"/>
        <v>Assume no additional savings for LEED. Bonus incentive. Estimated savings from LG&amp;E and KU projections and 2016 program data.</v>
      </c>
      <c r="V99" s="716">
        <f t="shared" si="820"/>
        <v>0</v>
      </c>
      <c r="W99" s="711">
        <f t="shared" si="820"/>
        <v>1</v>
      </c>
      <c r="X99" s="781">
        <f t="shared" ref="X99:AJ99" si="821">X42/2</f>
        <v>0.5</v>
      </c>
      <c r="Y99" s="781">
        <f t="shared" si="821"/>
        <v>0.5</v>
      </c>
      <c r="Z99" s="781">
        <f t="shared" si="821"/>
        <v>0</v>
      </c>
      <c r="AA99" s="781">
        <f t="shared" si="821"/>
        <v>0</v>
      </c>
      <c r="AB99" s="781">
        <f t="shared" si="821"/>
        <v>0</v>
      </c>
      <c r="AC99" s="781">
        <f t="shared" si="821"/>
        <v>0</v>
      </c>
      <c r="AD99" s="781">
        <f t="shared" si="821"/>
        <v>0.5</v>
      </c>
      <c r="AE99" s="781">
        <f t="shared" si="821"/>
        <v>0</v>
      </c>
      <c r="AF99" s="781">
        <f t="shared" si="821"/>
        <v>0</v>
      </c>
      <c r="AG99" s="781">
        <f t="shared" si="821"/>
        <v>0.5</v>
      </c>
      <c r="AH99" s="781">
        <f t="shared" si="821"/>
        <v>0</v>
      </c>
      <c r="AI99" s="781">
        <f t="shared" si="821"/>
        <v>0</v>
      </c>
      <c r="AJ99" s="781">
        <f t="shared" si="821"/>
        <v>0.5</v>
      </c>
      <c r="AK99" s="711" t="str">
        <f t="shared" ref="AK99:AZ99" si="822">AK42</f>
        <v>Both</v>
      </c>
      <c r="AL99" s="711" t="str">
        <f t="shared" si="822"/>
        <v>Commercial</v>
      </c>
      <c r="AM99" s="711" t="str">
        <f t="shared" si="822"/>
        <v>Large Office</v>
      </c>
      <c r="AN99" s="711" t="str">
        <f t="shared" si="822"/>
        <v>All</v>
      </c>
      <c r="AO99" s="711" t="str">
        <f t="shared" si="822"/>
        <v>New</v>
      </c>
      <c r="AP99" s="711">
        <f t="shared" si="822"/>
        <v>0</v>
      </c>
      <c r="AQ99" s="711">
        <f t="shared" si="822"/>
        <v>0</v>
      </c>
      <c r="AR99" s="711">
        <f t="shared" si="822"/>
        <v>0</v>
      </c>
      <c r="AS99" s="711" t="str">
        <f t="shared" si="822"/>
        <v>OFFLGElecTotl</v>
      </c>
      <c r="AT99" s="715" t="s">
        <v>745</v>
      </c>
      <c r="AU99" s="1065" t="s">
        <v>771</v>
      </c>
      <c r="AV99" s="711">
        <f t="shared" si="822"/>
        <v>15</v>
      </c>
      <c r="AW99" s="711">
        <f t="shared" si="822"/>
        <v>15</v>
      </c>
      <c r="AX99" s="711" t="s">
        <v>769</v>
      </c>
      <c r="AY99" s="711">
        <f t="shared" si="822"/>
        <v>1</v>
      </c>
      <c r="AZ99" s="711">
        <f t="shared" si="822"/>
        <v>1</v>
      </c>
      <c r="BA99" s="1066">
        <f t="shared" ref="BA99:BA118" si="823">BA42</f>
        <v>0</v>
      </c>
      <c r="BB99" s="721">
        <f t="shared" si="493"/>
        <v>37200</v>
      </c>
      <c r="BC99" s="499">
        <f t="shared" si="494"/>
        <v>37200</v>
      </c>
      <c r="BD99" s="499">
        <f t="shared" si="495"/>
        <v>37200</v>
      </c>
      <c r="BE99" s="499">
        <f t="shared" si="496"/>
        <v>37200</v>
      </c>
      <c r="BF99" s="499">
        <f t="shared" si="497"/>
        <v>37200</v>
      </c>
      <c r="BG99" s="499">
        <f t="shared" si="498"/>
        <v>37200</v>
      </c>
      <c r="BH99" s="499">
        <f t="shared" si="499"/>
        <v>37200</v>
      </c>
      <c r="BI99" s="721">
        <f t="shared" si="788"/>
        <v>0</v>
      </c>
      <c r="BJ99" s="499">
        <f t="shared" ref="BJ99:BM99" si="824">BI99</f>
        <v>0</v>
      </c>
      <c r="BK99" s="499">
        <f t="shared" si="824"/>
        <v>0</v>
      </c>
      <c r="BL99" s="499">
        <f t="shared" si="824"/>
        <v>0</v>
      </c>
      <c r="BM99" s="499">
        <f t="shared" si="824"/>
        <v>0</v>
      </c>
      <c r="BN99" s="499">
        <f t="shared" si="501"/>
        <v>0</v>
      </c>
      <c r="BO99" s="499">
        <f t="shared" si="502"/>
        <v>0</v>
      </c>
      <c r="BP99" s="721">
        <f t="shared" si="790"/>
        <v>2000</v>
      </c>
      <c r="BQ99" s="499">
        <f t="shared" si="791"/>
        <v>2000</v>
      </c>
      <c r="BR99" s="499">
        <f t="shared" si="503"/>
        <v>2000</v>
      </c>
      <c r="BS99" s="499">
        <f t="shared" si="504"/>
        <v>2000</v>
      </c>
      <c r="BT99" s="499">
        <f t="shared" si="505"/>
        <v>2000</v>
      </c>
      <c r="BU99" s="499">
        <f t="shared" si="506"/>
        <v>2000</v>
      </c>
      <c r="BV99" s="499">
        <f t="shared" si="507"/>
        <v>2000</v>
      </c>
      <c r="BW99" s="774">
        <f t="shared" si="802"/>
        <v>0</v>
      </c>
      <c r="BX99" s="503">
        <f t="shared" si="802"/>
        <v>0</v>
      </c>
      <c r="BY99" s="503">
        <f t="shared" si="802"/>
        <v>0</v>
      </c>
      <c r="BZ99" s="503">
        <f t="shared" si="802"/>
        <v>0</v>
      </c>
      <c r="CA99" s="503">
        <f t="shared" si="802"/>
        <v>0</v>
      </c>
      <c r="CB99" s="503">
        <f t="shared" si="802"/>
        <v>0</v>
      </c>
      <c r="CC99" s="503">
        <f t="shared" si="802"/>
        <v>0</v>
      </c>
      <c r="CD99" s="722">
        <f t="shared" si="792"/>
        <v>0</v>
      </c>
      <c r="CE99" s="511">
        <f t="shared" ref="CE99:CH99" si="825">CD99</f>
        <v>0</v>
      </c>
      <c r="CF99" s="511">
        <f t="shared" si="825"/>
        <v>0</v>
      </c>
      <c r="CG99" s="511">
        <f t="shared" si="825"/>
        <v>0</v>
      </c>
      <c r="CH99" s="511">
        <f t="shared" si="825"/>
        <v>0</v>
      </c>
      <c r="CI99" s="511">
        <f t="shared" si="510"/>
        <v>0</v>
      </c>
      <c r="CJ99" s="511">
        <f t="shared" si="511"/>
        <v>0</v>
      </c>
      <c r="CK99" s="722">
        <f t="shared" si="794"/>
        <v>0</v>
      </c>
      <c r="CL99" s="511">
        <f t="shared" ref="CL99:CO99" si="826">CK99</f>
        <v>0</v>
      </c>
      <c r="CM99" s="511">
        <f t="shared" si="826"/>
        <v>0</v>
      </c>
      <c r="CN99" s="511">
        <f t="shared" si="826"/>
        <v>0</v>
      </c>
      <c r="CO99" s="511">
        <f t="shared" si="826"/>
        <v>0</v>
      </c>
      <c r="CP99" s="511">
        <f t="shared" si="513"/>
        <v>0</v>
      </c>
      <c r="CQ99" s="511">
        <f t="shared" si="514"/>
        <v>0</v>
      </c>
      <c r="CR99" s="722">
        <f t="shared" si="796"/>
        <v>0</v>
      </c>
      <c r="CS99" s="511">
        <f t="shared" ref="CS99:CV99" si="827">CR99</f>
        <v>0</v>
      </c>
      <c r="CT99" s="511">
        <f t="shared" si="827"/>
        <v>0</v>
      </c>
      <c r="CU99" s="511">
        <f t="shared" si="827"/>
        <v>0</v>
      </c>
      <c r="CV99" s="511">
        <f t="shared" si="827"/>
        <v>0</v>
      </c>
      <c r="CW99" s="511">
        <f t="shared" si="516"/>
        <v>0</v>
      </c>
      <c r="CX99" s="539">
        <f t="shared" si="517"/>
        <v>0</v>
      </c>
      <c r="CY99" s="724">
        <f t="shared" si="560"/>
        <v>18600</v>
      </c>
      <c r="CZ99" s="508">
        <f t="shared" si="561"/>
        <v>0</v>
      </c>
      <c r="DA99" s="508">
        <f t="shared" si="562"/>
        <v>0</v>
      </c>
      <c r="DB99" s="508">
        <f t="shared" si="563"/>
        <v>18600</v>
      </c>
      <c r="DC99" s="508">
        <f t="shared" si="564"/>
        <v>0</v>
      </c>
      <c r="DD99" s="508">
        <f t="shared" si="565"/>
        <v>0</v>
      </c>
      <c r="DE99" s="726">
        <f t="shared" si="566"/>
        <v>18600</v>
      </c>
      <c r="DF99" s="724">
        <f t="shared" si="567"/>
        <v>0</v>
      </c>
      <c r="DG99" s="509">
        <f t="shared" si="568"/>
        <v>0</v>
      </c>
      <c r="DH99" s="509">
        <f t="shared" si="569"/>
        <v>0</v>
      </c>
      <c r="DI99" s="509">
        <f t="shared" si="570"/>
        <v>0</v>
      </c>
      <c r="DJ99" s="509">
        <f t="shared" si="571"/>
        <v>0</v>
      </c>
      <c r="DK99" s="509">
        <f t="shared" si="572"/>
        <v>0</v>
      </c>
      <c r="DL99" s="451">
        <f t="shared" si="573"/>
        <v>0</v>
      </c>
      <c r="DM99" s="509">
        <f t="shared" si="574"/>
        <v>1000</v>
      </c>
      <c r="DN99" s="509">
        <f t="shared" si="575"/>
        <v>0</v>
      </c>
      <c r="DO99" s="509">
        <f t="shared" si="576"/>
        <v>0</v>
      </c>
      <c r="DP99" s="509">
        <f t="shared" si="577"/>
        <v>1000</v>
      </c>
      <c r="DQ99" s="509">
        <f t="shared" si="578"/>
        <v>0</v>
      </c>
      <c r="DR99" s="509">
        <f t="shared" si="579"/>
        <v>0</v>
      </c>
      <c r="DS99" s="450">
        <f t="shared" si="580"/>
        <v>1000</v>
      </c>
      <c r="DT99" s="724">
        <f t="shared" si="581"/>
        <v>0</v>
      </c>
      <c r="DU99" s="508">
        <f t="shared" si="582"/>
        <v>0</v>
      </c>
      <c r="DV99" s="508">
        <f t="shared" si="583"/>
        <v>0</v>
      </c>
      <c r="DW99" s="508">
        <f t="shared" si="584"/>
        <v>0</v>
      </c>
      <c r="DX99" s="508">
        <f t="shared" si="585"/>
        <v>0</v>
      </c>
      <c r="DY99" s="508">
        <f t="shared" si="586"/>
        <v>0</v>
      </c>
      <c r="DZ99" s="726">
        <f t="shared" si="587"/>
        <v>0</v>
      </c>
      <c r="EA99" s="722">
        <f t="shared" si="588"/>
        <v>0</v>
      </c>
      <c r="EB99" s="511">
        <f t="shared" si="589"/>
        <v>0</v>
      </c>
      <c r="EC99" s="511">
        <f t="shared" si="590"/>
        <v>0</v>
      </c>
      <c r="ED99" s="511">
        <f t="shared" si="591"/>
        <v>0</v>
      </c>
      <c r="EE99" s="511">
        <f t="shared" si="592"/>
        <v>0</v>
      </c>
      <c r="EF99" s="511">
        <f t="shared" si="593"/>
        <v>0</v>
      </c>
      <c r="EG99" s="723">
        <f t="shared" si="594"/>
        <v>0</v>
      </c>
      <c r="EH99" s="397">
        <f t="shared" si="595"/>
        <v>0</v>
      </c>
      <c r="EI99" s="397">
        <f t="shared" si="596"/>
        <v>0</v>
      </c>
      <c r="EJ99" s="397">
        <f t="shared" si="597"/>
        <v>0</v>
      </c>
      <c r="EK99" s="397">
        <f t="shared" si="598"/>
        <v>0</v>
      </c>
      <c r="EL99" s="397">
        <f t="shared" si="599"/>
        <v>0</v>
      </c>
      <c r="EM99" s="397">
        <f t="shared" si="600"/>
        <v>0</v>
      </c>
      <c r="EN99" s="398">
        <f t="shared" si="601"/>
        <v>0</v>
      </c>
      <c r="EO99" s="722">
        <f t="shared" si="602"/>
        <v>0</v>
      </c>
      <c r="EP99" s="511">
        <f t="shared" si="603"/>
        <v>0</v>
      </c>
      <c r="EQ99" s="511">
        <f t="shared" si="604"/>
        <v>0</v>
      </c>
      <c r="ER99" s="511">
        <f t="shared" si="605"/>
        <v>0</v>
      </c>
      <c r="ES99" s="511">
        <f t="shared" si="606"/>
        <v>0</v>
      </c>
      <c r="ET99" s="511">
        <f t="shared" si="607"/>
        <v>0</v>
      </c>
      <c r="EU99" s="723">
        <f t="shared" si="608"/>
        <v>0</v>
      </c>
      <c r="EV99" s="727">
        <f t="shared" si="609"/>
        <v>0.5</v>
      </c>
      <c r="EW99" s="728">
        <f t="shared" si="610"/>
        <v>55800</v>
      </c>
      <c r="EX99" s="728">
        <f t="shared" si="611"/>
        <v>0</v>
      </c>
      <c r="EY99" s="728">
        <f t="shared" si="612"/>
        <v>3000</v>
      </c>
      <c r="EZ99" s="728">
        <f t="shared" si="613"/>
        <v>0</v>
      </c>
      <c r="FA99" s="777">
        <f t="shared" si="614"/>
        <v>0</v>
      </c>
      <c r="FB99" s="777">
        <f t="shared" si="615"/>
        <v>0</v>
      </c>
      <c r="FC99" s="778">
        <f t="shared" si="616"/>
        <v>0</v>
      </c>
      <c r="FE99" s="10"/>
      <c r="FF99" s="10"/>
    </row>
    <row r="100" spans="1:162">
      <c r="A100" s="662" t="s">
        <v>222</v>
      </c>
      <c r="B100" s="789" t="s">
        <v>1392</v>
      </c>
      <c r="C100" s="789" t="str">
        <f t="shared" ref="C100:W100" si="828">C43</f>
        <v>Commercial New Construction LEED 6 to 10 Points - LEED Energy &amp; Atmosphere, Credit 1 Category Optimize Energy Efficiency Performance</v>
      </c>
      <c r="D100" s="789" t="str">
        <f t="shared" si="828"/>
        <v>Non-LEED Building</v>
      </c>
      <c r="E100" s="789" t="str">
        <f t="shared" si="828"/>
        <v>Per Project</v>
      </c>
      <c r="F100" s="789" t="str">
        <f t="shared" si="828"/>
        <v>Per Project</v>
      </c>
      <c r="G100" s="704" t="str">
        <f t="shared" si="828"/>
        <v>Incremental Cost</v>
      </c>
      <c r="H100" s="704">
        <f t="shared" si="828"/>
        <v>37200</v>
      </c>
      <c r="I100" s="704">
        <f t="shared" si="828"/>
        <v>0</v>
      </c>
      <c r="J100" s="704">
        <f t="shared" si="828"/>
        <v>37200</v>
      </c>
      <c r="K100" s="704">
        <f t="shared" si="828"/>
        <v>0</v>
      </c>
      <c r="L100" s="704">
        <f t="shared" si="828"/>
        <v>18600</v>
      </c>
      <c r="M100" s="707" t="str">
        <f t="shared" si="828"/>
        <v>Assume Direct Costs of LEED Certification ONLY: http://www.josre.org/wp-content/uploads/2012/09/Cost_of_LEED_Analysis_of_Construction_Costs-JOSRE_v3-13.pdf</v>
      </c>
      <c r="N100" s="704">
        <f t="shared" si="828"/>
        <v>2500</v>
      </c>
      <c r="O100" s="704">
        <f t="shared" si="828"/>
        <v>2500</v>
      </c>
      <c r="P100" s="704">
        <f t="shared" si="828"/>
        <v>0</v>
      </c>
      <c r="Q100" s="704">
        <f t="shared" si="828"/>
        <v>0</v>
      </c>
      <c r="R100" s="1021">
        <f t="shared" si="828"/>
        <v>0</v>
      </c>
      <c r="S100" s="872">
        <f t="shared" si="828"/>
        <v>0</v>
      </c>
      <c r="T100" s="1022">
        <f t="shared" si="828"/>
        <v>0</v>
      </c>
      <c r="U100" s="711" t="str">
        <f t="shared" si="828"/>
        <v>Assume no additional savings for LEED. Bonus incentive. Estimated savings from LG&amp;E and KU projections and 2016 program data.</v>
      </c>
      <c r="V100" s="716">
        <f t="shared" si="828"/>
        <v>0</v>
      </c>
      <c r="W100" s="711">
        <f t="shared" si="828"/>
        <v>1</v>
      </c>
      <c r="X100" s="781">
        <f t="shared" ref="X100:AJ100" si="829">X43/2</f>
        <v>4</v>
      </c>
      <c r="Y100" s="781">
        <f t="shared" si="829"/>
        <v>4.5</v>
      </c>
      <c r="Z100" s="781">
        <f t="shared" si="829"/>
        <v>6</v>
      </c>
      <c r="AA100" s="781">
        <f t="shared" si="829"/>
        <v>1.7142857142857142</v>
      </c>
      <c r="AB100" s="781">
        <f t="shared" si="829"/>
        <v>3.8571428571428572</v>
      </c>
      <c r="AC100" s="781">
        <f t="shared" si="829"/>
        <v>0</v>
      </c>
      <c r="AD100" s="781">
        <f t="shared" si="829"/>
        <v>0</v>
      </c>
      <c r="AE100" s="781">
        <f t="shared" si="829"/>
        <v>0.5</v>
      </c>
      <c r="AF100" s="781">
        <f t="shared" si="829"/>
        <v>0</v>
      </c>
      <c r="AG100" s="781">
        <f t="shared" si="829"/>
        <v>0</v>
      </c>
      <c r="AH100" s="781">
        <f t="shared" si="829"/>
        <v>0.5</v>
      </c>
      <c r="AI100" s="781">
        <f t="shared" si="829"/>
        <v>0</v>
      </c>
      <c r="AJ100" s="781">
        <f t="shared" si="829"/>
        <v>0</v>
      </c>
      <c r="AK100" s="711" t="str">
        <f t="shared" ref="AK100:AZ100" si="830">AK43</f>
        <v>Both</v>
      </c>
      <c r="AL100" s="711" t="str">
        <f t="shared" si="830"/>
        <v>Commercial</v>
      </c>
      <c r="AM100" s="711" t="str">
        <f t="shared" si="830"/>
        <v>Large Office</v>
      </c>
      <c r="AN100" s="711" t="str">
        <f t="shared" si="830"/>
        <v>All</v>
      </c>
      <c r="AO100" s="711" t="str">
        <f t="shared" si="830"/>
        <v>New</v>
      </c>
      <c r="AP100" s="711">
        <f t="shared" si="830"/>
        <v>0</v>
      </c>
      <c r="AQ100" s="711">
        <f t="shared" si="830"/>
        <v>0</v>
      </c>
      <c r="AR100" s="711">
        <f t="shared" si="830"/>
        <v>0</v>
      </c>
      <c r="AS100" s="711" t="str">
        <f t="shared" si="830"/>
        <v>OFFLGElecTotl</v>
      </c>
      <c r="AT100" s="715" t="s">
        <v>745</v>
      </c>
      <c r="AU100" s="1065" t="s">
        <v>771</v>
      </c>
      <c r="AV100" s="711">
        <f t="shared" si="830"/>
        <v>15</v>
      </c>
      <c r="AW100" s="711">
        <f t="shared" si="830"/>
        <v>15</v>
      </c>
      <c r="AX100" s="711" t="s">
        <v>769</v>
      </c>
      <c r="AY100" s="711">
        <f t="shared" si="830"/>
        <v>1</v>
      </c>
      <c r="AZ100" s="711">
        <f t="shared" si="830"/>
        <v>1</v>
      </c>
      <c r="BA100" s="1066">
        <f t="shared" si="823"/>
        <v>0</v>
      </c>
      <c r="BB100" s="721">
        <f t="shared" si="493"/>
        <v>37200</v>
      </c>
      <c r="BC100" s="499">
        <f t="shared" si="494"/>
        <v>37200</v>
      </c>
      <c r="BD100" s="499">
        <f t="shared" si="495"/>
        <v>37200</v>
      </c>
      <c r="BE100" s="499">
        <f t="shared" si="496"/>
        <v>37200</v>
      </c>
      <c r="BF100" s="499">
        <f t="shared" si="497"/>
        <v>37200</v>
      </c>
      <c r="BG100" s="499">
        <f t="shared" si="498"/>
        <v>37200</v>
      </c>
      <c r="BH100" s="499">
        <f t="shared" si="499"/>
        <v>37200</v>
      </c>
      <c r="BI100" s="721">
        <f t="shared" si="788"/>
        <v>0</v>
      </c>
      <c r="BJ100" s="499">
        <f t="shared" ref="BJ100:BM100" si="831">BI100</f>
        <v>0</v>
      </c>
      <c r="BK100" s="499">
        <f t="shared" si="831"/>
        <v>0</v>
      </c>
      <c r="BL100" s="499">
        <f t="shared" si="831"/>
        <v>0</v>
      </c>
      <c r="BM100" s="499">
        <f t="shared" si="831"/>
        <v>0</v>
      </c>
      <c r="BN100" s="499">
        <f t="shared" si="501"/>
        <v>0</v>
      </c>
      <c r="BO100" s="499">
        <f t="shared" si="502"/>
        <v>0</v>
      </c>
      <c r="BP100" s="721">
        <f t="shared" si="790"/>
        <v>2500</v>
      </c>
      <c r="BQ100" s="499">
        <f t="shared" si="791"/>
        <v>2500</v>
      </c>
      <c r="BR100" s="499">
        <f t="shared" si="503"/>
        <v>2500</v>
      </c>
      <c r="BS100" s="499">
        <f t="shared" si="504"/>
        <v>2500</v>
      </c>
      <c r="BT100" s="499">
        <f t="shared" si="505"/>
        <v>2500</v>
      </c>
      <c r="BU100" s="499">
        <f t="shared" si="506"/>
        <v>2500</v>
      </c>
      <c r="BV100" s="499">
        <f t="shared" si="507"/>
        <v>2500</v>
      </c>
      <c r="BW100" s="774">
        <f t="shared" si="802"/>
        <v>0</v>
      </c>
      <c r="BX100" s="503">
        <f t="shared" si="802"/>
        <v>0</v>
      </c>
      <c r="BY100" s="503">
        <f t="shared" si="802"/>
        <v>0</v>
      </c>
      <c r="BZ100" s="503">
        <f t="shared" si="802"/>
        <v>0</v>
      </c>
      <c r="CA100" s="503">
        <f t="shared" si="802"/>
        <v>0</v>
      </c>
      <c r="CB100" s="503">
        <f t="shared" si="802"/>
        <v>0</v>
      </c>
      <c r="CC100" s="503">
        <f t="shared" si="802"/>
        <v>0</v>
      </c>
      <c r="CD100" s="722">
        <f t="shared" si="792"/>
        <v>0</v>
      </c>
      <c r="CE100" s="511">
        <f t="shared" ref="CE100:CH100" si="832">CD100</f>
        <v>0</v>
      </c>
      <c r="CF100" s="511">
        <f t="shared" si="832"/>
        <v>0</v>
      </c>
      <c r="CG100" s="511">
        <f t="shared" si="832"/>
        <v>0</v>
      </c>
      <c r="CH100" s="511">
        <f t="shared" si="832"/>
        <v>0</v>
      </c>
      <c r="CI100" s="511">
        <f t="shared" si="510"/>
        <v>0</v>
      </c>
      <c r="CJ100" s="511">
        <f t="shared" si="511"/>
        <v>0</v>
      </c>
      <c r="CK100" s="722">
        <f t="shared" si="794"/>
        <v>0</v>
      </c>
      <c r="CL100" s="511">
        <f t="shared" ref="CL100:CO100" si="833">CK100</f>
        <v>0</v>
      </c>
      <c r="CM100" s="511">
        <f t="shared" si="833"/>
        <v>0</v>
      </c>
      <c r="CN100" s="511">
        <f t="shared" si="833"/>
        <v>0</v>
      </c>
      <c r="CO100" s="511">
        <f t="shared" si="833"/>
        <v>0</v>
      </c>
      <c r="CP100" s="511">
        <f t="shared" si="513"/>
        <v>0</v>
      </c>
      <c r="CQ100" s="511">
        <f t="shared" si="514"/>
        <v>0</v>
      </c>
      <c r="CR100" s="722">
        <f t="shared" si="796"/>
        <v>0</v>
      </c>
      <c r="CS100" s="511">
        <f t="shared" ref="CS100:CV100" si="834">CR100</f>
        <v>0</v>
      </c>
      <c r="CT100" s="511">
        <f t="shared" si="834"/>
        <v>0</v>
      </c>
      <c r="CU100" s="511">
        <f t="shared" si="834"/>
        <v>0</v>
      </c>
      <c r="CV100" s="511">
        <f t="shared" si="834"/>
        <v>0</v>
      </c>
      <c r="CW100" s="511">
        <f t="shared" si="516"/>
        <v>0</v>
      </c>
      <c r="CX100" s="539">
        <f t="shared" si="517"/>
        <v>0</v>
      </c>
      <c r="CY100" s="724">
        <f t="shared" si="560"/>
        <v>0</v>
      </c>
      <c r="CZ100" s="508">
        <f t="shared" si="561"/>
        <v>18600</v>
      </c>
      <c r="DA100" s="508">
        <f t="shared" si="562"/>
        <v>0</v>
      </c>
      <c r="DB100" s="508">
        <f t="shared" si="563"/>
        <v>0</v>
      </c>
      <c r="DC100" s="508">
        <f t="shared" si="564"/>
        <v>18600</v>
      </c>
      <c r="DD100" s="508">
        <f t="shared" si="565"/>
        <v>0</v>
      </c>
      <c r="DE100" s="726">
        <f t="shared" si="566"/>
        <v>0</v>
      </c>
      <c r="DF100" s="724">
        <f t="shared" si="567"/>
        <v>0</v>
      </c>
      <c r="DG100" s="509">
        <f t="shared" si="568"/>
        <v>0</v>
      </c>
      <c r="DH100" s="509">
        <f t="shared" si="569"/>
        <v>0</v>
      </c>
      <c r="DI100" s="509">
        <f t="shared" si="570"/>
        <v>0</v>
      </c>
      <c r="DJ100" s="509">
        <f t="shared" si="571"/>
        <v>0</v>
      </c>
      <c r="DK100" s="509">
        <f t="shared" si="572"/>
        <v>0</v>
      </c>
      <c r="DL100" s="451">
        <f t="shared" si="573"/>
        <v>0</v>
      </c>
      <c r="DM100" s="509">
        <f t="shared" si="574"/>
        <v>0</v>
      </c>
      <c r="DN100" s="509">
        <f t="shared" si="575"/>
        <v>1250</v>
      </c>
      <c r="DO100" s="509">
        <f t="shared" si="576"/>
        <v>0</v>
      </c>
      <c r="DP100" s="509">
        <f t="shared" si="577"/>
        <v>0</v>
      </c>
      <c r="DQ100" s="509">
        <f t="shared" si="578"/>
        <v>1250</v>
      </c>
      <c r="DR100" s="509">
        <f t="shared" si="579"/>
        <v>0</v>
      </c>
      <c r="DS100" s="450">
        <f t="shared" si="580"/>
        <v>0</v>
      </c>
      <c r="DT100" s="724">
        <f t="shared" si="581"/>
        <v>0</v>
      </c>
      <c r="DU100" s="508">
        <f t="shared" si="582"/>
        <v>0</v>
      </c>
      <c r="DV100" s="508">
        <f t="shared" si="583"/>
        <v>0</v>
      </c>
      <c r="DW100" s="508">
        <f t="shared" si="584"/>
        <v>0</v>
      </c>
      <c r="DX100" s="508">
        <f t="shared" si="585"/>
        <v>0</v>
      </c>
      <c r="DY100" s="508">
        <f t="shared" si="586"/>
        <v>0</v>
      </c>
      <c r="DZ100" s="726">
        <f t="shared" si="587"/>
        <v>0</v>
      </c>
      <c r="EA100" s="722">
        <f t="shared" si="588"/>
        <v>0</v>
      </c>
      <c r="EB100" s="511">
        <f t="shared" si="589"/>
        <v>0</v>
      </c>
      <c r="EC100" s="511">
        <f t="shared" si="590"/>
        <v>0</v>
      </c>
      <c r="ED100" s="511">
        <f t="shared" si="591"/>
        <v>0</v>
      </c>
      <c r="EE100" s="511">
        <f t="shared" si="592"/>
        <v>0</v>
      </c>
      <c r="EF100" s="511">
        <f t="shared" si="593"/>
        <v>0</v>
      </c>
      <c r="EG100" s="723">
        <f t="shared" si="594"/>
        <v>0</v>
      </c>
      <c r="EH100" s="397">
        <f t="shared" si="595"/>
        <v>0</v>
      </c>
      <c r="EI100" s="397">
        <f t="shared" si="596"/>
        <v>0</v>
      </c>
      <c r="EJ100" s="397">
        <f t="shared" si="597"/>
        <v>0</v>
      </c>
      <c r="EK100" s="397">
        <f t="shared" si="598"/>
        <v>0</v>
      </c>
      <c r="EL100" s="397">
        <f t="shared" si="599"/>
        <v>0</v>
      </c>
      <c r="EM100" s="397">
        <f t="shared" si="600"/>
        <v>0</v>
      </c>
      <c r="EN100" s="398">
        <f t="shared" si="601"/>
        <v>0</v>
      </c>
      <c r="EO100" s="722">
        <f t="shared" si="602"/>
        <v>0</v>
      </c>
      <c r="EP100" s="511">
        <f t="shared" si="603"/>
        <v>0</v>
      </c>
      <c r="EQ100" s="511">
        <f t="shared" si="604"/>
        <v>0</v>
      </c>
      <c r="ER100" s="511">
        <f t="shared" si="605"/>
        <v>0</v>
      </c>
      <c r="ES100" s="511">
        <f t="shared" si="606"/>
        <v>0</v>
      </c>
      <c r="ET100" s="511">
        <f t="shared" si="607"/>
        <v>0</v>
      </c>
      <c r="EU100" s="723">
        <f t="shared" si="608"/>
        <v>0</v>
      </c>
      <c r="EV100" s="727">
        <f t="shared" si="609"/>
        <v>0.5</v>
      </c>
      <c r="EW100" s="728">
        <f t="shared" si="610"/>
        <v>37200</v>
      </c>
      <c r="EX100" s="728">
        <f t="shared" si="611"/>
        <v>0</v>
      </c>
      <c r="EY100" s="728">
        <f t="shared" si="612"/>
        <v>2500</v>
      </c>
      <c r="EZ100" s="728">
        <f t="shared" si="613"/>
        <v>0</v>
      </c>
      <c r="FA100" s="777">
        <f t="shared" si="614"/>
        <v>0</v>
      </c>
      <c r="FB100" s="777">
        <f t="shared" si="615"/>
        <v>0</v>
      </c>
      <c r="FC100" s="778">
        <f t="shared" si="616"/>
        <v>0</v>
      </c>
      <c r="FE100" s="10"/>
      <c r="FF100" s="10"/>
    </row>
    <row r="101" spans="1:162">
      <c r="A101" s="662" t="s">
        <v>223</v>
      </c>
      <c r="B101" s="789" t="s">
        <v>1393</v>
      </c>
      <c r="C101" s="789" t="str">
        <f t="shared" ref="C101:W101" si="835">C44</f>
        <v>Commercial New Construction LEED 11 to 15 Points - LEED Energy &amp; Atmosphere, Credit 1 Category Optimize Energy Efficiency Performance</v>
      </c>
      <c r="D101" s="789" t="str">
        <f t="shared" si="835"/>
        <v>Non-LEED Building</v>
      </c>
      <c r="E101" s="789" t="str">
        <f t="shared" si="835"/>
        <v>Per Project</v>
      </c>
      <c r="F101" s="789" t="str">
        <f t="shared" si="835"/>
        <v>Per Project</v>
      </c>
      <c r="G101" s="704" t="str">
        <f t="shared" si="835"/>
        <v>Incremental Cost</v>
      </c>
      <c r="H101" s="704">
        <f t="shared" si="835"/>
        <v>37200</v>
      </c>
      <c r="I101" s="704">
        <f t="shared" si="835"/>
        <v>0</v>
      </c>
      <c r="J101" s="704">
        <f t="shared" si="835"/>
        <v>37200</v>
      </c>
      <c r="K101" s="704">
        <f t="shared" si="835"/>
        <v>0</v>
      </c>
      <c r="L101" s="704">
        <f t="shared" si="835"/>
        <v>18600</v>
      </c>
      <c r="M101" s="707" t="str">
        <f t="shared" si="835"/>
        <v>Assume Direct Costs of LEED Certification ONLY: http://www.josre.org/wp-content/uploads/2012/09/Cost_of_LEED_Analysis_of_Construction_Costs-JOSRE_v3-13.pdf</v>
      </c>
      <c r="N101" s="704">
        <f t="shared" si="835"/>
        <v>3000</v>
      </c>
      <c r="O101" s="704">
        <f t="shared" si="835"/>
        <v>3000</v>
      </c>
      <c r="P101" s="704">
        <f t="shared" si="835"/>
        <v>0</v>
      </c>
      <c r="Q101" s="704">
        <f t="shared" si="835"/>
        <v>0</v>
      </c>
      <c r="R101" s="1021">
        <f t="shared" si="835"/>
        <v>0</v>
      </c>
      <c r="S101" s="872">
        <f t="shared" si="835"/>
        <v>0</v>
      </c>
      <c r="T101" s="1022">
        <f t="shared" si="835"/>
        <v>0</v>
      </c>
      <c r="U101" s="711" t="str">
        <f t="shared" si="835"/>
        <v>Assume no additional savings for LEED. Bonus incentive. Estimated savings from LG&amp;E and KU projections and 2016 program data.</v>
      </c>
      <c r="V101" s="716">
        <f t="shared" si="835"/>
        <v>0</v>
      </c>
      <c r="W101" s="711">
        <f t="shared" si="835"/>
        <v>1</v>
      </c>
      <c r="X101" s="781">
        <f t="shared" ref="X101:AJ101" si="836">X44/2</f>
        <v>0</v>
      </c>
      <c r="Y101" s="781">
        <f t="shared" si="836"/>
        <v>0</v>
      </c>
      <c r="Z101" s="781">
        <f t="shared" si="836"/>
        <v>0</v>
      </c>
      <c r="AA101" s="781">
        <f t="shared" si="836"/>
        <v>0</v>
      </c>
      <c r="AB101" s="781">
        <f t="shared" si="836"/>
        <v>0</v>
      </c>
      <c r="AC101" s="781">
        <f t="shared" si="836"/>
        <v>0.5</v>
      </c>
      <c r="AD101" s="781">
        <f t="shared" si="836"/>
        <v>0</v>
      </c>
      <c r="AE101" s="781">
        <f t="shared" si="836"/>
        <v>0</v>
      </c>
      <c r="AF101" s="781">
        <f t="shared" si="836"/>
        <v>0.5</v>
      </c>
      <c r="AG101" s="781">
        <f t="shared" si="836"/>
        <v>0</v>
      </c>
      <c r="AH101" s="781">
        <f t="shared" si="836"/>
        <v>0</v>
      </c>
      <c r="AI101" s="781">
        <f t="shared" si="836"/>
        <v>0.5</v>
      </c>
      <c r="AJ101" s="781">
        <f t="shared" si="836"/>
        <v>0</v>
      </c>
      <c r="AK101" s="711" t="str">
        <f t="shared" ref="AK101:AZ101" si="837">AK44</f>
        <v>Both</v>
      </c>
      <c r="AL101" s="711" t="str">
        <f t="shared" si="837"/>
        <v>Commercial</v>
      </c>
      <c r="AM101" s="711" t="str">
        <f t="shared" si="837"/>
        <v>Large Office</v>
      </c>
      <c r="AN101" s="711" t="str">
        <f t="shared" si="837"/>
        <v>All</v>
      </c>
      <c r="AO101" s="711" t="str">
        <f t="shared" si="837"/>
        <v>New</v>
      </c>
      <c r="AP101" s="711">
        <f t="shared" si="837"/>
        <v>0</v>
      </c>
      <c r="AQ101" s="711">
        <f t="shared" si="837"/>
        <v>0</v>
      </c>
      <c r="AR101" s="711">
        <f t="shared" si="837"/>
        <v>0</v>
      </c>
      <c r="AS101" s="711" t="str">
        <f t="shared" si="837"/>
        <v>OFFLGElecTotl</v>
      </c>
      <c r="AT101" s="715" t="s">
        <v>745</v>
      </c>
      <c r="AU101" s="1065" t="s">
        <v>771</v>
      </c>
      <c r="AV101" s="711">
        <f t="shared" si="837"/>
        <v>15</v>
      </c>
      <c r="AW101" s="711">
        <f t="shared" si="837"/>
        <v>15</v>
      </c>
      <c r="AX101" s="711" t="s">
        <v>769</v>
      </c>
      <c r="AY101" s="711">
        <f t="shared" si="837"/>
        <v>1</v>
      </c>
      <c r="AZ101" s="711">
        <f t="shared" si="837"/>
        <v>1</v>
      </c>
      <c r="BA101" s="1066">
        <f t="shared" si="823"/>
        <v>0</v>
      </c>
      <c r="BB101" s="721">
        <f t="shared" si="493"/>
        <v>37200</v>
      </c>
      <c r="BC101" s="499">
        <f t="shared" si="494"/>
        <v>37200</v>
      </c>
      <c r="BD101" s="499">
        <f t="shared" si="495"/>
        <v>37200</v>
      </c>
      <c r="BE101" s="499">
        <f t="shared" si="496"/>
        <v>37200</v>
      </c>
      <c r="BF101" s="499">
        <f t="shared" si="497"/>
        <v>37200</v>
      </c>
      <c r="BG101" s="499">
        <f t="shared" si="498"/>
        <v>37200</v>
      </c>
      <c r="BH101" s="499">
        <f t="shared" si="499"/>
        <v>37200</v>
      </c>
      <c r="BI101" s="721">
        <f t="shared" si="788"/>
        <v>0</v>
      </c>
      <c r="BJ101" s="499">
        <f t="shared" ref="BJ101:BM101" si="838">BI101</f>
        <v>0</v>
      </c>
      <c r="BK101" s="499">
        <f t="shared" si="838"/>
        <v>0</v>
      </c>
      <c r="BL101" s="499">
        <f t="shared" si="838"/>
        <v>0</v>
      </c>
      <c r="BM101" s="499">
        <f t="shared" si="838"/>
        <v>0</v>
      </c>
      <c r="BN101" s="499">
        <f t="shared" si="501"/>
        <v>0</v>
      </c>
      <c r="BO101" s="499">
        <f t="shared" si="502"/>
        <v>0</v>
      </c>
      <c r="BP101" s="721">
        <f t="shared" si="790"/>
        <v>3000</v>
      </c>
      <c r="BQ101" s="499">
        <f t="shared" si="791"/>
        <v>3000</v>
      </c>
      <c r="BR101" s="499">
        <f t="shared" si="503"/>
        <v>3000</v>
      </c>
      <c r="BS101" s="499">
        <f t="shared" si="504"/>
        <v>3000</v>
      </c>
      <c r="BT101" s="499">
        <f t="shared" si="505"/>
        <v>3000</v>
      </c>
      <c r="BU101" s="499">
        <f t="shared" si="506"/>
        <v>3000</v>
      </c>
      <c r="BV101" s="499">
        <f t="shared" si="507"/>
        <v>3000</v>
      </c>
      <c r="BW101" s="774">
        <f t="shared" si="802"/>
        <v>0</v>
      </c>
      <c r="BX101" s="503">
        <f t="shared" si="802"/>
        <v>0</v>
      </c>
      <c r="BY101" s="503">
        <f t="shared" si="802"/>
        <v>0</v>
      </c>
      <c r="BZ101" s="503">
        <f t="shared" si="802"/>
        <v>0</v>
      </c>
      <c r="CA101" s="503">
        <f t="shared" si="802"/>
        <v>0</v>
      </c>
      <c r="CB101" s="503">
        <f t="shared" si="802"/>
        <v>0</v>
      </c>
      <c r="CC101" s="503">
        <f t="shared" si="802"/>
        <v>0</v>
      </c>
      <c r="CD101" s="722">
        <f t="shared" si="792"/>
        <v>0</v>
      </c>
      <c r="CE101" s="511">
        <f t="shared" ref="CE101:CH101" si="839">CD101</f>
        <v>0</v>
      </c>
      <c r="CF101" s="511">
        <f t="shared" si="839"/>
        <v>0</v>
      </c>
      <c r="CG101" s="511">
        <f t="shared" si="839"/>
        <v>0</v>
      </c>
      <c r="CH101" s="511">
        <f t="shared" si="839"/>
        <v>0</v>
      </c>
      <c r="CI101" s="511">
        <f t="shared" si="510"/>
        <v>0</v>
      </c>
      <c r="CJ101" s="511">
        <f t="shared" si="511"/>
        <v>0</v>
      </c>
      <c r="CK101" s="722">
        <f t="shared" si="794"/>
        <v>0</v>
      </c>
      <c r="CL101" s="511">
        <f t="shared" ref="CL101:CO101" si="840">CK101</f>
        <v>0</v>
      </c>
      <c r="CM101" s="511">
        <f t="shared" si="840"/>
        <v>0</v>
      </c>
      <c r="CN101" s="511">
        <f t="shared" si="840"/>
        <v>0</v>
      </c>
      <c r="CO101" s="511">
        <f t="shared" si="840"/>
        <v>0</v>
      </c>
      <c r="CP101" s="511">
        <f t="shared" si="513"/>
        <v>0</v>
      </c>
      <c r="CQ101" s="511">
        <f t="shared" si="514"/>
        <v>0</v>
      </c>
      <c r="CR101" s="722">
        <f t="shared" si="796"/>
        <v>0</v>
      </c>
      <c r="CS101" s="511">
        <f t="shared" ref="CS101:CV101" si="841">CR101</f>
        <v>0</v>
      </c>
      <c r="CT101" s="511">
        <f t="shared" si="841"/>
        <v>0</v>
      </c>
      <c r="CU101" s="511">
        <f t="shared" si="841"/>
        <v>0</v>
      </c>
      <c r="CV101" s="511">
        <f t="shared" si="841"/>
        <v>0</v>
      </c>
      <c r="CW101" s="511">
        <f t="shared" si="516"/>
        <v>0</v>
      </c>
      <c r="CX101" s="539">
        <f t="shared" si="517"/>
        <v>0</v>
      </c>
      <c r="CY101" s="724">
        <f t="shared" si="560"/>
        <v>0</v>
      </c>
      <c r="CZ101" s="508">
        <f t="shared" si="561"/>
        <v>0</v>
      </c>
      <c r="DA101" s="508">
        <f t="shared" si="562"/>
        <v>18600</v>
      </c>
      <c r="DB101" s="508">
        <f t="shared" si="563"/>
        <v>0</v>
      </c>
      <c r="DC101" s="508">
        <f t="shared" si="564"/>
        <v>0</v>
      </c>
      <c r="DD101" s="508">
        <f t="shared" si="565"/>
        <v>18600</v>
      </c>
      <c r="DE101" s="726">
        <f t="shared" si="566"/>
        <v>0</v>
      </c>
      <c r="DF101" s="724">
        <f t="shared" si="567"/>
        <v>0</v>
      </c>
      <c r="DG101" s="509">
        <f t="shared" si="568"/>
        <v>0</v>
      </c>
      <c r="DH101" s="509">
        <f t="shared" si="569"/>
        <v>0</v>
      </c>
      <c r="DI101" s="509">
        <f t="shared" si="570"/>
        <v>0</v>
      </c>
      <c r="DJ101" s="509">
        <f t="shared" si="571"/>
        <v>0</v>
      </c>
      <c r="DK101" s="509">
        <f t="shared" si="572"/>
        <v>0</v>
      </c>
      <c r="DL101" s="451">
        <f t="shared" si="573"/>
        <v>0</v>
      </c>
      <c r="DM101" s="509">
        <f t="shared" si="574"/>
        <v>0</v>
      </c>
      <c r="DN101" s="509">
        <f t="shared" si="575"/>
        <v>0</v>
      </c>
      <c r="DO101" s="509">
        <f t="shared" si="576"/>
        <v>1500</v>
      </c>
      <c r="DP101" s="509">
        <f t="shared" si="577"/>
        <v>0</v>
      </c>
      <c r="DQ101" s="509">
        <f t="shared" si="578"/>
        <v>0</v>
      </c>
      <c r="DR101" s="509">
        <f t="shared" si="579"/>
        <v>1500</v>
      </c>
      <c r="DS101" s="450">
        <f t="shared" si="580"/>
        <v>0</v>
      </c>
      <c r="DT101" s="724">
        <f t="shared" si="581"/>
        <v>0</v>
      </c>
      <c r="DU101" s="508">
        <f t="shared" si="582"/>
        <v>0</v>
      </c>
      <c r="DV101" s="508">
        <f t="shared" si="583"/>
        <v>0</v>
      </c>
      <c r="DW101" s="508">
        <f t="shared" si="584"/>
        <v>0</v>
      </c>
      <c r="DX101" s="508">
        <f t="shared" si="585"/>
        <v>0</v>
      </c>
      <c r="DY101" s="508">
        <f t="shared" si="586"/>
        <v>0</v>
      </c>
      <c r="DZ101" s="726">
        <f t="shared" si="587"/>
        <v>0</v>
      </c>
      <c r="EA101" s="722">
        <f t="shared" si="588"/>
        <v>0</v>
      </c>
      <c r="EB101" s="511">
        <f t="shared" si="589"/>
        <v>0</v>
      </c>
      <c r="EC101" s="511">
        <f t="shared" si="590"/>
        <v>0</v>
      </c>
      <c r="ED101" s="511">
        <f t="shared" si="591"/>
        <v>0</v>
      </c>
      <c r="EE101" s="511">
        <f t="shared" si="592"/>
        <v>0</v>
      </c>
      <c r="EF101" s="511">
        <f t="shared" si="593"/>
        <v>0</v>
      </c>
      <c r="EG101" s="723">
        <f t="shared" si="594"/>
        <v>0</v>
      </c>
      <c r="EH101" s="397">
        <f t="shared" si="595"/>
        <v>0</v>
      </c>
      <c r="EI101" s="397">
        <f t="shared" si="596"/>
        <v>0</v>
      </c>
      <c r="EJ101" s="397">
        <f t="shared" si="597"/>
        <v>0</v>
      </c>
      <c r="EK101" s="397">
        <f t="shared" si="598"/>
        <v>0</v>
      </c>
      <c r="EL101" s="397">
        <f t="shared" si="599"/>
        <v>0</v>
      </c>
      <c r="EM101" s="397">
        <f t="shared" si="600"/>
        <v>0</v>
      </c>
      <c r="EN101" s="398">
        <f t="shared" si="601"/>
        <v>0</v>
      </c>
      <c r="EO101" s="722">
        <f t="shared" si="602"/>
        <v>0</v>
      </c>
      <c r="EP101" s="511">
        <f t="shared" si="603"/>
        <v>0</v>
      </c>
      <c r="EQ101" s="511">
        <f t="shared" si="604"/>
        <v>0</v>
      </c>
      <c r="ER101" s="511">
        <f t="shared" si="605"/>
        <v>0</v>
      </c>
      <c r="ES101" s="511">
        <f t="shared" si="606"/>
        <v>0</v>
      </c>
      <c r="ET101" s="511">
        <f t="shared" si="607"/>
        <v>0</v>
      </c>
      <c r="EU101" s="723">
        <f t="shared" si="608"/>
        <v>0</v>
      </c>
      <c r="EV101" s="727">
        <f t="shared" si="609"/>
        <v>0.5</v>
      </c>
      <c r="EW101" s="728">
        <f t="shared" si="610"/>
        <v>37200</v>
      </c>
      <c r="EX101" s="728">
        <f t="shared" si="611"/>
        <v>0</v>
      </c>
      <c r="EY101" s="728">
        <f t="shared" si="612"/>
        <v>3000</v>
      </c>
      <c r="EZ101" s="728">
        <f t="shared" si="613"/>
        <v>0</v>
      </c>
      <c r="FA101" s="777">
        <f t="shared" si="614"/>
        <v>0</v>
      </c>
      <c r="FB101" s="777">
        <f t="shared" si="615"/>
        <v>0</v>
      </c>
      <c r="FC101" s="778">
        <f t="shared" si="616"/>
        <v>0</v>
      </c>
      <c r="FE101" s="10"/>
      <c r="FF101" s="10"/>
    </row>
    <row r="102" spans="1:162">
      <c r="A102" s="662" t="s">
        <v>224</v>
      </c>
      <c r="B102" s="789" t="s">
        <v>1394</v>
      </c>
      <c r="C102" s="789" t="str">
        <f t="shared" ref="C102:W102" si="842">C45</f>
        <v>Commercial New Construction LEED 16+ Points - LEED Energy &amp; Atmosphere, Credit 1 Category Optimize Energy Efficiency Performance</v>
      </c>
      <c r="D102" s="789" t="str">
        <f t="shared" si="842"/>
        <v>Non-LEED Building</v>
      </c>
      <c r="E102" s="789" t="str">
        <f t="shared" si="842"/>
        <v>Per Project</v>
      </c>
      <c r="F102" s="789" t="str">
        <f t="shared" si="842"/>
        <v>Per Project</v>
      </c>
      <c r="G102" s="704" t="str">
        <f t="shared" si="842"/>
        <v>Incremental Cost</v>
      </c>
      <c r="H102" s="704">
        <f t="shared" si="842"/>
        <v>37200</v>
      </c>
      <c r="I102" s="704">
        <f t="shared" si="842"/>
        <v>0</v>
      </c>
      <c r="J102" s="704">
        <f t="shared" si="842"/>
        <v>37200</v>
      </c>
      <c r="K102" s="704">
        <f t="shared" si="842"/>
        <v>0</v>
      </c>
      <c r="L102" s="704">
        <f t="shared" si="842"/>
        <v>18600</v>
      </c>
      <c r="M102" s="707" t="str">
        <f t="shared" si="842"/>
        <v>Assume Direct Costs of LEED Certification ONLY: http://www.josre.org/wp-content/uploads/2012/09/Cost_of_LEED_Analysis_of_Construction_Costs-JOSRE_v3-13.pdf</v>
      </c>
      <c r="N102" s="704">
        <f t="shared" si="842"/>
        <v>3500</v>
      </c>
      <c r="O102" s="704">
        <f t="shared" si="842"/>
        <v>3500</v>
      </c>
      <c r="P102" s="704">
        <f t="shared" si="842"/>
        <v>0</v>
      </c>
      <c r="Q102" s="704">
        <f t="shared" si="842"/>
        <v>0</v>
      </c>
      <c r="R102" s="1021">
        <f t="shared" si="842"/>
        <v>0</v>
      </c>
      <c r="S102" s="872">
        <f t="shared" si="842"/>
        <v>0</v>
      </c>
      <c r="T102" s="1022">
        <f t="shared" si="842"/>
        <v>0</v>
      </c>
      <c r="U102" s="711" t="str">
        <f t="shared" si="842"/>
        <v>Assume no additional savings for LEED. Bonus incentive. Estimated savings from LG&amp;E and KU projections and 2016 program data.</v>
      </c>
      <c r="V102" s="716">
        <f t="shared" si="842"/>
        <v>0</v>
      </c>
      <c r="W102" s="711">
        <f t="shared" si="842"/>
        <v>1</v>
      </c>
      <c r="X102" s="781">
        <f t="shared" ref="X102:AJ102" si="843">X45/2</f>
        <v>0.5</v>
      </c>
      <c r="Y102" s="781">
        <f t="shared" si="843"/>
        <v>0</v>
      </c>
      <c r="Z102" s="781">
        <f t="shared" si="843"/>
        <v>0</v>
      </c>
      <c r="AA102" s="781">
        <f t="shared" si="843"/>
        <v>0</v>
      </c>
      <c r="AB102" s="781">
        <f t="shared" si="843"/>
        <v>0</v>
      </c>
      <c r="AC102" s="781">
        <f t="shared" si="843"/>
        <v>0</v>
      </c>
      <c r="AD102" s="781">
        <f t="shared" si="843"/>
        <v>0.5</v>
      </c>
      <c r="AE102" s="781">
        <f t="shared" si="843"/>
        <v>0</v>
      </c>
      <c r="AF102" s="781">
        <f t="shared" si="843"/>
        <v>0</v>
      </c>
      <c r="AG102" s="781">
        <f t="shared" si="843"/>
        <v>0.5</v>
      </c>
      <c r="AH102" s="781">
        <f t="shared" si="843"/>
        <v>0</v>
      </c>
      <c r="AI102" s="781">
        <f t="shared" si="843"/>
        <v>0</v>
      </c>
      <c r="AJ102" s="781">
        <f t="shared" si="843"/>
        <v>0.5</v>
      </c>
      <c r="AK102" s="711" t="str">
        <f t="shared" ref="AK102:AZ102" si="844">AK45</f>
        <v>Both</v>
      </c>
      <c r="AL102" s="711" t="str">
        <f t="shared" si="844"/>
        <v>Commercial</v>
      </c>
      <c r="AM102" s="711" t="str">
        <f t="shared" si="844"/>
        <v>Large Office</v>
      </c>
      <c r="AN102" s="711" t="str">
        <f t="shared" si="844"/>
        <v>All</v>
      </c>
      <c r="AO102" s="711" t="str">
        <f t="shared" si="844"/>
        <v>New</v>
      </c>
      <c r="AP102" s="711">
        <f t="shared" si="844"/>
        <v>0</v>
      </c>
      <c r="AQ102" s="711">
        <f t="shared" si="844"/>
        <v>0</v>
      </c>
      <c r="AR102" s="711">
        <f t="shared" si="844"/>
        <v>0</v>
      </c>
      <c r="AS102" s="711" t="str">
        <f t="shared" si="844"/>
        <v>OFFLGElecTotl</v>
      </c>
      <c r="AT102" s="715" t="s">
        <v>745</v>
      </c>
      <c r="AU102" s="1065" t="s">
        <v>771</v>
      </c>
      <c r="AV102" s="711">
        <f t="shared" si="844"/>
        <v>15</v>
      </c>
      <c r="AW102" s="711">
        <f t="shared" si="844"/>
        <v>15</v>
      </c>
      <c r="AX102" s="711" t="s">
        <v>769</v>
      </c>
      <c r="AY102" s="711">
        <f t="shared" si="844"/>
        <v>1</v>
      </c>
      <c r="AZ102" s="711">
        <f t="shared" si="844"/>
        <v>1</v>
      </c>
      <c r="BA102" s="1066">
        <f t="shared" si="823"/>
        <v>0</v>
      </c>
      <c r="BB102" s="721">
        <f t="shared" si="493"/>
        <v>37200</v>
      </c>
      <c r="BC102" s="499">
        <f t="shared" si="494"/>
        <v>37200</v>
      </c>
      <c r="BD102" s="499">
        <f t="shared" si="495"/>
        <v>37200</v>
      </c>
      <c r="BE102" s="499">
        <f t="shared" si="496"/>
        <v>37200</v>
      </c>
      <c r="BF102" s="499">
        <f t="shared" si="497"/>
        <v>37200</v>
      </c>
      <c r="BG102" s="499">
        <f t="shared" si="498"/>
        <v>37200</v>
      </c>
      <c r="BH102" s="499">
        <f t="shared" si="499"/>
        <v>37200</v>
      </c>
      <c r="BI102" s="721">
        <f t="shared" si="788"/>
        <v>0</v>
      </c>
      <c r="BJ102" s="499">
        <f t="shared" ref="BJ102:BM102" si="845">BI102</f>
        <v>0</v>
      </c>
      <c r="BK102" s="499">
        <f t="shared" si="845"/>
        <v>0</v>
      </c>
      <c r="BL102" s="499">
        <f t="shared" si="845"/>
        <v>0</v>
      </c>
      <c r="BM102" s="499">
        <f t="shared" si="845"/>
        <v>0</v>
      </c>
      <c r="BN102" s="499">
        <f t="shared" si="501"/>
        <v>0</v>
      </c>
      <c r="BO102" s="499">
        <f t="shared" si="502"/>
        <v>0</v>
      </c>
      <c r="BP102" s="721">
        <f t="shared" si="790"/>
        <v>3500</v>
      </c>
      <c r="BQ102" s="499">
        <f t="shared" si="791"/>
        <v>3500</v>
      </c>
      <c r="BR102" s="499">
        <f t="shared" si="503"/>
        <v>3500</v>
      </c>
      <c r="BS102" s="499">
        <f t="shared" si="504"/>
        <v>3500</v>
      </c>
      <c r="BT102" s="499">
        <f t="shared" si="505"/>
        <v>3500</v>
      </c>
      <c r="BU102" s="499">
        <f t="shared" si="506"/>
        <v>3500</v>
      </c>
      <c r="BV102" s="499">
        <f t="shared" si="507"/>
        <v>3500</v>
      </c>
      <c r="BW102" s="774">
        <f t="shared" si="802"/>
        <v>0</v>
      </c>
      <c r="BX102" s="503">
        <f t="shared" si="802"/>
        <v>0</v>
      </c>
      <c r="BY102" s="503">
        <f t="shared" si="802"/>
        <v>0</v>
      </c>
      <c r="BZ102" s="503">
        <f t="shared" si="802"/>
        <v>0</v>
      </c>
      <c r="CA102" s="503">
        <f t="shared" si="802"/>
        <v>0</v>
      </c>
      <c r="CB102" s="503">
        <f t="shared" si="802"/>
        <v>0</v>
      </c>
      <c r="CC102" s="503">
        <f t="shared" si="802"/>
        <v>0</v>
      </c>
      <c r="CD102" s="722">
        <f t="shared" si="792"/>
        <v>0</v>
      </c>
      <c r="CE102" s="511">
        <f t="shared" ref="CE102:CH102" si="846">CD102</f>
        <v>0</v>
      </c>
      <c r="CF102" s="511">
        <f t="shared" si="846"/>
        <v>0</v>
      </c>
      <c r="CG102" s="511">
        <f t="shared" si="846"/>
        <v>0</v>
      </c>
      <c r="CH102" s="511">
        <f t="shared" si="846"/>
        <v>0</v>
      </c>
      <c r="CI102" s="511">
        <f t="shared" si="510"/>
        <v>0</v>
      </c>
      <c r="CJ102" s="511">
        <f t="shared" si="511"/>
        <v>0</v>
      </c>
      <c r="CK102" s="722">
        <f t="shared" si="794"/>
        <v>0</v>
      </c>
      <c r="CL102" s="511">
        <f t="shared" ref="CL102:CO102" si="847">CK102</f>
        <v>0</v>
      </c>
      <c r="CM102" s="511">
        <f t="shared" si="847"/>
        <v>0</v>
      </c>
      <c r="CN102" s="511">
        <f t="shared" si="847"/>
        <v>0</v>
      </c>
      <c r="CO102" s="511">
        <f t="shared" si="847"/>
        <v>0</v>
      </c>
      <c r="CP102" s="511">
        <f t="shared" si="513"/>
        <v>0</v>
      </c>
      <c r="CQ102" s="511">
        <f t="shared" si="514"/>
        <v>0</v>
      </c>
      <c r="CR102" s="722">
        <f t="shared" si="796"/>
        <v>0</v>
      </c>
      <c r="CS102" s="511">
        <f t="shared" ref="CS102:CV102" si="848">CR102</f>
        <v>0</v>
      </c>
      <c r="CT102" s="511">
        <f t="shared" si="848"/>
        <v>0</v>
      </c>
      <c r="CU102" s="511">
        <f t="shared" si="848"/>
        <v>0</v>
      </c>
      <c r="CV102" s="511">
        <f t="shared" si="848"/>
        <v>0</v>
      </c>
      <c r="CW102" s="511">
        <f t="shared" si="516"/>
        <v>0</v>
      </c>
      <c r="CX102" s="539">
        <f t="shared" si="517"/>
        <v>0</v>
      </c>
      <c r="CY102" s="724">
        <f t="shared" ref="CY102:CY133" si="849">AD102*BB102*$W102</f>
        <v>18600</v>
      </c>
      <c r="CZ102" s="508">
        <f t="shared" ref="CZ102:CZ133" si="850">AE102*BC102*$W102</f>
        <v>0</v>
      </c>
      <c r="DA102" s="508">
        <f t="shared" ref="DA102:DA133" si="851">AF102*BD102*$W102</f>
        <v>0</v>
      </c>
      <c r="DB102" s="508">
        <f t="shared" ref="DB102:DB133" si="852">AG102*BE102*$W102</f>
        <v>18600</v>
      </c>
      <c r="DC102" s="508">
        <f t="shared" ref="DC102:DC133" si="853">AH102*BF102*$W102</f>
        <v>0</v>
      </c>
      <c r="DD102" s="508">
        <f t="shared" ref="DD102:DD133" si="854">AI102*BG102*$W102</f>
        <v>0</v>
      </c>
      <c r="DE102" s="726">
        <f t="shared" ref="DE102:DE133" si="855">AJ102*BH102*$W102</f>
        <v>18600</v>
      </c>
      <c r="DF102" s="724">
        <f t="shared" ref="DF102:DF133" si="856">AD102*BI102*$W102</f>
        <v>0</v>
      </c>
      <c r="DG102" s="509">
        <f t="shared" ref="DG102:DG133" si="857">AE102*BJ102*$W102</f>
        <v>0</v>
      </c>
      <c r="DH102" s="509">
        <f t="shared" ref="DH102:DH133" si="858">AF102*BK102*$W102</f>
        <v>0</v>
      </c>
      <c r="DI102" s="509">
        <f t="shared" ref="DI102:DI133" si="859">AG102*BL102*$W102</f>
        <v>0</v>
      </c>
      <c r="DJ102" s="509">
        <f t="shared" ref="DJ102:DJ133" si="860">AH102*BM102*$W102</f>
        <v>0</v>
      </c>
      <c r="DK102" s="509">
        <f t="shared" ref="DK102:DK133" si="861">AI102*BN102*$W102</f>
        <v>0</v>
      </c>
      <c r="DL102" s="451">
        <f t="shared" ref="DL102:DL133" si="862">AJ102*BO102*$W102</f>
        <v>0</v>
      </c>
      <c r="DM102" s="509">
        <f t="shared" ref="DM102:DM133" si="863">AD102*BP102*$W102</f>
        <v>1750</v>
      </c>
      <c r="DN102" s="509">
        <f t="shared" ref="DN102:DN133" si="864">AE102*BQ102*$W102</f>
        <v>0</v>
      </c>
      <c r="DO102" s="509">
        <f t="shared" ref="DO102:DO133" si="865">AF102*BR102*$W102</f>
        <v>0</v>
      </c>
      <c r="DP102" s="509">
        <f t="shared" ref="DP102:DP133" si="866">AG102*BS102*$W102</f>
        <v>1750</v>
      </c>
      <c r="DQ102" s="509">
        <f t="shared" ref="DQ102:DQ133" si="867">AH102*BT102*$W102</f>
        <v>0</v>
      </c>
      <c r="DR102" s="509">
        <f t="shared" ref="DR102:DR133" si="868">AI102*BU102*$W102</f>
        <v>0</v>
      </c>
      <c r="DS102" s="450">
        <f t="shared" ref="DS102:DS133" si="869">AJ102*BV102*$W102</f>
        <v>1750</v>
      </c>
      <c r="DT102" s="724">
        <f t="shared" ref="DT102:DT133" si="870">BW102*AD102*$W102</f>
        <v>0</v>
      </c>
      <c r="DU102" s="508">
        <f t="shared" ref="DU102:DU133" si="871">BX102*AE102*$W102</f>
        <v>0</v>
      </c>
      <c r="DV102" s="508">
        <f t="shared" ref="DV102:DV133" si="872">BY102*AF102*$W102</f>
        <v>0</v>
      </c>
      <c r="DW102" s="508">
        <f t="shared" ref="DW102:DW133" si="873">BZ102*AG102*$W102</f>
        <v>0</v>
      </c>
      <c r="DX102" s="508">
        <f t="shared" ref="DX102:DX133" si="874">CA102*AH102*$W102</f>
        <v>0</v>
      </c>
      <c r="DY102" s="508">
        <f t="shared" ref="DY102:DY133" si="875">CB102*AI102*$W102</f>
        <v>0</v>
      </c>
      <c r="DZ102" s="726">
        <f t="shared" ref="DZ102:DZ133" si="876">CC102*AJ102*$W102</f>
        <v>0</v>
      </c>
      <c r="EA102" s="722">
        <f t="shared" ref="EA102:EA133" si="877">AD102*CD102*$W102</f>
        <v>0</v>
      </c>
      <c r="EB102" s="511">
        <f t="shared" ref="EB102:EB133" si="878">AE102*CE102*$W102</f>
        <v>0</v>
      </c>
      <c r="EC102" s="511">
        <f t="shared" ref="EC102:EC133" si="879">AF102*CF102*$W102</f>
        <v>0</v>
      </c>
      <c r="ED102" s="511">
        <f t="shared" ref="ED102:ED133" si="880">AG102*CG102*$W102</f>
        <v>0</v>
      </c>
      <c r="EE102" s="511">
        <f t="shared" ref="EE102:EE133" si="881">AH102*CH102*$W102</f>
        <v>0</v>
      </c>
      <c r="EF102" s="511">
        <f t="shared" ref="EF102:EF133" si="882">AI102*CI102*$W102</f>
        <v>0</v>
      </c>
      <c r="EG102" s="723">
        <f t="shared" ref="EG102:EG133" si="883">AJ102*CJ102*$W102</f>
        <v>0</v>
      </c>
      <c r="EH102" s="397">
        <f t="shared" ref="EH102:EH133" si="884">AD102*CK102*$W102</f>
        <v>0</v>
      </c>
      <c r="EI102" s="397">
        <f t="shared" ref="EI102:EI133" si="885">AE102*CL102*$W102</f>
        <v>0</v>
      </c>
      <c r="EJ102" s="397">
        <f t="shared" ref="EJ102:EJ133" si="886">AF102*CM102*$W102</f>
        <v>0</v>
      </c>
      <c r="EK102" s="397">
        <f t="shared" ref="EK102:EK133" si="887">AG102*CN102*$W102</f>
        <v>0</v>
      </c>
      <c r="EL102" s="397">
        <f t="shared" ref="EL102:EL133" si="888">AH102*CO102*$W102</f>
        <v>0</v>
      </c>
      <c r="EM102" s="397">
        <f t="shared" ref="EM102:EM133" si="889">AI102*CP102*$W102</f>
        <v>0</v>
      </c>
      <c r="EN102" s="398">
        <f t="shared" ref="EN102:EN133" si="890">AJ102*CQ102*$W102</f>
        <v>0</v>
      </c>
      <c r="EO102" s="722">
        <f t="shared" ref="EO102:EO133" si="891">AD102*CR102*$W102</f>
        <v>0</v>
      </c>
      <c r="EP102" s="511">
        <f t="shared" ref="EP102:EP133" si="892">AE102*CS102*$W102</f>
        <v>0</v>
      </c>
      <c r="EQ102" s="511">
        <f t="shared" ref="EQ102:EQ133" si="893">AF102*CT102*$W102</f>
        <v>0</v>
      </c>
      <c r="ER102" s="511">
        <f t="shared" ref="ER102:ER133" si="894">AG102*CU102*$W102</f>
        <v>0</v>
      </c>
      <c r="ES102" s="511">
        <f t="shared" ref="ES102:ES133" si="895">AH102*CV102*$W102</f>
        <v>0</v>
      </c>
      <c r="ET102" s="511">
        <f t="shared" ref="ET102:ET133" si="896">AI102*CW102*$W102</f>
        <v>0</v>
      </c>
      <c r="EU102" s="723">
        <f t="shared" ref="EU102:EU133" si="897">AJ102*CX102*$W102</f>
        <v>0</v>
      </c>
      <c r="EV102" s="727">
        <f t="shared" ref="EV102:EV133" si="898">SUM(AD102:AF102)</f>
        <v>0.5</v>
      </c>
      <c r="EW102" s="728">
        <f t="shared" ref="EW102:EW133" si="899">SUM(CY102:DE102)</f>
        <v>55800</v>
      </c>
      <c r="EX102" s="728">
        <f t="shared" ref="EX102:EX133" si="900">SUM(DF102:DL102)</f>
        <v>0</v>
      </c>
      <c r="EY102" s="728">
        <f t="shared" ref="EY102:EY133" si="901">SUM(DM102:DS102)</f>
        <v>5250</v>
      </c>
      <c r="EZ102" s="728">
        <f t="shared" ref="EZ102:EZ133" si="902">SUM(DT102:DZ102)</f>
        <v>0</v>
      </c>
      <c r="FA102" s="777">
        <f t="shared" ref="FA102:FA133" si="903">SUM(EA102:EG102)</f>
        <v>0</v>
      </c>
      <c r="FB102" s="777">
        <f t="shared" ref="FB102:FB133" si="904">SUM(EH102:EN102)</f>
        <v>0</v>
      </c>
      <c r="FC102" s="778">
        <f t="shared" ref="FC102:FC133" si="905">SUM(EO102:EU102)</f>
        <v>0</v>
      </c>
      <c r="FE102" s="10"/>
      <c r="FF102" s="10"/>
    </row>
    <row r="103" spans="1:162">
      <c r="A103" s="662" t="s">
        <v>225</v>
      </c>
      <c r="B103" s="789" t="s">
        <v>1395</v>
      </c>
      <c r="C103" s="789" t="str">
        <f t="shared" ref="C103:W103" si="906">C46</f>
        <v>Commercial New Construction LEED 1 to 5 Points - LEED Energy &amp; Atmosphere, Credit 1 Category Optimize Energy Efficiency Performance</v>
      </c>
      <c r="D103" s="789" t="str">
        <f t="shared" si="906"/>
        <v>Non-LEED Building</v>
      </c>
      <c r="E103" s="789" t="str">
        <f t="shared" si="906"/>
        <v>Per Project</v>
      </c>
      <c r="F103" s="789" t="str">
        <f t="shared" si="906"/>
        <v>Per Project</v>
      </c>
      <c r="G103" s="704" t="str">
        <f t="shared" si="906"/>
        <v>Incremental Cost</v>
      </c>
      <c r="H103" s="704">
        <f t="shared" si="906"/>
        <v>37200</v>
      </c>
      <c r="I103" s="704">
        <f t="shared" si="906"/>
        <v>0</v>
      </c>
      <c r="J103" s="704">
        <f t="shared" si="906"/>
        <v>37200</v>
      </c>
      <c r="K103" s="704">
        <f t="shared" si="906"/>
        <v>0</v>
      </c>
      <c r="L103" s="704">
        <f t="shared" si="906"/>
        <v>18600</v>
      </c>
      <c r="M103" s="707" t="str">
        <f t="shared" si="906"/>
        <v>Assume Direct Costs of LEED Certification ONLY: http://www.josre.org/wp-content/uploads/2012/09/Cost_of_LEED_Analysis_of_Construction_Costs-JOSRE_v3-13.pdf</v>
      </c>
      <c r="N103" s="704">
        <f t="shared" si="906"/>
        <v>4000</v>
      </c>
      <c r="O103" s="704">
        <f t="shared" si="906"/>
        <v>4000</v>
      </c>
      <c r="P103" s="704">
        <f t="shared" si="906"/>
        <v>0</v>
      </c>
      <c r="Q103" s="704">
        <f t="shared" si="906"/>
        <v>0</v>
      </c>
      <c r="R103" s="1021">
        <f t="shared" si="906"/>
        <v>0</v>
      </c>
      <c r="S103" s="872">
        <f t="shared" si="906"/>
        <v>0</v>
      </c>
      <c r="T103" s="1022">
        <f t="shared" si="906"/>
        <v>0</v>
      </c>
      <c r="U103" s="711" t="str">
        <f t="shared" si="906"/>
        <v>Assume no additional savings for LEED. Bonus incentive. Estimated savings from LG&amp;E and KU projections and 2016 program data.</v>
      </c>
      <c r="V103" s="716">
        <f t="shared" si="906"/>
        <v>0</v>
      </c>
      <c r="W103" s="711">
        <f t="shared" si="906"/>
        <v>1</v>
      </c>
      <c r="X103" s="781">
        <f t="shared" ref="X103:AJ103" si="907">X46/2</f>
        <v>0</v>
      </c>
      <c r="Y103" s="781">
        <f t="shared" si="907"/>
        <v>0</v>
      </c>
      <c r="Z103" s="781">
        <f t="shared" si="907"/>
        <v>0</v>
      </c>
      <c r="AA103" s="781">
        <f t="shared" si="907"/>
        <v>0</v>
      </c>
      <c r="AB103" s="781">
        <f t="shared" si="907"/>
        <v>0</v>
      </c>
      <c r="AC103" s="781">
        <f t="shared" si="907"/>
        <v>0</v>
      </c>
      <c r="AD103" s="781">
        <f t="shared" si="907"/>
        <v>0</v>
      </c>
      <c r="AE103" s="781">
        <f t="shared" si="907"/>
        <v>0.5</v>
      </c>
      <c r="AF103" s="781">
        <f t="shared" si="907"/>
        <v>0</v>
      </c>
      <c r="AG103" s="781">
        <f t="shared" si="907"/>
        <v>0</v>
      </c>
      <c r="AH103" s="781">
        <f t="shared" si="907"/>
        <v>0.5</v>
      </c>
      <c r="AI103" s="781">
        <f t="shared" si="907"/>
        <v>0</v>
      </c>
      <c r="AJ103" s="781">
        <f t="shared" si="907"/>
        <v>0</v>
      </c>
      <c r="AK103" s="711" t="str">
        <f t="shared" ref="AK103:AZ103" si="908">AK46</f>
        <v>Both</v>
      </c>
      <c r="AL103" s="711" t="str">
        <f t="shared" si="908"/>
        <v>Commercial</v>
      </c>
      <c r="AM103" s="711" t="str">
        <f t="shared" si="908"/>
        <v>Large Office</v>
      </c>
      <c r="AN103" s="711" t="str">
        <f t="shared" si="908"/>
        <v>All</v>
      </c>
      <c r="AO103" s="711" t="str">
        <f t="shared" si="908"/>
        <v>New</v>
      </c>
      <c r="AP103" s="711">
        <f t="shared" si="908"/>
        <v>0</v>
      </c>
      <c r="AQ103" s="711">
        <f t="shared" si="908"/>
        <v>0</v>
      </c>
      <c r="AR103" s="711">
        <f t="shared" si="908"/>
        <v>0</v>
      </c>
      <c r="AS103" s="711" t="str">
        <f t="shared" si="908"/>
        <v>OFFLGElecTotl</v>
      </c>
      <c r="AT103" s="715" t="s">
        <v>745</v>
      </c>
      <c r="AU103" s="1065" t="s">
        <v>771</v>
      </c>
      <c r="AV103" s="711">
        <f t="shared" si="908"/>
        <v>15</v>
      </c>
      <c r="AW103" s="711">
        <f t="shared" si="908"/>
        <v>15</v>
      </c>
      <c r="AX103" s="711" t="s">
        <v>769</v>
      </c>
      <c r="AY103" s="711">
        <f t="shared" si="908"/>
        <v>1</v>
      </c>
      <c r="AZ103" s="711">
        <f t="shared" si="908"/>
        <v>1</v>
      </c>
      <c r="BA103" s="1066">
        <f t="shared" si="823"/>
        <v>0</v>
      </c>
      <c r="BB103" s="721">
        <f t="shared" si="493"/>
        <v>37200</v>
      </c>
      <c r="BC103" s="499">
        <f t="shared" si="494"/>
        <v>37200</v>
      </c>
      <c r="BD103" s="499">
        <f t="shared" si="495"/>
        <v>37200</v>
      </c>
      <c r="BE103" s="499">
        <f t="shared" si="496"/>
        <v>37200</v>
      </c>
      <c r="BF103" s="499">
        <f t="shared" si="497"/>
        <v>37200</v>
      </c>
      <c r="BG103" s="499">
        <f t="shared" si="498"/>
        <v>37200</v>
      </c>
      <c r="BH103" s="499">
        <f t="shared" si="499"/>
        <v>37200</v>
      </c>
      <c r="BI103" s="721">
        <f t="shared" si="788"/>
        <v>0</v>
      </c>
      <c r="BJ103" s="499">
        <f t="shared" ref="BJ103:BM103" si="909">BI103</f>
        <v>0</v>
      </c>
      <c r="BK103" s="499">
        <f t="shared" si="909"/>
        <v>0</v>
      </c>
      <c r="BL103" s="499">
        <f t="shared" si="909"/>
        <v>0</v>
      </c>
      <c r="BM103" s="499">
        <f t="shared" si="909"/>
        <v>0</v>
      </c>
      <c r="BN103" s="499">
        <f t="shared" si="501"/>
        <v>0</v>
      </c>
      <c r="BO103" s="499">
        <f t="shared" si="502"/>
        <v>0</v>
      </c>
      <c r="BP103" s="721">
        <f t="shared" si="790"/>
        <v>4000</v>
      </c>
      <c r="BQ103" s="499">
        <f t="shared" si="791"/>
        <v>4000</v>
      </c>
      <c r="BR103" s="499">
        <f t="shared" si="503"/>
        <v>4000</v>
      </c>
      <c r="BS103" s="499">
        <f t="shared" si="504"/>
        <v>4000</v>
      </c>
      <c r="BT103" s="499">
        <f t="shared" si="505"/>
        <v>4000</v>
      </c>
      <c r="BU103" s="499">
        <f t="shared" si="506"/>
        <v>4000</v>
      </c>
      <c r="BV103" s="499">
        <f t="shared" si="507"/>
        <v>4000</v>
      </c>
      <c r="BW103" s="774">
        <f t="shared" si="802"/>
        <v>0</v>
      </c>
      <c r="BX103" s="503">
        <f t="shared" si="802"/>
        <v>0</v>
      </c>
      <c r="BY103" s="503">
        <f t="shared" si="802"/>
        <v>0</v>
      </c>
      <c r="BZ103" s="503">
        <f t="shared" si="802"/>
        <v>0</v>
      </c>
      <c r="CA103" s="503">
        <f t="shared" si="802"/>
        <v>0</v>
      </c>
      <c r="CB103" s="503">
        <f t="shared" si="802"/>
        <v>0</v>
      </c>
      <c r="CC103" s="503">
        <f t="shared" si="802"/>
        <v>0</v>
      </c>
      <c r="CD103" s="722">
        <f t="shared" si="792"/>
        <v>0</v>
      </c>
      <c r="CE103" s="511">
        <f t="shared" ref="CE103:CH103" si="910">CD103</f>
        <v>0</v>
      </c>
      <c r="CF103" s="511">
        <f t="shared" si="910"/>
        <v>0</v>
      </c>
      <c r="CG103" s="511">
        <f t="shared" si="910"/>
        <v>0</v>
      </c>
      <c r="CH103" s="511">
        <f t="shared" si="910"/>
        <v>0</v>
      </c>
      <c r="CI103" s="511">
        <f t="shared" si="510"/>
        <v>0</v>
      </c>
      <c r="CJ103" s="511">
        <f t="shared" si="511"/>
        <v>0</v>
      </c>
      <c r="CK103" s="722">
        <f t="shared" si="794"/>
        <v>0</v>
      </c>
      <c r="CL103" s="511">
        <f t="shared" ref="CL103:CO103" si="911">CK103</f>
        <v>0</v>
      </c>
      <c r="CM103" s="511">
        <f t="shared" si="911"/>
        <v>0</v>
      </c>
      <c r="CN103" s="511">
        <f t="shared" si="911"/>
        <v>0</v>
      </c>
      <c r="CO103" s="511">
        <f t="shared" si="911"/>
        <v>0</v>
      </c>
      <c r="CP103" s="511">
        <f t="shared" si="513"/>
        <v>0</v>
      </c>
      <c r="CQ103" s="511">
        <f t="shared" si="514"/>
        <v>0</v>
      </c>
      <c r="CR103" s="722">
        <f t="shared" si="796"/>
        <v>0</v>
      </c>
      <c r="CS103" s="511">
        <f t="shared" ref="CS103:CV103" si="912">CR103</f>
        <v>0</v>
      </c>
      <c r="CT103" s="511">
        <f t="shared" si="912"/>
        <v>0</v>
      </c>
      <c r="CU103" s="511">
        <f t="shared" si="912"/>
        <v>0</v>
      </c>
      <c r="CV103" s="511">
        <f t="shared" si="912"/>
        <v>0</v>
      </c>
      <c r="CW103" s="511">
        <f t="shared" si="516"/>
        <v>0</v>
      </c>
      <c r="CX103" s="539">
        <f t="shared" si="517"/>
        <v>0</v>
      </c>
      <c r="CY103" s="724">
        <f t="shared" si="849"/>
        <v>0</v>
      </c>
      <c r="CZ103" s="508">
        <f t="shared" si="850"/>
        <v>18600</v>
      </c>
      <c r="DA103" s="508">
        <f t="shared" si="851"/>
        <v>0</v>
      </c>
      <c r="DB103" s="508">
        <f t="shared" si="852"/>
        <v>0</v>
      </c>
      <c r="DC103" s="508">
        <f t="shared" si="853"/>
        <v>18600</v>
      </c>
      <c r="DD103" s="508">
        <f t="shared" si="854"/>
        <v>0</v>
      </c>
      <c r="DE103" s="726">
        <f t="shared" si="855"/>
        <v>0</v>
      </c>
      <c r="DF103" s="724">
        <f t="shared" si="856"/>
        <v>0</v>
      </c>
      <c r="DG103" s="509">
        <f t="shared" si="857"/>
        <v>0</v>
      </c>
      <c r="DH103" s="509">
        <f t="shared" si="858"/>
        <v>0</v>
      </c>
      <c r="DI103" s="509">
        <f t="shared" si="859"/>
        <v>0</v>
      </c>
      <c r="DJ103" s="509">
        <f t="shared" si="860"/>
        <v>0</v>
      </c>
      <c r="DK103" s="509">
        <f t="shared" si="861"/>
        <v>0</v>
      </c>
      <c r="DL103" s="451">
        <f t="shared" si="862"/>
        <v>0</v>
      </c>
      <c r="DM103" s="509">
        <f t="shared" si="863"/>
        <v>0</v>
      </c>
      <c r="DN103" s="509">
        <f t="shared" si="864"/>
        <v>2000</v>
      </c>
      <c r="DO103" s="509">
        <f t="shared" si="865"/>
        <v>0</v>
      </c>
      <c r="DP103" s="509">
        <f t="shared" si="866"/>
        <v>0</v>
      </c>
      <c r="DQ103" s="509">
        <f t="shared" si="867"/>
        <v>2000</v>
      </c>
      <c r="DR103" s="509">
        <f t="shared" si="868"/>
        <v>0</v>
      </c>
      <c r="DS103" s="450">
        <f t="shared" si="869"/>
        <v>0</v>
      </c>
      <c r="DT103" s="724">
        <f t="shared" si="870"/>
        <v>0</v>
      </c>
      <c r="DU103" s="508">
        <f t="shared" si="871"/>
        <v>0</v>
      </c>
      <c r="DV103" s="508">
        <f t="shared" si="872"/>
        <v>0</v>
      </c>
      <c r="DW103" s="508">
        <f t="shared" si="873"/>
        <v>0</v>
      </c>
      <c r="DX103" s="508">
        <f t="shared" si="874"/>
        <v>0</v>
      </c>
      <c r="DY103" s="508">
        <f t="shared" si="875"/>
        <v>0</v>
      </c>
      <c r="DZ103" s="726">
        <f t="shared" si="876"/>
        <v>0</v>
      </c>
      <c r="EA103" s="722">
        <f t="shared" si="877"/>
        <v>0</v>
      </c>
      <c r="EB103" s="511">
        <f t="shared" si="878"/>
        <v>0</v>
      </c>
      <c r="EC103" s="511">
        <f t="shared" si="879"/>
        <v>0</v>
      </c>
      <c r="ED103" s="511">
        <f t="shared" si="880"/>
        <v>0</v>
      </c>
      <c r="EE103" s="511">
        <f t="shared" si="881"/>
        <v>0</v>
      </c>
      <c r="EF103" s="511">
        <f t="shared" si="882"/>
        <v>0</v>
      </c>
      <c r="EG103" s="723">
        <f t="shared" si="883"/>
        <v>0</v>
      </c>
      <c r="EH103" s="397">
        <f t="shared" si="884"/>
        <v>0</v>
      </c>
      <c r="EI103" s="397">
        <f t="shared" si="885"/>
        <v>0</v>
      </c>
      <c r="EJ103" s="397">
        <f t="shared" si="886"/>
        <v>0</v>
      </c>
      <c r="EK103" s="397">
        <f t="shared" si="887"/>
        <v>0</v>
      </c>
      <c r="EL103" s="397">
        <f t="shared" si="888"/>
        <v>0</v>
      </c>
      <c r="EM103" s="397">
        <f t="shared" si="889"/>
        <v>0</v>
      </c>
      <c r="EN103" s="398">
        <f t="shared" si="890"/>
        <v>0</v>
      </c>
      <c r="EO103" s="722">
        <f t="shared" si="891"/>
        <v>0</v>
      </c>
      <c r="EP103" s="511">
        <f t="shared" si="892"/>
        <v>0</v>
      </c>
      <c r="EQ103" s="511">
        <f t="shared" si="893"/>
        <v>0</v>
      </c>
      <c r="ER103" s="511">
        <f t="shared" si="894"/>
        <v>0</v>
      </c>
      <c r="ES103" s="511">
        <f t="shared" si="895"/>
        <v>0</v>
      </c>
      <c r="ET103" s="511">
        <f t="shared" si="896"/>
        <v>0</v>
      </c>
      <c r="EU103" s="723">
        <f t="shared" si="897"/>
        <v>0</v>
      </c>
      <c r="EV103" s="727">
        <f t="shared" si="898"/>
        <v>0.5</v>
      </c>
      <c r="EW103" s="728">
        <f t="shared" si="899"/>
        <v>37200</v>
      </c>
      <c r="EX103" s="728">
        <f t="shared" si="900"/>
        <v>0</v>
      </c>
      <c r="EY103" s="728">
        <f t="shared" si="901"/>
        <v>4000</v>
      </c>
      <c r="EZ103" s="728">
        <f t="shared" si="902"/>
        <v>0</v>
      </c>
      <c r="FA103" s="777">
        <f t="shared" si="903"/>
        <v>0</v>
      </c>
      <c r="FB103" s="777">
        <f t="shared" si="904"/>
        <v>0</v>
      </c>
      <c r="FC103" s="778">
        <f t="shared" si="905"/>
        <v>0</v>
      </c>
      <c r="FE103" s="10"/>
      <c r="FF103" s="10"/>
    </row>
    <row r="104" spans="1:162">
      <c r="A104" s="662" t="s">
        <v>226</v>
      </c>
      <c r="B104" s="789" t="s">
        <v>1396</v>
      </c>
      <c r="C104" s="789" t="str">
        <f t="shared" ref="C104:W104" si="913">C47</f>
        <v>Commercial New Construction LEED 6 to 10 Points - LEED Energy &amp; Atmosphere, Credit 1 Category Optimize Energy Efficiency Performance</v>
      </c>
      <c r="D104" s="789" t="str">
        <f t="shared" si="913"/>
        <v>Non-LEED Building</v>
      </c>
      <c r="E104" s="789" t="str">
        <f t="shared" si="913"/>
        <v>Per Project</v>
      </c>
      <c r="F104" s="789" t="str">
        <f t="shared" si="913"/>
        <v>Per Project</v>
      </c>
      <c r="G104" s="704" t="str">
        <f t="shared" si="913"/>
        <v>Incremental Cost</v>
      </c>
      <c r="H104" s="704">
        <f t="shared" si="913"/>
        <v>37200</v>
      </c>
      <c r="I104" s="704">
        <f t="shared" si="913"/>
        <v>0</v>
      </c>
      <c r="J104" s="704">
        <f t="shared" si="913"/>
        <v>37200</v>
      </c>
      <c r="K104" s="704">
        <f t="shared" si="913"/>
        <v>0</v>
      </c>
      <c r="L104" s="704">
        <f t="shared" si="913"/>
        <v>18600</v>
      </c>
      <c r="M104" s="707" t="str">
        <f t="shared" si="913"/>
        <v>Assume Direct Costs of LEED Certification ONLY: http://www.josre.org/wp-content/uploads/2012/09/Cost_of_LEED_Analysis_of_Construction_Costs-JOSRE_v3-13.pdf</v>
      </c>
      <c r="N104" s="704">
        <f t="shared" si="913"/>
        <v>6000</v>
      </c>
      <c r="O104" s="704">
        <f t="shared" si="913"/>
        <v>6000</v>
      </c>
      <c r="P104" s="704">
        <f t="shared" si="913"/>
        <v>0</v>
      </c>
      <c r="Q104" s="704">
        <f t="shared" si="913"/>
        <v>0</v>
      </c>
      <c r="R104" s="1021">
        <f t="shared" si="913"/>
        <v>0</v>
      </c>
      <c r="S104" s="872">
        <f t="shared" si="913"/>
        <v>0</v>
      </c>
      <c r="T104" s="1022">
        <f t="shared" si="913"/>
        <v>0</v>
      </c>
      <c r="U104" s="711" t="str">
        <f t="shared" si="913"/>
        <v>Assume no additional savings for LEED. Bonus incentive. Estimated savings from LG&amp;E and KU projections and 2016 program data.</v>
      </c>
      <c r="V104" s="716">
        <f t="shared" si="913"/>
        <v>0</v>
      </c>
      <c r="W104" s="711">
        <f t="shared" si="913"/>
        <v>1</v>
      </c>
      <c r="X104" s="781">
        <f t="shared" ref="X104:AJ104" si="914">X47/2</f>
        <v>0</v>
      </c>
      <c r="Y104" s="781">
        <f t="shared" si="914"/>
        <v>0</v>
      </c>
      <c r="Z104" s="781">
        <f t="shared" si="914"/>
        <v>0</v>
      </c>
      <c r="AA104" s="781">
        <f t="shared" si="914"/>
        <v>0</v>
      </c>
      <c r="AB104" s="781">
        <f t="shared" si="914"/>
        <v>0</v>
      </c>
      <c r="AC104" s="781">
        <f t="shared" si="914"/>
        <v>0.5</v>
      </c>
      <c r="AD104" s="781">
        <f t="shared" si="914"/>
        <v>0</v>
      </c>
      <c r="AE104" s="781">
        <f t="shared" si="914"/>
        <v>0.5</v>
      </c>
      <c r="AF104" s="781">
        <f t="shared" si="914"/>
        <v>0</v>
      </c>
      <c r="AG104" s="781">
        <f t="shared" si="914"/>
        <v>0.5</v>
      </c>
      <c r="AH104" s="781">
        <f t="shared" si="914"/>
        <v>0</v>
      </c>
      <c r="AI104" s="781">
        <f t="shared" si="914"/>
        <v>0.5</v>
      </c>
      <c r="AJ104" s="781">
        <f t="shared" si="914"/>
        <v>0</v>
      </c>
      <c r="AK104" s="711" t="str">
        <f t="shared" ref="AK104:AZ104" si="915">AK47</f>
        <v>Both</v>
      </c>
      <c r="AL104" s="711" t="str">
        <f t="shared" si="915"/>
        <v>Commercial</v>
      </c>
      <c r="AM104" s="711" t="str">
        <f t="shared" si="915"/>
        <v>Large Office</v>
      </c>
      <c r="AN104" s="711" t="str">
        <f t="shared" si="915"/>
        <v>All</v>
      </c>
      <c r="AO104" s="711" t="str">
        <f t="shared" si="915"/>
        <v>New</v>
      </c>
      <c r="AP104" s="711">
        <f t="shared" si="915"/>
        <v>0</v>
      </c>
      <c r="AQ104" s="711">
        <f t="shared" si="915"/>
        <v>0</v>
      </c>
      <c r="AR104" s="711">
        <f t="shared" si="915"/>
        <v>0</v>
      </c>
      <c r="AS104" s="711" t="str">
        <f t="shared" si="915"/>
        <v>OFFLGElecTotl</v>
      </c>
      <c r="AT104" s="715" t="s">
        <v>745</v>
      </c>
      <c r="AU104" s="1065" t="s">
        <v>771</v>
      </c>
      <c r="AV104" s="711">
        <f t="shared" si="915"/>
        <v>15</v>
      </c>
      <c r="AW104" s="711">
        <f t="shared" si="915"/>
        <v>15</v>
      </c>
      <c r="AX104" s="711" t="s">
        <v>769</v>
      </c>
      <c r="AY104" s="711">
        <f t="shared" si="915"/>
        <v>1</v>
      </c>
      <c r="AZ104" s="711">
        <f t="shared" si="915"/>
        <v>1</v>
      </c>
      <c r="BA104" s="1066">
        <f t="shared" si="823"/>
        <v>0</v>
      </c>
      <c r="BB104" s="721">
        <f t="shared" si="493"/>
        <v>37200</v>
      </c>
      <c r="BC104" s="499">
        <f t="shared" si="494"/>
        <v>37200</v>
      </c>
      <c r="BD104" s="499">
        <f t="shared" si="495"/>
        <v>37200</v>
      </c>
      <c r="BE104" s="499">
        <f t="shared" si="496"/>
        <v>37200</v>
      </c>
      <c r="BF104" s="499">
        <f t="shared" si="497"/>
        <v>37200</v>
      </c>
      <c r="BG104" s="499">
        <f t="shared" si="498"/>
        <v>37200</v>
      </c>
      <c r="BH104" s="499">
        <f t="shared" si="499"/>
        <v>37200</v>
      </c>
      <c r="BI104" s="721">
        <f t="shared" si="788"/>
        <v>0</v>
      </c>
      <c r="BJ104" s="499">
        <f t="shared" ref="BJ104:BM104" si="916">BI104</f>
        <v>0</v>
      </c>
      <c r="BK104" s="499">
        <f t="shared" si="916"/>
        <v>0</v>
      </c>
      <c r="BL104" s="499">
        <f t="shared" si="916"/>
        <v>0</v>
      </c>
      <c r="BM104" s="499">
        <f t="shared" si="916"/>
        <v>0</v>
      </c>
      <c r="BN104" s="499">
        <f t="shared" si="501"/>
        <v>0</v>
      </c>
      <c r="BO104" s="499">
        <f t="shared" si="502"/>
        <v>0</v>
      </c>
      <c r="BP104" s="721">
        <f t="shared" si="790"/>
        <v>6000</v>
      </c>
      <c r="BQ104" s="499">
        <f t="shared" si="791"/>
        <v>6000</v>
      </c>
      <c r="BR104" s="499">
        <f t="shared" si="503"/>
        <v>6000</v>
      </c>
      <c r="BS104" s="499">
        <f t="shared" si="504"/>
        <v>6000</v>
      </c>
      <c r="BT104" s="499">
        <f t="shared" si="505"/>
        <v>6000</v>
      </c>
      <c r="BU104" s="499">
        <f t="shared" si="506"/>
        <v>6000</v>
      </c>
      <c r="BV104" s="499">
        <f t="shared" si="507"/>
        <v>6000</v>
      </c>
      <c r="BW104" s="774">
        <f t="shared" si="802"/>
        <v>0</v>
      </c>
      <c r="BX104" s="503">
        <f t="shared" si="802"/>
        <v>0</v>
      </c>
      <c r="BY104" s="503">
        <f t="shared" si="802"/>
        <v>0</v>
      </c>
      <c r="BZ104" s="503">
        <f t="shared" si="802"/>
        <v>0</v>
      </c>
      <c r="CA104" s="503">
        <f t="shared" si="802"/>
        <v>0</v>
      </c>
      <c r="CB104" s="503">
        <f t="shared" si="802"/>
        <v>0</v>
      </c>
      <c r="CC104" s="503">
        <f t="shared" si="802"/>
        <v>0</v>
      </c>
      <c r="CD104" s="722">
        <f t="shared" si="792"/>
        <v>0</v>
      </c>
      <c r="CE104" s="511">
        <f t="shared" ref="CE104:CH104" si="917">CD104</f>
        <v>0</v>
      </c>
      <c r="CF104" s="511">
        <f t="shared" si="917"/>
        <v>0</v>
      </c>
      <c r="CG104" s="511">
        <f t="shared" si="917"/>
        <v>0</v>
      </c>
      <c r="CH104" s="511">
        <f t="shared" si="917"/>
        <v>0</v>
      </c>
      <c r="CI104" s="511">
        <f t="shared" si="510"/>
        <v>0</v>
      </c>
      <c r="CJ104" s="511">
        <f t="shared" si="511"/>
        <v>0</v>
      </c>
      <c r="CK104" s="722">
        <f t="shared" si="794"/>
        <v>0</v>
      </c>
      <c r="CL104" s="511">
        <f t="shared" ref="CL104:CO104" si="918">CK104</f>
        <v>0</v>
      </c>
      <c r="CM104" s="511">
        <f t="shared" si="918"/>
        <v>0</v>
      </c>
      <c r="CN104" s="511">
        <f t="shared" si="918"/>
        <v>0</v>
      </c>
      <c r="CO104" s="511">
        <f t="shared" si="918"/>
        <v>0</v>
      </c>
      <c r="CP104" s="511">
        <f t="shared" si="513"/>
        <v>0</v>
      </c>
      <c r="CQ104" s="511">
        <f t="shared" si="514"/>
        <v>0</v>
      </c>
      <c r="CR104" s="722">
        <f t="shared" si="796"/>
        <v>0</v>
      </c>
      <c r="CS104" s="511">
        <f t="shared" ref="CS104:CV104" si="919">CR104</f>
        <v>0</v>
      </c>
      <c r="CT104" s="511">
        <f t="shared" si="919"/>
        <v>0</v>
      </c>
      <c r="CU104" s="511">
        <f t="shared" si="919"/>
        <v>0</v>
      </c>
      <c r="CV104" s="511">
        <f t="shared" si="919"/>
        <v>0</v>
      </c>
      <c r="CW104" s="511">
        <f t="shared" si="516"/>
        <v>0</v>
      </c>
      <c r="CX104" s="539">
        <f t="shared" si="517"/>
        <v>0</v>
      </c>
      <c r="CY104" s="724">
        <f t="shared" si="849"/>
        <v>0</v>
      </c>
      <c r="CZ104" s="508">
        <f t="shared" si="850"/>
        <v>18600</v>
      </c>
      <c r="DA104" s="508">
        <f t="shared" si="851"/>
        <v>0</v>
      </c>
      <c r="DB104" s="508">
        <f t="shared" si="852"/>
        <v>18600</v>
      </c>
      <c r="DC104" s="508">
        <f t="shared" si="853"/>
        <v>0</v>
      </c>
      <c r="DD104" s="508">
        <f t="shared" si="854"/>
        <v>18600</v>
      </c>
      <c r="DE104" s="726">
        <f t="shared" si="855"/>
        <v>0</v>
      </c>
      <c r="DF104" s="724">
        <f t="shared" si="856"/>
        <v>0</v>
      </c>
      <c r="DG104" s="509">
        <f t="shared" si="857"/>
        <v>0</v>
      </c>
      <c r="DH104" s="509">
        <f t="shared" si="858"/>
        <v>0</v>
      </c>
      <c r="DI104" s="509">
        <f t="shared" si="859"/>
        <v>0</v>
      </c>
      <c r="DJ104" s="509">
        <f t="shared" si="860"/>
        <v>0</v>
      </c>
      <c r="DK104" s="509">
        <f t="shared" si="861"/>
        <v>0</v>
      </c>
      <c r="DL104" s="451">
        <f t="shared" si="862"/>
        <v>0</v>
      </c>
      <c r="DM104" s="509">
        <f t="shared" si="863"/>
        <v>0</v>
      </c>
      <c r="DN104" s="509">
        <f t="shared" si="864"/>
        <v>3000</v>
      </c>
      <c r="DO104" s="509">
        <f t="shared" si="865"/>
        <v>0</v>
      </c>
      <c r="DP104" s="509">
        <f t="shared" si="866"/>
        <v>3000</v>
      </c>
      <c r="DQ104" s="509">
        <f t="shared" si="867"/>
        <v>0</v>
      </c>
      <c r="DR104" s="509">
        <f t="shared" si="868"/>
        <v>3000</v>
      </c>
      <c r="DS104" s="450">
        <f t="shared" si="869"/>
        <v>0</v>
      </c>
      <c r="DT104" s="724">
        <f t="shared" si="870"/>
        <v>0</v>
      </c>
      <c r="DU104" s="508">
        <f t="shared" si="871"/>
        <v>0</v>
      </c>
      <c r="DV104" s="508">
        <f t="shared" si="872"/>
        <v>0</v>
      </c>
      <c r="DW104" s="508">
        <f t="shared" si="873"/>
        <v>0</v>
      </c>
      <c r="DX104" s="508">
        <f t="shared" si="874"/>
        <v>0</v>
      </c>
      <c r="DY104" s="508">
        <f t="shared" si="875"/>
        <v>0</v>
      </c>
      <c r="DZ104" s="726">
        <f t="shared" si="876"/>
        <v>0</v>
      </c>
      <c r="EA104" s="722">
        <f t="shared" si="877"/>
        <v>0</v>
      </c>
      <c r="EB104" s="511">
        <f t="shared" si="878"/>
        <v>0</v>
      </c>
      <c r="EC104" s="511">
        <f t="shared" si="879"/>
        <v>0</v>
      </c>
      <c r="ED104" s="511">
        <f t="shared" si="880"/>
        <v>0</v>
      </c>
      <c r="EE104" s="511">
        <f t="shared" si="881"/>
        <v>0</v>
      </c>
      <c r="EF104" s="511">
        <f t="shared" si="882"/>
        <v>0</v>
      </c>
      <c r="EG104" s="723">
        <f t="shared" si="883"/>
        <v>0</v>
      </c>
      <c r="EH104" s="397">
        <f t="shared" si="884"/>
        <v>0</v>
      </c>
      <c r="EI104" s="397">
        <f t="shared" si="885"/>
        <v>0</v>
      </c>
      <c r="EJ104" s="397">
        <f t="shared" si="886"/>
        <v>0</v>
      </c>
      <c r="EK104" s="397">
        <f t="shared" si="887"/>
        <v>0</v>
      </c>
      <c r="EL104" s="397">
        <f t="shared" si="888"/>
        <v>0</v>
      </c>
      <c r="EM104" s="397">
        <f t="shared" si="889"/>
        <v>0</v>
      </c>
      <c r="EN104" s="398">
        <f t="shared" si="890"/>
        <v>0</v>
      </c>
      <c r="EO104" s="722">
        <f t="shared" si="891"/>
        <v>0</v>
      </c>
      <c r="EP104" s="511">
        <f t="shared" si="892"/>
        <v>0</v>
      </c>
      <c r="EQ104" s="511">
        <f t="shared" si="893"/>
        <v>0</v>
      </c>
      <c r="ER104" s="511">
        <f t="shared" si="894"/>
        <v>0</v>
      </c>
      <c r="ES104" s="511">
        <f t="shared" si="895"/>
        <v>0</v>
      </c>
      <c r="ET104" s="511">
        <f t="shared" si="896"/>
        <v>0</v>
      </c>
      <c r="EU104" s="723">
        <f t="shared" si="897"/>
        <v>0</v>
      </c>
      <c r="EV104" s="727">
        <f t="shared" si="898"/>
        <v>0.5</v>
      </c>
      <c r="EW104" s="728">
        <f t="shared" si="899"/>
        <v>55800</v>
      </c>
      <c r="EX104" s="728">
        <f t="shared" si="900"/>
        <v>0</v>
      </c>
      <c r="EY104" s="728">
        <f t="shared" si="901"/>
        <v>9000</v>
      </c>
      <c r="EZ104" s="728">
        <f t="shared" si="902"/>
        <v>0</v>
      </c>
      <c r="FA104" s="777">
        <f t="shared" si="903"/>
        <v>0</v>
      </c>
      <c r="FB104" s="777">
        <f t="shared" si="904"/>
        <v>0</v>
      </c>
      <c r="FC104" s="778">
        <f t="shared" si="905"/>
        <v>0</v>
      </c>
      <c r="FE104" s="10"/>
      <c r="FF104" s="10"/>
    </row>
    <row r="105" spans="1:162">
      <c r="A105" s="662" t="s">
        <v>227</v>
      </c>
      <c r="B105" s="789" t="s">
        <v>1397</v>
      </c>
      <c r="C105" s="789" t="str">
        <f t="shared" ref="C105:W105" si="920">C48</f>
        <v>Commercial New Construction LEED 11 to 15 Points - LEED Energy &amp; Atmosphere, Credit 1 Category Optimize Energy Efficiency Performance</v>
      </c>
      <c r="D105" s="789" t="str">
        <f t="shared" si="920"/>
        <v>Non-LEED Building</v>
      </c>
      <c r="E105" s="789" t="str">
        <f t="shared" si="920"/>
        <v>Per Project</v>
      </c>
      <c r="F105" s="789" t="str">
        <f t="shared" si="920"/>
        <v>Per Project</v>
      </c>
      <c r="G105" s="704" t="str">
        <f t="shared" si="920"/>
        <v>Incremental Cost</v>
      </c>
      <c r="H105" s="704">
        <f t="shared" si="920"/>
        <v>37200</v>
      </c>
      <c r="I105" s="704">
        <f t="shared" si="920"/>
        <v>0</v>
      </c>
      <c r="J105" s="704">
        <f t="shared" si="920"/>
        <v>37200</v>
      </c>
      <c r="K105" s="704">
        <f t="shared" si="920"/>
        <v>0</v>
      </c>
      <c r="L105" s="704">
        <f t="shared" si="920"/>
        <v>18600</v>
      </c>
      <c r="M105" s="707" t="str">
        <f t="shared" si="920"/>
        <v>Assume Direct Costs of LEED Certification ONLY: http://www.josre.org/wp-content/uploads/2012/09/Cost_of_LEED_Analysis_of_Construction_Costs-JOSRE_v3-13.pdf</v>
      </c>
      <c r="N105" s="704">
        <f t="shared" si="920"/>
        <v>8000</v>
      </c>
      <c r="O105" s="704">
        <f t="shared" si="920"/>
        <v>8000</v>
      </c>
      <c r="P105" s="704">
        <f t="shared" si="920"/>
        <v>0</v>
      </c>
      <c r="Q105" s="704">
        <f t="shared" si="920"/>
        <v>0</v>
      </c>
      <c r="R105" s="1021">
        <f t="shared" si="920"/>
        <v>0</v>
      </c>
      <c r="S105" s="872">
        <f t="shared" si="920"/>
        <v>0</v>
      </c>
      <c r="T105" s="1022">
        <f t="shared" si="920"/>
        <v>0</v>
      </c>
      <c r="U105" s="711" t="str">
        <f t="shared" si="920"/>
        <v>Assume no additional savings for LEED. Bonus incentive. Estimated savings from LG&amp;E and KU projections and 2016 program data.</v>
      </c>
      <c r="V105" s="716">
        <f t="shared" si="920"/>
        <v>0</v>
      </c>
      <c r="W105" s="711">
        <f t="shared" si="920"/>
        <v>1</v>
      </c>
      <c r="X105" s="781">
        <f t="shared" ref="X105:AJ105" si="921">X48/2</f>
        <v>0</v>
      </c>
      <c r="Y105" s="781">
        <f t="shared" si="921"/>
        <v>0</v>
      </c>
      <c r="Z105" s="781">
        <f t="shared" si="921"/>
        <v>0</v>
      </c>
      <c r="AA105" s="781">
        <f t="shared" si="921"/>
        <v>0</v>
      </c>
      <c r="AB105" s="781">
        <f t="shared" si="921"/>
        <v>0</v>
      </c>
      <c r="AC105" s="781">
        <f t="shared" si="921"/>
        <v>0</v>
      </c>
      <c r="AD105" s="781">
        <f t="shared" si="921"/>
        <v>0.5</v>
      </c>
      <c r="AE105" s="781">
        <f t="shared" si="921"/>
        <v>0</v>
      </c>
      <c r="AF105" s="781">
        <f t="shared" si="921"/>
        <v>0.5</v>
      </c>
      <c r="AG105" s="781">
        <f t="shared" si="921"/>
        <v>0</v>
      </c>
      <c r="AH105" s="781">
        <f t="shared" si="921"/>
        <v>0.5</v>
      </c>
      <c r="AI105" s="781">
        <f t="shared" si="921"/>
        <v>0</v>
      </c>
      <c r="AJ105" s="781">
        <f t="shared" si="921"/>
        <v>0.5</v>
      </c>
      <c r="AK105" s="711" t="str">
        <f t="shared" ref="AK105:AZ105" si="922">AK48</f>
        <v>Both</v>
      </c>
      <c r="AL105" s="711" t="str">
        <f t="shared" si="922"/>
        <v>Commercial</v>
      </c>
      <c r="AM105" s="711" t="str">
        <f t="shared" si="922"/>
        <v>Large Office</v>
      </c>
      <c r="AN105" s="711" t="str">
        <f t="shared" si="922"/>
        <v>All</v>
      </c>
      <c r="AO105" s="711" t="str">
        <f t="shared" si="922"/>
        <v>New</v>
      </c>
      <c r="AP105" s="711">
        <f t="shared" si="922"/>
        <v>0</v>
      </c>
      <c r="AQ105" s="711">
        <f t="shared" si="922"/>
        <v>0</v>
      </c>
      <c r="AR105" s="711">
        <f t="shared" si="922"/>
        <v>0</v>
      </c>
      <c r="AS105" s="711" t="str">
        <f t="shared" si="922"/>
        <v>OFFLGElecTotl</v>
      </c>
      <c r="AT105" s="715" t="s">
        <v>745</v>
      </c>
      <c r="AU105" s="1065" t="s">
        <v>771</v>
      </c>
      <c r="AV105" s="711">
        <f t="shared" si="922"/>
        <v>15</v>
      </c>
      <c r="AW105" s="711">
        <f t="shared" si="922"/>
        <v>15</v>
      </c>
      <c r="AX105" s="711" t="s">
        <v>769</v>
      </c>
      <c r="AY105" s="711">
        <f t="shared" si="922"/>
        <v>1</v>
      </c>
      <c r="AZ105" s="711">
        <f t="shared" si="922"/>
        <v>1</v>
      </c>
      <c r="BA105" s="1066">
        <f t="shared" si="823"/>
        <v>0</v>
      </c>
      <c r="BB105" s="721">
        <f t="shared" si="493"/>
        <v>37200</v>
      </c>
      <c r="BC105" s="499">
        <f t="shared" si="494"/>
        <v>37200</v>
      </c>
      <c r="BD105" s="499">
        <f t="shared" si="495"/>
        <v>37200</v>
      </c>
      <c r="BE105" s="499">
        <f t="shared" si="496"/>
        <v>37200</v>
      </c>
      <c r="BF105" s="499">
        <f t="shared" si="497"/>
        <v>37200</v>
      </c>
      <c r="BG105" s="499">
        <f t="shared" si="498"/>
        <v>37200</v>
      </c>
      <c r="BH105" s="499">
        <f t="shared" si="499"/>
        <v>37200</v>
      </c>
      <c r="BI105" s="721">
        <f t="shared" si="788"/>
        <v>0</v>
      </c>
      <c r="BJ105" s="499">
        <f t="shared" ref="BJ105:BM105" si="923">BI105</f>
        <v>0</v>
      </c>
      <c r="BK105" s="499">
        <f t="shared" si="923"/>
        <v>0</v>
      </c>
      <c r="BL105" s="499">
        <f t="shared" si="923"/>
        <v>0</v>
      </c>
      <c r="BM105" s="499">
        <f t="shared" si="923"/>
        <v>0</v>
      </c>
      <c r="BN105" s="499">
        <f t="shared" si="501"/>
        <v>0</v>
      </c>
      <c r="BO105" s="499">
        <f t="shared" si="502"/>
        <v>0</v>
      </c>
      <c r="BP105" s="721">
        <f t="shared" si="790"/>
        <v>8000</v>
      </c>
      <c r="BQ105" s="499">
        <f t="shared" si="791"/>
        <v>8000</v>
      </c>
      <c r="BR105" s="499">
        <f t="shared" si="503"/>
        <v>8000</v>
      </c>
      <c r="BS105" s="499">
        <f t="shared" si="504"/>
        <v>8000</v>
      </c>
      <c r="BT105" s="499">
        <f t="shared" si="505"/>
        <v>8000</v>
      </c>
      <c r="BU105" s="499">
        <f t="shared" si="506"/>
        <v>8000</v>
      </c>
      <c r="BV105" s="499">
        <f t="shared" si="507"/>
        <v>8000</v>
      </c>
      <c r="BW105" s="774">
        <f t="shared" si="802"/>
        <v>0</v>
      </c>
      <c r="BX105" s="503">
        <f t="shared" si="802"/>
        <v>0</v>
      </c>
      <c r="BY105" s="503">
        <f t="shared" si="802"/>
        <v>0</v>
      </c>
      <c r="BZ105" s="503">
        <f t="shared" si="802"/>
        <v>0</v>
      </c>
      <c r="CA105" s="503">
        <f t="shared" si="802"/>
        <v>0</v>
      </c>
      <c r="CB105" s="503">
        <f t="shared" si="802"/>
        <v>0</v>
      </c>
      <c r="CC105" s="503">
        <f t="shared" si="802"/>
        <v>0</v>
      </c>
      <c r="CD105" s="722">
        <f t="shared" si="792"/>
        <v>0</v>
      </c>
      <c r="CE105" s="511">
        <f t="shared" ref="CE105:CH105" si="924">CD105</f>
        <v>0</v>
      </c>
      <c r="CF105" s="511">
        <f t="shared" si="924"/>
        <v>0</v>
      </c>
      <c r="CG105" s="511">
        <f t="shared" si="924"/>
        <v>0</v>
      </c>
      <c r="CH105" s="511">
        <f t="shared" si="924"/>
        <v>0</v>
      </c>
      <c r="CI105" s="511">
        <f t="shared" si="510"/>
        <v>0</v>
      </c>
      <c r="CJ105" s="511">
        <f t="shared" si="511"/>
        <v>0</v>
      </c>
      <c r="CK105" s="722">
        <f t="shared" si="794"/>
        <v>0</v>
      </c>
      <c r="CL105" s="511">
        <f t="shared" ref="CL105:CO105" si="925">CK105</f>
        <v>0</v>
      </c>
      <c r="CM105" s="511">
        <f t="shared" si="925"/>
        <v>0</v>
      </c>
      <c r="CN105" s="511">
        <f t="shared" si="925"/>
        <v>0</v>
      </c>
      <c r="CO105" s="511">
        <f t="shared" si="925"/>
        <v>0</v>
      </c>
      <c r="CP105" s="511">
        <f t="shared" si="513"/>
        <v>0</v>
      </c>
      <c r="CQ105" s="511">
        <f t="shared" si="514"/>
        <v>0</v>
      </c>
      <c r="CR105" s="722">
        <f t="shared" si="796"/>
        <v>0</v>
      </c>
      <c r="CS105" s="511">
        <f t="shared" ref="CS105:CV105" si="926">CR105</f>
        <v>0</v>
      </c>
      <c r="CT105" s="511">
        <f t="shared" si="926"/>
        <v>0</v>
      </c>
      <c r="CU105" s="511">
        <f t="shared" si="926"/>
        <v>0</v>
      </c>
      <c r="CV105" s="511">
        <f t="shared" si="926"/>
        <v>0</v>
      </c>
      <c r="CW105" s="511">
        <f t="shared" si="516"/>
        <v>0</v>
      </c>
      <c r="CX105" s="539">
        <f t="shared" si="517"/>
        <v>0</v>
      </c>
      <c r="CY105" s="724">
        <f t="shared" si="849"/>
        <v>18600</v>
      </c>
      <c r="CZ105" s="508">
        <f t="shared" si="850"/>
        <v>0</v>
      </c>
      <c r="DA105" s="508">
        <f t="shared" si="851"/>
        <v>18600</v>
      </c>
      <c r="DB105" s="508">
        <f t="shared" si="852"/>
        <v>0</v>
      </c>
      <c r="DC105" s="508">
        <f t="shared" si="853"/>
        <v>18600</v>
      </c>
      <c r="DD105" s="508">
        <f t="shared" si="854"/>
        <v>0</v>
      </c>
      <c r="DE105" s="726">
        <f t="shared" si="855"/>
        <v>18600</v>
      </c>
      <c r="DF105" s="724">
        <f t="shared" si="856"/>
        <v>0</v>
      </c>
      <c r="DG105" s="509">
        <f t="shared" si="857"/>
        <v>0</v>
      </c>
      <c r="DH105" s="509">
        <f t="shared" si="858"/>
        <v>0</v>
      </c>
      <c r="DI105" s="509">
        <f t="shared" si="859"/>
        <v>0</v>
      </c>
      <c r="DJ105" s="509">
        <f t="shared" si="860"/>
        <v>0</v>
      </c>
      <c r="DK105" s="509">
        <f t="shared" si="861"/>
        <v>0</v>
      </c>
      <c r="DL105" s="451">
        <f t="shared" si="862"/>
        <v>0</v>
      </c>
      <c r="DM105" s="509">
        <f t="shared" si="863"/>
        <v>4000</v>
      </c>
      <c r="DN105" s="509">
        <f t="shared" si="864"/>
        <v>0</v>
      </c>
      <c r="DO105" s="509">
        <f t="shared" si="865"/>
        <v>4000</v>
      </c>
      <c r="DP105" s="509">
        <f t="shared" si="866"/>
        <v>0</v>
      </c>
      <c r="DQ105" s="509">
        <f t="shared" si="867"/>
        <v>4000</v>
      </c>
      <c r="DR105" s="509">
        <f t="shared" si="868"/>
        <v>0</v>
      </c>
      <c r="DS105" s="450">
        <f t="shared" si="869"/>
        <v>4000</v>
      </c>
      <c r="DT105" s="724">
        <f t="shared" si="870"/>
        <v>0</v>
      </c>
      <c r="DU105" s="508">
        <f t="shared" si="871"/>
        <v>0</v>
      </c>
      <c r="DV105" s="508">
        <f t="shared" si="872"/>
        <v>0</v>
      </c>
      <c r="DW105" s="508">
        <f t="shared" si="873"/>
        <v>0</v>
      </c>
      <c r="DX105" s="508">
        <f t="shared" si="874"/>
        <v>0</v>
      </c>
      <c r="DY105" s="508">
        <f t="shared" si="875"/>
        <v>0</v>
      </c>
      <c r="DZ105" s="726">
        <f t="shared" si="876"/>
        <v>0</v>
      </c>
      <c r="EA105" s="722">
        <f t="shared" si="877"/>
        <v>0</v>
      </c>
      <c r="EB105" s="511">
        <f t="shared" si="878"/>
        <v>0</v>
      </c>
      <c r="EC105" s="511">
        <f t="shared" si="879"/>
        <v>0</v>
      </c>
      <c r="ED105" s="511">
        <f t="shared" si="880"/>
        <v>0</v>
      </c>
      <c r="EE105" s="511">
        <f t="shared" si="881"/>
        <v>0</v>
      </c>
      <c r="EF105" s="511">
        <f t="shared" si="882"/>
        <v>0</v>
      </c>
      <c r="EG105" s="723">
        <f t="shared" si="883"/>
        <v>0</v>
      </c>
      <c r="EH105" s="397">
        <f t="shared" si="884"/>
        <v>0</v>
      </c>
      <c r="EI105" s="397">
        <f t="shared" si="885"/>
        <v>0</v>
      </c>
      <c r="EJ105" s="397">
        <f t="shared" si="886"/>
        <v>0</v>
      </c>
      <c r="EK105" s="397">
        <f t="shared" si="887"/>
        <v>0</v>
      </c>
      <c r="EL105" s="397">
        <f t="shared" si="888"/>
        <v>0</v>
      </c>
      <c r="EM105" s="397">
        <f t="shared" si="889"/>
        <v>0</v>
      </c>
      <c r="EN105" s="398">
        <f t="shared" si="890"/>
        <v>0</v>
      </c>
      <c r="EO105" s="722">
        <f t="shared" si="891"/>
        <v>0</v>
      </c>
      <c r="EP105" s="511">
        <f t="shared" si="892"/>
        <v>0</v>
      </c>
      <c r="EQ105" s="511">
        <f t="shared" si="893"/>
        <v>0</v>
      </c>
      <c r="ER105" s="511">
        <f t="shared" si="894"/>
        <v>0</v>
      </c>
      <c r="ES105" s="511">
        <f t="shared" si="895"/>
        <v>0</v>
      </c>
      <c r="ET105" s="511">
        <f t="shared" si="896"/>
        <v>0</v>
      </c>
      <c r="EU105" s="723">
        <f t="shared" si="897"/>
        <v>0</v>
      </c>
      <c r="EV105" s="727">
        <f t="shared" si="898"/>
        <v>1</v>
      </c>
      <c r="EW105" s="728">
        <f t="shared" si="899"/>
        <v>74400</v>
      </c>
      <c r="EX105" s="728">
        <f t="shared" si="900"/>
        <v>0</v>
      </c>
      <c r="EY105" s="728">
        <f t="shared" si="901"/>
        <v>16000</v>
      </c>
      <c r="EZ105" s="728">
        <f t="shared" si="902"/>
        <v>0</v>
      </c>
      <c r="FA105" s="777">
        <f t="shared" si="903"/>
        <v>0</v>
      </c>
      <c r="FB105" s="777">
        <f t="shared" si="904"/>
        <v>0</v>
      </c>
      <c r="FC105" s="778">
        <f t="shared" si="905"/>
        <v>0</v>
      </c>
      <c r="FE105" s="10"/>
      <c r="FF105" s="10"/>
    </row>
    <row r="106" spans="1:162">
      <c r="A106" s="662" t="s">
        <v>228</v>
      </c>
      <c r="B106" s="789" t="s">
        <v>1398</v>
      </c>
      <c r="C106" s="789" t="str">
        <f t="shared" ref="C106:W106" si="927">C49</f>
        <v>Commercial New Construction LEED 16+ Points - LEED Energy &amp; Atmosphere, Credit 1 Category Optimize Energy Efficiency Performance</v>
      </c>
      <c r="D106" s="789" t="str">
        <f t="shared" si="927"/>
        <v>Non-LEED Building</v>
      </c>
      <c r="E106" s="789" t="str">
        <f t="shared" si="927"/>
        <v>Per Project</v>
      </c>
      <c r="F106" s="789" t="str">
        <f t="shared" si="927"/>
        <v>Per Project</v>
      </c>
      <c r="G106" s="704" t="str">
        <f t="shared" si="927"/>
        <v>Incremental Cost</v>
      </c>
      <c r="H106" s="704">
        <f t="shared" si="927"/>
        <v>37200</v>
      </c>
      <c r="I106" s="704">
        <f t="shared" si="927"/>
        <v>0</v>
      </c>
      <c r="J106" s="704">
        <f t="shared" si="927"/>
        <v>37200</v>
      </c>
      <c r="K106" s="704">
        <f t="shared" si="927"/>
        <v>0</v>
      </c>
      <c r="L106" s="704">
        <f t="shared" si="927"/>
        <v>18600</v>
      </c>
      <c r="M106" s="707" t="str">
        <f t="shared" si="927"/>
        <v>Assume Direct Costs of LEED Certification ONLY: http://www.josre.org/wp-content/uploads/2012/09/Cost_of_LEED_Analysis_of_Construction_Costs-JOSRE_v3-13.pdf</v>
      </c>
      <c r="N106" s="704">
        <f t="shared" si="927"/>
        <v>10000</v>
      </c>
      <c r="O106" s="704">
        <f t="shared" si="927"/>
        <v>10000</v>
      </c>
      <c r="P106" s="704">
        <f t="shared" si="927"/>
        <v>0</v>
      </c>
      <c r="Q106" s="704">
        <f t="shared" si="927"/>
        <v>0</v>
      </c>
      <c r="R106" s="1021">
        <f t="shared" si="927"/>
        <v>0</v>
      </c>
      <c r="S106" s="872">
        <f t="shared" si="927"/>
        <v>0</v>
      </c>
      <c r="T106" s="1022">
        <f t="shared" si="927"/>
        <v>0</v>
      </c>
      <c r="U106" s="711" t="str">
        <f t="shared" si="927"/>
        <v>Assume no additional savings for LEED. Bonus incentive. Estimated savings from LG&amp;E and KU projections and 2016 program data.</v>
      </c>
      <c r="V106" s="716">
        <f t="shared" si="927"/>
        <v>0</v>
      </c>
      <c r="W106" s="711">
        <f t="shared" si="927"/>
        <v>1</v>
      </c>
      <c r="X106" s="781">
        <f t="shared" ref="X106:AJ106" si="928">X49/2</f>
        <v>1.5</v>
      </c>
      <c r="Y106" s="781">
        <f t="shared" si="928"/>
        <v>0</v>
      </c>
      <c r="Z106" s="781">
        <f t="shared" si="928"/>
        <v>0.5</v>
      </c>
      <c r="AA106" s="781">
        <f t="shared" si="928"/>
        <v>0</v>
      </c>
      <c r="AB106" s="781">
        <f t="shared" si="928"/>
        <v>0.25</v>
      </c>
      <c r="AC106" s="781">
        <f t="shared" si="928"/>
        <v>0.5</v>
      </c>
      <c r="AD106" s="781">
        <f t="shared" si="928"/>
        <v>0</v>
      </c>
      <c r="AE106" s="781">
        <f t="shared" si="928"/>
        <v>0</v>
      </c>
      <c r="AF106" s="781">
        <f t="shared" si="928"/>
        <v>0.5</v>
      </c>
      <c r="AG106" s="781">
        <f t="shared" si="928"/>
        <v>0</v>
      </c>
      <c r="AH106" s="781">
        <f t="shared" si="928"/>
        <v>0</v>
      </c>
      <c r="AI106" s="781">
        <f t="shared" si="928"/>
        <v>0.5</v>
      </c>
      <c r="AJ106" s="781">
        <f t="shared" si="928"/>
        <v>0</v>
      </c>
      <c r="AK106" s="711" t="str">
        <f t="shared" ref="AK106:AZ106" si="929">AK49</f>
        <v>Both</v>
      </c>
      <c r="AL106" s="711" t="str">
        <f t="shared" si="929"/>
        <v>Commercial</v>
      </c>
      <c r="AM106" s="711" t="str">
        <f t="shared" si="929"/>
        <v>Large Office</v>
      </c>
      <c r="AN106" s="711" t="str">
        <f t="shared" si="929"/>
        <v>Lighting</v>
      </c>
      <c r="AO106" s="711" t="str">
        <f t="shared" si="929"/>
        <v>New</v>
      </c>
      <c r="AP106" s="711">
        <f t="shared" si="929"/>
        <v>0</v>
      </c>
      <c r="AQ106" s="711">
        <f t="shared" si="929"/>
        <v>0</v>
      </c>
      <c r="AR106" s="711">
        <f t="shared" si="929"/>
        <v>0</v>
      </c>
      <c r="AS106" s="711" t="str">
        <f t="shared" si="929"/>
        <v>OFFLGElecTotl</v>
      </c>
      <c r="AT106" s="715" t="s">
        <v>745</v>
      </c>
      <c r="AU106" s="1065" t="s">
        <v>771</v>
      </c>
      <c r="AV106" s="711">
        <f t="shared" si="929"/>
        <v>15</v>
      </c>
      <c r="AW106" s="711">
        <f t="shared" si="929"/>
        <v>15</v>
      </c>
      <c r="AX106" s="711" t="s">
        <v>769</v>
      </c>
      <c r="AY106" s="711">
        <f t="shared" si="929"/>
        <v>1</v>
      </c>
      <c r="AZ106" s="711">
        <f t="shared" si="929"/>
        <v>1</v>
      </c>
      <c r="BA106" s="1066">
        <f t="shared" si="823"/>
        <v>0</v>
      </c>
      <c r="BB106" s="721">
        <f t="shared" si="493"/>
        <v>37200</v>
      </c>
      <c r="BC106" s="499">
        <f t="shared" si="494"/>
        <v>37200</v>
      </c>
      <c r="BD106" s="499">
        <f t="shared" si="495"/>
        <v>37200</v>
      </c>
      <c r="BE106" s="499">
        <f t="shared" si="496"/>
        <v>37200</v>
      </c>
      <c r="BF106" s="499">
        <f t="shared" si="497"/>
        <v>37200</v>
      </c>
      <c r="BG106" s="499">
        <f t="shared" si="498"/>
        <v>37200</v>
      </c>
      <c r="BH106" s="499">
        <f t="shared" si="499"/>
        <v>37200</v>
      </c>
      <c r="BI106" s="721">
        <f t="shared" si="788"/>
        <v>0</v>
      </c>
      <c r="BJ106" s="499">
        <f t="shared" ref="BJ106:BM106" si="930">BI106</f>
        <v>0</v>
      </c>
      <c r="BK106" s="499">
        <f t="shared" si="930"/>
        <v>0</v>
      </c>
      <c r="BL106" s="499">
        <f t="shared" si="930"/>
        <v>0</v>
      </c>
      <c r="BM106" s="499">
        <f t="shared" si="930"/>
        <v>0</v>
      </c>
      <c r="BN106" s="499">
        <f t="shared" si="501"/>
        <v>0</v>
      </c>
      <c r="BO106" s="499">
        <f t="shared" si="502"/>
        <v>0</v>
      </c>
      <c r="BP106" s="721">
        <f t="shared" si="790"/>
        <v>10000</v>
      </c>
      <c r="BQ106" s="499">
        <f t="shared" si="791"/>
        <v>10000</v>
      </c>
      <c r="BR106" s="499">
        <f t="shared" si="503"/>
        <v>10000</v>
      </c>
      <c r="BS106" s="499">
        <f t="shared" si="504"/>
        <v>10000</v>
      </c>
      <c r="BT106" s="499">
        <f t="shared" si="505"/>
        <v>10000</v>
      </c>
      <c r="BU106" s="499">
        <f t="shared" si="506"/>
        <v>10000</v>
      </c>
      <c r="BV106" s="499">
        <f t="shared" si="507"/>
        <v>10000</v>
      </c>
      <c r="BW106" s="774">
        <f t="shared" si="802"/>
        <v>0</v>
      </c>
      <c r="BX106" s="503">
        <f t="shared" si="802"/>
        <v>0</v>
      </c>
      <c r="BY106" s="503">
        <f t="shared" si="802"/>
        <v>0</v>
      </c>
      <c r="BZ106" s="503">
        <f t="shared" si="802"/>
        <v>0</v>
      </c>
      <c r="CA106" s="503">
        <f t="shared" si="802"/>
        <v>0</v>
      </c>
      <c r="CB106" s="503">
        <f t="shared" si="802"/>
        <v>0</v>
      </c>
      <c r="CC106" s="503">
        <f t="shared" si="802"/>
        <v>0</v>
      </c>
      <c r="CD106" s="722">
        <f t="shared" si="792"/>
        <v>0</v>
      </c>
      <c r="CE106" s="511">
        <f t="shared" ref="CE106:CH106" si="931">CD106</f>
        <v>0</v>
      </c>
      <c r="CF106" s="511">
        <f t="shared" si="931"/>
        <v>0</v>
      </c>
      <c r="CG106" s="511">
        <f t="shared" si="931"/>
        <v>0</v>
      </c>
      <c r="CH106" s="511">
        <f t="shared" si="931"/>
        <v>0</v>
      </c>
      <c r="CI106" s="511">
        <f t="shared" si="510"/>
        <v>0</v>
      </c>
      <c r="CJ106" s="511">
        <f t="shared" si="511"/>
        <v>0</v>
      </c>
      <c r="CK106" s="722">
        <f t="shared" si="794"/>
        <v>0</v>
      </c>
      <c r="CL106" s="511">
        <f t="shared" ref="CL106:CO106" si="932">CK106</f>
        <v>0</v>
      </c>
      <c r="CM106" s="511">
        <f t="shared" si="932"/>
        <v>0</v>
      </c>
      <c r="CN106" s="511">
        <f t="shared" si="932"/>
        <v>0</v>
      </c>
      <c r="CO106" s="511">
        <f t="shared" si="932"/>
        <v>0</v>
      </c>
      <c r="CP106" s="511">
        <f t="shared" si="513"/>
        <v>0</v>
      </c>
      <c r="CQ106" s="511">
        <f t="shared" si="514"/>
        <v>0</v>
      </c>
      <c r="CR106" s="722">
        <f t="shared" si="796"/>
        <v>0</v>
      </c>
      <c r="CS106" s="511">
        <f t="shared" ref="CS106:CV106" si="933">CR106</f>
        <v>0</v>
      </c>
      <c r="CT106" s="511">
        <f t="shared" si="933"/>
        <v>0</v>
      </c>
      <c r="CU106" s="511">
        <f t="shared" si="933"/>
        <v>0</v>
      </c>
      <c r="CV106" s="511">
        <f t="shared" si="933"/>
        <v>0</v>
      </c>
      <c r="CW106" s="511">
        <f t="shared" si="516"/>
        <v>0</v>
      </c>
      <c r="CX106" s="539">
        <f t="shared" si="517"/>
        <v>0</v>
      </c>
      <c r="CY106" s="724">
        <f t="shared" si="849"/>
        <v>0</v>
      </c>
      <c r="CZ106" s="508">
        <f t="shared" si="850"/>
        <v>0</v>
      </c>
      <c r="DA106" s="508">
        <f t="shared" si="851"/>
        <v>18600</v>
      </c>
      <c r="DB106" s="508">
        <f t="shared" si="852"/>
        <v>0</v>
      </c>
      <c r="DC106" s="508">
        <f t="shared" si="853"/>
        <v>0</v>
      </c>
      <c r="DD106" s="508">
        <f t="shared" si="854"/>
        <v>18600</v>
      </c>
      <c r="DE106" s="726">
        <f t="shared" si="855"/>
        <v>0</v>
      </c>
      <c r="DF106" s="724">
        <f t="shared" si="856"/>
        <v>0</v>
      </c>
      <c r="DG106" s="509">
        <f t="shared" si="857"/>
        <v>0</v>
      </c>
      <c r="DH106" s="509">
        <f t="shared" si="858"/>
        <v>0</v>
      </c>
      <c r="DI106" s="509">
        <f t="shared" si="859"/>
        <v>0</v>
      </c>
      <c r="DJ106" s="509">
        <f t="shared" si="860"/>
        <v>0</v>
      </c>
      <c r="DK106" s="509">
        <f t="shared" si="861"/>
        <v>0</v>
      </c>
      <c r="DL106" s="451">
        <f t="shared" si="862"/>
        <v>0</v>
      </c>
      <c r="DM106" s="509">
        <f t="shared" si="863"/>
        <v>0</v>
      </c>
      <c r="DN106" s="509">
        <f t="shared" si="864"/>
        <v>0</v>
      </c>
      <c r="DO106" s="509">
        <f t="shared" si="865"/>
        <v>5000</v>
      </c>
      <c r="DP106" s="509">
        <f t="shared" si="866"/>
        <v>0</v>
      </c>
      <c r="DQ106" s="509">
        <f t="shared" si="867"/>
        <v>0</v>
      </c>
      <c r="DR106" s="509">
        <f t="shared" si="868"/>
        <v>5000</v>
      </c>
      <c r="DS106" s="450">
        <f t="shared" si="869"/>
        <v>0</v>
      </c>
      <c r="DT106" s="724">
        <f t="shared" si="870"/>
        <v>0</v>
      </c>
      <c r="DU106" s="508">
        <f t="shared" si="871"/>
        <v>0</v>
      </c>
      <c r="DV106" s="508">
        <f t="shared" si="872"/>
        <v>0</v>
      </c>
      <c r="DW106" s="508">
        <f t="shared" si="873"/>
        <v>0</v>
      </c>
      <c r="DX106" s="508">
        <f t="shared" si="874"/>
        <v>0</v>
      </c>
      <c r="DY106" s="508">
        <f t="shared" si="875"/>
        <v>0</v>
      </c>
      <c r="DZ106" s="726">
        <f t="shared" si="876"/>
        <v>0</v>
      </c>
      <c r="EA106" s="722">
        <f t="shared" si="877"/>
        <v>0</v>
      </c>
      <c r="EB106" s="511">
        <f t="shared" si="878"/>
        <v>0</v>
      </c>
      <c r="EC106" s="511">
        <f t="shared" si="879"/>
        <v>0</v>
      </c>
      <c r="ED106" s="511">
        <f t="shared" si="880"/>
        <v>0</v>
      </c>
      <c r="EE106" s="511">
        <f t="shared" si="881"/>
        <v>0</v>
      </c>
      <c r="EF106" s="511">
        <f t="shared" si="882"/>
        <v>0</v>
      </c>
      <c r="EG106" s="723">
        <f t="shared" si="883"/>
        <v>0</v>
      </c>
      <c r="EH106" s="397">
        <f t="shared" si="884"/>
        <v>0</v>
      </c>
      <c r="EI106" s="397">
        <f t="shared" si="885"/>
        <v>0</v>
      </c>
      <c r="EJ106" s="397">
        <f t="shared" si="886"/>
        <v>0</v>
      </c>
      <c r="EK106" s="397">
        <f t="shared" si="887"/>
        <v>0</v>
      </c>
      <c r="EL106" s="397">
        <f t="shared" si="888"/>
        <v>0</v>
      </c>
      <c r="EM106" s="397">
        <f t="shared" si="889"/>
        <v>0</v>
      </c>
      <c r="EN106" s="398">
        <f t="shared" si="890"/>
        <v>0</v>
      </c>
      <c r="EO106" s="722">
        <f t="shared" si="891"/>
        <v>0</v>
      </c>
      <c r="EP106" s="511">
        <f t="shared" si="892"/>
        <v>0</v>
      </c>
      <c r="EQ106" s="511">
        <f t="shared" si="893"/>
        <v>0</v>
      </c>
      <c r="ER106" s="511">
        <f t="shared" si="894"/>
        <v>0</v>
      </c>
      <c r="ES106" s="511">
        <f t="shared" si="895"/>
        <v>0</v>
      </c>
      <c r="ET106" s="511">
        <f t="shared" si="896"/>
        <v>0</v>
      </c>
      <c r="EU106" s="723">
        <f t="shared" si="897"/>
        <v>0</v>
      </c>
      <c r="EV106" s="727">
        <f t="shared" si="898"/>
        <v>0.5</v>
      </c>
      <c r="EW106" s="728">
        <f t="shared" si="899"/>
        <v>37200</v>
      </c>
      <c r="EX106" s="728">
        <f t="shared" si="900"/>
        <v>0</v>
      </c>
      <c r="EY106" s="728">
        <f t="shared" si="901"/>
        <v>10000</v>
      </c>
      <c r="EZ106" s="728">
        <f t="shared" si="902"/>
        <v>0</v>
      </c>
      <c r="FA106" s="777">
        <f t="shared" si="903"/>
        <v>0</v>
      </c>
      <c r="FB106" s="777">
        <f t="shared" si="904"/>
        <v>0</v>
      </c>
      <c r="FC106" s="778">
        <f t="shared" si="905"/>
        <v>0</v>
      </c>
      <c r="FE106" s="10"/>
      <c r="FF106" s="10"/>
    </row>
    <row r="107" spans="1:162" s="10" customFormat="1" ht="12.5">
      <c r="A107" s="662" t="s">
        <v>229</v>
      </c>
      <c r="B107" s="789" t="s">
        <v>1399</v>
      </c>
      <c r="C107" s="789" t="str">
        <f t="shared" ref="C107:W107" si="934">C50</f>
        <v>Any LED lamps or ballasts must also be ENERGY STAR® certified or listed on the Design Lights Consortium (DLC) qualified list.</v>
      </c>
      <c r="D107" s="789" t="str">
        <f t="shared" si="934"/>
        <v>1-, 2-, 3-, or 4-Lamp 32w T8</v>
      </c>
      <c r="E107" s="789" t="str">
        <f t="shared" si="934"/>
        <v>n/a</v>
      </c>
      <c r="F107" s="789" t="str">
        <f t="shared" si="934"/>
        <v>Per Unit</v>
      </c>
      <c r="G107" s="704" t="str">
        <f t="shared" si="934"/>
        <v>Incremental Cost</v>
      </c>
      <c r="H107" s="704">
        <f t="shared" si="934"/>
        <v>67.125</v>
      </c>
      <c r="I107" s="704">
        <f t="shared" si="934"/>
        <v>0</v>
      </c>
      <c r="J107" s="704">
        <f t="shared" si="934"/>
        <v>67.125</v>
      </c>
      <c r="K107" s="704">
        <f t="shared" si="934"/>
        <v>0</v>
      </c>
      <c r="L107" s="704">
        <f t="shared" si="934"/>
        <v>33.5625</v>
      </c>
      <c r="M107" s="881" t="str">
        <f t="shared" si="934"/>
        <v>Costs estimated from IL TRM v9: 4.5.4 LED Bulbs and Fixtures: LED Troffers</v>
      </c>
      <c r="N107" s="704">
        <f t="shared" si="934"/>
        <v>10</v>
      </c>
      <c r="O107" s="704">
        <f t="shared" si="934"/>
        <v>10</v>
      </c>
      <c r="P107" s="704">
        <f t="shared" si="934"/>
        <v>0</v>
      </c>
      <c r="Q107" s="704">
        <f t="shared" si="934"/>
        <v>0</v>
      </c>
      <c r="R107" s="1021">
        <f t="shared" si="934"/>
        <v>114.589377864</v>
      </c>
      <c r="S107" s="872">
        <f t="shared" si="934"/>
        <v>2.7349574200000001E-2</v>
      </c>
      <c r="T107" s="1022">
        <f t="shared" si="934"/>
        <v>-1.5915191369999997</v>
      </c>
      <c r="U107" s="711" t="str">
        <f t="shared" si="934"/>
        <v>Per unit savings estimate from IL TRM v10.0 "4.5.4 LED Bulbs and Fixtures" - use-specific input assumptions are for "Unknown" building/space type and Energy Star Fixtures</v>
      </c>
      <c r="V107" s="716">
        <f t="shared" si="934"/>
        <v>0</v>
      </c>
      <c r="W107" s="711">
        <f t="shared" si="934"/>
        <v>1</v>
      </c>
      <c r="X107" s="781">
        <f t="shared" ref="X107:AJ107" si="935">X50/2</f>
        <v>0.5</v>
      </c>
      <c r="Y107" s="781">
        <f t="shared" si="935"/>
        <v>0</v>
      </c>
      <c r="Z107" s="781">
        <f t="shared" si="935"/>
        <v>0.5</v>
      </c>
      <c r="AA107" s="781">
        <f t="shared" si="935"/>
        <v>0</v>
      </c>
      <c r="AB107" s="781">
        <f t="shared" si="935"/>
        <v>0.25</v>
      </c>
      <c r="AC107" s="781">
        <f t="shared" si="935"/>
        <v>0.5</v>
      </c>
      <c r="AD107" s="781">
        <f t="shared" si="935"/>
        <v>0.5</v>
      </c>
      <c r="AE107" s="781">
        <f t="shared" si="935"/>
        <v>0.5</v>
      </c>
      <c r="AF107" s="781">
        <f t="shared" si="935"/>
        <v>0.1</v>
      </c>
      <c r="AG107" s="781">
        <f t="shared" si="935"/>
        <v>0</v>
      </c>
      <c r="AH107" s="781">
        <f t="shared" si="935"/>
        <v>0</v>
      </c>
      <c r="AI107" s="781">
        <f t="shared" si="935"/>
        <v>0</v>
      </c>
      <c r="AJ107" s="781">
        <f t="shared" si="935"/>
        <v>0</v>
      </c>
      <c r="AK107" s="711" t="str">
        <f t="shared" ref="AK107:AZ107" si="936">AK50</f>
        <v>Electric</v>
      </c>
      <c r="AL107" s="711" t="str">
        <f t="shared" si="936"/>
        <v>Commercial</v>
      </c>
      <c r="AM107" s="711" t="str">
        <f t="shared" si="936"/>
        <v>Large Office</v>
      </c>
      <c r="AN107" s="711" t="str">
        <f t="shared" si="936"/>
        <v>Lighting</v>
      </c>
      <c r="AO107" s="711" t="str">
        <f t="shared" si="936"/>
        <v>Existing</v>
      </c>
      <c r="AP107" s="711">
        <f t="shared" si="936"/>
        <v>0</v>
      </c>
      <c r="AQ107" s="711">
        <f t="shared" si="936"/>
        <v>0</v>
      </c>
      <c r="AR107" s="711">
        <f t="shared" si="936"/>
        <v>0</v>
      </c>
      <c r="AS107" s="711" t="str">
        <f t="shared" si="936"/>
        <v>OFFLGInLight</v>
      </c>
      <c r="AT107" s="715" t="s">
        <v>745</v>
      </c>
      <c r="AU107" s="1065" t="s">
        <v>771</v>
      </c>
      <c r="AV107" s="711">
        <f t="shared" si="936"/>
        <v>20</v>
      </c>
      <c r="AW107" s="711">
        <f t="shared" si="936"/>
        <v>15</v>
      </c>
      <c r="AX107" s="711" t="s">
        <v>1483</v>
      </c>
      <c r="AY107" s="711">
        <f t="shared" si="936"/>
        <v>1</v>
      </c>
      <c r="AZ107" s="711">
        <f t="shared" si="936"/>
        <v>1</v>
      </c>
      <c r="BA107" s="1066">
        <f t="shared" si="823"/>
        <v>0</v>
      </c>
      <c r="BB107" s="721">
        <f t="shared" si="493"/>
        <v>67.125</v>
      </c>
      <c r="BC107" s="499">
        <f t="shared" si="494"/>
        <v>67.125</v>
      </c>
      <c r="BD107" s="499">
        <f t="shared" si="495"/>
        <v>67.125</v>
      </c>
      <c r="BE107" s="499">
        <f t="shared" si="496"/>
        <v>67.125</v>
      </c>
      <c r="BF107" s="499">
        <f t="shared" si="497"/>
        <v>67.125</v>
      </c>
      <c r="BG107" s="499">
        <f t="shared" si="498"/>
        <v>67.125</v>
      </c>
      <c r="BH107" s="499">
        <f t="shared" si="499"/>
        <v>67.125</v>
      </c>
      <c r="BI107" s="721">
        <f t="shared" si="788"/>
        <v>0</v>
      </c>
      <c r="BJ107" s="499">
        <f t="shared" ref="BJ107:BM107" si="937">BI107</f>
        <v>0</v>
      </c>
      <c r="BK107" s="499">
        <f t="shared" si="937"/>
        <v>0</v>
      </c>
      <c r="BL107" s="499">
        <f t="shared" si="937"/>
        <v>0</v>
      </c>
      <c r="BM107" s="499">
        <f t="shared" si="937"/>
        <v>0</v>
      </c>
      <c r="BN107" s="499">
        <f t="shared" si="501"/>
        <v>0</v>
      </c>
      <c r="BO107" s="499">
        <f t="shared" si="502"/>
        <v>0</v>
      </c>
      <c r="BP107" s="721">
        <f t="shared" si="790"/>
        <v>10</v>
      </c>
      <c r="BQ107" s="499">
        <f t="shared" si="791"/>
        <v>10</v>
      </c>
      <c r="BR107" s="499">
        <f t="shared" si="503"/>
        <v>10</v>
      </c>
      <c r="BS107" s="499">
        <f t="shared" si="504"/>
        <v>10</v>
      </c>
      <c r="BT107" s="499">
        <f t="shared" si="505"/>
        <v>10</v>
      </c>
      <c r="BU107" s="499">
        <f t="shared" si="506"/>
        <v>10</v>
      </c>
      <c r="BV107" s="499">
        <f t="shared" si="507"/>
        <v>10</v>
      </c>
      <c r="BW107" s="774">
        <f t="shared" si="802"/>
        <v>0</v>
      </c>
      <c r="BX107" s="503">
        <f t="shared" si="802"/>
        <v>0</v>
      </c>
      <c r="BY107" s="503">
        <f t="shared" si="802"/>
        <v>0</v>
      </c>
      <c r="BZ107" s="503">
        <f t="shared" si="802"/>
        <v>0</v>
      </c>
      <c r="CA107" s="503">
        <f t="shared" si="802"/>
        <v>0</v>
      </c>
      <c r="CB107" s="503">
        <f t="shared" si="802"/>
        <v>0</v>
      </c>
      <c r="CC107" s="503">
        <f t="shared" si="802"/>
        <v>0</v>
      </c>
      <c r="CD107" s="722">
        <f t="shared" si="792"/>
        <v>114.589377864</v>
      </c>
      <c r="CE107" s="511">
        <f t="shared" ref="CE107:CH107" si="938">CD107</f>
        <v>114.589377864</v>
      </c>
      <c r="CF107" s="511">
        <f t="shared" si="938"/>
        <v>114.589377864</v>
      </c>
      <c r="CG107" s="511">
        <f t="shared" si="938"/>
        <v>114.589377864</v>
      </c>
      <c r="CH107" s="511">
        <f t="shared" si="938"/>
        <v>114.589377864</v>
      </c>
      <c r="CI107" s="511">
        <f t="shared" si="510"/>
        <v>114.589377864</v>
      </c>
      <c r="CJ107" s="511">
        <f t="shared" si="511"/>
        <v>114.589377864</v>
      </c>
      <c r="CK107" s="722">
        <f t="shared" si="794"/>
        <v>2.7349574200000001E-2</v>
      </c>
      <c r="CL107" s="511">
        <f t="shared" ref="CL107:CO107" si="939">CK107</f>
        <v>2.7349574200000001E-2</v>
      </c>
      <c r="CM107" s="511">
        <f t="shared" si="939"/>
        <v>2.7349574200000001E-2</v>
      </c>
      <c r="CN107" s="511">
        <f t="shared" si="939"/>
        <v>2.7349574200000001E-2</v>
      </c>
      <c r="CO107" s="511">
        <f t="shared" si="939"/>
        <v>2.7349574200000001E-2</v>
      </c>
      <c r="CP107" s="511">
        <f t="shared" si="513"/>
        <v>2.7349574200000001E-2</v>
      </c>
      <c r="CQ107" s="511">
        <f t="shared" si="514"/>
        <v>2.7349574200000001E-2</v>
      </c>
      <c r="CR107" s="722">
        <f t="shared" si="796"/>
        <v>0</v>
      </c>
      <c r="CS107" s="511">
        <f t="shared" ref="CS107:CV107" si="940">CR107</f>
        <v>0</v>
      </c>
      <c r="CT107" s="511">
        <f t="shared" si="940"/>
        <v>0</v>
      </c>
      <c r="CU107" s="511">
        <f t="shared" si="940"/>
        <v>0</v>
      </c>
      <c r="CV107" s="511">
        <f t="shared" si="940"/>
        <v>0</v>
      </c>
      <c r="CW107" s="511">
        <f t="shared" si="516"/>
        <v>0</v>
      </c>
      <c r="CX107" s="539">
        <f t="shared" si="517"/>
        <v>0</v>
      </c>
      <c r="CY107" s="724">
        <f t="shared" si="849"/>
        <v>33.5625</v>
      </c>
      <c r="CZ107" s="508">
        <f t="shared" si="850"/>
        <v>33.5625</v>
      </c>
      <c r="DA107" s="508">
        <f t="shared" si="851"/>
        <v>6.7125000000000004</v>
      </c>
      <c r="DB107" s="508">
        <f t="shared" si="852"/>
        <v>0</v>
      </c>
      <c r="DC107" s="508">
        <f t="shared" si="853"/>
        <v>0</v>
      </c>
      <c r="DD107" s="508">
        <f t="shared" si="854"/>
        <v>0</v>
      </c>
      <c r="DE107" s="726">
        <f t="shared" si="855"/>
        <v>0</v>
      </c>
      <c r="DF107" s="724">
        <f t="shared" si="856"/>
        <v>0</v>
      </c>
      <c r="DG107" s="509">
        <f t="shared" si="857"/>
        <v>0</v>
      </c>
      <c r="DH107" s="509">
        <f t="shared" si="858"/>
        <v>0</v>
      </c>
      <c r="DI107" s="509">
        <f t="shared" si="859"/>
        <v>0</v>
      </c>
      <c r="DJ107" s="509">
        <f t="shared" si="860"/>
        <v>0</v>
      </c>
      <c r="DK107" s="509">
        <f t="shared" si="861"/>
        <v>0</v>
      </c>
      <c r="DL107" s="451">
        <f t="shared" si="862"/>
        <v>0</v>
      </c>
      <c r="DM107" s="509">
        <f t="shared" si="863"/>
        <v>5</v>
      </c>
      <c r="DN107" s="509">
        <f t="shared" si="864"/>
        <v>5</v>
      </c>
      <c r="DO107" s="509">
        <f t="shared" si="865"/>
        <v>1</v>
      </c>
      <c r="DP107" s="509">
        <f t="shared" si="866"/>
        <v>0</v>
      </c>
      <c r="DQ107" s="509">
        <f t="shared" si="867"/>
        <v>0</v>
      </c>
      <c r="DR107" s="509">
        <f t="shared" si="868"/>
        <v>0</v>
      </c>
      <c r="DS107" s="450">
        <f t="shared" si="869"/>
        <v>0</v>
      </c>
      <c r="DT107" s="724">
        <f t="shared" si="870"/>
        <v>0</v>
      </c>
      <c r="DU107" s="508">
        <f t="shared" si="871"/>
        <v>0</v>
      </c>
      <c r="DV107" s="508">
        <f t="shared" si="872"/>
        <v>0</v>
      </c>
      <c r="DW107" s="508">
        <f t="shared" si="873"/>
        <v>0</v>
      </c>
      <c r="DX107" s="508">
        <f t="shared" si="874"/>
        <v>0</v>
      </c>
      <c r="DY107" s="508">
        <f t="shared" si="875"/>
        <v>0</v>
      </c>
      <c r="DZ107" s="726">
        <f t="shared" si="876"/>
        <v>0</v>
      </c>
      <c r="EA107" s="722">
        <f t="shared" si="877"/>
        <v>57.294688932</v>
      </c>
      <c r="EB107" s="511">
        <f t="shared" si="878"/>
        <v>57.294688932</v>
      </c>
      <c r="EC107" s="511">
        <f t="shared" si="879"/>
        <v>11.4589377864</v>
      </c>
      <c r="ED107" s="511">
        <f t="shared" si="880"/>
        <v>0</v>
      </c>
      <c r="EE107" s="511">
        <f t="shared" si="881"/>
        <v>0</v>
      </c>
      <c r="EF107" s="511">
        <f t="shared" si="882"/>
        <v>0</v>
      </c>
      <c r="EG107" s="723">
        <f t="shared" si="883"/>
        <v>0</v>
      </c>
      <c r="EH107" s="397">
        <f t="shared" si="884"/>
        <v>1.36747871E-2</v>
      </c>
      <c r="EI107" s="397">
        <f t="shared" si="885"/>
        <v>1.36747871E-2</v>
      </c>
      <c r="EJ107" s="397">
        <f t="shared" si="886"/>
        <v>2.7349574200000002E-3</v>
      </c>
      <c r="EK107" s="397">
        <f t="shared" si="887"/>
        <v>0</v>
      </c>
      <c r="EL107" s="397">
        <f t="shared" si="888"/>
        <v>0</v>
      </c>
      <c r="EM107" s="397">
        <f t="shared" si="889"/>
        <v>0</v>
      </c>
      <c r="EN107" s="398">
        <f t="shared" si="890"/>
        <v>0</v>
      </c>
      <c r="EO107" s="722">
        <f t="shared" si="891"/>
        <v>0</v>
      </c>
      <c r="EP107" s="511">
        <f t="shared" si="892"/>
        <v>0</v>
      </c>
      <c r="EQ107" s="511">
        <f t="shared" si="893"/>
        <v>0</v>
      </c>
      <c r="ER107" s="511">
        <f t="shared" si="894"/>
        <v>0</v>
      </c>
      <c r="ES107" s="511">
        <f t="shared" si="895"/>
        <v>0</v>
      </c>
      <c r="ET107" s="511">
        <f t="shared" si="896"/>
        <v>0</v>
      </c>
      <c r="EU107" s="723">
        <f t="shared" si="897"/>
        <v>0</v>
      </c>
      <c r="EV107" s="727">
        <f t="shared" si="898"/>
        <v>1.1000000000000001</v>
      </c>
      <c r="EW107" s="728">
        <f t="shared" si="899"/>
        <v>73.837500000000006</v>
      </c>
      <c r="EX107" s="728">
        <f t="shared" si="900"/>
        <v>0</v>
      </c>
      <c r="EY107" s="728">
        <f t="shared" si="901"/>
        <v>11</v>
      </c>
      <c r="EZ107" s="728">
        <f t="shared" si="902"/>
        <v>0</v>
      </c>
      <c r="FA107" s="777">
        <f t="shared" si="903"/>
        <v>126.0483156504</v>
      </c>
      <c r="FB107" s="777">
        <f t="shared" si="904"/>
        <v>3.008453162E-2</v>
      </c>
      <c r="FC107" s="778">
        <f t="shared" si="905"/>
        <v>0</v>
      </c>
    </row>
    <row r="108" spans="1:162" s="10" customFormat="1" ht="12.5">
      <c r="A108" s="662" t="s">
        <v>230</v>
      </c>
      <c r="B108" s="789" t="s">
        <v>1400</v>
      </c>
      <c r="C108" s="789" t="str">
        <f t="shared" ref="C108:W108" si="941">C51</f>
        <v>Any LED lamps or ballasts must also be ENERGY STAR® certified or listed on the Design Lights Consortium (DLC) qualified list.</v>
      </c>
      <c r="D108" s="789" t="str">
        <f t="shared" si="941"/>
        <v>High-bay luminaire with a high intensity discharge or fluorescent light-source</v>
      </c>
      <c r="E108" s="789" t="str">
        <f t="shared" si="941"/>
        <v>n/a</v>
      </c>
      <c r="F108" s="789" t="str">
        <f t="shared" si="941"/>
        <v>Per Unit</v>
      </c>
      <c r="G108" s="704" t="str">
        <f t="shared" si="941"/>
        <v>Incremental Cost</v>
      </c>
      <c r="H108" s="704">
        <f t="shared" si="941"/>
        <v>326.08199999999999</v>
      </c>
      <c r="I108" s="704">
        <f t="shared" si="941"/>
        <v>0</v>
      </c>
      <c r="J108" s="704">
        <f t="shared" si="941"/>
        <v>326.08199999999999</v>
      </c>
      <c r="K108" s="704">
        <f t="shared" si="941"/>
        <v>-2.17</v>
      </c>
      <c r="L108" s="704">
        <f t="shared" si="941"/>
        <v>163.041</v>
      </c>
      <c r="M108" s="881" t="str">
        <f t="shared" si="941"/>
        <v>Costs estimated from Mid-Atlantic TRM v9: LED High-Bay Luminaires and Retrofit Kits; O&amp;M impact - $32.50/lamp over 15 year max measure life</v>
      </c>
      <c r="N108" s="704">
        <f t="shared" si="941"/>
        <v>25</v>
      </c>
      <c r="O108" s="704">
        <f t="shared" si="941"/>
        <v>25</v>
      </c>
      <c r="P108" s="704">
        <f t="shared" si="941"/>
        <v>0</v>
      </c>
      <c r="Q108" s="704">
        <f t="shared" si="941"/>
        <v>0</v>
      </c>
      <c r="R108" s="1021">
        <f t="shared" si="941"/>
        <v>2111.8968</v>
      </c>
      <c r="S108" s="872">
        <f t="shared" si="941"/>
        <v>0.32590999999999998</v>
      </c>
      <c r="T108" s="1022">
        <f t="shared" si="941"/>
        <v>-15.416846639999999</v>
      </c>
      <c r="U108" s="711" t="str">
        <f t="shared" si="941"/>
        <v>Per unit savings estimate from Mid-Atlantic TRM v9 "LED LED High-Bay Luminaires and Retrofit Kits" - use-specific input assumptions are average of all building types from Table D-3; Base and EE Wattage assumptions are average from IL TRM 4.5.4 LED Bulbs and Fixtures "LED Fixture Wattage, TOS Baseline and Incremental Cost Assumptions" Table</v>
      </c>
      <c r="V108" s="716">
        <f t="shared" si="941"/>
        <v>0</v>
      </c>
      <c r="W108" s="711">
        <f t="shared" si="941"/>
        <v>1</v>
      </c>
      <c r="X108" s="781">
        <f t="shared" ref="X108:AJ108" si="942">X51/2</f>
        <v>0</v>
      </c>
      <c r="Y108" s="781">
        <f t="shared" si="942"/>
        <v>0</v>
      </c>
      <c r="Z108" s="781">
        <f t="shared" si="942"/>
        <v>0</v>
      </c>
      <c r="AA108" s="781">
        <f t="shared" si="942"/>
        <v>0</v>
      </c>
      <c r="AB108" s="781">
        <f t="shared" si="942"/>
        <v>0</v>
      </c>
      <c r="AC108" s="781">
        <f t="shared" si="942"/>
        <v>0</v>
      </c>
      <c r="AD108" s="781">
        <f t="shared" si="942"/>
        <v>0</v>
      </c>
      <c r="AE108" s="781">
        <f t="shared" si="942"/>
        <v>0</v>
      </c>
      <c r="AF108" s="781">
        <f t="shared" si="942"/>
        <v>0</v>
      </c>
      <c r="AG108" s="781">
        <f t="shared" si="942"/>
        <v>0</v>
      </c>
      <c r="AH108" s="781">
        <f t="shared" si="942"/>
        <v>0</v>
      </c>
      <c r="AI108" s="781">
        <f t="shared" si="942"/>
        <v>0</v>
      </c>
      <c r="AJ108" s="781">
        <f t="shared" si="942"/>
        <v>0</v>
      </c>
      <c r="AK108" s="711" t="str">
        <f t="shared" ref="AK108:AZ108" si="943">AK51</f>
        <v>Electric</v>
      </c>
      <c r="AL108" s="711" t="str">
        <f t="shared" si="943"/>
        <v>Commercial</v>
      </c>
      <c r="AM108" s="711" t="str">
        <f t="shared" si="943"/>
        <v>Large Office</v>
      </c>
      <c r="AN108" s="711" t="str">
        <f t="shared" si="943"/>
        <v>Lighting</v>
      </c>
      <c r="AO108" s="711" t="str">
        <f t="shared" si="943"/>
        <v>Existing</v>
      </c>
      <c r="AP108" s="711">
        <f t="shared" si="943"/>
        <v>0</v>
      </c>
      <c r="AQ108" s="711">
        <f t="shared" si="943"/>
        <v>0</v>
      </c>
      <c r="AR108" s="711">
        <f t="shared" si="943"/>
        <v>0</v>
      </c>
      <c r="AS108" s="711" t="str">
        <f t="shared" si="943"/>
        <v>OFFLGInLight</v>
      </c>
      <c r="AT108" s="715" t="s">
        <v>745</v>
      </c>
      <c r="AU108" s="1065" t="s">
        <v>771</v>
      </c>
      <c r="AV108" s="711">
        <f t="shared" si="943"/>
        <v>20</v>
      </c>
      <c r="AW108" s="711">
        <f t="shared" si="943"/>
        <v>15</v>
      </c>
      <c r="AX108" s="711" t="s">
        <v>1484</v>
      </c>
      <c r="AY108" s="711">
        <f t="shared" si="943"/>
        <v>1</v>
      </c>
      <c r="AZ108" s="711">
        <f t="shared" si="943"/>
        <v>1</v>
      </c>
      <c r="BA108" s="1066">
        <f t="shared" si="823"/>
        <v>0</v>
      </c>
      <c r="BB108" s="721">
        <f t="shared" si="493"/>
        <v>326.08199999999999</v>
      </c>
      <c r="BC108" s="499">
        <f t="shared" si="494"/>
        <v>326.08199999999999</v>
      </c>
      <c r="BD108" s="499">
        <f t="shared" si="495"/>
        <v>326.08199999999999</v>
      </c>
      <c r="BE108" s="499">
        <f t="shared" si="496"/>
        <v>326.08199999999999</v>
      </c>
      <c r="BF108" s="499">
        <f t="shared" si="497"/>
        <v>326.08199999999999</v>
      </c>
      <c r="BG108" s="499">
        <f t="shared" si="498"/>
        <v>326.08199999999999</v>
      </c>
      <c r="BH108" s="499">
        <f t="shared" si="499"/>
        <v>326.08199999999999</v>
      </c>
      <c r="BI108" s="721">
        <f t="shared" si="788"/>
        <v>-2.17</v>
      </c>
      <c r="BJ108" s="499">
        <f t="shared" ref="BJ108:BM108" si="944">BI108</f>
        <v>-2.17</v>
      </c>
      <c r="BK108" s="499">
        <f t="shared" si="944"/>
        <v>-2.17</v>
      </c>
      <c r="BL108" s="499">
        <f t="shared" si="944"/>
        <v>-2.17</v>
      </c>
      <c r="BM108" s="499">
        <f t="shared" si="944"/>
        <v>-2.17</v>
      </c>
      <c r="BN108" s="499">
        <f t="shared" si="501"/>
        <v>-2.17</v>
      </c>
      <c r="BO108" s="499">
        <f t="shared" si="502"/>
        <v>-2.17</v>
      </c>
      <c r="BP108" s="721">
        <f t="shared" si="790"/>
        <v>25</v>
      </c>
      <c r="BQ108" s="499">
        <f t="shared" si="791"/>
        <v>25</v>
      </c>
      <c r="BR108" s="499">
        <f t="shared" si="503"/>
        <v>25</v>
      </c>
      <c r="BS108" s="499">
        <f t="shared" si="504"/>
        <v>25</v>
      </c>
      <c r="BT108" s="499">
        <f t="shared" si="505"/>
        <v>25</v>
      </c>
      <c r="BU108" s="499">
        <f t="shared" si="506"/>
        <v>25</v>
      </c>
      <c r="BV108" s="499">
        <f t="shared" si="507"/>
        <v>25</v>
      </c>
      <c r="BW108" s="774">
        <f t="shared" si="802"/>
        <v>0</v>
      </c>
      <c r="BX108" s="503">
        <f t="shared" si="802"/>
        <v>0</v>
      </c>
      <c r="BY108" s="503">
        <f t="shared" si="802"/>
        <v>0</v>
      </c>
      <c r="BZ108" s="503">
        <f t="shared" si="802"/>
        <v>0</v>
      </c>
      <c r="CA108" s="503">
        <f t="shared" si="802"/>
        <v>0</v>
      </c>
      <c r="CB108" s="503">
        <f t="shared" si="802"/>
        <v>0</v>
      </c>
      <c r="CC108" s="503">
        <f t="shared" si="802"/>
        <v>0</v>
      </c>
      <c r="CD108" s="722">
        <f t="shared" si="792"/>
        <v>2111.8968</v>
      </c>
      <c r="CE108" s="511">
        <f t="shared" ref="CE108:CH108" si="945">CD108</f>
        <v>2111.8968</v>
      </c>
      <c r="CF108" s="511">
        <f t="shared" si="945"/>
        <v>2111.8968</v>
      </c>
      <c r="CG108" s="511">
        <f t="shared" si="945"/>
        <v>2111.8968</v>
      </c>
      <c r="CH108" s="511">
        <f t="shared" si="945"/>
        <v>2111.8968</v>
      </c>
      <c r="CI108" s="511">
        <f t="shared" si="510"/>
        <v>2111.8968</v>
      </c>
      <c r="CJ108" s="511">
        <f t="shared" si="511"/>
        <v>2111.8968</v>
      </c>
      <c r="CK108" s="722">
        <f t="shared" si="794"/>
        <v>0.32590999999999998</v>
      </c>
      <c r="CL108" s="511">
        <f t="shared" ref="CL108:CO108" si="946">CK108</f>
        <v>0.32590999999999998</v>
      </c>
      <c r="CM108" s="511">
        <f t="shared" si="946"/>
        <v>0.32590999999999998</v>
      </c>
      <c r="CN108" s="511">
        <f t="shared" si="946"/>
        <v>0.32590999999999998</v>
      </c>
      <c r="CO108" s="511">
        <f t="shared" si="946"/>
        <v>0.32590999999999998</v>
      </c>
      <c r="CP108" s="511">
        <f t="shared" si="513"/>
        <v>0.32590999999999998</v>
      </c>
      <c r="CQ108" s="511">
        <f t="shared" si="514"/>
        <v>0.32590999999999998</v>
      </c>
      <c r="CR108" s="722">
        <f t="shared" si="796"/>
        <v>0</v>
      </c>
      <c r="CS108" s="511">
        <f t="shared" ref="CS108:CV108" si="947">CR108</f>
        <v>0</v>
      </c>
      <c r="CT108" s="511">
        <f t="shared" si="947"/>
        <v>0</v>
      </c>
      <c r="CU108" s="511">
        <f t="shared" si="947"/>
        <v>0</v>
      </c>
      <c r="CV108" s="511">
        <f t="shared" si="947"/>
        <v>0</v>
      </c>
      <c r="CW108" s="511">
        <f t="shared" si="516"/>
        <v>0</v>
      </c>
      <c r="CX108" s="539">
        <f t="shared" si="517"/>
        <v>0</v>
      </c>
      <c r="CY108" s="724">
        <f t="shared" si="849"/>
        <v>0</v>
      </c>
      <c r="CZ108" s="508">
        <f t="shared" si="850"/>
        <v>0</v>
      </c>
      <c r="DA108" s="508">
        <f t="shared" si="851"/>
        <v>0</v>
      </c>
      <c r="DB108" s="508">
        <f t="shared" si="852"/>
        <v>0</v>
      </c>
      <c r="DC108" s="508">
        <f t="shared" si="853"/>
        <v>0</v>
      </c>
      <c r="DD108" s="508">
        <f t="shared" si="854"/>
        <v>0</v>
      </c>
      <c r="DE108" s="726">
        <f t="shared" si="855"/>
        <v>0</v>
      </c>
      <c r="DF108" s="724">
        <f t="shared" si="856"/>
        <v>0</v>
      </c>
      <c r="DG108" s="509">
        <f t="shared" si="857"/>
        <v>0</v>
      </c>
      <c r="DH108" s="509">
        <f t="shared" si="858"/>
        <v>0</v>
      </c>
      <c r="DI108" s="509">
        <f t="shared" si="859"/>
        <v>0</v>
      </c>
      <c r="DJ108" s="509">
        <f t="shared" si="860"/>
        <v>0</v>
      </c>
      <c r="DK108" s="509">
        <f t="shared" si="861"/>
        <v>0</v>
      </c>
      <c r="DL108" s="451">
        <f t="shared" si="862"/>
        <v>0</v>
      </c>
      <c r="DM108" s="509">
        <f t="shared" si="863"/>
        <v>0</v>
      </c>
      <c r="DN108" s="509">
        <f t="shared" si="864"/>
        <v>0</v>
      </c>
      <c r="DO108" s="509">
        <f t="shared" si="865"/>
        <v>0</v>
      </c>
      <c r="DP108" s="509">
        <f t="shared" si="866"/>
        <v>0</v>
      </c>
      <c r="DQ108" s="509">
        <f t="shared" si="867"/>
        <v>0</v>
      </c>
      <c r="DR108" s="509">
        <f t="shared" si="868"/>
        <v>0</v>
      </c>
      <c r="DS108" s="450">
        <f t="shared" si="869"/>
        <v>0</v>
      </c>
      <c r="DT108" s="724">
        <f t="shared" si="870"/>
        <v>0</v>
      </c>
      <c r="DU108" s="508">
        <f t="shared" si="871"/>
        <v>0</v>
      </c>
      <c r="DV108" s="508">
        <f t="shared" si="872"/>
        <v>0</v>
      </c>
      <c r="DW108" s="508">
        <f t="shared" si="873"/>
        <v>0</v>
      </c>
      <c r="DX108" s="508">
        <f t="shared" si="874"/>
        <v>0</v>
      </c>
      <c r="DY108" s="508">
        <f t="shared" si="875"/>
        <v>0</v>
      </c>
      <c r="DZ108" s="726">
        <f t="shared" si="876"/>
        <v>0</v>
      </c>
      <c r="EA108" s="722">
        <f t="shared" si="877"/>
        <v>0</v>
      </c>
      <c r="EB108" s="511">
        <f t="shared" si="878"/>
        <v>0</v>
      </c>
      <c r="EC108" s="511">
        <f t="shared" si="879"/>
        <v>0</v>
      </c>
      <c r="ED108" s="511">
        <f t="shared" si="880"/>
        <v>0</v>
      </c>
      <c r="EE108" s="511">
        <f t="shared" si="881"/>
        <v>0</v>
      </c>
      <c r="EF108" s="511">
        <f t="shared" si="882"/>
        <v>0</v>
      </c>
      <c r="EG108" s="723">
        <f t="shared" si="883"/>
        <v>0</v>
      </c>
      <c r="EH108" s="397">
        <f t="shared" si="884"/>
        <v>0</v>
      </c>
      <c r="EI108" s="397">
        <f t="shared" si="885"/>
        <v>0</v>
      </c>
      <c r="EJ108" s="397">
        <f t="shared" si="886"/>
        <v>0</v>
      </c>
      <c r="EK108" s="397">
        <f t="shared" si="887"/>
        <v>0</v>
      </c>
      <c r="EL108" s="397">
        <f t="shared" si="888"/>
        <v>0</v>
      </c>
      <c r="EM108" s="397">
        <f t="shared" si="889"/>
        <v>0</v>
      </c>
      <c r="EN108" s="398">
        <f t="shared" si="890"/>
        <v>0</v>
      </c>
      <c r="EO108" s="722">
        <f t="shared" si="891"/>
        <v>0</v>
      </c>
      <c r="EP108" s="511">
        <f t="shared" si="892"/>
        <v>0</v>
      </c>
      <c r="EQ108" s="511">
        <f t="shared" si="893"/>
        <v>0</v>
      </c>
      <c r="ER108" s="511">
        <f t="shared" si="894"/>
        <v>0</v>
      </c>
      <c r="ES108" s="511">
        <f t="shared" si="895"/>
        <v>0</v>
      </c>
      <c r="ET108" s="511">
        <f t="shared" si="896"/>
        <v>0</v>
      </c>
      <c r="EU108" s="723">
        <f t="shared" si="897"/>
        <v>0</v>
      </c>
      <c r="EV108" s="727">
        <f t="shared" si="898"/>
        <v>0</v>
      </c>
      <c r="EW108" s="728">
        <f t="shared" si="899"/>
        <v>0</v>
      </c>
      <c r="EX108" s="728">
        <f t="shared" si="900"/>
        <v>0</v>
      </c>
      <c r="EY108" s="728">
        <f t="shared" si="901"/>
        <v>0</v>
      </c>
      <c r="EZ108" s="728">
        <f t="shared" si="902"/>
        <v>0</v>
      </c>
      <c r="FA108" s="777">
        <f t="shared" si="903"/>
        <v>0</v>
      </c>
      <c r="FB108" s="777">
        <f t="shared" si="904"/>
        <v>0</v>
      </c>
      <c r="FC108" s="778">
        <f t="shared" si="905"/>
        <v>0</v>
      </c>
    </row>
    <row r="109" spans="1:162" s="10" customFormat="1" ht="12.5">
      <c r="A109" s="662" t="s">
        <v>231</v>
      </c>
      <c r="B109" s="789" t="s">
        <v>1401</v>
      </c>
      <c r="C109" s="789" t="str">
        <f t="shared" ref="C109:W109" si="948">C52</f>
        <v>Any LED lamps or ballasts must also be ENERGY STAR® certified or listed on the Design Lights Consortium (DLC) qualified list.</v>
      </c>
      <c r="D109" s="789" t="str">
        <f t="shared" si="948"/>
        <v>Existing four-foot linear fluorescent fixture</v>
      </c>
      <c r="E109" s="789" t="str">
        <f t="shared" si="948"/>
        <v>n/a</v>
      </c>
      <c r="F109" s="789" t="str">
        <f t="shared" si="948"/>
        <v>Per Unit</v>
      </c>
      <c r="G109" s="704" t="str">
        <f t="shared" si="948"/>
        <v>Incremental Cost</v>
      </c>
      <c r="H109" s="704">
        <f t="shared" si="948"/>
        <v>30.205000000000002</v>
      </c>
      <c r="I109" s="704">
        <f t="shared" si="948"/>
        <v>0</v>
      </c>
      <c r="J109" s="704">
        <f t="shared" si="948"/>
        <v>30.205000000000002</v>
      </c>
      <c r="K109" s="704">
        <f t="shared" si="948"/>
        <v>0</v>
      </c>
      <c r="L109" s="704">
        <f t="shared" si="948"/>
        <v>15.102500000000001</v>
      </c>
      <c r="M109" s="881" t="str">
        <f t="shared" si="948"/>
        <v xml:space="preserve">Costs estimated from Mid-Atlantic TRM v9: LED Four-Foot Linear Replacement Lamps; </v>
      </c>
      <c r="N109" s="704">
        <f t="shared" si="948"/>
        <v>3</v>
      </c>
      <c r="O109" s="704">
        <f t="shared" si="948"/>
        <v>3</v>
      </c>
      <c r="P109" s="704">
        <f t="shared" si="948"/>
        <v>0</v>
      </c>
      <c r="Q109" s="704">
        <f t="shared" si="948"/>
        <v>0</v>
      </c>
      <c r="R109" s="1021">
        <f t="shared" si="948"/>
        <v>39.487499999999997</v>
      </c>
      <c r="S109" s="872">
        <f t="shared" si="948"/>
        <v>6.0937500000000002E-3</v>
      </c>
      <c r="T109" s="1022">
        <f t="shared" si="948"/>
        <v>-0.28825874999999995</v>
      </c>
      <c r="U109" s="711" t="str">
        <f t="shared" si="948"/>
        <v>Per unit savings estimate from Mid-Atlantic TRM v9 "LED LED High-Bay Luminaires and Retrofit Kits" - use-specific input assumptions are average of all building types from Table D-3</v>
      </c>
      <c r="V109" s="716">
        <f t="shared" si="948"/>
        <v>0</v>
      </c>
      <c r="W109" s="711">
        <f t="shared" si="948"/>
        <v>1</v>
      </c>
      <c r="X109" s="781">
        <f t="shared" ref="X109:AJ109" si="949">X52/2</f>
        <v>0</v>
      </c>
      <c r="Y109" s="781">
        <f t="shared" si="949"/>
        <v>0</v>
      </c>
      <c r="Z109" s="781">
        <f t="shared" si="949"/>
        <v>0</v>
      </c>
      <c r="AA109" s="781">
        <f t="shared" si="949"/>
        <v>6071.1428571428569</v>
      </c>
      <c r="AB109" s="781">
        <f t="shared" si="949"/>
        <v>3035.5714285714284</v>
      </c>
      <c r="AC109" s="781">
        <f t="shared" si="949"/>
        <v>3035.5</v>
      </c>
      <c r="AD109" s="781">
        <f t="shared" si="949"/>
        <v>3035.5</v>
      </c>
      <c r="AE109" s="781">
        <f t="shared" si="949"/>
        <v>3035.5</v>
      </c>
      <c r="AF109" s="781">
        <f t="shared" si="949"/>
        <v>728.52</v>
      </c>
      <c r="AG109" s="781">
        <f t="shared" si="949"/>
        <v>0</v>
      </c>
      <c r="AH109" s="781">
        <f t="shared" si="949"/>
        <v>0</v>
      </c>
      <c r="AI109" s="781">
        <f t="shared" si="949"/>
        <v>0</v>
      </c>
      <c r="AJ109" s="781">
        <f t="shared" si="949"/>
        <v>0</v>
      </c>
      <c r="AK109" s="711" t="str">
        <f t="shared" ref="AK109:AZ109" si="950">AK52</f>
        <v>Electric</v>
      </c>
      <c r="AL109" s="711" t="str">
        <f t="shared" si="950"/>
        <v>Commercial</v>
      </c>
      <c r="AM109" s="711" t="str">
        <f t="shared" si="950"/>
        <v>Large Office</v>
      </c>
      <c r="AN109" s="711" t="str">
        <f t="shared" si="950"/>
        <v>Lighting</v>
      </c>
      <c r="AO109" s="711" t="str">
        <f t="shared" si="950"/>
        <v>Existing</v>
      </c>
      <c r="AP109" s="711">
        <f t="shared" si="950"/>
        <v>0</v>
      </c>
      <c r="AQ109" s="711">
        <f t="shared" si="950"/>
        <v>0</v>
      </c>
      <c r="AR109" s="711">
        <f t="shared" si="950"/>
        <v>0</v>
      </c>
      <c r="AS109" s="711" t="str">
        <f t="shared" si="950"/>
        <v>OFFLGInLight</v>
      </c>
      <c r="AT109" s="715" t="s">
        <v>745</v>
      </c>
      <c r="AU109" s="1065" t="s">
        <v>771</v>
      </c>
      <c r="AV109" s="711">
        <f t="shared" si="950"/>
        <v>20</v>
      </c>
      <c r="AW109" s="711">
        <f t="shared" si="950"/>
        <v>15</v>
      </c>
      <c r="AX109" s="711" t="s">
        <v>1483</v>
      </c>
      <c r="AY109" s="711">
        <f t="shared" si="950"/>
        <v>1</v>
      </c>
      <c r="AZ109" s="711">
        <f t="shared" si="950"/>
        <v>1</v>
      </c>
      <c r="BA109" s="1066">
        <f t="shared" si="823"/>
        <v>0</v>
      </c>
      <c r="BB109" s="721">
        <f t="shared" si="493"/>
        <v>30.205000000000002</v>
      </c>
      <c r="BC109" s="499">
        <f t="shared" si="494"/>
        <v>30.205000000000002</v>
      </c>
      <c r="BD109" s="499">
        <f t="shared" si="495"/>
        <v>30.205000000000002</v>
      </c>
      <c r="BE109" s="499">
        <f t="shared" si="496"/>
        <v>30.205000000000002</v>
      </c>
      <c r="BF109" s="499">
        <f t="shared" si="497"/>
        <v>30.205000000000002</v>
      </c>
      <c r="BG109" s="499">
        <f t="shared" si="498"/>
        <v>30.205000000000002</v>
      </c>
      <c r="BH109" s="499">
        <f t="shared" si="499"/>
        <v>30.205000000000002</v>
      </c>
      <c r="BI109" s="721">
        <f t="shared" si="788"/>
        <v>0</v>
      </c>
      <c r="BJ109" s="499">
        <f t="shared" ref="BJ109:BM109" si="951">BI109</f>
        <v>0</v>
      </c>
      <c r="BK109" s="499">
        <f t="shared" si="951"/>
        <v>0</v>
      </c>
      <c r="BL109" s="499">
        <f t="shared" si="951"/>
        <v>0</v>
      </c>
      <c r="BM109" s="499">
        <f t="shared" si="951"/>
        <v>0</v>
      </c>
      <c r="BN109" s="499">
        <f t="shared" si="501"/>
        <v>0</v>
      </c>
      <c r="BO109" s="499">
        <f t="shared" si="502"/>
        <v>0</v>
      </c>
      <c r="BP109" s="721">
        <f t="shared" si="790"/>
        <v>3</v>
      </c>
      <c r="BQ109" s="499">
        <f t="shared" si="791"/>
        <v>3</v>
      </c>
      <c r="BR109" s="499">
        <f t="shared" si="503"/>
        <v>3</v>
      </c>
      <c r="BS109" s="499">
        <f t="shared" si="504"/>
        <v>3</v>
      </c>
      <c r="BT109" s="499">
        <f t="shared" si="505"/>
        <v>3</v>
      </c>
      <c r="BU109" s="499">
        <f t="shared" si="506"/>
        <v>3</v>
      </c>
      <c r="BV109" s="499">
        <f t="shared" si="507"/>
        <v>3</v>
      </c>
      <c r="BW109" s="774">
        <f t="shared" si="802"/>
        <v>0</v>
      </c>
      <c r="BX109" s="503">
        <f t="shared" si="802"/>
        <v>0</v>
      </c>
      <c r="BY109" s="503">
        <f t="shared" si="802"/>
        <v>0</v>
      </c>
      <c r="BZ109" s="503">
        <f t="shared" si="802"/>
        <v>0</v>
      </c>
      <c r="CA109" s="503">
        <f t="shared" si="802"/>
        <v>0</v>
      </c>
      <c r="CB109" s="503">
        <f t="shared" si="802"/>
        <v>0</v>
      </c>
      <c r="CC109" s="503">
        <f t="shared" si="802"/>
        <v>0</v>
      </c>
      <c r="CD109" s="722">
        <f t="shared" si="792"/>
        <v>39.487499999999997</v>
      </c>
      <c r="CE109" s="511">
        <f t="shared" ref="CE109:CH109" si="952">CD109</f>
        <v>39.487499999999997</v>
      </c>
      <c r="CF109" s="511">
        <f t="shared" si="952"/>
        <v>39.487499999999997</v>
      </c>
      <c r="CG109" s="511">
        <f t="shared" si="952"/>
        <v>39.487499999999997</v>
      </c>
      <c r="CH109" s="511">
        <f t="shared" si="952"/>
        <v>39.487499999999997</v>
      </c>
      <c r="CI109" s="511">
        <f t="shared" si="510"/>
        <v>39.487499999999997</v>
      </c>
      <c r="CJ109" s="511">
        <f t="shared" si="511"/>
        <v>39.487499999999997</v>
      </c>
      <c r="CK109" s="722">
        <f t="shared" si="794"/>
        <v>6.0937500000000002E-3</v>
      </c>
      <c r="CL109" s="511">
        <f t="shared" ref="CL109:CO109" si="953">CK109</f>
        <v>6.0937500000000002E-3</v>
      </c>
      <c r="CM109" s="511">
        <f t="shared" si="953"/>
        <v>6.0937500000000002E-3</v>
      </c>
      <c r="CN109" s="511">
        <f t="shared" si="953"/>
        <v>6.0937500000000002E-3</v>
      </c>
      <c r="CO109" s="511">
        <f t="shared" si="953"/>
        <v>6.0937500000000002E-3</v>
      </c>
      <c r="CP109" s="511">
        <f t="shared" si="513"/>
        <v>6.0937500000000002E-3</v>
      </c>
      <c r="CQ109" s="511">
        <f t="shared" si="514"/>
        <v>6.0937500000000002E-3</v>
      </c>
      <c r="CR109" s="722">
        <f t="shared" si="796"/>
        <v>0</v>
      </c>
      <c r="CS109" s="511">
        <f t="shared" ref="CS109:CV109" si="954">CR109</f>
        <v>0</v>
      </c>
      <c r="CT109" s="511">
        <f t="shared" si="954"/>
        <v>0</v>
      </c>
      <c r="CU109" s="511">
        <f t="shared" si="954"/>
        <v>0</v>
      </c>
      <c r="CV109" s="511">
        <f t="shared" si="954"/>
        <v>0</v>
      </c>
      <c r="CW109" s="511">
        <f t="shared" si="516"/>
        <v>0</v>
      </c>
      <c r="CX109" s="539">
        <f t="shared" si="517"/>
        <v>0</v>
      </c>
      <c r="CY109" s="724">
        <f t="shared" si="849"/>
        <v>91687.277500000011</v>
      </c>
      <c r="CZ109" s="508">
        <f t="shared" si="850"/>
        <v>91687.277500000011</v>
      </c>
      <c r="DA109" s="508">
        <f t="shared" si="851"/>
        <v>22004.946599999999</v>
      </c>
      <c r="DB109" s="508">
        <f t="shared" si="852"/>
        <v>0</v>
      </c>
      <c r="DC109" s="508">
        <f t="shared" si="853"/>
        <v>0</v>
      </c>
      <c r="DD109" s="508">
        <f t="shared" si="854"/>
        <v>0</v>
      </c>
      <c r="DE109" s="726">
        <f t="shared" si="855"/>
        <v>0</v>
      </c>
      <c r="DF109" s="724">
        <f t="shared" si="856"/>
        <v>0</v>
      </c>
      <c r="DG109" s="509">
        <f t="shared" si="857"/>
        <v>0</v>
      </c>
      <c r="DH109" s="509">
        <f t="shared" si="858"/>
        <v>0</v>
      </c>
      <c r="DI109" s="509">
        <f t="shared" si="859"/>
        <v>0</v>
      </c>
      <c r="DJ109" s="509">
        <f t="shared" si="860"/>
        <v>0</v>
      </c>
      <c r="DK109" s="509">
        <f t="shared" si="861"/>
        <v>0</v>
      </c>
      <c r="DL109" s="451">
        <f t="shared" si="862"/>
        <v>0</v>
      </c>
      <c r="DM109" s="509">
        <f t="shared" si="863"/>
        <v>9106.5</v>
      </c>
      <c r="DN109" s="509">
        <f t="shared" si="864"/>
        <v>9106.5</v>
      </c>
      <c r="DO109" s="509">
        <f t="shared" si="865"/>
        <v>2185.56</v>
      </c>
      <c r="DP109" s="509">
        <f t="shared" si="866"/>
        <v>0</v>
      </c>
      <c r="DQ109" s="509">
        <f t="shared" si="867"/>
        <v>0</v>
      </c>
      <c r="DR109" s="509">
        <f t="shared" si="868"/>
        <v>0</v>
      </c>
      <c r="DS109" s="450">
        <f t="shared" si="869"/>
        <v>0</v>
      </c>
      <c r="DT109" s="724">
        <f t="shared" si="870"/>
        <v>0</v>
      </c>
      <c r="DU109" s="508">
        <f t="shared" si="871"/>
        <v>0</v>
      </c>
      <c r="DV109" s="508">
        <f t="shared" si="872"/>
        <v>0</v>
      </c>
      <c r="DW109" s="508">
        <f t="shared" si="873"/>
        <v>0</v>
      </c>
      <c r="DX109" s="508">
        <f t="shared" si="874"/>
        <v>0</v>
      </c>
      <c r="DY109" s="508">
        <f t="shared" si="875"/>
        <v>0</v>
      </c>
      <c r="DZ109" s="726">
        <f t="shared" si="876"/>
        <v>0</v>
      </c>
      <c r="EA109" s="722">
        <f t="shared" si="877"/>
        <v>119864.30624999999</v>
      </c>
      <c r="EB109" s="511">
        <f t="shared" si="878"/>
        <v>119864.30624999999</v>
      </c>
      <c r="EC109" s="511">
        <f t="shared" si="879"/>
        <v>28767.433499999996</v>
      </c>
      <c r="ED109" s="511">
        <f t="shared" si="880"/>
        <v>0</v>
      </c>
      <c r="EE109" s="511">
        <f t="shared" si="881"/>
        <v>0</v>
      </c>
      <c r="EF109" s="511">
        <f t="shared" si="882"/>
        <v>0</v>
      </c>
      <c r="EG109" s="723">
        <f t="shared" si="883"/>
        <v>0</v>
      </c>
      <c r="EH109" s="397">
        <f t="shared" si="884"/>
        <v>18.497578125</v>
      </c>
      <c r="EI109" s="397">
        <f t="shared" si="885"/>
        <v>18.497578125</v>
      </c>
      <c r="EJ109" s="397">
        <f t="shared" si="886"/>
        <v>4.4394187499999997</v>
      </c>
      <c r="EK109" s="397">
        <f t="shared" si="887"/>
        <v>0</v>
      </c>
      <c r="EL109" s="397">
        <f t="shared" si="888"/>
        <v>0</v>
      </c>
      <c r="EM109" s="397">
        <f t="shared" si="889"/>
        <v>0</v>
      </c>
      <c r="EN109" s="398">
        <f t="shared" si="890"/>
        <v>0</v>
      </c>
      <c r="EO109" s="722">
        <f t="shared" si="891"/>
        <v>0</v>
      </c>
      <c r="EP109" s="511">
        <f t="shared" si="892"/>
        <v>0</v>
      </c>
      <c r="EQ109" s="511">
        <f t="shared" si="893"/>
        <v>0</v>
      </c>
      <c r="ER109" s="511">
        <f t="shared" si="894"/>
        <v>0</v>
      </c>
      <c r="ES109" s="511">
        <f t="shared" si="895"/>
        <v>0</v>
      </c>
      <c r="ET109" s="511">
        <f t="shared" si="896"/>
        <v>0</v>
      </c>
      <c r="EU109" s="723">
        <f t="shared" si="897"/>
        <v>0</v>
      </c>
      <c r="EV109" s="727">
        <f t="shared" si="898"/>
        <v>6799.52</v>
      </c>
      <c r="EW109" s="728">
        <f t="shared" si="899"/>
        <v>205379.50160000002</v>
      </c>
      <c r="EX109" s="728">
        <f t="shared" si="900"/>
        <v>0</v>
      </c>
      <c r="EY109" s="728">
        <f t="shared" si="901"/>
        <v>20398.560000000001</v>
      </c>
      <c r="EZ109" s="728">
        <f t="shared" si="902"/>
        <v>0</v>
      </c>
      <c r="FA109" s="777">
        <f t="shared" si="903"/>
        <v>268496.04599999997</v>
      </c>
      <c r="FB109" s="777">
        <f t="shared" si="904"/>
        <v>41.434575000000002</v>
      </c>
      <c r="FC109" s="778">
        <f t="shared" si="905"/>
        <v>0</v>
      </c>
    </row>
    <row r="110" spans="1:162" s="10" customFormat="1" ht="12.5">
      <c r="A110" s="662" t="s">
        <v>232</v>
      </c>
      <c r="B110" s="789" t="s">
        <v>1402</v>
      </c>
      <c r="C110" s="789" t="str">
        <f t="shared" ref="C110:W110" si="955">C53</f>
        <v>Any LED lamps or ballasts must also be ENERGY STAR® certified or listed on the Design Lights Consortium (DLC) qualified list.</v>
      </c>
      <c r="D110" s="789" t="str">
        <f t="shared" si="955"/>
        <v>Baseline Wall-Wash Fixtures or 2 ft F17T8 Standard Lamp</v>
      </c>
      <c r="E110" s="789" t="str">
        <f t="shared" si="955"/>
        <v>n/a</v>
      </c>
      <c r="F110" s="789" t="str">
        <f t="shared" si="955"/>
        <v>Per Unit</v>
      </c>
      <c r="G110" s="704" t="str">
        <f t="shared" si="955"/>
        <v>Incremental Cost</v>
      </c>
      <c r="H110" s="704">
        <f t="shared" si="955"/>
        <v>36</v>
      </c>
      <c r="I110" s="704">
        <f t="shared" si="955"/>
        <v>0</v>
      </c>
      <c r="J110" s="704">
        <f t="shared" si="955"/>
        <v>36</v>
      </c>
      <c r="K110" s="704">
        <f t="shared" si="955"/>
        <v>0</v>
      </c>
      <c r="L110" s="704">
        <f t="shared" si="955"/>
        <v>18</v>
      </c>
      <c r="M110" s="881" t="str">
        <f t="shared" si="955"/>
        <v>Costs estimated from IL TRM v10: "4.5.4 LED Bulbs and Fixtures;" LED Downlight Fixtures, LED Interior Directional, LED Linear Replacement Lamps, and LED Linear Ambient Fixtures</v>
      </c>
      <c r="N110" s="704">
        <f t="shared" si="955"/>
        <v>5</v>
      </c>
      <c r="O110" s="704">
        <f t="shared" si="955"/>
        <v>5</v>
      </c>
      <c r="P110" s="704">
        <f t="shared" si="955"/>
        <v>0</v>
      </c>
      <c r="Q110" s="704">
        <f t="shared" si="955"/>
        <v>0</v>
      </c>
      <c r="R110" s="1021">
        <f t="shared" si="955"/>
        <v>167.1274142799152</v>
      </c>
      <c r="S110" s="872">
        <f t="shared" si="955"/>
        <v>3.8547530882739774E-2</v>
      </c>
      <c r="T110" s="1022">
        <f t="shared" si="955"/>
        <v>0</v>
      </c>
      <c r="U110" s="711" t="str">
        <f t="shared" si="955"/>
        <v>LG&amp;E/KU Commercial Rebates Report - Appendix A</v>
      </c>
      <c r="V110" s="716">
        <f t="shared" si="955"/>
        <v>0</v>
      </c>
      <c r="W110" s="711">
        <f t="shared" si="955"/>
        <v>1</v>
      </c>
      <c r="X110" s="781">
        <f t="shared" ref="X110:AJ110" si="956">X53/2</f>
        <v>0</v>
      </c>
      <c r="Y110" s="781">
        <f t="shared" si="956"/>
        <v>0</v>
      </c>
      <c r="Z110" s="781">
        <f t="shared" si="956"/>
        <v>0</v>
      </c>
      <c r="AA110" s="781">
        <f t="shared" si="956"/>
        <v>7365.4285714285706</v>
      </c>
      <c r="AB110" s="781">
        <f t="shared" si="956"/>
        <v>7365.4285714285706</v>
      </c>
      <c r="AC110" s="781">
        <f t="shared" si="956"/>
        <v>7365.5</v>
      </c>
      <c r="AD110" s="781">
        <f t="shared" si="956"/>
        <v>7365.5</v>
      </c>
      <c r="AE110" s="781">
        <f t="shared" si="956"/>
        <v>7365.5</v>
      </c>
      <c r="AF110" s="781">
        <f t="shared" si="956"/>
        <v>1767.7200000000003</v>
      </c>
      <c r="AG110" s="781">
        <f t="shared" si="956"/>
        <v>0</v>
      </c>
      <c r="AH110" s="781">
        <f t="shared" si="956"/>
        <v>0</v>
      </c>
      <c r="AI110" s="781">
        <f t="shared" si="956"/>
        <v>0</v>
      </c>
      <c r="AJ110" s="781">
        <f t="shared" si="956"/>
        <v>0</v>
      </c>
      <c r="AK110" s="711" t="str">
        <f t="shared" ref="AK110:AZ110" si="957">AK53</f>
        <v>Electric</v>
      </c>
      <c r="AL110" s="711" t="str">
        <f t="shared" si="957"/>
        <v>Commercial</v>
      </c>
      <c r="AM110" s="711" t="str">
        <f t="shared" si="957"/>
        <v>Large Office</v>
      </c>
      <c r="AN110" s="711" t="str">
        <f t="shared" si="957"/>
        <v>Lighting</v>
      </c>
      <c r="AO110" s="711" t="str">
        <f t="shared" si="957"/>
        <v>Existing</v>
      </c>
      <c r="AP110" s="711">
        <f t="shared" si="957"/>
        <v>0</v>
      </c>
      <c r="AQ110" s="711">
        <f t="shared" si="957"/>
        <v>0</v>
      </c>
      <c r="AR110" s="711">
        <f t="shared" si="957"/>
        <v>0</v>
      </c>
      <c r="AS110" s="711" t="str">
        <f t="shared" si="957"/>
        <v>OFFLGInLight</v>
      </c>
      <c r="AT110" s="715" t="s">
        <v>745</v>
      </c>
      <c r="AU110" s="1065" t="s">
        <v>771</v>
      </c>
      <c r="AV110" s="711">
        <f t="shared" si="957"/>
        <v>12</v>
      </c>
      <c r="AW110" s="711">
        <f t="shared" si="957"/>
        <v>3</v>
      </c>
      <c r="AX110" s="711" t="s">
        <v>1485</v>
      </c>
      <c r="AY110" s="711">
        <f t="shared" si="957"/>
        <v>1</v>
      </c>
      <c r="AZ110" s="711">
        <f t="shared" si="957"/>
        <v>1</v>
      </c>
      <c r="BA110" s="1066">
        <f t="shared" si="823"/>
        <v>0</v>
      </c>
      <c r="BB110" s="721">
        <f t="shared" si="493"/>
        <v>36</v>
      </c>
      <c r="BC110" s="499">
        <f t="shared" si="494"/>
        <v>36</v>
      </c>
      <c r="BD110" s="499">
        <f t="shared" si="495"/>
        <v>36</v>
      </c>
      <c r="BE110" s="499">
        <f t="shared" si="496"/>
        <v>36</v>
      </c>
      <c r="BF110" s="499">
        <f t="shared" si="497"/>
        <v>36</v>
      </c>
      <c r="BG110" s="499">
        <f t="shared" si="498"/>
        <v>36</v>
      </c>
      <c r="BH110" s="499">
        <f t="shared" si="499"/>
        <v>36</v>
      </c>
      <c r="BI110" s="721">
        <f t="shared" si="788"/>
        <v>0</v>
      </c>
      <c r="BJ110" s="499">
        <f t="shared" ref="BJ110:BM110" si="958">BI110</f>
        <v>0</v>
      </c>
      <c r="BK110" s="499">
        <f t="shared" si="958"/>
        <v>0</v>
      </c>
      <c r="BL110" s="499">
        <f t="shared" si="958"/>
        <v>0</v>
      </c>
      <c r="BM110" s="499">
        <f t="shared" si="958"/>
        <v>0</v>
      </c>
      <c r="BN110" s="499">
        <f t="shared" si="501"/>
        <v>0</v>
      </c>
      <c r="BO110" s="499">
        <f t="shared" si="502"/>
        <v>0</v>
      </c>
      <c r="BP110" s="721">
        <f t="shared" si="790"/>
        <v>5</v>
      </c>
      <c r="BQ110" s="499">
        <f t="shared" si="791"/>
        <v>5</v>
      </c>
      <c r="BR110" s="499">
        <f t="shared" si="503"/>
        <v>5</v>
      </c>
      <c r="BS110" s="499">
        <f t="shared" si="504"/>
        <v>5</v>
      </c>
      <c r="BT110" s="499">
        <f t="shared" si="505"/>
        <v>5</v>
      </c>
      <c r="BU110" s="499">
        <f t="shared" si="506"/>
        <v>5</v>
      </c>
      <c r="BV110" s="499">
        <f t="shared" si="507"/>
        <v>5</v>
      </c>
      <c r="BW110" s="774">
        <f t="shared" si="802"/>
        <v>0</v>
      </c>
      <c r="BX110" s="503">
        <f t="shared" si="802"/>
        <v>0</v>
      </c>
      <c r="BY110" s="503">
        <f t="shared" si="802"/>
        <v>0</v>
      </c>
      <c r="BZ110" s="503">
        <f t="shared" si="802"/>
        <v>0</v>
      </c>
      <c r="CA110" s="503">
        <f t="shared" si="802"/>
        <v>0</v>
      </c>
      <c r="CB110" s="503">
        <f t="shared" si="802"/>
        <v>0</v>
      </c>
      <c r="CC110" s="503">
        <f t="shared" si="802"/>
        <v>0</v>
      </c>
      <c r="CD110" s="722">
        <f t="shared" si="792"/>
        <v>167.1274142799152</v>
      </c>
      <c r="CE110" s="511">
        <f t="shared" ref="CE110:CH110" si="959">CD110</f>
        <v>167.1274142799152</v>
      </c>
      <c r="CF110" s="511">
        <f t="shared" si="959"/>
        <v>167.1274142799152</v>
      </c>
      <c r="CG110" s="511">
        <f t="shared" si="959"/>
        <v>167.1274142799152</v>
      </c>
      <c r="CH110" s="511">
        <f t="shared" si="959"/>
        <v>167.1274142799152</v>
      </c>
      <c r="CI110" s="511">
        <f t="shared" si="510"/>
        <v>167.1274142799152</v>
      </c>
      <c r="CJ110" s="511">
        <f t="shared" si="511"/>
        <v>167.1274142799152</v>
      </c>
      <c r="CK110" s="722">
        <f t="shared" si="794"/>
        <v>3.8547530882739774E-2</v>
      </c>
      <c r="CL110" s="511">
        <f t="shared" ref="CL110:CO110" si="960">CK110</f>
        <v>3.8547530882739774E-2</v>
      </c>
      <c r="CM110" s="511">
        <f t="shared" si="960"/>
        <v>3.8547530882739774E-2</v>
      </c>
      <c r="CN110" s="511">
        <f t="shared" si="960"/>
        <v>3.8547530882739774E-2</v>
      </c>
      <c r="CO110" s="511">
        <f t="shared" si="960"/>
        <v>3.8547530882739774E-2</v>
      </c>
      <c r="CP110" s="511">
        <f t="shared" si="513"/>
        <v>3.8547530882739774E-2</v>
      </c>
      <c r="CQ110" s="511">
        <f t="shared" si="514"/>
        <v>3.8547530882739774E-2</v>
      </c>
      <c r="CR110" s="722">
        <f t="shared" si="796"/>
        <v>0</v>
      </c>
      <c r="CS110" s="511">
        <f t="shared" ref="CS110:CV110" si="961">CR110</f>
        <v>0</v>
      </c>
      <c r="CT110" s="511">
        <f t="shared" si="961"/>
        <v>0</v>
      </c>
      <c r="CU110" s="511">
        <f t="shared" si="961"/>
        <v>0</v>
      </c>
      <c r="CV110" s="511">
        <f t="shared" si="961"/>
        <v>0</v>
      </c>
      <c r="CW110" s="511">
        <f t="shared" si="516"/>
        <v>0</v>
      </c>
      <c r="CX110" s="539">
        <f t="shared" si="517"/>
        <v>0</v>
      </c>
      <c r="CY110" s="724">
        <f t="shared" si="849"/>
        <v>265158</v>
      </c>
      <c r="CZ110" s="508">
        <f t="shared" si="850"/>
        <v>265158</v>
      </c>
      <c r="DA110" s="508">
        <f t="shared" si="851"/>
        <v>63637.920000000013</v>
      </c>
      <c r="DB110" s="508">
        <f t="shared" si="852"/>
        <v>0</v>
      </c>
      <c r="DC110" s="508">
        <f t="shared" si="853"/>
        <v>0</v>
      </c>
      <c r="DD110" s="508">
        <f t="shared" si="854"/>
        <v>0</v>
      </c>
      <c r="DE110" s="726">
        <f t="shared" si="855"/>
        <v>0</v>
      </c>
      <c r="DF110" s="724">
        <f t="shared" si="856"/>
        <v>0</v>
      </c>
      <c r="DG110" s="509">
        <f t="shared" si="857"/>
        <v>0</v>
      </c>
      <c r="DH110" s="509">
        <f t="shared" si="858"/>
        <v>0</v>
      </c>
      <c r="DI110" s="509">
        <f t="shared" si="859"/>
        <v>0</v>
      </c>
      <c r="DJ110" s="509">
        <f t="shared" si="860"/>
        <v>0</v>
      </c>
      <c r="DK110" s="509">
        <f t="shared" si="861"/>
        <v>0</v>
      </c>
      <c r="DL110" s="451">
        <f t="shared" si="862"/>
        <v>0</v>
      </c>
      <c r="DM110" s="509">
        <f t="shared" si="863"/>
        <v>36827.5</v>
      </c>
      <c r="DN110" s="509">
        <f t="shared" si="864"/>
        <v>36827.5</v>
      </c>
      <c r="DO110" s="509">
        <f t="shared" si="865"/>
        <v>8838.6000000000022</v>
      </c>
      <c r="DP110" s="509">
        <f t="shared" si="866"/>
        <v>0</v>
      </c>
      <c r="DQ110" s="509">
        <f t="shared" si="867"/>
        <v>0</v>
      </c>
      <c r="DR110" s="509">
        <f t="shared" si="868"/>
        <v>0</v>
      </c>
      <c r="DS110" s="450">
        <f t="shared" si="869"/>
        <v>0</v>
      </c>
      <c r="DT110" s="724">
        <f t="shared" si="870"/>
        <v>0</v>
      </c>
      <c r="DU110" s="508">
        <f t="shared" si="871"/>
        <v>0</v>
      </c>
      <c r="DV110" s="508">
        <f t="shared" si="872"/>
        <v>0</v>
      </c>
      <c r="DW110" s="508">
        <f t="shared" si="873"/>
        <v>0</v>
      </c>
      <c r="DX110" s="508">
        <f t="shared" si="874"/>
        <v>0</v>
      </c>
      <c r="DY110" s="508">
        <f t="shared" si="875"/>
        <v>0</v>
      </c>
      <c r="DZ110" s="726">
        <f t="shared" si="876"/>
        <v>0</v>
      </c>
      <c r="EA110" s="722">
        <f t="shared" si="877"/>
        <v>1230976.9698787155</v>
      </c>
      <c r="EB110" s="511">
        <f t="shared" si="878"/>
        <v>1230976.9698787155</v>
      </c>
      <c r="EC110" s="511">
        <f t="shared" si="879"/>
        <v>295434.47277089173</v>
      </c>
      <c r="ED110" s="511">
        <f t="shared" si="880"/>
        <v>0</v>
      </c>
      <c r="EE110" s="511">
        <f t="shared" si="881"/>
        <v>0</v>
      </c>
      <c r="EF110" s="511">
        <f t="shared" si="882"/>
        <v>0</v>
      </c>
      <c r="EG110" s="723">
        <f t="shared" si="883"/>
        <v>0</v>
      </c>
      <c r="EH110" s="397">
        <f t="shared" si="884"/>
        <v>283.92183871681982</v>
      </c>
      <c r="EI110" s="397">
        <f t="shared" si="885"/>
        <v>283.92183871681982</v>
      </c>
      <c r="EJ110" s="397">
        <f t="shared" si="886"/>
        <v>68.141241292036767</v>
      </c>
      <c r="EK110" s="397">
        <f t="shared" si="887"/>
        <v>0</v>
      </c>
      <c r="EL110" s="397">
        <f t="shared" si="888"/>
        <v>0</v>
      </c>
      <c r="EM110" s="397">
        <f t="shared" si="889"/>
        <v>0</v>
      </c>
      <c r="EN110" s="398">
        <f t="shared" si="890"/>
        <v>0</v>
      </c>
      <c r="EO110" s="722">
        <f t="shared" si="891"/>
        <v>0</v>
      </c>
      <c r="EP110" s="511">
        <f t="shared" si="892"/>
        <v>0</v>
      </c>
      <c r="EQ110" s="511">
        <f t="shared" si="893"/>
        <v>0</v>
      </c>
      <c r="ER110" s="511">
        <f t="shared" si="894"/>
        <v>0</v>
      </c>
      <c r="ES110" s="511">
        <f t="shared" si="895"/>
        <v>0</v>
      </c>
      <c r="ET110" s="511">
        <f t="shared" si="896"/>
        <v>0</v>
      </c>
      <c r="EU110" s="723">
        <f t="shared" si="897"/>
        <v>0</v>
      </c>
      <c r="EV110" s="727">
        <f t="shared" si="898"/>
        <v>16498.72</v>
      </c>
      <c r="EW110" s="728">
        <f t="shared" si="899"/>
        <v>593953.92000000004</v>
      </c>
      <c r="EX110" s="728">
        <f t="shared" si="900"/>
        <v>0</v>
      </c>
      <c r="EY110" s="728">
        <f t="shared" si="901"/>
        <v>82493.600000000006</v>
      </c>
      <c r="EZ110" s="728">
        <f t="shared" si="902"/>
        <v>0</v>
      </c>
      <c r="FA110" s="777">
        <f t="shared" si="903"/>
        <v>2757388.4125283225</v>
      </c>
      <c r="FB110" s="777">
        <f t="shared" si="904"/>
        <v>635.98491872567638</v>
      </c>
      <c r="FC110" s="778">
        <f t="shared" si="905"/>
        <v>0</v>
      </c>
    </row>
    <row r="111" spans="1:162" s="10" customFormat="1" ht="12.5">
      <c r="A111" s="662" t="s">
        <v>233</v>
      </c>
      <c r="B111" s="789" t="s">
        <v>1403</v>
      </c>
      <c r="C111" s="789" t="str">
        <f t="shared" ref="C111:W111" si="962">C54</f>
        <v>Any LED lamps or ballasts must also be ENERGY STAR® certified or listed on the Design Lights Consortium (DLC) qualified list.</v>
      </c>
      <c r="D111" s="789" t="str">
        <f t="shared" si="962"/>
        <v>Baseline Recessed, Surface, Pendant Downlights; Baseline Track Lighting; 4 ft F32T8 Standard Lamp; 4 ft F32T8/HO Standard Lamp; 1-, 2-, or 3-lamp 32w T8</v>
      </c>
      <c r="E111" s="789" t="str">
        <f t="shared" si="962"/>
        <v>n/a</v>
      </c>
      <c r="F111" s="789" t="str">
        <f t="shared" si="962"/>
        <v>Per Unit</v>
      </c>
      <c r="G111" s="704" t="str">
        <f t="shared" si="962"/>
        <v>Incremental Cost</v>
      </c>
      <c r="H111" s="704">
        <f t="shared" si="962"/>
        <v>36.285714285714285</v>
      </c>
      <c r="I111" s="704">
        <f t="shared" si="962"/>
        <v>0</v>
      </c>
      <c r="J111" s="704">
        <f t="shared" si="962"/>
        <v>36.285714285714285</v>
      </c>
      <c r="K111" s="704">
        <f t="shared" si="962"/>
        <v>0</v>
      </c>
      <c r="L111" s="704">
        <f t="shared" si="962"/>
        <v>18.142857142857142</v>
      </c>
      <c r="M111" s="881" t="str">
        <f t="shared" si="962"/>
        <v>Costs estimated from IL TRM v10: "4.5.4 LED Bulbs and Fixtures;" LED Downlight Fixtures, LED Interior Directional, LED Linear Replacement Lamps, and LED Linear Ambient Fixtures</v>
      </c>
      <c r="N111" s="704">
        <f t="shared" si="962"/>
        <v>5</v>
      </c>
      <c r="O111" s="704">
        <f t="shared" si="962"/>
        <v>5</v>
      </c>
      <c r="P111" s="704">
        <f t="shared" si="962"/>
        <v>0</v>
      </c>
      <c r="Q111" s="704">
        <f t="shared" si="962"/>
        <v>0</v>
      </c>
      <c r="R111" s="1021">
        <f t="shared" si="962"/>
        <v>129.12008590645323</v>
      </c>
      <c r="S111" s="872">
        <f t="shared" si="962"/>
        <v>6.2447295814748824E-2</v>
      </c>
      <c r="T111" s="1022">
        <f t="shared" si="962"/>
        <v>0</v>
      </c>
      <c r="U111" s="711" t="str">
        <f t="shared" si="962"/>
        <v>LG&amp;E/KU Commercial Rebates Report - Appendix A</v>
      </c>
      <c r="V111" s="716">
        <f t="shared" si="962"/>
        <v>0</v>
      </c>
      <c r="W111" s="711">
        <f t="shared" si="962"/>
        <v>1</v>
      </c>
      <c r="X111" s="781">
        <f t="shared" ref="X111:AJ111" si="963">X54/2</f>
        <v>0</v>
      </c>
      <c r="Y111" s="781">
        <f t="shared" si="963"/>
        <v>129481.5</v>
      </c>
      <c r="Z111" s="781">
        <f t="shared" si="963"/>
        <v>116329</v>
      </c>
      <c r="AA111" s="781">
        <f t="shared" si="963"/>
        <v>98232</v>
      </c>
      <c r="AB111" s="781">
        <f t="shared" si="963"/>
        <v>98232</v>
      </c>
      <c r="AC111" s="781">
        <f t="shared" si="963"/>
        <v>98232</v>
      </c>
      <c r="AD111" s="781">
        <f t="shared" si="963"/>
        <v>98232</v>
      </c>
      <c r="AE111" s="781">
        <f t="shared" si="963"/>
        <v>98232</v>
      </c>
      <c r="AF111" s="781">
        <f t="shared" si="963"/>
        <v>23575.68</v>
      </c>
      <c r="AG111" s="781">
        <f t="shared" si="963"/>
        <v>0</v>
      </c>
      <c r="AH111" s="781">
        <f t="shared" si="963"/>
        <v>0</v>
      </c>
      <c r="AI111" s="781">
        <f t="shared" si="963"/>
        <v>0</v>
      </c>
      <c r="AJ111" s="781">
        <f t="shared" si="963"/>
        <v>0</v>
      </c>
      <c r="AK111" s="711" t="str">
        <f t="shared" ref="AK111:AZ111" si="964">AK54</f>
        <v>Electric</v>
      </c>
      <c r="AL111" s="711" t="str">
        <f t="shared" si="964"/>
        <v>Commercial</v>
      </c>
      <c r="AM111" s="711" t="str">
        <f t="shared" si="964"/>
        <v>Large Office</v>
      </c>
      <c r="AN111" s="711" t="str">
        <f t="shared" si="964"/>
        <v>Lighting</v>
      </c>
      <c r="AO111" s="711" t="str">
        <f t="shared" si="964"/>
        <v>Existing</v>
      </c>
      <c r="AP111" s="711">
        <f t="shared" si="964"/>
        <v>0</v>
      </c>
      <c r="AQ111" s="711">
        <f t="shared" si="964"/>
        <v>0</v>
      </c>
      <c r="AR111" s="711">
        <f t="shared" si="964"/>
        <v>0</v>
      </c>
      <c r="AS111" s="711" t="str">
        <f t="shared" si="964"/>
        <v>OFFLGInLight</v>
      </c>
      <c r="AT111" s="715" t="s">
        <v>745</v>
      </c>
      <c r="AU111" s="1065" t="s">
        <v>771</v>
      </c>
      <c r="AV111" s="711">
        <f t="shared" si="964"/>
        <v>12</v>
      </c>
      <c r="AW111" s="711">
        <f t="shared" si="964"/>
        <v>3</v>
      </c>
      <c r="AX111" s="711" t="s">
        <v>1485</v>
      </c>
      <c r="AY111" s="711">
        <f t="shared" si="964"/>
        <v>1</v>
      </c>
      <c r="AZ111" s="711">
        <f t="shared" si="964"/>
        <v>1</v>
      </c>
      <c r="BA111" s="1066">
        <f t="shared" si="823"/>
        <v>0</v>
      </c>
      <c r="BB111" s="721">
        <f t="shared" si="493"/>
        <v>36.285714285714285</v>
      </c>
      <c r="BC111" s="499">
        <f t="shared" si="494"/>
        <v>36.285714285714285</v>
      </c>
      <c r="BD111" s="499">
        <f t="shared" si="495"/>
        <v>36.285714285714285</v>
      </c>
      <c r="BE111" s="499">
        <f t="shared" si="496"/>
        <v>36.285714285714285</v>
      </c>
      <c r="BF111" s="499">
        <f t="shared" si="497"/>
        <v>36.285714285714285</v>
      </c>
      <c r="BG111" s="499">
        <f t="shared" si="498"/>
        <v>36.285714285714285</v>
      </c>
      <c r="BH111" s="499">
        <f t="shared" si="499"/>
        <v>36.285714285714285</v>
      </c>
      <c r="BI111" s="721">
        <f t="shared" si="788"/>
        <v>0</v>
      </c>
      <c r="BJ111" s="499">
        <f t="shared" ref="BJ111:BM111" si="965">BI111</f>
        <v>0</v>
      </c>
      <c r="BK111" s="499">
        <f t="shared" si="965"/>
        <v>0</v>
      </c>
      <c r="BL111" s="499">
        <f t="shared" si="965"/>
        <v>0</v>
      </c>
      <c r="BM111" s="499">
        <f t="shared" si="965"/>
        <v>0</v>
      </c>
      <c r="BN111" s="499">
        <f t="shared" si="501"/>
        <v>0</v>
      </c>
      <c r="BO111" s="499">
        <f t="shared" si="502"/>
        <v>0</v>
      </c>
      <c r="BP111" s="721">
        <f t="shared" si="790"/>
        <v>5</v>
      </c>
      <c r="BQ111" s="499">
        <f t="shared" si="791"/>
        <v>5</v>
      </c>
      <c r="BR111" s="499">
        <f t="shared" si="503"/>
        <v>5</v>
      </c>
      <c r="BS111" s="499">
        <f t="shared" si="504"/>
        <v>5</v>
      </c>
      <c r="BT111" s="499">
        <f t="shared" si="505"/>
        <v>5</v>
      </c>
      <c r="BU111" s="499">
        <f t="shared" si="506"/>
        <v>5</v>
      </c>
      <c r="BV111" s="499">
        <f t="shared" si="507"/>
        <v>5</v>
      </c>
      <c r="BW111" s="774">
        <f t="shared" si="802"/>
        <v>0</v>
      </c>
      <c r="BX111" s="503">
        <f t="shared" si="802"/>
        <v>0</v>
      </c>
      <c r="BY111" s="503">
        <f t="shared" si="802"/>
        <v>0</v>
      </c>
      <c r="BZ111" s="503">
        <f t="shared" si="802"/>
        <v>0</v>
      </c>
      <c r="CA111" s="503">
        <f t="shared" si="802"/>
        <v>0</v>
      </c>
      <c r="CB111" s="503">
        <f t="shared" si="802"/>
        <v>0</v>
      </c>
      <c r="CC111" s="503">
        <f t="shared" si="802"/>
        <v>0</v>
      </c>
      <c r="CD111" s="722">
        <f t="shared" si="792"/>
        <v>129.12008590645323</v>
      </c>
      <c r="CE111" s="511">
        <f t="shared" ref="CE111:CH111" si="966">CD111</f>
        <v>129.12008590645323</v>
      </c>
      <c r="CF111" s="511">
        <f t="shared" si="966"/>
        <v>129.12008590645323</v>
      </c>
      <c r="CG111" s="511">
        <f t="shared" si="966"/>
        <v>129.12008590645323</v>
      </c>
      <c r="CH111" s="511">
        <f t="shared" si="966"/>
        <v>129.12008590645323</v>
      </c>
      <c r="CI111" s="511">
        <f t="shared" si="510"/>
        <v>129.12008590645323</v>
      </c>
      <c r="CJ111" s="511">
        <f t="shared" si="511"/>
        <v>129.12008590645323</v>
      </c>
      <c r="CK111" s="722">
        <f t="shared" si="794"/>
        <v>6.2447295814748824E-2</v>
      </c>
      <c r="CL111" s="511">
        <f t="shared" ref="CL111:CO111" si="967">CK111</f>
        <v>6.2447295814748824E-2</v>
      </c>
      <c r="CM111" s="511">
        <f t="shared" si="967"/>
        <v>6.2447295814748824E-2</v>
      </c>
      <c r="CN111" s="511">
        <f t="shared" si="967"/>
        <v>6.2447295814748824E-2</v>
      </c>
      <c r="CO111" s="511">
        <f t="shared" si="967"/>
        <v>6.2447295814748824E-2</v>
      </c>
      <c r="CP111" s="511">
        <f t="shared" si="513"/>
        <v>6.2447295814748824E-2</v>
      </c>
      <c r="CQ111" s="511">
        <f t="shared" si="514"/>
        <v>6.2447295814748824E-2</v>
      </c>
      <c r="CR111" s="722">
        <f t="shared" si="796"/>
        <v>0</v>
      </c>
      <c r="CS111" s="511">
        <f t="shared" ref="CS111:CV111" si="968">CR111</f>
        <v>0</v>
      </c>
      <c r="CT111" s="511">
        <f t="shared" si="968"/>
        <v>0</v>
      </c>
      <c r="CU111" s="511">
        <f t="shared" si="968"/>
        <v>0</v>
      </c>
      <c r="CV111" s="511">
        <f t="shared" si="968"/>
        <v>0</v>
      </c>
      <c r="CW111" s="511">
        <f t="shared" si="516"/>
        <v>0</v>
      </c>
      <c r="CX111" s="539">
        <f t="shared" si="517"/>
        <v>0</v>
      </c>
      <c r="CY111" s="724">
        <f t="shared" si="849"/>
        <v>3564418.2857142854</v>
      </c>
      <c r="CZ111" s="508">
        <f t="shared" si="850"/>
        <v>3564418.2857142854</v>
      </c>
      <c r="DA111" s="508">
        <f t="shared" si="851"/>
        <v>855460.3885714286</v>
      </c>
      <c r="DB111" s="508">
        <f t="shared" si="852"/>
        <v>0</v>
      </c>
      <c r="DC111" s="508">
        <f t="shared" si="853"/>
        <v>0</v>
      </c>
      <c r="DD111" s="508">
        <f t="shared" si="854"/>
        <v>0</v>
      </c>
      <c r="DE111" s="726">
        <f t="shared" si="855"/>
        <v>0</v>
      </c>
      <c r="DF111" s="724">
        <f t="shared" si="856"/>
        <v>0</v>
      </c>
      <c r="DG111" s="509">
        <f t="shared" si="857"/>
        <v>0</v>
      </c>
      <c r="DH111" s="509">
        <f t="shared" si="858"/>
        <v>0</v>
      </c>
      <c r="DI111" s="509">
        <f t="shared" si="859"/>
        <v>0</v>
      </c>
      <c r="DJ111" s="509">
        <f t="shared" si="860"/>
        <v>0</v>
      </c>
      <c r="DK111" s="509">
        <f t="shared" si="861"/>
        <v>0</v>
      </c>
      <c r="DL111" s="451">
        <f t="shared" si="862"/>
        <v>0</v>
      </c>
      <c r="DM111" s="509">
        <f t="shared" si="863"/>
        <v>491160</v>
      </c>
      <c r="DN111" s="509">
        <f t="shared" si="864"/>
        <v>491160</v>
      </c>
      <c r="DO111" s="509">
        <f t="shared" si="865"/>
        <v>117878.39999999999</v>
      </c>
      <c r="DP111" s="509">
        <f t="shared" si="866"/>
        <v>0</v>
      </c>
      <c r="DQ111" s="509">
        <f t="shared" si="867"/>
        <v>0</v>
      </c>
      <c r="DR111" s="509">
        <f t="shared" si="868"/>
        <v>0</v>
      </c>
      <c r="DS111" s="450">
        <f t="shared" si="869"/>
        <v>0</v>
      </c>
      <c r="DT111" s="724">
        <f t="shared" si="870"/>
        <v>0</v>
      </c>
      <c r="DU111" s="508">
        <f t="shared" si="871"/>
        <v>0</v>
      </c>
      <c r="DV111" s="508">
        <f t="shared" si="872"/>
        <v>0</v>
      </c>
      <c r="DW111" s="508">
        <f t="shared" si="873"/>
        <v>0</v>
      </c>
      <c r="DX111" s="508">
        <f t="shared" si="874"/>
        <v>0</v>
      </c>
      <c r="DY111" s="508">
        <f t="shared" si="875"/>
        <v>0</v>
      </c>
      <c r="DZ111" s="726">
        <f t="shared" si="876"/>
        <v>0</v>
      </c>
      <c r="EA111" s="722">
        <f t="shared" si="877"/>
        <v>12683724.278762713</v>
      </c>
      <c r="EB111" s="511">
        <f t="shared" si="878"/>
        <v>12683724.278762713</v>
      </c>
      <c r="EC111" s="511">
        <f t="shared" si="879"/>
        <v>3044093.8269030512</v>
      </c>
      <c r="ED111" s="511">
        <f t="shared" si="880"/>
        <v>0</v>
      </c>
      <c r="EE111" s="511">
        <f t="shared" si="881"/>
        <v>0</v>
      </c>
      <c r="EF111" s="511">
        <f t="shared" si="882"/>
        <v>0</v>
      </c>
      <c r="EG111" s="723">
        <f t="shared" si="883"/>
        <v>0</v>
      </c>
      <c r="EH111" s="397">
        <f t="shared" si="884"/>
        <v>6134.3227624744068</v>
      </c>
      <c r="EI111" s="397">
        <f t="shared" si="885"/>
        <v>6134.3227624744068</v>
      </c>
      <c r="EJ111" s="397">
        <f t="shared" si="886"/>
        <v>1472.2374629938577</v>
      </c>
      <c r="EK111" s="397">
        <f t="shared" si="887"/>
        <v>0</v>
      </c>
      <c r="EL111" s="397">
        <f t="shared" si="888"/>
        <v>0</v>
      </c>
      <c r="EM111" s="397">
        <f t="shared" si="889"/>
        <v>0</v>
      </c>
      <c r="EN111" s="398">
        <f t="shared" si="890"/>
        <v>0</v>
      </c>
      <c r="EO111" s="722">
        <f t="shared" si="891"/>
        <v>0</v>
      </c>
      <c r="EP111" s="511">
        <f t="shared" si="892"/>
        <v>0</v>
      </c>
      <c r="EQ111" s="511">
        <f t="shared" si="893"/>
        <v>0</v>
      </c>
      <c r="ER111" s="511">
        <f t="shared" si="894"/>
        <v>0</v>
      </c>
      <c r="ES111" s="511">
        <f t="shared" si="895"/>
        <v>0</v>
      </c>
      <c r="ET111" s="511">
        <f t="shared" si="896"/>
        <v>0</v>
      </c>
      <c r="EU111" s="723">
        <f t="shared" si="897"/>
        <v>0</v>
      </c>
      <c r="EV111" s="727">
        <f t="shared" si="898"/>
        <v>220039.67999999999</v>
      </c>
      <c r="EW111" s="728">
        <f t="shared" si="899"/>
        <v>7984296.959999999</v>
      </c>
      <c r="EX111" s="728">
        <f t="shared" si="900"/>
        <v>0</v>
      </c>
      <c r="EY111" s="728">
        <f t="shared" si="901"/>
        <v>1100198.3999999999</v>
      </c>
      <c r="EZ111" s="728">
        <f t="shared" si="902"/>
        <v>0</v>
      </c>
      <c r="FA111" s="777">
        <f t="shared" si="903"/>
        <v>28411542.384428479</v>
      </c>
      <c r="FB111" s="777">
        <f t="shared" si="904"/>
        <v>13740.88298794267</v>
      </c>
      <c r="FC111" s="778">
        <f t="shared" si="905"/>
        <v>0</v>
      </c>
    </row>
    <row r="112" spans="1:162" s="10" customFormat="1" ht="12.5">
      <c r="A112" s="662" t="s">
        <v>234</v>
      </c>
      <c r="B112" s="789" t="s">
        <v>1404</v>
      </c>
      <c r="C112" s="789" t="str">
        <f t="shared" ref="C112:W112" si="969">C55</f>
        <v>Any LED lamps or ballasts must also be ENERGY STAR® certified or listed on the Design Lights Consortium (DLC) qualified list.</v>
      </c>
      <c r="D112" s="789" t="str">
        <f t="shared" si="969"/>
        <v>4 ft T5HO 2L-F54T5HO or T5HO 3L-F54T5HO</v>
      </c>
      <c r="E112" s="789" t="str">
        <f t="shared" si="969"/>
        <v>n/a</v>
      </c>
      <c r="F112" s="789" t="str">
        <f t="shared" si="969"/>
        <v>Per Unit</v>
      </c>
      <c r="G112" s="704" t="str">
        <f t="shared" si="969"/>
        <v>Incremental Cost</v>
      </c>
      <c r="H112" s="704">
        <f t="shared" si="969"/>
        <v>152</v>
      </c>
      <c r="I112" s="704">
        <f t="shared" si="969"/>
        <v>0</v>
      </c>
      <c r="J112" s="704">
        <f t="shared" si="969"/>
        <v>152</v>
      </c>
      <c r="K112" s="704">
        <f t="shared" si="969"/>
        <v>0</v>
      </c>
      <c r="L112" s="704">
        <f t="shared" si="969"/>
        <v>76</v>
      </c>
      <c r="M112" s="881" t="str">
        <f t="shared" si="969"/>
        <v>Costs estimated from IL TRM v10: "4.5.4 LED Bulbs and Fixtures;" LED Downlight Fixtures, LED Interior Directional, LED Linear Replacement Lamps, and LED Linear Ambient Fixtures</v>
      </c>
      <c r="N112" s="704">
        <f t="shared" si="969"/>
        <v>6</v>
      </c>
      <c r="O112" s="704">
        <f t="shared" si="969"/>
        <v>6</v>
      </c>
      <c r="P112" s="704">
        <f t="shared" si="969"/>
        <v>0</v>
      </c>
      <c r="Q112" s="704">
        <f t="shared" si="969"/>
        <v>0</v>
      </c>
      <c r="R112" s="1021">
        <f t="shared" si="969"/>
        <v>208.35125523884722</v>
      </c>
      <c r="S112" s="872">
        <f t="shared" si="969"/>
        <v>4.4388573704168037E-2</v>
      </c>
      <c r="T112" s="1022">
        <f t="shared" si="969"/>
        <v>0</v>
      </c>
      <c r="U112" s="711" t="str">
        <f t="shared" si="969"/>
        <v>LG&amp;E/KU Commercial Rebates Report - Appendix A</v>
      </c>
      <c r="V112" s="716">
        <f t="shared" si="969"/>
        <v>0</v>
      </c>
      <c r="W112" s="711">
        <f t="shared" si="969"/>
        <v>1</v>
      </c>
      <c r="X112" s="781">
        <f t="shared" ref="X112:AJ112" si="970">X55/2</f>
        <v>14810.5</v>
      </c>
      <c r="Y112" s="781">
        <f t="shared" si="970"/>
        <v>16109</v>
      </c>
      <c r="Z112" s="781">
        <f t="shared" si="970"/>
        <v>12611</v>
      </c>
      <c r="AA112" s="781">
        <f t="shared" si="970"/>
        <v>12185.142857142857</v>
      </c>
      <c r="AB112" s="781">
        <f t="shared" si="970"/>
        <v>12185.142857142857</v>
      </c>
      <c r="AC112" s="781">
        <f t="shared" si="970"/>
        <v>12185</v>
      </c>
      <c r="AD112" s="781">
        <f t="shared" si="970"/>
        <v>12185</v>
      </c>
      <c r="AE112" s="781">
        <f t="shared" si="970"/>
        <v>12185</v>
      </c>
      <c r="AF112" s="781">
        <f t="shared" si="970"/>
        <v>2924.4</v>
      </c>
      <c r="AG112" s="781">
        <f t="shared" si="970"/>
        <v>0</v>
      </c>
      <c r="AH112" s="781">
        <f t="shared" si="970"/>
        <v>0</v>
      </c>
      <c r="AI112" s="781">
        <f t="shared" si="970"/>
        <v>0</v>
      </c>
      <c r="AJ112" s="781">
        <f t="shared" si="970"/>
        <v>0</v>
      </c>
      <c r="AK112" s="711" t="str">
        <f t="shared" ref="AK112:AZ112" si="971">AK55</f>
        <v>Electric</v>
      </c>
      <c r="AL112" s="711" t="str">
        <f t="shared" si="971"/>
        <v>Commercial</v>
      </c>
      <c r="AM112" s="711" t="str">
        <f t="shared" si="971"/>
        <v>Large Office</v>
      </c>
      <c r="AN112" s="711" t="str">
        <f t="shared" si="971"/>
        <v>Lighting</v>
      </c>
      <c r="AO112" s="711" t="str">
        <f t="shared" si="971"/>
        <v>Existing</v>
      </c>
      <c r="AP112" s="711">
        <f t="shared" si="971"/>
        <v>0</v>
      </c>
      <c r="AQ112" s="711">
        <f t="shared" si="971"/>
        <v>0</v>
      </c>
      <c r="AR112" s="711">
        <f t="shared" si="971"/>
        <v>0</v>
      </c>
      <c r="AS112" s="711" t="str">
        <f t="shared" si="971"/>
        <v>OFFLGInLight</v>
      </c>
      <c r="AT112" s="715" t="s">
        <v>745</v>
      </c>
      <c r="AU112" s="1065" t="s">
        <v>771</v>
      </c>
      <c r="AV112" s="711">
        <f t="shared" si="971"/>
        <v>12</v>
      </c>
      <c r="AW112" s="711">
        <f t="shared" si="971"/>
        <v>3</v>
      </c>
      <c r="AX112" s="711" t="s">
        <v>1485</v>
      </c>
      <c r="AY112" s="711">
        <f t="shared" si="971"/>
        <v>1</v>
      </c>
      <c r="AZ112" s="711">
        <f t="shared" si="971"/>
        <v>1</v>
      </c>
      <c r="BA112" s="1066">
        <f t="shared" si="823"/>
        <v>0</v>
      </c>
      <c r="BB112" s="721">
        <f t="shared" si="493"/>
        <v>152</v>
      </c>
      <c r="BC112" s="499">
        <f t="shared" si="494"/>
        <v>152</v>
      </c>
      <c r="BD112" s="499">
        <f t="shared" si="495"/>
        <v>152</v>
      </c>
      <c r="BE112" s="499">
        <f t="shared" si="496"/>
        <v>152</v>
      </c>
      <c r="BF112" s="499">
        <f t="shared" si="497"/>
        <v>152</v>
      </c>
      <c r="BG112" s="499">
        <f t="shared" si="498"/>
        <v>152</v>
      </c>
      <c r="BH112" s="499">
        <f t="shared" si="499"/>
        <v>152</v>
      </c>
      <c r="BI112" s="721">
        <f t="shared" si="788"/>
        <v>0</v>
      </c>
      <c r="BJ112" s="499">
        <f t="shared" ref="BJ112:BM112" si="972">BI112</f>
        <v>0</v>
      </c>
      <c r="BK112" s="499">
        <f t="shared" si="972"/>
        <v>0</v>
      </c>
      <c r="BL112" s="499">
        <f t="shared" si="972"/>
        <v>0</v>
      </c>
      <c r="BM112" s="499">
        <f t="shared" si="972"/>
        <v>0</v>
      </c>
      <c r="BN112" s="499">
        <f t="shared" si="501"/>
        <v>0</v>
      </c>
      <c r="BO112" s="499">
        <f t="shared" si="502"/>
        <v>0</v>
      </c>
      <c r="BP112" s="721">
        <f t="shared" si="790"/>
        <v>6</v>
      </c>
      <c r="BQ112" s="499">
        <f t="shared" si="791"/>
        <v>6</v>
      </c>
      <c r="BR112" s="499">
        <f t="shared" si="503"/>
        <v>6</v>
      </c>
      <c r="BS112" s="499">
        <f t="shared" si="504"/>
        <v>6</v>
      </c>
      <c r="BT112" s="499">
        <f t="shared" si="505"/>
        <v>6</v>
      </c>
      <c r="BU112" s="499">
        <f t="shared" si="506"/>
        <v>6</v>
      </c>
      <c r="BV112" s="499">
        <f t="shared" si="507"/>
        <v>6</v>
      </c>
      <c r="BW112" s="774">
        <f t="shared" si="802"/>
        <v>0</v>
      </c>
      <c r="BX112" s="503">
        <f t="shared" si="802"/>
        <v>0</v>
      </c>
      <c r="BY112" s="503">
        <f t="shared" si="802"/>
        <v>0</v>
      </c>
      <c r="BZ112" s="503">
        <f t="shared" si="802"/>
        <v>0</v>
      </c>
      <c r="CA112" s="503">
        <f t="shared" si="802"/>
        <v>0</v>
      </c>
      <c r="CB112" s="503">
        <f t="shared" si="802"/>
        <v>0</v>
      </c>
      <c r="CC112" s="503">
        <f t="shared" si="802"/>
        <v>0</v>
      </c>
      <c r="CD112" s="722">
        <f t="shared" si="792"/>
        <v>208.35125523884722</v>
      </c>
      <c r="CE112" s="511">
        <f t="shared" ref="CE112:CH112" si="973">CD112</f>
        <v>208.35125523884722</v>
      </c>
      <c r="CF112" s="511">
        <f t="shared" si="973"/>
        <v>208.35125523884722</v>
      </c>
      <c r="CG112" s="511">
        <f t="shared" si="973"/>
        <v>208.35125523884722</v>
      </c>
      <c r="CH112" s="511">
        <f t="shared" si="973"/>
        <v>208.35125523884722</v>
      </c>
      <c r="CI112" s="511">
        <f t="shared" si="510"/>
        <v>208.35125523884722</v>
      </c>
      <c r="CJ112" s="511">
        <f t="shared" si="511"/>
        <v>208.35125523884722</v>
      </c>
      <c r="CK112" s="722">
        <f t="shared" si="794"/>
        <v>4.4388573704168037E-2</v>
      </c>
      <c r="CL112" s="511">
        <f t="shared" ref="CL112:CO112" si="974">CK112</f>
        <v>4.4388573704168037E-2</v>
      </c>
      <c r="CM112" s="511">
        <f t="shared" si="974"/>
        <v>4.4388573704168037E-2</v>
      </c>
      <c r="CN112" s="511">
        <f t="shared" si="974"/>
        <v>4.4388573704168037E-2</v>
      </c>
      <c r="CO112" s="511">
        <f t="shared" si="974"/>
        <v>4.4388573704168037E-2</v>
      </c>
      <c r="CP112" s="511">
        <f t="shared" si="513"/>
        <v>4.4388573704168037E-2</v>
      </c>
      <c r="CQ112" s="511">
        <f t="shared" si="514"/>
        <v>4.4388573704168037E-2</v>
      </c>
      <c r="CR112" s="722">
        <f t="shared" si="796"/>
        <v>0</v>
      </c>
      <c r="CS112" s="511">
        <f t="shared" ref="CS112:CV112" si="975">CR112</f>
        <v>0</v>
      </c>
      <c r="CT112" s="511">
        <f t="shared" si="975"/>
        <v>0</v>
      </c>
      <c r="CU112" s="511">
        <f t="shared" si="975"/>
        <v>0</v>
      </c>
      <c r="CV112" s="511">
        <f t="shared" si="975"/>
        <v>0</v>
      </c>
      <c r="CW112" s="511">
        <f t="shared" si="516"/>
        <v>0</v>
      </c>
      <c r="CX112" s="539">
        <f t="shared" si="517"/>
        <v>0</v>
      </c>
      <c r="CY112" s="724">
        <f t="shared" si="849"/>
        <v>1852120</v>
      </c>
      <c r="CZ112" s="508">
        <f t="shared" si="850"/>
        <v>1852120</v>
      </c>
      <c r="DA112" s="508">
        <f t="shared" si="851"/>
        <v>444508.8</v>
      </c>
      <c r="DB112" s="508">
        <f t="shared" si="852"/>
        <v>0</v>
      </c>
      <c r="DC112" s="508">
        <f t="shared" si="853"/>
        <v>0</v>
      </c>
      <c r="DD112" s="508">
        <f t="shared" si="854"/>
        <v>0</v>
      </c>
      <c r="DE112" s="726">
        <f t="shared" si="855"/>
        <v>0</v>
      </c>
      <c r="DF112" s="724">
        <f t="shared" si="856"/>
        <v>0</v>
      </c>
      <c r="DG112" s="509">
        <f t="shared" si="857"/>
        <v>0</v>
      </c>
      <c r="DH112" s="509">
        <f t="shared" si="858"/>
        <v>0</v>
      </c>
      <c r="DI112" s="509">
        <f t="shared" si="859"/>
        <v>0</v>
      </c>
      <c r="DJ112" s="509">
        <f t="shared" si="860"/>
        <v>0</v>
      </c>
      <c r="DK112" s="509">
        <f t="shared" si="861"/>
        <v>0</v>
      </c>
      <c r="DL112" s="451">
        <f t="shared" si="862"/>
        <v>0</v>
      </c>
      <c r="DM112" s="509">
        <f t="shared" si="863"/>
        <v>73110</v>
      </c>
      <c r="DN112" s="509">
        <f t="shared" si="864"/>
        <v>73110</v>
      </c>
      <c r="DO112" s="509">
        <f t="shared" si="865"/>
        <v>17546.400000000001</v>
      </c>
      <c r="DP112" s="509">
        <f t="shared" si="866"/>
        <v>0</v>
      </c>
      <c r="DQ112" s="509">
        <f t="shared" si="867"/>
        <v>0</v>
      </c>
      <c r="DR112" s="509">
        <f t="shared" si="868"/>
        <v>0</v>
      </c>
      <c r="DS112" s="450">
        <f t="shared" si="869"/>
        <v>0</v>
      </c>
      <c r="DT112" s="724">
        <f t="shared" si="870"/>
        <v>0</v>
      </c>
      <c r="DU112" s="508">
        <f t="shared" si="871"/>
        <v>0</v>
      </c>
      <c r="DV112" s="508">
        <f t="shared" si="872"/>
        <v>0</v>
      </c>
      <c r="DW112" s="508">
        <f t="shared" si="873"/>
        <v>0</v>
      </c>
      <c r="DX112" s="508">
        <f t="shared" si="874"/>
        <v>0</v>
      </c>
      <c r="DY112" s="508">
        <f t="shared" si="875"/>
        <v>0</v>
      </c>
      <c r="DZ112" s="726">
        <f t="shared" si="876"/>
        <v>0</v>
      </c>
      <c r="EA112" s="722">
        <f t="shared" si="877"/>
        <v>2538760.0450853533</v>
      </c>
      <c r="EB112" s="511">
        <f t="shared" si="878"/>
        <v>2538760.0450853533</v>
      </c>
      <c r="EC112" s="511">
        <f t="shared" si="879"/>
        <v>609302.41082048486</v>
      </c>
      <c r="ED112" s="511">
        <f t="shared" si="880"/>
        <v>0</v>
      </c>
      <c r="EE112" s="511">
        <f t="shared" si="881"/>
        <v>0</v>
      </c>
      <c r="EF112" s="511">
        <f t="shared" si="882"/>
        <v>0</v>
      </c>
      <c r="EG112" s="723">
        <f t="shared" si="883"/>
        <v>0</v>
      </c>
      <c r="EH112" s="397">
        <f t="shared" si="884"/>
        <v>540.87477058528748</v>
      </c>
      <c r="EI112" s="397">
        <f t="shared" si="885"/>
        <v>540.87477058528748</v>
      </c>
      <c r="EJ112" s="397">
        <f t="shared" si="886"/>
        <v>129.80994494046902</v>
      </c>
      <c r="EK112" s="397">
        <f t="shared" si="887"/>
        <v>0</v>
      </c>
      <c r="EL112" s="397">
        <f t="shared" si="888"/>
        <v>0</v>
      </c>
      <c r="EM112" s="397">
        <f t="shared" si="889"/>
        <v>0</v>
      </c>
      <c r="EN112" s="398">
        <f t="shared" si="890"/>
        <v>0</v>
      </c>
      <c r="EO112" s="722">
        <f t="shared" si="891"/>
        <v>0</v>
      </c>
      <c r="EP112" s="511">
        <f t="shared" si="892"/>
        <v>0</v>
      </c>
      <c r="EQ112" s="511">
        <f t="shared" si="893"/>
        <v>0</v>
      </c>
      <c r="ER112" s="511">
        <f t="shared" si="894"/>
        <v>0</v>
      </c>
      <c r="ES112" s="511">
        <f t="shared" si="895"/>
        <v>0</v>
      </c>
      <c r="ET112" s="511">
        <f t="shared" si="896"/>
        <v>0</v>
      </c>
      <c r="EU112" s="723">
        <f t="shared" si="897"/>
        <v>0</v>
      </c>
      <c r="EV112" s="727">
        <f t="shared" si="898"/>
        <v>27294.400000000001</v>
      </c>
      <c r="EW112" s="728">
        <f t="shared" si="899"/>
        <v>4148748.8</v>
      </c>
      <c r="EX112" s="728">
        <f t="shared" si="900"/>
        <v>0</v>
      </c>
      <c r="EY112" s="728">
        <f t="shared" si="901"/>
        <v>163766.39999999999</v>
      </c>
      <c r="EZ112" s="728">
        <f t="shared" si="902"/>
        <v>0</v>
      </c>
      <c r="FA112" s="777">
        <f t="shared" si="903"/>
        <v>5686822.5009911917</v>
      </c>
      <c r="FB112" s="777">
        <f t="shared" si="904"/>
        <v>1211.559486111044</v>
      </c>
      <c r="FC112" s="778">
        <f t="shared" si="905"/>
        <v>0</v>
      </c>
    </row>
    <row r="113" spans="1:162" s="10" customFormat="1" ht="12.5">
      <c r="A113" s="662" t="s">
        <v>235</v>
      </c>
      <c r="B113" s="789" t="s">
        <v>1405</v>
      </c>
      <c r="C113" s="789" t="str">
        <f t="shared" ref="C113:W113" si="976">C56</f>
        <v>Any LED lamps or ballasts must also be ENERGY STAR® certified or listed on the Design Lights Consortium (DLC) qualified list.</v>
      </c>
      <c r="D113" s="789" t="str">
        <f t="shared" si="976"/>
        <v>Exterior flood or spot fixture with a high intensity discharge or PAR light-source</v>
      </c>
      <c r="E113" s="789" t="str">
        <f t="shared" si="976"/>
        <v>n/a</v>
      </c>
      <c r="F113" s="789" t="str">
        <f t="shared" si="976"/>
        <v>Per Unit</v>
      </c>
      <c r="G113" s="704" t="str">
        <f t="shared" si="976"/>
        <v>Incremental Cost</v>
      </c>
      <c r="H113" s="704">
        <f t="shared" si="976"/>
        <v>18.5</v>
      </c>
      <c r="I113" s="704">
        <f t="shared" si="976"/>
        <v>0</v>
      </c>
      <c r="J113" s="704">
        <f t="shared" si="976"/>
        <v>18.5</v>
      </c>
      <c r="K113" s="704">
        <f t="shared" si="976"/>
        <v>0</v>
      </c>
      <c r="L113" s="704">
        <f t="shared" si="976"/>
        <v>9.25</v>
      </c>
      <c r="M113" s="881" t="str">
        <f t="shared" si="976"/>
        <v>Average of all "Exterior LED Flood and Spot Luminaires" costs from Mid-Atlantic TRM</v>
      </c>
      <c r="N113" s="704">
        <f t="shared" si="976"/>
        <v>13</v>
      </c>
      <c r="O113" s="704">
        <f t="shared" si="976"/>
        <v>13</v>
      </c>
      <c r="P113" s="704">
        <f t="shared" si="976"/>
        <v>0</v>
      </c>
      <c r="Q113" s="704">
        <f t="shared" si="976"/>
        <v>0</v>
      </c>
      <c r="R113" s="1021">
        <f t="shared" si="976"/>
        <v>634.50473031189699</v>
      </c>
      <c r="S113" s="872">
        <f t="shared" si="976"/>
        <v>0</v>
      </c>
      <c r="T113" s="1022">
        <f t="shared" si="976"/>
        <v>0</v>
      </c>
      <c r="U113" s="711" t="str">
        <f t="shared" si="976"/>
        <v>LG&amp;E/KU Commercial Rebates Report - Appendix A</v>
      </c>
      <c r="V113" s="716">
        <f t="shared" si="976"/>
        <v>0</v>
      </c>
      <c r="W113" s="711">
        <f t="shared" si="976"/>
        <v>1</v>
      </c>
      <c r="X113" s="781">
        <f t="shared" ref="X113:AJ113" si="977">X56/2</f>
        <v>178033</v>
      </c>
      <c r="Y113" s="781">
        <f t="shared" si="977"/>
        <v>60822</v>
      </c>
      <c r="Z113" s="781">
        <f t="shared" si="977"/>
        <v>30900.5</v>
      </c>
      <c r="AA113" s="781">
        <f t="shared" si="977"/>
        <v>28446.857142857141</v>
      </c>
      <c r="AB113" s="781">
        <f t="shared" si="977"/>
        <v>28446.857142857141</v>
      </c>
      <c r="AC113" s="781">
        <f t="shared" si="977"/>
        <v>28447</v>
      </c>
      <c r="AD113" s="781">
        <f t="shared" si="977"/>
        <v>28447</v>
      </c>
      <c r="AE113" s="781">
        <f t="shared" si="977"/>
        <v>28447</v>
      </c>
      <c r="AF113" s="781">
        <f t="shared" si="977"/>
        <v>6827.2800000000007</v>
      </c>
      <c r="AG113" s="781">
        <f t="shared" si="977"/>
        <v>0</v>
      </c>
      <c r="AH113" s="781">
        <f t="shared" si="977"/>
        <v>0</v>
      </c>
      <c r="AI113" s="781">
        <f t="shared" si="977"/>
        <v>0</v>
      </c>
      <c r="AJ113" s="781">
        <f t="shared" si="977"/>
        <v>0</v>
      </c>
      <c r="AK113" s="711" t="str">
        <f t="shared" ref="AK113:AZ113" si="978">AK56</f>
        <v>Electric</v>
      </c>
      <c r="AL113" s="711" t="str">
        <f t="shared" si="978"/>
        <v>Commercial</v>
      </c>
      <c r="AM113" s="711" t="str">
        <f t="shared" si="978"/>
        <v>Large Office</v>
      </c>
      <c r="AN113" s="711" t="str">
        <f t="shared" si="978"/>
        <v>Lighting</v>
      </c>
      <c r="AO113" s="711" t="str">
        <f t="shared" si="978"/>
        <v>Existing</v>
      </c>
      <c r="AP113" s="711">
        <f t="shared" si="978"/>
        <v>0</v>
      </c>
      <c r="AQ113" s="711">
        <f t="shared" si="978"/>
        <v>0</v>
      </c>
      <c r="AR113" s="711">
        <f t="shared" si="978"/>
        <v>0</v>
      </c>
      <c r="AS113" s="711" t="str">
        <f t="shared" si="978"/>
        <v>OFFLGInLight</v>
      </c>
      <c r="AT113" s="715" t="s">
        <v>745</v>
      </c>
      <c r="AU113" s="1065" t="s">
        <v>771</v>
      </c>
      <c r="AV113" s="711">
        <f t="shared" si="978"/>
        <v>20</v>
      </c>
      <c r="AW113" s="711">
        <f t="shared" si="978"/>
        <v>15</v>
      </c>
      <c r="AX113" s="711" t="s">
        <v>1486</v>
      </c>
      <c r="AY113" s="711">
        <f t="shared" si="978"/>
        <v>1</v>
      </c>
      <c r="AZ113" s="711">
        <f t="shared" si="978"/>
        <v>1</v>
      </c>
      <c r="BA113" s="1066">
        <f t="shared" si="823"/>
        <v>0</v>
      </c>
      <c r="BB113" s="721">
        <f t="shared" si="493"/>
        <v>18.5</v>
      </c>
      <c r="BC113" s="499">
        <f t="shared" si="494"/>
        <v>18.5</v>
      </c>
      <c r="BD113" s="499">
        <f t="shared" si="495"/>
        <v>18.5</v>
      </c>
      <c r="BE113" s="499">
        <f t="shared" si="496"/>
        <v>18.5</v>
      </c>
      <c r="BF113" s="499">
        <f t="shared" si="497"/>
        <v>18.5</v>
      </c>
      <c r="BG113" s="499">
        <f t="shared" si="498"/>
        <v>18.5</v>
      </c>
      <c r="BH113" s="499">
        <f t="shared" si="499"/>
        <v>18.5</v>
      </c>
      <c r="BI113" s="721">
        <f t="shared" si="788"/>
        <v>0</v>
      </c>
      <c r="BJ113" s="499">
        <f t="shared" ref="BJ113:BM113" si="979">BI113</f>
        <v>0</v>
      </c>
      <c r="BK113" s="499">
        <f t="shared" si="979"/>
        <v>0</v>
      </c>
      <c r="BL113" s="499">
        <f t="shared" si="979"/>
        <v>0</v>
      </c>
      <c r="BM113" s="499">
        <f t="shared" si="979"/>
        <v>0</v>
      </c>
      <c r="BN113" s="499">
        <f t="shared" si="501"/>
        <v>0</v>
      </c>
      <c r="BO113" s="499">
        <f t="shared" si="502"/>
        <v>0</v>
      </c>
      <c r="BP113" s="721">
        <f t="shared" si="790"/>
        <v>13</v>
      </c>
      <c r="BQ113" s="499">
        <f t="shared" si="791"/>
        <v>13</v>
      </c>
      <c r="BR113" s="499">
        <f t="shared" si="503"/>
        <v>13</v>
      </c>
      <c r="BS113" s="499">
        <f t="shared" si="504"/>
        <v>13</v>
      </c>
      <c r="BT113" s="499">
        <f t="shared" si="505"/>
        <v>13</v>
      </c>
      <c r="BU113" s="499">
        <f t="shared" si="506"/>
        <v>13</v>
      </c>
      <c r="BV113" s="499">
        <f t="shared" si="507"/>
        <v>13</v>
      </c>
      <c r="BW113" s="774">
        <f t="shared" si="802"/>
        <v>0</v>
      </c>
      <c r="BX113" s="503">
        <f t="shared" si="802"/>
        <v>0</v>
      </c>
      <c r="BY113" s="503">
        <f t="shared" si="802"/>
        <v>0</v>
      </c>
      <c r="BZ113" s="503">
        <f t="shared" si="802"/>
        <v>0</v>
      </c>
      <c r="CA113" s="503">
        <f t="shared" si="802"/>
        <v>0</v>
      </c>
      <c r="CB113" s="503">
        <f t="shared" si="802"/>
        <v>0</v>
      </c>
      <c r="CC113" s="503">
        <f t="shared" si="802"/>
        <v>0</v>
      </c>
      <c r="CD113" s="722">
        <f t="shared" si="792"/>
        <v>634.50473031189699</v>
      </c>
      <c r="CE113" s="511">
        <f t="shared" ref="CE113:CH113" si="980">CD113</f>
        <v>634.50473031189699</v>
      </c>
      <c r="CF113" s="511">
        <f t="shared" si="980"/>
        <v>634.50473031189699</v>
      </c>
      <c r="CG113" s="511">
        <f t="shared" si="980"/>
        <v>634.50473031189699</v>
      </c>
      <c r="CH113" s="511">
        <f t="shared" si="980"/>
        <v>634.50473031189699</v>
      </c>
      <c r="CI113" s="511">
        <f t="shared" si="510"/>
        <v>634.50473031189699</v>
      </c>
      <c r="CJ113" s="511">
        <f t="shared" si="511"/>
        <v>634.50473031189699</v>
      </c>
      <c r="CK113" s="722">
        <f t="shared" si="794"/>
        <v>0</v>
      </c>
      <c r="CL113" s="511">
        <f t="shared" ref="CL113:CO113" si="981">CK113</f>
        <v>0</v>
      </c>
      <c r="CM113" s="511">
        <f t="shared" si="981"/>
        <v>0</v>
      </c>
      <c r="CN113" s="511">
        <f t="shared" si="981"/>
        <v>0</v>
      </c>
      <c r="CO113" s="511">
        <f t="shared" si="981"/>
        <v>0</v>
      </c>
      <c r="CP113" s="511">
        <f t="shared" si="513"/>
        <v>0</v>
      </c>
      <c r="CQ113" s="511">
        <f t="shared" si="514"/>
        <v>0</v>
      </c>
      <c r="CR113" s="722">
        <f t="shared" si="796"/>
        <v>0</v>
      </c>
      <c r="CS113" s="511">
        <f t="shared" ref="CS113:CV113" si="982">CR113</f>
        <v>0</v>
      </c>
      <c r="CT113" s="511">
        <f t="shared" si="982"/>
        <v>0</v>
      </c>
      <c r="CU113" s="511">
        <f t="shared" si="982"/>
        <v>0</v>
      </c>
      <c r="CV113" s="511">
        <f t="shared" si="982"/>
        <v>0</v>
      </c>
      <c r="CW113" s="511">
        <f t="shared" si="516"/>
        <v>0</v>
      </c>
      <c r="CX113" s="539">
        <f t="shared" si="517"/>
        <v>0</v>
      </c>
      <c r="CY113" s="724">
        <f t="shared" si="849"/>
        <v>526269.5</v>
      </c>
      <c r="CZ113" s="508">
        <f t="shared" si="850"/>
        <v>526269.5</v>
      </c>
      <c r="DA113" s="508">
        <f t="shared" si="851"/>
        <v>126304.68000000001</v>
      </c>
      <c r="DB113" s="508">
        <f t="shared" si="852"/>
        <v>0</v>
      </c>
      <c r="DC113" s="508">
        <f t="shared" si="853"/>
        <v>0</v>
      </c>
      <c r="DD113" s="508">
        <f t="shared" si="854"/>
        <v>0</v>
      </c>
      <c r="DE113" s="726">
        <f t="shared" si="855"/>
        <v>0</v>
      </c>
      <c r="DF113" s="724">
        <f t="shared" si="856"/>
        <v>0</v>
      </c>
      <c r="DG113" s="509">
        <f t="shared" si="857"/>
        <v>0</v>
      </c>
      <c r="DH113" s="509">
        <f t="shared" si="858"/>
        <v>0</v>
      </c>
      <c r="DI113" s="509">
        <f t="shared" si="859"/>
        <v>0</v>
      </c>
      <c r="DJ113" s="509">
        <f t="shared" si="860"/>
        <v>0</v>
      </c>
      <c r="DK113" s="509">
        <f t="shared" si="861"/>
        <v>0</v>
      </c>
      <c r="DL113" s="451">
        <f t="shared" si="862"/>
        <v>0</v>
      </c>
      <c r="DM113" s="509">
        <f t="shared" si="863"/>
        <v>369811</v>
      </c>
      <c r="DN113" s="509">
        <f t="shared" si="864"/>
        <v>369811</v>
      </c>
      <c r="DO113" s="509">
        <f t="shared" si="865"/>
        <v>88754.640000000014</v>
      </c>
      <c r="DP113" s="509">
        <f t="shared" si="866"/>
        <v>0</v>
      </c>
      <c r="DQ113" s="509">
        <f t="shared" si="867"/>
        <v>0</v>
      </c>
      <c r="DR113" s="509">
        <f t="shared" si="868"/>
        <v>0</v>
      </c>
      <c r="DS113" s="450">
        <f t="shared" si="869"/>
        <v>0</v>
      </c>
      <c r="DT113" s="724">
        <f t="shared" si="870"/>
        <v>0</v>
      </c>
      <c r="DU113" s="508">
        <f t="shared" si="871"/>
        <v>0</v>
      </c>
      <c r="DV113" s="508">
        <f t="shared" si="872"/>
        <v>0</v>
      </c>
      <c r="DW113" s="508">
        <f t="shared" si="873"/>
        <v>0</v>
      </c>
      <c r="DX113" s="508">
        <f t="shared" si="874"/>
        <v>0</v>
      </c>
      <c r="DY113" s="508">
        <f t="shared" si="875"/>
        <v>0</v>
      </c>
      <c r="DZ113" s="726">
        <f t="shared" si="876"/>
        <v>0</v>
      </c>
      <c r="EA113" s="722">
        <f t="shared" si="877"/>
        <v>18049756.063182533</v>
      </c>
      <c r="EB113" s="511">
        <f t="shared" si="878"/>
        <v>18049756.063182533</v>
      </c>
      <c r="EC113" s="511">
        <f t="shared" si="879"/>
        <v>4331941.4551638085</v>
      </c>
      <c r="ED113" s="511">
        <f t="shared" si="880"/>
        <v>0</v>
      </c>
      <c r="EE113" s="511">
        <f t="shared" si="881"/>
        <v>0</v>
      </c>
      <c r="EF113" s="511">
        <f t="shared" si="882"/>
        <v>0</v>
      </c>
      <c r="EG113" s="723">
        <f t="shared" si="883"/>
        <v>0</v>
      </c>
      <c r="EH113" s="397">
        <f t="shared" si="884"/>
        <v>0</v>
      </c>
      <c r="EI113" s="397">
        <f t="shared" si="885"/>
        <v>0</v>
      </c>
      <c r="EJ113" s="397">
        <f t="shared" si="886"/>
        <v>0</v>
      </c>
      <c r="EK113" s="397">
        <f t="shared" si="887"/>
        <v>0</v>
      </c>
      <c r="EL113" s="397">
        <f t="shared" si="888"/>
        <v>0</v>
      </c>
      <c r="EM113" s="397">
        <f t="shared" si="889"/>
        <v>0</v>
      </c>
      <c r="EN113" s="398">
        <f t="shared" si="890"/>
        <v>0</v>
      </c>
      <c r="EO113" s="722">
        <f t="shared" si="891"/>
        <v>0</v>
      </c>
      <c r="EP113" s="511">
        <f t="shared" si="892"/>
        <v>0</v>
      </c>
      <c r="EQ113" s="511">
        <f t="shared" si="893"/>
        <v>0</v>
      </c>
      <c r="ER113" s="511">
        <f t="shared" si="894"/>
        <v>0</v>
      </c>
      <c r="ES113" s="511">
        <f t="shared" si="895"/>
        <v>0</v>
      </c>
      <c r="ET113" s="511">
        <f t="shared" si="896"/>
        <v>0</v>
      </c>
      <c r="EU113" s="723">
        <f t="shared" si="897"/>
        <v>0</v>
      </c>
      <c r="EV113" s="727">
        <f t="shared" si="898"/>
        <v>63721.279999999999</v>
      </c>
      <c r="EW113" s="728">
        <f t="shared" si="899"/>
        <v>1178843.68</v>
      </c>
      <c r="EX113" s="728">
        <f t="shared" si="900"/>
        <v>0</v>
      </c>
      <c r="EY113" s="728">
        <f t="shared" si="901"/>
        <v>828376.64</v>
      </c>
      <c r="EZ113" s="728">
        <f t="shared" si="902"/>
        <v>0</v>
      </c>
      <c r="FA113" s="777">
        <f t="shared" si="903"/>
        <v>40431453.581528872</v>
      </c>
      <c r="FB113" s="777">
        <f t="shared" si="904"/>
        <v>0</v>
      </c>
      <c r="FC113" s="778">
        <f t="shared" si="905"/>
        <v>0</v>
      </c>
    </row>
    <row r="114" spans="1:162" s="10" customFormat="1" ht="12.5">
      <c r="A114" s="662" t="s">
        <v>236</v>
      </c>
      <c r="B114" s="789" t="s">
        <v>1406</v>
      </c>
      <c r="C114" s="789" t="str">
        <f t="shared" ref="C114:W114" si="983">C57</f>
        <v>Any LED lamps or ballasts must also be ENERGY STAR® certified or listed on the Design Lights Consortium (DLC) qualified list.</v>
      </c>
      <c r="D114" s="789" t="str">
        <f t="shared" si="983"/>
        <v>A parking garage or canopy luminaire with a high intensity discharge light-source</v>
      </c>
      <c r="E114" s="789" t="str">
        <f t="shared" si="983"/>
        <v>n/a</v>
      </c>
      <c r="F114" s="789" t="str">
        <f t="shared" si="983"/>
        <v>Per Unit</v>
      </c>
      <c r="G114" s="704" t="str">
        <f t="shared" si="983"/>
        <v>Incremental Cost</v>
      </c>
      <c r="H114" s="704">
        <f t="shared" si="983"/>
        <v>631</v>
      </c>
      <c r="I114" s="704">
        <f t="shared" si="983"/>
        <v>0</v>
      </c>
      <c r="J114" s="704">
        <f t="shared" si="983"/>
        <v>631</v>
      </c>
      <c r="K114" s="704">
        <f t="shared" si="983"/>
        <v>-2.8653333333333331</v>
      </c>
      <c r="L114" s="704">
        <f t="shared" si="983"/>
        <v>315.5</v>
      </c>
      <c r="M114" s="881" t="str">
        <f t="shared" si="983"/>
        <v>Equipment and O&amp;M costs pulled directly from Mid Atlantic TRM V9: LED Parking Garage/Canopy Luminaires and Retrofit Kit</v>
      </c>
      <c r="N114" s="704">
        <f t="shared" si="983"/>
        <v>20</v>
      </c>
      <c r="O114" s="704">
        <f t="shared" si="983"/>
        <v>20</v>
      </c>
      <c r="P114" s="704">
        <f t="shared" si="983"/>
        <v>0</v>
      </c>
      <c r="Q114" s="704">
        <f t="shared" si="983"/>
        <v>0</v>
      </c>
      <c r="R114" s="1021">
        <f t="shared" si="983"/>
        <v>465.77299999999997</v>
      </c>
      <c r="S114" s="872">
        <f t="shared" si="983"/>
        <v>3.85E-2</v>
      </c>
      <c r="T114" s="1022">
        <f t="shared" si="983"/>
        <v>0</v>
      </c>
      <c r="U114" s="711" t="str">
        <f t="shared" si="983"/>
        <v>Per unit savings estimate from Mid-Atlantic TRM v9 "LED Parking Garage/Canopy Luminaires and Retrofit Kits"</v>
      </c>
      <c r="V114" s="716">
        <f t="shared" si="983"/>
        <v>0</v>
      </c>
      <c r="W114" s="711">
        <f t="shared" si="983"/>
        <v>1</v>
      </c>
      <c r="X114" s="781">
        <f t="shared" ref="X114:AJ114" si="984">X57/2</f>
        <v>5615</v>
      </c>
      <c r="Y114" s="781">
        <f t="shared" si="984"/>
        <v>8584</v>
      </c>
      <c r="Z114" s="781">
        <f t="shared" si="984"/>
        <v>7688</v>
      </c>
      <c r="AA114" s="781">
        <f t="shared" si="984"/>
        <v>4529.1428571428569</v>
      </c>
      <c r="AB114" s="781">
        <f t="shared" si="984"/>
        <v>4529.1428571428569</v>
      </c>
      <c r="AC114" s="781">
        <f t="shared" si="984"/>
        <v>4529</v>
      </c>
      <c r="AD114" s="781">
        <f t="shared" si="984"/>
        <v>4529</v>
      </c>
      <c r="AE114" s="781">
        <f t="shared" si="984"/>
        <v>4529</v>
      </c>
      <c r="AF114" s="781">
        <f t="shared" si="984"/>
        <v>1086.96</v>
      </c>
      <c r="AG114" s="781">
        <f t="shared" si="984"/>
        <v>0</v>
      </c>
      <c r="AH114" s="781">
        <f t="shared" si="984"/>
        <v>0</v>
      </c>
      <c r="AI114" s="781">
        <f t="shared" si="984"/>
        <v>0</v>
      </c>
      <c r="AJ114" s="781">
        <f t="shared" si="984"/>
        <v>0</v>
      </c>
      <c r="AK114" s="711" t="str">
        <f t="shared" ref="AK114:AZ114" si="985">AK57</f>
        <v>Electric</v>
      </c>
      <c r="AL114" s="711" t="str">
        <f t="shared" si="985"/>
        <v>Commercial</v>
      </c>
      <c r="AM114" s="711" t="str">
        <f t="shared" si="985"/>
        <v>Large Office</v>
      </c>
      <c r="AN114" s="711" t="str">
        <f t="shared" si="985"/>
        <v>Lighting</v>
      </c>
      <c r="AO114" s="711" t="str">
        <f t="shared" si="985"/>
        <v>Existing</v>
      </c>
      <c r="AP114" s="711">
        <f t="shared" si="985"/>
        <v>0</v>
      </c>
      <c r="AQ114" s="711">
        <f t="shared" si="985"/>
        <v>0</v>
      </c>
      <c r="AR114" s="711">
        <f t="shared" si="985"/>
        <v>0</v>
      </c>
      <c r="AS114" s="711" t="str">
        <f t="shared" si="985"/>
        <v>OFFLGInLight</v>
      </c>
      <c r="AT114" s="715" t="s">
        <v>745</v>
      </c>
      <c r="AU114" s="1065" t="s">
        <v>771</v>
      </c>
      <c r="AV114" s="711">
        <f t="shared" si="985"/>
        <v>8</v>
      </c>
      <c r="AW114" s="711">
        <f t="shared" si="985"/>
        <v>15</v>
      </c>
      <c r="AX114" s="711" t="s">
        <v>1487</v>
      </c>
      <c r="AY114" s="711">
        <f t="shared" si="985"/>
        <v>1</v>
      </c>
      <c r="AZ114" s="711">
        <f t="shared" si="985"/>
        <v>1</v>
      </c>
      <c r="BA114" s="1066">
        <f t="shared" si="823"/>
        <v>0</v>
      </c>
      <c r="BB114" s="721">
        <f t="shared" si="493"/>
        <v>631</v>
      </c>
      <c r="BC114" s="499">
        <f t="shared" si="494"/>
        <v>631</v>
      </c>
      <c r="BD114" s="499">
        <f t="shared" si="495"/>
        <v>631</v>
      </c>
      <c r="BE114" s="499">
        <f t="shared" si="496"/>
        <v>631</v>
      </c>
      <c r="BF114" s="499">
        <f t="shared" si="497"/>
        <v>631</v>
      </c>
      <c r="BG114" s="499">
        <f t="shared" si="498"/>
        <v>631</v>
      </c>
      <c r="BH114" s="499">
        <f t="shared" si="499"/>
        <v>631</v>
      </c>
      <c r="BI114" s="721">
        <f t="shared" si="788"/>
        <v>-2.8653333333333331</v>
      </c>
      <c r="BJ114" s="499">
        <f t="shared" ref="BJ114:BM114" si="986">BI114</f>
        <v>-2.8653333333333331</v>
      </c>
      <c r="BK114" s="499">
        <f t="shared" si="986"/>
        <v>-2.8653333333333331</v>
      </c>
      <c r="BL114" s="499">
        <f t="shared" si="986"/>
        <v>-2.8653333333333331</v>
      </c>
      <c r="BM114" s="499">
        <f t="shared" si="986"/>
        <v>-2.8653333333333331</v>
      </c>
      <c r="BN114" s="499">
        <f t="shared" si="501"/>
        <v>-2.8653333333333331</v>
      </c>
      <c r="BO114" s="499">
        <f t="shared" si="502"/>
        <v>-2.8653333333333331</v>
      </c>
      <c r="BP114" s="721">
        <f t="shared" si="790"/>
        <v>20</v>
      </c>
      <c r="BQ114" s="499">
        <f t="shared" si="791"/>
        <v>20</v>
      </c>
      <c r="BR114" s="499">
        <f t="shared" si="503"/>
        <v>20</v>
      </c>
      <c r="BS114" s="499">
        <f t="shared" si="504"/>
        <v>20</v>
      </c>
      <c r="BT114" s="499">
        <f t="shared" si="505"/>
        <v>20</v>
      </c>
      <c r="BU114" s="499">
        <f t="shared" si="506"/>
        <v>20</v>
      </c>
      <c r="BV114" s="499">
        <f t="shared" si="507"/>
        <v>20</v>
      </c>
      <c r="BW114" s="774">
        <f t="shared" si="802"/>
        <v>0</v>
      </c>
      <c r="BX114" s="503">
        <f t="shared" si="802"/>
        <v>0</v>
      </c>
      <c r="BY114" s="503">
        <f t="shared" si="802"/>
        <v>0</v>
      </c>
      <c r="BZ114" s="503">
        <f t="shared" si="802"/>
        <v>0</v>
      </c>
      <c r="CA114" s="503">
        <f t="shared" si="802"/>
        <v>0</v>
      </c>
      <c r="CB114" s="503">
        <f t="shared" si="802"/>
        <v>0</v>
      </c>
      <c r="CC114" s="503">
        <f t="shared" si="802"/>
        <v>0</v>
      </c>
      <c r="CD114" s="722">
        <f t="shared" si="792"/>
        <v>465.77299999999997</v>
      </c>
      <c r="CE114" s="511">
        <f t="shared" ref="CE114:CH114" si="987">CD114</f>
        <v>465.77299999999997</v>
      </c>
      <c r="CF114" s="511">
        <f t="shared" si="987"/>
        <v>465.77299999999997</v>
      </c>
      <c r="CG114" s="511">
        <f t="shared" si="987"/>
        <v>465.77299999999997</v>
      </c>
      <c r="CH114" s="511">
        <f t="shared" si="987"/>
        <v>465.77299999999997</v>
      </c>
      <c r="CI114" s="511">
        <f t="shared" si="510"/>
        <v>465.77299999999997</v>
      </c>
      <c r="CJ114" s="511">
        <f t="shared" si="511"/>
        <v>465.77299999999997</v>
      </c>
      <c r="CK114" s="722">
        <f t="shared" si="794"/>
        <v>3.85E-2</v>
      </c>
      <c r="CL114" s="511">
        <f t="shared" ref="CL114:CO114" si="988">CK114</f>
        <v>3.85E-2</v>
      </c>
      <c r="CM114" s="511">
        <f t="shared" si="988"/>
        <v>3.85E-2</v>
      </c>
      <c r="CN114" s="511">
        <f t="shared" si="988"/>
        <v>3.85E-2</v>
      </c>
      <c r="CO114" s="511">
        <f t="shared" si="988"/>
        <v>3.85E-2</v>
      </c>
      <c r="CP114" s="511">
        <f t="shared" si="513"/>
        <v>3.85E-2</v>
      </c>
      <c r="CQ114" s="511">
        <f t="shared" si="514"/>
        <v>3.85E-2</v>
      </c>
      <c r="CR114" s="722">
        <f t="shared" si="796"/>
        <v>0</v>
      </c>
      <c r="CS114" s="511">
        <f t="shared" ref="CS114:CV114" si="989">CR114</f>
        <v>0</v>
      </c>
      <c r="CT114" s="511">
        <f t="shared" si="989"/>
        <v>0</v>
      </c>
      <c r="CU114" s="511">
        <f t="shared" si="989"/>
        <v>0</v>
      </c>
      <c r="CV114" s="511">
        <f t="shared" si="989"/>
        <v>0</v>
      </c>
      <c r="CW114" s="511">
        <f t="shared" si="516"/>
        <v>0</v>
      </c>
      <c r="CX114" s="539">
        <f t="shared" si="517"/>
        <v>0</v>
      </c>
      <c r="CY114" s="724">
        <f t="shared" si="849"/>
        <v>2857799</v>
      </c>
      <c r="CZ114" s="508">
        <f t="shared" si="850"/>
        <v>2857799</v>
      </c>
      <c r="DA114" s="508">
        <f t="shared" si="851"/>
        <v>685871.76</v>
      </c>
      <c r="DB114" s="508">
        <f t="shared" si="852"/>
        <v>0</v>
      </c>
      <c r="DC114" s="508">
        <f t="shared" si="853"/>
        <v>0</v>
      </c>
      <c r="DD114" s="508">
        <f t="shared" si="854"/>
        <v>0</v>
      </c>
      <c r="DE114" s="726">
        <f t="shared" si="855"/>
        <v>0</v>
      </c>
      <c r="DF114" s="724">
        <f t="shared" si="856"/>
        <v>-12977.094666666666</v>
      </c>
      <c r="DG114" s="509">
        <f t="shared" si="857"/>
        <v>-12977.094666666666</v>
      </c>
      <c r="DH114" s="509">
        <f t="shared" si="858"/>
        <v>-3114.50272</v>
      </c>
      <c r="DI114" s="509">
        <f t="shared" si="859"/>
        <v>0</v>
      </c>
      <c r="DJ114" s="509">
        <f t="shared" si="860"/>
        <v>0</v>
      </c>
      <c r="DK114" s="509">
        <f t="shared" si="861"/>
        <v>0</v>
      </c>
      <c r="DL114" s="451">
        <f t="shared" si="862"/>
        <v>0</v>
      </c>
      <c r="DM114" s="509">
        <f t="shared" si="863"/>
        <v>90580</v>
      </c>
      <c r="DN114" s="509">
        <f t="shared" si="864"/>
        <v>90580</v>
      </c>
      <c r="DO114" s="509">
        <f t="shared" si="865"/>
        <v>21739.200000000001</v>
      </c>
      <c r="DP114" s="509">
        <f t="shared" si="866"/>
        <v>0</v>
      </c>
      <c r="DQ114" s="509">
        <f t="shared" si="867"/>
        <v>0</v>
      </c>
      <c r="DR114" s="509">
        <f t="shared" si="868"/>
        <v>0</v>
      </c>
      <c r="DS114" s="450">
        <f t="shared" si="869"/>
        <v>0</v>
      </c>
      <c r="DT114" s="724">
        <f t="shared" si="870"/>
        <v>0</v>
      </c>
      <c r="DU114" s="508">
        <f t="shared" si="871"/>
        <v>0</v>
      </c>
      <c r="DV114" s="508">
        <f t="shared" si="872"/>
        <v>0</v>
      </c>
      <c r="DW114" s="508">
        <f t="shared" si="873"/>
        <v>0</v>
      </c>
      <c r="DX114" s="508">
        <f t="shared" si="874"/>
        <v>0</v>
      </c>
      <c r="DY114" s="508">
        <f t="shared" si="875"/>
        <v>0</v>
      </c>
      <c r="DZ114" s="726">
        <f t="shared" si="876"/>
        <v>0</v>
      </c>
      <c r="EA114" s="722">
        <f t="shared" si="877"/>
        <v>2109485.9169999999</v>
      </c>
      <c r="EB114" s="511">
        <f t="shared" si="878"/>
        <v>2109485.9169999999</v>
      </c>
      <c r="EC114" s="511">
        <f t="shared" si="879"/>
        <v>506276.62007999996</v>
      </c>
      <c r="ED114" s="511">
        <f t="shared" si="880"/>
        <v>0</v>
      </c>
      <c r="EE114" s="511">
        <f t="shared" si="881"/>
        <v>0</v>
      </c>
      <c r="EF114" s="511">
        <f t="shared" si="882"/>
        <v>0</v>
      </c>
      <c r="EG114" s="723">
        <f t="shared" si="883"/>
        <v>0</v>
      </c>
      <c r="EH114" s="397">
        <f t="shared" si="884"/>
        <v>174.3665</v>
      </c>
      <c r="EI114" s="397">
        <f t="shared" si="885"/>
        <v>174.3665</v>
      </c>
      <c r="EJ114" s="397">
        <f t="shared" si="886"/>
        <v>41.84796</v>
      </c>
      <c r="EK114" s="397">
        <f t="shared" si="887"/>
        <v>0</v>
      </c>
      <c r="EL114" s="397">
        <f t="shared" si="888"/>
        <v>0</v>
      </c>
      <c r="EM114" s="397">
        <f t="shared" si="889"/>
        <v>0</v>
      </c>
      <c r="EN114" s="398">
        <f t="shared" si="890"/>
        <v>0</v>
      </c>
      <c r="EO114" s="722">
        <f t="shared" si="891"/>
        <v>0</v>
      </c>
      <c r="EP114" s="511">
        <f t="shared" si="892"/>
        <v>0</v>
      </c>
      <c r="EQ114" s="511">
        <f t="shared" si="893"/>
        <v>0</v>
      </c>
      <c r="ER114" s="511">
        <f t="shared" si="894"/>
        <v>0</v>
      </c>
      <c r="ES114" s="511">
        <f t="shared" si="895"/>
        <v>0</v>
      </c>
      <c r="ET114" s="511">
        <f t="shared" si="896"/>
        <v>0</v>
      </c>
      <c r="EU114" s="723">
        <f t="shared" si="897"/>
        <v>0</v>
      </c>
      <c r="EV114" s="727">
        <f t="shared" si="898"/>
        <v>10144.959999999999</v>
      </c>
      <c r="EW114" s="728">
        <f t="shared" si="899"/>
        <v>6401469.7599999998</v>
      </c>
      <c r="EX114" s="728">
        <f t="shared" si="900"/>
        <v>-29068.692053333332</v>
      </c>
      <c r="EY114" s="728">
        <f t="shared" si="901"/>
        <v>202899.20000000001</v>
      </c>
      <c r="EZ114" s="728">
        <f t="shared" si="902"/>
        <v>0</v>
      </c>
      <c r="FA114" s="777">
        <f t="shared" si="903"/>
        <v>4725248.4540799996</v>
      </c>
      <c r="FB114" s="777">
        <f t="shared" si="904"/>
        <v>390.58096</v>
      </c>
      <c r="FC114" s="778">
        <f t="shared" si="905"/>
        <v>0</v>
      </c>
    </row>
    <row r="115" spans="1:162" s="10" customFormat="1" ht="12.5">
      <c r="A115" s="662" t="s">
        <v>237</v>
      </c>
      <c r="B115" s="789" t="s">
        <v>1407</v>
      </c>
      <c r="C115" s="789" t="str">
        <f t="shared" ref="C115:W115" si="990">C58</f>
        <v>Any LED lamps or ballasts must also be ENERGY STAR® certified or listed on the Design Lights Consortium (DLC) qualified list.</v>
      </c>
      <c r="D115" s="789" t="str">
        <f t="shared" si="990"/>
        <v>A parking garage or canopy luminaire with a high intensity discharge light-source</v>
      </c>
      <c r="E115" s="789" t="str">
        <f t="shared" si="990"/>
        <v>n/a</v>
      </c>
      <c r="F115" s="789" t="str">
        <f t="shared" si="990"/>
        <v>Per Unit</v>
      </c>
      <c r="G115" s="704" t="str">
        <f t="shared" si="990"/>
        <v>Incremental Cost</v>
      </c>
      <c r="H115" s="704">
        <f t="shared" si="990"/>
        <v>1846</v>
      </c>
      <c r="I115" s="704">
        <f t="shared" si="990"/>
        <v>0</v>
      </c>
      <c r="J115" s="704">
        <f t="shared" si="990"/>
        <v>1846</v>
      </c>
      <c r="K115" s="704">
        <f t="shared" si="990"/>
        <v>-2.8653333333333331</v>
      </c>
      <c r="L115" s="704">
        <f t="shared" si="990"/>
        <v>923</v>
      </c>
      <c r="M115" s="881" t="str">
        <f t="shared" si="990"/>
        <v>Mid Atlantic TRM V9 (see BizRebates_Costs_Savings tab) - "LED Parking Garage/Canopy Luminaires and Retrofit Kits"</v>
      </c>
      <c r="N115" s="704">
        <f t="shared" si="990"/>
        <v>30</v>
      </c>
      <c r="O115" s="704">
        <f t="shared" si="990"/>
        <v>30</v>
      </c>
      <c r="P115" s="704">
        <f t="shared" si="990"/>
        <v>0</v>
      </c>
      <c r="Q115" s="704">
        <f t="shared" si="990"/>
        <v>0</v>
      </c>
      <c r="R115" s="1021">
        <f t="shared" si="990"/>
        <v>998.08500000000004</v>
      </c>
      <c r="S115" s="872">
        <f t="shared" si="990"/>
        <v>8.2500000000000004E-2</v>
      </c>
      <c r="T115" s="1022">
        <f t="shared" si="990"/>
        <v>0</v>
      </c>
      <c r="U115" s="711" t="str">
        <f t="shared" si="990"/>
        <v>Per unit savings estimate from Mid-Atlantic TRM v9 "LED Parking Garage/Canopy Luminaires and Retrofit Kits"</v>
      </c>
      <c r="V115" s="716">
        <f t="shared" si="990"/>
        <v>0</v>
      </c>
      <c r="W115" s="711">
        <f t="shared" si="990"/>
        <v>1</v>
      </c>
      <c r="X115" s="781">
        <f t="shared" ref="X115:AJ115" si="991">X58/2</f>
        <v>0</v>
      </c>
      <c r="Y115" s="781">
        <f t="shared" si="991"/>
        <v>0</v>
      </c>
      <c r="Z115" s="781">
        <f t="shared" si="991"/>
        <v>0</v>
      </c>
      <c r="AA115" s="781">
        <f t="shared" si="991"/>
        <v>655.71428571428567</v>
      </c>
      <c r="AB115" s="781">
        <f t="shared" si="991"/>
        <v>327.85714285714283</v>
      </c>
      <c r="AC115" s="781">
        <f t="shared" si="991"/>
        <v>0</v>
      </c>
      <c r="AD115" s="781">
        <f t="shared" si="991"/>
        <v>0.5</v>
      </c>
      <c r="AE115" s="781">
        <f t="shared" si="991"/>
        <v>0.5</v>
      </c>
      <c r="AF115" s="781">
        <f t="shared" si="991"/>
        <v>0.12</v>
      </c>
      <c r="AG115" s="781">
        <f t="shared" si="991"/>
        <v>0</v>
      </c>
      <c r="AH115" s="781">
        <f t="shared" si="991"/>
        <v>0</v>
      </c>
      <c r="AI115" s="781">
        <f t="shared" si="991"/>
        <v>0</v>
      </c>
      <c r="AJ115" s="781">
        <f t="shared" si="991"/>
        <v>0</v>
      </c>
      <c r="AK115" s="711" t="str">
        <f t="shared" ref="AK115:AZ115" si="992">AK58</f>
        <v>Electric</v>
      </c>
      <c r="AL115" s="711" t="str">
        <f t="shared" si="992"/>
        <v>Commercial</v>
      </c>
      <c r="AM115" s="711" t="str">
        <f t="shared" si="992"/>
        <v>Large Office</v>
      </c>
      <c r="AN115" s="711" t="str">
        <f t="shared" si="992"/>
        <v>Lighting</v>
      </c>
      <c r="AO115" s="711" t="str">
        <f t="shared" si="992"/>
        <v>Existing</v>
      </c>
      <c r="AP115" s="711">
        <f t="shared" si="992"/>
        <v>0</v>
      </c>
      <c r="AQ115" s="711">
        <f t="shared" si="992"/>
        <v>0</v>
      </c>
      <c r="AR115" s="711">
        <f t="shared" si="992"/>
        <v>0</v>
      </c>
      <c r="AS115" s="711" t="str">
        <f t="shared" si="992"/>
        <v>OFFLGInLight</v>
      </c>
      <c r="AT115" s="715" t="s">
        <v>745</v>
      </c>
      <c r="AU115" s="1065" t="s">
        <v>771</v>
      </c>
      <c r="AV115" s="711">
        <f t="shared" si="992"/>
        <v>8</v>
      </c>
      <c r="AW115" s="711">
        <f t="shared" si="992"/>
        <v>15</v>
      </c>
      <c r="AX115" s="711" t="s">
        <v>1487</v>
      </c>
      <c r="AY115" s="711">
        <f t="shared" si="992"/>
        <v>1</v>
      </c>
      <c r="AZ115" s="711">
        <f t="shared" si="992"/>
        <v>1</v>
      </c>
      <c r="BA115" s="1066">
        <f t="shared" si="823"/>
        <v>0</v>
      </c>
      <c r="BB115" s="721">
        <f t="shared" si="493"/>
        <v>1846</v>
      </c>
      <c r="BC115" s="499">
        <f t="shared" si="494"/>
        <v>1846</v>
      </c>
      <c r="BD115" s="499">
        <f t="shared" si="495"/>
        <v>1846</v>
      </c>
      <c r="BE115" s="499">
        <f t="shared" si="496"/>
        <v>1846</v>
      </c>
      <c r="BF115" s="499">
        <f t="shared" si="497"/>
        <v>1846</v>
      </c>
      <c r="BG115" s="499">
        <f t="shared" si="498"/>
        <v>1846</v>
      </c>
      <c r="BH115" s="499">
        <f t="shared" si="499"/>
        <v>1846</v>
      </c>
      <c r="BI115" s="721">
        <f t="shared" si="788"/>
        <v>-2.8653333333333331</v>
      </c>
      <c r="BJ115" s="499">
        <f t="shared" ref="BJ115:BM115" si="993">BI115</f>
        <v>-2.8653333333333331</v>
      </c>
      <c r="BK115" s="499">
        <f t="shared" si="993"/>
        <v>-2.8653333333333331</v>
      </c>
      <c r="BL115" s="499">
        <f t="shared" si="993"/>
        <v>-2.8653333333333331</v>
      </c>
      <c r="BM115" s="499">
        <f t="shared" si="993"/>
        <v>-2.8653333333333331</v>
      </c>
      <c r="BN115" s="499">
        <f t="shared" si="501"/>
        <v>-2.8653333333333331</v>
      </c>
      <c r="BO115" s="499">
        <f t="shared" si="502"/>
        <v>-2.8653333333333331</v>
      </c>
      <c r="BP115" s="721">
        <f t="shared" si="790"/>
        <v>30</v>
      </c>
      <c r="BQ115" s="499">
        <f t="shared" si="791"/>
        <v>30</v>
      </c>
      <c r="BR115" s="499">
        <f t="shared" si="503"/>
        <v>30</v>
      </c>
      <c r="BS115" s="499">
        <f t="shared" si="504"/>
        <v>30</v>
      </c>
      <c r="BT115" s="499">
        <f t="shared" si="505"/>
        <v>30</v>
      </c>
      <c r="BU115" s="499">
        <f t="shared" si="506"/>
        <v>30</v>
      </c>
      <c r="BV115" s="499">
        <f t="shared" si="507"/>
        <v>30</v>
      </c>
      <c r="BW115" s="774">
        <f t="shared" si="802"/>
        <v>0</v>
      </c>
      <c r="BX115" s="503">
        <f t="shared" si="802"/>
        <v>0</v>
      </c>
      <c r="BY115" s="503">
        <f t="shared" si="802"/>
        <v>0</v>
      </c>
      <c r="BZ115" s="503">
        <f t="shared" si="802"/>
        <v>0</v>
      </c>
      <c r="CA115" s="503">
        <f t="shared" si="802"/>
        <v>0</v>
      </c>
      <c r="CB115" s="503">
        <f t="shared" si="802"/>
        <v>0</v>
      </c>
      <c r="CC115" s="503">
        <f t="shared" si="802"/>
        <v>0</v>
      </c>
      <c r="CD115" s="722">
        <f t="shared" si="792"/>
        <v>998.08500000000004</v>
      </c>
      <c r="CE115" s="511">
        <f t="shared" ref="CE115:CH115" si="994">CD115</f>
        <v>998.08500000000004</v>
      </c>
      <c r="CF115" s="511">
        <f t="shared" si="994"/>
        <v>998.08500000000004</v>
      </c>
      <c r="CG115" s="511">
        <f t="shared" si="994"/>
        <v>998.08500000000004</v>
      </c>
      <c r="CH115" s="511">
        <f t="shared" si="994"/>
        <v>998.08500000000004</v>
      </c>
      <c r="CI115" s="511">
        <f t="shared" si="510"/>
        <v>998.08500000000004</v>
      </c>
      <c r="CJ115" s="511">
        <f t="shared" si="511"/>
        <v>998.08500000000004</v>
      </c>
      <c r="CK115" s="722">
        <f t="shared" si="794"/>
        <v>8.2500000000000004E-2</v>
      </c>
      <c r="CL115" s="511">
        <f t="shared" ref="CL115:CO115" si="995">CK115</f>
        <v>8.2500000000000004E-2</v>
      </c>
      <c r="CM115" s="511">
        <f t="shared" si="995"/>
        <v>8.2500000000000004E-2</v>
      </c>
      <c r="CN115" s="511">
        <f t="shared" si="995"/>
        <v>8.2500000000000004E-2</v>
      </c>
      <c r="CO115" s="511">
        <f t="shared" si="995"/>
        <v>8.2500000000000004E-2</v>
      </c>
      <c r="CP115" s="511">
        <f t="shared" si="513"/>
        <v>8.2500000000000004E-2</v>
      </c>
      <c r="CQ115" s="511">
        <f t="shared" si="514"/>
        <v>8.2500000000000004E-2</v>
      </c>
      <c r="CR115" s="722">
        <f t="shared" si="796"/>
        <v>0</v>
      </c>
      <c r="CS115" s="511">
        <f t="shared" ref="CS115:CV115" si="996">CR115</f>
        <v>0</v>
      </c>
      <c r="CT115" s="511">
        <f t="shared" si="996"/>
        <v>0</v>
      </c>
      <c r="CU115" s="511">
        <f t="shared" si="996"/>
        <v>0</v>
      </c>
      <c r="CV115" s="511">
        <f t="shared" si="996"/>
        <v>0</v>
      </c>
      <c r="CW115" s="511">
        <f t="shared" si="516"/>
        <v>0</v>
      </c>
      <c r="CX115" s="539">
        <f t="shared" si="517"/>
        <v>0</v>
      </c>
      <c r="CY115" s="724">
        <f t="shared" si="849"/>
        <v>923</v>
      </c>
      <c r="CZ115" s="508">
        <f t="shared" si="850"/>
        <v>923</v>
      </c>
      <c r="DA115" s="508">
        <f t="shared" si="851"/>
        <v>221.51999999999998</v>
      </c>
      <c r="DB115" s="508">
        <f t="shared" si="852"/>
        <v>0</v>
      </c>
      <c r="DC115" s="508">
        <f t="shared" si="853"/>
        <v>0</v>
      </c>
      <c r="DD115" s="508">
        <f t="shared" si="854"/>
        <v>0</v>
      </c>
      <c r="DE115" s="726">
        <f t="shared" si="855"/>
        <v>0</v>
      </c>
      <c r="DF115" s="724">
        <f t="shared" si="856"/>
        <v>-1.4326666666666665</v>
      </c>
      <c r="DG115" s="509">
        <f t="shared" si="857"/>
        <v>-1.4326666666666665</v>
      </c>
      <c r="DH115" s="509">
        <f t="shared" si="858"/>
        <v>-0.34383999999999998</v>
      </c>
      <c r="DI115" s="509">
        <f t="shared" si="859"/>
        <v>0</v>
      </c>
      <c r="DJ115" s="509">
        <f t="shared" si="860"/>
        <v>0</v>
      </c>
      <c r="DK115" s="509">
        <f t="shared" si="861"/>
        <v>0</v>
      </c>
      <c r="DL115" s="451">
        <f t="shared" si="862"/>
        <v>0</v>
      </c>
      <c r="DM115" s="509">
        <f t="shared" si="863"/>
        <v>15</v>
      </c>
      <c r="DN115" s="509">
        <f t="shared" si="864"/>
        <v>15</v>
      </c>
      <c r="DO115" s="509">
        <f t="shared" si="865"/>
        <v>3.5999999999999996</v>
      </c>
      <c r="DP115" s="509">
        <f t="shared" si="866"/>
        <v>0</v>
      </c>
      <c r="DQ115" s="509">
        <f t="shared" si="867"/>
        <v>0</v>
      </c>
      <c r="DR115" s="509">
        <f t="shared" si="868"/>
        <v>0</v>
      </c>
      <c r="DS115" s="450">
        <f t="shared" si="869"/>
        <v>0</v>
      </c>
      <c r="DT115" s="724">
        <f t="shared" si="870"/>
        <v>0</v>
      </c>
      <c r="DU115" s="508">
        <f t="shared" si="871"/>
        <v>0</v>
      </c>
      <c r="DV115" s="508">
        <f t="shared" si="872"/>
        <v>0</v>
      </c>
      <c r="DW115" s="508">
        <f t="shared" si="873"/>
        <v>0</v>
      </c>
      <c r="DX115" s="508">
        <f t="shared" si="874"/>
        <v>0</v>
      </c>
      <c r="DY115" s="508">
        <f t="shared" si="875"/>
        <v>0</v>
      </c>
      <c r="DZ115" s="726">
        <f t="shared" si="876"/>
        <v>0</v>
      </c>
      <c r="EA115" s="722">
        <f t="shared" si="877"/>
        <v>499.04250000000002</v>
      </c>
      <c r="EB115" s="511">
        <f t="shared" si="878"/>
        <v>499.04250000000002</v>
      </c>
      <c r="EC115" s="511">
        <f t="shared" si="879"/>
        <v>119.7702</v>
      </c>
      <c r="ED115" s="511">
        <f t="shared" si="880"/>
        <v>0</v>
      </c>
      <c r="EE115" s="511">
        <f t="shared" si="881"/>
        <v>0</v>
      </c>
      <c r="EF115" s="511">
        <f t="shared" si="882"/>
        <v>0</v>
      </c>
      <c r="EG115" s="723">
        <f t="shared" si="883"/>
        <v>0</v>
      </c>
      <c r="EH115" s="397">
        <f t="shared" si="884"/>
        <v>4.1250000000000002E-2</v>
      </c>
      <c r="EI115" s="397">
        <f t="shared" si="885"/>
        <v>4.1250000000000002E-2</v>
      </c>
      <c r="EJ115" s="397">
        <f t="shared" si="886"/>
        <v>9.9000000000000008E-3</v>
      </c>
      <c r="EK115" s="397">
        <f t="shared" si="887"/>
        <v>0</v>
      </c>
      <c r="EL115" s="397">
        <f t="shared" si="888"/>
        <v>0</v>
      </c>
      <c r="EM115" s="397">
        <f t="shared" si="889"/>
        <v>0</v>
      </c>
      <c r="EN115" s="398">
        <f t="shared" si="890"/>
        <v>0</v>
      </c>
      <c r="EO115" s="722">
        <f t="shared" si="891"/>
        <v>0</v>
      </c>
      <c r="EP115" s="511">
        <f t="shared" si="892"/>
        <v>0</v>
      </c>
      <c r="EQ115" s="511">
        <f t="shared" si="893"/>
        <v>0</v>
      </c>
      <c r="ER115" s="511">
        <f t="shared" si="894"/>
        <v>0</v>
      </c>
      <c r="ES115" s="511">
        <f t="shared" si="895"/>
        <v>0</v>
      </c>
      <c r="ET115" s="511">
        <f t="shared" si="896"/>
        <v>0</v>
      </c>
      <c r="EU115" s="723">
        <f t="shared" si="897"/>
        <v>0</v>
      </c>
      <c r="EV115" s="727">
        <f t="shared" si="898"/>
        <v>1.1200000000000001</v>
      </c>
      <c r="EW115" s="728">
        <f t="shared" si="899"/>
        <v>2067.52</v>
      </c>
      <c r="EX115" s="728">
        <f t="shared" si="900"/>
        <v>-3.2091733333333332</v>
      </c>
      <c r="EY115" s="728">
        <f t="shared" si="901"/>
        <v>33.6</v>
      </c>
      <c r="EZ115" s="728">
        <f t="shared" si="902"/>
        <v>0</v>
      </c>
      <c r="FA115" s="777">
        <f t="shared" si="903"/>
        <v>1117.8552</v>
      </c>
      <c r="FB115" s="777">
        <f t="shared" si="904"/>
        <v>9.240000000000001E-2</v>
      </c>
      <c r="FC115" s="778">
        <f t="shared" si="905"/>
        <v>0</v>
      </c>
    </row>
    <row r="116" spans="1:162" s="10" customFormat="1" ht="12.5">
      <c r="A116" s="662" t="s">
        <v>238</v>
      </c>
      <c r="B116" s="789" t="s">
        <v>1408</v>
      </c>
      <c r="C116" s="789" t="str">
        <f t="shared" ref="C116:W116" si="997">C59</f>
        <v>Small Business Kits</v>
      </c>
      <c r="D116" s="789" t="str">
        <f t="shared" si="997"/>
        <v>No kit</v>
      </c>
      <c r="E116" s="789">
        <f t="shared" si="997"/>
        <v>0</v>
      </c>
      <c r="F116" s="789" t="str">
        <f t="shared" si="997"/>
        <v>Per Unit</v>
      </c>
      <c r="G116" s="704" t="str">
        <f t="shared" si="997"/>
        <v>Incremental Cost</v>
      </c>
      <c r="H116" s="704">
        <f t="shared" si="997"/>
        <v>0</v>
      </c>
      <c r="I116" s="704">
        <f t="shared" si="997"/>
        <v>0</v>
      </c>
      <c r="J116" s="704">
        <f t="shared" si="997"/>
        <v>0</v>
      </c>
      <c r="K116" s="704">
        <f t="shared" si="997"/>
        <v>0</v>
      </c>
      <c r="L116" s="704">
        <f t="shared" si="997"/>
        <v>0</v>
      </c>
      <c r="M116" s="881" t="str">
        <f t="shared" si="997"/>
        <v>Email from John 11/4/21; ~$100/kit with savings of ~339 kWh/kit.</v>
      </c>
      <c r="N116" s="704">
        <f t="shared" si="997"/>
        <v>0</v>
      </c>
      <c r="O116" s="704">
        <f t="shared" si="997"/>
        <v>0</v>
      </c>
      <c r="P116" s="704">
        <f t="shared" si="997"/>
        <v>0</v>
      </c>
      <c r="Q116" s="704">
        <f t="shared" si="997"/>
        <v>0</v>
      </c>
      <c r="R116" s="1021">
        <f t="shared" si="997"/>
        <v>339</v>
      </c>
      <c r="S116" s="872">
        <f t="shared" si="997"/>
        <v>0</v>
      </c>
      <c r="T116" s="1022">
        <f t="shared" si="997"/>
        <v>0</v>
      </c>
      <c r="U116" s="711" t="str">
        <f t="shared" si="997"/>
        <v>Email from John 11/4/21; ~$100/kit with savings of ~339 kWh/kit.</v>
      </c>
      <c r="V116" s="716">
        <f t="shared" si="997"/>
        <v>0</v>
      </c>
      <c r="W116" s="711">
        <f t="shared" si="997"/>
        <v>1</v>
      </c>
      <c r="X116" s="781">
        <f t="shared" ref="X116:AJ116" si="998">X59/2</f>
        <v>0</v>
      </c>
      <c r="Y116" s="781">
        <f t="shared" si="998"/>
        <v>0</v>
      </c>
      <c r="Z116" s="781">
        <f t="shared" si="998"/>
        <v>0</v>
      </c>
      <c r="AA116" s="781">
        <f t="shared" si="998"/>
        <v>0</v>
      </c>
      <c r="AB116" s="781">
        <f t="shared" si="998"/>
        <v>0</v>
      </c>
      <c r="AC116" s="781">
        <f t="shared" si="998"/>
        <v>1250</v>
      </c>
      <c r="AD116" s="781">
        <f t="shared" si="998"/>
        <v>0</v>
      </c>
      <c r="AE116" s="781">
        <f t="shared" si="998"/>
        <v>0</v>
      </c>
      <c r="AF116" s="781">
        <f t="shared" si="998"/>
        <v>0</v>
      </c>
      <c r="AG116" s="781">
        <f t="shared" si="998"/>
        <v>0</v>
      </c>
      <c r="AH116" s="781">
        <f t="shared" si="998"/>
        <v>0</v>
      </c>
      <c r="AI116" s="781">
        <f t="shared" si="998"/>
        <v>0</v>
      </c>
      <c r="AJ116" s="781">
        <f t="shared" si="998"/>
        <v>0</v>
      </c>
      <c r="AK116" s="711" t="str">
        <f t="shared" ref="AK116:AZ116" si="999">AK59</f>
        <v>Electric</v>
      </c>
      <c r="AL116" s="711" t="str">
        <f t="shared" si="999"/>
        <v>Commercial</v>
      </c>
      <c r="AM116" s="711" t="str">
        <f t="shared" si="999"/>
        <v>Large Office</v>
      </c>
      <c r="AN116" s="711" t="str">
        <f t="shared" si="999"/>
        <v>Lighting</v>
      </c>
      <c r="AO116" s="711" t="str">
        <f t="shared" si="999"/>
        <v>Existing</v>
      </c>
      <c r="AP116" s="711">
        <f t="shared" si="999"/>
        <v>0</v>
      </c>
      <c r="AQ116" s="711">
        <f t="shared" si="999"/>
        <v>0</v>
      </c>
      <c r="AR116" s="711">
        <f t="shared" si="999"/>
        <v>0</v>
      </c>
      <c r="AS116" s="711" t="str">
        <f t="shared" si="999"/>
        <v>OFFLGInLight</v>
      </c>
      <c r="AT116" s="715" t="s">
        <v>745</v>
      </c>
      <c r="AU116" s="1065" t="s">
        <v>771</v>
      </c>
      <c r="AV116" s="711">
        <f t="shared" si="999"/>
        <v>8</v>
      </c>
      <c r="AW116" s="711">
        <f t="shared" si="999"/>
        <v>15</v>
      </c>
      <c r="AX116" s="711" t="s">
        <v>1487</v>
      </c>
      <c r="AY116" s="711">
        <f t="shared" si="999"/>
        <v>1</v>
      </c>
      <c r="AZ116" s="711">
        <f t="shared" si="999"/>
        <v>1</v>
      </c>
      <c r="BA116" s="1066">
        <f t="shared" si="823"/>
        <v>0</v>
      </c>
      <c r="BB116" s="721">
        <f t="shared" ref="BB116" si="1000">J116</f>
        <v>0</v>
      </c>
      <c r="BC116" s="499">
        <f t="shared" ref="BC116" si="1001">BB116</f>
        <v>0</v>
      </c>
      <c r="BD116" s="499">
        <f t="shared" ref="BD116" si="1002">BC116</f>
        <v>0</v>
      </c>
      <c r="BE116" s="499">
        <f t="shared" ref="BE116" si="1003">BD116</f>
        <v>0</v>
      </c>
      <c r="BF116" s="499">
        <f t="shared" ref="BF116" si="1004">BC116</f>
        <v>0</v>
      </c>
      <c r="BG116" s="499">
        <f t="shared" ref="BG116" si="1005">BD116</f>
        <v>0</v>
      </c>
      <c r="BH116" s="499">
        <f t="shared" ref="BH116" si="1006">BE116</f>
        <v>0</v>
      </c>
      <c r="BI116" s="721">
        <f t="shared" si="788"/>
        <v>0</v>
      </c>
      <c r="BJ116" s="499">
        <f t="shared" ref="BJ116" si="1007">BI116</f>
        <v>0</v>
      </c>
      <c r="BK116" s="499">
        <f t="shared" ref="BK116" si="1008">BJ116</f>
        <v>0</v>
      </c>
      <c r="BL116" s="499">
        <f t="shared" ref="BL116" si="1009">BK116</f>
        <v>0</v>
      </c>
      <c r="BM116" s="499">
        <f t="shared" ref="BM116" si="1010">BL116</f>
        <v>0</v>
      </c>
      <c r="BN116" s="499">
        <f t="shared" ref="BN116" si="1011">BM116</f>
        <v>0</v>
      </c>
      <c r="BO116" s="499">
        <f t="shared" ref="BO116" si="1012">BN116</f>
        <v>0</v>
      </c>
      <c r="BP116" s="721">
        <f t="shared" si="790"/>
        <v>0</v>
      </c>
      <c r="BQ116" s="499">
        <f t="shared" si="791"/>
        <v>0</v>
      </c>
      <c r="BR116" s="499">
        <f t="shared" ref="BR116" si="1013">BQ116</f>
        <v>0</v>
      </c>
      <c r="BS116" s="499">
        <f t="shared" ref="BS116" si="1014">BR116</f>
        <v>0</v>
      </c>
      <c r="BT116" s="499">
        <f t="shared" ref="BT116" si="1015">BS116</f>
        <v>0</v>
      </c>
      <c r="BU116" s="499">
        <f t="shared" ref="BU116" si="1016">BT116</f>
        <v>0</v>
      </c>
      <c r="BV116" s="499">
        <f t="shared" ref="BV116" si="1017">BU116</f>
        <v>0</v>
      </c>
      <c r="BW116" s="774">
        <f t="shared" si="802"/>
        <v>0</v>
      </c>
      <c r="BX116" s="503">
        <f t="shared" si="802"/>
        <v>0</v>
      </c>
      <c r="BY116" s="503">
        <f t="shared" si="802"/>
        <v>0</v>
      </c>
      <c r="BZ116" s="503">
        <f t="shared" si="802"/>
        <v>0</v>
      </c>
      <c r="CA116" s="503">
        <f t="shared" si="802"/>
        <v>0</v>
      </c>
      <c r="CB116" s="503">
        <f t="shared" si="802"/>
        <v>0</v>
      </c>
      <c r="CC116" s="503">
        <f t="shared" si="802"/>
        <v>0</v>
      </c>
      <c r="CD116" s="722">
        <f t="shared" si="792"/>
        <v>339</v>
      </c>
      <c r="CE116" s="511">
        <f t="shared" ref="CE116" si="1018">CD116</f>
        <v>339</v>
      </c>
      <c r="CF116" s="511">
        <f t="shared" ref="CF116" si="1019">CE116</f>
        <v>339</v>
      </c>
      <c r="CG116" s="511">
        <f t="shared" ref="CG116" si="1020">CF116</f>
        <v>339</v>
      </c>
      <c r="CH116" s="511">
        <f t="shared" ref="CH116" si="1021">CG116</f>
        <v>339</v>
      </c>
      <c r="CI116" s="511">
        <f t="shared" ref="CI116" si="1022">CH116</f>
        <v>339</v>
      </c>
      <c r="CJ116" s="511">
        <f t="shared" ref="CJ116" si="1023">CI116</f>
        <v>339</v>
      </c>
      <c r="CK116" s="722">
        <f t="shared" si="794"/>
        <v>0</v>
      </c>
      <c r="CL116" s="511">
        <f t="shared" ref="CL116" si="1024">CK116</f>
        <v>0</v>
      </c>
      <c r="CM116" s="511">
        <f t="shared" ref="CM116" si="1025">CL116</f>
        <v>0</v>
      </c>
      <c r="CN116" s="511">
        <f t="shared" ref="CN116" si="1026">CM116</f>
        <v>0</v>
      </c>
      <c r="CO116" s="511">
        <f t="shared" ref="CO116" si="1027">CN116</f>
        <v>0</v>
      </c>
      <c r="CP116" s="511">
        <f t="shared" ref="CP116" si="1028">CO116</f>
        <v>0</v>
      </c>
      <c r="CQ116" s="511">
        <f t="shared" ref="CQ116" si="1029">CP116</f>
        <v>0</v>
      </c>
      <c r="CR116" s="722">
        <f t="shared" si="796"/>
        <v>0</v>
      </c>
      <c r="CS116" s="511">
        <f t="shared" ref="CS116" si="1030">CR116</f>
        <v>0</v>
      </c>
      <c r="CT116" s="511">
        <f t="shared" ref="CT116" si="1031">CS116</f>
        <v>0</v>
      </c>
      <c r="CU116" s="511">
        <f t="shared" ref="CU116" si="1032">CT116</f>
        <v>0</v>
      </c>
      <c r="CV116" s="511">
        <f t="shared" ref="CV116" si="1033">CU116</f>
        <v>0</v>
      </c>
      <c r="CW116" s="511">
        <f t="shared" ref="CW116" si="1034">CV116</f>
        <v>0</v>
      </c>
      <c r="CX116" s="539">
        <f t="shared" ref="CX116" si="1035">CW116</f>
        <v>0</v>
      </c>
      <c r="CY116" s="724">
        <f t="shared" si="849"/>
        <v>0</v>
      </c>
      <c r="CZ116" s="508">
        <f t="shared" si="850"/>
        <v>0</v>
      </c>
      <c r="DA116" s="508">
        <f t="shared" si="851"/>
        <v>0</v>
      </c>
      <c r="DB116" s="508">
        <f t="shared" si="852"/>
        <v>0</v>
      </c>
      <c r="DC116" s="508">
        <f t="shared" si="853"/>
        <v>0</v>
      </c>
      <c r="DD116" s="508">
        <f t="shared" si="854"/>
        <v>0</v>
      </c>
      <c r="DE116" s="726">
        <f t="shared" si="855"/>
        <v>0</v>
      </c>
      <c r="DF116" s="724">
        <f t="shared" si="856"/>
        <v>0</v>
      </c>
      <c r="DG116" s="509">
        <f t="shared" si="857"/>
        <v>0</v>
      </c>
      <c r="DH116" s="509">
        <f t="shared" si="858"/>
        <v>0</v>
      </c>
      <c r="DI116" s="509">
        <f t="shared" si="859"/>
        <v>0</v>
      </c>
      <c r="DJ116" s="509">
        <f t="shared" si="860"/>
        <v>0</v>
      </c>
      <c r="DK116" s="509">
        <f t="shared" si="861"/>
        <v>0</v>
      </c>
      <c r="DL116" s="451">
        <f t="shared" si="862"/>
        <v>0</v>
      </c>
      <c r="DM116" s="509">
        <f t="shared" si="863"/>
        <v>0</v>
      </c>
      <c r="DN116" s="509">
        <f t="shared" si="864"/>
        <v>0</v>
      </c>
      <c r="DO116" s="509">
        <f t="shared" si="865"/>
        <v>0</v>
      </c>
      <c r="DP116" s="509">
        <f t="shared" si="866"/>
        <v>0</v>
      </c>
      <c r="DQ116" s="509">
        <f t="shared" si="867"/>
        <v>0</v>
      </c>
      <c r="DR116" s="509">
        <f t="shared" si="868"/>
        <v>0</v>
      </c>
      <c r="DS116" s="450">
        <f t="shared" si="869"/>
        <v>0</v>
      </c>
      <c r="DT116" s="724">
        <f t="shared" si="870"/>
        <v>0</v>
      </c>
      <c r="DU116" s="508">
        <f t="shared" si="871"/>
        <v>0</v>
      </c>
      <c r="DV116" s="508">
        <f t="shared" si="872"/>
        <v>0</v>
      </c>
      <c r="DW116" s="508">
        <f t="shared" si="873"/>
        <v>0</v>
      </c>
      <c r="DX116" s="508">
        <f t="shared" si="874"/>
        <v>0</v>
      </c>
      <c r="DY116" s="508">
        <f t="shared" si="875"/>
        <v>0</v>
      </c>
      <c r="DZ116" s="726">
        <f t="shared" si="876"/>
        <v>0</v>
      </c>
      <c r="EA116" s="722">
        <f t="shared" si="877"/>
        <v>0</v>
      </c>
      <c r="EB116" s="511">
        <f t="shared" si="878"/>
        <v>0</v>
      </c>
      <c r="EC116" s="511">
        <f t="shared" si="879"/>
        <v>0</v>
      </c>
      <c r="ED116" s="511">
        <f t="shared" si="880"/>
        <v>0</v>
      </c>
      <c r="EE116" s="511">
        <f t="shared" si="881"/>
        <v>0</v>
      </c>
      <c r="EF116" s="511">
        <f t="shared" si="882"/>
        <v>0</v>
      </c>
      <c r="EG116" s="723">
        <f t="shared" si="883"/>
        <v>0</v>
      </c>
      <c r="EH116" s="397">
        <f t="shared" si="884"/>
        <v>0</v>
      </c>
      <c r="EI116" s="397">
        <f t="shared" si="885"/>
        <v>0</v>
      </c>
      <c r="EJ116" s="397">
        <f t="shared" si="886"/>
        <v>0</v>
      </c>
      <c r="EK116" s="397">
        <f t="shared" si="887"/>
        <v>0</v>
      </c>
      <c r="EL116" s="397">
        <f t="shared" si="888"/>
        <v>0</v>
      </c>
      <c r="EM116" s="397">
        <f t="shared" si="889"/>
        <v>0</v>
      </c>
      <c r="EN116" s="398">
        <f t="shared" si="890"/>
        <v>0</v>
      </c>
      <c r="EO116" s="722">
        <f t="shared" si="891"/>
        <v>0</v>
      </c>
      <c r="EP116" s="511">
        <f t="shared" si="892"/>
        <v>0</v>
      </c>
      <c r="EQ116" s="511">
        <f t="shared" si="893"/>
        <v>0</v>
      </c>
      <c r="ER116" s="511">
        <f t="shared" si="894"/>
        <v>0</v>
      </c>
      <c r="ES116" s="511">
        <f t="shared" si="895"/>
        <v>0</v>
      </c>
      <c r="ET116" s="511">
        <f t="shared" si="896"/>
        <v>0</v>
      </c>
      <c r="EU116" s="723">
        <f t="shared" si="897"/>
        <v>0</v>
      </c>
      <c r="EV116" s="727">
        <f t="shared" si="898"/>
        <v>0</v>
      </c>
      <c r="EW116" s="728">
        <f t="shared" si="899"/>
        <v>0</v>
      </c>
      <c r="EX116" s="728">
        <f t="shared" si="900"/>
        <v>0</v>
      </c>
      <c r="EY116" s="728">
        <f t="shared" si="901"/>
        <v>0</v>
      </c>
      <c r="EZ116" s="728">
        <f t="shared" si="902"/>
        <v>0</v>
      </c>
      <c r="FA116" s="777">
        <f t="shared" si="903"/>
        <v>0</v>
      </c>
      <c r="FB116" s="777">
        <f t="shared" si="904"/>
        <v>0</v>
      </c>
      <c r="FC116" s="778">
        <f t="shared" si="905"/>
        <v>0</v>
      </c>
    </row>
    <row r="117" spans="1:162" s="10" customFormat="1" ht="12.5">
      <c r="A117" s="662" t="s">
        <v>239</v>
      </c>
      <c r="B117" s="789" t="s">
        <v>1409</v>
      </c>
      <c r="C117" s="789" t="str">
        <f t="shared" ref="C117:W117" si="1036">C60</f>
        <v>Any LED lamps or ballasts must also be ENERGY STAR® certified or listed on the Design Lights Consortium (DLC) qualified list.</v>
      </c>
      <c r="D117" s="789" t="str">
        <f t="shared" si="1036"/>
        <v>Outdoor pole/arm- or wall-mounted luminaire with a high intensity discharge light-source</v>
      </c>
      <c r="E117" s="789" t="str">
        <f t="shared" si="1036"/>
        <v>n/a</v>
      </c>
      <c r="F117" s="789" t="str">
        <f t="shared" si="1036"/>
        <v>Per Unit</v>
      </c>
      <c r="G117" s="704" t="str">
        <f t="shared" si="1036"/>
        <v>Incremental Cost</v>
      </c>
      <c r="H117" s="704">
        <f t="shared" si="1036"/>
        <v>489</v>
      </c>
      <c r="I117" s="704">
        <f t="shared" si="1036"/>
        <v>0</v>
      </c>
      <c r="J117" s="704">
        <f t="shared" si="1036"/>
        <v>489</v>
      </c>
      <c r="K117" s="704">
        <f t="shared" si="1036"/>
        <v>-2.0299999999999998</v>
      </c>
      <c r="L117" s="704">
        <f t="shared" si="1036"/>
        <v>244.5</v>
      </c>
      <c r="M117" s="881" t="str">
        <f t="shared" si="1036"/>
        <v>Costs estimated from Mid-Atlantic TRM v9: LED Outdoor Pole/Arm- or Wall-Mounted Area and Roadway Lighting Luminaires and Retrofit Kits; Cost is average of "LED Fixtures up to 150 W" and "LED Fixtures between 150W to 265W"</v>
      </c>
      <c r="N117" s="704">
        <f t="shared" si="1036"/>
        <v>35</v>
      </c>
      <c r="O117" s="704">
        <f t="shared" si="1036"/>
        <v>35</v>
      </c>
      <c r="P117" s="704">
        <f t="shared" si="1036"/>
        <v>0</v>
      </c>
      <c r="Q117" s="704">
        <f t="shared" si="1036"/>
        <v>0</v>
      </c>
      <c r="R117" s="1021">
        <f t="shared" si="1036"/>
        <v>313.77199999999999</v>
      </c>
      <c r="S117" s="872">
        <f t="shared" si="1036"/>
        <v>0</v>
      </c>
      <c r="T117" s="1022">
        <f t="shared" si="1036"/>
        <v>0</v>
      </c>
      <c r="U117" s="711" t="str">
        <f t="shared" si="1036"/>
        <v>Per unit savings estimate from Mid-Atlantic TRM v9 "LED Outdoor Pole/Arm- or Wall-Mounted Area and Roadway Lighting Luminaires and Retrofit Kits"</v>
      </c>
      <c r="V117" s="716">
        <f t="shared" si="1036"/>
        <v>0</v>
      </c>
      <c r="W117" s="711">
        <f t="shared" si="1036"/>
        <v>1</v>
      </c>
      <c r="X117" s="781">
        <f t="shared" ref="X117:AJ117" si="1037">X60/2</f>
        <v>0</v>
      </c>
      <c r="Y117" s="781">
        <f t="shared" si="1037"/>
        <v>0</v>
      </c>
      <c r="Z117" s="781">
        <f t="shared" si="1037"/>
        <v>0</v>
      </c>
      <c r="AA117" s="781">
        <f t="shared" si="1037"/>
        <v>0</v>
      </c>
      <c r="AB117" s="781">
        <f t="shared" si="1037"/>
        <v>0</v>
      </c>
      <c r="AC117" s="781">
        <f t="shared" si="1037"/>
        <v>0</v>
      </c>
      <c r="AD117" s="781">
        <f t="shared" si="1037"/>
        <v>0</v>
      </c>
      <c r="AE117" s="781">
        <f t="shared" si="1037"/>
        <v>0</v>
      </c>
      <c r="AF117" s="781">
        <f t="shared" si="1037"/>
        <v>0</v>
      </c>
      <c r="AG117" s="781">
        <f t="shared" si="1037"/>
        <v>0</v>
      </c>
      <c r="AH117" s="781">
        <f t="shared" si="1037"/>
        <v>0</v>
      </c>
      <c r="AI117" s="781">
        <f t="shared" si="1037"/>
        <v>0</v>
      </c>
      <c r="AJ117" s="781">
        <f t="shared" si="1037"/>
        <v>0</v>
      </c>
      <c r="AK117" s="711" t="str">
        <f t="shared" ref="AK117:AZ117" si="1038">AK60</f>
        <v>Electric</v>
      </c>
      <c r="AL117" s="711" t="str">
        <f t="shared" si="1038"/>
        <v>Commercial</v>
      </c>
      <c r="AM117" s="711" t="str">
        <f t="shared" si="1038"/>
        <v>Large Office</v>
      </c>
      <c r="AN117" s="711" t="str">
        <f t="shared" si="1038"/>
        <v>Lighting</v>
      </c>
      <c r="AO117" s="711" t="str">
        <f t="shared" si="1038"/>
        <v>Existing</v>
      </c>
      <c r="AP117" s="711">
        <f t="shared" si="1038"/>
        <v>0</v>
      </c>
      <c r="AQ117" s="711">
        <f t="shared" si="1038"/>
        <v>0</v>
      </c>
      <c r="AR117" s="711">
        <f t="shared" si="1038"/>
        <v>0</v>
      </c>
      <c r="AS117" s="711" t="str">
        <f t="shared" si="1038"/>
        <v>OFFLGInLight</v>
      </c>
      <c r="AT117" s="715" t="s">
        <v>745</v>
      </c>
      <c r="AU117" s="1065" t="s">
        <v>771</v>
      </c>
      <c r="AV117" s="711">
        <f t="shared" si="1038"/>
        <v>19</v>
      </c>
      <c r="AW117" s="711">
        <f t="shared" si="1038"/>
        <v>15</v>
      </c>
      <c r="AX117" s="711" t="s">
        <v>2718</v>
      </c>
      <c r="AY117" s="711">
        <f t="shared" si="1038"/>
        <v>1</v>
      </c>
      <c r="AZ117" s="711">
        <f t="shared" si="1038"/>
        <v>1</v>
      </c>
      <c r="BA117" s="1066">
        <f t="shared" si="823"/>
        <v>0</v>
      </c>
      <c r="BB117" s="721">
        <f t="shared" si="493"/>
        <v>489</v>
      </c>
      <c r="BC117" s="499">
        <f t="shared" si="494"/>
        <v>489</v>
      </c>
      <c r="BD117" s="499">
        <f t="shared" si="495"/>
        <v>489</v>
      </c>
      <c r="BE117" s="499">
        <f t="shared" si="496"/>
        <v>489</v>
      </c>
      <c r="BF117" s="499">
        <f t="shared" si="497"/>
        <v>489</v>
      </c>
      <c r="BG117" s="499">
        <f t="shared" si="498"/>
        <v>489</v>
      </c>
      <c r="BH117" s="499">
        <f t="shared" si="499"/>
        <v>489</v>
      </c>
      <c r="BI117" s="721">
        <f t="shared" si="788"/>
        <v>-2.0299999999999998</v>
      </c>
      <c r="BJ117" s="499">
        <f t="shared" ref="BJ117:BM117" si="1039">BI117</f>
        <v>-2.0299999999999998</v>
      </c>
      <c r="BK117" s="499">
        <f t="shared" si="1039"/>
        <v>-2.0299999999999998</v>
      </c>
      <c r="BL117" s="499">
        <f t="shared" si="1039"/>
        <v>-2.0299999999999998</v>
      </c>
      <c r="BM117" s="499">
        <f t="shared" si="1039"/>
        <v>-2.0299999999999998</v>
      </c>
      <c r="BN117" s="499">
        <f t="shared" si="501"/>
        <v>-2.0299999999999998</v>
      </c>
      <c r="BO117" s="499">
        <f t="shared" si="502"/>
        <v>-2.0299999999999998</v>
      </c>
      <c r="BP117" s="721">
        <f t="shared" si="790"/>
        <v>35</v>
      </c>
      <c r="BQ117" s="499">
        <f t="shared" si="791"/>
        <v>35</v>
      </c>
      <c r="BR117" s="499">
        <f t="shared" si="503"/>
        <v>35</v>
      </c>
      <c r="BS117" s="499">
        <f t="shared" si="504"/>
        <v>35</v>
      </c>
      <c r="BT117" s="499">
        <f t="shared" si="505"/>
        <v>35</v>
      </c>
      <c r="BU117" s="499">
        <f t="shared" si="506"/>
        <v>35</v>
      </c>
      <c r="BV117" s="499">
        <f t="shared" si="507"/>
        <v>35</v>
      </c>
      <c r="BW117" s="774">
        <f t="shared" si="802"/>
        <v>0</v>
      </c>
      <c r="BX117" s="503">
        <f t="shared" si="802"/>
        <v>0</v>
      </c>
      <c r="BY117" s="503">
        <f t="shared" si="802"/>
        <v>0</v>
      </c>
      <c r="BZ117" s="503">
        <f t="shared" si="802"/>
        <v>0</v>
      </c>
      <c r="CA117" s="503">
        <f t="shared" si="802"/>
        <v>0</v>
      </c>
      <c r="CB117" s="503">
        <f t="shared" si="802"/>
        <v>0</v>
      </c>
      <c r="CC117" s="503">
        <f t="shared" si="802"/>
        <v>0</v>
      </c>
      <c r="CD117" s="722">
        <f t="shared" si="792"/>
        <v>313.77199999999999</v>
      </c>
      <c r="CE117" s="511">
        <f t="shared" ref="CE117:CH117" si="1040">CD117</f>
        <v>313.77199999999999</v>
      </c>
      <c r="CF117" s="511">
        <f t="shared" si="1040"/>
        <v>313.77199999999999</v>
      </c>
      <c r="CG117" s="511">
        <f t="shared" si="1040"/>
        <v>313.77199999999999</v>
      </c>
      <c r="CH117" s="511">
        <f t="shared" si="1040"/>
        <v>313.77199999999999</v>
      </c>
      <c r="CI117" s="511">
        <f t="shared" si="510"/>
        <v>313.77199999999999</v>
      </c>
      <c r="CJ117" s="511">
        <f t="shared" si="511"/>
        <v>313.77199999999999</v>
      </c>
      <c r="CK117" s="722">
        <f t="shared" si="794"/>
        <v>0</v>
      </c>
      <c r="CL117" s="511">
        <f t="shared" ref="CL117:CO117" si="1041">CK117</f>
        <v>0</v>
      </c>
      <c r="CM117" s="511">
        <f t="shared" si="1041"/>
        <v>0</v>
      </c>
      <c r="CN117" s="511">
        <f t="shared" si="1041"/>
        <v>0</v>
      </c>
      <c r="CO117" s="511">
        <f t="shared" si="1041"/>
        <v>0</v>
      </c>
      <c r="CP117" s="511">
        <f t="shared" si="513"/>
        <v>0</v>
      </c>
      <c r="CQ117" s="511">
        <f t="shared" si="514"/>
        <v>0</v>
      </c>
      <c r="CR117" s="722">
        <f t="shared" si="796"/>
        <v>0</v>
      </c>
      <c r="CS117" s="511">
        <f t="shared" ref="CS117:CV117" si="1042">CR117</f>
        <v>0</v>
      </c>
      <c r="CT117" s="511">
        <f t="shared" si="1042"/>
        <v>0</v>
      </c>
      <c r="CU117" s="511">
        <f t="shared" si="1042"/>
        <v>0</v>
      </c>
      <c r="CV117" s="511">
        <f t="shared" si="1042"/>
        <v>0</v>
      </c>
      <c r="CW117" s="511">
        <f t="shared" si="516"/>
        <v>0</v>
      </c>
      <c r="CX117" s="539">
        <f t="shared" si="517"/>
        <v>0</v>
      </c>
      <c r="CY117" s="724">
        <f t="shared" si="849"/>
        <v>0</v>
      </c>
      <c r="CZ117" s="508">
        <f t="shared" si="850"/>
        <v>0</v>
      </c>
      <c r="DA117" s="508">
        <f t="shared" si="851"/>
        <v>0</v>
      </c>
      <c r="DB117" s="508">
        <f t="shared" si="852"/>
        <v>0</v>
      </c>
      <c r="DC117" s="508">
        <f t="shared" si="853"/>
        <v>0</v>
      </c>
      <c r="DD117" s="508">
        <f t="shared" si="854"/>
        <v>0</v>
      </c>
      <c r="DE117" s="726">
        <f t="shared" si="855"/>
        <v>0</v>
      </c>
      <c r="DF117" s="724">
        <f t="shared" si="856"/>
        <v>0</v>
      </c>
      <c r="DG117" s="509">
        <f t="shared" si="857"/>
        <v>0</v>
      </c>
      <c r="DH117" s="509">
        <f t="shared" si="858"/>
        <v>0</v>
      </c>
      <c r="DI117" s="509">
        <f t="shared" si="859"/>
        <v>0</v>
      </c>
      <c r="DJ117" s="509">
        <f t="shared" si="860"/>
        <v>0</v>
      </c>
      <c r="DK117" s="509">
        <f t="shared" si="861"/>
        <v>0</v>
      </c>
      <c r="DL117" s="451">
        <f t="shared" si="862"/>
        <v>0</v>
      </c>
      <c r="DM117" s="509">
        <f t="shared" si="863"/>
        <v>0</v>
      </c>
      <c r="DN117" s="509">
        <f t="shared" si="864"/>
        <v>0</v>
      </c>
      <c r="DO117" s="509">
        <f t="shared" si="865"/>
        <v>0</v>
      </c>
      <c r="DP117" s="509">
        <f t="shared" si="866"/>
        <v>0</v>
      </c>
      <c r="DQ117" s="509">
        <f t="shared" si="867"/>
        <v>0</v>
      </c>
      <c r="DR117" s="509">
        <f t="shared" si="868"/>
        <v>0</v>
      </c>
      <c r="DS117" s="450">
        <f t="shared" si="869"/>
        <v>0</v>
      </c>
      <c r="DT117" s="724">
        <f t="shared" si="870"/>
        <v>0</v>
      </c>
      <c r="DU117" s="508">
        <f t="shared" si="871"/>
        <v>0</v>
      </c>
      <c r="DV117" s="508">
        <f t="shared" si="872"/>
        <v>0</v>
      </c>
      <c r="DW117" s="508">
        <f t="shared" si="873"/>
        <v>0</v>
      </c>
      <c r="DX117" s="508">
        <f t="shared" si="874"/>
        <v>0</v>
      </c>
      <c r="DY117" s="508">
        <f t="shared" si="875"/>
        <v>0</v>
      </c>
      <c r="DZ117" s="726">
        <f t="shared" si="876"/>
        <v>0</v>
      </c>
      <c r="EA117" s="722">
        <f t="shared" si="877"/>
        <v>0</v>
      </c>
      <c r="EB117" s="511">
        <f t="shared" si="878"/>
        <v>0</v>
      </c>
      <c r="EC117" s="511">
        <f t="shared" si="879"/>
        <v>0</v>
      </c>
      <c r="ED117" s="511">
        <f t="shared" si="880"/>
        <v>0</v>
      </c>
      <c r="EE117" s="511">
        <f t="shared" si="881"/>
        <v>0</v>
      </c>
      <c r="EF117" s="511">
        <f t="shared" si="882"/>
        <v>0</v>
      </c>
      <c r="EG117" s="723">
        <f t="shared" si="883"/>
        <v>0</v>
      </c>
      <c r="EH117" s="397">
        <f t="shared" si="884"/>
        <v>0</v>
      </c>
      <c r="EI117" s="397">
        <f t="shared" si="885"/>
        <v>0</v>
      </c>
      <c r="EJ117" s="397">
        <f t="shared" si="886"/>
        <v>0</v>
      </c>
      <c r="EK117" s="397">
        <f t="shared" si="887"/>
        <v>0</v>
      </c>
      <c r="EL117" s="397">
        <f t="shared" si="888"/>
        <v>0</v>
      </c>
      <c r="EM117" s="397">
        <f t="shared" si="889"/>
        <v>0</v>
      </c>
      <c r="EN117" s="398">
        <f t="shared" si="890"/>
        <v>0</v>
      </c>
      <c r="EO117" s="722">
        <f t="shared" si="891"/>
        <v>0</v>
      </c>
      <c r="EP117" s="511">
        <f t="shared" si="892"/>
        <v>0</v>
      </c>
      <c r="EQ117" s="511">
        <f t="shared" si="893"/>
        <v>0</v>
      </c>
      <c r="ER117" s="511">
        <f t="shared" si="894"/>
        <v>0</v>
      </c>
      <c r="ES117" s="511">
        <f t="shared" si="895"/>
        <v>0</v>
      </c>
      <c r="ET117" s="511">
        <f t="shared" si="896"/>
        <v>0</v>
      </c>
      <c r="EU117" s="723">
        <f t="shared" si="897"/>
        <v>0</v>
      </c>
      <c r="EV117" s="727">
        <f t="shared" si="898"/>
        <v>0</v>
      </c>
      <c r="EW117" s="728">
        <f t="shared" si="899"/>
        <v>0</v>
      </c>
      <c r="EX117" s="728">
        <f t="shared" si="900"/>
        <v>0</v>
      </c>
      <c r="EY117" s="728">
        <f t="shared" si="901"/>
        <v>0</v>
      </c>
      <c r="EZ117" s="728">
        <f t="shared" si="902"/>
        <v>0</v>
      </c>
      <c r="FA117" s="777">
        <f t="shared" si="903"/>
        <v>0</v>
      </c>
      <c r="FB117" s="777">
        <f t="shared" si="904"/>
        <v>0</v>
      </c>
      <c r="FC117" s="778">
        <f t="shared" si="905"/>
        <v>0</v>
      </c>
    </row>
    <row r="118" spans="1:162" s="10" customFormat="1" ht="12.5">
      <c r="A118" s="662" t="s">
        <v>240</v>
      </c>
      <c r="B118" s="789" t="s">
        <v>1410</v>
      </c>
      <c r="C118" s="789" t="str">
        <f t="shared" ref="C118:W118" si="1043">C61</f>
        <v>Any LED lamps or ballasts must also be ENERGY STAR® certified or listed on the Design Lights Consortium (DLC) qualified list.</v>
      </c>
      <c r="D118" s="789" t="str">
        <f t="shared" si="1043"/>
        <v>Outdoor pole/arm- or wall-mounted luminaire with a high intensity discharge light-source</v>
      </c>
      <c r="E118" s="789" t="str">
        <f t="shared" si="1043"/>
        <v>n/a</v>
      </c>
      <c r="F118" s="789" t="str">
        <f t="shared" si="1043"/>
        <v>Per Unit</v>
      </c>
      <c r="G118" s="704" t="str">
        <f t="shared" si="1043"/>
        <v>Incremental Cost</v>
      </c>
      <c r="H118" s="704">
        <f t="shared" si="1043"/>
        <v>750</v>
      </c>
      <c r="I118" s="704">
        <f t="shared" si="1043"/>
        <v>0</v>
      </c>
      <c r="J118" s="704">
        <f t="shared" si="1043"/>
        <v>750</v>
      </c>
      <c r="K118" s="704">
        <f t="shared" si="1043"/>
        <v>-2.0299999999999998</v>
      </c>
      <c r="L118" s="704">
        <f t="shared" si="1043"/>
        <v>375</v>
      </c>
      <c r="M118" s="881" t="str">
        <f t="shared" si="1043"/>
        <v>Costs estimated from Mid-Atlantic TRM v9: LED LED Outdoor Pole/Arm- or Wall-Mounted Area and Roadway Lighting Luminaires and Retrofit Kits; Cost is for "LED Fixtures between 150W to 265W"</v>
      </c>
      <c r="N118" s="704">
        <f t="shared" si="1043"/>
        <v>55</v>
      </c>
      <c r="O118" s="704">
        <f t="shared" si="1043"/>
        <v>55</v>
      </c>
      <c r="P118" s="704">
        <f t="shared" si="1043"/>
        <v>0</v>
      </c>
      <c r="Q118" s="704">
        <f t="shared" si="1043"/>
        <v>0</v>
      </c>
      <c r="R118" s="1021">
        <f t="shared" si="1043"/>
        <v>952.99899999999991</v>
      </c>
      <c r="S118" s="872">
        <f t="shared" si="1043"/>
        <v>0</v>
      </c>
      <c r="T118" s="1022">
        <f t="shared" si="1043"/>
        <v>0</v>
      </c>
      <c r="U118" s="711" t="str">
        <f t="shared" si="1043"/>
        <v>Per unit savings estimate from Mid-Atlantic TRM v9 "LED Outdoor Pole/Arm- or Wall-Mounted Area and Roadway Lighting Luminaires and Retrofit Kits"</v>
      </c>
      <c r="V118" s="716">
        <f t="shared" si="1043"/>
        <v>0</v>
      </c>
      <c r="W118" s="711">
        <f t="shared" si="1043"/>
        <v>1</v>
      </c>
      <c r="X118" s="781">
        <f t="shared" ref="X118:AJ118" si="1044">X61/2</f>
        <v>0</v>
      </c>
      <c r="Y118" s="781">
        <f t="shared" si="1044"/>
        <v>0</v>
      </c>
      <c r="Z118" s="781">
        <f t="shared" si="1044"/>
        <v>0</v>
      </c>
      <c r="AA118" s="781">
        <f t="shared" si="1044"/>
        <v>750.85714285714278</v>
      </c>
      <c r="AB118" s="781">
        <f t="shared" si="1044"/>
        <v>375.42857142857139</v>
      </c>
      <c r="AC118" s="781">
        <f t="shared" si="1044"/>
        <v>375.5</v>
      </c>
      <c r="AD118" s="781">
        <f t="shared" si="1044"/>
        <v>375.5</v>
      </c>
      <c r="AE118" s="781">
        <f t="shared" si="1044"/>
        <v>375.5</v>
      </c>
      <c r="AF118" s="781">
        <f t="shared" si="1044"/>
        <v>375.5</v>
      </c>
      <c r="AG118" s="781">
        <f t="shared" si="1044"/>
        <v>375.5</v>
      </c>
      <c r="AH118" s="781">
        <f t="shared" si="1044"/>
        <v>375.5</v>
      </c>
      <c r="AI118" s="781">
        <f t="shared" si="1044"/>
        <v>375.5</v>
      </c>
      <c r="AJ118" s="781">
        <f t="shared" si="1044"/>
        <v>375.5</v>
      </c>
      <c r="AK118" s="711" t="str">
        <f t="shared" ref="AK118:AZ118" si="1045">AK61</f>
        <v>Electric</v>
      </c>
      <c r="AL118" s="711" t="str">
        <f t="shared" si="1045"/>
        <v>Commercial</v>
      </c>
      <c r="AM118" s="711" t="str">
        <f t="shared" si="1045"/>
        <v>Large Office</v>
      </c>
      <c r="AN118" s="711" t="str">
        <f t="shared" si="1045"/>
        <v>Lighting</v>
      </c>
      <c r="AO118" s="711" t="str">
        <f t="shared" si="1045"/>
        <v>Existing</v>
      </c>
      <c r="AP118" s="711">
        <f t="shared" si="1045"/>
        <v>0</v>
      </c>
      <c r="AQ118" s="711">
        <f t="shared" si="1045"/>
        <v>0</v>
      </c>
      <c r="AR118" s="711">
        <f t="shared" si="1045"/>
        <v>0</v>
      </c>
      <c r="AS118" s="711" t="str">
        <f t="shared" si="1045"/>
        <v>OFFLGInLight</v>
      </c>
      <c r="AT118" s="715" t="s">
        <v>745</v>
      </c>
      <c r="AU118" s="1065" t="s">
        <v>771</v>
      </c>
      <c r="AV118" s="711">
        <f t="shared" si="1045"/>
        <v>19</v>
      </c>
      <c r="AW118" s="711">
        <f t="shared" si="1045"/>
        <v>15</v>
      </c>
      <c r="AX118" s="711" t="s">
        <v>2718</v>
      </c>
      <c r="AY118" s="711">
        <f t="shared" si="1045"/>
        <v>1</v>
      </c>
      <c r="AZ118" s="711">
        <f t="shared" si="1045"/>
        <v>1</v>
      </c>
      <c r="BA118" s="1066">
        <f t="shared" si="823"/>
        <v>0</v>
      </c>
      <c r="BB118" s="721">
        <f t="shared" si="493"/>
        <v>750</v>
      </c>
      <c r="BC118" s="499">
        <f t="shared" si="494"/>
        <v>750</v>
      </c>
      <c r="BD118" s="499">
        <f t="shared" si="495"/>
        <v>750</v>
      </c>
      <c r="BE118" s="499">
        <f t="shared" si="496"/>
        <v>750</v>
      </c>
      <c r="BF118" s="499">
        <f t="shared" si="497"/>
        <v>750</v>
      </c>
      <c r="BG118" s="499">
        <f t="shared" si="498"/>
        <v>750</v>
      </c>
      <c r="BH118" s="499">
        <f t="shared" si="499"/>
        <v>750</v>
      </c>
      <c r="BI118" s="721">
        <f t="shared" si="788"/>
        <v>-2.0299999999999998</v>
      </c>
      <c r="BJ118" s="499">
        <f t="shared" ref="BJ118:BM118" si="1046">BI118</f>
        <v>-2.0299999999999998</v>
      </c>
      <c r="BK118" s="499">
        <f t="shared" si="1046"/>
        <v>-2.0299999999999998</v>
      </c>
      <c r="BL118" s="499">
        <f t="shared" si="1046"/>
        <v>-2.0299999999999998</v>
      </c>
      <c r="BM118" s="499">
        <f t="shared" si="1046"/>
        <v>-2.0299999999999998</v>
      </c>
      <c r="BN118" s="499">
        <f t="shared" si="501"/>
        <v>-2.0299999999999998</v>
      </c>
      <c r="BO118" s="499">
        <f t="shared" si="502"/>
        <v>-2.0299999999999998</v>
      </c>
      <c r="BP118" s="721">
        <f t="shared" si="790"/>
        <v>55</v>
      </c>
      <c r="BQ118" s="499">
        <f t="shared" si="791"/>
        <v>55</v>
      </c>
      <c r="BR118" s="499">
        <f t="shared" si="503"/>
        <v>55</v>
      </c>
      <c r="BS118" s="499">
        <f t="shared" si="504"/>
        <v>55</v>
      </c>
      <c r="BT118" s="499">
        <f t="shared" si="505"/>
        <v>55</v>
      </c>
      <c r="BU118" s="499">
        <f t="shared" si="506"/>
        <v>55</v>
      </c>
      <c r="BV118" s="499">
        <f t="shared" si="507"/>
        <v>55</v>
      </c>
      <c r="BW118" s="774">
        <f t="shared" si="802"/>
        <v>0</v>
      </c>
      <c r="BX118" s="503">
        <f t="shared" si="802"/>
        <v>0</v>
      </c>
      <c r="BY118" s="503">
        <f t="shared" si="802"/>
        <v>0</v>
      </c>
      <c r="BZ118" s="503">
        <f t="shared" si="802"/>
        <v>0</v>
      </c>
      <c r="CA118" s="503">
        <f t="shared" si="802"/>
        <v>0</v>
      </c>
      <c r="CB118" s="503">
        <f t="shared" si="802"/>
        <v>0</v>
      </c>
      <c r="CC118" s="503">
        <f t="shared" si="802"/>
        <v>0</v>
      </c>
      <c r="CD118" s="722">
        <f t="shared" si="792"/>
        <v>952.99899999999991</v>
      </c>
      <c r="CE118" s="511">
        <f t="shared" ref="CE118:CH118" si="1047">CD118</f>
        <v>952.99899999999991</v>
      </c>
      <c r="CF118" s="511">
        <f t="shared" si="1047"/>
        <v>952.99899999999991</v>
      </c>
      <c r="CG118" s="511">
        <f t="shared" si="1047"/>
        <v>952.99899999999991</v>
      </c>
      <c r="CH118" s="511">
        <f t="shared" si="1047"/>
        <v>952.99899999999991</v>
      </c>
      <c r="CI118" s="511">
        <f t="shared" si="510"/>
        <v>952.99899999999991</v>
      </c>
      <c r="CJ118" s="511">
        <f t="shared" si="511"/>
        <v>952.99899999999991</v>
      </c>
      <c r="CK118" s="722">
        <f t="shared" si="794"/>
        <v>0</v>
      </c>
      <c r="CL118" s="511">
        <f t="shared" ref="CL118:CO118" si="1048">CK118</f>
        <v>0</v>
      </c>
      <c r="CM118" s="511">
        <f t="shared" si="1048"/>
        <v>0</v>
      </c>
      <c r="CN118" s="511">
        <f t="shared" si="1048"/>
        <v>0</v>
      </c>
      <c r="CO118" s="511">
        <f t="shared" si="1048"/>
        <v>0</v>
      </c>
      <c r="CP118" s="511">
        <f t="shared" si="513"/>
        <v>0</v>
      </c>
      <c r="CQ118" s="511">
        <f t="shared" si="514"/>
        <v>0</v>
      </c>
      <c r="CR118" s="722">
        <f t="shared" si="796"/>
        <v>0</v>
      </c>
      <c r="CS118" s="511">
        <f t="shared" ref="CS118:CV118" si="1049">CR118</f>
        <v>0</v>
      </c>
      <c r="CT118" s="511">
        <f t="shared" si="1049"/>
        <v>0</v>
      </c>
      <c r="CU118" s="511">
        <f t="shared" si="1049"/>
        <v>0</v>
      </c>
      <c r="CV118" s="511">
        <f t="shared" si="1049"/>
        <v>0</v>
      </c>
      <c r="CW118" s="511">
        <f t="shared" si="516"/>
        <v>0</v>
      </c>
      <c r="CX118" s="539">
        <f t="shared" si="517"/>
        <v>0</v>
      </c>
      <c r="CY118" s="724">
        <f t="shared" si="849"/>
        <v>281625</v>
      </c>
      <c r="CZ118" s="508">
        <f t="shared" si="850"/>
        <v>281625</v>
      </c>
      <c r="DA118" s="508">
        <f t="shared" si="851"/>
        <v>281625</v>
      </c>
      <c r="DB118" s="508">
        <f t="shared" si="852"/>
        <v>281625</v>
      </c>
      <c r="DC118" s="508">
        <f t="shared" si="853"/>
        <v>281625</v>
      </c>
      <c r="DD118" s="508">
        <f t="shared" si="854"/>
        <v>281625</v>
      </c>
      <c r="DE118" s="726">
        <f t="shared" si="855"/>
        <v>281625</v>
      </c>
      <c r="DF118" s="724">
        <f t="shared" si="856"/>
        <v>-762.26499999999987</v>
      </c>
      <c r="DG118" s="509">
        <f t="shared" si="857"/>
        <v>-762.26499999999987</v>
      </c>
      <c r="DH118" s="509">
        <f t="shared" si="858"/>
        <v>-762.26499999999987</v>
      </c>
      <c r="DI118" s="509">
        <f t="shared" si="859"/>
        <v>-762.26499999999987</v>
      </c>
      <c r="DJ118" s="509">
        <f t="shared" si="860"/>
        <v>-762.26499999999987</v>
      </c>
      <c r="DK118" s="509">
        <f t="shared" si="861"/>
        <v>-762.26499999999987</v>
      </c>
      <c r="DL118" s="451">
        <f t="shared" si="862"/>
        <v>-762.26499999999987</v>
      </c>
      <c r="DM118" s="509">
        <f t="shared" si="863"/>
        <v>20652.5</v>
      </c>
      <c r="DN118" s="509">
        <f t="shared" si="864"/>
        <v>20652.5</v>
      </c>
      <c r="DO118" s="509">
        <f t="shared" si="865"/>
        <v>20652.5</v>
      </c>
      <c r="DP118" s="509">
        <f t="shared" si="866"/>
        <v>20652.5</v>
      </c>
      <c r="DQ118" s="509">
        <f t="shared" si="867"/>
        <v>20652.5</v>
      </c>
      <c r="DR118" s="509">
        <f t="shared" si="868"/>
        <v>20652.5</v>
      </c>
      <c r="DS118" s="450">
        <f t="shared" si="869"/>
        <v>20652.5</v>
      </c>
      <c r="DT118" s="724">
        <f t="shared" si="870"/>
        <v>0</v>
      </c>
      <c r="DU118" s="508">
        <f t="shared" si="871"/>
        <v>0</v>
      </c>
      <c r="DV118" s="508">
        <f t="shared" si="872"/>
        <v>0</v>
      </c>
      <c r="DW118" s="508">
        <f t="shared" si="873"/>
        <v>0</v>
      </c>
      <c r="DX118" s="508">
        <f t="shared" si="874"/>
        <v>0</v>
      </c>
      <c r="DY118" s="508">
        <f t="shared" si="875"/>
        <v>0</v>
      </c>
      <c r="DZ118" s="726">
        <f t="shared" si="876"/>
        <v>0</v>
      </c>
      <c r="EA118" s="722">
        <f t="shared" si="877"/>
        <v>357851.12449999998</v>
      </c>
      <c r="EB118" s="511">
        <f t="shared" si="878"/>
        <v>357851.12449999998</v>
      </c>
      <c r="EC118" s="511">
        <f t="shared" si="879"/>
        <v>357851.12449999998</v>
      </c>
      <c r="ED118" s="511">
        <f t="shared" si="880"/>
        <v>357851.12449999998</v>
      </c>
      <c r="EE118" s="511">
        <f t="shared" si="881"/>
        <v>357851.12449999998</v>
      </c>
      <c r="EF118" s="511">
        <f t="shared" si="882"/>
        <v>357851.12449999998</v>
      </c>
      <c r="EG118" s="723">
        <f t="shared" si="883"/>
        <v>357851.12449999998</v>
      </c>
      <c r="EH118" s="397">
        <f t="shared" si="884"/>
        <v>0</v>
      </c>
      <c r="EI118" s="397">
        <f t="shared" si="885"/>
        <v>0</v>
      </c>
      <c r="EJ118" s="397">
        <f t="shared" si="886"/>
        <v>0</v>
      </c>
      <c r="EK118" s="397">
        <f t="shared" si="887"/>
        <v>0</v>
      </c>
      <c r="EL118" s="397">
        <f t="shared" si="888"/>
        <v>0</v>
      </c>
      <c r="EM118" s="397">
        <f t="shared" si="889"/>
        <v>0</v>
      </c>
      <c r="EN118" s="398">
        <f t="shared" si="890"/>
        <v>0</v>
      </c>
      <c r="EO118" s="722">
        <f t="shared" si="891"/>
        <v>0</v>
      </c>
      <c r="EP118" s="511">
        <f t="shared" si="892"/>
        <v>0</v>
      </c>
      <c r="EQ118" s="511">
        <f t="shared" si="893"/>
        <v>0</v>
      </c>
      <c r="ER118" s="511">
        <f t="shared" si="894"/>
        <v>0</v>
      </c>
      <c r="ES118" s="511">
        <f t="shared" si="895"/>
        <v>0</v>
      </c>
      <c r="ET118" s="511">
        <f t="shared" si="896"/>
        <v>0</v>
      </c>
      <c r="EU118" s="723">
        <f t="shared" si="897"/>
        <v>0</v>
      </c>
      <c r="EV118" s="727">
        <f t="shared" si="898"/>
        <v>1126.5</v>
      </c>
      <c r="EW118" s="728">
        <f t="shared" si="899"/>
        <v>1971375</v>
      </c>
      <c r="EX118" s="728">
        <f t="shared" si="900"/>
        <v>-5335.8549999999996</v>
      </c>
      <c r="EY118" s="728">
        <f t="shared" si="901"/>
        <v>144567.5</v>
      </c>
      <c r="EZ118" s="728">
        <f t="shared" si="902"/>
        <v>0</v>
      </c>
      <c r="FA118" s="777">
        <f t="shared" si="903"/>
        <v>2504957.8714999999</v>
      </c>
      <c r="FB118" s="777">
        <f t="shared" si="904"/>
        <v>0</v>
      </c>
      <c r="FC118" s="778">
        <f t="shared" si="905"/>
        <v>0</v>
      </c>
    </row>
    <row r="119" spans="1:162" s="10" customFormat="1" ht="12.5">
      <c r="A119" s="1036"/>
      <c r="B119" s="1037"/>
      <c r="C119" s="1036"/>
      <c r="D119" s="1038"/>
      <c r="E119" s="1037"/>
      <c r="F119" s="1037"/>
      <c r="G119" s="1039"/>
      <c r="H119" s="1040"/>
      <c r="I119" s="1038"/>
      <c r="J119" s="1041"/>
      <c r="K119" s="1038"/>
      <c r="L119" s="1041"/>
      <c r="M119" s="1038"/>
      <c r="N119" s="1042"/>
      <c r="O119" s="1039"/>
      <c r="P119" s="1038"/>
      <c r="Q119" s="1038"/>
      <c r="R119" s="1043"/>
      <c r="S119" s="1044"/>
      <c r="T119" s="1045"/>
      <c r="U119" s="1038"/>
      <c r="V119" s="1046"/>
      <c r="W119" s="1047"/>
      <c r="X119" s="1047"/>
      <c r="Y119" s="1047"/>
      <c r="Z119" s="1047"/>
      <c r="AA119" s="1047"/>
      <c r="AB119" s="1047"/>
      <c r="AC119" s="1047"/>
      <c r="AD119" s="1047"/>
      <c r="AE119" s="1047"/>
      <c r="AF119" s="1047"/>
      <c r="AG119" s="1047"/>
      <c r="AH119" s="1047"/>
      <c r="AI119" s="1047"/>
      <c r="AJ119" s="1047"/>
      <c r="AK119" s="1038"/>
      <c r="AL119" s="1038"/>
      <c r="AM119" s="1048"/>
      <c r="AN119" s="1048"/>
      <c r="AO119" s="1048"/>
      <c r="AP119" s="1042"/>
      <c r="AQ119" s="1042"/>
      <c r="AR119" s="1042"/>
      <c r="AS119" s="1042"/>
      <c r="AT119" s="1042"/>
      <c r="AU119" s="1042"/>
      <c r="AV119" s="1038"/>
      <c r="AW119" s="1038"/>
      <c r="AX119" s="1038"/>
      <c r="AY119" s="1049"/>
      <c r="AZ119" s="1049"/>
      <c r="BA119" s="1050"/>
      <c r="BB119" s="1051"/>
      <c r="BC119" s="1052"/>
      <c r="BD119" s="1052"/>
      <c r="BE119" s="1052"/>
      <c r="BF119" s="1052"/>
      <c r="BG119" s="1052"/>
      <c r="BH119" s="1052"/>
      <c r="BI119" s="1051"/>
      <c r="BJ119" s="1052"/>
      <c r="BK119" s="1052"/>
      <c r="BL119" s="1052"/>
      <c r="BM119" s="1052"/>
      <c r="BN119" s="1052"/>
      <c r="BO119" s="1052"/>
      <c r="BP119" s="1051"/>
      <c r="BQ119" s="1052"/>
      <c r="BR119" s="1052"/>
      <c r="BS119" s="1052"/>
      <c r="BT119" s="1052"/>
      <c r="BU119" s="1052"/>
      <c r="BV119" s="1052"/>
      <c r="BW119" s="1051"/>
      <c r="BX119" s="1052"/>
      <c r="BY119" s="1052"/>
      <c r="BZ119" s="1052"/>
      <c r="CA119" s="1052"/>
      <c r="CB119" s="1052"/>
      <c r="CC119" s="1052"/>
      <c r="CD119" s="1053"/>
      <c r="CE119" s="1054"/>
      <c r="CF119" s="1054"/>
      <c r="CG119" s="1054"/>
      <c r="CH119" s="1054"/>
      <c r="CI119" s="1054"/>
      <c r="CJ119" s="1054"/>
      <c r="CK119" s="1053"/>
      <c r="CL119" s="1054"/>
      <c r="CM119" s="1054"/>
      <c r="CN119" s="1054"/>
      <c r="CO119" s="1054"/>
      <c r="CP119" s="1054"/>
      <c r="CQ119" s="1054"/>
      <c r="CR119" s="1053"/>
      <c r="CS119" s="1054"/>
      <c r="CT119" s="1054"/>
      <c r="CU119" s="1054"/>
      <c r="CV119" s="1054"/>
      <c r="CW119" s="1054"/>
      <c r="CX119" s="1055"/>
      <c r="CY119" s="724">
        <f t="shared" si="849"/>
        <v>0</v>
      </c>
      <c r="CZ119" s="508">
        <f t="shared" si="850"/>
        <v>0</v>
      </c>
      <c r="DA119" s="508">
        <f t="shared" si="851"/>
        <v>0</v>
      </c>
      <c r="DB119" s="508">
        <f t="shared" si="852"/>
        <v>0</v>
      </c>
      <c r="DC119" s="508">
        <f t="shared" si="853"/>
        <v>0</v>
      </c>
      <c r="DD119" s="508">
        <f t="shared" si="854"/>
        <v>0</v>
      </c>
      <c r="DE119" s="726">
        <f t="shared" si="855"/>
        <v>0</v>
      </c>
      <c r="DF119" s="724">
        <f t="shared" si="856"/>
        <v>0</v>
      </c>
      <c r="DG119" s="509">
        <f t="shared" si="857"/>
        <v>0</v>
      </c>
      <c r="DH119" s="509">
        <f t="shared" si="858"/>
        <v>0</v>
      </c>
      <c r="DI119" s="509">
        <f t="shared" si="859"/>
        <v>0</v>
      </c>
      <c r="DJ119" s="509">
        <f t="shared" si="860"/>
        <v>0</v>
      </c>
      <c r="DK119" s="509">
        <f t="shared" si="861"/>
        <v>0</v>
      </c>
      <c r="DL119" s="451">
        <f t="shared" si="862"/>
        <v>0</v>
      </c>
      <c r="DM119" s="509">
        <f t="shared" si="863"/>
        <v>0</v>
      </c>
      <c r="DN119" s="509">
        <f t="shared" si="864"/>
        <v>0</v>
      </c>
      <c r="DO119" s="509">
        <f t="shared" si="865"/>
        <v>0</v>
      </c>
      <c r="DP119" s="509">
        <f t="shared" si="866"/>
        <v>0</v>
      </c>
      <c r="DQ119" s="509">
        <f t="shared" si="867"/>
        <v>0</v>
      </c>
      <c r="DR119" s="509">
        <f t="shared" si="868"/>
        <v>0</v>
      </c>
      <c r="DS119" s="450">
        <f t="shared" si="869"/>
        <v>0</v>
      </c>
      <c r="DT119" s="724">
        <f t="shared" si="870"/>
        <v>0</v>
      </c>
      <c r="DU119" s="508">
        <f t="shared" si="871"/>
        <v>0</v>
      </c>
      <c r="DV119" s="508">
        <f t="shared" si="872"/>
        <v>0</v>
      </c>
      <c r="DW119" s="508">
        <f t="shared" si="873"/>
        <v>0</v>
      </c>
      <c r="DX119" s="508">
        <f t="shared" si="874"/>
        <v>0</v>
      </c>
      <c r="DY119" s="508">
        <f t="shared" si="875"/>
        <v>0</v>
      </c>
      <c r="DZ119" s="726">
        <f t="shared" si="876"/>
        <v>0</v>
      </c>
      <c r="EA119" s="722">
        <f t="shared" si="877"/>
        <v>0</v>
      </c>
      <c r="EB119" s="511">
        <f t="shared" si="878"/>
        <v>0</v>
      </c>
      <c r="EC119" s="511">
        <f t="shared" si="879"/>
        <v>0</v>
      </c>
      <c r="ED119" s="511">
        <f t="shared" si="880"/>
        <v>0</v>
      </c>
      <c r="EE119" s="511">
        <f t="shared" si="881"/>
        <v>0</v>
      </c>
      <c r="EF119" s="511">
        <f t="shared" si="882"/>
        <v>0</v>
      </c>
      <c r="EG119" s="723">
        <f t="shared" si="883"/>
        <v>0</v>
      </c>
      <c r="EH119" s="397">
        <f t="shared" si="884"/>
        <v>0</v>
      </c>
      <c r="EI119" s="397">
        <f t="shared" si="885"/>
        <v>0</v>
      </c>
      <c r="EJ119" s="397">
        <f t="shared" si="886"/>
        <v>0</v>
      </c>
      <c r="EK119" s="397">
        <f t="shared" si="887"/>
        <v>0</v>
      </c>
      <c r="EL119" s="397">
        <f t="shared" si="888"/>
        <v>0</v>
      </c>
      <c r="EM119" s="397">
        <f t="shared" si="889"/>
        <v>0</v>
      </c>
      <c r="EN119" s="398">
        <f t="shared" si="890"/>
        <v>0</v>
      </c>
      <c r="EO119" s="722">
        <f t="shared" si="891"/>
        <v>0</v>
      </c>
      <c r="EP119" s="511">
        <f t="shared" si="892"/>
        <v>0</v>
      </c>
      <c r="EQ119" s="511">
        <f t="shared" si="893"/>
        <v>0</v>
      </c>
      <c r="ER119" s="511">
        <f t="shared" si="894"/>
        <v>0</v>
      </c>
      <c r="ES119" s="511">
        <f t="shared" si="895"/>
        <v>0</v>
      </c>
      <c r="ET119" s="511">
        <f t="shared" si="896"/>
        <v>0</v>
      </c>
      <c r="EU119" s="723">
        <f t="shared" si="897"/>
        <v>0</v>
      </c>
      <c r="EV119" s="727">
        <f t="shared" si="898"/>
        <v>0</v>
      </c>
      <c r="EW119" s="728">
        <f t="shared" si="899"/>
        <v>0</v>
      </c>
      <c r="EX119" s="728">
        <f t="shared" si="900"/>
        <v>0</v>
      </c>
      <c r="EY119" s="728">
        <f t="shared" si="901"/>
        <v>0</v>
      </c>
      <c r="EZ119" s="728">
        <f t="shared" si="902"/>
        <v>0</v>
      </c>
      <c r="FA119" s="777">
        <f t="shared" si="903"/>
        <v>0</v>
      </c>
      <c r="FB119" s="777">
        <f t="shared" si="904"/>
        <v>0</v>
      </c>
      <c r="FC119" s="778">
        <f t="shared" si="905"/>
        <v>0</v>
      </c>
    </row>
    <row r="120" spans="1:162" s="10" customFormat="1" ht="12.75" customHeight="1">
      <c r="A120" s="662" t="s">
        <v>172</v>
      </c>
      <c r="B120" s="789" t="s">
        <v>1411</v>
      </c>
      <c r="C120" s="789" t="str">
        <f t="shared" ref="C120:O120" si="1050">C6</f>
        <v>Audit</v>
      </c>
      <c r="D120" s="789" t="str">
        <f t="shared" si="1050"/>
        <v>n/a</v>
      </c>
      <c r="E120" s="789" t="str">
        <f t="shared" si="1050"/>
        <v>Per Audit</v>
      </c>
      <c r="F120" s="789" t="str">
        <f t="shared" si="1050"/>
        <v>Per Audit</v>
      </c>
      <c r="G120" s="704" t="str">
        <f t="shared" si="1050"/>
        <v>Full Cost</v>
      </c>
      <c r="H120" s="704">
        <f t="shared" si="1050"/>
        <v>0</v>
      </c>
      <c r="I120" s="704">
        <f t="shared" si="1050"/>
        <v>12000</v>
      </c>
      <c r="J120" s="704">
        <f t="shared" si="1050"/>
        <v>12000</v>
      </c>
      <c r="K120" s="704">
        <f t="shared" si="1050"/>
        <v>0</v>
      </c>
      <c r="L120" s="704">
        <f t="shared" si="1050"/>
        <v>0</v>
      </c>
      <c r="M120" s="707" t="str">
        <f t="shared" si="1050"/>
        <v>LG&amp;E and KU previous plan max program requirements</v>
      </c>
      <c r="N120" s="704">
        <f t="shared" si="1050"/>
        <v>3000</v>
      </c>
      <c r="O120" s="704">
        <f t="shared" si="1050"/>
        <v>3000</v>
      </c>
      <c r="P120" s="704">
        <f t="shared" ref="P120:Q139" si="1051">P63</f>
        <v>0</v>
      </c>
      <c r="Q120" s="704">
        <f t="shared" si="1051"/>
        <v>0</v>
      </c>
      <c r="R120" s="1021">
        <f t="shared" ref="R120:W129" si="1052">R6</f>
        <v>0</v>
      </c>
      <c r="S120" s="872">
        <f t="shared" si="1052"/>
        <v>0</v>
      </c>
      <c r="T120" s="1022">
        <f t="shared" si="1052"/>
        <v>0</v>
      </c>
      <c r="U120" s="711" t="str">
        <f t="shared" si="1052"/>
        <v>No savings for audit</v>
      </c>
      <c r="V120" s="716">
        <f t="shared" si="1052"/>
        <v>0</v>
      </c>
      <c r="W120" s="711">
        <f t="shared" si="1052"/>
        <v>1</v>
      </c>
      <c r="X120" s="781">
        <f t="shared" ref="X120:AJ120" si="1053">X6/2</f>
        <v>80858.5</v>
      </c>
      <c r="Y120" s="781">
        <f t="shared" si="1053"/>
        <v>38422</v>
      </c>
      <c r="Z120" s="781">
        <f t="shared" si="1053"/>
        <v>62361</v>
      </c>
      <c r="AA120" s="781">
        <f t="shared" si="1053"/>
        <v>5142.8571428571422</v>
      </c>
      <c r="AB120" s="781">
        <f t="shared" si="1053"/>
        <v>33751.928571428572</v>
      </c>
      <c r="AC120" s="781">
        <f t="shared" si="1053"/>
        <v>5</v>
      </c>
      <c r="AD120" s="781">
        <f t="shared" si="1053"/>
        <v>5</v>
      </c>
      <c r="AE120" s="781">
        <f t="shared" si="1053"/>
        <v>5</v>
      </c>
      <c r="AF120" s="781">
        <f t="shared" si="1053"/>
        <v>5</v>
      </c>
      <c r="AG120" s="781">
        <f t="shared" si="1053"/>
        <v>5</v>
      </c>
      <c r="AH120" s="781">
        <f t="shared" si="1053"/>
        <v>5</v>
      </c>
      <c r="AI120" s="781">
        <f t="shared" si="1053"/>
        <v>5</v>
      </c>
      <c r="AJ120" s="781">
        <f t="shared" si="1053"/>
        <v>5</v>
      </c>
      <c r="AK120" s="711" t="str">
        <f t="shared" ref="AK120:BA120" si="1054">AK6</f>
        <v>Both</v>
      </c>
      <c r="AL120" s="711" t="str">
        <f t="shared" si="1054"/>
        <v>Commercial</v>
      </c>
      <c r="AM120" s="711" t="str">
        <f t="shared" si="1054"/>
        <v>Large Office</v>
      </c>
      <c r="AN120" s="711" t="str">
        <f t="shared" si="1054"/>
        <v>All</v>
      </c>
      <c r="AO120" s="711" t="str">
        <f t="shared" si="1054"/>
        <v>Existing</v>
      </c>
      <c r="AP120" s="711">
        <f t="shared" si="1054"/>
        <v>0</v>
      </c>
      <c r="AQ120" s="711">
        <f t="shared" si="1054"/>
        <v>0</v>
      </c>
      <c r="AR120" s="711">
        <f t="shared" si="1054"/>
        <v>0</v>
      </c>
      <c r="AS120" s="711" t="str">
        <f t="shared" si="1054"/>
        <v>OFFSMCool</v>
      </c>
      <c r="AT120" s="715" t="s">
        <v>745</v>
      </c>
      <c r="AU120" s="711" t="str">
        <f t="shared" si="1054"/>
        <v>LGE NonRes</v>
      </c>
      <c r="AV120" s="711">
        <f t="shared" si="1054"/>
        <v>1</v>
      </c>
      <c r="AW120" s="711">
        <f t="shared" si="1054"/>
        <v>1</v>
      </c>
      <c r="AX120" s="711" t="str">
        <f t="shared" si="1054"/>
        <v>Assume audit EUL is one year</v>
      </c>
      <c r="AY120" s="711">
        <f t="shared" si="1054"/>
        <v>1</v>
      </c>
      <c r="AZ120" s="711">
        <f t="shared" si="1054"/>
        <v>1</v>
      </c>
      <c r="BA120" s="1066">
        <f t="shared" si="1054"/>
        <v>1</v>
      </c>
      <c r="BB120" s="721">
        <f t="shared" ref="BB120" si="1055">J120</f>
        <v>12000</v>
      </c>
      <c r="BC120" s="499">
        <f t="shared" ref="BC120" si="1056">BB120</f>
        <v>12000</v>
      </c>
      <c r="BD120" s="499">
        <f t="shared" ref="BD120" si="1057">BC120</f>
        <v>12000</v>
      </c>
      <c r="BE120" s="499">
        <f t="shared" ref="BE120" si="1058">BD120</f>
        <v>12000</v>
      </c>
      <c r="BF120" s="499">
        <f>BC120</f>
        <v>12000</v>
      </c>
      <c r="BG120" s="499">
        <f t="shared" ref="BG120:BH120" si="1059">BD120</f>
        <v>12000</v>
      </c>
      <c r="BH120" s="499">
        <f t="shared" si="1059"/>
        <v>12000</v>
      </c>
      <c r="BI120" s="721">
        <f t="shared" ref="BI120:BI151" si="1060">K120</f>
        <v>0</v>
      </c>
      <c r="BJ120" s="499">
        <f>BI120</f>
        <v>0</v>
      </c>
      <c r="BK120" s="499">
        <f>BJ120</f>
        <v>0</v>
      </c>
      <c r="BL120" s="499">
        <f>BK120</f>
        <v>0</v>
      </c>
      <c r="BM120" s="499">
        <f>BL120</f>
        <v>0</v>
      </c>
      <c r="BN120" s="499">
        <f t="shared" ref="BN120:BO120" si="1061">BM120</f>
        <v>0</v>
      </c>
      <c r="BO120" s="499">
        <f t="shared" si="1061"/>
        <v>0</v>
      </c>
      <c r="BP120" s="721">
        <f t="shared" ref="BP120:BP151" si="1062">O120+P120</f>
        <v>3000</v>
      </c>
      <c r="BQ120" s="499">
        <f t="shared" ref="BQ120:BQ151" si="1063">BP120</f>
        <v>3000</v>
      </c>
      <c r="BR120" s="499">
        <f t="shared" ref="BR120" si="1064">BQ120</f>
        <v>3000</v>
      </c>
      <c r="BS120" s="499">
        <f t="shared" ref="BS120" si="1065">BR120</f>
        <v>3000</v>
      </c>
      <c r="BT120" s="499">
        <f t="shared" ref="BT120" si="1066">BS120</f>
        <v>3000</v>
      </c>
      <c r="BU120" s="499">
        <f t="shared" ref="BU120" si="1067">BT120</f>
        <v>3000</v>
      </c>
      <c r="BV120" s="499">
        <f t="shared" ref="BV120" si="1068">BU120</f>
        <v>3000</v>
      </c>
      <c r="BW120" s="774">
        <f>$Q120</f>
        <v>0</v>
      </c>
      <c r="BX120" s="503">
        <f t="shared" ref="BX120:CC135" si="1069">$Q120</f>
        <v>0</v>
      </c>
      <c r="BY120" s="503">
        <f t="shared" si="1069"/>
        <v>0</v>
      </c>
      <c r="BZ120" s="503">
        <f t="shared" si="1069"/>
        <v>0</v>
      </c>
      <c r="CA120" s="503">
        <f t="shared" si="1069"/>
        <v>0</v>
      </c>
      <c r="CB120" s="503">
        <f t="shared" si="1069"/>
        <v>0</v>
      </c>
      <c r="CC120" s="503">
        <f t="shared" si="1069"/>
        <v>0</v>
      </c>
      <c r="CD120" s="722">
        <f t="shared" ref="CD120:CD151" si="1070">R120*AZ120</f>
        <v>0</v>
      </c>
      <c r="CE120" s="511">
        <f>CD120</f>
        <v>0</v>
      </c>
      <c r="CF120" s="511">
        <f>CE120</f>
        <v>0</v>
      </c>
      <c r="CG120" s="511">
        <f>CF120</f>
        <v>0</v>
      </c>
      <c r="CH120" s="511">
        <f>CG120</f>
        <v>0</v>
      </c>
      <c r="CI120" s="511">
        <f t="shared" ref="CI120:CJ120" si="1071">CH120</f>
        <v>0</v>
      </c>
      <c r="CJ120" s="511">
        <f t="shared" si="1071"/>
        <v>0</v>
      </c>
      <c r="CK120" s="722">
        <f t="shared" ref="CK120:CK151" si="1072">S120*AZ120</f>
        <v>0</v>
      </c>
      <c r="CL120" s="511">
        <f>CK120</f>
        <v>0</v>
      </c>
      <c r="CM120" s="511">
        <f>CL120</f>
        <v>0</v>
      </c>
      <c r="CN120" s="511">
        <f>CM120</f>
        <v>0</v>
      </c>
      <c r="CO120" s="511">
        <f>CN120</f>
        <v>0</v>
      </c>
      <c r="CP120" s="511">
        <f t="shared" ref="CP120:CQ120" si="1073">CO120</f>
        <v>0</v>
      </c>
      <c r="CQ120" s="511">
        <f t="shared" si="1073"/>
        <v>0</v>
      </c>
      <c r="CR120" s="722">
        <f t="shared" ref="CR120:CR151" si="1074">T120*BA120</f>
        <v>0</v>
      </c>
      <c r="CS120" s="511">
        <f>CR120</f>
        <v>0</v>
      </c>
      <c r="CT120" s="511">
        <f>CS120</f>
        <v>0</v>
      </c>
      <c r="CU120" s="511">
        <f>CT120</f>
        <v>0</v>
      </c>
      <c r="CV120" s="511">
        <f>CU120</f>
        <v>0</v>
      </c>
      <c r="CW120" s="511">
        <f t="shared" ref="CW120:CX120" si="1075">CV120</f>
        <v>0</v>
      </c>
      <c r="CX120" s="539">
        <f t="shared" si="1075"/>
        <v>0</v>
      </c>
      <c r="CY120" s="724">
        <f t="shared" si="849"/>
        <v>60000</v>
      </c>
      <c r="CZ120" s="508">
        <f t="shared" si="850"/>
        <v>60000</v>
      </c>
      <c r="DA120" s="508">
        <f t="shared" si="851"/>
        <v>60000</v>
      </c>
      <c r="DB120" s="508">
        <f t="shared" si="852"/>
        <v>60000</v>
      </c>
      <c r="DC120" s="508">
        <f t="shared" si="853"/>
        <v>60000</v>
      </c>
      <c r="DD120" s="508">
        <f t="shared" si="854"/>
        <v>60000</v>
      </c>
      <c r="DE120" s="726">
        <f t="shared" si="855"/>
        <v>60000</v>
      </c>
      <c r="DF120" s="724">
        <f t="shared" si="856"/>
        <v>0</v>
      </c>
      <c r="DG120" s="509">
        <f t="shared" si="857"/>
        <v>0</v>
      </c>
      <c r="DH120" s="509">
        <f t="shared" si="858"/>
        <v>0</v>
      </c>
      <c r="DI120" s="509">
        <f t="shared" si="859"/>
        <v>0</v>
      </c>
      <c r="DJ120" s="509">
        <f t="shared" si="860"/>
        <v>0</v>
      </c>
      <c r="DK120" s="509">
        <f t="shared" si="861"/>
        <v>0</v>
      </c>
      <c r="DL120" s="451">
        <f t="shared" si="862"/>
        <v>0</v>
      </c>
      <c r="DM120" s="509">
        <f t="shared" si="863"/>
        <v>15000</v>
      </c>
      <c r="DN120" s="509">
        <f t="shared" si="864"/>
        <v>15000</v>
      </c>
      <c r="DO120" s="509">
        <f t="shared" si="865"/>
        <v>15000</v>
      </c>
      <c r="DP120" s="509">
        <f t="shared" si="866"/>
        <v>15000</v>
      </c>
      <c r="DQ120" s="509">
        <f t="shared" si="867"/>
        <v>15000</v>
      </c>
      <c r="DR120" s="509">
        <f t="shared" si="868"/>
        <v>15000</v>
      </c>
      <c r="DS120" s="450">
        <f t="shared" si="869"/>
        <v>15000</v>
      </c>
      <c r="DT120" s="724">
        <f t="shared" si="870"/>
        <v>0</v>
      </c>
      <c r="DU120" s="508">
        <f t="shared" si="871"/>
        <v>0</v>
      </c>
      <c r="DV120" s="508">
        <f t="shared" si="872"/>
        <v>0</v>
      </c>
      <c r="DW120" s="508">
        <f t="shared" si="873"/>
        <v>0</v>
      </c>
      <c r="DX120" s="508">
        <f t="shared" si="874"/>
        <v>0</v>
      </c>
      <c r="DY120" s="508">
        <f t="shared" si="875"/>
        <v>0</v>
      </c>
      <c r="DZ120" s="726">
        <f t="shared" si="876"/>
        <v>0</v>
      </c>
      <c r="EA120" s="722">
        <f t="shared" si="877"/>
        <v>0</v>
      </c>
      <c r="EB120" s="511">
        <f t="shared" si="878"/>
        <v>0</v>
      </c>
      <c r="EC120" s="511">
        <f t="shared" si="879"/>
        <v>0</v>
      </c>
      <c r="ED120" s="511">
        <f t="shared" si="880"/>
        <v>0</v>
      </c>
      <c r="EE120" s="511">
        <f t="shared" si="881"/>
        <v>0</v>
      </c>
      <c r="EF120" s="511">
        <f t="shared" si="882"/>
        <v>0</v>
      </c>
      <c r="EG120" s="723">
        <f t="shared" si="883"/>
        <v>0</v>
      </c>
      <c r="EH120" s="397">
        <f t="shared" si="884"/>
        <v>0</v>
      </c>
      <c r="EI120" s="397">
        <f t="shared" si="885"/>
        <v>0</v>
      </c>
      <c r="EJ120" s="397">
        <f t="shared" si="886"/>
        <v>0</v>
      </c>
      <c r="EK120" s="397">
        <f t="shared" si="887"/>
        <v>0</v>
      </c>
      <c r="EL120" s="397">
        <f t="shared" si="888"/>
        <v>0</v>
      </c>
      <c r="EM120" s="397">
        <f t="shared" si="889"/>
        <v>0</v>
      </c>
      <c r="EN120" s="398">
        <f t="shared" si="890"/>
        <v>0</v>
      </c>
      <c r="EO120" s="722">
        <f t="shared" si="891"/>
        <v>0</v>
      </c>
      <c r="EP120" s="511">
        <f t="shared" si="892"/>
        <v>0</v>
      </c>
      <c r="EQ120" s="511">
        <f t="shared" si="893"/>
        <v>0</v>
      </c>
      <c r="ER120" s="511">
        <f t="shared" si="894"/>
        <v>0</v>
      </c>
      <c r="ES120" s="511">
        <f t="shared" si="895"/>
        <v>0</v>
      </c>
      <c r="ET120" s="511">
        <f t="shared" si="896"/>
        <v>0</v>
      </c>
      <c r="EU120" s="723">
        <f t="shared" si="897"/>
        <v>0</v>
      </c>
      <c r="EV120" s="727">
        <f t="shared" si="898"/>
        <v>15</v>
      </c>
      <c r="EW120" s="728">
        <f t="shared" si="899"/>
        <v>420000</v>
      </c>
      <c r="EX120" s="728">
        <f t="shared" si="900"/>
        <v>0</v>
      </c>
      <c r="EY120" s="728">
        <f t="shared" si="901"/>
        <v>105000</v>
      </c>
      <c r="EZ120" s="728">
        <f t="shared" si="902"/>
        <v>0</v>
      </c>
      <c r="FA120" s="777">
        <f t="shared" si="903"/>
        <v>0</v>
      </c>
      <c r="FB120" s="777">
        <f t="shared" si="904"/>
        <v>0</v>
      </c>
      <c r="FC120" s="778">
        <f t="shared" si="905"/>
        <v>0</v>
      </c>
    </row>
    <row r="121" spans="1:162">
      <c r="A121" s="662" t="s">
        <v>174</v>
      </c>
      <c r="B121" s="789" t="s">
        <v>1412</v>
      </c>
      <c r="C121" s="789" t="str">
        <f t="shared" ref="C121:O121" si="1076">C7</f>
        <v>1.18 kW/ton full load (10.1 EER)</v>
      </c>
      <c r="D121" s="789" t="str">
        <f t="shared" si="1076"/>
        <v>IECC 2012 Code 9.562 EER (1.25 kW/ton)</v>
      </c>
      <c r="E121" s="789" t="str">
        <f t="shared" si="1076"/>
        <v>Per Unit</v>
      </c>
      <c r="F121" s="789" t="str">
        <f t="shared" si="1076"/>
        <v>Per Ton</v>
      </c>
      <c r="G121" s="704" t="str">
        <f t="shared" si="1076"/>
        <v>Incremental Cost</v>
      </c>
      <c r="H121" s="704">
        <f t="shared" si="1076"/>
        <v>109</v>
      </c>
      <c r="I121" s="704">
        <f t="shared" si="1076"/>
        <v>0</v>
      </c>
      <c r="J121" s="704">
        <f t="shared" si="1076"/>
        <v>109</v>
      </c>
      <c r="K121" s="704">
        <f t="shared" si="1076"/>
        <v>0</v>
      </c>
      <c r="L121" s="704">
        <f t="shared" si="1076"/>
        <v>54.5</v>
      </c>
      <c r="M121" s="707" t="str">
        <f t="shared" si="1076"/>
        <v>Mid-Atlantic TRM V9 Electric Chillers (p.435) - Assuming 100 tons from 'Assumptions' tab</v>
      </c>
      <c r="N121" s="704">
        <f t="shared" si="1076"/>
        <v>5</v>
      </c>
      <c r="O121" s="704">
        <f t="shared" si="1076"/>
        <v>5</v>
      </c>
      <c r="P121" s="704">
        <f t="shared" si="1051"/>
        <v>0</v>
      </c>
      <c r="Q121" s="704">
        <f t="shared" si="1051"/>
        <v>0</v>
      </c>
      <c r="R121" s="1021">
        <f t="shared" si="1052"/>
        <v>91.771415253249614</v>
      </c>
      <c r="S121" s="872">
        <f t="shared" si="1052"/>
        <v>5.4013804643380146E-2</v>
      </c>
      <c r="T121" s="1022">
        <f t="shared" si="1052"/>
        <v>0</v>
      </c>
      <c r="U121" s="711" t="str">
        <f t="shared" si="1052"/>
        <v>Per unit savings estimate from Mid-Atlantic TRM v9 "Electric Chillers"</v>
      </c>
      <c r="V121" s="716">
        <f t="shared" si="1052"/>
        <v>0</v>
      </c>
      <c r="W121" s="711">
        <f t="shared" si="1052"/>
        <v>1</v>
      </c>
      <c r="X121" s="781">
        <f t="shared" ref="X121:AJ121" si="1077">X7/2</f>
        <v>291</v>
      </c>
      <c r="Y121" s="781">
        <f t="shared" si="1077"/>
        <v>0</v>
      </c>
      <c r="Z121" s="781">
        <f t="shared" si="1077"/>
        <v>283</v>
      </c>
      <c r="AA121" s="781">
        <f t="shared" si="1077"/>
        <v>0</v>
      </c>
      <c r="AB121" s="781">
        <f t="shared" si="1077"/>
        <v>141.5</v>
      </c>
      <c r="AC121" s="781">
        <f t="shared" si="1077"/>
        <v>141.5</v>
      </c>
      <c r="AD121" s="781">
        <f t="shared" si="1077"/>
        <v>141.5</v>
      </c>
      <c r="AE121" s="781">
        <f t="shared" si="1077"/>
        <v>141.5</v>
      </c>
      <c r="AF121" s="781">
        <f t="shared" si="1077"/>
        <v>141.5</v>
      </c>
      <c r="AG121" s="781">
        <f t="shared" si="1077"/>
        <v>141.5</v>
      </c>
      <c r="AH121" s="781">
        <f t="shared" si="1077"/>
        <v>141.5</v>
      </c>
      <c r="AI121" s="781">
        <f t="shared" si="1077"/>
        <v>141.5</v>
      </c>
      <c r="AJ121" s="781">
        <f t="shared" si="1077"/>
        <v>141.5</v>
      </c>
      <c r="AK121" s="711" t="str">
        <f t="shared" ref="AK121:BA121" si="1078">AK7</f>
        <v>Electric</v>
      </c>
      <c r="AL121" s="711" t="str">
        <f t="shared" si="1078"/>
        <v>Commercial</v>
      </c>
      <c r="AM121" s="711" t="str">
        <f t="shared" si="1078"/>
        <v>Miscellaneous</v>
      </c>
      <c r="AN121" s="711" t="str">
        <f t="shared" si="1078"/>
        <v>Cooling Chillers</v>
      </c>
      <c r="AO121" s="711" t="str">
        <f t="shared" si="1078"/>
        <v>Existing</v>
      </c>
      <c r="AP121" s="711">
        <f t="shared" si="1078"/>
        <v>0</v>
      </c>
      <c r="AQ121" s="711">
        <f t="shared" si="1078"/>
        <v>0</v>
      </c>
      <c r="AR121" s="711">
        <f t="shared" si="1078"/>
        <v>0</v>
      </c>
      <c r="AS121" s="711" t="str">
        <f t="shared" si="1078"/>
        <v>OFFSMCool</v>
      </c>
      <c r="AT121" s="715" t="s">
        <v>745</v>
      </c>
      <c r="AU121" s="711" t="str">
        <f t="shared" si="1078"/>
        <v>LGE NonRes</v>
      </c>
      <c r="AV121" s="711">
        <f t="shared" si="1078"/>
        <v>20</v>
      </c>
      <c r="AW121" s="711">
        <f t="shared" si="1078"/>
        <v>20</v>
      </c>
      <c r="AX121" s="711" t="str">
        <f t="shared" si="1078"/>
        <v>2008 Database for Energy-Efficiency Resources (DEER), Version 2008.2.05, “Effective/Remaining Useful Life Values”, California Public Utilities Commission, December 16, 2008</v>
      </c>
      <c r="AY121" s="711">
        <f t="shared" si="1078"/>
        <v>1</v>
      </c>
      <c r="AZ121" s="711">
        <f t="shared" si="1078"/>
        <v>1</v>
      </c>
      <c r="BA121" s="1066">
        <f t="shared" si="1078"/>
        <v>0</v>
      </c>
      <c r="BB121" s="721">
        <f t="shared" ref="BB121:BB175" si="1079">J121</f>
        <v>109</v>
      </c>
      <c r="BC121" s="499">
        <f t="shared" ref="BC121:BC175" si="1080">BB121</f>
        <v>109</v>
      </c>
      <c r="BD121" s="499">
        <f t="shared" ref="BD121:BD175" si="1081">BC121</f>
        <v>109</v>
      </c>
      <c r="BE121" s="499">
        <f t="shared" ref="BE121:BE175" si="1082">BD121</f>
        <v>109</v>
      </c>
      <c r="BF121" s="499">
        <f t="shared" ref="BF121:BF175" si="1083">BC121</f>
        <v>109</v>
      </c>
      <c r="BG121" s="499">
        <f t="shared" ref="BG121:BG175" si="1084">BD121</f>
        <v>109</v>
      </c>
      <c r="BH121" s="499">
        <f t="shared" ref="BH121:BH175" si="1085">BE121</f>
        <v>109</v>
      </c>
      <c r="BI121" s="721">
        <f t="shared" si="1060"/>
        <v>0</v>
      </c>
      <c r="BJ121" s="499">
        <f t="shared" ref="BJ121:BM121" si="1086">BI121</f>
        <v>0</v>
      </c>
      <c r="BK121" s="499">
        <f t="shared" si="1086"/>
        <v>0</v>
      </c>
      <c r="BL121" s="499">
        <f t="shared" si="1086"/>
        <v>0</v>
      </c>
      <c r="BM121" s="499">
        <f t="shared" si="1086"/>
        <v>0</v>
      </c>
      <c r="BN121" s="499">
        <f t="shared" ref="BN121:BN175" si="1087">BM121</f>
        <v>0</v>
      </c>
      <c r="BO121" s="499">
        <f t="shared" ref="BO121:BO175" si="1088">BN121</f>
        <v>0</v>
      </c>
      <c r="BP121" s="721">
        <f t="shared" si="1062"/>
        <v>5</v>
      </c>
      <c r="BQ121" s="499">
        <f t="shared" si="1063"/>
        <v>5</v>
      </c>
      <c r="BR121" s="499">
        <f t="shared" ref="BR121:BR175" si="1089">BQ121</f>
        <v>5</v>
      </c>
      <c r="BS121" s="499">
        <f t="shared" ref="BS121:BS175" si="1090">BR121</f>
        <v>5</v>
      </c>
      <c r="BT121" s="499">
        <f t="shared" ref="BT121:BT175" si="1091">BS121</f>
        <v>5</v>
      </c>
      <c r="BU121" s="499">
        <f t="shared" ref="BU121:BU175" si="1092">BT121</f>
        <v>5</v>
      </c>
      <c r="BV121" s="499">
        <f t="shared" ref="BV121:BV175" si="1093">BU121</f>
        <v>5</v>
      </c>
      <c r="BW121" s="774">
        <f t="shared" ref="BW121:CC152" si="1094">$Q121</f>
        <v>0</v>
      </c>
      <c r="BX121" s="503">
        <f t="shared" si="1069"/>
        <v>0</v>
      </c>
      <c r="BY121" s="503">
        <f t="shared" si="1069"/>
        <v>0</v>
      </c>
      <c r="BZ121" s="503">
        <f t="shared" si="1069"/>
        <v>0</v>
      </c>
      <c r="CA121" s="503">
        <f t="shared" si="1069"/>
        <v>0</v>
      </c>
      <c r="CB121" s="503">
        <f t="shared" si="1069"/>
        <v>0</v>
      </c>
      <c r="CC121" s="503">
        <f t="shared" si="1069"/>
        <v>0</v>
      </c>
      <c r="CD121" s="722">
        <f t="shared" si="1070"/>
        <v>91.771415253249614</v>
      </c>
      <c r="CE121" s="511">
        <f t="shared" ref="CE121:CH121" si="1095">CD121</f>
        <v>91.771415253249614</v>
      </c>
      <c r="CF121" s="511">
        <f t="shared" si="1095"/>
        <v>91.771415253249614</v>
      </c>
      <c r="CG121" s="511">
        <f t="shared" si="1095"/>
        <v>91.771415253249614</v>
      </c>
      <c r="CH121" s="511">
        <f t="shared" si="1095"/>
        <v>91.771415253249614</v>
      </c>
      <c r="CI121" s="511">
        <f t="shared" ref="CI121:CI175" si="1096">CH121</f>
        <v>91.771415253249614</v>
      </c>
      <c r="CJ121" s="511">
        <f t="shared" ref="CJ121:CJ175" si="1097">CI121</f>
        <v>91.771415253249614</v>
      </c>
      <c r="CK121" s="722">
        <f t="shared" si="1072"/>
        <v>5.4013804643380146E-2</v>
      </c>
      <c r="CL121" s="511">
        <f t="shared" ref="CL121:CO121" si="1098">CK121</f>
        <v>5.4013804643380146E-2</v>
      </c>
      <c r="CM121" s="511">
        <f t="shared" si="1098"/>
        <v>5.4013804643380146E-2</v>
      </c>
      <c r="CN121" s="511">
        <f t="shared" si="1098"/>
        <v>5.4013804643380146E-2</v>
      </c>
      <c r="CO121" s="511">
        <f t="shared" si="1098"/>
        <v>5.4013804643380146E-2</v>
      </c>
      <c r="CP121" s="511">
        <f t="shared" ref="CP121:CP175" si="1099">CO121</f>
        <v>5.4013804643380146E-2</v>
      </c>
      <c r="CQ121" s="511">
        <f t="shared" ref="CQ121:CQ175" si="1100">CP121</f>
        <v>5.4013804643380146E-2</v>
      </c>
      <c r="CR121" s="722">
        <f t="shared" si="1074"/>
        <v>0</v>
      </c>
      <c r="CS121" s="511">
        <f t="shared" ref="CS121:CV121" si="1101">CR121</f>
        <v>0</v>
      </c>
      <c r="CT121" s="511">
        <f t="shared" si="1101"/>
        <v>0</v>
      </c>
      <c r="CU121" s="511">
        <f t="shared" si="1101"/>
        <v>0</v>
      </c>
      <c r="CV121" s="511">
        <f t="shared" si="1101"/>
        <v>0</v>
      </c>
      <c r="CW121" s="511">
        <f t="shared" ref="CW121:CW175" si="1102">CV121</f>
        <v>0</v>
      </c>
      <c r="CX121" s="539">
        <f t="shared" ref="CX121:CX175" si="1103">CW121</f>
        <v>0</v>
      </c>
      <c r="CY121" s="724">
        <f t="shared" si="849"/>
        <v>15423.5</v>
      </c>
      <c r="CZ121" s="508">
        <f t="shared" si="850"/>
        <v>15423.5</v>
      </c>
      <c r="DA121" s="508">
        <f t="shared" si="851"/>
        <v>15423.5</v>
      </c>
      <c r="DB121" s="508">
        <f t="shared" si="852"/>
        <v>15423.5</v>
      </c>
      <c r="DC121" s="508">
        <f t="shared" si="853"/>
        <v>15423.5</v>
      </c>
      <c r="DD121" s="508">
        <f t="shared" si="854"/>
        <v>15423.5</v>
      </c>
      <c r="DE121" s="726">
        <f t="shared" si="855"/>
        <v>15423.5</v>
      </c>
      <c r="DF121" s="724">
        <f t="shared" si="856"/>
        <v>0</v>
      </c>
      <c r="DG121" s="509">
        <f t="shared" si="857"/>
        <v>0</v>
      </c>
      <c r="DH121" s="509">
        <f t="shared" si="858"/>
        <v>0</v>
      </c>
      <c r="DI121" s="509">
        <f t="shared" si="859"/>
        <v>0</v>
      </c>
      <c r="DJ121" s="509">
        <f t="shared" si="860"/>
        <v>0</v>
      </c>
      <c r="DK121" s="509">
        <f t="shared" si="861"/>
        <v>0</v>
      </c>
      <c r="DL121" s="451">
        <f t="shared" si="862"/>
        <v>0</v>
      </c>
      <c r="DM121" s="509">
        <f t="shared" si="863"/>
        <v>707.5</v>
      </c>
      <c r="DN121" s="509">
        <f t="shared" si="864"/>
        <v>707.5</v>
      </c>
      <c r="DO121" s="509">
        <f t="shared" si="865"/>
        <v>707.5</v>
      </c>
      <c r="DP121" s="509">
        <f t="shared" si="866"/>
        <v>707.5</v>
      </c>
      <c r="DQ121" s="509">
        <f t="shared" si="867"/>
        <v>707.5</v>
      </c>
      <c r="DR121" s="509">
        <f t="shared" si="868"/>
        <v>707.5</v>
      </c>
      <c r="DS121" s="450">
        <f t="shared" si="869"/>
        <v>707.5</v>
      </c>
      <c r="DT121" s="724">
        <f t="shared" si="870"/>
        <v>0</v>
      </c>
      <c r="DU121" s="508">
        <f t="shared" si="871"/>
        <v>0</v>
      </c>
      <c r="DV121" s="508">
        <f t="shared" si="872"/>
        <v>0</v>
      </c>
      <c r="DW121" s="508">
        <f t="shared" si="873"/>
        <v>0</v>
      </c>
      <c r="DX121" s="508">
        <f t="shared" si="874"/>
        <v>0</v>
      </c>
      <c r="DY121" s="508">
        <f t="shared" si="875"/>
        <v>0</v>
      </c>
      <c r="DZ121" s="726">
        <f t="shared" si="876"/>
        <v>0</v>
      </c>
      <c r="EA121" s="722">
        <f t="shared" si="877"/>
        <v>12985.65525833482</v>
      </c>
      <c r="EB121" s="511">
        <f t="shared" si="878"/>
        <v>12985.65525833482</v>
      </c>
      <c r="EC121" s="511">
        <f t="shared" si="879"/>
        <v>12985.65525833482</v>
      </c>
      <c r="ED121" s="511">
        <f t="shared" si="880"/>
        <v>12985.65525833482</v>
      </c>
      <c r="EE121" s="511">
        <f t="shared" si="881"/>
        <v>12985.65525833482</v>
      </c>
      <c r="EF121" s="511">
        <f t="shared" si="882"/>
        <v>12985.65525833482</v>
      </c>
      <c r="EG121" s="723">
        <f t="shared" si="883"/>
        <v>12985.65525833482</v>
      </c>
      <c r="EH121" s="397">
        <f t="shared" si="884"/>
        <v>7.6429533570382908</v>
      </c>
      <c r="EI121" s="397">
        <f t="shared" si="885"/>
        <v>7.6429533570382908</v>
      </c>
      <c r="EJ121" s="397">
        <f t="shared" si="886"/>
        <v>7.6429533570382908</v>
      </c>
      <c r="EK121" s="397">
        <f t="shared" si="887"/>
        <v>7.6429533570382908</v>
      </c>
      <c r="EL121" s="397">
        <f t="shared" si="888"/>
        <v>7.6429533570382908</v>
      </c>
      <c r="EM121" s="397">
        <f t="shared" si="889"/>
        <v>7.6429533570382908</v>
      </c>
      <c r="EN121" s="398">
        <f t="shared" si="890"/>
        <v>7.6429533570382908</v>
      </c>
      <c r="EO121" s="722">
        <f t="shared" si="891"/>
        <v>0</v>
      </c>
      <c r="EP121" s="511">
        <f t="shared" si="892"/>
        <v>0</v>
      </c>
      <c r="EQ121" s="511">
        <f t="shared" si="893"/>
        <v>0</v>
      </c>
      <c r="ER121" s="511">
        <f t="shared" si="894"/>
        <v>0</v>
      </c>
      <c r="ES121" s="511">
        <f t="shared" si="895"/>
        <v>0</v>
      </c>
      <c r="ET121" s="511">
        <f t="shared" si="896"/>
        <v>0</v>
      </c>
      <c r="EU121" s="723">
        <f t="shared" si="897"/>
        <v>0</v>
      </c>
      <c r="EV121" s="727">
        <f t="shared" si="898"/>
        <v>424.5</v>
      </c>
      <c r="EW121" s="728">
        <f t="shared" si="899"/>
        <v>107964.5</v>
      </c>
      <c r="EX121" s="728">
        <f t="shared" si="900"/>
        <v>0</v>
      </c>
      <c r="EY121" s="728">
        <f t="shared" si="901"/>
        <v>4952.5</v>
      </c>
      <c r="EZ121" s="728">
        <f t="shared" si="902"/>
        <v>0</v>
      </c>
      <c r="FA121" s="777">
        <f t="shared" si="903"/>
        <v>90899.586808343753</v>
      </c>
      <c r="FB121" s="777">
        <f t="shared" si="904"/>
        <v>53.500673499268046</v>
      </c>
      <c r="FC121" s="778">
        <f t="shared" si="905"/>
        <v>0</v>
      </c>
      <c r="FE121" s="10"/>
      <c r="FF121" s="10"/>
    </row>
    <row r="122" spans="1:162">
      <c r="A122" s="662" t="s">
        <v>179</v>
      </c>
      <c r="B122" s="789" t="s">
        <v>1413</v>
      </c>
      <c r="C122" s="789" t="str">
        <f t="shared" ref="C122:O122" si="1104">C8</f>
        <v>0.66 kW/ton (full load); 0.54 kW/ton (IPLV)</v>
      </c>
      <c r="D122" s="789" t="str">
        <f t="shared" si="1104"/>
        <v>IECC 2015 - 0.72 kW/ton (full load); 0.56 kW/ton (IPLV)</v>
      </c>
      <c r="E122" s="789" t="str">
        <f t="shared" si="1104"/>
        <v>Per Unit</v>
      </c>
      <c r="F122" s="789" t="str">
        <f t="shared" si="1104"/>
        <v>Per Ton</v>
      </c>
      <c r="G122" s="704" t="str">
        <f t="shared" si="1104"/>
        <v>Incremental Cost</v>
      </c>
      <c r="H122" s="704">
        <f t="shared" si="1104"/>
        <v>104</v>
      </c>
      <c r="I122" s="704">
        <f t="shared" si="1104"/>
        <v>0</v>
      </c>
      <c r="J122" s="704">
        <f t="shared" si="1104"/>
        <v>104</v>
      </c>
      <c r="K122" s="704">
        <f t="shared" si="1104"/>
        <v>0</v>
      </c>
      <c r="L122" s="704">
        <f t="shared" si="1104"/>
        <v>52</v>
      </c>
      <c r="M122" s="707" t="str">
        <f t="shared" si="1104"/>
        <v>Mid-Atlantic TRM V9 Electric Chillers (p.435) - Assuming 100 tons from 'Assumptions' tab, 0.68 kW/ton for efficient equipment to match TRM table, and Water-Cooled Scroll/Screw Chiller Incremental Costs ($/Ton) for Maryland to match baseline kW/ton</v>
      </c>
      <c r="N122" s="704">
        <f t="shared" si="1104"/>
        <v>3</v>
      </c>
      <c r="O122" s="704">
        <f t="shared" si="1104"/>
        <v>3</v>
      </c>
      <c r="P122" s="704">
        <f t="shared" si="1051"/>
        <v>0</v>
      </c>
      <c r="Q122" s="704">
        <f t="shared" si="1051"/>
        <v>0</v>
      </c>
      <c r="R122" s="1021">
        <f t="shared" si="1052"/>
        <v>21.827576197387536</v>
      </c>
      <c r="S122" s="872">
        <f t="shared" si="1052"/>
        <v>4.8479999999999954E-2</v>
      </c>
      <c r="T122" s="1022">
        <f t="shared" si="1052"/>
        <v>0</v>
      </c>
      <c r="U122" s="711" t="str">
        <f t="shared" si="1052"/>
        <v>Per unit savings estimate from Mid-Atlantic TRM v9 "Electric Chillers"</v>
      </c>
      <c r="V122" s="716">
        <f t="shared" si="1052"/>
        <v>0</v>
      </c>
      <c r="W122" s="711">
        <f t="shared" si="1052"/>
        <v>100</v>
      </c>
      <c r="X122" s="781">
        <f t="shared" ref="X122:AJ122" si="1105">X8/2</f>
        <v>0</v>
      </c>
      <c r="Y122" s="781">
        <f t="shared" si="1105"/>
        <v>0</v>
      </c>
      <c r="Z122" s="781">
        <f t="shared" si="1105"/>
        <v>0</v>
      </c>
      <c r="AA122" s="781">
        <f t="shared" si="1105"/>
        <v>0</v>
      </c>
      <c r="AB122" s="781">
        <f t="shared" si="1105"/>
        <v>0</v>
      </c>
      <c r="AC122" s="781">
        <f t="shared" si="1105"/>
        <v>0.5</v>
      </c>
      <c r="AD122" s="781">
        <f t="shared" si="1105"/>
        <v>0</v>
      </c>
      <c r="AE122" s="781">
        <f t="shared" si="1105"/>
        <v>0</v>
      </c>
      <c r="AF122" s="781">
        <f t="shared" si="1105"/>
        <v>0.5</v>
      </c>
      <c r="AG122" s="781">
        <f t="shared" si="1105"/>
        <v>0</v>
      </c>
      <c r="AH122" s="781">
        <f t="shared" si="1105"/>
        <v>0</v>
      </c>
      <c r="AI122" s="781">
        <f t="shared" si="1105"/>
        <v>0.5</v>
      </c>
      <c r="AJ122" s="781">
        <f t="shared" si="1105"/>
        <v>0</v>
      </c>
      <c r="AK122" s="711" t="str">
        <f t="shared" ref="AK122:BA122" si="1106">AK8</f>
        <v>Electric</v>
      </c>
      <c r="AL122" s="711" t="str">
        <f t="shared" si="1106"/>
        <v>Commercial</v>
      </c>
      <c r="AM122" s="711" t="str">
        <f t="shared" si="1106"/>
        <v>Miscellaneous</v>
      </c>
      <c r="AN122" s="711" t="str">
        <f t="shared" si="1106"/>
        <v>Cooling Chillers</v>
      </c>
      <c r="AO122" s="711" t="str">
        <f t="shared" si="1106"/>
        <v>Existing</v>
      </c>
      <c r="AP122" s="711">
        <f t="shared" si="1106"/>
        <v>0</v>
      </c>
      <c r="AQ122" s="711">
        <f t="shared" si="1106"/>
        <v>0</v>
      </c>
      <c r="AR122" s="711">
        <f t="shared" si="1106"/>
        <v>0</v>
      </c>
      <c r="AS122" s="711" t="str">
        <f t="shared" si="1106"/>
        <v>OFFSMCool</v>
      </c>
      <c r="AT122" s="715" t="s">
        <v>745</v>
      </c>
      <c r="AU122" s="711" t="str">
        <f t="shared" si="1106"/>
        <v>LGE NonRes</v>
      </c>
      <c r="AV122" s="711">
        <f t="shared" si="1106"/>
        <v>20</v>
      </c>
      <c r="AW122" s="711">
        <f t="shared" si="1106"/>
        <v>20</v>
      </c>
      <c r="AX122" s="711" t="str">
        <f t="shared" si="1106"/>
        <v>Based on the DEER 2014 EUL database for the measure "High Efficiency Chillers"</v>
      </c>
      <c r="AY122" s="711">
        <f t="shared" si="1106"/>
        <v>1</v>
      </c>
      <c r="AZ122" s="711">
        <f t="shared" si="1106"/>
        <v>1</v>
      </c>
      <c r="BA122" s="1066">
        <f t="shared" si="1106"/>
        <v>0</v>
      </c>
      <c r="BB122" s="721">
        <f t="shared" si="1079"/>
        <v>104</v>
      </c>
      <c r="BC122" s="499">
        <f t="shared" si="1080"/>
        <v>104</v>
      </c>
      <c r="BD122" s="499">
        <f t="shared" si="1081"/>
        <v>104</v>
      </c>
      <c r="BE122" s="499">
        <f t="shared" si="1082"/>
        <v>104</v>
      </c>
      <c r="BF122" s="499">
        <f t="shared" si="1083"/>
        <v>104</v>
      </c>
      <c r="BG122" s="499">
        <f t="shared" si="1084"/>
        <v>104</v>
      </c>
      <c r="BH122" s="499">
        <f t="shared" si="1085"/>
        <v>104</v>
      </c>
      <c r="BI122" s="721">
        <f t="shared" si="1060"/>
        <v>0</v>
      </c>
      <c r="BJ122" s="499">
        <f t="shared" ref="BJ122:BM122" si="1107">BI122</f>
        <v>0</v>
      </c>
      <c r="BK122" s="499">
        <f t="shared" si="1107"/>
        <v>0</v>
      </c>
      <c r="BL122" s="499">
        <f t="shared" si="1107"/>
        <v>0</v>
      </c>
      <c r="BM122" s="499">
        <f t="shared" si="1107"/>
        <v>0</v>
      </c>
      <c r="BN122" s="499">
        <f t="shared" si="1087"/>
        <v>0</v>
      </c>
      <c r="BO122" s="499">
        <f t="shared" si="1088"/>
        <v>0</v>
      </c>
      <c r="BP122" s="721">
        <f t="shared" si="1062"/>
        <v>3</v>
      </c>
      <c r="BQ122" s="499">
        <f t="shared" si="1063"/>
        <v>3</v>
      </c>
      <c r="BR122" s="499">
        <f t="shared" si="1089"/>
        <v>3</v>
      </c>
      <c r="BS122" s="499">
        <f t="shared" si="1090"/>
        <v>3</v>
      </c>
      <c r="BT122" s="499">
        <f t="shared" si="1091"/>
        <v>3</v>
      </c>
      <c r="BU122" s="499">
        <f t="shared" si="1092"/>
        <v>3</v>
      </c>
      <c r="BV122" s="499">
        <f t="shared" si="1093"/>
        <v>3</v>
      </c>
      <c r="BW122" s="774">
        <f t="shared" si="1094"/>
        <v>0</v>
      </c>
      <c r="BX122" s="503">
        <f t="shared" si="1069"/>
        <v>0</v>
      </c>
      <c r="BY122" s="503">
        <f t="shared" si="1069"/>
        <v>0</v>
      </c>
      <c r="BZ122" s="503">
        <f t="shared" si="1069"/>
        <v>0</v>
      </c>
      <c r="CA122" s="503">
        <f t="shared" si="1069"/>
        <v>0</v>
      </c>
      <c r="CB122" s="503">
        <f t="shared" si="1069"/>
        <v>0</v>
      </c>
      <c r="CC122" s="503">
        <f t="shared" si="1069"/>
        <v>0</v>
      </c>
      <c r="CD122" s="722">
        <f t="shared" si="1070"/>
        <v>21.827576197387536</v>
      </c>
      <c r="CE122" s="511">
        <f t="shared" ref="CE122:CH122" si="1108">CD122</f>
        <v>21.827576197387536</v>
      </c>
      <c r="CF122" s="511">
        <f t="shared" si="1108"/>
        <v>21.827576197387536</v>
      </c>
      <c r="CG122" s="511">
        <f t="shared" si="1108"/>
        <v>21.827576197387536</v>
      </c>
      <c r="CH122" s="511">
        <f t="shared" si="1108"/>
        <v>21.827576197387536</v>
      </c>
      <c r="CI122" s="511">
        <f t="shared" si="1096"/>
        <v>21.827576197387536</v>
      </c>
      <c r="CJ122" s="511">
        <f t="shared" si="1097"/>
        <v>21.827576197387536</v>
      </c>
      <c r="CK122" s="722">
        <f t="shared" si="1072"/>
        <v>4.8479999999999954E-2</v>
      </c>
      <c r="CL122" s="511">
        <f t="shared" ref="CL122:CO122" si="1109">CK122</f>
        <v>4.8479999999999954E-2</v>
      </c>
      <c r="CM122" s="511">
        <f t="shared" si="1109"/>
        <v>4.8479999999999954E-2</v>
      </c>
      <c r="CN122" s="511">
        <f t="shared" si="1109"/>
        <v>4.8479999999999954E-2</v>
      </c>
      <c r="CO122" s="511">
        <f t="shared" si="1109"/>
        <v>4.8479999999999954E-2</v>
      </c>
      <c r="CP122" s="511">
        <f t="shared" si="1099"/>
        <v>4.8479999999999954E-2</v>
      </c>
      <c r="CQ122" s="511">
        <f t="shared" si="1100"/>
        <v>4.8479999999999954E-2</v>
      </c>
      <c r="CR122" s="722">
        <f t="shared" si="1074"/>
        <v>0</v>
      </c>
      <c r="CS122" s="511">
        <f t="shared" ref="CS122:CV122" si="1110">CR122</f>
        <v>0</v>
      </c>
      <c r="CT122" s="511">
        <f t="shared" si="1110"/>
        <v>0</v>
      </c>
      <c r="CU122" s="511">
        <f t="shared" si="1110"/>
        <v>0</v>
      </c>
      <c r="CV122" s="511">
        <f t="shared" si="1110"/>
        <v>0</v>
      </c>
      <c r="CW122" s="511">
        <f t="shared" si="1102"/>
        <v>0</v>
      </c>
      <c r="CX122" s="539">
        <f t="shared" si="1103"/>
        <v>0</v>
      </c>
      <c r="CY122" s="724">
        <f t="shared" si="849"/>
        <v>0</v>
      </c>
      <c r="CZ122" s="508">
        <f t="shared" si="850"/>
        <v>0</v>
      </c>
      <c r="DA122" s="508">
        <f t="shared" si="851"/>
        <v>5200</v>
      </c>
      <c r="DB122" s="508">
        <f t="shared" si="852"/>
        <v>0</v>
      </c>
      <c r="DC122" s="508">
        <f t="shared" si="853"/>
        <v>0</v>
      </c>
      <c r="DD122" s="508">
        <f t="shared" si="854"/>
        <v>5200</v>
      </c>
      <c r="DE122" s="726">
        <f t="shared" si="855"/>
        <v>0</v>
      </c>
      <c r="DF122" s="724">
        <f t="shared" si="856"/>
        <v>0</v>
      </c>
      <c r="DG122" s="509">
        <f t="shared" si="857"/>
        <v>0</v>
      </c>
      <c r="DH122" s="509">
        <f t="shared" si="858"/>
        <v>0</v>
      </c>
      <c r="DI122" s="509">
        <f t="shared" si="859"/>
        <v>0</v>
      </c>
      <c r="DJ122" s="509">
        <f t="shared" si="860"/>
        <v>0</v>
      </c>
      <c r="DK122" s="509">
        <f t="shared" si="861"/>
        <v>0</v>
      </c>
      <c r="DL122" s="451">
        <f t="shared" si="862"/>
        <v>0</v>
      </c>
      <c r="DM122" s="509">
        <f t="shared" si="863"/>
        <v>0</v>
      </c>
      <c r="DN122" s="509">
        <f t="shared" si="864"/>
        <v>0</v>
      </c>
      <c r="DO122" s="509">
        <f t="shared" si="865"/>
        <v>150</v>
      </c>
      <c r="DP122" s="509">
        <f t="shared" si="866"/>
        <v>0</v>
      </c>
      <c r="DQ122" s="509">
        <f t="shared" si="867"/>
        <v>0</v>
      </c>
      <c r="DR122" s="509">
        <f t="shared" si="868"/>
        <v>150</v>
      </c>
      <c r="DS122" s="450">
        <f t="shared" si="869"/>
        <v>0</v>
      </c>
      <c r="DT122" s="724">
        <f t="shared" si="870"/>
        <v>0</v>
      </c>
      <c r="DU122" s="508">
        <f t="shared" si="871"/>
        <v>0</v>
      </c>
      <c r="DV122" s="508">
        <f t="shared" si="872"/>
        <v>0</v>
      </c>
      <c r="DW122" s="508">
        <f t="shared" si="873"/>
        <v>0</v>
      </c>
      <c r="DX122" s="508">
        <f t="shared" si="874"/>
        <v>0</v>
      </c>
      <c r="DY122" s="508">
        <f t="shared" si="875"/>
        <v>0</v>
      </c>
      <c r="DZ122" s="726">
        <f t="shared" si="876"/>
        <v>0</v>
      </c>
      <c r="EA122" s="722">
        <f t="shared" si="877"/>
        <v>0</v>
      </c>
      <c r="EB122" s="511">
        <f t="shared" si="878"/>
        <v>0</v>
      </c>
      <c r="EC122" s="511">
        <f t="shared" si="879"/>
        <v>1091.3788098693767</v>
      </c>
      <c r="ED122" s="511">
        <f t="shared" si="880"/>
        <v>0</v>
      </c>
      <c r="EE122" s="511">
        <f t="shared" si="881"/>
        <v>0</v>
      </c>
      <c r="EF122" s="511">
        <f t="shared" si="882"/>
        <v>1091.3788098693767</v>
      </c>
      <c r="EG122" s="723">
        <f t="shared" si="883"/>
        <v>0</v>
      </c>
      <c r="EH122" s="397">
        <f t="shared" si="884"/>
        <v>0</v>
      </c>
      <c r="EI122" s="397">
        <f t="shared" si="885"/>
        <v>0</v>
      </c>
      <c r="EJ122" s="397">
        <f t="shared" si="886"/>
        <v>2.4239999999999977</v>
      </c>
      <c r="EK122" s="397">
        <f t="shared" si="887"/>
        <v>0</v>
      </c>
      <c r="EL122" s="397">
        <f t="shared" si="888"/>
        <v>0</v>
      </c>
      <c r="EM122" s="397">
        <f t="shared" si="889"/>
        <v>2.4239999999999977</v>
      </c>
      <c r="EN122" s="398">
        <f t="shared" si="890"/>
        <v>0</v>
      </c>
      <c r="EO122" s="722">
        <f t="shared" si="891"/>
        <v>0</v>
      </c>
      <c r="EP122" s="511">
        <f t="shared" si="892"/>
        <v>0</v>
      </c>
      <c r="EQ122" s="511">
        <f t="shared" si="893"/>
        <v>0</v>
      </c>
      <c r="ER122" s="511">
        <f t="shared" si="894"/>
        <v>0</v>
      </c>
      <c r="ES122" s="511">
        <f t="shared" si="895"/>
        <v>0</v>
      </c>
      <c r="ET122" s="511">
        <f t="shared" si="896"/>
        <v>0</v>
      </c>
      <c r="EU122" s="723">
        <f t="shared" si="897"/>
        <v>0</v>
      </c>
      <c r="EV122" s="727">
        <f t="shared" si="898"/>
        <v>0.5</v>
      </c>
      <c r="EW122" s="728">
        <f t="shared" si="899"/>
        <v>10400</v>
      </c>
      <c r="EX122" s="728">
        <f t="shared" si="900"/>
        <v>0</v>
      </c>
      <c r="EY122" s="728">
        <f t="shared" si="901"/>
        <v>300</v>
      </c>
      <c r="EZ122" s="728">
        <f t="shared" si="902"/>
        <v>0</v>
      </c>
      <c r="FA122" s="777">
        <f t="shared" si="903"/>
        <v>2182.7576197387534</v>
      </c>
      <c r="FB122" s="777">
        <f t="shared" si="904"/>
        <v>4.8479999999999954</v>
      </c>
      <c r="FC122" s="778">
        <f t="shared" si="905"/>
        <v>0</v>
      </c>
      <c r="FE122" s="10"/>
      <c r="FF122" s="10"/>
    </row>
    <row r="123" spans="1:162">
      <c r="A123" s="662" t="s">
        <v>180</v>
      </c>
      <c r="B123" s="789" t="s">
        <v>1414</v>
      </c>
      <c r="C123" s="789" t="str">
        <f t="shared" ref="C123:O123" si="1111">C9</f>
        <v>0.58 kW/ton (full load); 0.49 kW/ton (IPLV)</v>
      </c>
      <c r="D123" s="789" t="str">
        <f t="shared" si="1111"/>
        <v>IECC 2015 - 0.66 kW/ton (full load); 0.54 kW/ton (IPLV)</v>
      </c>
      <c r="E123" s="789" t="str">
        <f t="shared" si="1111"/>
        <v>Per Unit</v>
      </c>
      <c r="F123" s="789" t="str">
        <f t="shared" si="1111"/>
        <v>Per Ton</v>
      </c>
      <c r="G123" s="704" t="str">
        <f t="shared" si="1111"/>
        <v>Incremental Cost</v>
      </c>
      <c r="H123" s="704">
        <f t="shared" si="1111"/>
        <v>78</v>
      </c>
      <c r="I123" s="704">
        <f t="shared" si="1111"/>
        <v>0</v>
      </c>
      <c r="J123" s="704">
        <f t="shared" si="1111"/>
        <v>78</v>
      </c>
      <c r="K123" s="704">
        <f t="shared" si="1111"/>
        <v>0</v>
      </c>
      <c r="L123" s="704">
        <f t="shared" si="1111"/>
        <v>39</v>
      </c>
      <c r="M123" s="707" t="str">
        <f t="shared" si="1111"/>
        <v>Mid-Atlantic TRM V9 Electric Chillers (p.435) - Assuming 200 tons from 'Assumptions' tab, 0.60 kW/ton for efficient equipment to match TRM table, and Water-Cooled Scroll/Screw Chiller Incremental Costs ($/Ton) for Maryland to match baseline kW/ton</v>
      </c>
      <c r="N123" s="704">
        <f t="shared" si="1111"/>
        <v>3</v>
      </c>
      <c r="O123" s="704">
        <f t="shared" si="1111"/>
        <v>3</v>
      </c>
      <c r="P123" s="704">
        <f t="shared" si="1051"/>
        <v>0</v>
      </c>
      <c r="Q123" s="704">
        <f t="shared" si="1051"/>
        <v>0</v>
      </c>
      <c r="R123" s="1021">
        <f t="shared" si="1052"/>
        <v>54.568940493468844</v>
      </c>
      <c r="S123" s="872">
        <f t="shared" si="1052"/>
        <v>6.4640000000000059E-2</v>
      </c>
      <c r="T123" s="1022">
        <f t="shared" si="1052"/>
        <v>0</v>
      </c>
      <c r="U123" s="711" t="str">
        <f t="shared" si="1052"/>
        <v>Per unit savings estimate from Mid-Atlantic TRM v9 "Electric Chillers"</v>
      </c>
      <c r="V123" s="716">
        <f t="shared" si="1052"/>
        <v>0</v>
      </c>
      <c r="W123" s="711">
        <f t="shared" si="1052"/>
        <v>200</v>
      </c>
      <c r="X123" s="781">
        <f t="shared" ref="X123:AJ123" si="1112">X9/2</f>
        <v>150</v>
      </c>
      <c r="Y123" s="781">
        <f t="shared" si="1112"/>
        <v>0</v>
      </c>
      <c r="Z123" s="781">
        <f t="shared" si="1112"/>
        <v>0</v>
      </c>
      <c r="AA123" s="781">
        <f t="shared" si="1112"/>
        <v>0</v>
      </c>
      <c r="AB123" s="781">
        <f t="shared" si="1112"/>
        <v>0</v>
      </c>
      <c r="AC123" s="781">
        <f t="shared" si="1112"/>
        <v>0</v>
      </c>
      <c r="AD123" s="781">
        <f t="shared" si="1112"/>
        <v>0.5</v>
      </c>
      <c r="AE123" s="781">
        <f t="shared" si="1112"/>
        <v>0</v>
      </c>
      <c r="AF123" s="781">
        <f t="shared" si="1112"/>
        <v>0</v>
      </c>
      <c r="AG123" s="781">
        <f t="shared" si="1112"/>
        <v>0.5</v>
      </c>
      <c r="AH123" s="781">
        <f t="shared" si="1112"/>
        <v>0</v>
      </c>
      <c r="AI123" s="781">
        <f t="shared" si="1112"/>
        <v>0</v>
      </c>
      <c r="AJ123" s="781">
        <f t="shared" si="1112"/>
        <v>0.5</v>
      </c>
      <c r="AK123" s="711" t="str">
        <f t="shared" ref="AK123:BA123" si="1113">AK9</f>
        <v>Electric</v>
      </c>
      <c r="AL123" s="711" t="str">
        <f t="shared" si="1113"/>
        <v>Commercial</v>
      </c>
      <c r="AM123" s="711" t="str">
        <f t="shared" si="1113"/>
        <v>Health</v>
      </c>
      <c r="AN123" s="711" t="str">
        <f t="shared" si="1113"/>
        <v>Cooling Chillers</v>
      </c>
      <c r="AO123" s="711" t="str">
        <f t="shared" si="1113"/>
        <v>Existing</v>
      </c>
      <c r="AP123" s="711">
        <f t="shared" si="1113"/>
        <v>0</v>
      </c>
      <c r="AQ123" s="711">
        <f t="shared" si="1113"/>
        <v>0</v>
      </c>
      <c r="AR123" s="711">
        <f t="shared" si="1113"/>
        <v>0</v>
      </c>
      <c r="AS123" s="711" t="str">
        <f t="shared" si="1113"/>
        <v>OFFLGCool</v>
      </c>
      <c r="AT123" s="715" t="s">
        <v>745</v>
      </c>
      <c r="AU123" s="711" t="str">
        <f t="shared" si="1113"/>
        <v>LGE NonRes</v>
      </c>
      <c r="AV123" s="711">
        <f t="shared" si="1113"/>
        <v>20</v>
      </c>
      <c r="AW123" s="711">
        <f t="shared" si="1113"/>
        <v>20</v>
      </c>
      <c r="AX123" s="711" t="str">
        <f t="shared" si="1113"/>
        <v>Based on the DEER 2014 EUL database for the measure "High Efficiency Chillers"</v>
      </c>
      <c r="AY123" s="711">
        <f t="shared" si="1113"/>
        <v>1</v>
      </c>
      <c r="AZ123" s="711">
        <f t="shared" si="1113"/>
        <v>1</v>
      </c>
      <c r="BA123" s="1066">
        <f t="shared" si="1113"/>
        <v>0</v>
      </c>
      <c r="BB123" s="721">
        <f t="shared" si="1079"/>
        <v>78</v>
      </c>
      <c r="BC123" s="499">
        <f t="shared" si="1080"/>
        <v>78</v>
      </c>
      <c r="BD123" s="499">
        <f t="shared" si="1081"/>
        <v>78</v>
      </c>
      <c r="BE123" s="499">
        <f t="shared" si="1082"/>
        <v>78</v>
      </c>
      <c r="BF123" s="499">
        <f t="shared" si="1083"/>
        <v>78</v>
      </c>
      <c r="BG123" s="499">
        <f t="shared" si="1084"/>
        <v>78</v>
      </c>
      <c r="BH123" s="499">
        <f t="shared" si="1085"/>
        <v>78</v>
      </c>
      <c r="BI123" s="721">
        <f t="shared" si="1060"/>
        <v>0</v>
      </c>
      <c r="BJ123" s="499">
        <f t="shared" ref="BJ123:BM123" si="1114">BI123</f>
        <v>0</v>
      </c>
      <c r="BK123" s="499">
        <f t="shared" si="1114"/>
        <v>0</v>
      </c>
      <c r="BL123" s="499">
        <f t="shared" si="1114"/>
        <v>0</v>
      </c>
      <c r="BM123" s="499">
        <f t="shared" si="1114"/>
        <v>0</v>
      </c>
      <c r="BN123" s="499">
        <f t="shared" si="1087"/>
        <v>0</v>
      </c>
      <c r="BO123" s="499">
        <f t="shared" si="1088"/>
        <v>0</v>
      </c>
      <c r="BP123" s="721">
        <f t="shared" si="1062"/>
        <v>3</v>
      </c>
      <c r="BQ123" s="499">
        <f t="shared" si="1063"/>
        <v>3</v>
      </c>
      <c r="BR123" s="499">
        <f t="shared" si="1089"/>
        <v>3</v>
      </c>
      <c r="BS123" s="499">
        <f t="shared" si="1090"/>
        <v>3</v>
      </c>
      <c r="BT123" s="499">
        <f t="shared" si="1091"/>
        <v>3</v>
      </c>
      <c r="BU123" s="499">
        <f t="shared" si="1092"/>
        <v>3</v>
      </c>
      <c r="BV123" s="499">
        <f t="shared" si="1093"/>
        <v>3</v>
      </c>
      <c r="BW123" s="774">
        <f t="shared" si="1094"/>
        <v>0</v>
      </c>
      <c r="BX123" s="503">
        <f t="shared" si="1069"/>
        <v>0</v>
      </c>
      <c r="BY123" s="503">
        <f t="shared" si="1069"/>
        <v>0</v>
      </c>
      <c r="BZ123" s="503">
        <f t="shared" si="1069"/>
        <v>0</v>
      </c>
      <c r="CA123" s="503">
        <f t="shared" si="1069"/>
        <v>0</v>
      </c>
      <c r="CB123" s="503">
        <f t="shared" si="1069"/>
        <v>0</v>
      </c>
      <c r="CC123" s="503">
        <f t="shared" si="1069"/>
        <v>0</v>
      </c>
      <c r="CD123" s="722">
        <f t="shared" si="1070"/>
        <v>54.568940493468844</v>
      </c>
      <c r="CE123" s="511">
        <f t="shared" ref="CE123:CH123" si="1115">CD123</f>
        <v>54.568940493468844</v>
      </c>
      <c r="CF123" s="511">
        <f t="shared" si="1115"/>
        <v>54.568940493468844</v>
      </c>
      <c r="CG123" s="511">
        <f t="shared" si="1115"/>
        <v>54.568940493468844</v>
      </c>
      <c r="CH123" s="511">
        <f t="shared" si="1115"/>
        <v>54.568940493468844</v>
      </c>
      <c r="CI123" s="511">
        <f t="shared" si="1096"/>
        <v>54.568940493468844</v>
      </c>
      <c r="CJ123" s="511">
        <f t="shared" si="1097"/>
        <v>54.568940493468844</v>
      </c>
      <c r="CK123" s="722">
        <f t="shared" si="1072"/>
        <v>6.4640000000000059E-2</v>
      </c>
      <c r="CL123" s="511">
        <f t="shared" ref="CL123:CO123" si="1116">CK123</f>
        <v>6.4640000000000059E-2</v>
      </c>
      <c r="CM123" s="511">
        <f t="shared" si="1116"/>
        <v>6.4640000000000059E-2</v>
      </c>
      <c r="CN123" s="511">
        <f t="shared" si="1116"/>
        <v>6.4640000000000059E-2</v>
      </c>
      <c r="CO123" s="511">
        <f t="shared" si="1116"/>
        <v>6.4640000000000059E-2</v>
      </c>
      <c r="CP123" s="511">
        <f t="shared" si="1099"/>
        <v>6.4640000000000059E-2</v>
      </c>
      <c r="CQ123" s="511">
        <f t="shared" si="1100"/>
        <v>6.4640000000000059E-2</v>
      </c>
      <c r="CR123" s="722">
        <f t="shared" si="1074"/>
        <v>0</v>
      </c>
      <c r="CS123" s="511">
        <f t="shared" ref="CS123:CV123" si="1117">CR123</f>
        <v>0</v>
      </c>
      <c r="CT123" s="511">
        <f t="shared" si="1117"/>
        <v>0</v>
      </c>
      <c r="CU123" s="511">
        <f t="shared" si="1117"/>
        <v>0</v>
      </c>
      <c r="CV123" s="511">
        <f t="shared" si="1117"/>
        <v>0</v>
      </c>
      <c r="CW123" s="511">
        <f t="shared" si="1102"/>
        <v>0</v>
      </c>
      <c r="CX123" s="539">
        <f t="shared" si="1103"/>
        <v>0</v>
      </c>
      <c r="CY123" s="724">
        <f t="shared" si="849"/>
        <v>7800</v>
      </c>
      <c r="CZ123" s="508">
        <f t="shared" si="850"/>
        <v>0</v>
      </c>
      <c r="DA123" s="508">
        <f t="shared" si="851"/>
        <v>0</v>
      </c>
      <c r="DB123" s="508">
        <f t="shared" si="852"/>
        <v>7800</v>
      </c>
      <c r="DC123" s="508">
        <f t="shared" si="853"/>
        <v>0</v>
      </c>
      <c r="DD123" s="508">
        <f t="shared" si="854"/>
        <v>0</v>
      </c>
      <c r="DE123" s="726">
        <f t="shared" si="855"/>
        <v>7800</v>
      </c>
      <c r="DF123" s="724">
        <f t="shared" si="856"/>
        <v>0</v>
      </c>
      <c r="DG123" s="509">
        <f t="shared" si="857"/>
        <v>0</v>
      </c>
      <c r="DH123" s="509">
        <f t="shared" si="858"/>
        <v>0</v>
      </c>
      <c r="DI123" s="509">
        <f t="shared" si="859"/>
        <v>0</v>
      </c>
      <c r="DJ123" s="509">
        <f t="shared" si="860"/>
        <v>0</v>
      </c>
      <c r="DK123" s="509">
        <f t="shared" si="861"/>
        <v>0</v>
      </c>
      <c r="DL123" s="451">
        <f t="shared" si="862"/>
        <v>0</v>
      </c>
      <c r="DM123" s="509">
        <f t="shared" si="863"/>
        <v>300</v>
      </c>
      <c r="DN123" s="509">
        <f t="shared" si="864"/>
        <v>0</v>
      </c>
      <c r="DO123" s="509">
        <f t="shared" si="865"/>
        <v>0</v>
      </c>
      <c r="DP123" s="509">
        <f t="shared" si="866"/>
        <v>300</v>
      </c>
      <c r="DQ123" s="509">
        <f t="shared" si="867"/>
        <v>0</v>
      </c>
      <c r="DR123" s="509">
        <f t="shared" si="868"/>
        <v>0</v>
      </c>
      <c r="DS123" s="450">
        <f t="shared" si="869"/>
        <v>300</v>
      </c>
      <c r="DT123" s="724">
        <f t="shared" si="870"/>
        <v>0</v>
      </c>
      <c r="DU123" s="508">
        <f t="shared" si="871"/>
        <v>0</v>
      </c>
      <c r="DV123" s="508">
        <f t="shared" si="872"/>
        <v>0</v>
      </c>
      <c r="DW123" s="508">
        <f t="shared" si="873"/>
        <v>0</v>
      </c>
      <c r="DX123" s="508">
        <f t="shared" si="874"/>
        <v>0</v>
      </c>
      <c r="DY123" s="508">
        <f t="shared" si="875"/>
        <v>0</v>
      </c>
      <c r="DZ123" s="726">
        <f t="shared" si="876"/>
        <v>0</v>
      </c>
      <c r="EA123" s="722">
        <f t="shared" si="877"/>
        <v>5456.8940493468845</v>
      </c>
      <c r="EB123" s="511">
        <f t="shared" si="878"/>
        <v>0</v>
      </c>
      <c r="EC123" s="511">
        <f t="shared" si="879"/>
        <v>0</v>
      </c>
      <c r="ED123" s="511">
        <f t="shared" si="880"/>
        <v>5456.8940493468845</v>
      </c>
      <c r="EE123" s="511">
        <f t="shared" si="881"/>
        <v>0</v>
      </c>
      <c r="EF123" s="511">
        <f t="shared" si="882"/>
        <v>0</v>
      </c>
      <c r="EG123" s="723">
        <f t="shared" si="883"/>
        <v>5456.8940493468845</v>
      </c>
      <c r="EH123" s="397">
        <f t="shared" si="884"/>
        <v>6.4640000000000057</v>
      </c>
      <c r="EI123" s="397">
        <f t="shared" si="885"/>
        <v>0</v>
      </c>
      <c r="EJ123" s="397">
        <f t="shared" si="886"/>
        <v>0</v>
      </c>
      <c r="EK123" s="397">
        <f t="shared" si="887"/>
        <v>6.4640000000000057</v>
      </c>
      <c r="EL123" s="397">
        <f t="shared" si="888"/>
        <v>0</v>
      </c>
      <c r="EM123" s="397">
        <f t="shared" si="889"/>
        <v>0</v>
      </c>
      <c r="EN123" s="398">
        <f t="shared" si="890"/>
        <v>6.4640000000000057</v>
      </c>
      <c r="EO123" s="722">
        <f t="shared" si="891"/>
        <v>0</v>
      </c>
      <c r="EP123" s="511">
        <f t="shared" si="892"/>
        <v>0</v>
      </c>
      <c r="EQ123" s="511">
        <f t="shared" si="893"/>
        <v>0</v>
      </c>
      <c r="ER123" s="511">
        <f t="shared" si="894"/>
        <v>0</v>
      </c>
      <c r="ES123" s="511">
        <f t="shared" si="895"/>
        <v>0</v>
      </c>
      <c r="ET123" s="511">
        <f t="shared" si="896"/>
        <v>0</v>
      </c>
      <c r="EU123" s="723">
        <f t="shared" si="897"/>
        <v>0</v>
      </c>
      <c r="EV123" s="727">
        <f t="shared" si="898"/>
        <v>0.5</v>
      </c>
      <c r="EW123" s="728">
        <f t="shared" si="899"/>
        <v>23400</v>
      </c>
      <c r="EX123" s="728">
        <f t="shared" si="900"/>
        <v>0</v>
      </c>
      <c r="EY123" s="728">
        <f t="shared" si="901"/>
        <v>900</v>
      </c>
      <c r="EZ123" s="728">
        <f t="shared" si="902"/>
        <v>0</v>
      </c>
      <c r="FA123" s="777">
        <f t="shared" si="903"/>
        <v>16370.682148040654</v>
      </c>
      <c r="FB123" s="777">
        <f t="shared" si="904"/>
        <v>19.392000000000017</v>
      </c>
      <c r="FC123" s="778">
        <f t="shared" si="905"/>
        <v>0</v>
      </c>
      <c r="FE123" s="10"/>
      <c r="FF123" s="10"/>
    </row>
    <row r="124" spans="1:162">
      <c r="A124" s="662" t="s">
        <v>181</v>
      </c>
      <c r="B124" s="789" t="s">
        <v>1415</v>
      </c>
      <c r="C124" s="789" t="str">
        <f t="shared" ref="C124:O124" si="1118">C10</f>
        <v>0.53 kW/ton (full load); 0.46 kW/ton (IPLV)</v>
      </c>
      <c r="D124" s="789" t="str">
        <f t="shared" si="1118"/>
        <v>IECC 2015 - 0.56 kW/ton (full load); 0.52 kW/ton (IPLV)</v>
      </c>
      <c r="E124" s="789" t="str">
        <f t="shared" si="1118"/>
        <v>Per Unit</v>
      </c>
      <c r="F124" s="789" t="str">
        <f t="shared" si="1118"/>
        <v>Per Ton</v>
      </c>
      <c r="G124" s="704" t="str">
        <f t="shared" si="1118"/>
        <v>Incremental Cost</v>
      </c>
      <c r="H124" s="704">
        <f t="shared" si="1118"/>
        <v>14.33</v>
      </c>
      <c r="I124" s="704">
        <f t="shared" si="1118"/>
        <v>0</v>
      </c>
      <c r="J124" s="704">
        <f t="shared" si="1118"/>
        <v>14.33</v>
      </c>
      <c r="K124" s="704">
        <f t="shared" si="1118"/>
        <v>0</v>
      </c>
      <c r="L124" s="704">
        <f t="shared" si="1118"/>
        <v>7.165</v>
      </c>
      <c r="M124" s="707" t="str">
        <f t="shared" si="1118"/>
        <v>Mid-Atlantic TRM V9 Electric Chillers (p.435) - Assuming 400 tons from 'Assumptions' tab - See BizRebates_Cost_Savings tab for calculations (assumed Water-Cooled Centrifugal Chiller Incremental Costs ($/Ton) for Maryland for 300 and 600 tons as baseline kW/ton was more accurate)</v>
      </c>
      <c r="N124" s="704">
        <f t="shared" si="1118"/>
        <v>3</v>
      </c>
      <c r="O124" s="704">
        <f t="shared" si="1118"/>
        <v>3</v>
      </c>
      <c r="P124" s="704">
        <f t="shared" si="1051"/>
        <v>0</v>
      </c>
      <c r="Q124" s="704">
        <f t="shared" si="1051"/>
        <v>0</v>
      </c>
      <c r="R124" s="1021">
        <f t="shared" si="1052"/>
        <v>128.30384226491407</v>
      </c>
      <c r="S124" s="872">
        <f t="shared" si="1052"/>
        <v>5.3837209302325578E-2</v>
      </c>
      <c r="T124" s="1022">
        <f t="shared" si="1052"/>
        <v>0</v>
      </c>
      <c r="U124" s="711" t="str">
        <f t="shared" si="1052"/>
        <v>LG&amp;E/KU Commercial Rebates Report - Appendix A</v>
      </c>
      <c r="V124" s="716">
        <f t="shared" si="1052"/>
        <v>0</v>
      </c>
      <c r="W124" s="711">
        <f t="shared" si="1052"/>
        <v>400</v>
      </c>
      <c r="X124" s="781">
        <f t="shared" ref="X124:AJ124" si="1119">X10/2</f>
        <v>1214</v>
      </c>
      <c r="Y124" s="781">
        <f t="shared" si="1119"/>
        <v>0</v>
      </c>
      <c r="Z124" s="781">
        <f t="shared" si="1119"/>
        <v>0</v>
      </c>
      <c r="AA124" s="781">
        <f t="shared" si="1119"/>
        <v>0</v>
      </c>
      <c r="AB124" s="781">
        <f t="shared" si="1119"/>
        <v>0</v>
      </c>
      <c r="AC124" s="781">
        <f t="shared" si="1119"/>
        <v>0</v>
      </c>
      <c r="AD124" s="781">
        <f t="shared" si="1119"/>
        <v>0</v>
      </c>
      <c r="AE124" s="781">
        <f t="shared" si="1119"/>
        <v>0.5</v>
      </c>
      <c r="AF124" s="781">
        <f t="shared" si="1119"/>
        <v>0</v>
      </c>
      <c r="AG124" s="781">
        <f t="shared" si="1119"/>
        <v>0</v>
      </c>
      <c r="AH124" s="781">
        <f t="shared" si="1119"/>
        <v>0.5</v>
      </c>
      <c r="AI124" s="781">
        <f t="shared" si="1119"/>
        <v>0</v>
      </c>
      <c r="AJ124" s="781">
        <f t="shared" si="1119"/>
        <v>0</v>
      </c>
      <c r="AK124" s="711" t="str">
        <f t="shared" ref="AK124:BA124" si="1120">AK10</f>
        <v>Electric</v>
      </c>
      <c r="AL124" s="711" t="str">
        <f t="shared" si="1120"/>
        <v>Commercial</v>
      </c>
      <c r="AM124" s="711" t="str">
        <f t="shared" si="1120"/>
        <v>Large Office</v>
      </c>
      <c r="AN124" s="711" t="str">
        <f t="shared" si="1120"/>
        <v>Cooling Chillers</v>
      </c>
      <c r="AO124" s="711" t="str">
        <f t="shared" si="1120"/>
        <v>Existing</v>
      </c>
      <c r="AP124" s="711">
        <f t="shared" si="1120"/>
        <v>0</v>
      </c>
      <c r="AQ124" s="711">
        <f t="shared" si="1120"/>
        <v>0</v>
      </c>
      <c r="AR124" s="711">
        <f t="shared" si="1120"/>
        <v>0</v>
      </c>
      <c r="AS124" s="711" t="str">
        <f t="shared" si="1120"/>
        <v>OFFLGCool</v>
      </c>
      <c r="AT124" s="715" t="s">
        <v>745</v>
      </c>
      <c r="AU124" s="711" t="str">
        <f t="shared" si="1120"/>
        <v>LGE NonRes</v>
      </c>
      <c r="AV124" s="711">
        <f t="shared" si="1120"/>
        <v>20</v>
      </c>
      <c r="AW124" s="711">
        <f t="shared" si="1120"/>
        <v>20</v>
      </c>
      <c r="AX124" s="711" t="str">
        <f t="shared" si="1120"/>
        <v>Based on the DEER 2014 EUL database for the measure "High Efficiency Chillers"</v>
      </c>
      <c r="AY124" s="711">
        <f t="shared" si="1120"/>
        <v>1</v>
      </c>
      <c r="AZ124" s="711">
        <f t="shared" si="1120"/>
        <v>1</v>
      </c>
      <c r="BA124" s="1066">
        <f t="shared" si="1120"/>
        <v>0</v>
      </c>
      <c r="BB124" s="721">
        <f t="shared" si="1079"/>
        <v>14.33</v>
      </c>
      <c r="BC124" s="499">
        <f t="shared" si="1080"/>
        <v>14.33</v>
      </c>
      <c r="BD124" s="499">
        <f t="shared" si="1081"/>
        <v>14.33</v>
      </c>
      <c r="BE124" s="499">
        <f t="shared" si="1082"/>
        <v>14.33</v>
      </c>
      <c r="BF124" s="499">
        <f t="shared" si="1083"/>
        <v>14.33</v>
      </c>
      <c r="BG124" s="499">
        <f t="shared" si="1084"/>
        <v>14.33</v>
      </c>
      <c r="BH124" s="499">
        <f t="shared" si="1085"/>
        <v>14.33</v>
      </c>
      <c r="BI124" s="721">
        <f t="shared" si="1060"/>
        <v>0</v>
      </c>
      <c r="BJ124" s="499">
        <f t="shared" ref="BJ124:BM124" si="1121">BI124</f>
        <v>0</v>
      </c>
      <c r="BK124" s="499">
        <f t="shared" si="1121"/>
        <v>0</v>
      </c>
      <c r="BL124" s="499">
        <f t="shared" si="1121"/>
        <v>0</v>
      </c>
      <c r="BM124" s="499">
        <f t="shared" si="1121"/>
        <v>0</v>
      </c>
      <c r="BN124" s="499">
        <f t="shared" si="1087"/>
        <v>0</v>
      </c>
      <c r="BO124" s="499">
        <f t="shared" si="1088"/>
        <v>0</v>
      </c>
      <c r="BP124" s="721">
        <f t="shared" si="1062"/>
        <v>3</v>
      </c>
      <c r="BQ124" s="499">
        <f t="shared" si="1063"/>
        <v>3</v>
      </c>
      <c r="BR124" s="499">
        <f t="shared" si="1089"/>
        <v>3</v>
      </c>
      <c r="BS124" s="499">
        <f t="shared" si="1090"/>
        <v>3</v>
      </c>
      <c r="BT124" s="499">
        <f t="shared" si="1091"/>
        <v>3</v>
      </c>
      <c r="BU124" s="499">
        <f t="shared" si="1092"/>
        <v>3</v>
      </c>
      <c r="BV124" s="499">
        <f t="shared" si="1093"/>
        <v>3</v>
      </c>
      <c r="BW124" s="774">
        <f t="shared" si="1094"/>
        <v>0</v>
      </c>
      <c r="BX124" s="503">
        <f t="shared" si="1069"/>
        <v>0</v>
      </c>
      <c r="BY124" s="503">
        <f t="shared" si="1069"/>
        <v>0</v>
      </c>
      <c r="BZ124" s="503">
        <f t="shared" si="1069"/>
        <v>0</v>
      </c>
      <c r="CA124" s="503">
        <f t="shared" si="1069"/>
        <v>0</v>
      </c>
      <c r="CB124" s="503">
        <f t="shared" si="1069"/>
        <v>0</v>
      </c>
      <c r="CC124" s="503">
        <f t="shared" si="1069"/>
        <v>0</v>
      </c>
      <c r="CD124" s="722">
        <f t="shared" si="1070"/>
        <v>128.30384226491407</v>
      </c>
      <c r="CE124" s="511">
        <f t="shared" ref="CE124:CH124" si="1122">CD124</f>
        <v>128.30384226491407</v>
      </c>
      <c r="CF124" s="511">
        <f t="shared" si="1122"/>
        <v>128.30384226491407</v>
      </c>
      <c r="CG124" s="511">
        <f t="shared" si="1122"/>
        <v>128.30384226491407</v>
      </c>
      <c r="CH124" s="511">
        <f t="shared" si="1122"/>
        <v>128.30384226491407</v>
      </c>
      <c r="CI124" s="511">
        <f t="shared" si="1096"/>
        <v>128.30384226491407</v>
      </c>
      <c r="CJ124" s="511">
        <f t="shared" si="1097"/>
        <v>128.30384226491407</v>
      </c>
      <c r="CK124" s="722">
        <f t="shared" si="1072"/>
        <v>5.3837209302325578E-2</v>
      </c>
      <c r="CL124" s="511">
        <f t="shared" ref="CL124:CO124" si="1123">CK124</f>
        <v>5.3837209302325578E-2</v>
      </c>
      <c r="CM124" s="511">
        <f t="shared" si="1123"/>
        <v>5.3837209302325578E-2</v>
      </c>
      <c r="CN124" s="511">
        <f t="shared" si="1123"/>
        <v>5.3837209302325578E-2</v>
      </c>
      <c r="CO124" s="511">
        <f t="shared" si="1123"/>
        <v>5.3837209302325578E-2</v>
      </c>
      <c r="CP124" s="511">
        <f t="shared" si="1099"/>
        <v>5.3837209302325578E-2</v>
      </c>
      <c r="CQ124" s="511">
        <f t="shared" si="1100"/>
        <v>5.3837209302325578E-2</v>
      </c>
      <c r="CR124" s="722">
        <f t="shared" si="1074"/>
        <v>0</v>
      </c>
      <c r="CS124" s="511">
        <f t="shared" ref="CS124:CV124" si="1124">CR124</f>
        <v>0</v>
      </c>
      <c r="CT124" s="511">
        <f t="shared" si="1124"/>
        <v>0</v>
      </c>
      <c r="CU124" s="511">
        <f t="shared" si="1124"/>
        <v>0</v>
      </c>
      <c r="CV124" s="511">
        <f t="shared" si="1124"/>
        <v>0</v>
      </c>
      <c r="CW124" s="511">
        <f t="shared" si="1102"/>
        <v>0</v>
      </c>
      <c r="CX124" s="539">
        <f t="shared" si="1103"/>
        <v>0</v>
      </c>
      <c r="CY124" s="724">
        <f t="shared" si="849"/>
        <v>0</v>
      </c>
      <c r="CZ124" s="508">
        <f t="shared" si="850"/>
        <v>2866</v>
      </c>
      <c r="DA124" s="508">
        <f t="shared" si="851"/>
        <v>0</v>
      </c>
      <c r="DB124" s="508">
        <f t="shared" si="852"/>
        <v>0</v>
      </c>
      <c r="DC124" s="508">
        <f t="shared" si="853"/>
        <v>2866</v>
      </c>
      <c r="DD124" s="508">
        <f t="shared" si="854"/>
        <v>0</v>
      </c>
      <c r="DE124" s="726">
        <f t="shared" si="855"/>
        <v>0</v>
      </c>
      <c r="DF124" s="724">
        <f t="shared" si="856"/>
        <v>0</v>
      </c>
      <c r="DG124" s="509">
        <f t="shared" si="857"/>
        <v>0</v>
      </c>
      <c r="DH124" s="509">
        <f t="shared" si="858"/>
        <v>0</v>
      </c>
      <c r="DI124" s="509">
        <f t="shared" si="859"/>
        <v>0</v>
      </c>
      <c r="DJ124" s="509">
        <f t="shared" si="860"/>
        <v>0</v>
      </c>
      <c r="DK124" s="509">
        <f t="shared" si="861"/>
        <v>0</v>
      </c>
      <c r="DL124" s="451">
        <f t="shared" si="862"/>
        <v>0</v>
      </c>
      <c r="DM124" s="509">
        <f t="shared" si="863"/>
        <v>0</v>
      </c>
      <c r="DN124" s="509">
        <f t="shared" si="864"/>
        <v>600</v>
      </c>
      <c r="DO124" s="509">
        <f t="shared" si="865"/>
        <v>0</v>
      </c>
      <c r="DP124" s="509">
        <f t="shared" si="866"/>
        <v>0</v>
      </c>
      <c r="DQ124" s="509">
        <f t="shared" si="867"/>
        <v>600</v>
      </c>
      <c r="DR124" s="509">
        <f t="shared" si="868"/>
        <v>0</v>
      </c>
      <c r="DS124" s="450">
        <f t="shared" si="869"/>
        <v>0</v>
      </c>
      <c r="DT124" s="724">
        <f t="shared" si="870"/>
        <v>0</v>
      </c>
      <c r="DU124" s="508">
        <f t="shared" si="871"/>
        <v>0</v>
      </c>
      <c r="DV124" s="508">
        <f t="shared" si="872"/>
        <v>0</v>
      </c>
      <c r="DW124" s="508">
        <f t="shared" si="873"/>
        <v>0</v>
      </c>
      <c r="DX124" s="508">
        <f t="shared" si="874"/>
        <v>0</v>
      </c>
      <c r="DY124" s="508">
        <f t="shared" si="875"/>
        <v>0</v>
      </c>
      <c r="DZ124" s="726">
        <f t="shared" si="876"/>
        <v>0</v>
      </c>
      <c r="EA124" s="722">
        <f t="shared" si="877"/>
        <v>0</v>
      </c>
      <c r="EB124" s="511">
        <f t="shared" si="878"/>
        <v>25660.768452982815</v>
      </c>
      <c r="EC124" s="511">
        <f t="shared" si="879"/>
        <v>0</v>
      </c>
      <c r="ED124" s="511">
        <f t="shared" si="880"/>
        <v>0</v>
      </c>
      <c r="EE124" s="511">
        <f t="shared" si="881"/>
        <v>25660.768452982815</v>
      </c>
      <c r="EF124" s="511">
        <f t="shared" si="882"/>
        <v>0</v>
      </c>
      <c r="EG124" s="723">
        <f t="shared" si="883"/>
        <v>0</v>
      </c>
      <c r="EH124" s="397">
        <f t="shared" si="884"/>
        <v>0</v>
      </c>
      <c r="EI124" s="397">
        <f t="shared" si="885"/>
        <v>10.767441860465116</v>
      </c>
      <c r="EJ124" s="397">
        <f t="shared" si="886"/>
        <v>0</v>
      </c>
      <c r="EK124" s="397">
        <f t="shared" si="887"/>
        <v>0</v>
      </c>
      <c r="EL124" s="397">
        <f t="shared" si="888"/>
        <v>10.767441860465116</v>
      </c>
      <c r="EM124" s="397">
        <f t="shared" si="889"/>
        <v>0</v>
      </c>
      <c r="EN124" s="398">
        <f t="shared" si="890"/>
        <v>0</v>
      </c>
      <c r="EO124" s="722">
        <f t="shared" si="891"/>
        <v>0</v>
      </c>
      <c r="EP124" s="511">
        <f t="shared" si="892"/>
        <v>0</v>
      </c>
      <c r="EQ124" s="511">
        <f t="shared" si="893"/>
        <v>0</v>
      </c>
      <c r="ER124" s="511">
        <f t="shared" si="894"/>
        <v>0</v>
      </c>
      <c r="ES124" s="511">
        <f t="shared" si="895"/>
        <v>0</v>
      </c>
      <c r="ET124" s="511">
        <f t="shared" si="896"/>
        <v>0</v>
      </c>
      <c r="EU124" s="723">
        <f t="shared" si="897"/>
        <v>0</v>
      </c>
      <c r="EV124" s="727">
        <f t="shared" si="898"/>
        <v>0.5</v>
      </c>
      <c r="EW124" s="728">
        <f t="shared" si="899"/>
        <v>5732</v>
      </c>
      <c r="EX124" s="728">
        <f t="shared" si="900"/>
        <v>0</v>
      </c>
      <c r="EY124" s="728">
        <f t="shared" si="901"/>
        <v>1200</v>
      </c>
      <c r="EZ124" s="728">
        <f t="shared" si="902"/>
        <v>0</v>
      </c>
      <c r="FA124" s="777">
        <f t="shared" si="903"/>
        <v>51321.53690596563</v>
      </c>
      <c r="FB124" s="777">
        <f t="shared" si="904"/>
        <v>21.534883720930232</v>
      </c>
      <c r="FC124" s="778">
        <f t="shared" si="905"/>
        <v>0</v>
      </c>
      <c r="FE124" s="10"/>
      <c r="FF124" s="10"/>
    </row>
    <row r="125" spans="1:162">
      <c r="A125" s="662" t="s">
        <v>182</v>
      </c>
      <c r="B125" s="789" t="s">
        <v>1416</v>
      </c>
      <c r="C125" s="789" t="str">
        <f t="shared" ref="C125:O125" si="1125">C11</f>
        <v>Air Cooled Chilled Water Reset</v>
      </c>
      <c r="D125" s="789" t="str">
        <f t="shared" si="1125"/>
        <v>No Reset</v>
      </c>
      <c r="E125" s="789" t="str">
        <f t="shared" si="1125"/>
        <v>Per Unit</v>
      </c>
      <c r="F125" s="789" t="str">
        <f t="shared" si="1125"/>
        <v>Per Unit</v>
      </c>
      <c r="G125" s="704" t="str">
        <f t="shared" si="1125"/>
        <v>Incremental Cost</v>
      </c>
      <c r="H125" s="704">
        <f t="shared" si="1125"/>
        <v>400</v>
      </c>
      <c r="I125" s="704">
        <f t="shared" si="1125"/>
        <v>0</v>
      </c>
      <c r="J125" s="704">
        <f t="shared" si="1125"/>
        <v>400</v>
      </c>
      <c r="K125" s="704">
        <f t="shared" si="1125"/>
        <v>0</v>
      </c>
      <c r="L125" s="704">
        <f t="shared" si="1125"/>
        <v>200</v>
      </c>
      <c r="M125" s="707" t="str">
        <f t="shared" si="1125"/>
        <v>Estimated incentive equals 25% of incremental cost. Reference: Assume 2 point for air cooled. CWST Reset Costs CA 2013 Standard Doc: http://www.energy.ca.gov/title24/2013standards/prerulemaking/documents/2011-08-17_workshop/presentations/05%20Condenser%20Water%20Reset%20Control.pdf</v>
      </c>
      <c r="N125" s="704">
        <f t="shared" si="1125"/>
        <v>100</v>
      </c>
      <c r="O125" s="704">
        <f t="shared" si="1125"/>
        <v>100</v>
      </c>
      <c r="P125" s="704">
        <f t="shared" si="1051"/>
        <v>0</v>
      </c>
      <c r="Q125" s="704">
        <f t="shared" si="1051"/>
        <v>0</v>
      </c>
      <c r="R125" s="1021">
        <f t="shared" si="1052"/>
        <v>2825.8201326315789</v>
      </c>
      <c r="S125" s="872">
        <f t="shared" si="1052"/>
        <v>1.79571110984056</v>
      </c>
      <c r="T125" s="1022">
        <f t="shared" si="1052"/>
        <v>0</v>
      </c>
      <c r="U125" s="711" t="str">
        <f t="shared" si="1052"/>
        <v>LG&amp;E and KU Commercial Rebates Program Impact Evaluation for Chillers - FINAL October 24, 2016 by The Tetra Tech Evaluation Team</v>
      </c>
      <c r="V125" s="716">
        <f t="shared" si="1052"/>
        <v>0</v>
      </c>
      <c r="W125" s="711">
        <f t="shared" si="1052"/>
        <v>1</v>
      </c>
      <c r="X125" s="781">
        <f t="shared" ref="X125:AJ125" si="1126">X11/2</f>
        <v>0</v>
      </c>
      <c r="Y125" s="781">
        <f t="shared" si="1126"/>
        <v>0</v>
      </c>
      <c r="Z125" s="781">
        <f t="shared" si="1126"/>
        <v>0</v>
      </c>
      <c r="AA125" s="781">
        <f t="shared" si="1126"/>
        <v>0</v>
      </c>
      <c r="AB125" s="781">
        <f t="shared" si="1126"/>
        <v>0</v>
      </c>
      <c r="AC125" s="781">
        <f t="shared" si="1126"/>
        <v>0</v>
      </c>
      <c r="AD125" s="781">
        <f t="shared" si="1126"/>
        <v>0</v>
      </c>
      <c r="AE125" s="781">
        <f t="shared" si="1126"/>
        <v>0.5</v>
      </c>
      <c r="AF125" s="781">
        <f t="shared" si="1126"/>
        <v>0</v>
      </c>
      <c r="AG125" s="781">
        <f t="shared" si="1126"/>
        <v>0</v>
      </c>
      <c r="AH125" s="781">
        <f t="shared" si="1126"/>
        <v>0.5</v>
      </c>
      <c r="AI125" s="781">
        <f t="shared" si="1126"/>
        <v>0</v>
      </c>
      <c r="AJ125" s="781">
        <f t="shared" si="1126"/>
        <v>0</v>
      </c>
      <c r="AK125" s="711" t="str">
        <f t="shared" ref="AK125:BA125" si="1127">AK11</f>
        <v>Electric</v>
      </c>
      <c r="AL125" s="711" t="str">
        <f t="shared" si="1127"/>
        <v>Commercial</v>
      </c>
      <c r="AM125" s="711" t="str">
        <f t="shared" si="1127"/>
        <v>Miscellaneous</v>
      </c>
      <c r="AN125" s="711" t="str">
        <f t="shared" si="1127"/>
        <v>Cooling Chillers</v>
      </c>
      <c r="AO125" s="711" t="str">
        <f t="shared" si="1127"/>
        <v>Existing</v>
      </c>
      <c r="AP125" s="711">
        <f t="shared" si="1127"/>
        <v>0</v>
      </c>
      <c r="AQ125" s="711">
        <f t="shared" si="1127"/>
        <v>0</v>
      </c>
      <c r="AR125" s="711">
        <f t="shared" si="1127"/>
        <v>0</v>
      </c>
      <c r="AS125" s="711" t="str">
        <f t="shared" si="1127"/>
        <v>OFFSMCool</v>
      </c>
      <c r="AT125" s="715" t="s">
        <v>745</v>
      </c>
      <c r="AU125" s="711" t="str">
        <f t="shared" si="1127"/>
        <v>LGE NonRes</v>
      </c>
      <c r="AV125" s="711">
        <f t="shared" si="1127"/>
        <v>10</v>
      </c>
      <c r="AW125" s="711">
        <f t="shared" si="1127"/>
        <v>10</v>
      </c>
      <c r="AX125" s="711" t="str">
        <f t="shared" si="1127"/>
        <v>DEER 2005 and Engineering Judgement. Assuming 10 years.</v>
      </c>
      <c r="AY125" s="711">
        <f t="shared" si="1127"/>
        <v>1</v>
      </c>
      <c r="AZ125" s="711">
        <f t="shared" si="1127"/>
        <v>1</v>
      </c>
      <c r="BA125" s="1066">
        <f t="shared" si="1127"/>
        <v>0</v>
      </c>
      <c r="BB125" s="721">
        <f t="shared" si="1079"/>
        <v>400</v>
      </c>
      <c r="BC125" s="499">
        <f t="shared" si="1080"/>
        <v>400</v>
      </c>
      <c r="BD125" s="499">
        <f t="shared" si="1081"/>
        <v>400</v>
      </c>
      <c r="BE125" s="499">
        <f t="shared" si="1082"/>
        <v>400</v>
      </c>
      <c r="BF125" s="499">
        <f t="shared" si="1083"/>
        <v>400</v>
      </c>
      <c r="BG125" s="499">
        <f t="shared" si="1084"/>
        <v>400</v>
      </c>
      <c r="BH125" s="499">
        <f t="shared" si="1085"/>
        <v>400</v>
      </c>
      <c r="BI125" s="721">
        <f t="shared" si="1060"/>
        <v>0</v>
      </c>
      <c r="BJ125" s="499">
        <f t="shared" ref="BJ125:BM125" si="1128">BI125</f>
        <v>0</v>
      </c>
      <c r="BK125" s="499">
        <f t="shared" si="1128"/>
        <v>0</v>
      </c>
      <c r="BL125" s="499">
        <f t="shared" si="1128"/>
        <v>0</v>
      </c>
      <c r="BM125" s="499">
        <f t="shared" si="1128"/>
        <v>0</v>
      </c>
      <c r="BN125" s="499">
        <f t="shared" si="1087"/>
        <v>0</v>
      </c>
      <c r="BO125" s="499">
        <f t="shared" si="1088"/>
        <v>0</v>
      </c>
      <c r="BP125" s="721">
        <f t="shared" si="1062"/>
        <v>100</v>
      </c>
      <c r="BQ125" s="499">
        <f t="shared" si="1063"/>
        <v>100</v>
      </c>
      <c r="BR125" s="499">
        <f t="shared" si="1089"/>
        <v>100</v>
      </c>
      <c r="BS125" s="499">
        <f t="shared" si="1090"/>
        <v>100</v>
      </c>
      <c r="BT125" s="499">
        <f t="shared" si="1091"/>
        <v>100</v>
      </c>
      <c r="BU125" s="499">
        <f t="shared" si="1092"/>
        <v>100</v>
      </c>
      <c r="BV125" s="499">
        <f t="shared" si="1093"/>
        <v>100</v>
      </c>
      <c r="BW125" s="774">
        <f t="shared" si="1094"/>
        <v>0</v>
      </c>
      <c r="BX125" s="503">
        <f t="shared" si="1069"/>
        <v>0</v>
      </c>
      <c r="BY125" s="503">
        <f t="shared" si="1069"/>
        <v>0</v>
      </c>
      <c r="BZ125" s="503">
        <f t="shared" si="1069"/>
        <v>0</v>
      </c>
      <c r="CA125" s="503">
        <f t="shared" si="1069"/>
        <v>0</v>
      </c>
      <c r="CB125" s="503">
        <f t="shared" si="1069"/>
        <v>0</v>
      </c>
      <c r="CC125" s="503">
        <f t="shared" si="1069"/>
        <v>0</v>
      </c>
      <c r="CD125" s="722">
        <f t="shared" si="1070"/>
        <v>2825.8201326315789</v>
      </c>
      <c r="CE125" s="511">
        <f t="shared" ref="CE125:CH125" si="1129">CD125</f>
        <v>2825.8201326315789</v>
      </c>
      <c r="CF125" s="511">
        <f t="shared" si="1129"/>
        <v>2825.8201326315789</v>
      </c>
      <c r="CG125" s="511">
        <f t="shared" si="1129"/>
        <v>2825.8201326315789</v>
      </c>
      <c r="CH125" s="511">
        <f t="shared" si="1129"/>
        <v>2825.8201326315789</v>
      </c>
      <c r="CI125" s="511">
        <f t="shared" si="1096"/>
        <v>2825.8201326315789</v>
      </c>
      <c r="CJ125" s="511">
        <f t="shared" si="1097"/>
        <v>2825.8201326315789</v>
      </c>
      <c r="CK125" s="722">
        <f t="shared" si="1072"/>
        <v>1.79571110984056</v>
      </c>
      <c r="CL125" s="511">
        <f t="shared" ref="CL125:CO125" si="1130">CK125</f>
        <v>1.79571110984056</v>
      </c>
      <c r="CM125" s="511">
        <f t="shared" si="1130"/>
        <v>1.79571110984056</v>
      </c>
      <c r="CN125" s="511">
        <f t="shared" si="1130"/>
        <v>1.79571110984056</v>
      </c>
      <c r="CO125" s="511">
        <f t="shared" si="1130"/>
        <v>1.79571110984056</v>
      </c>
      <c r="CP125" s="511">
        <f t="shared" si="1099"/>
        <v>1.79571110984056</v>
      </c>
      <c r="CQ125" s="511">
        <f t="shared" si="1100"/>
        <v>1.79571110984056</v>
      </c>
      <c r="CR125" s="722">
        <f t="shared" si="1074"/>
        <v>0</v>
      </c>
      <c r="CS125" s="511">
        <f t="shared" ref="CS125:CV125" si="1131">CR125</f>
        <v>0</v>
      </c>
      <c r="CT125" s="511">
        <f t="shared" si="1131"/>
        <v>0</v>
      </c>
      <c r="CU125" s="511">
        <f t="shared" si="1131"/>
        <v>0</v>
      </c>
      <c r="CV125" s="511">
        <f t="shared" si="1131"/>
        <v>0</v>
      </c>
      <c r="CW125" s="511">
        <f t="shared" si="1102"/>
        <v>0</v>
      </c>
      <c r="CX125" s="539">
        <f t="shared" si="1103"/>
        <v>0</v>
      </c>
      <c r="CY125" s="724">
        <f t="shared" si="849"/>
        <v>0</v>
      </c>
      <c r="CZ125" s="508">
        <f t="shared" si="850"/>
        <v>200</v>
      </c>
      <c r="DA125" s="508">
        <f t="shared" si="851"/>
        <v>0</v>
      </c>
      <c r="DB125" s="508">
        <f t="shared" si="852"/>
        <v>0</v>
      </c>
      <c r="DC125" s="508">
        <f t="shared" si="853"/>
        <v>200</v>
      </c>
      <c r="DD125" s="508">
        <f t="shared" si="854"/>
        <v>0</v>
      </c>
      <c r="DE125" s="726">
        <f t="shared" si="855"/>
        <v>0</v>
      </c>
      <c r="DF125" s="724">
        <f t="shared" si="856"/>
        <v>0</v>
      </c>
      <c r="DG125" s="509">
        <f t="shared" si="857"/>
        <v>0</v>
      </c>
      <c r="DH125" s="509">
        <f t="shared" si="858"/>
        <v>0</v>
      </c>
      <c r="DI125" s="509">
        <f t="shared" si="859"/>
        <v>0</v>
      </c>
      <c r="DJ125" s="509">
        <f t="shared" si="860"/>
        <v>0</v>
      </c>
      <c r="DK125" s="509">
        <f t="shared" si="861"/>
        <v>0</v>
      </c>
      <c r="DL125" s="451">
        <f t="shared" si="862"/>
        <v>0</v>
      </c>
      <c r="DM125" s="509">
        <f t="shared" si="863"/>
        <v>0</v>
      </c>
      <c r="DN125" s="509">
        <f t="shared" si="864"/>
        <v>50</v>
      </c>
      <c r="DO125" s="509">
        <f t="shared" si="865"/>
        <v>0</v>
      </c>
      <c r="DP125" s="509">
        <f t="shared" si="866"/>
        <v>0</v>
      </c>
      <c r="DQ125" s="509">
        <f t="shared" si="867"/>
        <v>50</v>
      </c>
      <c r="DR125" s="509">
        <f t="shared" si="868"/>
        <v>0</v>
      </c>
      <c r="DS125" s="450">
        <f t="shared" si="869"/>
        <v>0</v>
      </c>
      <c r="DT125" s="724">
        <f t="shared" si="870"/>
        <v>0</v>
      </c>
      <c r="DU125" s="508">
        <f t="shared" si="871"/>
        <v>0</v>
      </c>
      <c r="DV125" s="508">
        <f t="shared" si="872"/>
        <v>0</v>
      </c>
      <c r="DW125" s="508">
        <f t="shared" si="873"/>
        <v>0</v>
      </c>
      <c r="DX125" s="508">
        <f t="shared" si="874"/>
        <v>0</v>
      </c>
      <c r="DY125" s="508">
        <f t="shared" si="875"/>
        <v>0</v>
      </c>
      <c r="DZ125" s="726">
        <f t="shared" si="876"/>
        <v>0</v>
      </c>
      <c r="EA125" s="722">
        <f t="shared" si="877"/>
        <v>0</v>
      </c>
      <c r="EB125" s="511">
        <f t="shared" si="878"/>
        <v>1412.9100663157894</v>
      </c>
      <c r="EC125" s="511">
        <f t="shared" si="879"/>
        <v>0</v>
      </c>
      <c r="ED125" s="511">
        <f t="shared" si="880"/>
        <v>0</v>
      </c>
      <c r="EE125" s="511">
        <f t="shared" si="881"/>
        <v>1412.9100663157894</v>
      </c>
      <c r="EF125" s="511">
        <f t="shared" si="882"/>
        <v>0</v>
      </c>
      <c r="EG125" s="723">
        <f t="shared" si="883"/>
        <v>0</v>
      </c>
      <c r="EH125" s="397">
        <f t="shared" si="884"/>
        <v>0</v>
      </c>
      <c r="EI125" s="397">
        <f t="shared" si="885"/>
        <v>0.89785555492028002</v>
      </c>
      <c r="EJ125" s="397">
        <f t="shared" si="886"/>
        <v>0</v>
      </c>
      <c r="EK125" s="397">
        <f t="shared" si="887"/>
        <v>0</v>
      </c>
      <c r="EL125" s="397">
        <f t="shared" si="888"/>
        <v>0.89785555492028002</v>
      </c>
      <c r="EM125" s="397">
        <f t="shared" si="889"/>
        <v>0</v>
      </c>
      <c r="EN125" s="398">
        <f t="shared" si="890"/>
        <v>0</v>
      </c>
      <c r="EO125" s="722">
        <f t="shared" si="891"/>
        <v>0</v>
      </c>
      <c r="EP125" s="511">
        <f t="shared" si="892"/>
        <v>0</v>
      </c>
      <c r="EQ125" s="511">
        <f t="shared" si="893"/>
        <v>0</v>
      </c>
      <c r="ER125" s="511">
        <f t="shared" si="894"/>
        <v>0</v>
      </c>
      <c r="ES125" s="511">
        <f t="shared" si="895"/>
        <v>0</v>
      </c>
      <c r="ET125" s="511">
        <f t="shared" si="896"/>
        <v>0</v>
      </c>
      <c r="EU125" s="723">
        <f t="shared" si="897"/>
        <v>0</v>
      </c>
      <c r="EV125" s="727">
        <f t="shared" si="898"/>
        <v>0.5</v>
      </c>
      <c r="EW125" s="728">
        <f t="shared" si="899"/>
        <v>400</v>
      </c>
      <c r="EX125" s="728">
        <f t="shared" si="900"/>
        <v>0</v>
      </c>
      <c r="EY125" s="728">
        <f t="shared" si="901"/>
        <v>100</v>
      </c>
      <c r="EZ125" s="728">
        <f t="shared" si="902"/>
        <v>0</v>
      </c>
      <c r="FA125" s="777">
        <f t="shared" si="903"/>
        <v>2825.8201326315789</v>
      </c>
      <c r="FB125" s="777">
        <f t="shared" si="904"/>
        <v>1.79571110984056</v>
      </c>
      <c r="FC125" s="778">
        <f t="shared" si="905"/>
        <v>0</v>
      </c>
      <c r="FE125" s="10"/>
      <c r="FF125" s="10"/>
    </row>
    <row r="126" spans="1:162">
      <c r="A126" s="662" t="s">
        <v>191</v>
      </c>
      <c r="B126" s="789" t="s">
        <v>1417</v>
      </c>
      <c r="C126" s="789" t="str">
        <f t="shared" ref="C126:O126" si="1132">C12</f>
        <v>Air Cooled Chilled Water Reset</v>
      </c>
      <c r="D126" s="789" t="str">
        <f t="shared" si="1132"/>
        <v>No Reset</v>
      </c>
      <c r="E126" s="789" t="str">
        <f t="shared" si="1132"/>
        <v>Per Unit</v>
      </c>
      <c r="F126" s="789" t="str">
        <f t="shared" si="1132"/>
        <v>Per Unit</v>
      </c>
      <c r="G126" s="704" t="str">
        <f t="shared" si="1132"/>
        <v>Incremental Cost</v>
      </c>
      <c r="H126" s="704">
        <f t="shared" si="1132"/>
        <v>800</v>
      </c>
      <c r="I126" s="704">
        <f t="shared" si="1132"/>
        <v>0</v>
      </c>
      <c r="J126" s="704">
        <f t="shared" si="1132"/>
        <v>800</v>
      </c>
      <c r="K126" s="704">
        <f t="shared" si="1132"/>
        <v>0</v>
      </c>
      <c r="L126" s="704">
        <f t="shared" si="1132"/>
        <v>400</v>
      </c>
      <c r="M126" s="707" t="str">
        <f t="shared" si="1132"/>
        <v>Estimated incentive equals 25% of incremental cost. Reference: Assume 2 point for air cooled. CWST Reset Costs CA 2013 Standard Doc: http://www.energy.ca.gov/title24/2013standards/prerulemaking/documents/2011-08-17_workshop/presentations/05%20Condenser%20Water%20Reset%20Control.pdf</v>
      </c>
      <c r="N126" s="704">
        <f t="shared" si="1132"/>
        <v>200</v>
      </c>
      <c r="O126" s="704">
        <f t="shared" si="1132"/>
        <v>200</v>
      </c>
      <c r="P126" s="704">
        <f t="shared" si="1051"/>
        <v>0</v>
      </c>
      <c r="Q126" s="704">
        <f t="shared" si="1051"/>
        <v>0</v>
      </c>
      <c r="R126" s="1021">
        <f t="shared" si="1052"/>
        <v>6704.3425865131576</v>
      </c>
      <c r="S126" s="872">
        <f t="shared" si="1052"/>
        <v>4.2603781917171606</v>
      </c>
      <c r="T126" s="1022">
        <f t="shared" si="1052"/>
        <v>0</v>
      </c>
      <c r="U126" s="711" t="str">
        <f t="shared" si="1052"/>
        <v>LG&amp;E and KU Commercial Rebates Program Impact Evaluation for Chillers - FINAL October 24, 2016 by The Tetra Tech Evaluation Team</v>
      </c>
      <c r="V126" s="716">
        <f t="shared" si="1052"/>
        <v>0</v>
      </c>
      <c r="W126" s="711">
        <f t="shared" si="1052"/>
        <v>1</v>
      </c>
      <c r="X126" s="781">
        <f t="shared" ref="X126:AJ126" si="1133">X12/2</f>
        <v>0</v>
      </c>
      <c r="Y126" s="781">
        <f t="shared" si="1133"/>
        <v>0</v>
      </c>
      <c r="Z126" s="781">
        <f t="shared" si="1133"/>
        <v>0</v>
      </c>
      <c r="AA126" s="781">
        <f t="shared" si="1133"/>
        <v>0</v>
      </c>
      <c r="AB126" s="781">
        <f t="shared" si="1133"/>
        <v>0</v>
      </c>
      <c r="AC126" s="781">
        <f t="shared" si="1133"/>
        <v>0.5</v>
      </c>
      <c r="AD126" s="781">
        <f t="shared" si="1133"/>
        <v>0</v>
      </c>
      <c r="AE126" s="781">
        <f t="shared" si="1133"/>
        <v>0</v>
      </c>
      <c r="AF126" s="781">
        <f t="shared" si="1133"/>
        <v>0.5</v>
      </c>
      <c r="AG126" s="781">
        <f t="shared" si="1133"/>
        <v>0</v>
      </c>
      <c r="AH126" s="781">
        <f t="shared" si="1133"/>
        <v>0</v>
      </c>
      <c r="AI126" s="781">
        <f t="shared" si="1133"/>
        <v>0.5</v>
      </c>
      <c r="AJ126" s="781">
        <f t="shared" si="1133"/>
        <v>0</v>
      </c>
      <c r="AK126" s="711" t="str">
        <f t="shared" ref="AK126:BA126" si="1134">AK12</f>
        <v>Electric</v>
      </c>
      <c r="AL126" s="711" t="str">
        <f t="shared" si="1134"/>
        <v>Commercial</v>
      </c>
      <c r="AM126" s="711" t="str">
        <f t="shared" si="1134"/>
        <v>Miscellaneous</v>
      </c>
      <c r="AN126" s="711" t="str">
        <f t="shared" si="1134"/>
        <v>Cooling Chillers</v>
      </c>
      <c r="AO126" s="711" t="str">
        <f t="shared" si="1134"/>
        <v>Existing</v>
      </c>
      <c r="AP126" s="711">
        <f t="shared" si="1134"/>
        <v>0</v>
      </c>
      <c r="AQ126" s="711">
        <f t="shared" si="1134"/>
        <v>0</v>
      </c>
      <c r="AR126" s="711">
        <f t="shared" si="1134"/>
        <v>0</v>
      </c>
      <c r="AS126" s="711" t="str">
        <f t="shared" si="1134"/>
        <v>OFFLGCool</v>
      </c>
      <c r="AT126" s="715" t="s">
        <v>745</v>
      </c>
      <c r="AU126" s="711" t="str">
        <f t="shared" si="1134"/>
        <v>LGE NonRes</v>
      </c>
      <c r="AV126" s="711">
        <f t="shared" si="1134"/>
        <v>10</v>
      </c>
      <c r="AW126" s="711">
        <f t="shared" si="1134"/>
        <v>10</v>
      </c>
      <c r="AX126" s="711" t="str">
        <f t="shared" si="1134"/>
        <v>DEER 2005 and Engineering Judgement. Assuming 10 years.</v>
      </c>
      <c r="AY126" s="711">
        <f t="shared" si="1134"/>
        <v>1</v>
      </c>
      <c r="AZ126" s="711">
        <f t="shared" si="1134"/>
        <v>1</v>
      </c>
      <c r="BA126" s="1066">
        <f t="shared" si="1134"/>
        <v>0</v>
      </c>
      <c r="BB126" s="721">
        <f t="shared" si="1079"/>
        <v>800</v>
      </c>
      <c r="BC126" s="499">
        <f t="shared" si="1080"/>
        <v>800</v>
      </c>
      <c r="BD126" s="499">
        <f t="shared" si="1081"/>
        <v>800</v>
      </c>
      <c r="BE126" s="499">
        <f t="shared" si="1082"/>
        <v>800</v>
      </c>
      <c r="BF126" s="499">
        <f t="shared" si="1083"/>
        <v>800</v>
      </c>
      <c r="BG126" s="499">
        <f t="shared" si="1084"/>
        <v>800</v>
      </c>
      <c r="BH126" s="499">
        <f t="shared" si="1085"/>
        <v>800</v>
      </c>
      <c r="BI126" s="721">
        <f t="shared" si="1060"/>
        <v>0</v>
      </c>
      <c r="BJ126" s="499">
        <f t="shared" ref="BJ126:BM126" si="1135">BI126</f>
        <v>0</v>
      </c>
      <c r="BK126" s="499">
        <f t="shared" si="1135"/>
        <v>0</v>
      </c>
      <c r="BL126" s="499">
        <f t="shared" si="1135"/>
        <v>0</v>
      </c>
      <c r="BM126" s="499">
        <f t="shared" si="1135"/>
        <v>0</v>
      </c>
      <c r="BN126" s="499">
        <f t="shared" si="1087"/>
        <v>0</v>
      </c>
      <c r="BO126" s="499">
        <f t="shared" si="1088"/>
        <v>0</v>
      </c>
      <c r="BP126" s="721">
        <f t="shared" si="1062"/>
        <v>200</v>
      </c>
      <c r="BQ126" s="499">
        <f t="shared" si="1063"/>
        <v>200</v>
      </c>
      <c r="BR126" s="499">
        <f t="shared" si="1089"/>
        <v>200</v>
      </c>
      <c r="BS126" s="499">
        <f t="shared" si="1090"/>
        <v>200</v>
      </c>
      <c r="BT126" s="499">
        <f t="shared" si="1091"/>
        <v>200</v>
      </c>
      <c r="BU126" s="499">
        <f t="shared" si="1092"/>
        <v>200</v>
      </c>
      <c r="BV126" s="499">
        <f t="shared" si="1093"/>
        <v>200</v>
      </c>
      <c r="BW126" s="774">
        <f t="shared" si="1094"/>
        <v>0</v>
      </c>
      <c r="BX126" s="503">
        <f t="shared" si="1069"/>
        <v>0</v>
      </c>
      <c r="BY126" s="503">
        <f t="shared" si="1069"/>
        <v>0</v>
      </c>
      <c r="BZ126" s="503">
        <f t="shared" si="1069"/>
        <v>0</v>
      </c>
      <c r="CA126" s="503">
        <f t="shared" si="1069"/>
        <v>0</v>
      </c>
      <c r="CB126" s="503">
        <f t="shared" si="1069"/>
        <v>0</v>
      </c>
      <c r="CC126" s="503">
        <f t="shared" si="1069"/>
        <v>0</v>
      </c>
      <c r="CD126" s="722">
        <f t="shared" si="1070"/>
        <v>6704.3425865131576</v>
      </c>
      <c r="CE126" s="511">
        <f t="shared" ref="CE126:CH126" si="1136">CD126</f>
        <v>6704.3425865131576</v>
      </c>
      <c r="CF126" s="511">
        <f t="shared" si="1136"/>
        <v>6704.3425865131576</v>
      </c>
      <c r="CG126" s="511">
        <f t="shared" si="1136"/>
        <v>6704.3425865131576</v>
      </c>
      <c r="CH126" s="511">
        <f t="shared" si="1136"/>
        <v>6704.3425865131576</v>
      </c>
      <c r="CI126" s="511">
        <f t="shared" si="1096"/>
        <v>6704.3425865131576</v>
      </c>
      <c r="CJ126" s="511">
        <f t="shared" si="1097"/>
        <v>6704.3425865131576</v>
      </c>
      <c r="CK126" s="722">
        <f t="shared" si="1072"/>
        <v>4.2603781917171606</v>
      </c>
      <c r="CL126" s="511">
        <f t="shared" ref="CL126:CO126" si="1137">CK126</f>
        <v>4.2603781917171606</v>
      </c>
      <c r="CM126" s="511">
        <f t="shared" si="1137"/>
        <v>4.2603781917171606</v>
      </c>
      <c r="CN126" s="511">
        <f t="shared" si="1137"/>
        <v>4.2603781917171606</v>
      </c>
      <c r="CO126" s="511">
        <f t="shared" si="1137"/>
        <v>4.2603781917171606</v>
      </c>
      <c r="CP126" s="511">
        <f t="shared" si="1099"/>
        <v>4.2603781917171606</v>
      </c>
      <c r="CQ126" s="511">
        <f t="shared" si="1100"/>
        <v>4.2603781917171606</v>
      </c>
      <c r="CR126" s="722">
        <f t="shared" si="1074"/>
        <v>0</v>
      </c>
      <c r="CS126" s="511">
        <f t="shared" ref="CS126:CV126" si="1138">CR126</f>
        <v>0</v>
      </c>
      <c r="CT126" s="511">
        <f t="shared" si="1138"/>
        <v>0</v>
      </c>
      <c r="CU126" s="511">
        <f t="shared" si="1138"/>
        <v>0</v>
      </c>
      <c r="CV126" s="511">
        <f t="shared" si="1138"/>
        <v>0</v>
      </c>
      <c r="CW126" s="511">
        <f t="shared" si="1102"/>
        <v>0</v>
      </c>
      <c r="CX126" s="539">
        <f t="shared" si="1103"/>
        <v>0</v>
      </c>
      <c r="CY126" s="724">
        <f t="shared" si="849"/>
        <v>0</v>
      </c>
      <c r="CZ126" s="508">
        <f t="shared" si="850"/>
        <v>0</v>
      </c>
      <c r="DA126" s="508">
        <f t="shared" si="851"/>
        <v>400</v>
      </c>
      <c r="DB126" s="508">
        <f t="shared" si="852"/>
        <v>0</v>
      </c>
      <c r="DC126" s="508">
        <f t="shared" si="853"/>
        <v>0</v>
      </c>
      <c r="DD126" s="508">
        <f t="shared" si="854"/>
        <v>400</v>
      </c>
      <c r="DE126" s="726">
        <f t="shared" si="855"/>
        <v>0</v>
      </c>
      <c r="DF126" s="724">
        <f t="shared" si="856"/>
        <v>0</v>
      </c>
      <c r="DG126" s="509">
        <f t="shared" si="857"/>
        <v>0</v>
      </c>
      <c r="DH126" s="509">
        <f t="shared" si="858"/>
        <v>0</v>
      </c>
      <c r="DI126" s="509">
        <f t="shared" si="859"/>
        <v>0</v>
      </c>
      <c r="DJ126" s="509">
        <f t="shared" si="860"/>
        <v>0</v>
      </c>
      <c r="DK126" s="509">
        <f t="shared" si="861"/>
        <v>0</v>
      </c>
      <c r="DL126" s="451">
        <f t="shared" si="862"/>
        <v>0</v>
      </c>
      <c r="DM126" s="509">
        <f t="shared" si="863"/>
        <v>0</v>
      </c>
      <c r="DN126" s="509">
        <f t="shared" si="864"/>
        <v>0</v>
      </c>
      <c r="DO126" s="509">
        <f t="shared" si="865"/>
        <v>100</v>
      </c>
      <c r="DP126" s="509">
        <f t="shared" si="866"/>
        <v>0</v>
      </c>
      <c r="DQ126" s="509">
        <f t="shared" si="867"/>
        <v>0</v>
      </c>
      <c r="DR126" s="509">
        <f t="shared" si="868"/>
        <v>100</v>
      </c>
      <c r="DS126" s="450">
        <f t="shared" si="869"/>
        <v>0</v>
      </c>
      <c r="DT126" s="724">
        <f t="shared" si="870"/>
        <v>0</v>
      </c>
      <c r="DU126" s="508">
        <f t="shared" si="871"/>
        <v>0</v>
      </c>
      <c r="DV126" s="508">
        <f t="shared" si="872"/>
        <v>0</v>
      </c>
      <c r="DW126" s="508">
        <f t="shared" si="873"/>
        <v>0</v>
      </c>
      <c r="DX126" s="508">
        <f t="shared" si="874"/>
        <v>0</v>
      </c>
      <c r="DY126" s="508">
        <f t="shared" si="875"/>
        <v>0</v>
      </c>
      <c r="DZ126" s="726">
        <f t="shared" si="876"/>
        <v>0</v>
      </c>
      <c r="EA126" s="722">
        <f t="shared" si="877"/>
        <v>0</v>
      </c>
      <c r="EB126" s="511">
        <f t="shared" si="878"/>
        <v>0</v>
      </c>
      <c r="EC126" s="511">
        <f t="shared" si="879"/>
        <v>3352.1712932565788</v>
      </c>
      <c r="ED126" s="511">
        <f t="shared" si="880"/>
        <v>0</v>
      </c>
      <c r="EE126" s="511">
        <f t="shared" si="881"/>
        <v>0</v>
      </c>
      <c r="EF126" s="511">
        <f t="shared" si="882"/>
        <v>3352.1712932565788</v>
      </c>
      <c r="EG126" s="723">
        <f t="shared" si="883"/>
        <v>0</v>
      </c>
      <c r="EH126" s="397">
        <f t="shared" si="884"/>
        <v>0</v>
      </c>
      <c r="EI126" s="397">
        <f t="shared" si="885"/>
        <v>0</v>
      </c>
      <c r="EJ126" s="397">
        <f t="shared" si="886"/>
        <v>2.1301890958585803</v>
      </c>
      <c r="EK126" s="397">
        <f t="shared" si="887"/>
        <v>0</v>
      </c>
      <c r="EL126" s="397">
        <f t="shared" si="888"/>
        <v>0</v>
      </c>
      <c r="EM126" s="397">
        <f t="shared" si="889"/>
        <v>2.1301890958585803</v>
      </c>
      <c r="EN126" s="398">
        <f t="shared" si="890"/>
        <v>0</v>
      </c>
      <c r="EO126" s="722">
        <f t="shared" si="891"/>
        <v>0</v>
      </c>
      <c r="EP126" s="511">
        <f t="shared" si="892"/>
        <v>0</v>
      </c>
      <c r="EQ126" s="511">
        <f t="shared" si="893"/>
        <v>0</v>
      </c>
      <c r="ER126" s="511">
        <f t="shared" si="894"/>
        <v>0</v>
      </c>
      <c r="ES126" s="511">
        <f t="shared" si="895"/>
        <v>0</v>
      </c>
      <c r="ET126" s="511">
        <f t="shared" si="896"/>
        <v>0</v>
      </c>
      <c r="EU126" s="723">
        <f t="shared" si="897"/>
        <v>0</v>
      </c>
      <c r="EV126" s="727">
        <f t="shared" si="898"/>
        <v>0.5</v>
      </c>
      <c r="EW126" s="728">
        <f t="shared" si="899"/>
        <v>800</v>
      </c>
      <c r="EX126" s="728">
        <f t="shared" si="900"/>
        <v>0</v>
      </c>
      <c r="EY126" s="728">
        <f t="shared" si="901"/>
        <v>200</v>
      </c>
      <c r="EZ126" s="728">
        <f t="shared" si="902"/>
        <v>0</v>
      </c>
      <c r="FA126" s="777">
        <f t="shared" si="903"/>
        <v>6704.3425865131576</v>
      </c>
      <c r="FB126" s="777">
        <f t="shared" si="904"/>
        <v>4.2603781917171606</v>
      </c>
      <c r="FC126" s="778">
        <f t="shared" si="905"/>
        <v>0</v>
      </c>
      <c r="FE126" s="10"/>
      <c r="FF126" s="10"/>
    </row>
    <row r="127" spans="1:162">
      <c r="A127" s="662" t="s">
        <v>192</v>
      </c>
      <c r="B127" s="789" t="s">
        <v>1418</v>
      </c>
      <c r="C127" s="789" t="str">
        <f t="shared" ref="C127:O127" si="1139">C13</f>
        <v>Air Cooled Chilled Water Reset</v>
      </c>
      <c r="D127" s="789" t="str">
        <f t="shared" si="1139"/>
        <v>No Reset</v>
      </c>
      <c r="E127" s="789" t="str">
        <f t="shared" si="1139"/>
        <v>Per Unit</v>
      </c>
      <c r="F127" s="789" t="str">
        <f t="shared" si="1139"/>
        <v>Per Unit</v>
      </c>
      <c r="G127" s="704" t="str">
        <f t="shared" si="1139"/>
        <v>Incremental Cost</v>
      </c>
      <c r="H127" s="704">
        <f t="shared" si="1139"/>
        <v>1200</v>
      </c>
      <c r="I127" s="704">
        <f t="shared" si="1139"/>
        <v>0</v>
      </c>
      <c r="J127" s="704">
        <f t="shared" si="1139"/>
        <v>1200</v>
      </c>
      <c r="K127" s="704">
        <f t="shared" si="1139"/>
        <v>0</v>
      </c>
      <c r="L127" s="704">
        <f t="shared" si="1139"/>
        <v>600</v>
      </c>
      <c r="M127" s="707" t="str">
        <f t="shared" si="1139"/>
        <v>Estimated incentive equals 25% of incremental cost. Reference: Assume 2 point for air cooled. CWST Reset Costs CA 2013 Standard Doc: http://www.energy.ca.gov/title24/2013standards/prerulemaking/documents/2011-08-17_workshop/presentations/05%20Condenser%20Water%20Reset%20Control.pdf</v>
      </c>
      <c r="N127" s="704">
        <f t="shared" si="1139"/>
        <v>300</v>
      </c>
      <c r="O127" s="704">
        <f t="shared" si="1139"/>
        <v>300</v>
      </c>
      <c r="P127" s="704">
        <f t="shared" si="1051"/>
        <v>0</v>
      </c>
      <c r="Q127" s="704">
        <f t="shared" si="1051"/>
        <v>0</v>
      </c>
      <c r="R127" s="1021">
        <f t="shared" si="1052"/>
        <v>10141.441894736843</v>
      </c>
      <c r="S127" s="872">
        <f t="shared" si="1052"/>
        <v>6.4445361082561696</v>
      </c>
      <c r="T127" s="1022">
        <f t="shared" si="1052"/>
        <v>0</v>
      </c>
      <c r="U127" s="711" t="str">
        <f t="shared" si="1052"/>
        <v>LG&amp;E and KU Commercial Rebates Program Impact Evaluation for Chillers - FINAL October 24, 2016 by The Tetra Tech Evaluation Team</v>
      </c>
      <c r="V127" s="716">
        <f t="shared" si="1052"/>
        <v>0</v>
      </c>
      <c r="W127" s="711">
        <f t="shared" si="1052"/>
        <v>1</v>
      </c>
      <c r="X127" s="781">
        <f t="shared" ref="X127:AJ127" si="1140">X13/2</f>
        <v>0</v>
      </c>
      <c r="Y127" s="781">
        <f t="shared" si="1140"/>
        <v>0</v>
      </c>
      <c r="Z127" s="781">
        <f t="shared" si="1140"/>
        <v>0</v>
      </c>
      <c r="AA127" s="781">
        <f t="shared" si="1140"/>
        <v>0</v>
      </c>
      <c r="AB127" s="781">
        <f t="shared" si="1140"/>
        <v>0</v>
      </c>
      <c r="AC127" s="781">
        <f t="shared" si="1140"/>
        <v>0</v>
      </c>
      <c r="AD127" s="781">
        <f t="shared" si="1140"/>
        <v>0.5</v>
      </c>
      <c r="AE127" s="781">
        <f t="shared" si="1140"/>
        <v>0</v>
      </c>
      <c r="AF127" s="781">
        <f t="shared" si="1140"/>
        <v>0</v>
      </c>
      <c r="AG127" s="781">
        <f t="shared" si="1140"/>
        <v>0.5</v>
      </c>
      <c r="AH127" s="781">
        <f t="shared" si="1140"/>
        <v>0</v>
      </c>
      <c r="AI127" s="781">
        <f t="shared" si="1140"/>
        <v>0</v>
      </c>
      <c r="AJ127" s="781">
        <f t="shared" si="1140"/>
        <v>0.5</v>
      </c>
      <c r="AK127" s="711" t="str">
        <f t="shared" ref="AK127:BA127" si="1141">AK13</f>
        <v>Electric</v>
      </c>
      <c r="AL127" s="711" t="str">
        <f t="shared" si="1141"/>
        <v>Commercial</v>
      </c>
      <c r="AM127" s="711" t="str">
        <f t="shared" si="1141"/>
        <v>Miscellaneous</v>
      </c>
      <c r="AN127" s="711" t="str">
        <f t="shared" si="1141"/>
        <v>Cooling Chillers</v>
      </c>
      <c r="AO127" s="711" t="str">
        <f t="shared" si="1141"/>
        <v>Existing</v>
      </c>
      <c r="AP127" s="711">
        <f t="shared" si="1141"/>
        <v>0</v>
      </c>
      <c r="AQ127" s="711">
        <f t="shared" si="1141"/>
        <v>0</v>
      </c>
      <c r="AR127" s="711">
        <f t="shared" si="1141"/>
        <v>0</v>
      </c>
      <c r="AS127" s="711" t="str">
        <f t="shared" si="1141"/>
        <v>OFFLGCool</v>
      </c>
      <c r="AT127" s="715" t="s">
        <v>745</v>
      </c>
      <c r="AU127" s="711" t="str">
        <f t="shared" si="1141"/>
        <v>LGE NonRes</v>
      </c>
      <c r="AV127" s="711">
        <f t="shared" si="1141"/>
        <v>10</v>
      </c>
      <c r="AW127" s="711">
        <f t="shared" si="1141"/>
        <v>10</v>
      </c>
      <c r="AX127" s="711" t="str">
        <f t="shared" si="1141"/>
        <v>DEER 2005 and Engineering Judgement. Assuming 10 years.</v>
      </c>
      <c r="AY127" s="711">
        <f t="shared" si="1141"/>
        <v>1</v>
      </c>
      <c r="AZ127" s="711">
        <f t="shared" si="1141"/>
        <v>1</v>
      </c>
      <c r="BA127" s="1066">
        <f t="shared" si="1141"/>
        <v>0</v>
      </c>
      <c r="BB127" s="721">
        <f t="shared" si="1079"/>
        <v>1200</v>
      </c>
      <c r="BC127" s="499">
        <f t="shared" si="1080"/>
        <v>1200</v>
      </c>
      <c r="BD127" s="499">
        <f t="shared" si="1081"/>
        <v>1200</v>
      </c>
      <c r="BE127" s="499">
        <f t="shared" si="1082"/>
        <v>1200</v>
      </c>
      <c r="BF127" s="499">
        <f t="shared" si="1083"/>
        <v>1200</v>
      </c>
      <c r="BG127" s="499">
        <f t="shared" si="1084"/>
        <v>1200</v>
      </c>
      <c r="BH127" s="499">
        <f t="shared" si="1085"/>
        <v>1200</v>
      </c>
      <c r="BI127" s="721">
        <f t="shared" si="1060"/>
        <v>0</v>
      </c>
      <c r="BJ127" s="499">
        <f t="shared" ref="BJ127:BM127" si="1142">BI127</f>
        <v>0</v>
      </c>
      <c r="BK127" s="499">
        <f t="shared" si="1142"/>
        <v>0</v>
      </c>
      <c r="BL127" s="499">
        <f t="shared" si="1142"/>
        <v>0</v>
      </c>
      <c r="BM127" s="499">
        <f t="shared" si="1142"/>
        <v>0</v>
      </c>
      <c r="BN127" s="499">
        <f t="shared" si="1087"/>
        <v>0</v>
      </c>
      <c r="BO127" s="499">
        <f t="shared" si="1088"/>
        <v>0</v>
      </c>
      <c r="BP127" s="721">
        <f t="shared" si="1062"/>
        <v>300</v>
      </c>
      <c r="BQ127" s="499">
        <f t="shared" si="1063"/>
        <v>300</v>
      </c>
      <c r="BR127" s="499">
        <f t="shared" si="1089"/>
        <v>300</v>
      </c>
      <c r="BS127" s="499">
        <f t="shared" si="1090"/>
        <v>300</v>
      </c>
      <c r="BT127" s="499">
        <f t="shared" si="1091"/>
        <v>300</v>
      </c>
      <c r="BU127" s="499">
        <f t="shared" si="1092"/>
        <v>300</v>
      </c>
      <c r="BV127" s="499">
        <f t="shared" si="1093"/>
        <v>300</v>
      </c>
      <c r="BW127" s="774">
        <f t="shared" si="1094"/>
        <v>0</v>
      </c>
      <c r="BX127" s="503">
        <f t="shared" si="1069"/>
        <v>0</v>
      </c>
      <c r="BY127" s="503">
        <f t="shared" si="1069"/>
        <v>0</v>
      </c>
      <c r="BZ127" s="503">
        <f t="shared" si="1069"/>
        <v>0</v>
      </c>
      <c r="CA127" s="503">
        <f t="shared" si="1069"/>
        <v>0</v>
      </c>
      <c r="CB127" s="503">
        <f t="shared" si="1069"/>
        <v>0</v>
      </c>
      <c r="CC127" s="503">
        <f t="shared" si="1069"/>
        <v>0</v>
      </c>
      <c r="CD127" s="722">
        <f t="shared" si="1070"/>
        <v>10141.441894736843</v>
      </c>
      <c r="CE127" s="511">
        <f t="shared" ref="CE127:CH127" si="1143">CD127</f>
        <v>10141.441894736843</v>
      </c>
      <c r="CF127" s="511">
        <f t="shared" si="1143"/>
        <v>10141.441894736843</v>
      </c>
      <c r="CG127" s="511">
        <f t="shared" si="1143"/>
        <v>10141.441894736843</v>
      </c>
      <c r="CH127" s="511">
        <f t="shared" si="1143"/>
        <v>10141.441894736843</v>
      </c>
      <c r="CI127" s="511">
        <f t="shared" si="1096"/>
        <v>10141.441894736843</v>
      </c>
      <c r="CJ127" s="511">
        <f t="shared" si="1097"/>
        <v>10141.441894736843</v>
      </c>
      <c r="CK127" s="722">
        <f t="shared" si="1072"/>
        <v>6.4445361082561696</v>
      </c>
      <c r="CL127" s="511">
        <f t="shared" ref="CL127:CO127" si="1144">CK127</f>
        <v>6.4445361082561696</v>
      </c>
      <c r="CM127" s="511">
        <f t="shared" si="1144"/>
        <v>6.4445361082561696</v>
      </c>
      <c r="CN127" s="511">
        <f t="shared" si="1144"/>
        <v>6.4445361082561696</v>
      </c>
      <c r="CO127" s="511">
        <f t="shared" si="1144"/>
        <v>6.4445361082561696</v>
      </c>
      <c r="CP127" s="511">
        <f t="shared" si="1099"/>
        <v>6.4445361082561696</v>
      </c>
      <c r="CQ127" s="511">
        <f t="shared" si="1100"/>
        <v>6.4445361082561696</v>
      </c>
      <c r="CR127" s="722">
        <f t="shared" si="1074"/>
        <v>0</v>
      </c>
      <c r="CS127" s="511">
        <f t="shared" ref="CS127:CV127" si="1145">CR127</f>
        <v>0</v>
      </c>
      <c r="CT127" s="511">
        <f t="shared" si="1145"/>
        <v>0</v>
      </c>
      <c r="CU127" s="511">
        <f t="shared" si="1145"/>
        <v>0</v>
      </c>
      <c r="CV127" s="511">
        <f t="shared" si="1145"/>
        <v>0</v>
      </c>
      <c r="CW127" s="511">
        <f t="shared" si="1102"/>
        <v>0</v>
      </c>
      <c r="CX127" s="539">
        <f t="shared" si="1103"/>
        <v>0</v>
      </c>
      <c r="CY127" s="724">
        <f t="shared" si="849"/>
        <v>600</v>
      </c>
      <c r="CZ127" s="508">
        <f t="shared" si="850"/>
        <v>0</v>
      </c>
      <c r="DA127" s="508">
        <f t="shared" si="851"/>
        <v>0</v>
      </c>
      <c r="DB127" s="508">
        <f t="shared" si="852"/>
        <v>600</v>
      </c>
      <c r="DC127" s="508">
        <f t="shared" si="853"/>
        <v>0</v>
      </c>
      <c r="DD127" s="508">
        <f t="shared" si="854"/>
        <v>0</v>
      </c>
      <c r="DE127" s="726">
        <f t="shared" si="855"/>
        <v>600</v>
      </c>
      <c r="DF127" s="724">
        <f t="shared" si="856"/>
        <v>0</v>
      </c>
      <c r="DG127" s="509">
        <f t="shared" si="857"/>
        <v>0</v>
      </c>
      <c r="DH127" s="509">
        <f t="shared" si="858"/>
        <v>0</v>
      </c>
      <c r="DI127" s="509">
        <f t="shared" si="859"/>
        <v>0</v>
      </c>
      <c r="DJ127" s="509">
        <f t="shared" si="860"/>
        <v>0</v>
      </c>
      <c r="DK127" s="509">
        <f t="shared" si="861"/>
        <v>0</v>
      </c>
      <c r="DL127" s="451">
        <f t="shared" si="862"/>
        <v>0</v>
      </c>
      <c r="DM127" s="509">
        <f t="shared" si="863"/>
        <v>150</v>
      </c>
      <c r="DN127" s="509">
        <f t="shared" si="864"/>
        <v>0</v>
      </c>
      <c r="DO127" s="509">
        <f t="shared" si="865"/>
        <v>0</v>
      </c>
      <c r="DP127" s="509">
        <f t="shared" si="866"/>
        <v>150</v>
      </c>
      <c r="DQ127" s="509">
        <f t="shared" si="867"/>
        <v>0</v>
      </c>
      <c r="DR127" s="509">
        <f t="shared" si="868"/>
        <v>0</v>
      </c>
      <c r="DS127" s="450">
        <f t="shared" si="869"/>
        <v>150</v>
      </c>
      <c r="DT127" s="724">
        <f t="shared" si="870"/>
        <v>0</v>
      </c>
      <c r="DU127" s="508">
        <f t="shared" si="871"/>
        <v>0</v>
      </c>
      <c r="DV127" s="508">
        <f t="shared" si="872"/>
        <v>0</v>
      </c>
      <c r="DW127" s="508">
        <f t="shared" si="873"/>
        <v>0</v>
      </c>
      <c r="DX127" s="508">
        <f t="shared" si="874"/>
        <v>0</v>
      </c>
      <c r="DY127" s="508">
        <f t="shared" si="875"/>
        <v>0</v>
      </c>
      <c r="DZ127" s="726">
        <f t="shared" si="876"/>
        <v>0</v>
      </c>
      <c r="EA127" s="722">
        <f t="shared" si="877"/>
        <v>5070.7209473684215</v>
      </c>
      <c r="EB127" s="511">
        <f t="shared" si="878"/>
        <v>0</v>
      </c>
      <c r="EC127" s="511">
        <f t="shared" si="879"/>
        <v>0</v>
      </c>
      <c r="ED127" s="511">
        <f t="shared" si="880"/>
        <v>5070.7209473684215</v>
      </c>
      <c r="EE127" s="511">
        <f t="shared" si="881"/>
        <v>0</v>
      </c>
      <c r="EF127" s="511">
        <f t="shared" si="882"/>
        <v>0</v>
      </c>
      <c r="EG127" s="723">
        <f t="shared" si="883"/>
        <v>5070.7209473684215</v>
      </c>
      <c r="EH127" s="397">
        <f t="shared" si="884"/>
        <v>3.2222680541280848</v>
      </c>
      <c r="EI127" s="397">
        <f t="shared" si="885"/>
        <v>0</v>
      </c>
      <c r="EJ127" s="397">
        <f t="shared" si="886"/>
        <v>0</v>
      </c>
      <c r="EK127" s="397">
        <f t="shared" si="887"/>
        <v>3.2222680541280848</v>
      </c>
      <c r="EL127" s="397">
        <f t="shared" si="888"/>
        <v>0</v>
      </c>
      <c r="EM127" s="397">
        <f t="shared" si="889"/>
        <v>0</v>
      </c>
      <c r="EN127" s="398">
        <f t="shared" si="890"/>
        <v>3.2222680541280848</v>
      </c>
      <c r="EO127" s="722">
        <f t="shared" si="891"/>
        <v>0</v>
      </c>
      <c r="EP127" s="511">
        <f t="shared" si="892"/>
        <v>0</v>
      </c>
      <c r="EQ127" s="511">
        <f t="shared" si="893"/>
        <v>0</v>
      </c>
      <c r="ER127" s="511">
        <f t="shared" si="894"/>
        <v>0</v>
      </c>
      <c r="ES127" s="511">
        <f t="shared" si="895"/>
        <v>0</v>
      </c>
      <c r="ET127" s="511">
        <f t="shared" si="896"/>
        <v>0</v>
      </c>
      <c r="EU127" s="723">
        <f t="shared" si="897"/>
        <v>0</v>
      </c>
      <c r="EV127" s="727">
        <f t="shared" si="898"/>
        <v>0.5</v>
      </c>
      <c r="EW127" s="728">
        <f t="shared" si="899"/>
        <v>1800</v>
      </c>
      <c r="EX127" s="728">
        <f t="shared" si="900"/>
        <v>0</v>
      </c>
      <c r="EY127" s="728">
        <f t="shared" si="901"/>
        <v>450</v>
      </c>
      <c r="EZ127" s="728">
        <f t="shared" si="902"/>
        <v>0</v>
      </c>
      <c r="FA127" s="777">
        <f t="shared" si="903"/>
        <v>15212.162842105265</v>
      </c>
      <c r="FB127" s="777">
        <f t="shared" si="904"/>
        <v>9.6668041623842544</v>
      </c>
      <c r="FC127" s="778">
        <f t="shared" si="905"/>
        <v>0</v>
      </c>
      <c r="FE127" s="10"/>
      <c r="FF127" s="10"/>
    </row>
    <row r="128" spans="1:162">
      <c r="A128" s="662" t="s">
        <v>193</v>
      </c>
      <c r="B128" s="789" t="s">
        <v>1419</v>
      </c>
      <c r="C128" s="789" t="str">
        <f t="shared" ref="C128:O128" si="1146">C14</f>
        <v>Air Cooled Chilled Water Reset</v>
      </c>
      <c r="D128" s="789" t="str">
        <f t="shared" si="1146"/>
        <v>No Reset</v>
      </c>
      <c r="E128" s="789" t="str">
        <f t="shared" si="1146"/>
        <v>Per Unit</v>
      </c>
      <c r="F128" s="789" t="str">
        <f t="shared" si="1146"/>
        <v>Per Unit</v>
      </c>
      <c r="G128" s="704" t="str">
        <f t="shared" si="1146"/>
        <v>Incremental Cost</v>
      </c>
      <c r="H128" s="704">
        <f t="shared" si="1146"/>
        <v>2000</v>
      </c>
      <c r="I128" s="704">
        <f t="shared" si="1146"/>
        <v>0</v>
      </c>
      <c r="J128" s="704">
        <f t="shared" si="1146"/>
        <v>2000</v>
      </c>
      <c r="K128" s="704">
        <f t="shared" si="1146"/>
        <v>0</v>
      </c>
      <c r="L128" s="704">
        <f t="shared" si="1146"/>
        <v>1000</v>
      </c>
      <c r="M128" s="707" t="str">
        <f t="shared" si="1146"/>
        <v>Estimated incentive equals 25% of incremental cost. Reference: Assume 2 point for air cooled. CWST Reset Costs CA 2013 Standard Doc: http://www.energy.ca.gov/title24/2013standards/prerulemaking/documents/2011-08-17_workshop/presentations/05%20Condenser%20Water%20Reset%20Control.pdf</v>
      </c>
      <c r="N128" s="704">
        <f t="shared" si="1146"/>
        <v>500</v>
      </c>
      <c r="O128" s="704">
        <f t="shared" si="1146"/>
        <v>500</v>
      </c>
      <c r="P128" s="704">
        <f t="shared" si="1051"/>
        <v>0</v>
      </c>
      <c r="Q128" s="704">
        <f t="shared" si="1051"/>
        <v>0</v>
      </c>
      <c r="R128" s="1021">
        <f t="shared" si="1052"/>
        <v>15974.368421052633</v>
      </c>
      <c r="S128" s="872">
        <f t="shared" si="1052"/>
        <v>10.151159486452112</v>
      </c>
      <c r="T128" s="1022">
        <f t="shared" si="1052"/>
        <v>0</v>
      </c>
      <c r="U128" s="711" t="str">
        <f t="shared" si="1052"/>
        <v>LG&amp;E and KU Commercial Rebates Program Impact Evaluation for Chillers - FINAL October 24, 2016 by The Tetra Tech Evaluation Team</v>
      </c>
      <c r="V128" s="716">
        <f t="shared" si="1052"/>
        <v>0</v>
      </c>
      <c r="W128" s="711">
        <f t="shared" si="1052"/>
        <v>1</v>
      </c>
      <c r="X128" s="781">
        <f t="shared" ref="X128:AJ128" si="1147">X14/2</f>
        <v>0</v>
      </c>
      <c r="Y128" s="781">
        <f t="shared" si="1147"/>
        <v>0</v>
      </c>
      <c r="Z128" s="781">
        <f t="shared" si="1147"/>
        <v>0</v>
      </c>
      <c r="AA128" s="781">
        <f t="shared" si="1147"/>
        <v>0</v>
      </c>
      <c r="AB128" s="781">
        <f t="shared" si="1147"/>
        <v>0</v>
      </c>
      <c r="AC128" s="781">
        <f t="shared" si="1147"/>
        <v>0</v>
      </c>
      <c r="AD128" s="781">
        <f t="shared" si="1147"/>
        <v>0</v>
      </c>
      <c r="AE128" s="781">
        <f t="shared" si="1147"/>
        <v>0.5</v>
      </c>
      <c r="AF128" s="781">
        <f t="shared" si="1147"/>
        <v>0</v>
      </c>
      <c r="AG128" s="781">
        <f t="shared" si="1147"/>
        <v>0</v>
      </c>
      <c r="AH128" s="781">
        <f t="shared" si="1147"/>
        <v>0.5</v>
      </c>
      <c r="AI128" s="781">
        <f t="shared" si="1147"/>
        <v>0</v>
      </c>
      <c r="AJ128" s="781">
        <f t="shared" si="1147"/>
        <v>0</v>
      </c>
      <c r="AK128" s="711" t="str">
        <f t="shared" ref="AK128:BA128" si="1148">AK14</f>
        <v>Electric</v>
      </c>
      <c r="AL128" s="711" t="str">
        <f t="shared" si="1148"/>
        <v>Commercial</v>
      </c>
      <c r="AM128" s="711" t="str">
        <f t="shared" si="1148"/>
        <v>Miscellaneous</v>
      </c>
      <c r="AN128" s="711" t="str">
        <f t="shared" si="1148"/>
        <v>Cooling Chillers</v>
      </c>
      <c r="AO128" s="711" t="str">
        <f t="shared" si="1148"/>
        <v>Existing</v>
      </c>
      <c r="AP128" s="711">
        <f t="shared" si="1148"/>
        <v>0</v>
      </c>
      <c r="AQ128" s="711">
        <f t="shared" si="1148"/>
        <v>0</v>
      </c>
      <c r="AR128" s="711">
        <f t="shared" si="1148"/>
        <v>0</v>
      </c>
      <c r="AS128" s="711" t="str">
        <f t="shared" si="1148"/>
        <v>OFFLGCool</v>
      </c>
      <c r="AT128" s="715" t="s">
        <v>745</v>
      </c>
      <c r="AU128" s="711" t="str">
        <f t="shared" si="1148"/>
        <v>LGE NonRes</v>
      </c>
      <c r="AV128" s="711">
        <f t="shared" si="1148"/>
        <v>10</v>
      </c>
      <c r="AW128" s="711">
        <f t="shared" si="1148"/>
        <v>10</v>
      </c>
      <c r="AX128" s="711" t="str">
        <f t="shared" si="1148"/>
        <v>DEER 2005 and Engineering Judgement. Assuming 10 years.</v>
      </c>
      <c r="AY128" s="711">
        <f t="shared" si="1148"/>
        <v>1</v>
      </c>
      <c r="AZ128" s="711">
        <f t="shared" si="1148"/>
        <v>1</v>
      </c>
      <c r="BA128" s="1066">
        <f t="shared" si="1148"/>
        <v>0</v>
      </c>
      <c r="BB128" s="721">
        <f t="shared" si="1079"/>
        <v>2000</v>
      </c>
      <c r="BC128" s="499">
        <f t="shared" si="1080"/>
        <v>2000</v>
      </c>
      <c r="BD128" s="499">
        <f t="shared" si="1081"/>
        <v>2000</v>
      </c>
      <c r="BE128" s="499">
        <f t="shared" si="1082"/>
        <v>2000</v>
      </c>
      <c r="BF128" s="499">
        <f t="shared" si="1083"/>
        <v>2000</v>
      </c>
      <c r="BG128" s="499">
        <f t="shared" si="1084"/>
        <v>2000</v>
      </c>
      <c r="BH128" s="499">
        <f t="shared" si="1085"/>
        <v>2000</v>
      </c>
      <c r="BI128" s="721">
        <f t="shared" si="1060"/>
        <v>0</v>
      </c>
      <c r="BJ128" s="499">
        <f t="shared" ref="BJ128:BM128" si="1149">BI128</f>
        <v>0</v>
      </c>
      <c r="BK128" s="499">
        <f t="shared" si="1149"/>
        <v>0</v>
      </c>
      <c r="BL128" s="499">
        <f t="shared" si="1149"/>
        <v>0</v>
      </c>
      <c r="BM128" s="499">
        <f t="shared" si="1149"/>
        <v>0</v>
      </c>
      <c r="BN128" s="499">
        <f t="shared" si="1087"/>
        <v>0</v>
      </c>
      <c r="BO128" s="499">
        <f t="shared" si="1088"/>
        <v>0</v>
      </c>
      <c r="BP128" s="721">
        <f t="shared" si="1062"/>
        <v>500</v>
      </c>
      <c r="BQ128" s="499">
        <f t="shared" si="1063"/>
        <v>500</v>
      </c>
      <c r="BR128" s="499">
        <f t="shared" si="1089"/>
        <v>500</v>
      </c>
      <c r="BS128" s="499">
        <f t="shared" si="1090"/>
        <v>500</v>
      </c>
      <c r="BT128" s="499">
        <f t="shared" si="1091"/>
        <v>500</v>
      </c>
      <c r="BU128" s="499">
        <f t="shared" si="1092"/>
        <v>500</v>
      </c>
      <c r="BV128" s="499">
        <f t="shared" si="1093"/>
        <v>500</v>
      </c>
      <c r="BW128" s="774">
        <f t="shared" si="1094"/>
        <v>0</v>
      </c>
      <c r="BX128" s="503">
        <f t="shared" si="1069"/>
        <v>0</v>
      </c>
      <c r="BY128" s="503">
        <f t="shared" si="1069"/>
        <v>0</v>
      </c>
      <c r="BZ128" s="503">
        <f t="shared" si="1069"/>
        <v>0</v>
      </c>
      <c r="CA128" s="503">
        <f t="shared" si="1069"/>
        <v>0</v>
      </c>
      <c r="CB128" s="503">
        <f t="shared" si="1069"/>
        <v>0</v>
      </c>
      <c r="CC128" s="503">
        <f t="shared" si="1069"/>
        <v>0</v>
      </c>
      <c r="CD128" s="722">
        <f t="shared" si="1070"/>
        <v>15974.368421052633</v>
      </c>
      <c r="CE128" s="511">
        <f t="shared" ref="CE128:CH128" si="1150">CD128</f>
        <v>15974.368421052633</v>
      </c>
      <c r="CF128" s="511">
        <f t="shared" si="1150"/>
        <v>15974.368421052633</v>
      </c>
      <c r="CG128" s="511">
        <f t="shared" si="1150"/>
        <v>15974.368421052633</v>
      </c>
      <c r="CH128" s="511">
        <f t="shared" si="1150"/>
        <v>15974.368421052633</v>
      </c>
      <c r="CI128" s="511">
        <f t="shared" si="1096"/>
        <v>15974.368421052633</v>
      </c>
      <c r="CJ128" s="511">
        <f t="shared" si="1097"/>
        <v>15974.368421052633</v>
      </c>
      <c r="CK128" s="722">
        <f t="shared" si="1072"/>
        <v>10.151159486452112</v>
      </c>
      <c r="CL128" s="511">
        <f t="shared" ref="CL128:CO128" si="1151">CK128</f>
        <v>10.151159486452112</v>
      </c>
      <c r="CM128" s="511">
        <f t="shared" si="1151"/>
        <v>10.151159486452112</v>
      </c>
      <c r="CN128" s="511">
        <f t="shared" si="1151"/>
        <v>10.151159486452112</v>
      </c>
      <c r="CO128" s="511">
        <f t="shared" si="1151"/>
        <v>10.151159486452112</v>
      </c>
      <c r="CP128" s="511">
        <f t="shared" si="1099"/>
        <v>10.151159486452112</v>
      </c>
      <c r="CQ128" s="511">
        <f t="shared" si="1100"/>
        <v>10.151159486452112</v>
      </c>
      <c r="CR128" s="722">
        <f t="shared" si="1074"/>
        <v>0</v>
      </c>
      <c r="CS128" s="511">
        <f t="shared" ref="CS128:CV128" si="1152">CR128</f>
        <v>0</v>
      </c>
      <c r="CT128" s="511">
        <f t="shared" si="1152"/>
        <v>0</v>
      </c>
      <c r="CU128" s="511">
        <f t="shared" si="1152"/>
        <v>0</v>
      </c>
      <c r="CV128" s="511">
        <f t="shared" si="1152"/>
        <v>0</v>
      </c>
      <c r="CW128" s="511">
        <f t="shared" si="1102"/>
        <v>0</v>
      </c>
      <c r="CX128" s="539">
        <f t="shared" si="1103"/>
        <v>0</v>
      </c>
      <c r="CY128" s="724">
        <f t="shared" si="849"/>
        <v>0</v>
      </c>
      <c r="CZ128" s="508">
        <f t="shared" si="850"/>
        <v>1000</v>
      </c>
      <c r="DA128" s="508">
        <f t="shared" si="851"/>
        <v>0</v>
      </c>
      <c r="DB128" s="508">
        <f t="shared" si="852"/>
        <v>0</v>
      </c>
      <c r="DC128" s="508">
        <f t="shared" si="853"/>
        <v>1000</v>
      </c>
      <c r="DD128" s="508">
        <f t="shared" si="854"/>
        <v>0</v>
      </c>
      <c r="DE128" s="726">
        <f t="shared" si="855"/>
        <v>0</v>
      </c>
      <c r="DF128" s="724">
        <f t="shared" si="856"/>
        <v>0</v>
      </c>
      <c r="DG128" s="509">
        <f t="shared" si="857"/>
        <v>0</v>
      </c>
      <c r="DH128" s="509">
        <f t="shared" si="858"/>
        <v>0</v>
      </c>
      <c r="DI128" s="509">
        <f t="shared" si="859"/>
        <v>0</v>
      </c>
      <c r="DJ128" s="509">
        <f t="shared" si="860"/>
        <v>0</v>
      </c>
      <c r="DK128" s="509">
        <f t="shared" si="861"/>
        <v>0</v>
      </c>
      <c r="DL128" s="451">
        <f t="shared" si="862"/>
        <v>0</v>
      </c>
      <c r="DM128" s="509">
        <f t="shared" si="863"/>
        <v>0</v>
      </c>
      <c r="DN128" s="509">
        <f t="shared" si="864"/>
        <v>250</v>
      </c>
      <c r="DO128" s="509">
        <f t="shared" si="865"/>
        <v>0</v>
      </c>
      <c r="DP128" s="509">
        <f t="shared" si="866"/>
        <v>0</v>
      </c>
      <c r="DQ128" s="509">
        <f t="shared" si="867"/>
        <v>250</v>
      </c>
      <c r="DR128" s="509">
        <f t="shared" si="868"/>
        <v>0</v>
      </c>
      <c r="DS128" s="450">
        <f t="shared" si="869"/>
        <v>0</v>
      </c>
      <c r="DT128" s="724">
        <f t="shared" si="870"/>
        <v>0</v>
      </c>
      <c r="DU128" s="508">
        <f t="shared" si="871"/>
        <v>0</v>
      </c>
      <c r="DV128" s="508">
        <f t="shared" si="872"/>
        <v>0</v>
      </c>
      <c r="DW128" s="508">
        <f t="shared" si="873"/>
        <v>0</v>
      </c>
      <c r="DX128" s="508">
        <f t="shared" si="874"/>
        <v>0</v>
      </c>
      <c r="DY128" s="508">
        <f t="shared" si="875"/>
        <v>0</v>
      </c>
      <c r="DZ128" s="726">
        <f t="shared" si="876"/>
        <v>0</v>
      </c>
      <c r="EA128" s="722">
        <f t="shared" si="877"/>
        <v>0</v>
      </c>
      <c r="EB128" s="511">
        <f t="shared" si="878"/>
        <v>7987.1842105263167</v>
      </c>
      <c r="EC128" s="511">
        <f t="shared" si="879"/>
        <v>0</v>
      </c>
      <c r="ED128" s="511">
        <f t="shared" si="880"/>
        <v>0</v>
      </c>
      <c r="EE128" s="511">
        <f t="shared" si="881"/>
        <v>7987.1842105263167</v>
      </c>
      <c r="EF128" s="511">
        <f t="shared" si="882"/>
        <v>0</v>
      </c>
      <c r="EG128" s="723">
        <f t="shared" si="883"/>
        <v>0</v>
      </c>
      <c r="EH128" s="397">
        <f t="shared" si="884"/>
        <v>0</v>
      </c>
      <c r="EI128" s="397">
        <f t="shared" si="885"/>
        <v>5.0755797432260561</v>
      </c>
      <c r="EJ128" s="397">
        <f t="shared" si="886"/>
        <v>0</v>
      </c>
      <c r="EK128" s="397">
        <f t="shared" si="887"/>
        <v>0</v>
      </c>
      <c r="EL128" s="397">
        <f t="shared" si="888"/>
        <v>5.0755797432260561</v>
      </c>
      <c r="EM128" s="397">
        <f t="shared" si="889"/>
        <v>0</v>
      </c>
      <c r="EN128" s="398">
        <f t="shared" si="890"/>
        <v>0</v>
      </c>
      <c r="EO128" s="722">
        <f t="shared" si="891"/>
        <v>0</v>
      </c>
      <c r="EP128" s="511">
        <f t="shared" si="892"/>
        <v>0</v>
      </c>
      <c r="EQ128" s="511">
        <f t="shared" si="893"/>
        <v>0</v>
      </c>
      <c r="ER128" s="511">
        <f t="shared" si="894"/>
        <v>0</v>
      </c>
      <c r="ES128" s="511">
        <f t="shared" si="895"/>
        <v>0</v>
      </c>
      <c r="ET128" s="511">
        <f t="shared" si="896"/>
        <v>0</v>
      </c>
      <c r="EU128" s="723">
        <f t="shared" si="897"/>
        <v>0</v>
      </c>
      <c r="EV128" s="727">
        <f t="shared" si="898"/>
        <v>0.5</v>
      </c>
      <c r="EW128" s="728">
        <f t="shared" si="899"/>
        <v>2000</v>
      </c>
      <c r="EX128" s="728">
        <f t="shared" si="900"/>
        <v>0</v>
      </c>
      <c r="EY128" s="728">
        <f t="shared" si="901"/>
        <v>500</v>
      </c>
      <c r="EZ128" s="728">
        <f t="shared" si="902"/>
        <v>0</v>
      </c>
      <c r="FA128" s="777">
        <f t="shared" si="903"/>
        <v>15974.368421052633</v>
      </c>
      <c r="FB128" s="777">
        <f t="shared" si="904"/>
        <v>10.151159486452112</v>
      </c>
      <c r="FC128" s="778">
        <f t="shared" si="905"/>
        <v>0</v>
      </c>
      <c r="FE128" s="10"/>
      <c r="FF128" s="10"/>
    </row>
    <row r="129" spans="1:162">
      <c r="A129" s="662" t="s">
        <v>194</v>
      </c>
      <c r="B129" s="789" t="s">
        <v>1420</v>
      </c>
      <c r="C129" s="789" t="str">
        <f t="shared" ref="C129:O129" si="1153">C15</f>
        <v>Air Cooled Chilled Water Reset</v>
      </c>
      <c r="D129" s="789" t="str">
        <f t="shared" si="1153"/>
        <v>No Reset</v>
      </c>
      <c r="E129" s="789" t="str">
        <f t="shared" si="1153"/>
        <v>Per Unit</v>
      </c>
      <c r="F129" s="789" t="str">
        <f t="shared" si="1153"/>
        <v>Per Unit</v>
      </c>
      <c r="G129" s="704" t="str">
        <f t="shared" si="1153"/>
        <v>Incremental Cost</v>
      </c>
      <c r="H129" s="704">
        <f t="shared" si="1153"/>
        <v>3200</v>
      </c>
      <c r="I129" s="704">
        <f t="shared" si="1153"/>
        <v>0</v>
      </c>
      <c r="J129" s="704">
        <f t="shared" si="1153"/>
        <v>3200</v>
      </c>
      <c r="K129" s="704">
        <f t="shared" si="1153"/>
        <v>0</v>
      </c>
      <c r="L129" s="704">
        <f t="shared" si="1153"/>
        <v>1600</v>
      </c>
      <c r="M129" s="707" t="str">
        <f t="shared" si="1153"/>
        <v>Estimated incentive equals 25% of incremental cost. Reference: Assume 2 point for air cooled. CWST Reset Costs CA 2013 Standard Doc: http://www.energy.ca.gov/title24/2013standards/prerulemaking/documents/2011-08-17_workshop/presentations/05%20Condenser%20Water%20Reset%20Control.pdf</v>
      </c>
      <c r="N129" s="704">
        <f t="shared" si="1153"/>
        <v>800</v>
      </c>
      <c r="O129" s="704">
        <f t="shared" si="1153"/>
        <v>800</v>
      </c>
      <c r="P129" s="704">
        <f t="shared" si="1051"/>
        <v>0</v>
      </c>
      <c r="Q129" s="704">
        <f t="shared" si="1051"/>
        <v>0</v>
      </c>
      <c r="R129" s="1021">
        <f t="shared" si="1052"/>
        <v>25335.348315789477</v>
      </c>
      <c r="S129" s="872">
        <f t="shared" si="1052"/>
        <v>16.09973894551305</v>
      </c>
      <c r="T129" s="1022">
        <f t="shared" si="1052"/>
        <v>0</v>
      </c>
      <c r="U129" s="711" t="str">
        <f t="shared" si="1052"/>
        <v>LG&amp;E and KU Commercial Rebates Program Impact Evaluation for Chillers - FINAL October 24, 2016 by The Tetra Tech Evaluation Team</v>
      </c>
      <c r="V129" s="716">
        <f t="shared" si="1052"/>
        <v>0</v>
      </c>
      <c r="W129" s="711">
        <f t="shared" si="1052"/>
        <v>1</v>
      </c>
      <c r="X129" s="781">
        <f t="shared" ref="X129:AJ129" si="1154">X15/2</f>
        <v>0</v>
      </c>
      <c r="Y129" s="781">
        <f t="shared" si="1154"/>
        <v>0</v>
      </c>
      <c r="Z129" s="781">
        <f t="shared" si="1154"/>
        <v>0</v>
      </c>
      <c r="AA129" s="781">
        <f t="shared" si="1154"/>
        <v>0</v>
      </c>
      <c r="AB129" s="781">
        <f t="shared" si="1154"/>
        <v>0</v>
      </c>
      <c r="AC129" s="781">
        <f t="shared" si="1154"/>
        <v>0.5</v>
      </c>
      <c r="AD129" s="781">
        <f t="shared" si="1154"/>
        <v>0</v>
      </c>
      <c r="AE129" s="781">
        <f t="shared" si="1154"/>
        <v>0</v>
      </c>
      <c r="AF129" s="781">
        <f t="shared" si="1154"/>
        <v>0.5</v>
      </c>
      <c r="AG129" s="781">
        <f t="shared" si="1154"/>
        <v>0</v>
      </c>
      <c r="AH129" s="781">
        <f t="shared" si="1154"/>
        <v>0</v>
      </c>
      <c r="AI129" s="781">
        <f t="shared" si="1154"/>
        <v>0.5</v>
      </c>
      <c r="AJ129" s="781">
        <f t="shared" si="1154"/>
        <v>0</v>
      </c>
      <c r="AK129" s="711" t="str">
        <f t="shared" ref="AK129:BA129" si="1155">AK15</f>
        <v>Electric</v>
      </c>
      <c r="AL129" s="711" t="str">
        <f t="shared" si="1155"/>
        <v>Commercial</v>
      </c>
      <c r="AM129" s="711" t="str">
        <f t="shared" si="1155"/>
        <v>Miscellaneous</v>
      </c>
      <c r="AN129" s="711" t="str">
        <f t="shared" si="1155"/>
        <v>Cooling Chillers</v>
      </c>
      <c r="AO129" s="711" t="str">
        <f t="shared" si="1155"/>
        <v>Existing</v>
      </c>
      <c r="AP129" s="711">
        <f t="shared" si="1155"/>
        <v>0</v>
      </c>
      <c r="AQ129" s="711">
        <f t="shared" si="1155"/>
        <v>0</v>
      </c>
      <c r="AR129" s="711">
        <f t="shared" si="1155"/>
        <v>0</v>
      </c>
      <c r="AS129" s="711" t="str">
        <f t="shared" si="1155"/>
        <v>OFFLGCool</v>
      </c>
      <c r="AT129" s="715" t="s">
        <v>745</v>
      </c>
      <c r="AU129" s="711" t="str">
        <f t="shared" si="1155"/>
        <v>LGE NonRes</v>
      </c>
      <c r="AV129" s="711">
        <f t="shared" si="1155"/>
        <v>10</v>
      </c>
      <c r="AW129" s="711">
        <f t="shared" si="1155"/>
        <v>10</v>
      </c>
      <c r="AX129" s="711" t="str">
        <f t="shared" si="1155"/>
        <v>DEER 2005 and Engineering Judgement. Assuming 10 years.</v>
      </c>
      <c r="AY129" s="711">
        <f t="shared" si="1155"/>
        <v>1</v>
      </c>
      <c r="AZ129" s="711">
        <f t="shared" si="1155"/>
        <v>1</v>
      </c>
      <c r="BA129" s="1066">
        <f t="shared" si="1155"/>
        <v>0</v>
      </c>
      <c r="BB129" s="721">
        <f t="shared" si="1079"/>
        <v>3200</v>
      </c>
      <c r="BC129" s="499">
        <f t="shared" si="1080"/>
        <v>3200</v>
      </c>
      <c r="BD129" s="499">
        <f t="shared" si="1081"/>
        <v>3200</v>
      </c>
      <c r="BE129" s="499">
        <f t="shared" si="1082"/>
        <v>3200</v>
      </c>
      <c r="BF129" s="499">
        <f t="shared" si="1083"/>
        <v>3200</v>
      </c>
      <c r="BG129" s="499">
        <f t="shared" si="1084"/>
        <v>3200</v>
      </c>
      <c r="BH129" s="499">
        <f t="shared" si="1085"/>
        <v>3200</v>
      </c>
      <c r="BI129" s="721">
        <f t="shared" si="1060"/>
        <v>0</v>
      </c>
      <c r="BJ129" s="499">
        <f t="shared" ref="BJ129:BM129" si="1156">BI129</f>
        <v>0</v>
      </c>
      <c r="BK129" s="499">
        <f t="shared" si="1156"/>
        <v>0</v>
      </c>
      <c r="BL129" s="499">
        <f t="shared" si="1156"/>
        <v>0</v>
      </c>
      <c r="BM129" s="499">
        <f t="shared" si="1156"/>
        <v>0</v>
      </c>
      <c r="BN129" s="499">
        <f t="shared" si="1087"/>
        <v>0</v>
      </c>
      <c r="BO129" s="499">
        <f t="shared" si="1088"/>
        <v>0</v>
      </c>
      <c r="BP129" s="721">
        <f t="shared" si="1062"/>
        <v>800</v>
      </c>
      <c r="BQ129" s="499">
        <f t="shared" si="1063"/>
        <v>800</v>
      </c>
      <c r="BR129" s="499">
        <f t="shared" si="1089"/>
        <v>800</v>
      </c>
      <c r="BS129" s="499">
        <f t="shared" si="1090"/>
        <v>800</v>
      </c>
      <c r="BT129" s="499">
        <f t="shared" si="1091"/>
        <v>800</v>
      </c>
      <c r="BU129" s="499">
        <f t="shared" si="1092"/>
        <v>800</v>
      </c>
      <c r="BV129" s="499">
        <f t="shared" si="1093"/>
        <v>800</v>
      </c>
      <c r="BW129" s="774">
        <f t="shared" si="1094"/>
        <v>0</v>
      </c>
      <c r="BX129" s="503">
        <f t="shared" si="1069"/>
        <v>0</v>
      </c>
      <c r="BY129" s="503">
        <f t="shared" si="1069"/>
        <v>0</v>
      </c>
      <c r="BZ129" s="503">
        <f t="shared" si="1069"/>
        <v>0</v>
      </c>
      <c r="CA129" s="503">
        <f t="shared" si="1069"/>
        <v>0</v>
      </c>
      <c r="CB129" s="503">
        <f t="shared" si="1069"/>
        <v>0</v>
      </c>
      <c r="CC129" s="503">
        <f t="shared" si="1069"/>
        <v>0</v>
      </c>
      <c r="CD129" s="722">
        <f t="shared" si="1070"/>
        <v>25335.348315789477</v>
      </c>
      <c r="CE129" s="511">
        <f t="shared" ref="CE129:CH129" si="1157">CD129</f>
        <v>25335.348315789477</v>
      </c>
      <c r="CF129" s="511">
        <f t="shared" si="1157"/>
        <v>25335.348315789477</v>
      </c>
      <c r="CG129" s="511">
        <f t="shared" si="1157"/>
        <v>25335.348315789477</v>
      </c>
      <c r="CH129" s="511">
        <f t="shared" si="1157"/>
        <v>25335.348315789477</v>
      </c>
      <c r="CI129" s="511">
        <f t="shared" si="1096"/>
        <v>25335.348315789477</v>
      </c>
      <c r="CJ129" s="511">
        <f t="shared" si="1097"/>
        <v>25335.348315789477</v>
      </c>
      <c r="CK129" s="722">
        <f t="shared" si="1072"/>
        <v>16.09973894551305</v>
      </c>
      <c r="CL129" s="511">
        <f t="shared" ref="CL129:CO129" si="1158">CK129</f>
        <v>16.09973894551305</v>
      </c>
      <c r="CM129" s="511">
        <f t="shared" si="1158"/>
        <v>16.09973894551305</v>
      </c>
      <c r="CN129" s="511">
        <f t="shared" si="1158"/>
        <v>16.09973894551305</v>
      </c>
      <c r="CO129" s="511">
        <f t="shared" si="1158"/>
        <v>16.09973894551305</v>
      </c>
      <c r="CP129" s="511">
        <f t="shared" si="1099"/>
        <v>16.09973894551305</v>
      </c>
      <c r="CQ129" s="511">
        <f t="shared" si="1100"/>
        <v>16.09973894551305</v>
      </c>
      <c r="CR129" s="722">
        <f t="shared" si="1074"/>
        <v>0</v>
      </c>
      <c r="CS129" s="511">
        <f t="shared" ref="CS129:CV129" si="1159">CR129</f>
        <v>0</v>
      </c>
      <c r="CT129" s="511">
        <f t="shared" si="1159"/>
        <v>0</v>
      </c>
      <c r="CU129" s="511">
        <f t="shared" si="1159"/>
        <v>0</v>
      </c>
      <c r="CV129" s="511">
        <f t="shared" si="1159"/>
        <v>0</v>
      </c>
      <c r="CW129" s="511">
        <f t="shared" si="1102"/>
        <v>0</v>
      </c>
      <c r="CX129" s="539">
        <f t="shared" si="1103"/>
        <v>0</v>
      </c>
      <c r="CY129" s="724">
        <f t="shared" si="849"/>
        <v>0</v>
      </c>
      <c r="CZ129" s="508">
        <f t="shared" si="850"/>
        <v>0</v>
      </c>
      <c r="DA129" s="508">
        <f t="shared" si="851"/>
        <v>1600</v>
      </c>
      <c r="DB129" s="508">
        <f t="shared" si="852"/>
        <v>0</v>
      </c>
      <c r="DC129" s="508">
        <f t="shared" si="853"/>
        <v>0</v>
      </c>
      <c r="DD129" s="508">
        <f t="shared" si="854"/>
        <v>1600</v>
      </c>
      <c r="DE129" s="726">
        <f t="shared" si="855"/>
        <v>0</v>
      </c>
      <c r="DF129" s="724">
        <f t="shared" si="856"/>
        <v>0</v>
      </c>
      <c r="DG129" s="509">
        <f t="shared" si="857"/>
        <v>0</v>
      </c>
      <c r="DH129" s="509">
        <f t="shared" si="858"/>
        <v>0</v>
      </c>
      <c r="DI129" s="509">
        <f t="shared" si="859"/>
        <v>0</v>
      </c>
      <c r="DJ129" s="509">
        <f t="shared" si="860"/>
        <v>0</v>
      </c>
      <c r="DK129" s="509">
        <f t="shared" si="861"/>
        <v>0</v>
      </c>
      <c r="DL129" s="451">
        <f t="shared" si="862"/>
        <v>0</v>
      </c>
      <c r="DM129" s="509">
        <f t="shared" si="863"/>
        <v>0</v>
      </c>
      <c r="DN129" s="509">
        <f t="shared" si="864"/>
        <v>0</v>
      </c>
      <c r="DO129" s="509">
        <f t="shared" si="865"/>
        <v>400</v>
      </c>
      <c r="DP129" s="509">
        <f t="shared" si="866"/>
        <v>0</v>
      </c>
      <c r="DQ129" s="509">
        <f t="shared" si="867"/>
        <v>0</v>
      </c>
      <c r="DR129" s="509">
        <f t="shared" si="868"/>
        <v>400</v>
      </c>
      <c r="DS129" s="450">
        <f t="shared" si="869"/>
        <v>0</v>
      </c>
      <c r="DT129" s="724">
        <f t="shared" si="870"/>
        <v>0</v>
      </c>
      <c r="DU129" s="508">
        <f t="shared" si="871"/>
        <v>0</v>
      </c>
      <c r="DV129" s="508">
        <f t="shared" si="872"/>
        <v>0</v>
      </c>
      <c r="DW129" s="508">
        <f t="shared" si="873"/>
        <v>0</v>
      </c>
      <c r="DX129" s="508">
        <f t="shared" si="874"/>
        <v>0</v>
      </c>
      <c r="DY129" s="508">
        <f t="shared" si="875"/>
        <v>0</v>
      </c>
      <c r="DZ129" s="726">
        <f t="shared" si="876"/>
        <v>0</v>
      </c>
      <c r="EA129" s="722">
        <f t="shared" si="877"/>
        <v>0</v>
      </c>
      <c r="EB129" s="511">
        <f t="shared" si="878"/>
        <v>0</v>
      </c>
      <c r="EC129" s="511">
        <f t="shared" si="879"/>
        <v>12667.674157894739</v>
      </c>
      <c r="ED129" s="511">
        <f t="shared" si="880"/>
        <v>0</v>
      </c>
      <c r="EE129" s="511">
        <f t="shared" si="881"/>
        <v>0</v>
      </c>
      <c r="EF129" s="511">
        <f t="shared" si="882"/>
        <v>12667.674157894739</v>
      </c>
      <c r="EG129" s="723">
        <f t="shared" si="883"/>
        <v>0</v>
      </c>
      <c r="EH129" s="397">
        <f t="shared" si="884"/>
        <v>0</v>
      </c>
      <c r="EI129" s="397">
        <f t="shared" si="885"/>
        <v>0</v>
      </c>
      <c r="EJ129" s="397">
        <f t="shared" si="886"/>
        <v>8.0498694727565248</v>
      </c>
      <c r="EK129" s="397">
        <f t="shared" si="887"/>
        <v>0</v>
      </c>
      <c r="EL129" s="397">
        <f t="shared" si="888"/>
        <v>0</v>
      </c>
      <c r="EM129" s="397">
        <f t="shared" si="889"/>
        <v>8.0498694727565248</v>
      </c>
      <c r="EN129" s="398">
        <f t="shared" si="890"/>
        <v>0</v>
      </c>
      <c r="EO129" s="722">
        <f t="shared" si="891"/>
        <v>0</v>
      </c>
      <c r="EP129" s="511">
        <f t="shared" si="892"/>
        <v>0</v>
      </c>
      <c r="EQ129" s="511">
        <f t="shared" si="893"/>
        <v>0</v>
      </c>
      <c r="ER129" s="511">
        <f t="shared" si="894"/>
        <v>0</v>
      </c>
      <c r="ES129" s="511">
        <f t="shared" si="895"/>
        <v>0</v>
      </c>
      <c r="ET129" s="511">
        <f t="shared" si="896"/>
        <v>0</v>
      </c>
      <c r="EU129" s="723">
        <f t="shared" si="897"/>
        <v>0</v>
      </c>
      <c r="EV129" s="727">
        <f t="shared" si="898"/>
        <v>0.5</v>
      </c>
      <c r="EW129" s="728">
        <f t="shared" si="899"/>
        <v>3200</v>
      </c>
      <c r="EX129" s="728">
        <f t="shared" si="900"/>
        <v>0</v>
      </c>
      <c r="EY129" s="728">
        <f t="shared" si="901"/>
        <v>800</v>
      </c>
      <c r="EZ129" s="728">
        <f t="shared" si="902"/>
        <v>0</v>
      </c>
      <c r="FA129" s="777">
        <f t="shared" si="903"/>
        <v>25335.348315789477</v>
      </c>
      <c r="FB129" s="777">
        <f t="shared" si="904"/>
        <v>16.09973894551305</v>
      </c>
      <c r="FC129" s="778">
        <f t="shared" si="905"/>
        <v>0</v>
      </c>
      <c r="FE129" s="10"/>
      <c r="FF129" s="10"/>
    </row>
    <row r="130" spans="1:162">
      <c r="A130" s="662" t="s">
        <v>195</v>
      </c>
      <c r="B130" s="789" t="s">
        <v>1421</v>
      </c>
      <c r="C130" s="789" t="str">
        <f t="shared" ref="C130:O130" si="1160">C16</f>
        <v>Water Cooled Chilled Water Reset</v>
      </c>
      <c r="D130" s="789" t="str">
        <f t="shared" si="1160"/>
        <v>No Reset</v>
      </c>
      <c r="E130" s="789" t="str">
        <f t="shared" si="1160"/>
        <v>Per Unit</v>
      </c>
      <c r="F130" s="789" t="str">
        <f t="shared" si="1160"/>
        <v>Per Unit</v>
      </c>
      <c r="G130" s="704" t="str">
        <f t="shared" si="1160"/>
        <v>Incremental Cost</v>
      </c>
      <c r="H130" s="704">
        <f t="shared" si="1160"/>
        <v>1200</v>
      </c>
      <c r="I130" s="704">
        <f t="shared" si="1160"/>
        <v>0</v>
      </c>
      <c r="J130" s="704">
        <f t="shared" si="1160"/>
        <v>1200</v>
      </c>
      <c r="K130" s="704">
        <f t="shared" si="1160"/>
        <v>0</v>
      </c>
      <c r="L130" s="704">
        <f t="shared" si="1160"/>
        <v>600</v>
      </c>
      <c r="M130" s="707" t="str">
        <f t="shared" si="1160"/>
        <v>Estimated incentive equals 25% of incremental cost. Reference: Assume 2 point for air cooled. CWST Reset Costs CA 2013 Standard Doc: http://www.energy.ca.gov/title24/2013standards/prerulemaking/documents/2011-08-17_workshop/presentations/05%20Condenser%20Water%20Reset%20Control.pdf</v>
      </c>
      <c r="N130" s="704">
        <f t="shared" si="1160"/>
        <v>300</v>
      </c>
      <c r="O130" s="704">
        <f t="shared" si="1160"/>
        <v>300</v>
      </c>
      <c r="P130" s="704">
        <f t="shared" si="1051"/>
        <v>0</v>
      </c>
      <c r="Q130" s="704">
        <f t="shared" si="1051"/>
        <v>0</v>
      </c>
      <c r="R130" s="1021">
        <f t="shared" ref="R130:W139" si="1161">R16</f>
        <v>13465.139191630722</v>
      </c>
      <c r="S130" s="872">
        <f t="shared" si="1161"/>
        <v>7.9032285049888067</v>
      </c>
      <c r="T130" s="1022">
        <f t="shared" si="1161"/>
        <v>0</v>
      </c>
      <c r="U130" s="711" t="str">
        <f t="shared" si="1161"/>
        <v>LG&amp;E and KU Commercial Rebates Program Impact Evaluation for Chillers - FINAL October 24, 2016 by The Tetra Tech Evaluation Team</v>
      </c>
      <c r="V130" s="716">
        <f t="shared" si="1161"/>
        <v>0</v>
      </c>
      <c r="W130" s="711">
        <f t="shared" si="1161"/>
        <v>1</v>
      </c>
      <c r="X130" s="781">
        <f t="shared" ref="X130:AJ130" si="1162">X16/2</f>
        <v>0</v>
      </c>
      <c r="Y130" s="781">
        <f t="shared" si="1162"/>
        <v>0</v>
      </c>
      <c r="Z130" s="781">
        <f t="shared" si="1162"/>
        <v>1.5</v>
      </c>
      <c r="AA130" s="781">
        <f t="shared" si="1162"/>
        <v>0</v>
      </c>
      <c r="AB130" s="781">
        <f t="shared" si="1162"/>
        <v>0.75</v>
      </c>
      <c r="AC130" s="781">
        <f t="shared" si="1162"/>
        <v>1</v>
      </c>
      <c r="AD130" s="781">
        <f t="shared" si="1162"/>
        <v>0.5</v>
      </c>
      <c r="AE130" s="781">
        <f t="shared" si="1162"/>
        <v>1</v>
      </c>
      <c r="AF130" s="781">
        <f t="shared" si="1162"/>
        <v>0.5</v>
      </c>
      <c r="AG130" s="781">
        <f t="shared" si="1162"/>
        <v>1</v>
      </c>
      <c r="AH130" s="781">
        <f t="shared" si="1162"/>
        <v>0.5</v>
      </c>
      <c r="AI130" s="781">
        <f t="shared" si="1162"/>
        <v>1</v>
      </c>
      <c r="AJ130" s="781">
        <f t="shared" si="1162"/>
        <v>0.5</v>
      </c>
      <c r="AK130" s="711" t="str">
        <f t="shared" ref="AK130:BA130" si="1163">AK16</f>
        <v>Electric</v>
      </c>
      <c r="AL130" s="711" t="str">
        <f t="shared" si="1163"/>
        <v>Commercial</v>
      </c>
      <c r="AM130" s="711" t="str">
        <f t="shared" si="1163"/>
        <v>Large Office</v>
      </c>
      <c r="AN130" s="711" t="str">
        <f t="shared" si="1163"/>
        <v>Cooling Chillers</v>
      </c>
      <c r="AO130" s="711" t="str">
        <f t="shared" si="1163"/>
        <v>Existing</v>
      </c>
      <c r="AP130" s="711">
        <f t="shared" si="1163"/>
        <v>0</v>
      </c>
      <c r="AQ130" s="711">
        <f t="shared" si="1163"/>
        <v>0</v>
      </c>
      <c r="AR130" s="711">
        <f t="shared" si="1163"/>
        <v>0</v>
      </c>
      <c r="AS130" s="711" t="str">
        <f t="shared" si="1163"/>
        <v>OFFLGCool</v>
      </c>
      <c r="AT130" s="715" t="s">
        <v>745</v>
      </c>
      <c r="AU130" s="711" t="str">
        <f t="shared" si="1163"/>
        <v>LGE NonRes</v>
      </c>
      <c r="AV130" s="711">
        <f t="shared" si="1163"/>
        <v>10</v>
      </c>
      <c r="AW130" s="711">
        <f t="shared" si="1163"/>
        <v>10</v>
      </c>
      <c r="AX130" s="711" t="str">
        <f t="shared" si="1163"/>
        <v>DEER 2005 and Engineering Judgement. Assuming 10 years.</v>
      </c>
      <c r="AY130" s="711">
        <f t="shared" si="1163"/>
        <v>1</v>
      </c>
      <c r="AZ130" s="711">
        <f t="shared" si="1163"/>
        <v>1</v>
      </c>
      <c r="BA130" s="1066">
        <f t="shared" si="1163"/>
        <v>0</v>
      </c>
      <c r="BB130" s="721">
        <f t="shared" si="1079"/>
        <v>1200</v>
      </c>
      <c r="BC130" s="499">
        <f t="shared" si="1080"/>
        <v>1200</v>
      </c>
      <c r="BD130" s="499">
        <f t="shared" si="1081"/>
        <v>1200</v>
      </c>
      <c r="BE130" s="499">
        <f t="shared" si="1082"/>
        <v>1200</v>
      </c>
      <c r="BF130" s="499">
        <f t="shared" si="1083"/>
        <v>1200</v>
      </c>
      <c r="BG130" s="499">
        <f t="shared" si="1084"/>
        <v>1200</v>
      </c>
      <c r="BH130" s="499">
        <f t="shared" si="1085"/>
        <v>1200</v>
      </c>
      <c r="BI130" s="721">
        <f t="shared" si="1060"/>
        <v>0</v>
      </c>
      <c r="BJ130" s="499">
        <f t="shared" ref="BJ130:BM130" si="1164">BI130</f>
        <v>0</v>
      </c>
      <c r="BK130" s="499">
        <f t="shared" si="1164"/>
        <v>0</v>
      </c>
      <c r="BL130" s="499">
        <f t="shared" si="1164"/>
        <v>0</v>
      </c>
      <c r="BM130" s="499">
        <f t="shared" si="1164"/>
        <v>0</v>
      </c>
      <c r="BN130" s="499">
        <f t="shared" si="1087"/>
        <v>0</v>
      </c>
      <c r="BO130" s="499">
        <f t="shared" si="1088"/>
        <v>0</v>
      </c>
      <c r="BP130" s="721">
        <f t="shared" si="1062"/>
        <v>300</v>
      </c>
      <c r="BQ130" s="499">
        <f t="shared" si="1063"/>
        <v>300</v>
      </c>
      <c r="BR130" s="499">
        <f t="shared" si="1089"/>
        <v>300</v>
      </c>
      <c r="BS130" s="499">
        <f t="shared" si="1090"/>
        <v>300</v>
      </c>
      <c r="BT130" s="499">
        <f t="shared" si="1091"/>
        <v>300</v>
      </c>
      <c r="BU130" s="499">
        <f t="shared" si="1092"/>
        <v>300</v>
      </c>
      <c r="BV130" s="499">
        <f t="shared" si="1093"/>
        <v>300</v>
      </c>
      <c r="BW130" s="774">
        <f t="shared" si="1094"/>
        <v>0</v>
      </c>
      <c r="BX130" s="503">
        <f t="shared" si="1069"/>
        <v>0</v>
      </c>
      <c r="BY130" s="503">
        <f t="shared" si="1069"/>
        <v>0</v>
      </c>
      <c r="BZ130" s="503">
        <f t="shared" si="1069"/>
        <v>0</v>
      </c>
      <c r="CA130" s="503">
        <f t="shared" si="1069"/>
        <v>0</v>
      </c>
      <c r="CB130" s="503">
        <f t="shared" si="1069"/>
        <v>0</v>
      </c>
      <c r="CC130" s="503">
        <f t="shared" si="1069"/>
        <v>0</v>
      </c>
      <c r="CD130" s="722">
        <f t="shared" si="1070"/>
        <v>13465.139191630722</v>
      </c>
      <c r="CE130" s="511">
        <f t="shared" ref="CE130:CH130" si="1165">CD130</f>
        <v>13465.139191630722</v>
      </c>
      <c r="CF130" s="511">
        <f t="shared" si="1165"/>
        <v>13465.139191630722</v>
      </c>
      <c r="CG130" s="511">
        <f t="shared" si="1165"/>
        <v>13465.139191630722</v>
      </c>
      <c r="CH130" s="511">
        <f t="shared" si="1165"/>
        <v>13465.139191630722</v>
      </c>
      <c r="CI130" s="511">
        <f t="shared" si="1096"/>
        <v>13465.139191630722</v>
      </c>
      <c r="CJ130" s="511">
        <f t="shared" si="1097"/>
        <v>13465.139191630722</v>
      </c>
      <c r="CK130" s="722">
        <f t="shared" si="1072"/>
        <v>7.9032285049888067</v>
      </c>
      <c r="CL130" s="511">
        <f t="shared" ref="CL130:CO130" si="1166">CK130</f>
        <v>7.9032285049888067</v>
      </c>
      <c r="CM130" s="511">
        <f t="shared" si="1166"/>
        <v>7.9032285049888067</v>
      </c>
      <c r="CN130" s="511">
        <f t="shared" si="1166"/>
        <v>7.9032285049888067</v>
      </c>
      <c r="CO130" s="511">
        <f t="shared" si="1166"/>
        <v>7.9032285049888067</v>
      </c>
      <c r="CP130" s="511">
        <f t="shared" si="1099"/>
        <v>7.9032285049888067</v>
      </c>
      <c r="CQ130" s="511">
        <f t="shared" si="1100"/>
        <v>7.9032285049888067</v>
      </c>
      <c r="CR130" s="722">
        <f t="shared" si="1074"/>
        <v>0</v>
      </c>
      <c r="CS130" s="511">
        <f t="shared" ref="CS130:CV130" si="1167">CR130</f>
        <v>0</v>
      </c>
      <c r="CT130" s="511">
        <f t="shared" si="1167"/>
        <v>0</v>
      </c>
      <c r="CU130" s="511">
        <f t="shared" si="1167"/>
        <v>0</v>
      </c>
      <c r="CV130" s="511">
        <f t="shared" si="1167"/>
        <v>0</v>
      </c>
      <c r="CW130" s="511">
        <f t="shared" si="1102"/>
        <v>0</v>
      </c>
      <c r="CX130" s="539">
        <f t="shared" si="1103"/>
        <v>0</v>
      </c>
      <c r="CY130" s="724">
        <f t="shared" si="849"/>
        <v>600</v>
      </c>
      <c r="CZ130" s="508">
        <f t="shared" si="850"/>
        <v>1200</v>
      </c>
      <c r="DA130" s="508">
        <f t="shared" si="851"/>
        <v>600</v>
      </c>
      <c r="DB130" s="508">
        <f t="shared" si="852"/>
        <v>1200</v>
      </c>
      <c r="DC130" s="508">
        <f t="shared" si="853"/>
        <v>600</v>
      </c>
      <c r="DD130" s="508">
        <f t="shared" si="854"/>
        <v>1200</v>
      </c>
      <c r="DE130" s="726">
        <f t="shared" si="855"/>
        <v>600</v>
      </c>
      <c r="DF130" s="724">
        <f t="shared" si="856"/>
        <v>0</v>
      </c>
      <c r="DG130" s="509">
        <f t="shared" si="857"/>
        <v>0</v>
      </c>
      <c r="DH130" s="509">
        <f t="shared" si="858"/>
        <v>0</v>
      </c>
      <c r="DI130" s="509">
        <f t="shared" si="859"/>
        <v>0</v>
      </c>
      <c r="DJ130" s="509">
        <f t="shared" si="860"/>
        <v>0</v>
      </c>
      <c r="DK130" s="509">
        <f t="shared" si="861"/>
        <v>0</v>
      </c>
      <c r="DL130" s="451">
        <f t="shared" si="862"/>
        <v>0</v>
      </c>
      <c r="DM130" s="509">
        <f t="shared" si="863"/>
        <v>150</v>
      </c>
      <c r="DN130" s="509">
        <f t="shared" si="864"/>
        <v>300</v>
      </c>
      <c r="DO130" s="509">
        <f t="shared" si="865"/>
        <v>150</v>
      </c>
      <c r="DP130" s="509">
        <f t="shared" si="866"/>
        <v>300</v>
      </c>
      <c r="DQ130" s="509">
        <f t="shared" si="867"/>
        <v>150</v>
      </c>
      <c r="DR130" s="509">
        <f t="shared" si="868"/>
        <v>300</v>
      </c>
      <c r="DS130" s="450">
        <f t="shared" si="869"/>
        <v>150</v>
      </c>
      <c r="DT130" s="724">
        <f t="shared" si="870"/>
        <v>0</v>
      </c>
      <c r="DU130" s="508">
        <f t="shared" si="871"/>
        <v>0</v>
      </c>
      <c r="DV130" s="508">
        <f t="shared" si="872"/>
        <v>0</v>
      </c>
      <c r="DW130" s="508">
        <f t="shared" si="873"/>
        <v>0</v>
      </c>
      <c r="DX130" s="508">
        <f t="shared" si="874"/>
        <v>0</v>
      </c>
      <c r="DY130" s="508">
        <f t="shared" si="875"/>
        <v>0</v>
      </c>
      <c r="DZ130" s="726">
        <f t="shared" si="876"/>
        <v>0</v>
      </c>
      <c r="EA130" s="722">
        <f t="shared" si="877"/>
        <v>6732.569595815361</v>
      </c>
      <c r="EB130" s="511">
        <f t="shared" si="878"/>
        <v>13465.139191630722</v>
      </c>
      <c r="EC130" s="511">
        <f t="shared" si="879"/>
        <v>6732.569595815361</v>
      </c>
      <c r="ED130" s="511">
        <f t="shared" si="880"/>
        <v>13465.139191630722</v>
      </c>
      <c r="EE130" s="511">
        <f t="shared" si="881"/>
        <v>6732.569595815361</v>
      </c>
      <c r="EF130" s="511">
        <f t="shared" si="882"/>
        <v>13465.139191630722</v>
      </c>
      <c r="EG130" s="723">
        <f t="shared" si="883"/>
        <v>6732.569595815361</v>
      </c>
      <c r="EH130" s="397">
        <f t="shared" si="884"/>
        <v>3.9516142524944033</v>
      </c>
      <c r="EI130" s="397">
        <f t="shared" si="885"/>
        <v>7.9032285049888067</v>
      </c>
      <c r="EJ130" s="397">
        <f t="shared" si="886"/>
        <v>3.9516142524944033</v>
      </c>
      <c r="EK130" s="397">
        <f t="shared" si="887"/>
        <v>7.9032285049888067</v>
      </c>
      <c r="EL130" s="397">
        <f t="shared" si="888"/>
        <v>3.9516142524944033</v>
      </c>
      <c r="EM130" s="397">
        <f t="shared" si="889"/>
        <v>7.9032285049888067</v>
      </c>
      <c r="EN130" s="398">
        <f t="shared" si="890"/>
        <v>3.9516142524944033</v>
      </c>
      <c r="EO130" s="722">
        <f t="shared" si="891"/>
        <v>0</v>
      </c>
      <c r="EP130" s="511">
        <f t="shared" si="892"/>
        <v>0</v>
      </c>
      <c r="EQ130" s="511">
        <f t="shared" si="893"/>
        <v>0</v>
      </c>
      <c r="ER130" s="511">
        <f t="shared" si="894"/>
        <v>0</v>
      </c>
      <c r="ES130" s="511">
        <f t="shared" si="895"/>
        <v>0</v>
      </c>
      <c r="ET130" s="511">
        <f t="shared" si="896"/>
        <v>0</v>
      </c>
      <c r="EU130" s="723">
        <f t="shared" si="897"/>
        <v>0</v>
      </c>
      <c r="EV130" s="727">
        <f t="shared" si="898"/>
        <v>2</v>
      </c>
      <c r="EW130" s="728">
        <f t="shared" si="899"/>
        <v>6000</v>
      </c>
      <c r="EX130" s="728">
        <f t="shared" si="900"/>
        <v>0</v>
      </c>
      <c r="EY130" s="728">
        <f t="shared" si="901"/>
        <v>1500</v>
      </c>
      <c r="EZ130" s="728">
        <f t="shared" si="902"/>
        <v>0</v>
      </c>
      <c r="FA130" s="777">
        <f t="shared" si="903"/>
        <v>67325.695958153621</v>
      </c>
      <c r="FB130" s="777">
        <f t="shared" si="904"/>
        <v>39.516142524944037</v>
      </c>
      <c r="FC130" s="778">
        <f t="shared" si="905"/>
        <v>0</v>
      </c>
      <c r="FE130" s="10"/>
      <c r="FF130" s="10"/>
    </row>
    <row r="131" spans="1:162">
      <c r="A131" s="662" t="s">
        <v>196</v>
      </c>
      <c r="B131" s="789" t="s">
        <v>1422</v>
      </c>
      <c r="C131" s="789" t="str">
        <f t="shared" ref="C131:O131" si="1168">C17</f>
        <v>Water Cooled Chilled Water Reset</v>
      </c>
      <c r="D131" s="789" t="str">
        <f t="shared" si="1168"/>
        <v>No Reset</v>
      </c>
      <c r="E131" s="789" t="str">
        <f t="shared" si="1168"/>
        <v>Per Unit</v>
      </c>
      <c r="F131" s="789" t="str">
        <f t="shared" si="1168"/>
        <v>Per Unit</v>
      </c>
      <c r="G131" s="704" t="str">
        <f t="shared" si="1168"/>
        <v>Incremental Cost</v>
      </c>
      <c r="H131" s="704">
        <f t="shared" si="1168"/>
        <v>3200</v>
      </c>
      <c r="I131" s="704">
        <f t="shared" si="1168"/>
        <v>0</v>
      </c>
      <c r="J131" s="704">
        <f t="shared" si="1168"/>
        <v>3200</v>
      </c>
      <c r="K131" s="704">
        <f t="shared" si="1168"/>
        <v>0</v>
      </c>
      <c r="L131" s="704">
        <f t="shared" si="1168"/>
        <v>1600</v>
      </c>
      <c r="M131" s="707" t="str">
        <f t="shared" si="1168"/>
        <v>Estimated incentive equals 25% of incremental cost. Reference: Assume 2 point for air cooled. CWST Reset Costs CA 2013 Standard Doc: http://www.energy.ca.gov/title24/2013standards/prerulemaking/documents/2011-08-17_workshop/presentations/05%20Condenser%20Water%20Reset%20Control.pdf</v>
      </c>
      <c r="N131" s="704">
        <f t="shared" si="1168"/>
        <v>800</v>
      </c>
      <c r="O131" s="704">
        <f t="shared" si="1168"/>
        <v>800</v>
      </c>
      <c r="P131" s="704">
        <f t="shared" si="1051"/>
        <v>0</v>
      </c>
      <c r="Q131" s="704">
        <f t="shared" si="1051"/>
        <v>0</v>
      </c>
      <c r="R131" s="1021">
        <f t="shared" si="1161"/>
        <v>39279.830921052635</v>
      </c>
      <c r="S131" s="872">
        <f t="shared" si="1161"/>
        <v>23.054903108566215</v>
      </c>
      <c r="T131" s="1022">
        <f t="shared" si="1161"/>
        <v>0</v>
      </c>
      <c r="U131" s="711" t="str">
        <f t="shared" si="1161"/>
        <v>LG&amp;E and KU Commercial Rebates Program Impact Evaluation for Chillers - FINAL October 24, 2016 by The Tetra Tech Evaluation Team</v>
      </c>
      <c r="V131" s="716">
        <f t="shared" si="1161"/>
        <v>0</v>
      </c>
      <c r="W131" s="711">
        <f t="shared" si="1161"/>
        <v>1</v>
      </c>
      <c r="X131" s="781">
        <f t="shared" ref="X131:AJ131" si="1169">X17/2</f>
        <v>0</v>
      </c>
      <c r="Y131" s="781">
        <f t="shared" si="1169"/>
        <v>0</v>
      </c>
      <c r="Z131" s="781">
        <f t="shared" si="1169"/>
        <v>1.5</v>
      </c>
      <c r="AA131" s="781">
        <f t="shared" si="1169"/>
        <v>0</v>
      </c>
      <c r="AB131" s="781">
        <f t="shared" si="1169"/>
        <v>0.75</v>
      </c>
      <c r="AC131" s="781">
        <f t="shared" si="1169"/>
        <v>0.5</v>
      </c>
      <c r="AD131" s="781">
        <f t="shared" si="1169"/>
        <v>1</v>
      </c>
      <c r="AE131" s="781">
        <f t="shared" si="1169"/>
        <v>0.5</v>
      </c>
      <c r="AF131" s="781">
        <f t="shared" si="1169"/>
        <v>1</v>
      </c>
      <c r="AG131" s="781">
        <f t="shared" si="1169"/>
        <v>0.5</v>
      </c>
      <c r="AH131" s="781">
        <f t="shared" si="1169"/>
        <v>1</v>
      </c>
      <c r="AI131" s="781">
        <f t="shared" si="1169"/>
        <v>0.5</v>
      </c>
      <c r="AJ131" s="781">
        <f t="shared" si="1169"/>
        <v>1</v>
      </c>
      <c r="AK131" s="711" t="str">
        <f t="shared" ref="AK131:BA131" si="1170">AK17</f>
        <v>Electric</v>
      </c>
      <c r="AL131" s="711" t="str">
        <f t="shared" si="1170"/>
        <v>Commercial</v>
      </c>
      <c r="AM131" s="711" t="str">
        <f t="shared" si="1170"/>
        <v>Large Office</v>
      </c>
      <c r="AN131" s="711" t="str">
        <f t="shared" si="1170"/>
        <v>Cooling Chillers</v>
      </c>
      <c r="AO131" s="711" t="str">
        <f t="shared" si="1170"/>
        <v>Existing</v>
      </c>
      <c r="AP131" s="711">
        <f t="shared" si="1170"/>
        <v>0</v>
      </c>
      <c r="AQ131" s="711">
        <f t="shared" si="1170"/>
        <v>0</v>
      </c>
      <c r="AR131" s="711">
        <f t="shared" si="1170"/>
        <v>0</v>
      </c>
      <c r="AS131" s="711" t="str">
        <f t="shared" si="1170"/>
        <v>OFFLGCool</v>
      </c>
      <c r="AT131" s="715" t="s">
        <v>745</v>
      </c>
      <c r="AU131" s="711" t="str">
        <f t="shared" si="1170"/>
        <v>LGE NonRes</v>
      </c>
      <c r="AV131" s="711">
        <f t="shared" si="1170"/>
        <v>10</v>
      </c>
      <c r="AW131" s="711">
        <f t="shared" si="1170"/>
        <v>10</v>
      </c>
      <c r="AX131" s="711" t="str">
        <f t="shared" si="1170"/>
        <v>DEER 2005 and Engineering Judgement. Assuming 10 years.</v>
      </c>
      <c r="AY131" s="711">
        <f t="shared" si="1170"/>
        <v>1</v>
      </c>
      <c r="AZ131" s="711">
        <f t="shared" si="1170"/>
        <v>1</v>
      </c>
      <c r="BA131" s="1066">
        <f t="shared" si="1170"/>
        <v>0</v>
      </c>
      <c r="BB131" s="721">
        <f t="shared" si="1079"/>
        <v>3200</v>
      </c>
      <c r="BC131" s="499">
        <f t="shared" si="1080"/>
        <v>3200</v>
      </c>
      <c r="BD131" s="499">
        <f t="shared" si="1081"/>
        <v>3200</v>
      </c>
      <c r="BE131" s="499">
        <f t="shared" si="1082"/>
        <v>3200</v>
      </c>
      <c r="BF131" s="499">
        <f t="shared" si="1083"/>
        <v>3200</v>
      </c>
      <c r="BG131" s="499">
        <f t="shared" si="1084"/>
        <v>3200</v>
      </c>
      <c r="BH131" s="499">
        <f t="shared" si="1085"/>
        <v>3200</v>
      </c>
      <c r="BI131" s="721">
        <f t="shared" si="1060"/>
        <v>0</v>
      </c>
      <c r="BJ131" s="499">
        <f t="shared" ref="BJ131:BM131" si="1171">BI131</f>
        <v>0</v>
      </c>
      <c r="BK131" s="499">
        <f t="shared" si="1171"/>
        <v>0</v>
      </c>
      <c r="BL131" s="499">
        <f t="shared" si="1171"/>
        <v>0</v>
      </c>
      <c r="BM131" s="499">
        <f t="shared" si="1171"/>
        <v>0</v>
      </c>
      <c r="BN131" s="499">
        <f t="shared" si="1087"/>
        <v>0</v>
      </c>
      <c r="BO131" s="499">
        <f t="shared" si="1088"/>
        <v>0</v>
      </c>
      <c r="BP131" s="721">
        <f t="shared" si="1062"/>
        <v>800</v>
      </c>
      <c r="BQ131" s="499">
        <f t="shared" si="1063"/>
        <v>800</v>
      </c>
      <c r="BR131" s="499">
        <f t="shared" si="1089"/>
        <v>800</v>
      </c>
      <c r="BS131" s="499">
        <f t="shared" si="1090"/>
        <v>800</v>
      </c>
      <c r="BT131" s="499">
        <f t="shared" si="1091"/>
        <v>800</v>
      </c>
      <c r="BU131" s="499">
        <f t="shared" si="1092"/>
        <v>800</v>
      </c>
      <c r="BV131" s="499">
        <f t="shared" si="1093"/>
        <v>800</v>
      </c>
      <c r="BW131" s="774">
        <f t="shared" si="1094"/>
        <v>0</v>
      </c>
      <c r="BX131" s="503">
        <f t="shared" si="1069"/>
        <v>0</v>
      </c>
      <c r="BY131" s="503">
        <f t="shared" si="1069"/>
        <v>0</v>
      </c>
      <c r="BZ131" s="503">
        <f t="shared" si="1069"/>
        <v>0</v>
      </c>
      <c r="CA131" s="503">
        <f t="shared" si="1069"/>
        <v>0</v>
      </c>
      <c r="CB131" s="503">
        <f t="shared" si="1069"/>
        <v>0</v>
      </c>
      <c r="CC131" s="503">
        <f t="shared" si="1069"/>
        <v>0</v>
      </c>
      <c r="CD131" s="722">
        <f t="shared" si="1070"/>
        <v>39279.830921052635</v>
      </c>
      <c r="CE131" s="511">
        <f t="shared" ref="CE131:CH131" si="1172">CD131</f>
        <v>39279.830921052635</v>
      </c>
      <c r="CF131" s="511">
        <f t="shared" si="1172"/>
        <v>39279.830921052635</v>
      </c>
      <c r="CG131" s="511">
        <f t="shared" si="1172"/>
        <v>39279.830921052635</v>
      </c>
      <c r="CH131" s="511">
        <f t="shared" si="1172"/>
        <v>39279.830921052635</v>
      </c>
      <c r="CI131" s="511">
        <f t="shared" si="1096"/>
        <v>39279.830921052635</v>
      </c>
      <c r="CJ131" s="511">
        <f t="shared" si="1097"/>
        <v>39279.830921052635</v>
      </c>
      <c r="CK131" s="722">
        <f t="shared" si="1072"/>
        <v>23.054903108566215</v>
      </c>
      <c r="CL131" s="511">
        <f t="shared" ref="CL131:CO131" si="1173">CK131</f>
        <v>23.054903108566215</v>
      </c>
      <c r="CM131" s="511">
        <f t="shared" si="1173"/>
        <v>23.054903108566215</v>
      </c>
      <c r="CN131" s="511">
        <f t="shared" si="1173"/>
        <v>23.054903108566215</v>
      </c>
      <c r="CO131" s="511">
        <f t="shared" si="1173"/>
        <v>23.054903108566215</v>
      </c>
      <c r="CP131" s="511">
        <f t="shared" si="1099"/>
        <v>23.054903108566215</v>
      </c>
      <c r="CQ131" s="511">
        <f t="shared" si="1100"/>
        <v>23.054903108566215</v>
      </c>
      <c r="CR131" s="722">
        <f t="shared" si="1074"/>
        <v>0</v>
      </c>
      <c r="CS131" s="511">
        <f t="shared" ref="CS131:CV131" si="1174">CR131</f>
        <v>0</v>
      </c>
      <c r="CT131" s="511">
        <f t="shared" si="1174"/>
        <v>0</v>
      </c>
      <c r="CU131" s="511">
        <f t="shared" si="1174"/>
        <v>0</v>
      </c>
      <c r="CV131" s="511">
        <f t="shared" si="1174"/>
        <v>0</v>
      </c>
      <c r="CW131" s="511">
        <f t="shared" si="1102"/>
        <v>0</v>
      </c>
      <c r="CX131" s="539">
        <f t="shared" si="1103"/>
        <v>0</v>
      </c>
      <c r="CY131" s="724">
        <f t="shared" si="849"/>
        <v>3200</v>
      </c>
      <c r="CZ131" s="508">
        <f t="shared" si="850"/>
        <v>1600</v>
      </c>
      <c r="DA131" s="508">
        <f t="shared" si="851"/>
        <v>3200</v>
      </c>
      <c r="DB131" s="508">
        <f t="shared" si="852"/>
        <v>1600</v>
      </c>
      <c r="DC131" s="508">
        <f t="shared" si="853"/>
        <v>3200</v>
      </c>
      <c r="DD131" s="508">
        <f t="shared" si="854"/>
        <v>1600</v>
      </c>
      <c r="DE131" s="726">
        <f t="shared" si="855"/>
        <v>3200</v>
      </c>
      <c r="DF131" s="724">
        <f t="shared" si="856"/>
        <v>0</v>
      </c>
      <c r="DG131" s="509">
        <f t="shared" si="857"/>
        <v>0</v>
      </c>
      <c r="DH131" s="509">
        <f t="shared" si="858"/>
        <v>0</v>
      </c>
      <c r="DI131" s="509">
        <f t="shared" si="859"/>
        <v>0</v>
      </c>
      <c r="DJ131" s="509">
        <f t="shared" si="860"/>
        <v>0</v>
      </c>
      <c r="DK131" s="509">
        <f t="shared" si="861"/>
        <v>0</v>
      </c>
      <c r="DL131" s="451">
        <f t="shared" si="862"/>
        <v>0</v>
      </c>
      <c r="DM131" s="509">
        <f t="shared" si="863"/>
        <v>800</v>
      </c>
      <c r="DN131" s="509">
        <f t="shared" si="864"/>
        <v>400</v>
      </c>
      <c r="DO131" s="509">
        <f t="shared" si="865"/>
        <v>800</v>
      </c>
      <c r="DP131" s="509">
        <f t="shared" si="866"/>
        <v>400</v>
      </c>
      <c r="DQ131" s="509">
        <f t="shared" si="867"/>
        <v>800</v>
      </c>
      <c r="DR131" s="509">
        <f t="shared" si="868"/>
        <v>400</v>
      </c>
      <c r="DS131" s="450">
        <f t="shared" si="869"/>
        <v>800</v>
      </c>
      <c r="DT131" s="724">
        <f t="shared" si="870"/>
        <v>0</v>
      </c>
      <c r="DU131" s="508">
        <f t="shared" si="871"/>
        <v>0</v>
      </c>
      <c r="DV131" s="508">
        <f t="shared" si="872"/>
        <v>0</v>
      </c>
      <c r="DW131" s="508">
        <f t="shared" si="873"/>
        <v>0</v>
      </c>
      <c r="DX131" s="508">
        <f t="shared" si="874"/>
        <v>0</v>
      </c>
      <c r="DY131" s="508">
        <f t="shared" si="875"/>
        <v>0</v>
      </c>
      <c r="DZ131" s="726">
        <f t="shared" si="876"/>
        <v>0</v>
      </c>
      <c r="EA131" s="722">
        <f t="shared" si="877"/>
        <v>39279.830921052635</v>
      </c>
      <c r="EB131" s="511">
        <f t="shared" si="878"/>
        <v>19639.915460526317</v>
      </c>
      <c r="EC131" s="511">
        <f t="shared" si="879"/>
        <v>39279.830921052635</v>
      </c>
      <c r="ED131" s="511">
        <f t="shared" si="880"/>
        <v>19639.915460526317</v>
      </c>
      <c r="EE131" s="511">
        <f t="shared" si="881"/>
        <v>39279.830921052635</v>
      </c>
      <c r="EF131" s="511">
        <f t="shared" si="882"/>
        <v>19639.915460526317</v>
      </c>
      <c r="EG131" s="723">
        <f t="shared" si="883"/>
        <v>39279.830921052635</v>
      </c>
      <c r="EH131" s="397">
        <f t="shared" si="884"/>
        <v>23.054903108566215</v>
      </c>
      <c r="EI131" s="397">
        <f t="shared" si="885"/>
        <v>11.527451554283108</v>
      </c>
      <c r="EJ131" s="397">
        <f t="shared" si="886"/>
        <v>23.054903108566215</v>
      </c>
      <c r="EK131" s="397">
        <f t="shared" si="887"/>
        <v>11.527451554283108</v>
      </c>
      <c r="EL131" s="397">
        <f t="shared" si="888"/>
        <v>23.054903108566215</v>
      </c>
      <c r="EM131" s="397">
        <f t="shared" si="889"/>
        <v>11.527451554283108</v>
      </c>
      <c r="EN131" s="398">
        <f t="shared" si="890"/>
        <v>23.054903108566215</v>
      </c>
      <c r="EO131" s="722">
        <f t="shared" si="891"/>
        <v>0</v>
      </c>
      <c r="EP131" s="511">
        <f t="shared" si="892"/>
        <v>0</v>
      </c>
      <c r="EQ131" s="511">
        <f t="shared" si="893"/>
        <v>0</v>
      </c>
      <c r="ER131" s="511">
        <f t="shared" si="894"/>
        <v>0</v>
      </c>
      <c r="ES131" s="511">
        <f t="shared" si="895"/>
        <v>0</v>
      </c>
      <c r="ET131" s="511">
        <f t="shared" si="896"/>
        <v>0</v>
      </c>
      <c r="EU131" s="723">
        <f t="shared" si="897"/>
        <v>0</v>
      </c>
      <c r="EV131" s="727">
        <f t="shared" si="898"/>
        <v>2.5</v>
      </c>
      <c r="EW131" s="728">
        <f t="shared" si="899"/>
        <v>17600</v>
      </c>
      <c r="EX131" s="728">
        <f t="shared" si="900"/>
        <v>0</v>
      </c>
      <c r="EY131" s="728">
        <f t="shared" si="901"/>
        <v>4400</v>
      </c>
      <c r="EZ131" s="728">
        <f t="shared" si="902"/>
        <v>0</v>
      </c>
      <c r="FA131" s="777">
        <f t="shared" si="903"/>
        <v>216039.07006578948</v>
      </c>
      <c r="FB131" s="777">
        <f t="shared" si="904"/>
        <v>126.80196709711419</v>
      </c>
      <c r="FC131" s="778">
        <f t="shared" si="905"/>
        <v>0</v>
      </c>
      <c r="FE131" s="10"/>
      <c r="FF131" s="10"/>
    </row>
    <row r="132" spans="1:162">
      <c r="A132" s="662" t="s">
        <v>197</v>
      </c>
      <c r="B132" s="789" t="s">
        <v>1423</v>
      </c>
      <c r="C132" s="789" t="str">
        <f t="shared" ref="C132:O132" si="1175">C18</f>
        <v>Water Cooled Chilled Water Reset</v>
      </c>
      <c r="D132" s="789" t="str">
        <f t="shared" si="1175"/>
        <v>No Reset</v>
      </c>
      <c r="E132" s="789" t="str">
        <f t="shared" si="1175"/>
        <v>Per Unit</v>
      </c>
      <c r="F132" s="789" t="str">
        <f t="shared" si="1175"/>
        <v>Per Unit</v>
      </c>
      <c r="G132" s="704" t="str">
        <f t="shared" si="1175"/>
        <v>Incremental Cost</v>
      </c>
      <c r="H132" s="704">
        <f t="shared" si="1175"/>
        <v>8000</v>
      </c>
      <c r="I132" s="704">
        <f t="shared" si="1175"/>
        <v>0</v>
      </c>
      <c r="J132" s="704">
        <f t="shared" si="1175"/>
        <v>8000</v>
      </c>
      <c r="K132" s="704">
        <f t="shared" si="1175"/>
        <v>0</v>
      </c>
      <c r="L132" s="704">
        <f t="shared" si="1175"/>
        <v>4000</v>
      </c>
      <c r="M132" s="707" t="str">
        <f t="shared" si="1175"/>
        <v>Estimated incentive equals 25% of incremental cost. Reference: Assume 2 point for air cooled. CWST Reset Costs CA 2013 Standard Doc: http://www.energy.ca.gov/title24/2013standards/prerulemaking/documents/2011-08-17_workshop/presentations/05%20Condenser%20Water%20Reset%20Control.pdf</v>
      </c>
      <c r="N132" s="704">
        <f t="shared" si="1175"/>
        <v>2000</v>
      </c>
      <c r="O132" s="704">
        <f t="shared" si="1175"/>
        <v>2000</v>
      </c>
      <c r="P132" s="704">
        <f t="shared" si="1051"/>
        <v>0</v>
      </c>
      <c r="Q132" s="704">
        <f t="shared" si="1051"/>
        <v>0</v>
      </c>
      <c r="R132" s="1021">
        <f t="shared" si="1161"/>
        <v>65466.384868421061</v>
      </c>
      <c r="S132" s="872">
        <f t="shared" si="1161"/>
        <v>38.424838514277027</v>
      </c>
      <c r="T132" s="1022">
        <f t="shared" si="1161"/>
        <v>0</v>
      </c>
      <c r="U132" s="711" t="str">
        <f t="shared" si="1161"/>
        <v>LG&amp;E and KU Commercial Rebates Program Impact Evaluation for Chillers - FINAL October 24, 2016 by The Tetra Tech Evaluation Team</v>
      </c>
      <c r="V132" s="716">
        <f t="shared" si="1161"/>
        <v>0</v>
      </c>
      <c r="W132" s="711">
        <f t="shared" si="1161"/>
        <v>1</v>
      </c>
      <c r="X132" s="781">
        <f t="shared" ref="X132:AJ132" si="1176">X18/2</f>
        <v>0</v>
      </c>
      <c r="Y132" s="781">
        <f t="shared" si="1176"/>
        <v>0</v>
      </c>
      <c r="Z132" s="781">
        <f t="shared" si="1176"/>
        <v>0</v>
      </c>
      <c r="AA132" s="781">
        <f t="shared" si="1176"/>
        <v>0</v>
      </c>
      <c r="AB132" s="781">
        <f t="shared" si="1176"/>
        <v>0</v>
      </c>
      <c r="AC132" s="781">
        <f t="shared" si="1176"/>
        <v>0</v>
      </c>
      <c r="AD132" s="781">
        <f t="shared" si="1176"/>
        <v>0.5</v>
      </c>
      <c r="AE132" s="781">
        <f t="shared" si="1176"/>
        <v>0</v>
      </c>
      <c r="AF132" s="781">
        <f t="shared" si="1176"/>
        <v>0</v>
      </c>
      <c r="AG132" s="781">
        <f t="shared" si="1176"/>
        <v>0.5</v>
      </c>
      <c r="AH132" s="781">
        <f t="shared" si="1176"/>
        <v>0</v>
      </c>
      <c r="AI132" s="781">
        <f t="shared" si="1176"/>
        <v>0</v>
      </c>
      <c r="AJ132" s="781">
        <f t="shared" si="1176"/>
        <v>0.5</v>
      </c>
      <c r="AK132" s="711" t="str">
        <f t="shared" ref="AK132:BA132" si="1177">AK18</f>
        <v>Electric</v>
      </c>
      <c r="AL132" s="711" t="str">
        <f t="shared" si="1177"/>
        <v>Commercial</v>
      </c>
      <c r="AM132" s="711" t="str">
        <f t="shared" si="1177"/>
        <v>Large Office</v>
      </c>
      <c r="AN132" s="711" t="str">
        <f t="shared" si="1177"/>
        <v>Cooling Chillers</v>
      </c>
      <c r="AO132" s="711" t="str">
        <f t="shared" si="1177"/>
        <v>Existing</v>
      </c>
      <c r="AP132" s="711">
        <f t="shared" si="1177"/>
        <v>0</v>
      </c>
      <c r="AQ132" s="711">
        <f t="shared" si="1177"/>
        <v>0</v>
      </c>
      <c r="AR132" s="711">
        <f t="shared" si="1177"/>
        <v>0</v>
      </c>
      <c r="AS132" s="711" t="str">
        <f t="shared" si="1177"/>
        <v>OFFLGCool</v>
      </c>
      <c r="AT132" s="715" t="s">
        <v>745</v>
      </c>
      <c r="AU132" s="711" t="str">
        <f t="shared" si="1177"/>
        <v>LGE NonRes</v>
      </c>
      <c r="AV132" s="711">
        <f t="shared" si="1177"/>
        <v>10</v>
      </c>
      <c r="AW132" s="711">
        <f t="shared" si="1177"/>
        <v>10</v>
      </c>
      <c r="AX132" s="711" t="str">
        <f t="shared" si="1177"/>
        <v>DEER 2005 and Engineering Judgement. Assuming 10 years.</v>
      </c>
      <c r="AY132" s="711">
        <f t="shared" si="1177"/>
        <v>1</v>
      </c>
      <c r="AZ132" s="711">
        <f t="shared" si="1177"/>
        <v>1</v>
      </c>
      <c r="BA132" s="1066">
        <f t="shared" si="1177"/>
        <v>0</v>
      </c>
      <c r="BB132" s="721">
        <f t="shared" si="1079"/>
        <v>8000</v>
      </c>
      <c r="BC132" s="499">
        <f t="shared" si="1080"/>
        <v>8000</v>
      </c>
      <c r="BD132" s="499">
        <f t="shared" si="1081"/>
        <v>8000</v>
      </c>
      <c r="BE132" s="499">
        <f t="shared" si="1082"/>
        <v>8000</v>
      </c>
      <c r="BF132" s="499">
        <f t="shared" si="1083"/>
        <v>8000</v>
      </c>
      <c r="BG132" s="499">
        <f t="shared" si="1084"/>
        <v>8000</v>
      </c>
      <c r="BH132" s="499">
        <f t="shared" si="1085"/>
        <v>8000</v>
      </c>
      <c r="BI132" s="721">
        <f t="shared" si="1060"/>
        <v>0</v>
      </c>
      <c r="BJ132" s="499">
        <f t="shared" ref="BJ132:BM132" si="1178">BI132</f>
        <v>0</v>
      </c>
      <c r="BK132" s="499">
        <f t="shared" si="1178"/>
        <v>0</v>
      </c>
      <c r="BL132" s="499">
        <f t="shared" si="1178"/>
        <v>0</v>
      </c>
      <c r="BM132" s="499">
        <f t="shared" si="1178"/>
        <v>0</v>
      </c>
      <c r="BN132" s="499">
        <f t="shared" si="1087"/>
        <v>0</v>
      </c>
      <c r="BO132" s="499">
        <f t="shared" si="1088"/>
        <v>0</v>
      </c>
      <c r="BP132" s="721">
        <f t="shared" si="1062"/>
        <v>2000</v>
      </c>
      <c r="BQ132" s="499">
        <f t="shared" si="1063"/>
        <v>2000</v>
      </c>
      <c r="BR132" s="499">
        <f t="shared" si="1089"/>
        <v>2000</v>
      </c>
      <c r="BS132" s="499">
        <f t="shared" si="1090"/>
        <v>2000</v>
      </c>
      <c r="BT132" s="499">
        <f t="shared" si="1091"/>
        <v>2000</v>
      </c>
      <c r="BU132" s="499">
        <f t="shared" si="1092"/>
        <v>2000</v>
      </c>
      <c r="BV132" s="499">
        <f t="shared" si="1093"/>
        <v>2000</v>
      </c>
      <c r="BW132" s="774">
        <f t="shared" si="1094"/>
        <v>0</v>
      </c>
      <c r="BX132" s="503">
        <f t="shared" si="1069"/>
        <v>0</v>
      </c>
      <c r="BY132" s="503">
        <f t="shared" si="1069"/>
        <v>0</v>
      </c>
      <c r="BZ132" s="503">
        <f t="shared" si="1069"/>
        <v>0</v>
      </c>
      <c r="CA132" s="503">
        <f t="shared" si="1069"/>
        <v>0</v>
      </c>
      <c r="CB132" s="503">
        <f t="shared" si="1069"/>
        <v>0</v>
      </c>
      <c r="CC132" s="503">
        <f t="shared" si="1069"/>
        <v>0</v>
      </c>
      <c r="CD132" s="722">
        <f t="shared" si="1070"/>
        <v>65466.384868421061</v>
      </c>
      <c r="CE132" s="511">
        <f t="shared" ref="CE132:CH132" si="1179">CD132</f>
        <v>65466.384868421061</v>
      </c>
      <c r="CF132" s="511">
        <f t="shared" si="1179"/>
        <v>65466.384868421061</v>
      </c>
      <c r="CG132" s="511">
        <f t="shared" si="1179"/>
        <v>65466.384868421061</v>
      </c>
      <c r="CH132" s="511">
        <f t="shared" si="1179"/>
        <v>65466.384868421061</v>
      </c>
      <c r="CI132" s="511">
        <f t="shared" si="1096"/>
        <v>65466.384868421061</v>
      </c>
      <c r="CJ132" s="511">
        <f t="shared" si="1097"/>
        <v>65466.384868421061</v>
      </c>
      <c r="CK132" s="722">
        <f t="shared" si="1072"/>
        <v>38.424838514277027</v>
      </c>
      <c r="CL132" s="511">
        <f t="shared" ref="CL132:CO132" si="1180">CK132</f>
        <v>38.424838514277027</v>
      </c>
      <c r="CM132" s="511">
        <f t="shared" si="1180"/>
        <v>38.424838514277027</v>
      </c>
      <c r="CN132" s="511">
        <f t="shared" si="1180"/>
        <v>38.424838514277027</v>
      </c>
      <c r="CO132" s="511">
        <f t="shared" si="1180"/>
        <v>38.424838514277027</v>
      </c>
      <c r="CP132" s="511">
        <f t="shared" si="1099"/>
        <v>38.424838514277027</v>
      </c>
      <c r="CQ132" s="511">
        <f t="shared" si="1100"/>
        <v>38.424838514277027</v>
      </c>
      <c r="CR132" s="722">
        <f t="shared" si="1074"/>
        <v>0</v>
      </c>
      <c r="CS132" s="511">
        <f t="shared" ref="CS132:CV132" si="1181">CR132</f>
        <v>0</v>
      </c>
      <c r="CT132" s="511">
        <f t="shared" si="1181"/>
        <v>0</v>
      </c>
      <c r="CU132" s="511">
        <f t="shared" si="1181"/>
        <v>0</v>
      </c>
      <c r="CV132" s="511">
        <f t="shared" si="1181"/>
        <v>0</v>
      </c>
      <c r="CW132" s="511">
        <f t="shared" si="1102"/>
        <v>0</v>
      </c>
      <c r="CX132" s="539">
        <f t="shared" si="1103"/>
        <v>0</v>
      </c>
      <c r="CY132" s="724">
        <f t="shared" si="849"/>
        <v>4000</v>
      </c>
      <c r="CZ132" s="508">
        <f t="shared" si="850"/>
        <v>0</v>
      </c>
      <c r="DA132" s="508">
        <f t="shared" si="851"/>
        <v>0</v>
      </c>
      <c r="DB132" s="508">
        <f t="shared" si="852"/>
        <v>4000</v>
      </c>
      <c r="DC132" s="508">
        <f t="shared" si="853"/>
        <v>0</v>
      </c>
      <c r="DD132" s="508">
        <f t="shared" si="854"/>
        <v>0</v>
      </c>
      <c r="DE132" s="726">
        <f t="shared" si="855"/>
        <v>4000</v>
      </c>
      <c r="DF132" s="724">
        <f t="shared" si="856"/>
        <v>0</v>
      </c>
      <c r="DG132" s="509">
        <f t="shared" si="857"/>
        <v>0</v>
      </c>
      <c r="DH132" s="509">
        <f t="shared" si="858"/>
        <v>0</v>
      </c>
      <c r="DI132" s="509">
        <f t="shared" si="859"/>
        <v>0</v>
      </c>
      <c r="DJ132" s="509">
        <f t="shared" si="860"/>
        <v>0</v>
      </c>
      <c r="DK132" s="509">
        <f t="shared" si="861"/>
        <v>0</v>
      </c>
      <c r="DL132" s="451">
        <f t="shared" si="862"/>
        <v>0</v>
      </c>
      <c r="DM132" s="509">
        <f t="shared" si="863"/>
        <v>1000</v>
      </c>
      <c r="DN132" s="509">
        <f t="shared" si="864"/>
        <v>0</v>
      </c>
      <c r="DO132" s="509">
        <f t="shared" si="865"/>
        <v>0</v>
      </c>
      <c r="DP132" s="509">
        <f t="shared" si="866"/>
        <v>1000</v>
      </c>
      <c r="DQ132" s="509">
        <f t="shared" si="867"/>
        <v>0</v>
      </c>
      <c r="DR132" s="509">
        <f t="shared" si="868"/>
        <v>0</v>
      </c>
      <c r="DS132" s="450">
        <f t="shared" si="869"/>
        <v>1000</v>
      </c>
      <c r="DT132" s="724">
        <f t="shared" si="870"/>
        <v>0</v>
      </c>
      <c r="DU132" s="508">
        <f t="shared" si="871"/>
        <v>0</v>
      </c>
      <c r="DV132" s="508">
        <f t="shared" si="872"/>
        <v>0</v>
      </c>
      <c r="DW132" s="508">
        <f t="shared" si="873"/>
        <v>0</v>
      </c>
      <c r="DX132" s="508">
        <f t="shared" si="874"/>
        <v>0</v>
      </c>
      <c r="DY132" s="508">
        <f t="shared" si="875"/>
        <v>0</v>
      </c>
      <c r="DZ132" s="726">
        <f t="shared" si="876"/>
        <v>0</v>
      </c>
      <c r="EA132" s="722">
        <f t="shared" si="877"/>
        <v>32733.19243421053</v>
      </c>
      <c r="EB132" s="511">
        <f t="shared" si="878"/>
        <v>0</v>
      </c>
      <c r="EC132" s="511">
        <f t="shared" si="879"/>
        <v>0</v>
      </c>
      <c r="ED132" s="511">
        <f t="shared" si="880"/>
        <v>32733.19243421053</v>
      </c>
      <c r="EE132" s="511">
        <f t="shared" si="881"/>
        <v>0</v>
      </c>
      <c r="EF132" s="511">
        <f t="shared" si="882"/>
        <v>0</v>
      </c>
      <c r="EG132" s="723">
        <f t="shared" si="883"/>
        <v>32733.19243421053</v>
      </c>
      <c r="EH132" s="397">
        <f t="shared" si="884"/>
        <v>19.212419257138514</v>
      </c>
      <c r="EI132" s="397">
        <f t="shared" si="885"/>
        <v>0</v>
      </c>
      <c r="EJ132" s="397">
        <f t="shared" si="886"/>
        <v>0</v>
      </c>
      <c r="EK132" s="397">
        <f t="shared" si="887"/>
        <v>19.212419257138514</v>
      </c>
      <c r="EL132" s="397">
        <f t="shared" si="888"/>
        <v>0</v>
      </c>
      <c r="EM132" s="397">
        <f t="shared" si="889"/>
        <v>0</v>
      </c>
      <c r="EN132" s="398">
        <f t="shared" si="890"/>
        <v>19.212419257138514</v>
      </c>
      <c r="EO132" s="722">
        <f t="shared" si="891"/>
        <v>0</v>
      </c>
      <c r="EP132" s="511">
        <f t="shared" si="892"/>
        <v>0</v>
      </c>
      <c r="EQ132" s="511">
        <f t="shared" si="893"/>
        <v>0</v>
      </c>
      <c r="ER132" s="511">
        <f t="shared" si="894"/>
        <v>0</v>
      </c>
      <c r="ES132" s="511">
        <f t="shared" si="895"/>
        <v>0</v>
      </c>
      <c r="ET132" s="511">
        <f t="shared" si="896"/>
        <v>0</v>
      </c>
      <c r="EU132" s="723">
        <f t="shared" si="897"/>
        <v>0</v>
      </c>
      <c r="EV132" s="727">
        <f t="shared" si="898"/>
        <v>0.5</v>
      </c>
      <c r="EW132" s="728">
        <f t="shared" si="899"/>
        <v>12000</v>
      </c>
      <c r="EX132" s="728">
        <f t="shared" si="900"/>
        <v>0</v>
      </c>
      <c r="EY132" s="728">
        <f t="shared" si="901"/>
        <v>3000</v>
      </c>
      <c r="EZ132" s="728">
        <f t="shared" si="902"/>
        <v>0</v>
      </c>
      <c r="FA132" s="777">
        <f t="shared" si="903"/>
        <v>98199.577302631587</v>
      </c>
      <c r="FB132" s="777">
        <f t="shared" si="904"/>
        <v>57.637257771415541</v>
      </c>
      <c r="FC132" s="778">
        <f t="shared" si="905"/>
        <v>0</v>
      </c>
      <c r="FE132" s="10"/>
      <c r="FF132" s="10"/>
    </row>
    <row r="133" spans="1:162">
      <c r="A133" s="662" t="s">
        <v>198</v>
      </c>
      <c r="B133" s="789" t="s">
        <v>1424</v>
      </c>
      <c r="C133" s="789" t="str">
        <f t="shared" ref="C133:O133" si="1182">C19</f>
        <v>High Efficiency Motors - 1 HP to 250 HP (Open Drip Roof and Totally Enclosed Fan-Cooled)</v>
      </c>
      <c r="D133" s="789" t="str">
        <f t="shared" si="1182"/>
        <v xml:space="preserve">Standard Motor Efficiency </v>
      </c>
      <c r="E133" s="789" t="str">
        <f t="shared" si="1182"/>
        <v>Per Motor</v>
      </c>
      <c r="F133" s="789" t="str">
        <f t="shared" si="1182"/>
        <v>Per HP</v>
      </c>
      <c r="G133" s="704" t="str">
        <f t="shared" si="1182"/>
        <v>Incremental Cost</v>
      </c>
      <c r="H133" s="704">
        <f t="shared" si="1182"/>
        <v>86.364702605042069</v>
      </c>
      <c r="I133" s="704">
        <f t="shared" si="1182"/>
        <v>0</v>
      </c>
      <c r="J133" s="704">
        <f t="shared" si="1182"/>
        <v>86.364702605042069</v>
      </c>
      <c r="K133" s="704">
        <f t="shared" si="1182"/>
        <v>0</v>
      </c>
      <c r="L133" s="704">
        <f t="shared" si="1182"/>
        <v>43.182351302521035</v>
      </c>
      <c r="M133" s="707" t="str">
        <f t="shared" si="1182"/>
        <v>This is the average ($/HP) cost of all possible motors (HP, RPM, and open drip proof/Totally Enclosed Fan-Cooled) See BizRebates_Costs_Savings for full table adapted from MN TRM</v>
      </c>
      <c r="N133" s="704">
        <f t="shared" si="1182"/>
        <v>2</v>
      </c>
      <c r="O133" s="704">
        <f t="shared" si="1182"/>
        <v>2</v>
      </c>
      <c r="P133" s="704">
        <f t="shared" si="1051"/>
        <v>0</v>
      </c>
      <c r="Q133" s="704">
        <f t="shared" si="1051"/>
        <v>0</v>
      </c>
      <c r="R133" s="1021">
        <f t="shared" si="1161"/>
        <v>30.223750000000003</v>
      </c>
      <c r="S133" s="872">
        <f t="shared" si="1161"/>
        <v>6.3036111111111105E-3</v>
      </c>
      <c r="T133" s="1022">
        <f t="shared" si="1161"/>
        <v>0</v>
      </c>
      <c r="U133" s="711" t="str">
        <f t="shared" si="1161"/>
        <v>LG&amp;E/KU Commercial Rebates Report - Appendix A</v>
      </c>
      <c r="V133" s="716">
        <f t="shared" si="1161"/>
        <v>0</v>
      </c>
      <c r="W133" s="711">
        <f t="shared" si="1161"/>
        <v>1</v>
      </c>
      <c r="X133" s="781">
        <f t="shared" ref="X133:AJ133" si="1183">X19/2</f>
        <v>1815</v>
      </c>
      <c r="Y133" s="781">
        <f t="shared" si="1183"/>
        <v>199</v>
      </c>
      <c r="Z133" s="781">
        <f t="shared" si="1183"/>
        <v>261</v>
      </c>
      <c r="AA133" s="781">
        <f t="shared" si="1183"/>
        <v>546</v>
      </c>
      <c r="AB133" s="781">
        <f t="shared" si="1183"/>
        <v>403.5</v>
      </c>
      <c r="AC133" s="781">
        <f t="shared" si="1183"/>
        <v>403.5</v>
      </c>
      <c r="AD133" s="781">
        <f t="shared" si="1183"/>
        <v>403.5</v>
      </c>
      <c r="AE133" s="781">
        <f t="shared" si="1183"/>
        <v>403.5</v>
      </c>
      <c r="AF133" s="781">
        <f t="shared" si="1183"/>
        <v>403.5</v>
      </c>
      <c r="AG133" s="781">
        <f t="shared" si="1183"/>
        <v>403.5</v>
      </c>
      <c r="AH133" s="781">
        <f t="shared" si="1183"/>
        <v>403.5</v>
      </c>
      <c r="AI133" s="781">
        <f t="shared" si="1183"/>
        <v>403.5</v>
      </c>
      <c r="AJ133" s="781">
        <f t="shared" si="1183"/>
        <v>403.5</v>
      </c>
      <c r="AK133" s="711" t="str">
        <f t="shared" ref="AK133:BA133" si="1184">AK19</f>
        <v>Electric</v>
      </c>
      <c r="AL133" s="711" t="str">
        <f t="shared" si="1184"/>
        <v>Commercial</v>
      </c>
      <c r="AM133" s="711" t="str">
        <f t="shared" si="1184"/>
        <v>Large Office</v>
      </c>
      <c r="AN133" s="711" t="str">
        <f t="shared" si="1184"/>
        <v>Ventilation And Circulation</v>
      </c>
      <c r="AO133" s="711" t="str">
        <f t="shared" si="1184"/>
        <v>Existing</v>
      </c>
      <c r="AP133" s="711">
        <f t="shared" si="1184"/>
        <v>0</v>
      </c>
      <c r="AQ133" s="711">
        <f t="shared" si="1184"/>
        <v>0</v>
      </c>
      <c r="AR133" s="711">
        <f t="shared" si="1184"/>
        <v>0</v>
      </c>
      <c r="AS133" s="711" t="str">
        <f t="shared" si="1184"/>
        <v>OFFLGCool</v>
      </c>
      <c r="AT133" s="715" t="s">
        <v>745</v>
      </c>
      <c r="AU133" s="711" t="str">
        <f t="shared" si="1184"/>
        <v>LGE NonRes</v>
      </c>
      <c r="AV133" s="711">
        <f t="shared" si="1184"/>
        <v>20</v>
      </c>
      <c r="AW133" s="711">
        <f t="shared" si="1184"/>
        <v>20</v>
      </c>
      <c r="AX133" s="711" t="str">
        <f t="shared" si="1184"/>
        <v>Based on the Xcel 2015/2016 DSM plan for the product "Motor Efficiency". Pg 440</v>
      </c>
      <c r="AY133" s="711">
        <f t="shared" si="1184"/>
        <v>1</v>
      </c>
      <c r="AZ133" s="711">
        <f t="shared" si="1184"/>
        <v>1</v>
      </c>
      <c r="BA133" s="1066">
        <f t="shared" si="1184"/>
        <v>0</v>
      </c>
      <c r="BB133" s="721">
        <f t="shared" si="1079"/>
        <v>86.364702605042069</v>
      </c>
      <c r="BC133" s="499">
        <f t="shared" si="1080"/>
        <v>86.364702605042069</v>
      </c>
      <c r="BD133" s="499">
        <f t="shared" si="1081"/>
        <v>86.364702605042069</v>
      </c>
      <c r="BE133" s="499">
        <f t="shared" si="1082"/>
        <v>86.364702605042069</v>
      </c>
      <c r="BF133" s="499">
        <f t="shared" si="1083"/>
        <v>86.364702605042069</v>
      </c>
      <c r="BG133" s="499">
        <f t="shared" si="1084"/>
        <v>86.364702605042069</v>
      </c>
      <c r="BH133" s="499">
        <f t="shared" si="1085"/>
        <v>86.364702605042069</v>
      </c>
      <c r="BI133" s="721">
        <f t="shared" si="1060"/>
        <v>0</v>
      </c>
      <c r="BJ133" s="499">
        <f t="shared" ref="BJ133:BM133" si="1185">BI133</f>
        <v>0</v>
      </c>
      <c r="BK133" s="499">
        <f t="shared" si="1185"/>
        <v>0</v>
      </c>
      <c r="BL133" s="499">
        <f t="shared" si="1185"/>
        <v>0</v>
      </c>
      <c r="BM133" s="499">
        <f t="shared" si="1185"/>
        <v>0</v>
      </c>
      <c r="BN133" s="499">
        <f t="shared" si="1087"/>
        <v>0</v>
      </c>
      <c r="BO133" s="499">
        <f t="shared" si="1088"/>
        <v>0</v>
      </c>
      <c r="BP133" s="721">
        <f t="shared" si="1062"/>
        <v>2</v>
      </c>
      <c r="BQ133" s="499">
        <f t="shared" si="1063"/>
        <v>2</v>
      </c>
      <c r="BR133" s="499">
        <f t="shared" si="1089"/>
        <v>2</v>
      </c>
      <c r="BS133" s="499">
        <f t="shared" si="1090"/>
        <v>2</v>
      </c>
      <c r="BT133" s="499">
        <f t="shared" si="1091"/>
        <v>2</v>
      </c>
      <c r="BU133" s="499">
        <f t="shared" si="1092"/>
        <v>2</v>
      </c>
      <c r="BV133" s="499">
        <f t="shared" si="1093"/>
        <v>2</v>
      </c>
      <c r="BW133" s="774">
        <f t="shared" si="1094"/>
        <v>0</v>
      </c>
      <c r="BX133" s="503">
        <f t="shared" si="1069"/>
        <v>0</v>
      </c>
      <c r="BY133" s="503">
        <f t="shared" si="1069"/>
        <v>0</v>
      </c>
      <c r="BZ133" s="503">
        <f t="shared" si="1069"/>
        <v>0</v>
      </c>
      <c r="CA133" s="503">
        <f t="shared" si="1069"/>
        <v>0</v>
      </c>
      <c r="CB133" s="503">
        <f t="shared" si="1069"/>
        <v>0</v>
      </c>
      <c r="CC133" s="503">
        <f t="shared" si="1069"/>
        <v>0</v>
      </c>
      <c r="CD133" s="722">
        <f t="shared" si="1070"/>
        <v>30.223750000000003</v>
      </c>
      <c r="CE133" s="511">
        <f t="shared" ref="CE133:CH133" si="1186">CD133</f>
        <v>30.223750000000003</v>
      </c>
      <c r="CF133" s="511">
        <f t="shared" si="1186"/>
        <v>30.223750000000003</v>
      </c>
      <c r="CG133" s="511">
        <f t="shared" si="1186"/>
        <v>30.223750000000003</v>
      </c>
      <c r="CH133" s="511">
        <f t="shared" si="1186"/>
        <v>30.223750000000003</v>
      </c>
      <c r="CI133" s="511">
        <f t="shared" si="1096"/>
        <v>30.223750000000003</v>
      </c>
      <c r="CJ133" s="511">
        <f t="shared" si="1097"/>
        <v>30.223750000000003</v>
      </c>
      <c r="CK133" s="722">
        <f t="shared" si="1072"/>
        <v>6.3036111111111105E-3</v>
      </c>
      <c r="CL133" s="511">
        <f t="shared" ref="CL133:CO133" si="1187">CK133</f>
        <v>6.3036111111111105E-3</v>
      </c>
      <c r="CM133" s="511">
        <f t="shared" si="1187"/>
        <v>6.3036111111111105E-3</v>
      </c>
      <c r="CN133" s="511">
        <f t="shared" si="1187"/>
        <v>6.3036111111111105E-3</v>
      </c>
      <c r="CO133" s="511">
        <f t="shared" si="1187"/>
        <v>6.3036111111111105E-3</v>
      </c>
      <c r="CP133" s="511">
        <f t="shared" si="1099"/>
        <v>6.3036111111111105E-3</v>
      </c>
      <c r="CQ133" s="511">
        <f t="shared" si="1100"/>
        <v>6.3036111111111105E-3</v>
      </c>
      <c r="CR133" s="722">
        <f t="shared" si="1074"/>
        <v>0</v>
      </c>
      <c r="CS133" s="511">
        <f t="shared" ref="CS133:CV133" si="1188">CR133</f>
        <v>0</v>
      </c>
      <c r="CT133" s="511">
        <f t="shared" si="1188"/>
        <v>0</v>
      </c>
      <c r="CU133" s="511">
        <f t="shared" si="1188"/>
        <v>0</v>
      </c>
      <c r="CV133" s="511">
        <f t="shared" si="1188"/>
        <v>0</v>
      </c>
      <c r="CW133" s="511">
        <f t="shared" si="1102"/>
        <v>0</v>
      </c>
      <c r="CX133" s="539">
        <f t="shared" si="1103"/>
        <v>0</v>
      </c>
      <c r="CY133" s="724">
        <f t="shared" si="849"/>
        <v>34848.157501134476</v>
      </c>
      <c r="CZ133" s="508">
        <f t="shared" si="850"/>
        <v>34848.157501134476</v>
      </c>
      <c r="DA133" s="508">
        <f t="shared" si="851"/>
        <v>34848.157501134476</v>
      </c>
      <c r="DB133" s="508">
        <f t="shared" si="852"/>
        <v>34848.157501134476</v>
      </c>
      <c r="DC133" s="508">
        <f t="shared" si="853"/>
        <v>34848.157501134476</v>
      </c>
      <c r="DD133" s="508">
        <f t="shared" si="854"/>
        <v>34848.157501134476</v>
      </c>
      <c r="DE133" s="726">
        <f t="shared" si="855"/>
        <v>34848.157501134476</v>
      </c>
      <c r="DF133" s="724">
        <f t="shared" si="856"/>
        <v>0</v>
      </c>
      <c r="DG133" s="509">
        <f t="shared" si="857"/>
        <v>0</v>
      </c>
      <c r="DH133" s="509">
        <f t="shared" si="858"/>
        <v>0</v>
      </c>
      <c r="DI133" s="509">
        <f t="shared" si="859"/>
        <v>0</v>
      </c>
      <c r="DJ133" s="509">
        <f t="shared" si="860"/>
        <v>0</v>
      </c>
      <c r="DK133" s="509">
        <f t="shared" si="861"/>
        <v>0</v>
      </c>
      <c r="DL133" s="451">
        <f t="shared" si="862"/>
        <v>0</v>
      </c>
      <c r="DM133" s="509">
        <f t="shared" si="863"/>
        <v>807</v>
      </c>
      <c r="DN133" s="509">
        <f t="shared" si="864"/>
        <v>807</v>
      </c>
      <c r="DO133" s="509">
        <f t="shared" si="865"/>
        <v>807</v>
      </c>
      <c r="DP133" s="509">
        <f t="shared" si="866"/>
        <v>807</v>
      </c>
      <c r="DQ133" s="509">
        <f t="shared" si="867"/>
        <v>807</v>
      </c>
      <c r="DR133" s="509">
        <f t="shared" si="868"/>
        <v>807</v>
      </c>
      <c r="DS133" s="450">
        <f t="shared" si="869"/>
        <v>807</v>
      </c>
      <c r="DT133" s="724">
        <f t="shared" si="870"/>
        <v>0</v>
      </c>
      <c r="DU133" s="508">
        <f t="shared" si="871"/>
        <v>0</v>
      </c>
      <c r="DV133" s="508">
        <f t="shared" si="872"/>
        <v>0</v>
      </c>
      <c r="DW133" s="508">
        <f t="shared" si="873"/>
        <v>0</v>
      </c>
      <c r="DX133" s="508">
        <f t="shared" si="874"/>
        <v>0</v>
      </c>
      <c r="DY133" s="508">
        <f t="shared" si="875"/>
        <v>0</v>
      </c>
      <c r="DZ133" s="726">
        <f t="shared" si="876"/>
        <v>0</v>
      </c>
      <c r="EA133" s="722">
        <f t="shared" si="877"/>
        <v>12195.283125000002</v>
      </c>
      <c r="EB133" s="511">
        <f t="shared" si="878"/>
        <v>12195.283125000002</v>
      </c>
      <c r="EC133" s="511">
        <f t="shared" si="879"/>
        <v>12195.283125000002</v>
      </c>
      <c r="ED133" s="511">
        <f t="shared" si="880"/>
        <v>12195.283125000002</v>
      </c>
      <c r="EE133" s="511">
        <f t="shared" si="881"/>
        <v>12195.283125000002</v>
      </c>
      <c r="EF133" s="511">
        <f t="shared" si="882"/>
        <v>12195.283125000002</v>
      </c>
      <c r="EG133" s="723">
        <f t="shared" si="883"/>
        <v>12195.283125000002</v>
      </c>
      <c r="EH133" s="397">
        <f t="shared" si="884"/>
        <v>2.5435070833333331</v>
      </c>
      <c r="EI133" s="397">
        <f t="shared" si="885"/>
        <v>2.5435070833333331</v>
      </c>
      <c r="EJ133" s="397">
        <f t="shared" si="886"/>
        <v>2.5435070833333331</v>
      </c>
      <c r="EK133" s="397">
        <f t="shared" si="887"/>
        <v>2.5435070833333331</v>
      </c>
      <c r="EL133" s="397">
        <f t="shared" si="888"/>
        <v>2.5435070833333331</v>
      </c>
      <c r="EM133" s="397">
        <f t="shared" si="889"/>
        <v>2.5435070833333331</v>
      </c>
      <c r="EN133" s="398">
        <f t="shared" si="890"/>
        <v>2.5435070833333331</v>
      </c>
      <c r="EO133" s="722">
        <f t="shared" si="891"/>
        <v>0</v>
      </c>
      <c r="EP133" s="511">
        <f t="shared" si="892"/>
        <v>0</v>
      </c>
      <c r="EQ133" s="511">
        <f t="shared" si="893"/>
        <v>0</v>
      </c>
      <c r="ER133" s="511">
        <f t="shared" si="894"/>
        <v>0</v>
      </c>
      <c r="ES133" s="511">
        <f t="shared" si="895"/>
        <v>0</v>
      </c>
      <c r="ET133" s="511">
        <f t="shared" si="896"/>
        <v>0</v>
      </c>
      <c r="EU133" s="723">
        <f t="shared" si="897"/>
        <v>0</v>
      </c>
      <c r="EV133" s="727">
        <f t="shared" si="898"/>
        <v>1210.5</v>
      </c>
      <c r="EW133" s="728">
        <f t="shared" si="899"/>
        <v>243937.10250794131</v>
      </c>
      <c r="EX133" s="728">
        <f t="shared" si="900"/>
        <v>0</v>
      </c>
      <c r="EY133" s="728">
        <f t="shared" si="901"/>
        <v>5649</v>
      </c>
      <c r="EZ133" s="728">
        <f t="shared" si="902"/>
        <v>0</v>
      </c>
      <c r="FA133" s="777">
        <f t="shared" si="903"/>
        <v>85366.981875000012</v>
      </c>
      <c r="FB133" s="777">
        <f t="shared" si="904"/>
        <v>17.804549583333333</v>
      </c>
      <c r="FC133" s="778">
        <f t="shared" si="905"/>
        <v>0</v>
      </c>
      <c r="FE133" s="10"/>
      <c r="FF133" s="10"/>
    </row>
    <row r="134" spans="1:162">
      <c r="A134" s="662" t="s">
        <v>241</v>
      </c>
      <c r="B134" s="789" t="s">
        <v>1425</v>
      </c>
      <c r="C134" s="789" t="str">
        <f t="shared" ref="C134:O134" si="1189">C20</f>
        <v xml:space="preserve">Efficiency of 73% or more for system </v>
      </c>
      <c r="D134" s="789" t="str">
        <f t="shared" si="1189"/>
        <v>Standard Pump Efficiency</v>
      </c>
      <c r="E134" s="789" t="str">
        <f t="shared" si="1189"/>
        <v>Per Pump</v>
      </c>
      <c r="F134" s="789" t="str">
        <f t="shared" si="1189"/>
        <v>Per Pump</v>
      </c>
      <c r="G134" s="704" t="str">
        <f t="shared" si="1189"/>
        <v>Incremental Cost</v>
      </c>
      <c r="H134" s="704">
        <f t="shared" si="1189"/>
        <v>875.75766439527331</v>
      </c>
      <c r="I134" s="704">
        <f t="shared" si="1189"/>
        <v>0</v>
      </c>
      <c r="J134" s="704">
        <f t="shared" si="1189"/>
        <v>875.75766439527331</v>
      </c>
      <c r="K134" s="704">
        <f t="shared" si="1189"/>
        <v>0</v>
      </c>
      <c r="L134" s="704">
        <f t="shared" si="1189"/>
        <v>437.87883219763665</v>
      </c>
      <c r="M134" s="707" t="str">
        <f t="shared" si="1189"/>
        <v>Adapted from data in https://nwcouncil.app.box.com/v/ComAgIndPumpsv2-2 (See 'BizRebates_Costs' tab for full methodology)</v>
      </c>
      <c r="N134" s="704">
        <f t="shared" si="1189"/>
        <v>50</v>
      </c>
      <c r="O134" s="704">
        <f t="shared" si="1189"/>
        <v>50</v>
      </c>
      <c r="P134" s="704">
        <f t="shared" si="1051"/>
        <v>0</v>
      </c>
      <c r="Q134" s="704">
        <f t="shared" si="1051"/>
        <v>0</v>
      </c>
      <c r="R134" s="1021">
        <f t="shared" si="1161"/>
        <v>1683.5625</v>
      </c>
      <c r="S134" s="872">
        <f t="shared" si="1161"/>
        <v>0.56437499999999996</v>
      </c>
      <c r="T134" s="1022">
        <f t="shared" si="1161"/>
        <v>0</v>
      </c>
      <c r="U134" s="711" t="str">
        <f t="shared" si="1161"/>
        <v>Based on savings from LG&amp;E/KU Commercial Rebates report for 20 HP pump - assumes savings increase linearly per HP increases</v>
      </c>
      <c r="V134" s="716">
        <f t="shared" si="1161"/>
        <v>0</v>
      </c>
      <c r="W134" s="711">
        <f t="shared" si="1161"/>
        <v>1</v>
      </c>
      <c r="X134" s="781">
        <f t="shared" ref="X134:AJ134" si="1190">X20/2</f>
        <v>7.5</v>
      </c>
      <c r="Y134" s="781">
        <f t="shared" si="1190"/>
        <v>0</v>
      </c>
      <c r="Z134" s="781">
        <f t="shared" si="1190"/>
        <v>0.5</v>
      </c>
      <c r="AA134" s="781">
        <f t="shared" si="1190"/>
        <v>2.5714285714285712</v>
      </c>
      <c r="AB134" s="781">
        <f t="shared" si="1190"/>
        <v>1.5357142857142856</v>
      </c>
      <c r="AC134" s="781">
        <f t="shared" si="1190"/>
        <v>1.5357142857142856</v>
      </c>
      <c r="AD134" s="781">
        <f t="shared" si="1190"/>
        <v>1.5357142857142856</v>
      </c>
      <c r="AE134" s="781">
        <f t="shared" si="1190"/>
        <v>1.5357142857142856</v>
      </c>
      <c r="AF134" s="781">
        <f t="shared" si="1190"/>
        <v>1.5357142857142856</v>
      </c>
      <c r="AG134" s="781">
        <f t="shared" si="1190"/>
        <v>1.5357142857142856</v>
      </c>
      <c r="AH134" s="781">
        <f t="shared" si="1190"/>
        <v>1.5357142857142856</v>
      </c>
      <c r="AI134" s="781">
        <f t="shared" si="1190"/>
        <v>1.5357142857142856</v>
      </c>
      <c r="AJ134" s="781">
        <f t="shared" si="1190"/>
        <v>1.5357142857142856</v>
      </c>
      <c r="AK134" s="711" t="str">
        <f t="shared" ref="AK134:BA134" si="1191">AK20</f>
        <v>Electric</v>
      </c>
      <c r="AL134" s="711" t="str">
        <f t="shared" si="1191"/>
        <v>Commercial</v>
      </c>
      <c r="AM134" s="711" t="str">
        <f t="shared" si="1191"/>
        <v>Large Office</v>
      </c>
      <c r="AN134" s="711" t="str">
        <f t="shared" si="1191"/>
        <v>Ventilation And Circulation</v>
      </c>
      <c r="AO134" s="711" t="str">
        <f t="shared" si="1191"/>
        <v>Existing</v>
      </c>
      <c r="AP134" s="711">
        <f t="shared" si="1191"/>
        <v>0</v>
      </c>
      <c r="AQ134" s="711">
        <f t="shared" si="1191"/>
        <v>0</v>
      </c>
      <c r="AR134" s="711">
        <f t="shared" si="1191"/>
        <v>0</v>
      </c>
      <c r="AS134" s="711" t="str">
        <f t="shared" si="1191"/>
        <v>OFFLGCool</v>
      </c>
      <c r="AT134" s="715" t="s">
        <v>745</v>
      </c>
      <c r="AU134" s="711" t="str">
        <f t="shared" si="1191"/>
        <v>LGE NonRes</v>
      </c>
      <c r="AV134" s="711">
        <f t="shared" si="1191"/>
        <v>20</v>
      </c>
      <c r="AW134" s="711">
        <f t="shared" si="1191"/>
        <v>20</v>
      </c>
      <c r="AX134" s="711" t="str">
        <f t="shared" si="1191"/>
        <v>Based on the Xcel 2015/2016 DSM plan for the product "Motor Efficiency". Pg 440</v>
      </c>
      <c r="AY134" s="711">
        <f t="shared" si="1191"/>
        <v>1</v>
      </c>
      <c r="AZ134" s="711">
        <f t="shared" si="1191"/>
        <v>1</v>
      </c>
      <c r="BA134" s="1066">
        <f t="shared" si="1191"/>
        <v>0</v>
      </c>
      <c r="BB134" s="721">
        <f t="shared" si="1079"/>
        <v>875.75766439527331</v>
      </c>
      <c r="BC134" s="499">
        <f t="shared" si="1080"/>
        <v>875.75766439527331</v>
      </c>
      <c r="BD134" s="499">
        <f t="shared" si="1081"/>
        <v>875.75766439527331</v>
      </c>
      <c r="BE134" s="499">
        <f t="shared" si="1082"/>
        <v>875.75766439527331</v>
      </c>
      <c r="BF134" s="499">
        <f t="shared" si="1083"/>
        <v>875.75766439527331</v>
      </c>
      <c r="BG134" s="499">
        <f t="shared" si="1084"/>
        <v>875.75766439527331</v>
      </c>
      <c r="BH134" s="499">
        <f t="shared" si="1085"/>
        <v>875.75766439527331</v>
      </c>
      <c r="BI134" s="721">
        <f t="shared" si="1060"/>
        <v>0</v>
      </c>
      <c r="BJ134" s="499">
        <f t="shared" ref="BJ134:BM134" si="1192">BI134</f>
        <v>0</v>
      </c>
      <c r="BK134" s="499">
        <f t="shared" si="1192"/>
        <v>0</v>
      </c>
      <c r="BL134" s="499">
        <f t="shared" si="1192"/>
        <v>0</v>
      </c>
      <c r="BM134" s="499">
        <f t="shared" si="1192"/>
        <v>0</v>
      </c>
      <c r="BN134" s="499">
        <f t="shared" si="1087"/>
        <v>0</v>
      </c>
      <c r="BO134" s="499">
        <f t="shared" si="1088"/>
        <v>0</v>
      </c>
      <c r="BP134" s="721">
        <f t="shared" si="1062"/>
        <v>50</v>
      </c>
      <c r="BQ134" s="499">
        <f t="shared" si="1063"/>
        <v>50</v>
      </c>
      <c r="BR134" s="499">
        <f t="shared" si="1089"/>
        <v>50</v>
      </c>
      <c r="BS134" s="499">
        <f t="shared" si="1090"/>
        <v>50</v>
      </c>
      <c r="BT134" s="499">
        <f t="shared" si="1091"/>
        <v>50</v>
      </c>
      <c r="BU134" s="499">
        <f t="shared" si="1092"/>
        <v>50</v>
      </c>
      <c r="BV134" s="499">
        <f t="shared" si="1093"/>
        <v>50</v>
      </c>
      <c r="BW134" s="774">
        <f t="shared" si="1094"/>
        <v>0</v>
      </c>
      <c r="BX134" s="503">
        <f t="shared" si="1069"/>
        <v>0</v>
      </c>
      <c r="BY134" s="503">
        <f t="shared" si="1069"/>
        <v>0</v>
      </c>
      <c r="BZ134" s="503">
        <f t="shared" si="1069"/>
        <v>0</v>
      </c>
      <c r="CA134" s="503">
        <f t="shared" si="1069"/>
        <v>0</v>
      </c>
      <c r="CB134" s="503">
        <f t="shared" si="1069"/>
        <v>0</v>
      </c>
      <c r="CC134" s="503">
        <f t="shared" si="1069"/>
        <v>0</v>
      </c>
      <c r="CD134" s="722">
        <f t="shared" si="1070"/>
        <v>1683.5625</v>
      </c>
      <c r="CE134" s="511">
        <f t="shared" ref="CE134:CH134" si="1193">CD134</f>
        <v>1683.5625</v>
      </c>
      <c r="CF134" s="511">
        <f t="shared" si="1193"/>
        <v>1683.5625</v>
      </c>
      <c r="CG134" s="511">
        <f t="shared" si="1193"/>
        <v>1683.5625</v>
      </c>
      <c r="CH134" s="511">
        <f t="shared" si="1193"/>
        <v>1683.5625</v>
      </c>
      <c r="CI134" s="511">
        <f t="shared" si="1096"/>
        <v>1683.5625</v>
      </c>
      <c r="CJ134" s="511">
        <f t="shared" si="1097"/>
        <v>1683.5625</v>
      </c>
      <c r="CK134" s="722">
        <f t="shared" si="1072"/>
        <v>0.56437499999999996</v>
      </c>
      <c r="CL134" s="511">
        <f t="shared" ref="CL134:CO134" si="1194">CK134</f>
        <v>0.56437499999999996</v>
      </c>
      <c r="CM134" s="511">
        <f t="shared" si="1194"/>
        <v>0.56437499999999996</v>
      </c>
      <c r="CN134" s="511">
        <f t="shared" si="1194"/>
        <v>0.56437499999999996</v>
      </c>
      <c r="CO134" s="511">
        <f t="shared" si="1194"/>
        <v>0.56437499999999996</v>
      </c>
      <c r="CP134" s="511">
        <f t="shared" si="1099"/>
        <v>0.56437499999999996</v>
      </c>
      <c r="CQ134" s="511">
        <f t="shared" si="1100"/>
        <v>0.56437499999999996</v>
      </c>
      <c r="CR134" s="722">
        <f t="shared" si="1074"/>
        <v>0</v>
      </c>
      <c r="CS134" s="511">
        <f t="shared" ref="CS134:CV134" si="1195">CR134</f>
        <v>0</v>
      </c>
      <c r="CT134" s="511">
        <f t="shared" si="1195"/>
        <v>0</v>
      </c>
      <c r="CU134" s="511">
        <f t="shared" si="1195"/>
        <v>0</v>
      </c>
      <c r="CV134" s="511">
        <f t="shared" si="1195"/>
        <v>0</v>
      </c>
      <c r="CW134" s="511">
        <f t="shared" si="1102"/>
        <v>0</v>
      </c>
      <c r="CX134" s="539">
        <f t="shared" si="1103"/>
        <v>0</v>
      </c>
      <c r="CY134" s="724">
        <f t="shared" ref="CY134:CY165" si="1196">AD134*BB134*$W134</f>
        <v>1344.9135560355983</v>
      </c>
      <c r="CZ134" s="508">
        <f t="shared" ref="CZ134:CZ165" si="1197">AE134*BC134*$W134</f>
        <v>1344.9135560355983</v>
      </c>
      <c r="DA134" s="508">
        <f t="shared" ref="DA134:DA165" si="1198">AF134*BD134*$W134</f>
        <v>1344.9135560355983</v>
      </c>
      <c r="DB134" s="508">
        <f t="shared" ref="DB134:DB165" si="1199">AG134*BE134*$W134</f>
        <v>1344.9135560355983</v>
      </c>
      <c r="DC134" s="508">
        <f t="shared" ref="DC134:DC165" si="1200">AH134*BF134*$W134</f>
        <v>1344.9135560355983</v>
      </c>
      <c r="DD134" s="508">
        <f t="shared" ref="DD134:DD165" si="1201">AI134*BG134*$W134</f>
        <v>1344.9135560355983</v>
      </c>
      <c r="DE134" s="726">
        <f t="shared" ref="DE134:DE165" si="1202">AJ134*BH134*$W134</f>
        <v>1344.9135560355983</v>
      </c>
      <c r="DF134" s="724">
        <f t="shared" ref="DF134:DF165" si="1203">AD134*BI134*$W134</f>
        <v>0</v>
      </c>
      <c r="DG134" s="509">
        <f t="shared" ref="DG134:DG165" si="1204">AE134*BJ134*$W134</f>
        <v>0</v>
      </c>
      <c r="DH134" s="509">
        <f t="shared" ref="DH134:DH165" si="1205">AF134*BK134*$W134</f>
        <v>0</v>
      </c>
      <c r="DI134" s="509">
        <f t="shared" ref="DI134:DI165" si="1206">AG134*BL134*$W134</f>
        <v>0</v>
      </c>
      <c r="DJ134" s="509">
        <f t="shared" ref="DJ134:DJ165" si="1207">AH134*BM134*$W134</f>
        <v>0</v>
      </c>
      <c r="DK134" s="509">
        <f t="shared" ref="DK134:DK165" si="1208">AI134*BN134*$W134</f>
        <v>0</v>
      </c>
      <c r="DL134" s="451">
        <f t="shared" ref="DL134:DL165" si="1209">AJ134*BO134*$W134</f>
        <v>0</v>
      </c>
      <c r="DM134" s="509">
        <f t="shared" ref="DM134:DM165" si="1210">AD134*BP134*$W134</f>
        <v>76.785714285714278</v>
      </c>
      <c r="DN134" s="509">
        <f t="shared" ref="DN134:DN165" si="1211">AE134*BQ134*$W134</f>
        <v>76.785714285714278</v>
      </c>
      <c r="DO134" s="509">
        <f t="shared" ref="DO134:DO165" si="1212">AF134*BR134*$W134</f>
        <v>76.785714285714278</v>
      </c>
      <c r="DP134" s="509">
        <f t="shared" ref="DP134:DP165" si="1213">AG134*BS134*$W134</f>
        <v>76.785714285714278</v>
      </c>
      <c r="DQ134" s="509">
        <f t="shared" ref="DQ134:DQ165" si="1214">AH134*BT134*$W134</f>
        <v>76.785714285714278</v>
      </c>
      <c r="DR134" s="509">
        <f t="shared" ref="DR134:DR165" si="1215">AI134*BU134*$W134</f>
        <v>76.785714285714278</v>
      </c>
      <c r="DS134" s="450">
        <f t="shared" ref="DS134:DS165" si="1216">AJ134*BV134*$W134</f>
        <v>76.785714285714278</v>
      </c>
      <c r="DT134" s="724">
        <f t="shared" ref="DT134:DT165" si="1217">BW134*AD134*$W134</f>
        <v>0</v>
      </c>
      <c r="DU134" s="508">
        <f t="shared" ref="DU134:DU165" si="1218">BX134*AE134*$W134</f>
        <v>0</v>
      </c>
      <c r="DV134" s="508">
        <f t="shared" ref="DV134:DV165" si="1219">BY134*AF134*$W134</f>
        <v>0</v>
      </c>
      <c r="DW134" s="508">
        <f t="shared" ref="DW134:DW165" si="1220">BZ134*AG134*$W134</f>
        <v>0</v>
      </c>
      <c r="DX134" s="508">
        <f t="shared" ref="DX134:DX165" si="1221">CA134*AH134*$W134</f>
        <v>0</v>
      </c>
      <c r="DY134" s="508">
        <f t="shared" ref="DY134:DY165" si="1222">CB134*AI134*$W134</f>
        <v>0</v>
      </c>
      <c r="DZ134" s="726">
        <f t="shared" ref="DZ134:DZ165" si="1223">CC134*AJ134*$W134</f>
        <v>0</v>
      </c>
      <c r="EA134" s="722">
        <f t="shared" ref="EA134:EA165" si="1224">AD134*CD134*$W134</f>
        <v>2585.4709821428569</v>
      </c>
      <c r="EB134" s="511">
        <f t="shared" ref="EB134:EB165" si="1225">AE134*CE134*$W134</f>
        <v>2585.4709821428569</v>
      </c>
      <c r="EC134" s="511">
        <f t="shared" ref="EC134:EC165" si="1226">AF134*CF134*$W134</f>
        <v>2585.4709821428569</v>
      </c>
      <c r="ED134" s="511">
        <f t="shared" ref="ED134:ED165" si="1227">AG134*CG134*$W134</f>
        <v>2585.4709821428569</v>
      </c>
      <c r="EE134" s="511">
        <f t="shared" ref="EE134:EE165" si="1228">AH134*CH134*$W134</f>
        <v>2585.4709821428569</v>
      </c>
      <c r="EF134" s="511">
        <f t="shared" ref="EF134:EF165" si="1229">AI134*CI134*$W134</f>
        <v>2585.4709821428569</v>
      </c>
      <c r="EG134" s="723">
        <f t="shared" ref="EG134:EG165" si="1230">AJ134*CJ134*$W134</f>
        <v>2585.4709821428569</v>
      </c>
      <c r="EH134" s="397">
        <f t="shared" ref="EH134:EH165" si="1231">AD134*CK134*$W134</f>
        <v>0.86671874999999987</v>
      </c>
      <c r="EI134" s="397">
        <f t="shared" ref="EI134:EI165" si="1232">AE134*CL134*$W134</f>
        <v>0.86671874999999987</v>
      </c>
      <c r="EJ134" s="397">
        <f t="shared" ref="EJ134:EJ165" si="1233">AF134*CM134*$W134</f>
        <v>0.86671874999999987</v>
      </c>
      <c r="EK134" s="397">
        <f t="shared" ref="EK134:EK165" si="1234">AG134*CN134*$W134</f>
        <v>0.86671874999999987</v>
      </c>
      <c r="EL134" s="397">
        <f t="shared" ref="EL134:EL165" si="1235">AH134*CO134*$W134</f>
        <v>0.86671874999999987</v>
      </c>
      <c r="EM134" s="397">
        <f t="shared" ref="EM134:EM165" si="1236">AI134*CP134*$W134</f>
        <v>0.86671874999999987</v>
      </c>
      <c r="EN134" s="398">
        <f t="shared" ref="EN134:EN165" si="1237">AJ134*CQ134*$W134</f>
        <v>0.86671874999999987</v>
      </c>
      <c r="EO134" s="722">
        <f t="shared" ref="EO134:EO165" si="1238">AD134*CR134*$W134</f>
        <v>0</v>
      </c>
      <c r="EP134" s="511">
        <f t="shared" ref="EP134:EP165" si="1239">AE134*CS134*$W134</f>
        <v>0</v>
      </c>
      <c r="EQ134" s="511">
        <f t="shared" ref="EQ134:EQ165" si="1240">AF134*CT134*$W134</f>
        <v>0</v>
      </c>
      <c r="ER134" s="511">
        <f t="shared" ref="ER134:ER165" si="1241">AG134*CU134*$W134</f>
        <v>0</v>
      </c>
      <c r="ES134" s="511">
        <f t="shared" ref="ES134:ES165" si="1242">AH134*CV134*$W134</f>
        <v>0</v>
      </c>
      <c r="ET134" s="511">
        <f t="shared" ref="ET134:ET165" si="1243">AI134*CW134*$W134</f>
        <v>0</v>
      </c>
      <c r="EU134" s="723">
        <f t="shared" ref="EU134:EU165" si="1244">AJ134*CX134*$W134</f>
        <v>0</v>
      </c>
      <c r="EV134" s="727">
        <f t="shared" ref="EV134:EV165" si="1245">SUM(AD134:AF134)</f>
        <v>4.6071428571428568</v>
      </c>
      <c r="EW134" s="728">
        <f t="shared" ref="EW134:EW165" si="1246">SUM(CY134:DE134)</f>
        <v>9414.3948922491873</v>
      </c>
      <c r="EX134" s="728">
        <f t="shared" ref="EX134:EX165" si="1247">SUM(DF134:DL134)</f>
        <v>0</v>
      </c>
      <c r="EY134" s="728">
        <f t="shared" ref="EY134:EY165" si="1248">SUM(DM134:DS134)</f>
        <v>537.5</v>
      </c>
      <c r="EZ134" s="728">
        <f t="shared" ref="EZ134:EZ165" si="1249">SUM(DT134:DZ134)</f>
        <v>0</v>
      </c>
      <c r="FA134" s="777">
        <f t="shared" ref="FA134:FA165" si="1250">SUM(EA134:EG134)</f>
        <v>18098.296875</v>
      </c>
      <c r="FB134" s="777">
        <f t="shared" ref="FB134:FB165" si="1251">SUM(EH134:EN134)</f>
        <v>6.0670312499999985</v>
      </c>
      <c r="FC134" s="778">
        <f t="shared" ref="FC134:FC165" si="1252">SUM(EO134:EU134)</f>
        <v>0</v>
      </c>
      <c r="FE134" s="10"/>
      <c r="FF134" s="10"/>
    </row>
    <row r="135" spans="1:162">
      <c r="A135" s="662" t="s">
        <v>242</v>
      </c>
      <c r="B135" s="789" t="s">
        <v>1426</v>
      </c>
      <c r="C135" s="789" t="str">
        <f t="shared" ref="C135:O135" si="1253">C21</f>
        <v xml:space="preserve">Efficiency of 75% or more for system </v>
      </c>
      <c r="D135" s="789" t="str">
        <f t="shared" si="1253"/>
        <v>Standard Pump Efficiency</v>
      </c>
      <c r="E135" s="789" t="str">
        <f t="shared" si="1253"/>
        <v>Per Pump</v>
      </c>
      <c r="F135" s="789" t="str">
        <f t="shared" si="1253"/>
        <v>Per Pump</v>
      </c>
      <c r="G135" s="704" t="str">
        <f t="shared" si="1253"/>
        <v>Incremental Cost</v>
      </c>
      <c r="H135" s="704">
        <f t="shared" si="1253"/>
        <v>946.13908893278608</v>
      </c>
      <c r="I135" s="704">
        <f t="shared" si="1253"/>
        <v>0</v>
      </c>
      <c r="J135" s="704">
        <f t="shared" si="1253"/>
        <v>946.13908893278608</v>
      </c>
      <c r="K135" s="704">
        <f t="shared" si="1253"/>
        <v>0</v>
      </c>
      <c r="L135" s="704">
        <f t="shared" si="1253"/>
        <v>473.06954446639304</v>
      </c>
      <c r="M135" s="707" t="str">
        <f t="shared" si="1253"/>
        <v>Adapted from data in https://nwcouncil.app.box.com/v/ComAgIndPumpsv2-2</v>
      </c>
      <c r="N135" s="704">
        <f t="shared" si="1253"/>
        <v>60</v>
      </c>
      <c r="O135" s="704">
        <f t="shared" si="1253"/>
        <v>60</v>
      </c>
      <c r="P135" s="704">
        <f t="shared" si="1051"/>
        <v>0</v>
      </c>
      <c r="Q135" s="704">
        <f t="shared" si="1051"/>
        <v>0</v>
      </c>
      <c r="R135" s="1021">
        <f t="shared" si="1161"/>
        <v>2244.75</v>
      </c>
      <c r="S135" s="872">
        <f t="shared" si="1161"/>
        <v>0.75249999999999995</v>
      </c>
      <c r="T135" s="1022">
        <f t="shared" si="1161"/>
        <v>0</v>
      </c>
      <c r="U135" s="711" t="str">
        <f t="shared" si="1161"/>
        <v>Based on savings from LG&amp;E/KU Commercial Rebates report for 20 HP pump - assumes savings increase linearly per HP increases</v>
      </c>
      <c r="V135" s="716">
        <f t="shared" si="1161"/>
        <v>0</v>
      </c>
      <c r="W135" s="711">
        <f t="shared" si="1161"/>
        <v>1</v>
      </c>
      <c r="X135" s="781">
        <f t="shared" ref="X135:AJ135" si="1254">X21/2</f>
        <v>1</v>
      </c>
      <c r="Y135" s="781">
        <f t="shared" si="1254"/>
        <v>0</v>
      </c>
      <c r="Z135" s="781">
        <f t="shared" si="1254"/>
        <v>0</v>
      </c>
      <c r="AA135" s="781">
        <f t="shared" si="1254"/>
        <v>5.1428571428571423</v>
      </c>
      <c r="AB135" s="781">
        <f t="shared" si="1254"/>
        <v>2.5714285714285712</v>
      </c>
      <c r="AC135" s="781">
        <f t="shared" si="1254"/>
        <v>2.5714285714285712</v>
      </c>
      <c r="AD135" s="781">
        <f t="shared" si="1254"/>
        <v>2.5714285714285712</v>
      </c>
      <c r="AE135" s="781">
        <f t="shared" si="1254"/>
        <v>2.5714285714285712</v>
      </c>
      <c r="AF135" s="781">
        <f t="shared" si="1254"/>
        <v>2.5714285714285712</v>
      </c>
      <c r="AG135" s="781">
        <f t="shared" si="1254"/>
        <v>2.5714285714285712</v>
      </c>
      <c r="AH135" s="781">
        <f t="shared" si="1254"/>
        <v>2.5714285714285712</v>
      </c>
      <c r="AI135" s="781">
        <f t="shared" si="1254"/>
        <v>2.5714285714285712</v>
      </c>
      <c r="AJ135" s="781">
        <f t="shared" si="1254"/>
        <v>2.5714285714285712</v>
      </c>
      <c r="AK135" s="711" t="str">
        <f t="shared" ref="AK135:BA135" si="1255">AK21</f>
        <v>Electric</v>
      </c>
      <c r="AL135" s="711" t="str">
        <f t="shared" si="1255"/>
        <v>Commercial</v>
      </c>
      <c r="AM135" s="711" t="str">
        <f t="shared" si="1255"/>
        <v>Large Office</v>
      </c>
      <c r="AN135" s="711" t="str">
        <f t="shared" si="1255"/>
        <v>Ventilation And Circulation</v>
      </c>
      <c r="AO135" s="711" t="str">
        <f t="shared" si="1255"/>
        <v>Existing</v>
      </c>
      <c r="AP135" s="711">
        <f t="shared" si="1255"/>
        <v>0</v>
      </c>
      <c r="AQ135" s="711">
        <f t="shared" si="1255"/>
        <v>0</v>
      </c>
      <c r="AR135" s="711">
        <f t="shared" si="1255"/>
        <v>0</v>
      </c>
      <c r="AS135" s="711" t="str">
        <f t="shared" si="1255"/>
        <v>OFFLGCool</v>
      </c>
      <c r="AT135" s="715" t="s">
        <v>745</v>
      </c>
      <c r="AU135" s="711" t="str">
        <f t="shared" si="1255"/>
        <v>LGE NonRes</v>
      </c>
      <c r="AV135" s="711">
        <f t="shared" si="1255"/>
        <v>20</v>
      </c>
      <c r="AW135" s="711">
        <f t="shared" si="1255"/>
        <v>20</v>
      </c>
      <c r="AX135" s="711" t="str">
        <f t="shared" si="1255"/>
        <v>Based on the Xcel 2015/2016 DSM plan for the product "Motor Efficiency". Pg 440</v>
      </c>
      <c r="AY135" s="711">
        <f t="shared" si="1255"/>
        <v>1</v>
      </c>
      <c r="AZ135" s="711">
        <f t="shared" si="1255"/>
        <v>1</v>
      </c>
      <c r="BA135" s="1066">
        <f t="shared" si="1255"/>
        <v>0</v>
      </c>
      <c r="BB135" s="721">
        <f t="shared" si="1079"/>
        <v>946.13908893278608</v>
      </c>
      <c r="BC135" s="499">
        <f t="shared" si="1080"/>
        <v>946.13908893278608</v>
      </c>
      <c r="BD135" s="499">
        <f t="shared" si="1081"/>
        <v>946.13908893278608</v>
      </c>
      <c r="BE135" s="499">
        <f t="shared" si="1082"/>
        <v>946.13908893278608</v>
      </c>
      <c r="BF135" s="499">
        <f t="shared" si="1083"/>
        <v>946.13908893278608</v>
      </c>
      <c r="BG135" s="499">
        <f t="shared" si="1084"/>
        <v>946.13908893278608</v>
      </c>
      <c r="BH135" s="499">
        <f t="shared" si="1085"/>
        <v>946.13908893278608</v>
      </c>
      <c r="BI135" s="721">
        <f t="shared" si="1060"/>
        <v>0</v>
      </c>
      <c r="BJ135" s="499">
        <f t="shared" ref="BJ135:BM135" si="1256">BI135</f>
        <v>0</v>
      </c>
      <c r="BK135" s="499">
        <f t="shared" si="1256"/>
        <v>0</v>
      </c>
      <c r="BL135" s="499">
        <f t="shared" si="1256"/>
        <v>0</v>
      </c>
      <c r="BM135" s="499">
        <f t="shared" si="1256"/>
        <v>0</v>
      </c>
      <c r="BN135" s="499">
        <f t="shared" si="1087"/>
        <v>0</v>
      </c>
      <c r="BO135" s="499">
        <f t="shared" si="1088"/>
        <v>0</v>
      </c>
      <c r="BP135" s="721">
        <f t="shared" si="1062"/>
        <v>60</v>
      </c>
      <c r="BQ135" s="499">
        <f t="shared" si="1063"/>
        <v>60</v>
      </c>
      <c r="BR135" s="499">
        <f t="shared" si="1089"/>
        <v>60</v>
      </c>
      <c r="BS135" s="499">
        <f t="shared" si="1090"/>
        <v>60</v>
      </c>
      <c r="BT135" s="499">
        <f t="shared" si="1091"/>
        <v>60</v>
      </c>
      <c r="BU135" s="499">
        <f t="shared" si="1092"/>
        <v>60</v>
      </c>
      <c r="BV135" s="499">
        <f t="shared" si="1093"/>
        <v>60</v>
      </c>
      <c r="BW135" s="774">
        <f t="shared" si="1094"/>
        <v>0</v>
      </c>
      <c r="BX135" s="503">
        <f t="shared" si="1069"/>
        <v>0</v>
      </c>
      <c r="BY135" s="503">
        <f t="shared" si="1069"/>
        <v>0</v>
      </c>
      <c r="BZ135" s="503">
        <f t="shared" si="1069"/>
        <v>0</v>
      </c>
      <c r="CA135" s="503">
        <f t="shared" si="1069"/>
        <v>0</v>
      </c>
      <c r="CB135" s="503">
        <f t="shared" si="1069"/>
        <v>0</v>
      </c>
      <c r="CC135" s="503">
        <f t="shared" si="1069"/>
        <v>0</v>
      </c>
      <c r="CD135" s="722">
        <f t="shared" si="1070"/>
        <v>2244.75</v>
      </c>
      <c r="CE135" s="511">
        <f t="shared" ref="CE135:CH135" si="1257">CD135</f>
        <v>2244.75</v>
      </c>
      <c r="CF135" s="511">
        <f t="shared" si="1257"/>
        <v>2244.75</v>
      </c>
      <c r="CG135" s="511">
        <f t="shared" si="1257"/>
        <v>2244.75</v>
      </c>
      <c r="CH135" s="511">
        <f t="shared" si="1257"/>
        <v>2244.75</v>
      </c>
      <c r="CI135" s="511">
        <f t="shared" si="1096"/>
        <v>2244.75</v>
      </c>
      <c r="CJ135" s="511">
        <f t="shared" si="1097"/>
        <v>2244.75</v>
      </c>
      <c r="CK135" s="722">
        <f t="shared" si="1072"/>
        <v>0.75249999999999995</v>
      </c>
      <c r="CL135" s="511">
        <f t="shared" ref="CL135:CO135" si="1258">CK135</f>
        <v>0.75249999999999995</v>
      </c>
      <c r="CM135" s="511">
        <f t="shared" si="1258"/>
        <v>0.75249999999999995</v>
      </c>
      <c r="CN135" s="511">
        <f t="shared" si="1258"/>
        <v>0.75249999999999995</v>
      </c>
      <c r="CO135" s="511">
        <f t="shared" si="1258"/>
        <v>0.75249999999999995</v>
      </c>
      <c r="CP135" s="511">
        <f t="shared" si="1099"/>
        <v>0.75249999999999995</v>
      </c>
      <c r="CQ135" s="511">
        <f t="shared" si="1100"/>
        <v>0.75249999999999995</v>
      </c>
      <c r="CR135" s="722">
        <f t="shared" si="1074"/>
        <v>0</v>
      </c>
      <c r="CS135" s="511">
        <f t="shared" ref="CS135:CV135" si="1259">CR135</f>
        <v>0</v>
      </c>
      <c r="CT135" s="511">
        <f t="shared" si="1259"/>
        <v>0</v>
      </c>
      <c r="CU135" s="511">
        <f t="shared" si="1259"/>
        <v>0</v>
      </c>
      <c r="CV135" s="511">
        <f t="shared" si="1259"/>
        <v>0</v>
      </c>
      <c r="CW135" s="511">
        <f t="shared" si="1102"/>
        <v>0</v>
      </c>
      <c r="CX135" s="539">
        <f t="shared" si="1103"/>
        <v>0</v>
      </c>
      <c r="CY135" s="724">
        <f t="shared" si="1196"/>
        <v>2432.9290858271638</v>
      </c>
      <c r="CZ135" s="508">
        <f t="shared" si="1197"/>
        <v>2432.9290858271638</v>
      </c>
      <c r="DA135" s="508">
        <f t="shared" si="1198"/>
        <v>2432.9290858271638</v>
      </c>
      <c r="DB135" s="508">
        <f t="shared" si="1199"/>
        <v>2432.9290858271638</v>
      </c>
      <c r="DC135" s="508">
        <f t="shared" si="1200"/>
        <v>2432.9290858271638</v>
      </c>
      <c r="DD135" s="508">
        <f t="shared" si="1201"/>
        <v>2432.9290858271638</v>
      </c>
      <c r="DE135" s="726">
        <f t="shared" si="1202"/>
        <v>2432.9290858271638</v>
      </c>
      <c r="DF135" s="724">
        <f t="shared" si="1203"/>
        <v>0</v>
      </c>
      <c r="DG135" s="509">
        <f t="shared" si="1204"/>
        <v>0</v>
      </c>
      <c r="DH135" s="509">
        <f t="shared" si="1205"/>
        <v>0</v>
      </c>
      <c r="DI135" s="509">
        <f t="shared" si="1206"/>
        <v>0</v>
      </c>
      <c r="DJ135" s="509">
        <f t="shared" si="1207"/>
        <v>0</v>
      </c>
      <c r="DK135" s="509">
        <f t="shared" si="1208"/>
        <v>0</v>
      </c>
      <c r="DL135" s="451">
        <f t="shared" si="1209"/>
        <v>0</v>
      </c>
      <c r="DM135" s="509">
        <f t="shared" si="1210"/>
        <v>154.28571428571428</v>
      </c>
      <c r="DN135" s="509">
        <f t="shared" si="1211"/>
        <v>154.28571428571428</v>
      </c>
      <c r="DO135" s="509">
        <f t="shared" si="1212"/>
        <v>154.28571428571428</v>
      </c>
      <c r="DP135" s="509">
        <f t="shared" si="1213"/>
        <v>154.28571428571428</v>
      </c>
      <c r="DQ135" s="509">
        <f t="shared" si="1214"/>
        <v>154.28571428571428</v>
      </c>
      <c r="DR135" s="509">
        <f t="shared" si="1215"/>
        <v>154.28571428571428</v>
      </c>
      <c r="DS135" s="450">
        <f t="shared" si="1216"/>
        <v>154.28571428571428</v>
      </c>
      <c r="DT135" s="724">
        <f t="shared" si="1217"/>
        <v>0</v>
      </c>
      <c r="DU135" s="508">
        <f t="shared" si="1218"/>
        <v>0</v>
      </c>
      <c r="DV135" s="508">
        <f t="shared" si="1219"/>
        <v>0</v>
      </c>
      <c r="DW135" s="508">
        <f t="shared" si="1220"/>
        <v>0</v>
      </c>
      <c r="DX135" s="508">
        <f t="shared" si="1221"/>
        <v>0</v>
      </c>
      <c r="DY135" s="508">
        <f t="shared" si="1222"/>
        <v>0</v>
      </c>
      <c r="DZ135" s="726">
        <f t="shared" si="1223"/>
        <v>0</v>
      </c>
      <c r="EA135" s="722">
        <f t="shared" si="1224"/>
        <v>5772.2142857142853</v>
      </c>
      <c r="EB135" s="511">
        <f t="shared" si="1225"/>
        <v>5772.2142857142853</v>
      </c>
      <c r="EC135" s="511">
        <f t="shared" si="1226"/>
        <v>5772.2142857142853</v>
      </c>
      <c r="ED135" s="511">
        <f t="shared" si="1227"/>
        <v>5772.2142857142853</v>
      </c>
      <c r="EE135" s="511">
        <f t="shared" si="1228"/>
        <v>5772.2142857142853</v>
      </c>
      <c r="EF135" s="511">
        <f t="shared" si="1229"/>
        <v>5772.2142857142853</v>
      </c>
      <c r="EG135" s="723">
        <f t="shared" si="1230"/>
        <v>5772.2142857142853</v>
      </c>
      <c r="EH135" s="397">
        <f t="shared" si="1231"/>
        <v>1.9349999999999996</v>
      </c>
      <c r="EI135" s="397">
        <f t="shared" si="1232"/>
        <v>1.9349999999999996</v>
      </c>
      <c r="EJ135" s="397">
        <f t="shared" si="1233"/>
        <v>1.9349999999999996</v>
      </c>
      <c r="EK135" s="397">
        <f t="shared" si="1234"/>
        <v>1.9349999999999996</v>
      </c>
      <c r="EL135" s="397">
        <f t="shared" si="1235"/>
        <v>1.9349999999999996</v>
      </c>
      <c r="EM135" s="397">
        <f t="shared" si="1236"/>
        <v>1.9349999999999996</v>
      </c>
      <c r="EN135" s="398">
        <f t="shared" si="1237"/>
        <v>1.9349999999999996</v>
      </c>
      <c r="EO135" s="722">
        <f t="shared" si="1238"/>
        <v>0</v>
      </c>
      <c r="EP135" s="511">
        <f t="shared" si="1239"/>
        <v>0</v>
      </c>
      <c r="EQ135" s="511">
        <f t="shared" si="1240"/>
        <v>0</v>
      </c>
      <c r="ER135" s="511">
        <f t="shared" si="1241"/>
        <v>0</v>
      </c>
      <c r="ES135" s="511">
        <f t="shared" si="1242"/>
        <v>0</v>
      </c>
      <c r="ET135" s="511">
        <f t="shared" si="1243"/>
        <v>0</v>
      </c>
      <c r="EU135" s="723">
        <f t="shared" si="1244"/>
        <v>0</v>
      </c>
      <c r="EV135" s="727">
        <f t="shared" si="1245"/>
        <v>7.7142857142857135</v>
      </c>
      <c r="EW135" s="728">
        <f t="shared" si="1246"/>
        <v>17030.503600790147</v>
      </c>
      <c r="EX135" s="728">
        <f t="shared" si="1247"/>
        <v>0</v>
      </c>
      <c r="EY135" s="728">
        <f t="shared" si="1248"/>
        <v>1079.9999999999998</v>
      </c>
      <c r="EZ135" s="728">
        <f t="shared" si="1249"/>
        <v>0</v>
      </c>
      <c r="FA135" s="777">
        <f t="shared" si="1250"/>
        <v>40405.499999999993</v>
      </c>
      <c r="FB135" s="777">
        <f t="shared" si="1251"/>
        <v>13.544999999999995</v>
      </c>
      <c r="FC135" s="778">
        <f t="shared" si="1252"/>
        <v>0</v>
      </c>
      <c r="FE135" s="10"/>
      <c r="FF135" s="10"/>
    </row>
    <row r="136" spans="1:162">
      <c r="A136" s="662" t="s">
        <v>243</v>
      </c>
      <c r="B136" s="789" t="s">
        <v>1427</v>
      </c>
      <c r="C136" s="789" t="str">
        <f t="shared" ref="C136:O136" si="1260">C22</f>
        <v xml:space="preserve">Efficiency of 77% or more for system </v>
      </c>
      <c r="D136" s="789" t="str">
        <f t="shared" si="1260"/>
        <v>Standard Pump Efficiency</v>
      </c>
      <c r="E136" s="789" t="str">
        <f t="shared" si="1260"/>
        <v>Per Pump</v>
      </c>
      <c r="F136" s="789" t="str">
        <f t="shared" si="1260"/>
        <v>Per Pump</v>
      </c>
      <c r="G136" s="704" t="str">
        <f t="shared" si="1260"/>
        <v>Incremental Cost</v>
      </c>
      <c r="H136" s="704">
        <f t="shared" si="1260"/>
        <v>1055.044327128539</v>
      </c>
      <c r="I136" s="704">
        <f t="shared" si="1260"/>
        <v>0</v>
      </c>
      <c r="J136" s="704">
        <f t="shared" si="1260"/>
        <v>1055.044327128539</v>
      </c>
      <c r="K136" s="704">
        <f t="shared" si="1260"/>
        <v>0</v>
      </c>
      <c r="L136" s="704">
        <f t="shared" si="1260"/>
        <v>527.52216356426948</v>
      </c>
      <c r="M136" s="707" t="str">
        <f t="shared" si="1260"/>
        <v>Adapted from data in https://nwcouncil.app.box.com/v/ComAgIndPumpsv2-2</v>
      </c>
      <c r="N136" s="704">
        <f t="shared" si="1260"/>
        <v>100</v>
      </c>
      <c r="O136" s="704">
        <f t="shared" si="1260"/>
        <v>100</v>
      </c>
      <c r="P136" s="704">
        <f t="shared" si="1051"/>
        <v>0</v>
      </c>
      <c r="Q136" s="704">
        <f t="shared" si="1051"/>
        <v>0</v>
      </c>
      <c r="R136" s="1021">
        <f t="shared" si="1161"/>
        <v>3367.125</v>
      </c>
      <c r="S136" s="872">
        <f t="shared" si="1161"/>
        <v>1.1287499999999999</v>
      </c>
      <c r="T136" s="1022">
        <f t="shared" si="1161"/>
        <v>0</v>
      </c>
      <c r="U136" s="711" t="str">
        <f t="shared" si="1161"/>
        <v>Based on savings from LG&amp;E/KU Commercial Rebates report for 20 HP pump - assumes savings increase linearly per HP increases</v>
      </c>
      <c r="V136" s="716">
        <f t="shared" si="1161"/>
        <v>0</v>
      </c>
      <c r="W136" s="711">
        <f t="shared" si="1161"/>
        <v>1</v>
      </c>
      <c r="X136" s="781">
        <f t="shared" ref="X136:AJ136" si="1261">X22/2</f>
        <v>1</v>
      </c>
      <c r="Y136" s="781">
        <f t="shared" si="1261"/>
        <v>0</v>
      </c>
      <c r="Z136" s="781">
        <f t="shared" si="1261"/>
        <v>0.5</v>
      </c>
      <c r="AA136" s="781">
        <f t="shared" si="1261"/>
        <v>0</v>
      </c>
      <c r="AB136" s="781">
        <f t="shared" si="1261"/>
        <v>0.25</v>
      </c>
      <c r="AC136" s="781">
        <f t="shared" si="1261"/>
        <v>0.25</v>
      </c>
      <c r="AD136" s="781">
        <f t="shared" si="1261"/>
        <v>0.25</v>
      </c>
      <c r="AE136" s="781">
        <f t="shared" si="1261"/>
        <v>0.25</v>
      </c>
      <c r="AF136" s="781">
        <f t="shared" si="1261"/>
        <v>0.25</v>
      </c>
      <c r="AG136" s="781">
        <f t="shared" si="1261"/>
        <v>0.25</v>
      </c>
      <c r="AH136" s="781">
        <f t="shared" si="1261"/>
        <v>0.25</v>
      </c>
      <c r="AI136" s="781">
        <f t="shared" si="1261"/>
        <v>0.25</v>
      </c>
      <c r="AJ136" s="781">
        <f t="shared" si="1261"/>
        <v>0.25</v>
      </c>
      <c r="AK136" s="711" t="str">
        <f t="shared" ref="AK136:BA136" si="1262">AK22</f>
        <v>Electric</v>
      </c>
      <c r="AL136" s="711" t="str">
        <f t="shared" si="1262"/>
        <v>Commercial</v>
      </c>
      <c r="AM136" s="711" t="str">
        <f t="shared" si="1262"/>
        <v>Large Office</v>
      </c>
      <c r="AN136" s="711" t="str">
        <f t="shared" si="1262"/>
        <v>Ventilation And Circulation</v>
      </c>
      <c r="AO136" s="711" t="str">
        <f t="shared" si="1262"/>
        <v>Existing</v>
      </c>
      <c r="AP136" s="711">
        <f t="shared" si="1262"/>
        <v>0</v>
      </c>
      <c r="AQ136" s="711">
        <f t="shared" si="1262"/>
        <v>0</v>
      </c>
      <c r="AR136" s="711">
        <f t="shared" si="1262"/>
        <v>0</v>
      </c>
      <c r="AS136" s="711" t="str">
        <f t="shared" si="1262"/>
        <v>OFFLGCool</v>
      </c>
      <c r="AT136" s="715" t="s">
        <v>745</v>
      </c>
      <c r="AU136" s="711" t="str">
        <f t="shared" si="1262"/>
        <v>LGE NonRes</v>
      </c>
      <c r="AV136" s="711">
        <f t="shared" si="1262"/>
        <v>20</v>
      </c>
      <c r="AW136" s="711">
        <f t="shared" si="1262"/>
        <v>20</v>
      </c>
      <c r="AX136" s="711" t="str">
        <f t="shared" si="1262"/>
        <v>Based on the Xcel 2015/2016 DSM plan for the product "Motor Efficiency". Pg 440</v>
      </c>
      <c r="AY136" s="711">
        <f t="shared" si="1262"/>
        <v>1</v>
      </c>
      <c r="AZ136" s="711">
        <f t="shared" si="1262"/>
        <v>1</v>
      </c>
      <c r="BA136" s="1066">
        <f t="shared" si="1262"/>
        <v>0</v>
      </c>
      <c r="BB136" s="721">
        <f t="shared" si="1079"/>
        <v>1055.044327128539</v>
      </c>
      <c r="BC136" s="499">
        <f t="shared" si="1080"/>
        <v>1055.044327128539</v>
      </c>
      <c r="BD136" s="499">
        <f t="shared" si="1081"/>
        <v>1055.044327128539</v>
      </c>
      <c r="BE136" s="499">
        <f t="shared" si="1082"/>
        <v>1055.044327128539</v>
      </c>
      <c r="BF136" s="499">
        <f t="shared" si="1083"/>
        <v>1055.044327128539</v>
      </c>
      <c r="BG136" s="499">
        <f t="shared" si="1084"/>
        <v>1055.044327128539</v>
      </c>
      <c r="BH136" s="499">
        <f t="shared" si="1085"/>
        <v>1055.044327128539</v>
      </c>
      <c r="BI136" s="721">
        <f t="shared" si="1060"/>
        <v>0</v>
      </c>
      <c r="BJ136" s="499">
        <f t="shared" ref="BJ136:BM136" si="1263">BI136</f>
        <v>0</v>
      </c>
      <c r="BK136" s="499">
        <f t="shared" si="1263"/>
        <v>0</v>
      </c>
      <c r="BL136" s="499">
        <f t="shared" si="1263"/>
        <v>0</v>
      </c>
      <c r="BM136" s="499">
        <f t="shared" si="1263"/>
        <v>0</v>
      </c>
      <c r="BN136" s="499">
        <f t="shared" si="1087"/>
        <v>0</v>
      </c>
      <c r="BO136" s="499">
        <f t="shared" si="1088"/>
        <v>0</v>
      </c>
      <c r="BP136" s="721">
        <f t="shared" si="1062"/>
        <v>100</v>
      </c>
      <c r="BQ136" s="499">
        <f t="shared" si="1063"/>
        <v>100</v>
      </c>
      <c r="BR136" s="499">
        <f t="shared" si="1089"/>
        <v>100</v>
      </c>
      <c r="BS136" s="499">
        <f t="shared" si="1090"/>
        <v>100</v>
      </c>
      <c r="BT136" s="499">
        <f t="shared" si="1091"/>
        <v>100</v>
      </c>
      <c r="BU136" s="499">
        <f t="shared" si="1092"/>
        <v>100</v>
      </c>
      <c r="BV136" s="499">
        <f t="shared" si="1093"/>
        <v>100</v>
      </c>
      <c r="BW136" s="774">
        <f t="shared" si="1094"/>
        <v>0</v>
      </c>
      <c r="BX136" s="503">
        <f t="shared" si="1094"/>
        <v>0</v>
      </c>
      <c r="BY136" s="503">
        <f t="shared" si="1094"/>
        <v>0</v>
      </c>
      <c r="BZ136" s="503">
        <f t="shared" si="1094"/>
        <v>0</v>
      </c>
      <c r="CA136" s="503">
        <f t="shared" si="1094"/>
        <v>0</v>
      </c>
      <c r="CB136" s="503">
        <f t="shared" si="1094"/>
        <v>0</v>
      </c>
      <c r="CC136" s="503">
        <f t="shared" si="1094"/>
        <v>0</v>
      </c>
      <c r="CD136" s="722">
        <f t="shared" si="1070"/>
        <v>3367.125</v>
      </c>
      <c r="CE136" s="511">
        <f t="shared" ref="CE136:CH136" si="1264">CD136</f>
        <v>3367.125</v>
      </c>
      <c r="CF136" s="511">
        <f t="shared" si="1264"/>
        <v>3367.125</v>
      </c>
      <c r="CG136" s="511">
        <f t="shared" si="1264"/>
        <v>3367.125</v>
      </c>
      <c r="CH136" s="511">
        <f t="shared" si="1264"/>
        <v>3367.125</v>
      </c>
      <c r="CI136" s="511">
        <f t="shared" si="1096"/>
        <v>3367.125</v>
      </c>
      <c r="CJ136" s="511">
        <f t="shared" si="1097"/>
        <v>3367.125</v>
      </c>
      <c r="CK136" s="722">
        <f t="shared" si="1072"/>
        <v>1.1287499999999999</v>
      </c>
      <c r="CL136" s="511">
        <f t="shared" ref="CL136:CO136" si="1265">CK136</f>
        <v>1.1287499999999999</v>
      </c>
      <c r="CM136" s="511">
        <f t="shared" si="1265"/>
        <v>1.1287499999999999</v>
      </c>
      <c r="CN136" s="511">
        <f t="shared" si="1265"/>
        <v>1.1287499999999999</v>
      </c>
      <c r="CO136" s="511">
        <f t="shared" si="1265"/>
        <v>1.1287499999999999</v>
      </c>
      <c r="CP136" s="511">
        <f t="shared" si="1099"/>
        <v>1.1287499999999999</v>
      </c>
      <c r="CQ136" s="511">
        <f t="shared" si="1100"/>
        <v>1.1287499999999999</v>
      </c>
      <c r="CR136" s="722">
        <f t="shared" si="1074"/>
        <v>0</v>
      </c>
      <c r="CS136" s="511">
        <f t="shared" ref="CS136:CV136" si="1266">CR136</f>
        <v>0</v>
      </c>
      <c r="CT136" s="511">
        <f t="shared" si="1266"/>
        <v>0</v>
      </c>
      <c r="CU136" s="511">
        <f t="shared" si="1266"/>
        <v>0</v>
      </c>
      <c r="CV136" s="511">
        <f t="shared" si="1266"/>
        <v>0</v>
      </c>
      <c r="CW136" s="511">
        <f t="shared" si="1102"/>
        <v>0</v>
      </c>
      <c r="CX136" s="539">
        <f t="shared" si="1103"/>
        <v>0</v>
      </c>
      <c r="CY136" s="724">
        <f t="shared" si="1196"/>
        <v>263.76108178213474</v>
      </c>
      <c r="CZ136" s="508">
        <f t="shared" si="1197"/>
        <v>263.76108178213474</v>
      </c>
      <c r="DA136" s="508">
        <f t="shared" si="1198"/>
        <v>263.76108178213474</v>
      </c>
      <c r="DB136" s="508">
        <f t="shared" si="1199"/>
        <v>263.76108178213474</v>
      </c>
      <c r="DC136" s="508">
        <f t="shared" si="1200"/>
        <v>263.76108178213474</v>
      </c>
      <c r="DD136" s="508">
        <f t="shared" si="1201"/>
        <v>263.76108178213474</v>
      </c>
      <c r="DE136" s="726">
        <f t="shared" si="1202"/>
        <v>263.76108178213474</v>
      </c>
      <c r="DF136" s="724">
        <f t="shared" si="1203"/>
        <v>0</v>
      </c>
      <c r="DG136" s="509">
        <f t="shared" si="1204"/>
        <v>0</v>
      </c>
      <c r="DH136" s="509">
        <f t="shared" si="1205"/>
        <v>0</v>
      </c>
      <c r="DI136" s="509">
        <f t="shared" si="1206"/>
        <v>0</v>
      </c>
      <c r="DJ136" s="509">
        <f t="shared" si="1207"/>
        <v>0</v>
      </c>
      <c r="DK136" s="509">
        <f t="shared" si="1208"/>
        <v>0</v>
      </c>
      <c r="DL136" s="451">
        <f t="shared" si="1209"/>
        <v>0</v>
      </c>
      <c r="DM136" s="509">
        <f t="shared" si="1210"/>
        <v>25</v>
      </c>
      <c r="DN136" s="509">
        <f t="shared" si="1211"/>
        <v>25</v>
      </c>
      <c r="DO136" s="509">
        <f t="shared" si="1212"/>
        <v>25</v>
      </c>
      <c r="DP136" s="509">
        <f t="shared" si="1213"/>
        <v>25</v>
      </c>
      <c r="DQ136" s="509">
        <f t="shared" si="1214"/>
        <v>25</v>
      </c>
      <c r="DR136" s="509">
        <f t="shared" si="1215"/>
        <v>25</v>
      </c>
      <c r="DS136" s="450">
        <f t="shared" si="1216"/>
        <v>25</v>
      </c>
      <c r="DT136" s="724">
        <f t="shared" si="1217"/>
        <v>0</v>
      </c>
      <c r="DU136" s="508">
        <f t="shared" si="1218"/>
        <v>0</v>
      </c>
      <c r="DV136" s="508">
        <f t="shared" si="1219"/>
        <v>0</v>
      </c>
      <c r="DW136" s="508">
        <f t="shared" si="1220"/>
        <v>0</v>
      </c>
      <c r="DX136" s="508">
        <f t="shared" si="1221"/>
        <v>0</v>
      </c>
      <c r="DY136" s="508">
        <f t="shared" si="1222"/>
        <v>0</v>
      </c>
      <c r="DZ136" s="726">
        <f t="shared" si="1223"/>
        <v>0</v>
      </c>
      <c r="EA136" s="722">
        <f t="shared" si="1224"/>
        <v>841.78125</v>
      </c>
      <c r="EB136" s="511">
        <f t="shared" si="1225"/>
        <v>841.78125</v>
      </c>
      <c r="EC136" s="511">
        <f t="shared" si="1226"/>
        <v>841.78125</v>
      </c>
      <c r="ED136" s="511">
        <f t="shared" si="1227"/>
        <v>841.78125</v>
      </c>
      <c r="EE136" s="511">
        <f t="shared" si="1228"/>
        <v>841.78125</v>
      </c>
      <c r="EF136" s="511">
        <f t="shared" si="1229"/>
        <v>841.78125</v>
      </c>
      <c r="EG136" s="723">
        <f t="shared" si="1230"/>
        <v>841.78125</v>
      </c>
      <c r="EH136" s="397">
        <f t="shared" si="1231"/>
        <v>0.28218749999999998</v>
      </c>
      <c r="EI136" s="397">
        <f t="shared" si="1232"/>
        <v>0.28218749999999998</v>
      </c>
      <c r="EJ136" s="397">
        <f t="shared" si="1233"/>
        <v>0.28218749999999998</v>
      </c>
      <c r="EK136" s="397">
        <f t="shared" si="1234"/>
        <v>0.28218749999999998</v>
      </c>
      <c r="EL136" s="397">
        <f t="shared" si="1235"/>
        <v>0.28218749999999998</v>
      </c>
      <c r="EM136" s="397">
        <f t="shared" si="1236"/>
        <v>0.28218749999999998</v>
      </c>
      <c r="EN136" s="398">
        <f t="shared" si="1237"/>
        <v>0.28218749999999998</v>
      </c>
      <c r="EO136" s="722">
        <f t="shared" si="1238"/>
        <v>0</v>
      </c>
      <c r="EP136" s="511">
        <f t="shared" si="1239"/>
        <v>0</v>
      </c>
      <c r="EQ136" s="511">
        <f t="shared" si="1240"/>
        <v>0</v>
      </c>
      <c r="ER136" s="511">
        <f t="shared" si="1241"/>
        <v>0</v>
      </c>
      <c r="ES136" s="511">
        <f t="shared" si="1242"/>
        <v>0</v>
      </c>
      <c r="ET136" s="511">
        <f t="shared" si="1243"/>
        <v>0</v>
      </c>
      <c r="EU136" s="723">
        <f t="shared" si="1244"/>
        <v>0</v>
      </c>
      <c r="EV136" s="727">
        <f t="shared" si="1245"/>
        <v>0.75</v>
      </c>
      <c r="EW136" s="728">
        <f t="shared" si="1246"/>
        <v>1846.3275724749428</v>
      </c>
      <c r="EX136" s="728">
        <f t="shared" si="1247"/>
        <v>0</v>
      </c>
      <c r="EY136" s="728">
        <f t="shared" si="1248"/>
        <v>175</v>
      </c>
      <c r="EZ136" s="728">
        <f t="shared" si="1249"/>
        <v>0</v>
      </c>
      <c r="FA136" s="777">
        <f t="shared" si="1250"/>
        <v>5892.46875</v>
      </c>
      <c r="FB136" s="777">
        <f t="shared" si="1251"/>
        <v>1.9753125</v>
      </c>
      <c r="FC136" s="778">
        <f t="shared" si="1252"/>
        <v>0</v>
      </c>
      <c r="FE136" s="10"/>
      <c r="FF136" s="10"/>
    </row>
    <row r="137" spans="1:162">
      <c r="A137" s="662" t="s">
        <v>244</v>
      </c>
      <c r="B137" s="789" t="s">
        <v>1428</v>
      </c>
      <c r="C137" s="789" t="str">
        <f t="shared" ref="C137:O137" si="1267">C23</f>
        <v xml:space="preserve">Efficiency of 77% or more for system </v>
      </c>
      <c r="D137" s="789" t="str">
        <f t="shared" si="1267"/>
        <v>Standard Pump Efficiency</v>
      </c>
      <c r="E137" s="789" t="str">
        <f t="shared" si="1267"/>
        <v>Per Pump</v>
      </c>
      <c r="F137" s="789" t="str">
        <f t="shared" si="1267"/>
        <v>Per Pump</v>
      </c>
      <c r="G137" s="704" t="str">
        <f t="shared" si="1267"/>
        <v>Incremental Cost</v>
      </c>
      <c r="H137" s="704">
        <f t="shared" si="1267"/>
        <v>1139.8343617607823</v>
      </c>
      <c r="I137" s="704">
        <f t="shared" si="1267"/>
        <v>0</v>
      </c>
      <c r="J137" s="704">
        <f t="shared" si="1267"/>
        <v>1139.8343617607823</v>
      </c>
      <c r="K137" s="704">
        <f t="shared" si="1267"/>
        <v>0</v>
      </c>
      <c r="L137" s="704">
        <f t="shared" si="1267"/>
        <v>569.91718088039113</v>
      </c>
      <c r="M137" s="707" t="str">
        <f t="shared" si="1267"/>
        <v>Adapted from data in https://nwcouncil.app.box.com/v/ComAgIndPumpsv2-2</v>
      </c>
      <c r="N137" s="704">
        <f t="shared" si="1267"/>
        <v>150</v>
      </c>
      <c r="O137" s="704">
        <f t="shared" si="1267"/>
        <v>150</v>
      </c>
      <c r="P137" s="704">
        <f t="shared" si="1051"/>
        <v>0</v>
      </c>
      <c r="Q137" s="704">
        <f t="shared" si="1051"/>
        <v>0</v>
      </c>
      <c r="R137" s="1021">
        <f t="shared" si="1161"/>
        <v>4489.5</v>
      </c>
      <c r="S137" s="872">
        <f t="shared" si="1161"/>
        <v>1.5049999999999999</v>
      </c>
      <c r="T137" s="1022">
        <f t="shared" si="1161"/>
        <v>0</v>
      </c>
      <c r="U137" s="711" t="str">
        <f t="shared" si="1161"/>
        <v>LG&amp;E/KU Commercial Rebates Report - Appendix A</v>
      </c>
      <c r="V137" s="716">
        <f t="shared" si="1161"/>
        <v>0</v>
      </c>
      <c r="W137" s="711">
        <f t="shared" si="1161"/>
        <v>1</v>
      </c>
      <c r="X137" s="781">
        <f t="shared" ref="X137:AJ137" si="1268">X23/2</f>
        <v>1</v>
      </c>
      <c r="Y137" s="781">
        <f t="shared" si="1268"/>
        <v>1</v>
      </c>
      <c r="Z137" s="781">
        <f t="shared" si="1268"/>
        <v>3.5</v>
      </c>
      <c r="AA137" s="781">
        <f t="shared" si="1268"/>
        <v>2.5714285714285712</v>
      </c>
      <c r="AB137" s="781">
        <f t="shared" si="1268"/>
        <v>3.0357142857142856</v>
      </c>
      <c r="AC137" s="781">
        <f t="shared" si="1268"/>
        <v>3.0357142857142856</v>
      </c>
      <c r="AD137" s="781">
        <f t="shared" si="1268"/>
        <v>3.0357142857142856</v>
      </c>
      <c r="AE137" s="781">
        <f t="shared" si="1268"/>
        <v>3.0357142857142856</v>
      </c>
      <c r="AF137" s="781">
        <f t="shared" si="1268"/>
        <v>3.0357142857142856</v>
      </c>
      <c r="AG137" s="781">
        <f t="shared" si="1268"/>
        <v>3.0357142857142856</v>
      </c>
      <c r="AH137" s="781">
        <f t="shared" si="1268"/>
        <v>3.0357142857142856</v>
      </c>
      <c r="AI137" s="781">
        <f t="shared" si="1268"/>
        <v>3.0357142857142856</v>
      </c>
      <c r="AJ137" s="781">
        <f t="shared" si="1268"/>
        <v>3.0357142857142856</v>
      </c>
      <c r="AK137" s="711" t="str">
        <f t="shared" ref="AK137:BA137" si="1269">AK23</f>
        <v>Electric</v>
      </c>
      <c r="AL137" s="711" t="str">
        <f t="shared" si="1269"/>
        <v>Commercial</v>
      </c>
      <c r="AM137" s="711" t="str">
        <f t="shared" si="1269"/>
        <v>Large Office</v>
      </c>
      <c r="AN137" s="711" t="str">
        <f t="shared" si="1269"/>
        <v>Ventilation And Circulation</v>
      </c>
      <c r="AO137" s="711" t="str">
        <f t="shared" si="1269"/>
        <v>Existing</v>
      </c>
      <c r="AP137" s="711">
        <f t="shared" si="1269"/>
        <v>0</v>
      </c>
      <c r="AQ137" s="711">
        <f t="shared" si="1269"/>
        <v>0</v>
      </c>
      <c r="AR137" s="711">
        <f t="shared" si="1269"/>
        <v>0</v>
      </c>
      <c r="AS137" s="711" t="str">
        <f t="shared" si="1269"/>
        <v>OFFLGCool</v>
      </c>
      <c r="AT137" s="715" t="s">
        <v>745</v>
      </c>
      <c r="AU137" s="711" t="str">
        <f t="shared" si="1269"/>
        <v>LGE NonRes</v>
      </c>
      <c r="AV137" s="711">
        <f t="shared" si="1269"/>
        <v>20</v>
      </c>
      <c r="AW137" s="711">
        <f t="shared" si="1269"/>
        <v>20</v>
      </c>
      <c r="AX137" s="711" t="str">
        <f t="shared" si="1269"/>
        <v>Based on the Xcel 2015/2016 DSM plan for the product "Motor Efficiency". Pg 440</v>
      </c>
      <c r="AY137" s="711">
        <f t="shared" si="1269"/>
        <v>1</v>
      </c>
      <c r="AZ137" s="711">
        <f t="shared" si="1269"/>
        <v>1</v>
      </c>
      <c r="BA137" s="1066">
        <f t="shared" si="1269"/>
        <v>0</v>
      </c>
      <c r="BB137" s="721">
        <f t="shared" si="1079"/>
        <v>1139.8343617607823</v>
      </c>
      <c r="BC137" s="499">
        <f t="shared" si="1080"/>
        <v>1139.8343617607823</v>
      </c>
      <c r="BD137" s="499">
        <f t="shared" si="1081"/>
        <v>1139.8343617607823</v>
      </c>
      <c r="BE137" s="499">
        <f t="shared" si="1082"/>
        <v>1139.8343617607823</v>
      </c>
      <c r="BF137" s="499">
        <f t="shared" si="1083"/>
        <v>1139.8343617607823</v>
      </c>
      <c r="BG137" s="499">
        <f t="shared" si="1084"/>
        <v>1139.8343617607823</v>
      </c>
      <c r="BH137" s="499">
        <f t="shared" si="1085"/>
        <v>1139.8343617607823</v>
      </c>
      <c r="BI137" s="721">
        <f t="shared" si="1060"/>
        <v>0</v>
      </c>
      <c r="BJ137" s="499">
        <f t="shared" ref="BJ137:BM137" si="1270">BI137</f>
        <v>0</v>
      </c>
      <c r="BK137" s="499">
        <f t="shared" si="1270"/>
        <v>0</v>
      </c>
      <c r="BL137" s="499">
        <f t="shared" si="1270"/>
        <v>0</v>
      </c>
      <c r="BM137" s="499">
        <f t="shared" si="1270"/>
        <v>0</v>
      </c>
      <c r="BN137" s="499">
        <f t="shared" si="1087"/>
        <v>0</v>
      </c>
      <c r="BO137" s="499">
        <f t="shared" si="1088"/>
        <v>0</v>
      </c>
      <c r="BP137" s="721">
        <f t="shared" si="1062"/>
        <v>150</v>
      </c>
      <c r="BQ137" s="499">
        <f t="shared" si="1063"/>
        <v>150</v>
      </c>
      <c r="BR137" s="499">
        <f t="shared" si="1089"/>
        <v>150</v>
      </c>
      <c r="BS137" s="499">
        <f t="shared" si="1090"/>
        <v>150</v>
      </c>
      <c r="BT137" s="499">
        <f t="shared" si="1091"/>
        <v>150</v>
      </c>
      <c r="BU137" s="499">
        <f t="shared" si="1092"/>
        <v>150</v>
      </c>
      <c r="BV137" s="499">
        <f t="shared" si="1093"/>
        <v>150</v>
      </c>
      <c r="BW137" s="774">
        <f t="shared" si="1094"/>
        <v>0</v>
      </c>
      <c r="BX137" s="503">
        <f t="shared" si="1094"/>
        <v>0</v>
      </c>
      <c r="BY137" s="503">
        <f t="shared" si="1094"/>
        <v>0</v>
      </c>
      <c r="BZ137" s="503">
        <f t="shared" si="1094"/>
        <v>0</v>
      </c>
      <c r="CA137" s="503">
        <f t="shared" si="1094"/>
        <v>0</v>
      </c>
      <c r="CB137" s="503">
        <f t="shared" si="1094"/>
        <v>0</v>
      </c>
      <c r="CC137" s="503">
        <f t="shared" si="1094"/>
        <v>0</v>
      </c>
      <c r="CD137" s="722">
        <f t="shared" si="1070"/>
        <v>4489.5</v>
      </c>
      <c r="CE137" s="511">
        <f t="shared" ref="CE137:CH137" si="1271">CD137</f>
        <v>4489.5</v>
      </c>
      <c r="CF137" s="511">
        <f t="shared" si="1271"/>
        <v>4489.5</v>
      </c>
      <c r="CG137" s="511">
        <f t="shared" si="1271"/>
        <v>4489.5</v>
      </c>
      <c r="CH137" s="511">
        <f t="shared" si="1271"/>
        <v>4489.5</v>
      </c>
      <c r="CI137" s="511">
        <f t="shared" si="1096"/>
        <v>4489.5</v>
      </c>
      <c r="CJ137" s="511">
        <f t="shared" si="1097"/>
        <v>4489.5</v>
      </c>
      <c r="CK137" s="722">
        <f t="shared" si="1072"/>
        <v>1.5049999999999999</v>
      </c>
      <c r="CL137" s="511">
        <f t="shared" ref="CL137:CO137" si="1272">CK137</f>
        <v>1.5049999999999999</v>
      </c>
      <c r="CM137" s="511">
        <f t="shared" si="1272"/>
        <v>1.5049999999999999</v>
      </c>
      <c r="CN137" s="511">
        <f t="shared" si="1272"/>
        <v>1.5049999999999999</v>
      </c>
      <c r="CO137" s="511">
        <f t="shared" si="1272"/>
        <v>1.5049999999999999</v>
      </c>
      <c r="CP137" s="511">
        <f t="shared" si="1099"/>
        <v>1.5049999999999999</v>
      </c>
      <c r="CQ137" s="511">
        <f t="shared" si="1100"/>
        <v>1.5049999999999999</v>
      </c>
      <c r="CR137" s="722">
        <f t="shared" si="1074"/>
        <v>0</v>
      </c>
      <c r="CS137" s="511">
        <f t="shared" ref="CS137:CV137" si="1273">CR137</f>
        <v>0</v>
      </c>
      <c r="CT137" s="511">
        <f t="shared" si="1273"/>
        <v>0</v>
      </c>
      <c r="CU137" s="511">
        <f t="shared" si="1273"/>
        <v>0</v>
      </c>
      <c r="CV137" s="511">
        <f t="shared" si="1273"/>
        <v>0</v>
      </c>
      <c r="CW137" s="511">
        <f t="shared" si="1102"/>
        <v>0</v>
      </c>
      <c r="CX137" s="539">
        <f t="shared" si="1103"/>
        <v>0</v>
      </c>
      <c r="CY137" s="724">
        <f t="shared" si="1196"/>
        <v>3460.2114553452316</v>
      </c>
      <c r="CZ137" s="508">
        <f t="shared" si="1197"/>
        <v>3460.2114553452316</v>
      </c>
      <c r="DA137" s="508">
        <f t="shared" si="1198"/>
        <v>3460.2114553452316</v>
      </c>
      <c r="DB137" s="508">
        <f t="shared" si="1199"/>
        <v>3460.2114553452316</v>
      </c>
      <c r="DC137" s="508">
        <f t="shared" si="1200"/>
        <v>3460.2114553452316</v>
      </c>
      <c r="DD137" s="508">
        <f t="shared" si="1201"/>
        <v>3460.2114553452316</v>
      </c>
      <c r="DE137" s="726">
        <f t="shared" si="1202"/>
        <v>3460.2114553452316</v>
      </c>
      <c r="DF137" s="724">
        <f t="shared" si="1203"/>
        <v>0</v>
      </c>
      <c r="DG137" s="509">
        <f t="shared" si="1204"/>
        <v>0</v>
      </c>
      <c r="DH137" s="509">
        <f t="shared" si="1205"/>
        <v>0</v>
      </c>
      <c r="DI137" s="509">
        <f t="shared" si="1206"/>
        <v>0</v>
      </c>
      <c r="DJ137" s="509">
        <f t="shared" si="1207"/>
        <v>0</v>
      </c>
      <c r="DK137" s="509">
        <f t="shared" si="1208"/>
        <v>0</v>
      </c>
      <c r="DL137" s="451">
        <f t="shared" si="1209"/>
        <v>0</v>
      </c>
      <c r="DM137" s="509">
        <f t="shared" si="1210"/>
        <v>455.35714285714283</v>
      </c>
      <c r="DN137" s="509">
        <f t="shared" si="1211"/>
        <v>455.35714285714283</v>
      </c>
      <c r="DO137" s="509">
        <f t="shared" si="1212"/>
        <v>455.35714285714283</v>
      </c>
      <c r="DP137" s="509">
        <f t="shared" si="1213"/>
        <v>455.35714285714283</v>
      </c>
      <c r="DQ137" s="509">
        <f t="shared" si="1214"/>
        <v>455.35714285714283</v>
      </c>
      <c r="DR137" s="509">
        <f t="shared" si="1215"/>
        <v>455.35714285714283</v>
      </c>
      <c r="DS137" s="450">
        <f t="shared" si="1216"/>
        <v>455.35714285714283</v>
      </c>
      <c r="DT137" s="724">
        <f t="shared" si="1217"/>
        <v>0</v>
      </c>
      <c r="DU137" s="508">
        <f t="shared" si="1218"/>
        <v>0</v>
      </c>
      <c r="DV137" s="508">
        <f t="shared" si="1219"/>
        <v>0</v>
      </c>
      <c r="DW137" s="508">
        <f t="shared" si="1220"/>
        <v>0</v>
      </c>
      <c r="DX137" s="508">
        <f t="shared" si="1221"/>
        <v>0</v>
      </c>
      <c r="DY137" s="508">
        <f t="shared" si="1222"/>
        <v>0</v>
      </c>
      <c r="DZ137" s="726">
        <f t="shared" si="1223"/>
        <v>0</v>
      </c>
      <c r="EA137" s="722">
        <f t="shared" si="1224"/>
        <v>13628.839285714284</v>
      </c>
      <c r="EB137" s="511">
        <f t="shared" si="1225"/>
        <v>13628.839285714284</v>
      </c>
      <c r="EC137" s="511">
        <f t="shared" si="1226"/>
        <v>13628.839285714284</v>
      </c>
      <c r="ED137" s="511">
        <f t="shared" si="1227"/>
        <v>13628.839285714284</v>
      </c>
      <c r="EE137" s="511">
        <f t="shared" si="1228"/>
        <v>13628.839285714284</v>
      </c>
      <c r="EF137" s="511">
        <f t="shared" si="1229"/>
        <v>13628.839285714284</v>
      </c>
      <c r="EG137" s="723">
        <f t="shared" si="1230"/>
        <v>13628.839285714284</v>
      </c>
      <c r="EH137" s="397">
        <f t="shared" si="1231"/>
        <v>4.5687499999999996</v>
      </c>
      <c r="EI137" s="397">
        <f t="shared" si="1232"/>
        <v>4.5687499999999996</v>
      </c>
      <c r="EJ137" s="397">
        <f t="shared" si="1233"/>
        <v>4.5687499999999996</v>
      </c>
      <c r="EK137" s="397">
        <f t="shared" si="1234"/>
        <v>4.5687499999999996</v>
      </c>
      <c r="EL137" s="397">
        <f t="shared" si="1235"/>
        <v>4.5687499999999996</v>
      </c>
      <c r="EM137" s="397">
        <f t="shared" si="1236"/>
        <v>4.5687499999999996</v>
      </c>
      <c r="EN137" s="398">
        <f t="shared" si="1237"/>
        <v>4.5687499999999996</v>
      </c>
      <c r="EO137" s="722">
        <f t="shared" si="1238"/>
        <v>0</v>
      </c>
      <c r="EP137" s="511">
        <f t="shared" si="1239"/>
        <v>0</v>
      </c>
      <c r="EQ137" s="511">
        <f t="shared" si="1240"/>
        <v>0</v>
      </c>
      <c r="ER137" s="511">
        <f t="shared" si="1241"/>
        <v>0</v>
      </c>
      <c r="ES137" s="511">
        <f t="shared" si="1242"/>
        <v>0</v>
      </c>
      <c r="ET137" s="511">
        <f t="shared" si="1243"/>
        <v>0</v>
      </c>
      <c r="EU137" s="723">
        <f t="shared" si="1244"/>
        <v>0</v>
      </c>
      <c r="EV137" s="727">
        <f t="shared" si="1245"/>
        <v>9.1071428571428577</v>
      </c>
      <c r="EW137" s="728">
        <f t="shared" si="1246"/>
        <v>24221.480187416619</v>
      </c>
      <c r="EX137" s="728">
        <f t="shared" si="1247"/>
        <v>0</v>
      </c>
      <c r="EY137" s="728">
        <f t="shared" si="1248"/>
        <v>3187.4999999999995</v>
      </c>
      <c r="EZ137" s="728">
        <f t="shared" si="1249"/>
        <v>0</v>
      </c>
      <c r="FA137" s="777">
        <f t="shared" si="1250"/>
        <v>95401.875</v>
      </c>
      <c r="FB137" s="777">
        <f t="shared" si="1251"/>
        <v>31.981250000000003</v>
      </c>
      <c r="FC137" s="778">
        <f t="shared" si="1252"/>
        <v>0</v>
      </c>
      <c r="FE137" s="10"/>
      <c r="FF137" s="10"/>
    </row>
    <row r="138" spans="1:162">
      <c r="A138" s="662" t="s">
        <v>245</v>
      </c>
      <c r="B138" s="789" t="s">
        <v>1429</v>
      </c>
      <c r="C138" s="789" t="str">
        <f t="shared" ref="C138:O138" si="1274">C24</f>
        <v xml:space="preserve">Efficiency of 77% or more for system </v>
      </c>
      <c r="D138" s="789" t="str">
        <f t="shared" si="1274"/>
        <v>Standard Pump Efficiency</v>
      </c>
      <c r="E138" s="789" t="str">
        <f t="shared" si="1274"/>
        <v>Per Pump</v>
      </c>
      <c r="F138" s="789" t="str">
        <f t="shared" si="1274"/>
        <v>Per Pump</v>
      </c>
      <c r="G138" s="704" t="str">
        <f t="shared" si="1274"/>
        <v>Incremental Cost</v>
      </c>
      <c r="H138" s="704">
        <f t="shared" si="1274"/>
        <v>1271.0348735283292</v>
      </c>
      <c r="I138" s="704">
        <f t="shared" si="1274"/>
        <v>0</v>
      </c>
      <c r="J138" s="704">
        <f t="shared" si="1274"/>
        <v>1271.0348735283292</v>
      </c>
      <c r="K138" s="704">
        <f t="shared" si="1274"/>
        <v>0</v>
      </c>
      <c r="L138" s="704">
        <f t="shared" si="1274"/>
        <v>635.51743676416459</v>
      </c>
      <c r="M138" s="707" t="str">
        <f t="shared" si="1274"/>
        <v>Adapted from data in https://nwcouncil.app.box.com/v/ComAgIndPumpsv2-2</v>
      </c>
      <c r="N138" s="704">
        <f t="shared" si="1274"/>
        <v>200</v>
      </c>
      <c r="O138" s="704">
        <f t="shared" si="1274"/>
        <v>200</v>
      </c>
      <c r="P138" s="704">
        <f t="shared" si="1051"/>
        <v>0</v>
      </c>
      <c r="Q138" s="704">
        <f t="shared" si="1051"/>
        <v>0</v>
      </c>
      <c r="R138" s="1021">
        <f t="shared" si="1161"/>
        <v>6734.25</v>
      </c>
      <c r="S138" s="872">
        <f t="shared" si="1161"/>
        <v>2.2574999999999998</v>
      </c>
      <c r="T138" s="1022">
        <f t="shared" si="1161"/>
        <v>0</v>
      </c>
      <c r="U138" s="711" t="str">
        <f t="shared" si="1161"/>
        <v>Based on savings from LG&amp;E/KU Commercial Rebates report for 20 HP pump - assumes savings increase linearly per HP increases</v>
      </c>
      <c r="V138" s="716">
        <f t="shared" si="1161"/>
        <v>0</v>
      </c>
      <c r="W138" s="711">
        <f t="shared" si="1161"/>
        <v>1</v>
      </c>
      <c r="X138" s="781">
        <f t="shared" ref="X138:AJ138" si="1275">X24/2</f>
        <v>1</v>
      </c>
      <c r="Y138" s="781">
        <f t="shared" si="1275"/>
        <v>2.5</v>
      </c>
      <c r="Z138" s="781">
        <f t="shared" si="1275"/>
        <v>1.5</v>
      </c>
      <c r="AA138" s="781">
        <f t="shared" si="1275"/>
        <v>0</v>
      </c>
      <c r="AB138" s="781">
        <f t="shared" si="1275"/>
        <v>0.75</v>
      </c>
      <c r="AC138" s="781">
        <f t="shared" si="1275"/>
        <v>0.75</v>
      </c>
      <c r="AD138" s="781">
        <f t="shared" si="1275"/>
        <v>0.75</v>
      </c>
      <c r="AE138" s="781">
        <f t="shared" si="1275"/>
        <v>0.75</v>
      </c>
      <c r="AF138" s="781">
        <f t="shared" si="1275"/>
        <v>0.75</v>
      </c>
      <c r="AG138" s="781">
        <f t="shared" si="1275"/>
        <v>0.75</v>
      </c>
      <c r="AH138" s="781">
        <f t="shared" si="1275"/>
        <v>0.75</v>
      </c>
      <c r="AI138" s="781">
        <f t="shared" si="1275"/>
        <v>0.75</v>
      </c>
      <c r="AJ138" s="781">
        <f t="shared" si="1275"/>
        <v>0.75</v>
      </c>
      <c r="AK138" s="711" t="str">
        <f t="shared" ref="AK138:BA138" si="1276">AK24</f>
        <v>Electric</v>
      </c>
      <c r="AL138" s="711" t="str">
        <f t="shared" si="1276"/>
        <v>Commercial</v>
      </c>
      <c r="AM138" s="711" t="str">
        <f t="shared" si="1276"/>
        <v>Large Office</v>
      </c>
      <c r="AN138" s="711" t="str">
        <f t="shared" si="1276"/>
        <v>Ventilation And Circulation</v>
      </c>
      <c r="AO138" s="711" t="str">
        <f t="shared" si="1276"/>
        <v>Existing</v>
      </c>
      <c r="AP138" s="711">
        <f t="shared" si="1276"/>
        <v>0</v>
      </c>
      <c r="AQ138" s="711">
        <f t="shared" si="1276"/>
        <v>0</v>
      </c>
      <c r="AR138" s="711">
        <f t="shared" si="1276"/>
        <v>0</v>
      </c>
      <c r="AS138" s="711" t="str">
        <f t="shared" si="1276"/>
        <v>OFFLGCool</v>
      </c>
      <c r="AT138" s="715" t="s">
        <v>745</v>
      </c>
      <c r="AU138" s="711" t="str">
        <f t="shared" si="1276"/>
        <v>LGE NonRes</v>
      </c>
      <c r="AV138" s="711">
        <f t="shared" si="1276"/>
        <v>20</v>
      </c>
      <c r="AW138" s="711">
        <f t="shared" si="1276"/>
        <v>20</v>
      </c>
      <c r="AX138" s="711" t="str">
        <f t="shared" si="1276"/>
        <v>Based on the Xcel 2015/2016 DSM plan for the product "Motor Efficiency". Pg 440</v>
      </c>
      <c r="AY138" s="711">
        <f t="shared" si="1276"/>
        <v>1</v>
      </c>
      <c r="AZ138" s="711">
        <f t="shared" si="1276"/>
        <v>1</v>
      </c>
      <c r="BA138" s="1066">
        <f t="shared" si="1276"/>
        <v>0</v>
      </c>
      <c r="BB138" s="721">
        <f t="shared" si="1079"/>
        <v>1271.0348735283292</v>
      </c>
      <c r="BC138" s="499">
        <f t="shared" si="1080"/>
        <v>1271.0348735283292</v>
      </c>
      <c r="BD138" s="499">
        <f t="shared" si="1081"/>
        <v>1271.0348735283292</v>
      </c>
      <c r="BE138" s="499">
        <f t="shared" si="1082"/>
        <v>1271.0348735283292</v>
      </c>
      <c r="BF138" s="499">
        <f t="shared" si="1083"/>
        <v>1271.0348735283292</v>
      </c>
      <c r="BG138" s="499">
        <f t="shared" si="1084"/>
        <v>1271.0348735283292</v>
      </c>
      <c r="BH138" s="499">
        <f t="shared" si="1085"/>
        <v>1271.0348735283292</v>
      </c>
      <c r="BI138" s="721">
        <f t="shared" si="1060"/>
        <v>0</v>
      </c>
      <c r="BJ138" s="499">
        <f t="shared" ref="BJ138:BM138" si="1277">BI138</f>
        <v>0</v>
      </c>
      <c r="BK138" s="499">
        <f t="shared" si="1277"/>
        <v>0</v>
      </c>
      <c r="BL138" s="499">
        <f t="shared" si="1277"/>
        <v>0</v>
      </c>
      <c r="BM138" s="499">
        <f t="shared" si="1277"/>
        <v>0</v>
      </c>
      <c r="BN138" s="499">
        <f t="shared" si="1087"/>
        <v>0</v>
      </c>
      <c r="BO138" s="499">
        <f t="shared" si="1088"/>
        <v>0</v>
      </c>
      <c r="BP138" s="721">
        <f t="shared" si="1062"/>
        <v>200</v>
      </c>
      <c r="BQ138" s="499">
        <f t="shared" si="1063"/>
        <v>200</v>
      </c>
      <c r="BR138" s="499">
        <f t="shared" si="1089"/>
        <v>200</v>
      </c>
      <c r="BS138" s="499">
        <f t="shared" si="1090"/>
        <v>200</v>
      </c>
      <c r="BT138" s="499">
        <f t="shared" si="1091"/>
        <v>200</v>
      </c>
      <c r="BU138" s="499">
        <f t="shared" si="1092"/>
        <v>200</v>
      </c>
      <c r="BV138" s="499">
        <f t="shared" si="1093"/>
        <v>200</v>
      </c>
      <c r="BW138" s="774">
        <f t="shared" si="1094"/>
        <v>0</v>
      </c>
      <c r="BX138" s="503">
        <f t="shared" si="1094"/>
        <v>0</v>
      </c>
      <c r="BY138" s="503">
        <f t="shared" si="1094"/>
        <v>0</v>
      </c>
      <c r="BZ138" s="503">
        <f t="shared" si="1094"/>
        <v>0</v>
      </c>
      <c r="CA138" s="503">
        <f t="shared" si="1094"/>
        <v>0</v>
      </c>
      <c r="CB138" s="503">
        <f t="shared" si="1094"/>
        <v>0</v>
      </c>
      <c r="CC138" s="503">
        <f t="shared" si="1094"/>
        <v>0</v>
      </c>
      <c r="CD138" s="722">
        <f t="shared" si="1070"/>
        <v>6734.25</v>
      </c>
      <c r="CE138" s="511">
        <f t="shared" ref="CE138:CH138" si="1278">CD138</f>
        <v>6734.25</v>
      </c>
      <c r="CF138" s="511">
        <f t="shared" si="1278"/>
        <v>6734.25</v>
      </c>
      <c r="CG138" s="511">
        <f t="shared" si="1278"/>
        <v>6734.25</v>
      </c>
      <c r="CH138" s="511">
        <f t="shared" si="1278"/>
        <v>6734.25</v>
      </c>
      <c r="CI138" s="511">
        <f t="shared" si="1096"/>
        <v>6734.25</v>
      </c>
      <c r="CJ138" s="511">
        <f t="shared" si="1097"/>
        <v>6734.25</v>
      </c>
      <c r="CK138" s="722">
        <f t="shared" si="1072"/>
        <v>2.2574999999999998</v>
      </c>
      <c r="CL138" s="511">
        <f t="shared" ref="CL138:CO138" si="1279">CK138</f>
        <v>2.2574999999999998</v>
      </c>
      <c r="CM138" s="511">
        <f t="shared" si="1279"/>
        <v>2.2574999999999998</v>
      </c>
      <c r="CN138" s="511">
        <f t="shared" si="1279"/>
        <v>2.2574999999999998</v>
      </c>
      <c r="CO138" s="511">
        <f t="shared" si="1279"/>
        <v>2.2574999999999998</v>
      </c>
      <c r="CP138" s="511">
        <f t="shared" si="1099"/>
        <v>2.2574999999999998</v>
      </c>
      <c r="CQ138" s="511">
        <f t="shared" si="1100"/>
        <v>2.2574999999999998</v>
      </c>
      <c r="CR138" s="722">
        <f t="shared" si="1074"/>
        <v>0</v>
      </c>
      <c r="CS138" s="511">
        <f t="shared" ref="CS138:CV138" si="1280">CR138</f>
        <v>0</v>
      </c>
      <c r="CT138" s="511">
        <f t="shared" si="1280"/>
        <v>0</v>
      </c>
      <c r="CU138" s="511">
        <f t="shared" si="1280"/>
        <v>0</v>
      </c>
      <c r="CV138" s="511">
        <f t="shared" si="1280"/>
        <v>0</v>
      </c>
      <c r="CW138" s="511">
        <f t="shared" si="1102"/>
        <v>0</v>
      </c>
      <c r="CX138" s="539">
        <f t="shared" si="1103"/>
        <v>0</v>
      </c>
      <c r="CY138" s="724">
        <f t="shared" si="1196"/>
        <v>953.27615514624688</v>
      </c>
      <c r="CZ138" s="508">
        <f t="shared" si="1197"/>
        <v>953.27615514624688</v>
      </c>
      <c r="DA138" s="508">
        <f t="shared" si="1198"/>
        <v>953.27615514624688</v>
      </c>
      <c r="DB138" s="508">
        <f t="shared" si="1199"/>
        <v>953.27615514624688</v>
      </c>
      <c r="DC138" s="508">
        <f t="shared" si="1200"/>
        <v>953.27615514624688</v>
      </c>
      <c r="DD138" s="508">
        <f t="shared" si="1201"/>
        <v>953.27615514624688</v>
      </c>
      <c r="DE138" s="726">
        <f t="shared" si="1202"/>
        <v>953.27615514624688</v>
      </c>
      <c r="DF138" s="724">
        <f t="shared" si="1203"/>
        <v>0</v>
      </c>
      <c r="DG138" s="509">
        <f t="shared" si="1204"/>
        <v>0</v>
      </c>
      <c r="DH138" s="509">
        <f t="shared" si="1205"/>
        <v>0</v>
      </c>
      <c r="DI138" s="509">
        <f t="shared" si="1206"/>
        <v>0</v>
      </c>
      <c r="DJ138" s="509">
        <f t="shared" si="1207"/>
        <v>0</v>
      </c>
      <c r="DK138" s="509">
        <f t="shared" si="1208"/>
        <v>0</v>
      </c>
      <c r="DL138" s="451">
        <f t="shared" si="1209"/>
        <v>0</v>
      </c>
      <c r="DM138" s="509">
        <f t="shared" si="1210"/>
        <v>150</v>
      </c>
      <c r="DN138" s="509">
        <f t="shared" si="1211"/>
        <v>150</v>
      </c>
      <c r="DO138" s="509">
        <f t="shared" si="1212"/>
        <v>150</v>
      </c>
      <c r="DP138" s="509">
        <f t="shared" si="1213"/>
        <v>150</v>
      </c>
      <c r="DQ138" s="509">
        <f t="shared" si="1214"/>
        <v>150</v>
      </c>
      <c r="DR138" s="509">
        <f t="shared" si="1215"/>
        <v>150</v>
      </c>
      <c r="DS138" s="450">
        <f t="shared" si="1216"/>
        <v>150</v>
      </c>
      <c r="DT138" s="724">
        <f t="shared" si="1217"/>
        <v>0</v>
      </c>
      <c r="DU138" s="508">
        <f t="shared" si="1218"/>
        <v>0</v>
      </c>
      <c r="DV138" s="508">
        <f t="shared" si="1219"/>
        <v>0</v>
      </c>
      <c r="DW138" s="508">
        <f t="shared" si="1220"/>
        <v>0</v>
      </c>
      <c r="DX138" s="508">
        <f t="shared" si="1221"/>
        <v>0</v>
      </c>
      <c r="DY138" s="508">
        <f t="shared" si="1222"/>
        <v>0</v>
      </c>
      <c r="DZ138" s="726">
        <f t="shared" si="1223"/>
        <v>0</v>
      </c>
      <c r="EA138" s="722">
        <f t="shared" si="1224"/>
        <v>5050.6875</v>
      </c>
      <c r="EB138" s="511">
        <f t="shared" si="1225"/>
        <v>5050.6875</v>
      </c>
      <c r="EC138" s="511">
        <f t="shared" si="1226"/>
        <v>5050.6875</v>
      </c>
      <c r="ED138" s="511">
        <f t="shared" si="1227"/>
        <v>5050.6875</v>
      </c>
      <c r="EE138" s="511">
        <f t="shared" si="1228"/>
        <v>5050.6875</v>
      </c>
      <c r="EF138" s="511">
        <f t="shared" si="1229"/>
        <v>5050.6875</v>
      </c>
      <c r="EG138" s="723">
        <f t="shared" si="1230"/>
        <v>5050.6875</v>
      </c>
      <c r="EH138" s="397">
        <f t="shared" si="1231"/>
        <v>1.6931249999999998</v>
      </c>
      <c r="EI138" s="397">
        <f t="shared" si="1232"/>
        <v>1.6931249999999998</v>
      </c>
      <c r="EJ138" s="397">
        <f t="shared" si="1233"/>
        <v>1.6931249999999998</v>
      </c>
      <c r="EK138" s="397">
        <f t="shared" si="1234"/>
        <v>1.6931249999999998</v>
      </c>
      <c r="EL138" s="397">
        <f t="shared" si="1235"/>
        <v>1.6931249999999998</v>
      </c>
      <c r="EM138" s="397">
        <f t="shared" si="1236"/>
        <v>1.6931249999999998</v>
      </c>
      <c r="EN138" s="398">
        <f t="shared" si="1237"/>
        <v>1.6931249999999998</v>
      </c>
      <c r="EO138" s="722">
        <f t="shared" si="1238"/>
        <v>0</v>
      </c>
      <c r="EP138" s="511">
        <f t="shared" si="1239"/>
        <v>0</v>
      </c>
      <c r="EQ138" s="511">
        <f t="shared" si="1240"/>
        <v>0</v>
      </c>
      <c r="ER138" s="511">
        <f t="shared" si="1241"/>
        <v>0</v>
      </c>
      <c r="ES138" s="511">
        <f t="shared" si="1242"/>
        <v>0</v>
      </c>
      <c r="ET138" s="511">
        <f t="shared" si="1243"/>
        <v>0</v>
      </c>
      <c r="EU138" s="723">
        <f t="shared" si="1244"/>
        <v>0</v>
      </c>
      <c r="EV138" s="727">
        <f t="shared" si="1245"/>
        <v>2.25</v>
      </c>
      <c r="EW138" s="728">
        <f t="shared" si="1246"/>
        <v>6672.9330860237287</v>
      </c>
      <c r="EX138" s="728">
        <f t="shared" si="1247"/>
        <v>0</v>
      </c>
      <c r="EY138" s="728">
        <f t="shared" si="1248"/>
        <v>1050</v>
      </c>
      <c r="EZ138" s="728">
        <f t="shared" si="1249"/>
        <v>0</v>
      </c>
      <c r="FA138" s="777">
        <f t="shared" si="1250"/>
        <v>35354.8125</v>
      </c>
      <c r="FB138" s="777">
        <f t="shared" si="1251"/>
        <v>11.851875</v>
      </c>
      <c r="FC138" s="778">
        <f t="shared" si="1252"/>
        <v>0</v>
      </c>
      <c r="FE138" s="10"/>
      <c r="FF138" s="10"/>
    </row>
    <row r="139" spans="1:162">
      <c r="A139" s="662" t="s">
        <v>246</v>
      </c>
      <c r="B139" s="789" t="s">
        <v>1430</v>
      </c>
      <c r="C139" s="789" t="str">
        <f t="shared" ref="C139:O139" si="1281">C25</f>
        <v xml:space="preserve">Efficiency of 77% or more for system </v>
      </c>
      <c r="D139" s="789" t="str">
        <f t="shared" si="1281"/>
        <v>Standard Pump Efficiency</v>
      </c>
      <c r="E139" s="789" t="str">
        <f t="shared" si="1281"/>
        <v>Per Pump</v>
      </c>
      <c r="F139" s="789" t="str">
        <f t="shared" si="1281"/>
        <v>Per Pump</v>
      </c>
      <c r="G139" s="704" t="str">
        <f t="shared" si="1281"/>
        <v>Incremental Cost</v>
      </c>
      <c r="H139" s="704">
        <f t="shared" si="1281"/>
        <v>1373.1832744761564</v>
      </c>
      <c r="I139" s="704">
        <f t="shared" si="1281"/>
        <v>0</v>
      </c>
      <c r="J139" s="704">
        <f t="shared" si="1281"/>
        <v>1373.1832744761564</v>
      </c>
      <c r="K139" s="704">
        <f t="shared" si="1281"/>
        <v>0</v>
      </c>
      <c r="L139" s="704">
        <f t="shared" si="1281"/>
        <v>686.59163723807819</v>
      </c>
      <c r="M139" s="707" t="str">
        <f t="shared" si="1281"/>
        <v>Adapted from data in https://nwcouncil.app.box.com/v/ComAgIndPumpsv2-2</v>
      </c>
      <c r="N139" s="704">
        <f t="shared" si="1281"/>
        <v>250</v>
      </c>
      <c r="O139" s="704">
        <f t="shared" si="1281"/>
        <v>250</v>
      </c>
      <c r="P139" s="704">
        <f t="shared" si="1051"/>
        <v>0</v>
      </c>
      <c r="Q139" s="704">
        <f t="shared" si="1051"/>
        <v>0</v>
      </c>
      <c r="R139" s="1021">
        <f t="shared" si="1161"/>
        <v>8979</v>
      </c>
      <c r="S139" s="872">
        <f t="shared" si="1161"/>
        <v>3.01</v>
      </c>
      <c r="T139" s="1022">
        <f t="shared" si="1161"/>
        <v>0</v>
      </c>
      <c r="U139" s="711" t="str">
        <f t="shared" si="1161"/>
        <v>Based on savings from LG&amp;E/KU Commercial Rebates report for 20 HP pump - assumes savings increase linearly per HP increases</v>
      </c>
      <c r="V139" s="716">
        <f t="shared" si="1161"/>
        <v>0</v>
      </c>
      <c r="W139" s="711">
        <f t="shared" si="1161"/>
        <v>1</v>
      </c>
      <c r="X139" s="781">
        <f t="shared" ref="X139:AJ139" si="1282">X25/2</f>
        <v>0</v>
      </c>
      <c r="Y139" s="781">
        <f t="shared" si="1282"/>
        <v>0</v>
      </c>
      <c r="Z139" s="781">
        <f t="shared" si="1282"/>
        <v>0</v>
      </c>
      <c r="AA139" s="781">
        <f t="shared" si="1282"/>
        <v>2.5714285714285712</v>
      </c>
      <c r="AB139" s="781">
        <f t="shared" si="1282"/>
        <v>1.2857142857142856</v>
      </c>
      <c r="AC139" s="781">
        <f t="shared" si="1282"/>
        <v>1.2857142857142856</v>
      </c>
      <c r="AD139" s="781">
        <f t="shared" si="1282"/>
        <v>1.2857142857142856</v>
      </c>
      <c r="AE139" s="781">
        <f t="shared" si="1282"/>
        <v>1.2857142857142856</v>
      </c>
      <c r="AF139" s="781">
        <f t="shared" si="1282"/>
        <v>1.2857142857142856</v>
      </c>
      <c r="AG139" s="781">
        <f t="shared" si="1282"/>
        <v>1.2857142857142856</v>
      </c>
      <c r="AH139" s="781">
        <f t="shared" si="1282"/>
        <v>1.2857142857142856</v>
      </c>
      <c r="AI139" s="781">
        <f t="shared" si="1282"/>
        <v>1.2857142857142856</v>
      </c>
      <c r="AJ139" s="781">
        <f t="shared" si="1282"/>
        <v>1.2857142857142856</v>
      </c>
      <c r="AK139" s="711" t="str">
        <f t="shared" ref="AK139:BA139" si="1283">AK25</f>
        <v>Electric</v>
      </c>
      <c r="AL139" s="711" t="str">
        <f t="shared" si="1283"/>
        <v>Commercial</v>
      </c>
      <c r="AM139" s="711" t="str">
        <f t="shared" si="1283"/>
        <v>Large Office</v>
      </c>
      <c r="AN139" s="711" t="str">
        <f t="shared" si="1283"/>
        <v>Ventilation And Circulation</v>
      </c>
      <c r="AO139" s="711" t="str">
        <f t="shared" si="1283"/>
        <v>Existing</v>
      </c>
      <c r="AP139" s="711">
        <f t="shared" si="1283"/>
        <v>0</v>
      </c>
      <c r="AQ139" s="711">
        <f t="shared" si="1283"/>
        <v>0</v>
      </c>
      <c r="AR139" s="711">
        <f t="shared" si="1283"/>
        <v>0</v>
      </c>
      <c r="AS139" s="711" t="str">
        <f t="shared" si="1283"/>
        <v>OFFLGCool</v>
      </c>
      <c r="AT139" s="715" t="s">
        <v>745</v>
      </c>
      <c r="AU139" s="711" t="str">
        <f t="shared" si="1283"/>
        <v>LGE NonRes</v>
      </c>
      <c r="AV139" s="711">
        <f t="shared" si="1283"/>
        <v>20</v>
      </c>
      <c r="AW139" s="711">
        <f t="shared" si="1283"/>
        <v>20</v>
      </c>
      <c r="AX139" s="711" t="str">
        <f t="shared" si="1283"/>
        <v>Based on the Xcel 2015/2016 DSM plan for the product "Motor Efficiency". Pg 440</v>
      </c>
      <c r="AY139" s="711">
        <f t="shared" si="1283"/>
        <v>1</v>
      </c>
      <c r="AZ139" s="711">
        <f t="shared" si="1283"/>
        <v>1</v>
      </c>
      <c r="BA139" s="1066">
        <f t="shared" si="1283"/>
        <v>0</v>
      </c>
      <c r="BB139" s="721">
        <f t="shared" si="1079"/>
        <v>1373.1832744761564</v>
      </c>
      <c r="BC139" s="499">
        <f t="shared" si="1080"/>
        <v>1373.1832744761564</v>
      </c>
      <c r="BD139" s="499">
        <f t="shared" si="1081"/>
        <v>1373.1832744761564</v>
      </c>
      <c r="BE139" s="499">
        <f t="shared" si="1082"/>
        <v>1373.1832744761564</v>
      </c>
      <c r="BF139" s="499">
        <f t="shared" si="1083"/>
        <v>1373.1832744761564</v>
      </c>
      <c r="BG139" s="499">
        <f t="shared" si="1084"/>
        <v>1373.1832744761564</v>
      </c>
      <c r="BH139" s="499">
        <f t="shared" si="1085"/>
        <v>1373.1832744761564</v>
      </c>
      <c r="BI139" s="721">
        <f t="shared" si="1060"/>
        <v>0</v>
      </c>
      <c r="BJ139" s="499">
        <f t="shared" ref="BJ139:BM139" si="1284">BI139</f>
        <v>0</v>
      </c>
      <c r="BK139" s="499">
        <f t="shared" si="1284"/>
        <v>0</v>
      </c>
      <c r="BL139" s="499">
        <f t="shared" si="1284"/>
        <v>0</v>
      </c>
      <c r="BM139" s="499">
        <f t="shared" si="1284"/>
        <v>0</v>
      </c>
      <c r="BN139" s="499">
        <f t="shared" si="1087"/>
        <v>0</v>
      </c>
      <c r="BO139" s="499">
        <f t="shared" si="1088"/>
        <v>0</v>
      </c>
      <c r="BP139" s="721">
        <f t="shared" si="1062"/>
        <v>250</v>
      </c>
      <c r="BQ139" s="499">
        <f t="shared" si="1063"/>
        <v>250</v>
      </c>
      <c r="BR139" s="499">
        <f t="shared" si="1089"/>
        <v>250</v>
      </c>
      <c r="BS139" s="499">
        <f t="shared" si="1090"/>
        <v>250</v>
      </c>
      <c r="BT139" s="499">
        <f t="shared" si="1091"/>
        <v>250</v>
      </c>
      <c r="BU139" s="499">
        <f t="shared" si="1092"/>
        <v>250</v>
      </c>
      <c r="BV139" s="499">
        <f t="shared" si="1093"/>
        <v>250</v>
      </c>
      <c r="BW139" s="774">
        <f t="shared" si="1094"/>
        <v>0</v>
      </c>
      <c r="BX139" s="503">
        <f t="shared" si="1094"/>
        <v>0</v>
      </c>
      <c r="BY139" s="503">
        <f t="shared" si="1094"/>
        <v>0</v>
      </c>
      <c r="BZ139" s="503">
        <f t="shared" si="1094"/>
        <v>0</v>
      </c>
      <c r="CA139" s="503">
        <f t="shared" si="1094"/>
        <v>0</v>
      </c>
      <c r="CB139" s="503">
        <f t="shared" si="1094"/>
        <v>0</v>
      </c>
      <c r="CC139" s="503">
        <f t="shared" si="1094"/>
        <v>0</v>
      </c>
      <c r="CD139" s="722">
        <f t="shared" si="1070"/>
        <v>8979</v>
      </c>
      <c r="CE139" s="511">
        <f t="shared" ref="CE139:CH139" si="1285">CD139</f>
        <v>8979</v>
      </c>
      <c r="CF139" s="511">
        <f t="shared" si="1285"/>
        <v>8979</v>
      </c>
      <c r="CG139" s="511">
        <f t="shared" si="1285"/>
        <v>8979</v>
      </c>
      <c r="CH139" s="511">
        <f t="shared" si="1285"/>
        <v>8979</v>
      </c>
      <c r="CI139" s="511">
        <f t="shared" si="1096"/>
        <v>8979</v>
      </c>
      <c r="CJ139" s="511">
        <f t="shared" si="1097"/>
        <v>8979</v>
      </c>
      <c r="CK139" s="722">
        <f t="shared" si="1072"/>
        <v>3.01</v>
      </c>
      <c r="CL139" s="511">
        <f t="shared" ref="CL139:CO139" si="1286">CK139</f>
        <v>3.01</v>
      </c>
      <c r="CM139" s="511">
        <f t="shared" si="1286"/>
        <v>3.01</v>
      </c>
      <c r="CN139" s="511">
        <f t="shared" si="1286"/>
        <v>3.01</v>
      </c>
      <c r="CO139" s="511">
        <f t="shared" si="1286"/>
        <v>3.01</v>
      </c>
      <c r="CP139" s="511">
        <f t="shared" si="1099"/>
        <v>3.01</v>
      </c>
      <c r="CQ139" s="511">
        <f t="shared" si="1100"/>
        <v>3.01</v>
      </c>
      <c r="CR139" s="722">
        <f t="shared" si="1074"/>
        <v>0</v>
      </c>
      <c r="CS139" s="511">
        <f t="shared" ref="CS139:CV139" si="1287">CR139</f>
        <v>0</v>
      </c>
      <c r="CT139" s="511">
        <f t="shared" si="1287"/>
        <v>0</v>
      </c>
      <c r="CU139" s="511">
        <f t="shared" si="1287"/>
        <v>0</v>
      </c>
      <c r="CV139" s="511">
        <f t="shared" si="1287"/>
        <v>0</v>
      </c>
      <c r="CW139" s="511">
        <f t="shared" si="1102"/>
        <v>0</v>
      </c>
      <c r="CX139" s="539">
        <f t="shared" si="1103"/>
        <v>0</v>
      </c>
      <c r="CY139" s="724">
        <f t="shared" si="1196"/>
        <v>1765.5213528979152</v>
      </c>
      <c r="CZ139" s="508">
        <f t="shared" si="1197"/>
        <v>1765.5213528979152</v>
      </c>
      <c r="DA139" s="508">
        <f t="shared" si="1198"/>
        <v>1765.5213528979152</v>
      </c>
      <c r="DB139" s="508">
        <f t="shared" si="1199"/>
        <v>1765.5213528979152</v>
      </c>
      <c r="DC139" s="508">
        <f t="shared" si="1200"/>
        <v>1765.5213528979152</v>
      </c>
      <c r="DD139" s="508">
        <f t="shared" si="1201"/>
        <v>1765.5213528979152</v>
      </c>
      <c r="DE139" s="726">
        <f t="shared" si="1202"/>
        <v>1765.5213528979152</v>
      </c>
      <c r="DF139" s="724">
        <f t="shared" si="1203"/>
        <v>0</v>
      </c>
      <c r="DG139" s="509">
        <f t="shared" si="1204"/>
        <v>0</v>
      </c>
      <c r="DH139" s="509">
        <f t="shared" si="1205"/>
        <v>0</v>
      </c>
      <c r="DI139" s="509">
        <f t="shared" si="1206"/>
        <v>0</v>
      </c>
      <c r="DJ139" s="509">
        <f t="shared" si="1207"/>
        <v>0</v>
      </c>
      <c r="DK139" s="509">
        <f t="shared" si="1208"/>
        <v>0</v>
      </c>
      <c r="DL139" s="451">
        <f t="shared" si="1209"/>
        <v>0</v>
      </c>
      <c r="DM139" s="509">
        <f t="shared" si="1210"/>
        <v>321.42857142857139</v>
      </c>
      <c r="DN139" s="509">
        <f t="shared" si="1211"/>
        <v>321.42857142857139</v>
      </c>
      <c r="DO139" s="509">
        <f t="shared" si="1212"/>
        <v>321.42857142857139</v>
      </c>
      <c r="DP139" s="509">
        <f t="shared" si="1213"/>
        <v>321.42857142857139</v>
      </c>
      <c r="DQ139" s="509">
        <f t="shared" si="1214"/>
        <v>321.42857142857139</v>
      </c>
      <c r="DR139" s="509">
        <f t="shared" si="1215"/>
        <v>321.42857142857139</v>
      </c>
      <c r="DS139" s="450">
        <f t="shared" si="1216"/>
        <v>321.42857142857139</v>
      </c>
      <c r="DT139" s="724">
        <f t="shared" si="1217"/>
        <v>0</v>
      </c>
      <c r="DU139" s="508">
        <f t="shared" si="1218"/>
        <v>0</v>
      </c>
      <c r="DV139" s="508">
        <f t="shared" si="1219"/>
        <v>0</v>
      </c>
      <c r="DW139" s="508">
        <f t="shared" si="1220"/>
        <v>0</v>
      </c>
      <c r="DX139" s="508">
        <f t="shared" si="1221"/>
        <v>0</v>
      </c>
      <c r="DY139" s="508">
        <f t="shared" si="1222"/>
        <v>0</v>
      </c>
      <c r="DZ139" s="726">
        <f t="shared" si="1223"/>
        <v>0</v>
      </c>
      <c r="EA139" s="722">
        <f t="shared" si="1224"/>
        <v>11544.428571428571</v>
      </c>
      <c r="EB139" s="511">
        <f t="shared" si="1225"/>
        <v>11544.428571428571</v>
      </c>
      <c r="EC139" s="511">
        <f t="shared" si="1226"/>
        <v>11544.428571428571</v>
      </c>
      <c r="ED139" s="511">
        <f t="shared" si="1227"/>
        <v>11544.428571428571</v>
      </c>
      <c r="EE139" s="511">
        <f t="shared" si="1228"/>
        <v>11544.428571428571</v>
      </c>
      <c r="EF139" s="511">
        <f t="shared" si="1229"/>
        <v>11544.428571428571</v>
      </c>
      <c r="EG139" s="723">
        <f t="shared" si="1230"/>
        <v>11544.428571428571</v>
      </c>
      <c r="EH139" s="397">
        <f t="shared" si="1231"/>
        <v>3.8699999999999992</v>
      </c>
      <c r="EI139" s="397">
        <f t="shared" si="1232"/>
        <v>3.8699999999999992</v>
      </c>
      <c r="EJ139" s="397">
        <f t="shared" si="1233"/>
        <v>3.8699999999999992</v>
      </c>
      <c r="EK139" s="397">
        <f t="shared" si="1234"/>
        <v>3.8699999999999992</v>
      </c>
      <c r="EL139" s="397">
        <f t="shared" si="1235"/>
        <v>3.8699999999999992</v>
      </c>
      <c r="EM139" s="397">
        <f t="shared" si="1236"/>
        <v>3.8699999999999992</v>
      </c>
      <c r="EN139" s="398">
        <f t="shared" si="1237"/>
        <v>3.8699999999999992</v>
      </c>
      <c r="EO139" s="722">
        <f t="shared" si="1238"/>
        <v>0</v>
      </c>
      <c r="EP139" s="511">
        <f t="shared" si="1239"/>
        <v>0</v>
      </c>
      <c r="EQ139" s="511">
        <f t="shared" si="1240"/>
        <v>0</v>
      </c>
      <c r="ER139" s="511">
        <f t="shared" si="1241"/>
        <v>0</v>
      </c>
      <c r="ES139" s="511">
        <f t="shared" si="1242"/>
        <v>0</v>
      </c>
      <c r="ET139" s="511">
        <f t="shared" si="1243"/>
        <v>0</v>
      </c>
      <c r="EU139" s="723">
        <f t="shared" si="1244"/>
        <v>0</v>
      </c>
      <c r="EV139" s="727">
        <f t="shared" si="1245"/>
        <v>3.8571428571428568</v>
      </c>
      <c r="EW139" s="728">
        <f t="shared" si="1246"/>
        <v>12358.649470285405</v>
      </c>
      <c r="EX139" s="728">
        <f t="shared" si="1247"/>
        <v>0</v>
      </c>
      <c r="EY139" s="728">
        <f t="shared" si="1248"/>
        <v>2249.9999999999995</v>
      </c>
      <c r="EZ139" s="728">
        <f t="shared" si="1249"/>
        <v>0</v>
      </c>
      <c r="FA139" s="777">
        <f t="shared" si="1250"/>
        <v>80810.999999999985</v>
      </c>
      <c r="FB139" s="777">
        <f t="shared" si="1251"/>
        <v>27.089999999999989</v>
      </c>
      <c r="FC139" s="778">
        <f t="shared" si="1252"/>
        <v>0</v>
      </c>
      <c r="FE139" s="10"/>
      <c r="FF139" s="10"/>
    </row>
    <row r="140" spans="1:162">
      <c r="A140" s="662" t="s">
        <v>247</v>
      </c>
      <c r="B140" s="789" t="s">
        <v>1431</v>
      </c>
      <c r="C140" s="789" t="str">
        <f t="shared" ref="C140:O140" si="1288">C26</f>
        <v xml:space="preserve">Efficiency of 77% or more for system </v>
      </c>
      <c r="D140" s="789" t="str">
        <f t="shared" si="1288"/>
        <v>Standard Pump Efficiency</v>
      </c>
      <c r="E140" s="789" t="str">
        <f t="shared" si="1288"/>
        <v>Per Pump</v>
      </c>
      <c r="F140" s="789" t="str">
        <f t="shared" si="1288"/>
        <v>Per Pump</v>
      </c>
      <c r="G140" s="704" t="str">
        <f t="shared" si="1288"/>
        <v>Incremental Cost</v>
      </c>
      <c r="H140" s="704">
        <f t="shared" si="1288"/>
        <v>1458.0359273368367</v>
      </c>
      <c r="I140" s="704">
        <f t="shared" si="1288"/>
        <v>0</v>
      </c>
      <c r="J140" s="704">
        <f t="shared" si="1288"/>
        <v>1458.0359273368367</v>
      </c>
      <c r="K140" s="704">
        <f t="shared" si="1288"/>
        <v>0</v>
      </c>
      <c r="L140" s="704">
        <f t="shared" si="1288"/>
        <v>729.01796366841836</v>
      </c>
      <c r="M140" s="707" t="str">
        <f t="shared" si="1288"/>
        <v>Adapted from data in https://nwcouncil.app.box.com/v/ComAgIndPumpsv2-2</v>
      </c>
      <c r="N140" s="704">
        <f t="shared" si="1288"/>
        <v>300</v>
      </c>
      <c r="O140" s="704">
        <f t="shared" si="1288"/>
        <v>300</v>
      </c>
      <c r="P140" s="704">
        <f t="shared" ref="P140:Q159" si="1289">P83</f>
        <v>0</v>
      </c>
      <c r="Q140" s="704">
        <f t="shared" si="1289"/>
        <v>0</v>
      </c>
      <c r="R140" s="1021">
        <f t="shared" ref="R140:W147" si="1290">R26</f>
        <v>11223.75</v>
      </c>
      <c r="S140" s="872">
        <f t="shared" si="1290"/>
        <v>3.7624999999999997</v>
      </c>
      <c r="T140" s="1022">
        <f t="shared" si="1290"/>
        <v>0</v>
      </c>
      <c r="U140" s="711" t="str">
        <f t="shared" si="1290"/>
        <v>Based on savings from LG&amp;E/KU Commercial Rebates report for 20 HP pump - assumes savings increase linearly per HP increases</v>
      </c>
      <c r="V140" s="716">
        <f t="shared" si="1290"/>
        <v>0</v>
      </c>
      <c r="W140" s="711">
        <f t="shared" si="1290"/>
        <v>1</v>
      </c>
      <c r="X140" s="781">
        <f t="shared" ref="X140:AJ140" si="1291">X26/2</f>
        <v>0</v>
      </c>
      <c r="Y140" s="781">
        <f t="shared" si="1291"/>
        <v>0</v>
      </c>
      <c r="Z140" s="781">
        <f t="shared" si="1291"/>
        <v>2</v>
      </c>
      <c r="AA140" s="781">
        <f t="shared" si="1291"/>
        <v>0</v>
      </c>
      <c r="AB140" s="781">
        <f t="shared" si="1291"/>
        <v>1</v>
      </c>
      <c r="AC140" s="781">
        <f t="shared" si="1291"/>
        <v>1</v>
      </c>
      <c r="AD140" s="781">
        <f t="shared" si="1291"/>
        <v>1</v>
      </c>
      <c r="AE140" s="781">
        <f t="shared" si="1291"/>
        <v>1</v>
      </c>
      <c r="AF140" s="781">
        <f t="shared" si="1291"/>
        <v>1</v>
      </c>
      <c r="AG140" s="781">
        <f t="shared" si="1291"/>
        <v>1</v>
      </c>
      <c r="AH140" s="781">
        <f t="shared" si="1291"/>
        <v>1</v>
      </c>
      <c r="AI140" s="781">
        <f t="shared" si="1291"/>
        <v>1</v>
      </c>
      <c r="AJ140" s="781">
        <f t="shared" si="1291"/>
        <v>1</v>
      </c>
      <c r="AK140" s="711" t="str">
        <f t="shared" ref="AK140:BA140" si="1292">AK26</f>
        <v>Electric</v>
      </c>
      <c r="AL140" s="711" t="str">
        <f t="shared" si="1292"/>
        <v>Commercial</v>
      </c>
      <c r="AM140" s="711" t="str">
        <f t="shared" si="1292"/>
        <v>Large Office</v>
      </c>
      <c r="AN140" s="711" t="str">
        <f t="shared" si="1292"/>
        <v>Ventilation And Circulation</v>
      </c>
      <c r="AO140" s="711" t="str">
        <f t="shared" si="1292"/>
        <v>Existing</v>
      </c>
      <c r="AP140" s="711">
        <f t="shared" si="1292"/>
        <v>0</v>
      </c>
      <c r="AQ140" s="711">
        <f t="shared" si="1292"/>
        <v>0</v>
      </c>
      <c r="AR140" s="711">
        <f t="shared" si="1292"/>
        <v>0</v>
      </c>
      <c r="AS140" s="711" t="str">
        <f t="shared" si="1292"/>
        <v>OFFLGCool</v>
      </c>
      <c r="AT140" s="715" t="s">
        <v>745</v>
      </c>
      <c r="AU140" s="711" t="str">
        <f t="shared" si="1292"/>
        <v>LGE NonRes</v>
      </c>
      <c r="AV140" s="711">
        <f t="shared" si="1292"/>
        <v>20</v>
      </c>
      <c r="AW140" s="711">
        <f t="shared" si="1292"/>
        <v>20</v>
      </c>
      <c r="AX140" s="711" t="str">
        <f t="shared" si="1292"/>
        <v>Based on the Xcel 2015/2016 DSM plan for the product "Motor Efficiency". Pg 440</v>
      </c>
      <c r="AY140" s="711">
        <f t="shared" si="1292"/>
        <v>1</v>
      </c>
      <c r="AZ140" s="711">
        <f t="shared" si="1292"/>
        <v>1</v>
      </c>
      <c r="BA140" s="1066">
        <f t="shared" si="1292"/>
        <v>0</v>
      </c>
      <c r="BB140" s="721">
        <f t="shared" si="1079"/>
        <v>1458.0359273368367</v>
      </c>
      <c r="BC140" s="499">
        <f t="shared" si="1080"/>
        <v>1458.0359273368367</v>
      </c>
      <c r="BD140" s="499">
        <f t="shared" si="1081"/>
        <v>1458.0359273368367</v>
      </c>
      <c r="BE140" s="499">
        <f t="shared" si="1082"/>
        <v>1458.0359273368367</v>
      </c>
      <c r="BF140" s="499">
        <f t="shared" si="1083"/>
        <v>1458.0359273368367</v>
      </c>
      <c r="BG140" s="499">
        <f t="shared" si="1084"/>
        <v>1458.0359273368367</v>
      </c>
      <c r="BH140" s="499">
        <f t="shared" si="1085"/>
        <v>1458.0359273368367</v>
      </c>
      <c r="BI140" s="721">
        <f t="shared" si="1060"/>
        <v>0</v>
      </c>
      <c r="BJ140" s="499">
        <f t="shared" ref="BJ140:BM140" si="1293">BI140</f>
        <v>0</v>
      </c>
      <c r="BK140" s="499">
        <f t="shared" si="1293"/>
        <v>0</v>
      </c>
      <c r="BL140" s="499">
        <f t="shared" si="1293"/>
        <v>0</v>
      </c>
      <c r="BM140" s="499">
        <f t="shared" si="1293"/>
        <v>0</v>
      </c>
      <c r="BN140" s="499">
        <f t="shared" si="1087"/>
        <v>0</v>
      </c>
      <c r="BO140" s="499">
        <f t="shared" si="1088"/>
        <v>0</v>
      </c>
      <c r="BP140" s="721">
        <f t="shared" si="1062"/>
        <v>300</v>
      </c>
      <c r="BQ140" s="499">
        <f t="shared" si="1063"/>
        <v>300</v>
      </c>
      <c r="BR140" s="499">
        <f t="shared" si="1089"/>
        <v>300</v>
      </c>
      <c r="BS140" s="499">
        <f t="shared" si="1090"/>
        <v>300</v>
      </c>
      <c r="BT140" s="499">
        <f t="shared" si="1091"/>
        <v>300</v>
      </c>
      <c r="BU140" s="499">
        <f t="shared" si="1092"/>
        <v>300</v>
      </c>
      <c r="BV140" s="499">
        <f t="shared" si="1093"/>
        <v>300</v>
      </c>
      <c r="BW140" s="774">
        <f t="shared" si="1094"/>
        <v>0</v>
      </c>
      <c r="BX140" s="503">
        <f t="shared" si="1094"/>
        <v>0</v>
      </c>
      <c r="BY140" s="503">
        <f t="shared" si="1094"/>
        <v>0</v>
      </c>
      <c r="BZ140" s="503">
        <f t="shared" si="1094"/>
        <v>0</v>
      </c>
      <c r="CA140" s="503">
        <f t="shared" si="1094"/>
        <v>0</v>
      </c>
      <c r="CB140" s="503">
        <f t="shared" si="1094"/>
        <v>0</v>
      </c>
      <c r="CC140" s="503">
        <f t="shared" si="1094"/>
        <v>0</v>
      </c>
      <c r="CD140" s="722">
        <f t="shared" si="1070"/>
        <v>11223.75</v>
      </c>
      <c r="CE140" s="511">
        <f t="shared" ref="CE140:CH140" si="1294">CD140</f>
        <v>11223.75</v>
      </c>
      <c r="CF140" s="511">
        <f t="shared" si="1294"/>
        <v>11223.75</v>
      </c>
      <c r="CG140" s="511">
        <f t="shared" si="1294"/>
        <v>11223.75</v>
      </c>
      <c r="CH140" s="511">
        <f t="shared" si="1294"/>
        <v>11223.75</v>
      </c>
      <c r="CI140" s="511">
        <f t="shared" si="1096"/>
        <v>11223.75</v>
      </c>
      <c r="CJ140" s="511">
        <f t="shared" si="1097"/>
        <v>11223.75</v>
      </c>
      <c r="CK140" s="722">
        <f t="shared" si="1072"/>
        <v>3.7624999999999997</v>
      </c>
      <c r="CL140" s="511">
        <f t="shared" ref="CL140:CO140" si="1295">CK140</f>
        <v>3.7624999999999997</v>
      </c>
      <c r="CM140" s="511">
        <f t="shared" si="1295"/>
        <v>3.7624999999999997</v>
      </c>
      <c r="CN140" s="511">
        <f t="shared" si="1295"/>
        <v>3.7624999999999997</v>
      </c>
      <c r="CO140" s="511">
        <f t="shared" si="1295"/>
        <v>3.7624999999999997</v>
      </c>
      <c r="CP140" s="511">
        <f t="shared" si="1099"/>
        <v>3.7624999999999997</v>
      </c>
      <c r="CQ140" s="511">
        <f t="shared" si="1100"/>
        <v>3.7624999999999997</v>
      </c>
      <c r="CR140" s="722">
        <f t="shared" si="1074"/>
        <v>0</v>
      </c>
      <c r="CS140" s="511">
        <f t="shared" ref="CS140:CV140" si="1296">CR140</f>
        <v>0</v>
      </c>
      <c r="CT140" s="511">
        <f t="shared" si="1296"/>
        <v>0</v>
      </c>
      <c r="CU140" s="511">
        <f t="shared" si="1296"/>
        <v>0</v>
      </c>
      <c r="CV140" s="511">
        <f t="shared" si="1296"/>
        <v>0</v>
      </c>
      <c r="CW140" s="511">
        <f t="shared" si="1102"/>
        <v>0</v>
      </c>
      <c r="CX140" s="539">
        <f t="shared" si="1103"/>
        <v>0</v>
      </c>
      <c r="CY140" s="724">
        <f t="shared" si="1196"/>
        <v>1458.0359273368367</v>
      </c>
      <c r="CZ140" s="508">
        <f t="shared" si="1197"/>
        <v>1458.0359273368367</v>
      </c>
      <c r="DA140" s="508">
        <f t="shared" si="1198"/>
        <v>1458.0359273368367</v>
      </c>
      <c r="DB140" s="508">
        <f t="shared" si="1199"/>
        <v>1458.0359273368367</v>
      </c>
      <c r="DC140" s="508">
        <f t="shared" si="1200"/>
        <v>1458.0359273368367</v>
      </c>
      <c r="DD140" s="508">
        <f t="shared" si="1201"/>
        <v>1458.0359273368367</v>
      </c>
      <c r="DE140" s="726">
        <f t="shared" si="1202"/>
        <v>1458.0359273368367</v>
      </c>
      <c r="DF140" s="724">
        <f t="shared" si="1203"/>
        <v>0</v>
      </c>
      <c r="DG140" s="509">
        <f t="shared" si="1204"/>
        <v>0</v>
      </c>
      <c r="DH140" s="509">
        <f t="shared" si="1205"/>
        <v>0</v>
      </c>
      <c r="DI140" s="509">
        <f t="shared" si="1206"/>
        <v>0</v>
      </c>
      <c r="DJ140" s="509">
        <f t="shared" si="1207"/>
        <v>0</v>
      </c>
      <c r="DK140" s="509">
        <f t="shared" si="1208"/>
        <v>0</v>
      </c>
      <c r="DL140" s="451">
        <f t="shared" si="1209"/>
        <v>0</v>
      </c>
      <c r="DM140" s="509">
        <f t="shared" si="1210"/>
        <v>300</v>
      </c>
      <c r="DN140" s="509">
        <f t="shared" si="1211"/>
        <v>300</v>
      </c>
      <c r="DO140" s="509">
        <f t="shared" si="1212"/>
        <v>300</v>
      </c>
      <c r="DP140" s="509">
        <f t="shared" si="1213"/>
        <v>300</v>
      </c>
      <c r="DQ140" s="509">
        <f t="shared" si="1214"/>
        <v>300</v>
      </c>
      <c r="DR140" s="509">
        <f t="shared" si="1215"/>
        <v>300</v>
      </c>
      <c r="DS140" s="450">
        <f t="shared" si="1216"/>
        <v>300</v>
      </c>
      <c r="DT140" s="724">
        <f t="shared" si="1217"/>
        <v>0</v>
      </c>
      <c r="DU140" s="508">
        <f t="shared" si="1218"/>
        <v>0</v>
      </c>
      <c r="DV140" s="508">
        <f t="shared" si="1219"/>
        <v>0</v>
      </c>
      <c r="DW140" s="508">
        <f t="shared" si="1220"/>
        <v>0</v>
      </c>
      <c r="DX140" s="508">
        <f t="shared" si="1221"/>
        <v>0</v>
      </c>
      <c r="DY140" s="508">
        <f t="shared" si="1222"/>
        <v>0</v>
      </c>
      <c r="DZ140" s="726">
        <f t="shared" si="1223"/>
        <v>0</v>
      </c>
      <c r="EA140" s="722">
        <f t="shared" si="1224"/>
        <v>11223.75</v>
      </c>
      <c r="EB140" s="511">
        <f t="shared" si="1225"/>
        <v>11223.75</v>
      </c>
      <c r="EC140" s="511">
        <f t="shared" si="1226"/>
        <v>11223.75</v>
      </c>
      <c r="ED140" s="511">
        <f t="shared" si="1227"/>
        <v>11223.75</v>
      </c>
      <c r="EE140" s="511">
        <f t="shared" si="1228"/>
        <v>11223.75</v>
      </c>
      <c r="EF140" s="511">
        <f t="shared" si="1229"/>
        <v>11223.75</v>
      </c>
      <c r="EG140" s="723">
        <f t="shared" si="1230"/>
        <v>11223.75</v>
      </c>
      <c r="EH140" s="397">
        <f t="shared" si="1231"/>
        <v>3.7624999999999997</v>
      </c>
      <c r="EI140" s="397">
        <f t="shared" si="1232"/>
        <v>3.7624999999999997</v>
      </c>
      <c r="EJ140" s="397">
        <f t="shared" si="1233"/>
        <v>3.7624999999999997</v>
      </c>
      <c r="EK140" s="397">
        <f t="shared" si="1234"/>
        <v>3.7624999999999997</v>
      </c>
      <c r="EL140" s="397">
        <f t="shared" si="1235"/>
        <v>3.7624999999999997</v>
      </c>
      <c r="EM140" s="397">
        <f t="shared" si="1236"/>
        <v>3.7624999999999997</v>
      </c>
      <c r="EN140" s="398">
        <f t="shared" si="1237"/>
        <v>3.7624999999999997</v>
      </c>
      <c r="EO140" s="722">
        <f t="shared" si="1238"/>
        <v>0</v>
      </c>
      <c r="EP140" s="511">
        <f t="shared" si="1239"/>
        <v>0</v>
      </c>
      <c r="EQ140" s="511">
        <f t="shared" si="1240"/>
        <v>0</v>
      </c>
      <c r="ER140" s="511">
        <f t="shared" si="1241"/>
        <v>0</v>
      </c>
      <c r="ES140" s="511">
        <f t="shared" si="1242"/>
        <v>0</v>
      </c>
      <c r="ET140" s="511">
        <f t="shared" si="1243"/>
        <v>0</v>
      </c>
      <c r="EU140" s="723">
        <f t="shared" si="1244"/>
        <v>0</v>
      </c>
      <c r="EV140" s="727">
        <f t="shared" si="1245"/>
        <v>3</v>
      </c>
      <c r="EW140" s="728">
        <f t="shared" si="1246"/>
        <v>10206.251491357856</v>
      </c>
      <c r="EX140" s="728">
        <f t="shared" si="1247"/>
        <v>0</v>
      </c>
      <c r="EY140" s="728">
        <f t="shared" si="1248"/>
        <v>2100</v>
      </c>
      <c r="EZ140" s="728">
        <f t="shared" si="1249"/>
        <v>0</v>
      </c>
      <c r="FA140" s="777">
        <f t="shared" si="1250"/>
        <v>78566.25</v>
      </c>
      <c r="FB140" s="777">
        <f t="shared" si="1251"/>
        <v>26.337499999999999</v>
      </c>
      <c r="FC140" s="778">
        <f t="shared" si="1252"/>
        <v>0</v>
      </c>
      <c r="FE140" s="10"/>
      <c r="FF140" s="10"/>
    </row>
    <row r="141" spans="1:162">
      <c r="A141" s="662" t="s">
        <v>248</v>
      </c>
      <c r="B141" s="789" t="s">
        <v>1432</v>
      </c>
      <c r="C141" s="789" t="str">
        <f t="shared" ref="C141:O141" si="1297">C27</f>
        <v>Variable Frequency Drives (VFDs) - All Sizes</v>
      </c>
      <c r="D141" s="789" t="str">
        <f t="shared" si="1297"/>
        <v>No Drive</v>
      </c>
      <c r="E141" s="789" t="str">
        <f t="shared" si="1297"/>
        <v>Per VFD</v>
      </c>
      <c r="F141" s="789" t="str">
        <f t="shared" si="1297"/>
        <v>Per HP</v>
      </c>
      <c r="G141" s="704" t="str">
        <f t="shared" si="1297"/>
        <v>Incremental Cost</v>
      </c>
      <c r="H141" s="704">
        <f t="shared" si="1297"/>
        <v>166.5</v>
      </c>
      <c r="I141" s="704">
        <f t="shared" si="1297"/>
        <v>0</v>
      </c>
      <c r="J141" s="704">
        <f t="shared" si="1297"/>
        <v>166.5</v>
      </c>
      <c r="K141" s="704">
        <f t="shared" si="1297"/>
        <v>0</v>
      </c>
      <c r="L141" s="704">
        <f t="shared" si="1297"/>
        <v>83.25</v>
      </c>
      <c r="M141" s="707" t="str">
        <f t="shared" si="1297"/>
        <v>$210.52/HP for variable torque measures; $122.48/HP for constant torque measures per FOE TRM (p. 721). This cost represents an everage of the two values.</v>
      </c>
      <c r="N141" s="704">
        <f t="shared" si="1297"/>
        <v>16</v>
      </c>
      <c r="O141" s="704">
        <f t="shared" si="1297"/>
        <v>16</v>
      </c>
      <c r="P141" s="704">
        <f t="shared" si="1289"/>
        <v>0</v>
      </c>
      <c r="Q141" s="704">
        <f t="shared" si="1289"/>
        <v>0</v>
      </c>
      <c r="R141" s="1021">
        <f t="shared" si="1290"/>
        <v>506.02290683714386</v>
      </c>
      <c r="S141" s="872">
        <f t="shared" si="1290"/>
        <v>0.11135992280977929</v>
      </c>
      <c r="T141" s="1022">
        <f t="shared" si="1290"/>
        <v>0</v>
      </c>
      <c r="U141" s="711" t="str">
        <f t="shared" si="1290"/>
        <v>LG&amp;E/KU Commercial Rebates Report - Appendix A</v>
      </c>
      <c r="V141" s="716">
        <f t="shared" si="1290"/>
        <v>0</v>
      </c>
      <c r="W141" s="711">
        <f t="shared" si="1290"/>
        <v>1</v>
      </c>
      <c r="X141" s="781">
        <f t="shared" ref="X141:AJ141" si="1298">X27/2</f>
        <v>3865.5</v>
      </c>
      <c r="Y141" s="781">
        <f t="shared" si="1298"/>
        <v>577</v>
      </c>
      <c r="Z141" s="781">
        <f t="shared" si="1298"/>
        <v>1299.5</v>
      </c>
      <c r="AA141" s="781">
        <f t="shared" si="1298"/>
        <v>1795.7142857142856</v>
      </c>
      <c r="AB141" s="781">
        <f t="shared" si="1298"/>
        <v>1547.6071428571427</v>
      </c>
      <c r="AC141" s="781">
        <f t="shared" si="1298"/>
        <v>1547.6071428571427</v>
      </c>
      <c r="AD141" s="781">
        <f t="shared" si="1298"/>
        <v>1547.6071428571427</v>
      </c>
      <c r="AE141" s="781">
        <f t="shared" si="1298"/>
        <v>1547.6071428571427</v>
      </c>
      <c r="AF141" s="781">
        <f t="shared" si="1298"/>
        <v>1547.6071428571427</v>
      </c>
      <c r="AG141" s="781">
        <f t="shared" si="1298"/>
        <v>1547.6071428571427</v>
      </c>
      <c r="AH141" s="781">
        <f t="shared" si="1298"/>
        <v>1547.6071428571427</v>
      </c>
      <c r="AI141" s="781">
        <f t="shared" si="1298"/>
        <v>1547.6071428571427</v>
      </c>
      <c r="AJ141" s="781">
        <f t="shared" si="1298"/>
        <v>1547.6071428571427</v>
      </c>
      <c r="AK141" s="711" t="str">
        <f t="shared" ref="AK141:BA141" si="1299">AK27</f>
        <v>Electric</v>
      </c>
      <c r="AL141" s="711" t="str">
        <f t="shared" si="1299"/>
        <v>Commercial</v>
      </c>
      <c r="AM141" s="711" t="str">
        <f t="shared" si="1299"/>
        <v>Large Office</v>
      </c>
      <c r="AN141" s="711" t="str">
        <f t="shared" si="1299"/>
        <v>Ventilation And Circulation</v>
      </c>
      <c r="AO141" s="711" t="str">
        <f t="shared" si="1299"/>
        <v>Existing</v>
      </c>
      <c r="AP141" s="711">
        <f t="shared" si="1299"/>
        <v>0</v>
      </c>
      <c r="AQ141" s="711">
        <f t="shared" si="1299"/>
        <v>0</v>
      </c>
      <c r="AR141" s="711">
        <f t="shared" si="1299"/>
        <v>0</v>
      </c>
      <c r="AS141" s="711" t="str">
        <f t="shared" si="1299"/>
        <v>OFFLGCool</v>
      </c>
      <c r="AT141" s="715" t="s">
        <v>745</v>
      </c>
      <c r="AU141" s="711" t="str">
        <f t="shared" si="1299"/>
        <v>LGE NonRes</v>
      </c>
      <c r="AV141" s="711">
        <f t="shared" si="1299"/>
        <v>15</v>
      </c>
      <c r="AW141" s="711">
        <f t="shared" si="1299"/>
        <v>15</v>
      </c>
      <c r="AX141" s="711" t="str">
        <f t="shared" si="1299"/>
        <v>Based on the Xcel 2015/2016 DSM plan for the product "Motor Efficiency - VFD". Pg 440</v>
      </c>
      <c r="AY141" s="711">
        <f t="shared" si="1299"/>
        <v>1</v>
      </c>
      <c r="AZ141" s="711">
        <f t="shared" si="1299"/>
        <v>1</v>
      </c>
      <c r="BA141" s="1066">
        <f t="shared" si="1299"/>
        <v>0</v>
      </c>
      <c r="BB141" s="721">
        <f t="shared" si="1079"/>
        <v>166.5</v>
      </c>
      <c r="BC141" s="499">
        <f t="shared" si="1080"/>
        <v>166.5</v>
      </c>
      <c r="BD141" s="499">
        <f t="shared" si="1081"/>
        <v>166.5</v>
      </c>
      <c r="BE141" s="499">
        <f t="shared" si="1082"/>
        <v>166.5</v>
      </c>
      <c r="BF141" s="499">
        <f t="shared" si="1083"/>
        <v>166.5</v>
      </c>
      <c r="BG141" s="499">
        <f t="shared" si="1084"/>
        <v>166.5</v>
      </c>
      <c r="BH141" s="499">
        <f t="shared" si="1085"/>
        <v>166.5</v>
      </c>
      <c r="BI141" s="721">
        <f t="shared" si="1060"/>
        <v>0</v>
      </c>
      <c r="BJ141" s="499">
        <f t="shared" ref="BJ141:BM141" si="1300">BI141</f>
        <v>0</v>
      </c>
      <c r="BK141" s="499">
        <f t="shared" si="1300"/>
        <v>0</v>
      </c>
      <c r="BL141" s="499">
        <f t="shared" si="1300"/>
        <v>0</v>
      </c>
      <c r="BM141" s="499">
        <f t="shared" si="1300"/>
        <v>0</v>
      </c>
      <c r="BN141" s="499">
        <f t="shared" si="1087"/>
        <v>0</v>
      </c>
      <c r="BO141" s="499">
        <f t="shared" si="1088"/>
        <v>0</v>
      </c>
      <c r="BP141" s="721">
        <f t="shared" si="1062"/>
        <v>16</v>
      </c>
      <c r="BQ141" s="499">
        <f t="shared" si="1063"/>
        <v>16</v>
      </c>
      <c r="BR141" s="499">
        <f t="shared" si="1089"/>
        <v>16</v>
      </c>
      <c r="BS141" s="499">
        <f t="shared" si="1090"/>
        <v>16</v>
      </c>
      <c r="BT141" s="499">
        <f t="shared" si="1091"/>
        <v>16</v>
      </c>
      <c r="BU141" s="499">
        <f t="shared" si="1092"/>
        <v>16</v>
      </c>
      <c r="BV141" s="499">
        <f t="shared" si="1093"/>
        <v>16</v>
      </c>
      <c r="BW141" s="774">
        <f t="shared" si="1094"/>
        <v>0</v>
      </c>
      <c r="BX141" s="503">
        <f t="shared" si="1094"/>
        <v>0</v>
      </c>
      <c r="BY141" s="503">
        <f t="shared" si="1094"/>
        <v>0</v>
      </c>
      <c r="BZ141" s="503">
        <f t="shared" si="1094"/>
        <v>0</v>
      </c>
      <c r="CA141" s="503">
        <f t="shared" si="1094"/>
        <v>0</v>
      </c>
      <c r="CB141" s="503">
        <f t="shared" si="1094"/>
        <v>0</v>
      </c>
      <c r="CC141" s="503">
        <f t="shared" si="1094"/>
        <v>0</v>
      </c>
      <c r="CD141" s="722">
        <f t="shared" si="1070"/>
        <v>506.02290683714386</v>
      </c>
      <c r="CE141" s="511">
        <f t="shared" ref="CE141:CH141" si="1301">CD141</f>
        <v>506.02290683714386</v>
      </c>
      <c r="CF141" s="511">
        <f t="shared" si="1301"/>
        <v>506.02290683714386</v>
      </c>
      <c r="CG141" s="511">
        <f t="shared" si="1301"/>
        <v>506.02290683714386</v>
      </c>
      <c r="CH141" s="511">
        <f t="shared" si="1301"/>
        <v>506.02290683714386</v>
      </c>
      <c r="CI141" s="511">
        <f t="shared" si="1096"/>
        <v>506.02290683714386</v>
      </c>
      <c r="CJ141" s="511">
        <f t="shared" si="1097"/>
        <v>506.02290683714386</v>
      </c>
      <c r="CK141" s="722">
        <f t="shared" si="1072"/>
        <v>0.11135992280977929</v>
      </c>
      <c r="CL141" s="511">
        <f t="shared" ref="CL141:CO141" si="1302">CK141</f>
        <v>0.11135992280977929</v>
      </c>
      <c r="CM141" s="511">
        <f t="shared" si="1302"/>
        <v>0.11135992280977929</v>
      </c>
      <c r="CN141" s="511">
        <f t="shared" si="1302"/>
        <v>0.11135992280977929</v>
      </c>
      <c r="CO141" s="511">
        <f t="shared" si="1302"/>
        <v>0.11135992280977929</v>
      </c>
      <c r="CP141" s="511">
        <f t="shared" si="1099"/>
        <v>0.11135992280977929</v>
      </c>
      <c r="CQ141" s="511">
        <f t="shared" si="1100"/>
        <v>0.11135992280977929</v>
      </c>
      <c r="CR141" s="722">
        <f t="shared" si="1074"/>
        <v>0</v>
      </c>
      <c r="CS141" s="511">
        <f t="shared" ref="CS141:CV141" si="1303">CR141</f>
        <v>0</v>
      </c>
      <c r="CT141" s="511">
        <f t="shared" si="1303"/>
        <v>0</v>
      </c>
      <c r="CU141" s="511">
        <f t="shared" si="1303"/>
        <v>0</v>
      </c>
      <c r="CV141" s="511">
        <f t="shared" si="1303"/>
        <v>0</v>
      </c>
      <c r="CW141" s="511">
        <f t="shared" si="1102"/>
        <v>0</v>
      </c>
      <c r="CX141" s="539">
        <f t="shared" si="1103"/>
        <v>0</v>
      </c>
      <c r="CY141" s="724">
        <f t="shared" si="1196"/>
        <v>257676.58928571426</v>
      </c>
      <c r="CZ141" s="508">
        <f t="shared" si="1197"/>
        <v>257676.58928571426</v>
      </c>
      <c r="DA141" s="508">
        <f t="shared" si="1198"/>
        <v>257676.58928571426</v>
      </c>
      <c r="DB141" s="508">
        <f t="shared" si="1199"/>
        <v>257676.58928571426</v>
      </c>
      <c r="DC141" s="508">
        <f t="shared" si="1200"/>
        <v>257676.58928571426</v>
      </c>
      <c r="DD141" s="508">
        <f t="shared" si="1201"/>
        <v>257676.58928571426</v>
      </c>
      <c r="DE141" s="726">
        <f t="shared" si="1202"/>
        <v>257676.58928571426</v>
      </c>
      <c r="DF141" s="724">
        <f t="shared" si="1203"/>
        <v>0</v>
      </c>
      <c r="DG141" s="509">
        <f t="shared" si="1204"/>
        <v>0</v>
      </c>
      <c r="DH141" s="509">
        <f t="shared" si="1205"/>
        <v>0</v>
      </c>
      <c r="DI141" s="509">
        <f t="shared" si="1206"/>
        <v>0</v>
      </c>
      <c r="DJ141" s="509">
        <f t="shared" si="1207"/>
        <v>0</v>
      </c>
      <c r="DK141" s="509">
        <f t="shared" si="1208"/>
        <v>0</v>
      </c>
      <c r="DL141" s="451">
        <f t="shared" si="1209"/>
        <v>0</v>
      </c>
      <c r="DM141" s="509">
        <f t="shared" si="1210"/>
        <v>24761.714285714283</v>
      </c>
      <c r="DN141" s="509">
        <f t="shared" si="1211"/>
        <v>24761.714285714283</v>
      </c>
      <c r="DO141" s="509">
        <f t="shared" si="1212"/>
        <v>24761.714285714283</v>
      </c>
      <c r="DP141" s="509">
        <f t="shared" si="1213"/>
        <v>24761.714285714283</v>
      </c>
      <c r="DQ141" s="509">
        <f t="shared" si="1214"/>
        <v>24761.714285714283</v>
      </c>
      <c r="DR141" s="509">
        <f t="shared" si="1215"/>
        <v>24761.714285714283</v>
      </c>
      <c r="DS141" s="450">
        <f t="shared" si="1216"/>
        <v>24761.714285714283</v>
      </c>
      <c r="DT141" s="724">
        <f t="shared" si="1217"/>
        <v>0</v>
      </c>
      <c r="DU141" s="508">
        <f t="shared" si="1218"/>
        <v>0</v>
      </c>
      <c r="DV141" s="508">
        <f t="shared" si="1219"/>
        <v>0</v>
      </c>
      <c r="DW141" s="508">
        <f t="shared" si="1220"/>
        <v>0</v>
      </c>
      <c r="DX141" s="508">
        <f t="shared" si="1221"/>
        <v>0</v>
      </c>
      <c r="DY141" s="508">
        <f t="shared" si="1222"/>
        <v>0</v>
      </c>
      <c r="DZ141" s="726">
        <f t="shared" si="1223"/>
        <v>0</v>
      </c>
      <c r="EA141" s="722">
        <f t="shared" si="1224"/>
        <v>783124.66507049825</v>
      </c>
      <c r="EB141" s="511">
        <f t="shared" si="1225"/>
        <v>783124.66507049825</v>
      </c>
      <c r="EC141" s="511">
        <f t="shared" si="1226"/>
        <v>783124.66507049825</v>
      </c>
      <c r="ED141" s="511">
        <f t="shared" si="1227"/>
        <v>783124.66507049825</v>
      </c>
      <c r="EE141" s="511">
        <f t="shared" si="1228"/>
        <v>783124.66507049825</v>
      </c>
      <c r="EF141" s="511">
        <f t="shared" si="1229"/>
        <v>783124.66507049825</v>
      </c>
      <c r="EG141" s="723">
        <f t="shared" si="1230"/>
        <v>783124.66507049825</v>
      </c>
      <c r="EH141" s="397">
        <f t="shared" si="1231"/>
        <v>172.34141196843447</v>
      </c>
      <c r="EI141" s="397">
        <f t="shared" si="1232"/>
        <v>172.34141196843447</v>
      </c>
      <c r="EJ141" s="397">
        <f t="shared" si="1233"/>
        <v>172.34141196843447</v>
      </c>
      <c r="EK141" s="397">
        <f t="shared" si="1234"/>
        <v>172.34141196843447</v>
      </c>
      <c r="EL141" s="397">
        <f t="shared" si="1235"/>
        <v>172.34141196843447</v>
      </c>
      <c r="EM141" s="397">
        <f t="shared" si="1236"/>
        <v>172.34141196843447</v>
      </c>
      <c r="EN141" s="398">
        <f t="shared" si="1237"/>
        <v>172.34141196843447</v>
      </c>
      <c r="EO141" s="722">
        <f t="shared" si="1238"/>
        <v>0</v>
      </c>
      <c r="EP141" s="511">
        <f t="shared" si="1239"/>
        <v>0</v>
      </c>
      <c r="EQ141" s="511">
        <f t="shared" si="1240"/>
        <v>0</v>
      </c>
      <c r="ER141" s="511">
        <f t="shared" si="1241"/>
        <v>0</v>
      </c>
      <c r="ES141" s="511">
        <f t="shared" si="1242"/>
        <v>0</v>
      </c>
      <c r="ET141" s="511">
        <f t="shared" si="1243"/>
        <v>0</v>
      </c>
      <c r="EU141" s="723">
        <f t="shared" si="1244"/>
        <v>0</v>
      </c>
      <c r="EV141" s="727">
        <f t="shared" si="1245"/>
        <v>4642.8214285714275</v>
      </c>
      <c r="EW141" s="728">
        <f t="shared" si="1246"/>
        <v>1803736.125</v>
      </c>
      <c r="EX141" s="728">
        <f t="shared" si="1247"/>
        <v>0</v>
      </c>
      <c r="EY141" s="728">
        <f t="shared" si="1248"/>
        <v>173332</v>
      </c>
      <c r="EZ141" s="728">
        <f t="shared" si="1249"/>
        <v>0</v>
      </c>
      <c r="FA141" s="777">
        <f t="shared" si="1250"/>
        <v>5481872.6554934876</v>
      </c>
      <c r="FB141" s="777">
        <f t="shared" si="1251"/>
        <v>1206.3898837790412</v>
      </c>
      <c r="FC141" s="778">
        <f t="shared" si="1252"/>
        <v>0</v>
      </c>
      <c r="FE141" s="10"/>
      <c r="FF141" s="10"/>
    </row>
    <row r="142" spans="1:162">
      <c r="A142" s="662" t="s">
        <v>249</v>
      </c>
      <c r="B142" s="789" t="s">
        <v>1433</v>
      </c>
      <c r="C142" s="789" t="str">
        <f t="shared" ref="C142:O142" si="1304">C28</f>
        <v>LED Refrigerated Display Light</v>
      </c>
      <c r="D142" s="789" t="str">
        <f t="shared" si="1304"/>
        <v>T8 Refrigerated Display Light</v>
      </c>
      <c r="E142" s="789" t="str">
        <f t="shared" si="1304"/>
        <v>Per 5' Lamp</v>
      </c>
      <c r="F142" s="789" t="str">
        <f t="shared" si="1304"/>
        <v>Per Unit</v>
      </c>
      <c r="G142" s="704" t="str">
        <f t="shared" si="1304"/>
        <v>Incremental Cost</v>
      </c>
      <c r="H142" s="704">
        <f t="shared" si="1304"/>
        <v>115</v>
      </c>
      <c r="I142" s="704">
        <f t="shared" si="1304"/>
        <v>0</v>
      </c>
      <c r="J142" s="704">
        <f t="shared" si="1304"/>
        <v>115</v>
      </c>
      <c r="K142" s="704">
        <f t="shared" si="1304"/>
        <v>-0.72333333333333327</v>
      </c>
      <c r="L142" s="704">
        <f t="shared" si="1304"/>
        <v>57.5</v>
      </c>
      <c r="M142" s="707" t="str">
        <f t="shared" si="1304"/>
        <v>Assuming 5' lamp, incremental cost is $23/linear foot; PV lifetime O&amp;M impacts per linear foot are $2.17 - assumed 5' lamp with maximum 15 year measure life</v>
      </c>
      <c r="N142" s="704">
        <f t="shared" si="1304"/>
        <v>9</v>
      </c>
      <c r="O142" s="704">
        <f t="shared" si="1304"/>
        <v>9</v>
      </c>
      <c r="P142" s="704">
        <f t="shared" si="1289"/>
        <v>0</v>
      </c>
      <c r="Q142" s="704">
        <f t="shared" si="1289"/>
        <v>0</v>
      </c>
      <c r="R142" s="1021">
        <f t="shared" si="1290"/>
        <v>345.43234999999999</v>
      </c>
      <c r="S142" s="872">
        <f t="shared" si="1290"/>
        <v>5.3078399999999998E-2</v>
      </c>
      <c r="T142" s="1022">
        <f t="shared" si="1290"/>
        <v>0</v>
      </c>
      <c r="U142" s="711" t="str">
        <f t="shared" si="1290"/>
        <v>Based on savings algorithms and assumptions from Mid-Atlanatic TRM v10 (LED Refrigerated Case Lighting) - Assuming unit size is 5' as with costs</v>
      </c>
      <c r="V142" s="716">
        <f t="shared" si="1290"/>
        <v>0</v>
      </c>
      <c r="W142" s="711">
        <f t="shared" si="1290"/>
        <v>1</v>
      </c>
      <c r="X142" s="781">
        <f t="shared" ref="X142:AJ142" si="1305">X28/2</f>
        <v>1224.5</v>
      </c>
      <c r="Y142" s="781">
        <f t="shared" si="1305"/>
        <v>597.5</v>
      </c>
      <c r="Z142" s="781">
        <f t="shared" si="1305"/>
        <v>310.5</v>
      </c>
      <c r="AA142" s="781">
        <f t="shared" si="1305"/>
        <v>324.85714285714283</v>
      </c>
      <c r="AB142" s="781">
        <f t="shared" si="1305"/>
        <v>317.67857142857144</v>
      </c>
      <c r="AC142" s="781">
        <f t="shared" si="1305"/>
        <v>317.67857142857144</v>
      </c>
      <c r="AD142" s="781">
        <f t="shared" si="1305"/>
        <v>317.67857142857144</v>
      </c>
      <c r="AE142" s="781">
        <f t="shared" si="1305"/>
        <v>317.67857142857144</v>
      </c>
      <c r="AF142" s="781">
        <f t="shared" si="1305"/>
        <v>317.67857142857144</v>
      </c>
      <c r="AG142" s="781">
        <f t="shared" si="1305"/>
        <v>317.67857142857144</v>
      </c>
      <c r="AH142" s="781">
        <f t="shared" si="1305"/>
        <v>317.67857142857144</v>
      </c>
      <c r="AI142" s="781">
        <f t="shared" si="1305"/>
        <v>317.67857142857144</v>
      </c>
      <c r="AJ142" s="781">
        <f t="shared" si="1305"/>
        <v>317.67857142857144</v>
      </c>
      <c r="AK142" s="711" t="str">
        <f t="shared" ref="AK142:BA142" si="1306">AK28</f>
        <v>Electric</v>
      </c>
      <c r="AL142" s="711" t="str">
        <f t="shared" si="1306"/>
        <v>Commercial</v>
      </c>
      <c r="AM142" s="711" t="str">
        <f t="shared" si="1306"/>
        <v>Grocery</v>
      </c>
      <c r="AN142" s="711" t="str">
        <f t="shared" si="1306"/>
        <v>Lighting</v>
      </c>
      <c r="AO142" s="711" t="str">
        <f t="shared" si="1306"/>
        <v>Existing</v>
      </c>
      <c r="AP142" s="711" t="str">
        <f t="shared" si="1306"/>
        <v>Display Case LEDs (Closed Cases)</v>
      </c>
      <c r="AQ142" s="711" t="str">
        <f t="shared" si="1306"/>
        <v>Display Case LEDs (Closed Cases)</v>
      </c>
      <c r="AR142" s="711" t="str">
        <f t="shared" si="1306"/>
        <v>Standard Case Lighting</v>
      </c>
      <c r="AS142" s="711" t="str">
        <f t="shared" si="1306"/>
        <v>Grocery InLight</v>
      </c>
      <c r="AT142" s="715" t="s">
        <v>745</v>
      </c>
      <c r="AU142" s="711" t="str">
        <f t="shared" si="1306"/>
        <v>LGE NonRes</v>
      </c>
      <c r="AV142" s="711">
        <f t="shared" si="1306"/>
        <v>8</v>
      </c>
      <c r="AW142" s="711">
        <f t="shared" si="1306"/>
        <v>8</v>
      </c>
      <c r="AX142" s="711" t="str">
        <f t="shared" si="1306"/>
        <v>Based on the RTF workbook: ComGroceryDisplayCaseLEDs_v3_2</v>
      </c>
      <c r="AY142" s="711">
        <f t="shared" si="1306"/>
        <v>1</v>
      </c>
      <c r="AZ142" s="711">
        <f t="shared" si="1306"/>
        <v>1</v>
      </c>
      <c r="BA142" s="1066">
        <f t="shared" si="1306"/>
        <v>0</v>
      </c>
      <c r="BB142" s="721">
        <f t="shared" si="1079"/>
        <v>115</v>
      </c>
      <c r="BC142" s="499">
        <f t="shared" si="1080"/>
        <v>115</v>
      </c>
      <c r="BD142" s="499">
        <f t="shared" si="1081"/>
        <v>115</v>
      </c>
      <c r="BE142" s="499">
        <f t="shared" si="1082"/>
        <v>115</v>
      </c>
      <c r="BF142" s="499">
        <f t="shared" si="1083"/>
        <v>115</v>
      </c>
      <c r="BG142" s="499">
        <f t="shared" si="1084"/>
        <v>115</v>
      </c>
      <c r="BH142" s="499">
        <f t="shared" si="1085"/>
        <v>115</v>
      </c>
      <c r="BI142" s="721">
        <f t="shared" si="1060"/>
        <v>-0.72333333333333327</v>
      </c>
      <c r="BJ142" s="499">
        <f t="shared" ref="BJ142:BM142" si="1307">BI142</f>
        <v>-0.72333333333333327</v>
      </c>
      <c r="BK142" s="499">
        <f t="shared" si="1307"/>
        <v>-0.72333333333333327</v>
      </c>
      <c r="BL142" s="499">
        <f t="shared" si="1307"/>
        <v>-0.72333333333333327</v>
      </c>
      <c r="BM142" s="499">
        <f t="shared" si="1307"/>
        <v>-0.72333333333333327</v>
      </c>
      <c r="BN142" s="499">
        <f t="shared" si="1087"/>
        <v>-0.72333333333333327</v>
      </c>
      <c r="BO142" s="499">
        <f t="shared" si="1088"/>
        <v>-0.72333333333333327</v>
      </c>
      <c r="BP142" s="721">
        <f t="shared" si="1062"/>
        <v>9</v>
      </c>
      <c r="BQ142" s="499">
        <f t="shared" si="1063"/>
        <v>9</v>
      </c>
      <c r="BR142" s="499">
        <f t="shared" si="1089"/>
        <v>9</v>
      </c>
      <c r="BS142" s="499">
        <f t="shared" si="1090"/>
        <v>9</v>
      </c>
      <c r="BT142" s="499">
        <f t="shared" si="1091"/>
        <v>9</v>
      </c>
      <c r="BU142" s="499">
        <f t="shared" si="1092"/>
        <v>9</v>
      </c>
      <c r="BV142" s="499">
        <f t="shared" si="1093"/>
        <v>9</v>
      </c>
      <c r="BW142" s="774">
        <f t="shared" si="1094"/>
        <v>0</v>
      </c>
      <c r="BX142" s="503">
        <f t="shared" si="1094"/>
        <v>0</v>
      </c>
      <c r="BY142" s="503">
        <f t="shared" si="1094"/>
        <v>0</v>
      </c>
      <c r="BZ142" s="503">
        <f t="shared" si="1094"/>
        <v>0</v>
      </c>
      <c r="CA142" s="503">
        <f t="shared" si="1094"/>
        <v>0</v>
      </c>
      <c r="CB142" s="503">
        <f t="shared" si="1094"/>
        <v>0</v>
      </c>
      <c r="CC142" s="503">
        <f t="shared" si="1094"/>
        <v>0</v>
      </c>
      <c r="CD142" s="722">
        <f t="shared" si="1070"/>
        <v>345.43234999999999</v>
      </c>
      <c r="CE142" s="511">
        <f t="shared" ref="CE142:CH142" si="1308">CD142</f>
        <v>345.43234999999999</v>
      </c>
      <c r="CF142" s="511">
        <f t="shared" si="1308"/>
        <v>345.43234999999999</v>
      </c>
      <c r="CG142" s="511">
        <f t="shared" si="1308"/>
        <v>345.43234999999999</v>
      </c>
      <c r="CH142" s="511">
        <f t="shared" si="1308"/>
        <v>345.43234999999999</v>
      </c>
      <c r="CI142" s="511">
        <f t="shared" si="1096"/>
        <v>345.43234999999999</v>
      </c>
      <c r="CJ142" s="511">
        <f t="shared" si="1097"/>
        <v>345.43234999999999</v>
      </c>
      <c r="CK142" s="722">
        <f t="shared" si="1072"/>
        <v>5.3078399999999998E-2</v>
      </c>
      <c r="CL142" s="511">
        <f t="shared" ref="CL142:CO142" si="1309">CK142</f>
        <v>5.3078399999999998E-2</v>
      </c>
      <c r="CM142" s="511">
        <f t="shared" si="1309"/>
        <v>5.3078399999999998E-2</v>
      </c>
      <c r="CN142" s="511">
        <f t="shared" si="1309"/>
        <v>5.3078399999999998E-2</v>
      </c>
      <c r="CO142" s="511">
        <f t="shared" si="1309"/>
        <v>5.3078399999999998E-2</v>
      </c>
      <c r="CP142" s="511">
        <f t="shared" si="1099"/>
        <v>5.3078399999999998E-2</v>
      </c>
      <c r="CQ142" s="511">
        <f t="shared" si="1100"/>
        <v>5.3078399999999998E-2</v>
      </c>
      <c r="CR142" s="722">
        <f t="shared" si="1074"/>
        <v>0</v>
      </c>
      <c r="CS142" s="511">
        <f t="shared" ref="CS142:CV142" si="1310">CR142</f>
        <v>0</v>
      </c>
      <c r="CT142" s="511">
        <f t="shared" si="1310"/>
        <v>0</v>
      </c>
      <c r="CU142" s="511">
        <f t="shared" si="1310"/>
        <v>0</v>
      </c>
      <c r="CV142" s="511">
        <f t="shared" si="1310"/>
        <v>0</v>
      </c>
      <c r="CW142" s="511">
        <f t="shared" si="1102"/>
        <v>0</v>
      </c>
      <c r="CX142" s="539">
        <f t="shared" si="1103"/>
        <v>0</v>
      </c>
      <c r="CY142" s="724">
        <f t="shared" si="1196"/>
        <v>36533.035714285717</v>
      </c>
      <c r="CZ142" s="508">
        <f t="shared" si="1197"/>
        <v>36533.035714285717</v>
      </c>
      <c r="DA142" s="508">
        <f t="shared" si="1198"/>
        <v>36533.035714285717</v>
      </c>
      <c r="DB142" s="508">
        <f t="shared" si="1199"/>
        <v>36533.035714285717</v>
      </c>
      <c r="DC142" s="508">
        <f t="shared" si="1200"/>
        <v>36533.035714285717</v>
      </c>
      <c r="DD142" s="508">
        <f t="shared" si="1201"/>
        <v>36533.035714285717</v>
      </c>
      <c r="DE142" s="726">
        <f t="shared" si="1202"/>
        <v>36533.035714285717</v>
      </c>
      <c r="DF142" s="724">
        <f t="shared" si="1203"/>
        <v>-229.78749999999999</v>
      </c>
      <c r="DG142" s="509">
        <f t="shared" si="1204"/>
        <v>-229.78749999999999</v>
      </c>
      <c r="DH142" s="509">
        <f t="shared" si="1205"/>
        <v>-229.78749999999999</v>
      </c>
      <c r="DI142" s="509">
        <f t="shared" si="1206"/>
        <v>-229.78749999999999</v>
      </c>
      <c r="DJ142" s="509">
        <f t="shared" si="1207"/>
        <v>-229.78749999999999</v>
      </c>
      <c r="DK142" s="509">
        <f t="shared" si="1208"/>
        <v>-229.78749999999999</v>
      </c>
      <c r="DL142" s="451">
        <f t="shared" si="1209"/>
        <v>-229.78749999999999</v>
      </c>
      <c r="DM142" s="509">
        <f t="shared" si="1210"/>
        <v>2859.1071428571431</v>
      </c>
      <c r="DN142" s="509">
        <f t="shared" si="1211"/>
        <v>2859.1071428571431</v>
      </c>
      <c r="DO142" s="509">
        <f t="shared" si="1212"/>
        <v>2859.1071428571431</v>
      </c>
      <c r="DP142" s="509">
        <f t="shared" si="1213"/>
        <v>2859.1071428571431</v>
      </c>
      <c r="DQ142" s="509">
        <f t="shared" si="1214"/>
        <v>2859.1071428571431</v>
      </c>
      <c r="DR142" s="509">
        <f t="shared" si="1215"/>
        <v>2859.1071428571431</v>
      </c>
      <c r="DS142" s="450">
        <f t="shared" si="1216"/>
        <v>2859.1071428571431</v>
      </c>
      <c r="DT142" s="724">
        <f t="shared" si="1217"/>
        <v>0</v>
      </c>
      <c r="DU142" s="508">
        <f t="shared" si="1218"/>
        <v>0</v>
      </c>
      <c r="DV142" s="508">
        <f t="shared" si="1219"/>
        <v>0</v>
      </c>
      <c r="DW142" s="508">
        <f t="shared" si="1220"/>
        <v>0</v>
      </c>
      <c r="DX142" s="508">
        <f t="shared" si="1221"/>
        <v>0</v>
      </c>
      <c r="DY142" s="508">
        <f t="shared" si="1222"/>
        <v>0</v>
      </c>
      <c r="DZ142" s="726">
        <f t="shared" si="1223"/>
        <v>0</v>
      </c>
      <c r="EA142" s="722">
        <f t="shared" si="1224"/>
        <v>109736.45547321429</v>
      </c>
      <c r="EB142" s="511">
        <f t="shared" si="1225"/>
        <v>109736.45547321429</v>
      </c>
      <c r="EC142" s="511">
        <f t="shared" si="1226"/>
        <v>109736.45547321429</v>
      </c>
      <c r="ED142" s="511">
        <f t="shared" si="1227"/>
        <v>109736.45547321429</v>
      </c>
      <c r="EE142" s="511">
        <f t="shared" si="1228"/>
        <v>109736.45547321429</v>
      </c>
      <c r="EF142" s="511">
        <f t="shared" si="1229"/>
        <v>109736.45547321429</v>
      </c>
      <c r="EG142" s="723">
        <f t="shared" si="1230"/>
        <v>109736.45547321429</v>
      </c>
      <c r="EH142" s="397">
        <f t="shared" si="1231"/>
        <v>16.861870285714286</v>
      </c>
      <c r="EI142" s="397">
        <f t="shared" si="1232"/>
        <v>16.861870285714286</v>
      </c>
      <c r="EJ142" s="397">
        <f t="shared" si="1233"/>
        <v>16.861870285714286</v>
      </c>
      <c r="EK142" s="397">
        <f t="shared" si="1234"/>
        <v>16.861870285714286</v>
      </c>
      <c r="EL142" s="397">
        <f t="shared" si="1235"/>
        <v>16.861870285714286</v>
      </c>
      <c r="EM142" s="397">
        <f t="shared" si="1236"/>
        <v>16.861870285714286</v>
      </c>
      <c r="EN142" s="398">
        <f t="shared" si="1237"/>
        <v>16.861870285714286</v>
      </c>
      <c r="EO142" s="722">
        <f t="shared" si="1238"/>
        <v>0</v>
      </c>
      <c r="EP142" s="511">
        <f t="shared" si="1239"/>
        <v>0</v>
      </c>
      <c r="EQ142" s="511">
        <f t="shared" si="1240"/>
        <v>0</v>
      </c>
      <c r="ER142" s="511">
        <f t="shared" si="1241"/>
        <v>0</v>
      </c>
      <c r="ES142" s="511">
        <f t="shared" si="1242"/>
        <v>0</v>
      </c>
      <c r="ET142" s="511">
        <f t="shared" si="1243"/>
        <v>0</v>
      </c>
      <c r="EU142" s="723">
        <f t="shared" si="1244"/>
        <v>0</v>
      </c>
      <c r="EV142" s="727">
        <f t="shared" si="1245"/>
        <v>953.03571428571433</v>
      </c>
      <c r="EW142" s="728">
        <f t="shared" si="1246"/>
        <v>255731.25</v>
      </c>
      <c r="EX142" s="728">
        <f t="shared" si="1247"/>
        <v>-1608.5124999999998</v>
      </c>
      <c r="EY142" s="728">
        <f t="shared" si="1248"/>
        <v>20013.75</v>
      </c>
      <c r="EZ142" s="728">
        <f t="shared" si="1249"/>
        <v>0</v>
      </c>
      <c r="FA142" s="777">
        <f t="shared" si="1250"/>
        <v>768155.18831250002</v>
      </c>
      <c r="FB142" s="777">
        <f t="shared" si="1251"/>
        <v>118.03309200000001</v>
      </c>
      <c r="FC142" s="778">
        <f t="shared" si="1252"/>
        <v>0</v>
      </c>
      <c r="FE142" s="10"/>
      <c r="FF142" s="10"/>
    </row>
    <row r="143" spans="1:162">
      <c r="A143" s="662" t="s">
        <v>250</v>
      </c>
      <c r="B143" s="789" t="s">
        <v>1434</v>
      </c>
      <c r="C143" s="789" t="str">
        <f t="shared" ref="C143:O143" si="1311">C29</f>
        <v>LED Exit Signs (replacement)</v>
      </c>
      <c r="D143" s="789" t="str">
        <f t="shared" si="1311"/>
        <v>CFL Exit Signs</v>
      </c>
      <c r="E143" s="789" t="str">
        <f t="shared" si="1311"/>
        <v>Per Fixture</v>
      </c>
      <c r="F143" s="789" t="str">
        <f t="shared" si="1311"/>
        <v>Per Unit</v>
      </c>
      <c r="G143" s="704" t="str">
        <f t="shared" si="1311"/>
        <v>Incremental Cost</v>
      </c>
      <c r="H143" s="704">
        <f t="shared" si="1311"/>
        <v>35</v>
      </c>
      <c r="I143" s="704">
        <f t="shared" si="1311"/>
        <v>0</v>
      </c>
      <c r="J143" s="704">
        <f t="shared" si="1311"/>
        <v>35</v>
      </c>
      <c r="K143" s="704">
        <f t="shared" si="1311"/>
        <v>0</v>
      </c>
      <c r="L143" s="704">
        <f t="shared" si="1311"/>
        <v>17.5</v>
      </c>
      <c r="M143" s="707" t="str">
        <f t="shared" si="1311"/>
        <v>LED Exit Sign from Mid-Atl TRM v9</v>
      </c>
      <c r="N143" s="704">
        <f t="shared" si="1311"/>
        <v>10</v>
      </c>
      <c r="O143" s="704">
        <f t="shared" si="1311"/>
        <v>10</v>
      </c>
      <c r="P143" s="704">
        <f t="shared" si="1289"/>
        <v>0</v>
      </c>
      <c r="Q143" s="704">
        <f t="shared" si="1289"/>
        <v>0</v>
      </c>
      <c r="R143" s="1021">
        <f t="shared" si="1290"/>
        <v>304.34429618001042</v>
      </c>
      <c r="S143" s="872">
        <f t="shared" si="1290"/>
        <v>4.7084510727367863E-2</v>
      </c>
      <c r="T143" s="1022">
        <f t="shared" si="1290"/>
        <v>0</v>
      </c>
      <c r="U143" s="711" t="str">
        <f t="shared" si="1290"/>
        <v>LG&amp;E/KU Commercial Rebates Report - Appendix A</v>
      </c>
      <c r="V143" s="716">
        <f t="shared" si="1290"/>
        <v>0</v>
      </c>
      <c r="W143" s="711">
        <f t="shared" si="1290"/>
        <v>1</v>
      </c>
      <c r="X143" s="781">
        <f t="shared" ref="X143:AJ143" si="1312">X29/2</f>
        <v>652.5</v>
      </c>
      <c r="Y143" s="781">
        <f t="shared" si="1312"/>
        <v>1109</v>
      </c>
      <c r="Z143" s="781">
        <f t="shared" si="1312"/>
        <v>877.5</v>
      </c>
      <c r="AA143" s="781">
        <f t="shared" si="1312"/>
        <v>498</v>
      </c>
      <c r="AB143" s="781">
        <f t="shared" si="1312"/>
        <v>687.75</v>
      </c>
      <c r="AC143" s="781">
        <f t="shared" si="1312"/>
        <v>687.75</v>
      </c>
      <c r="AD143" s="781">
        <f t="shared" si="1312"/>
        <v>687.75</v>
      </c>
      <c r="AE143" s="781">
        <f t="shared" si="1312"/>
        <v>687.75</v>
      </c>
      <c r="AF143" s="781">
        <f t="shared" si="1312"/>
        <v>687.75</v>
      </c>
      <c r="AG143" s="781">
        <f t="shared" si="1312"/>
        <v>687.75</v>
      </c>
      <c r="AH143" s="781">
        <f t="shared" si="1312"/>
        <v>687.75</v>
      </c>
      <c r="AI143" s="781">
        <f t="shared" si="1312"/>
        <v>687.75</v>
      </c>
      <c r="AJ143" s="781">
        <f t="shared" si="1312"/>
        <v>687.75</v>
      </c>
      <c r="AK143" s="711" t="str">
        <f t="shared" ref="AK143:BA143" si="1313">AK29</f>
        <v>Electric</v>
      </c>
      <c r="AL143" s="711" t="str">
        <f t="shared" si="1313"/>
        <v>Commercial</v>
      </c>
      <c r="AM143" s="711" t="str">
        <f t="shared" si="1313"/>
        <v>Large Office</v>
      </c>
      <c r="AN143" s="711" t="str">
        <f t="shared" si="1313"/>
        <v>Lighting</v>
      </c>
      <c r="AO143" s="711" t="str">
        <f t="shared" si="1313"/>
        <v>Existing</v>
      </c>
      <c r="AP143" s="711" t="str">
        <f t="shared" si="1313"/>
        <v>Exit Sign - LED</v>
      </c>
      <c r="AQ143" s="711" t="str">
        <f t="shared" si="1313"/>
        <v>LED Exit Sign</v>
      </c>
      <c r="AR143" s="711" t="str">
        <f t="shared" si="1313"/>
        <v>CFL Exit Sign</v>
      </c>
      <c r="AS143" s="711" t="str">
        <f t="shared" si="1313"/>
        <v>OFFLGInLight</v>
      </c>
      <c r="AT143" s="715" t="s">
        <v>745</v>
      </c>
      <c r="AU143" s="711" t="str">
        <f t="shared" si="1313"/>
        <v>LGE NonRes</v>
      </c>
      <c r="AV143" s="711">
        <f t="shared" si="1313"/>
        <v>16</v>
      </c>
      <c r="AW143" s="711">
        <f t="shared" si="1313"/>
        <v>16</v>
      </c>
      <c r="AX143" s="711" t="str">
        <f t="shared" si="1313"/>
        <v>Based on the DEER 2014 EUL database for the measure "Exit Lighting"</v>
      </c>
      <c r="AY143" s="711">
        <f t="shared" si="1313"/>
        <v>1</v>
      </c>
      <c r="AZ143" s="711">
        <f t="shared" si="1313"/>
        <v>1</v>
      </c>
      <c r="BA143" s="1066">
        <f t="shared" si="1313"/>
        <v>0</v>
      </c>
      <c r="BB143" s="721">
        <f t="shared" si="1079"/>
        <v>35</v>
      </c>
      <c r="BC143" s="499">
        <f t="shared" si="1080"/>
        <v>35</v>
      </c>
      <c r="BD143" s="499">
        <f t="shared" si="1081"/>
        <v>35</v>
      </c>
      <c r="BE143" s="499">
        <f t="shared" si="1082"/>
        <v>35</v>
      </c>
      <c r="BF143" s="499">
        <f t="shared" si="1083"/>
        <v>35</v>
      </c>
      <c r="BG143" s="499">
        <f t="shared" si="1084"/>
        <v>35</v>
      </c>
      <c r="BH143" s="499">
        <f t="shared" si="1085"/>
        <v>35</v>
      </c>
      <c r="BI143" s="721">
        <f t="shared" si="1060"/>
        <v>0</v>
      </c>
      <c r="BJ143" s="499">
        <f t="shared" ref="BJ143:BM143" si="1314">BI143</f>
        <v>0</v>
      </c>
      <c r="BK143" s="499">
        <f t="shared" si="1314"/>
        <v>0</v>
      </c>
      <c r="BL143" s="499">
        <f t="shared" si="1314"/>
        <v>0</v>
      </c>
      <c r="BM143" s="499">
        <f t="shared" si="1314"/>
        <v>0</v>
      </c>
      <c r="BN143" s="499">
        <f t="shared" si="1087"/>
        <v>0</v>
      </c>
      <c r="BO143" s="499">
        <f t="shared" si="1088"/>
        <v>0</v>
      </c>
      <c r="BP143" s="721">
        <f t="shared" si="1062"/>
        <v>10</v>
      </c>
      <c r="BQ143" s="499">
        <f t="shared" si="1063"/>
        <v>10</v>
      </c>
      <c r="BR143" s="499">
        <f t="shared" si="1089"/>
        <v>10</v>
      </c>
      <c r="BS143" s="499">
        <f t="shared" si="1090"/>
        <v>10</v>
      </c>
      <c r="BT143" s="499">
        <f t="shared" si="1091"/>
        <v>10</v>
      </c>
      <c r="BU143" s="499">
        <f t="shared" si="1092"/>
        <v>10</v>
      </c>
      <c r="BV143" s="499">
        <f t="shared" si="1093"/>
        <v>10</v>
      </c>
      <c r="BW143" s="774">
        <f t="shared" si="1094"/>
        <v>0</v>
      </c>
      <c r="BX143" s="503">
        <f t="shared" si="1094"/>
        <v>0</v>
      </c>
      <c r="BY143" s="503">
        <f t="shared" si="1094"/>
        <v>0</v>
      </c>
      <c r="BZ143" s="503">
        <f t="shared" si="1094"/>
        <v>0</v>
      </c>
      <c r="CA143" s="503">
        <f t="shared" si="1094"/>
        <v>0</v>
      </c>
      <c r="CB143" s="503">
        <f t="shared" si="1094"/>
        <v>0</v>
      </c>
      <c r="CC143" s="503">
        <f t="shared" si="1094"/>
        <v>0</v>
      </c>
      <c r="CD143" s="722">
        <f t="shared" si="1070"/>
        <v>304.34429618001042</v>
      </c>
      <c r="CE143" s="511">
        <f t="shared" ref="CE143:CH143" si="1315">CD143</f>
        <v>304.34429618001042</v>
      </c>
      <c r="CF143" s="511">
        <f t="shared" si="1315"/>
        <v>304.34429618001042</v>
      </c>
      <c r="CG143" s="511">
        <f t="shared" si="1315"/>
        <v>304.34429618001042</v>
      </c>
      <c r="CH143" s="511">
        <f t="shared" si="1315"/>
        <v>304.34429618001042</v>
      </c>
      <c r="CI143" s="511">
        <f t="shared" si="1096"/>
        <v>304.34429618001042</v>
      </c>
      <c r="CJ143" s="511">
        <f t="shared" si="1097"/>
        <v>304.34429618001042</v>
      </c>
      <c r="CK143" s="722">
        <f t="shared" si="1072"/>
        <v>4.7084510727367863E-2</v>
      </c>
      <c r="CL143" s="511">
        <f t="shared" ref="CL143:CO143" si="1316">CK143</f>
        <v>4.7084510727367863E-2</v>
      </c>
      <c r="CM143" s="511">
        <f t="shared" si="1316"/>
        <v>4.7084510727367863E-2</v>
      </c>
      <c r="CN143" s="511">
        <f t="shared" si="1316"/>
        <v>4.7084510727367863E-2</v>
      </c>
      <c r="CO143" s="511">
        <f t="shared" si="1316"/>
        <v>4.7084510727367863E-2</v>
      </c>
      <c r="CP143" s="511">
        <f t="shared" si="1099"/>
        <v>4.7084510727367863E-2</v>
      </c>
      <c r="CQ143" s="511">
        <f t="shared" si="1100"/>
        <v>4.7084510727367863E-2</v>
      </c>
      <c r="CR143" s="722">
        <f t="shared" si="1074"/>
        <v>0</v>
      </c>
      <c r="CS143" s="511">
        <f t="shared" ref="CS143:CV143" si="1317">CR143</f>
        <v>0</v>
      </c>
      <c r="CT143" s="511">
        <f t="shared" si="1317"/>
        <v>0</v>
      </c>
      <c r="CU143" s="511">
        <f t="shared" si="1317"/>
        <v>0</v>
      </c>
      <c r="CV143" s="511">
        <f t="shared" si="1317"/>
        <v>0</v>
      </c>
      <c r="CW143" s="511">
        <f t="shared" si="1102"/>
        <v>0</v>
      </c>
      <c r="CX143" s="539">
        <f t="shared" si="1103"/>
        <v>0</v>
      </c>
      <c r="CY143" s="724">
        <f t="shared" si="1196"/>
        <v>24071.25</v>
      </c>
      <c r="CZ143" s="508">
        <f t="shared" si="1197"/>
        <v>24071.25</v>
      </c>
      <c r="DA143" s="508">
        <f t="shared" si="1198"/>
        <v>24071.25</v>
      </c>
      <c r="DB143" s="508">
        <f t="shared" si="1199"/>
        <v>24071.25</v>
      </c>
      <c r="DC143" s="508">
        <f t="shared" si="1200"/>
        <v>24071.25</v>
      </c>
      <c r="DD143" s="508">
        <f t="shared" si="1201"/>
        <v>24071.25</v>
      </c>
      <c r="DE143" s="726">
        <f t="shared" si="1202"/>
        <v>24071.25</v>
      </c>
      <c r="DF143" s="724">
        <f t="shared" si="1203"/>
        <v>0</v>
      </c>
      <c r="DG143" s="509">
        <f t="shared" si="1204"/>
        <v>0</v>
      </c>
      <c r="DH143" s="509">
        <f t="shared" si="1205"/>
        <v>0</v>
      </c>
      <c r="DI143" s="509">
        <f t="shared" si="1206"/>
        <v>0</v>
      </c>
      <c r="DJ143" s="509">
        <f t="shared" si="1207"/>
        <v>0</v>
      </c>
      <c r="DK143" s="509">
        <f t="shared" si="1208"/>
        <v>0</v>
      </c>
      <c r="DL143" s="451">
        <f t="shared" si="1209"/>
        <v>0</v>
      </c>
      <c r="DM143" s="509">
        <f t="shared" si="1210"/>
        <v>6877.5</v>
      </c>
      <c r="DN143" s="509">
        <f t="shared" si="1211"/>
        <v>6877.5</v>
      </c>
      <c r="DO143" s="509">
        <f t="shared" si="1212"/>
        <v>6877.5</v>
      </c>
      <c r="DP143" s="509">
        <f t="shared" si="1213"/>
        <v>6877.5</v>
      </c>
      <c r="DQ143" s="509">
        <f t="shared" si="1214"/>
        <v>6877.5</v>
      </c>
      <c r="DR143" s="509">
        <f t="shared" si="1215"/>
        <v>6877.5</v>
      </c>
      <c r="DS143" s="450">
        <f t="shared" si="1216"/>
        <v>6877.5</v>
      </c>
      <c r="DT143" s="724">
        <f t="shared" si="1217"/>
        <v>0</v>
      </c>
      <c r="DU143" s="508">
        <f t="shared" si="1218"/>
        <v>0</v>
      </c>
      <c r="DV143" s="508">
        <f t="shared" si="1219"/>
        <v>0</v>
      </c>
      <c r="DW143" s="508">
        <f t="shared" si="1220"/>
        <v>0</v>
      </c>
      <c r="DX143" s="508">
        <f t="shared" si="1221"/>
        <v>0</v>
      </c>
      <c r="DY143" s="508">
        <f t="shared" si="1222"/>
        <v>0</v>
      </c>
      <c r="DZ143" s="726">
        <f t="shared" si="1223"/>
        <v>0</v>
      </c>
      <c r="EA143" s="722">
        <f t="shared" si="1224"/>
        <v>209312.78969780216</v>
      </c>
      <c r="EB143" s="511">
        <f t="shared" si="1225"/>
        <v>209312.78969780216</v>
      </c>
      <c r="EC143" s="511">
        <f t="shared" si="1226"/>
        <v>209312.78969780216</v>
      </c>
      <c r="ED143" s="511">
        <f t="shared" si="1227"/>
        <v>209312.78969780216</v>
      </c>
      <c r="EE143" s="511">
        <f t="shared" si="1228"/>
        <v>209312.78969780216</v>
      </c>
      <c r="EF143" s="511">
        <f t="shared" si="1229"/>
        <v>209312.78969780216</v>
      </c>
      <c r="EG143" s="723">
        <f t="shared" si="1230"/>
        <v>209312.78969780216</v>
      </c>
      <c r="EH143" s="397">
        <f t="shared" si="1231"/>
        <v>32.382372252747246</v>
      </c>
      <c r="EI143" s="397">
        <f t="shared" si="1232"/>
        <v>32.382372252747246</v>
      </c>
      <c r="EJ143" s="397">
        <f t="shared" si="1233"/>
        <v>32.382372252747246</v>
      </c>
      <c r="EK143" s="397">
        <f t="shared" si="1234"/>
        <v>32.382372252747246</v>
      </c>
      <c r="EL143" s="397">
        <f t="shared" si="1235"/>
        <v>32.382372252747246</v>
      </c>
      <c r="EM143" s="397">
        <f t="shared" si="1236"/>
        <v>32.382372252747246</v>
      </c>
      <c r="EN143" s="398">
        <f t="shared" si="1237"/>
        <v>32.382372252747246</v>
      </c>
      <c r="EO143" s="722">
        <f t="shared" si="1238"/>
        <v>0</v>
      </c>
      <c r="EP143" s="511">
        <f t="shared" si="1239"/>
        <v>0</v>
      </c>
      <c r="EQ143" s="511">
        <f t="shared" si="1240"/>
        <v>0</v>
      </c>
      <c r="ER143" s="511">
        <f t="shared" si="1241"/>
        <v>0</v>
      </c>
      <c r="ES143" s="511">
        <f t="shared" si="1242"/>
        <v>0</v>
      </c>
      <c r="ET143" s="511">
        <f t="shared" si="1243"/>
        <v>0</v>
      </c>
      <c r="EU143" s="723">
        <f t="shared" si="1244"/>
        <v>0</v>
      </c>
      <c r="EV143" s="727">
        <f t="shared" si="1245"/>
        <v>2063.25</v>
      </c>
      <c r="EW143" s="728">
        <f t="shared" si="1246"/>
        <v>168498.75</v>
      </c>
      <c r="EX143" s="728">
        <f t="shared" si="1247"/>
        <v>0</v>
      </c>
      <c r="EY143" s="728">
        <f t="shared" si="1248"/>
        <v>48142.5</v>
      </c>
      <c r="EZ143" s="728">
        <f t="shared" si="1249"/>
        <v>0</v>
      </c>
      <c r="FA143" s="777">
        <f t="shared" si="1250"/>
        <v>1465189.5278846151</v>
      </c>
      <c r="FB143" s="777">
        <f t="shared" si="1251"/>
        <v>226.67660576923072</v>
      </c>
      <c r="FC143" s="778">
        <f t="shared" si="1252"/>
        <v>0</v>
      </c>
      <c r="FE143" s="10"/>
      <c r="FF143" s="10"/>
    </row>
    <row r="144" spans="1:162">
      <c r="A144" s="662" t="s">
        <v>251</v>
      </c>
      <c r="B144" s="789" t="s">
        <v>1435</v>
      </c>
      <c r="C144" s="789" t="str">
        <f t="shared" ref="C144:O144" si="1318">C30</f>
        <v>Occupancy Sensor ($0.03 per Controlled Watt)</v>
      </c>
      <c r="D144" s="789" t="str">
        <f t="shared" si="1318"/>
        <v xml:space="preserve">No Occupancy Sensor Controls </v>
      </c>
      <c r="E144" s="789" t="str">
        <f t="shared" si="1318"/>
        <v>Per Watt Controlled</v>
      </c>
      <c r="F144" s="789" t="str">
        <f t="shared" si="1318"/>
        <v>Per Controlled Watt</v>
      </c>
      <c r="G144" s="704" t="str">
        <f t="shared" si="1318"/>
        <v>Full Cost</v>
      </c>
      <c r="H144" s="704">
        <f t="shared" si="1318"/>
        <v>0.73908981456363465</v>
      </c>
      <c r="I144" s="704">
        <f t="shared" si="1318"/>
        <v>0</v>
      </c>
      <c r="J144" s="704">
        <f t="shared" si="1318"/>
        <v>0.73908981456363465</v>
      </c>
      <c r="K144" s="704">
        <f t="shared" si="1318"/>
        <v>0</v>
      </c>
      <c r="L144" s="704">
        <f t="shared" si="1318"/>
        <v>0.36954490728181733</v>
      </c>
      <c r="M144" s="707" t="str">
        <f t="shared" si="1318"/>
        <v>Costs estimated from IL TRM v9: 4.5.10 Lighting Controls</v>
      </c>
      <c r="N144" s="704">
        <f t="shared" si="1318"/>
        <v>0.03</v>
      </c>
      <c r="O144" s="704">
        <f t="shared" si="1318"/>
        <v>0.03</v>
      </c>
      <c r="P144" s="704">
        <f t="shared" si="1289"/>
        <v>0</v>
      </c>
      <c r="Q144" s="704">
        <f t="shared" si="1289"/>
        <v>0</v>
      </c>
      <c r="R144" s="1021">
        <f t="shared" si="1290"/>
        <v>1.1500286088095752</v>
      </c>
      <c r="S144" s="872">
        <f t="shared" si="1290"/>
        <v>1.3076625366983857E-4</v>
      </c>
      <c r="T144" s="1022">
        <f t="shared" si="1290"/>
        <v>0</v>
      </c>
      <c r="U144" s="711" t="str">
        <f t="shared" si="1290"/>
        <v>LG&amp;E/KU Commercial Rebates Report - Appendix A</v>
      </c>
      <c r="V144" s="716">
        <f t="shared" si="1290"/>
        <v>0</v>
      </c>
      <c r="W144" s="711">
        <f t="shared" si="1290"/>
        <v>1</v>
      </c>
      <c r="X144" s="781">
        <f t="shared" ref="X144:AJ144" si="1319">X30/2</f>
        <v>117320.5</v>
      </c>
      <c r="Y144" s="781">
        <f t="shared" si="1319"/>
        <v>156123.5</v>
      </c>
      <c r="Z144" s="781">
        <f t="shared" si="1319"/>
        <v>179199.5</v>
      </c>
      <c r="AA144" s="781">
        <f t="shared" si="1319"/>
        <v>197432.57142857142</v>
      </c>
      <c r="AB144" s="781">
        <f t="shared" si="1319"/>
        <v>188316.03571428571</v>
      </c>
      <c r="AC144" s="781">
        <f t="shared" si="1319"/>
        <v>188316.03571428571</v>
      </c>
      <c r="AD144" s="781">
        <f t="shared" si="1319"/>
        <v>188316.03571428571</v>
      </c>
      <c r="AE144" s="781">
        <f t="shared" si="1319"/>
        <v>188316.03571428571</v>
      </c>
      <c r="AF144" s="781">
        <f t="shared" si="1319"/>
        <v>188316.03571428571</v>
      </c>
      <c r="AG144" s="781">
        <f t="shared" si="1319"/>
        <v>188316.03571428571</v>
      </c>
      <c r="AH144" s="781">
        <f t="shared" si="1319"/>
        <v>188316.03571428571</v>
      </c>
      <c r="AI144" s="781">
        <f t="shared" si="1319"/>
        <v>188316.03571428571</v>
      </c>
      <c r="AJ144" s="781">
        <f t="shared" si="1319"/>
        <v>188316.03571428571</v>
      </c>
      <c r="AK144" s="711" t="str">
        <f t="shared" ref="AK144:BA144" si="1320">AK30</f>
        <v>Electric</v>
      </c>
      <c r="AL144" s="711" t="str">
        <f t="shared" si="1320"/>
        <v>Commercial</v>
      </c>
      <c r="AM144" s="711" t="str">
        <f t="shared" si="1320"/>
        <v>Large Office</v>
      </c>
      <c r="AN144" s="711" t="str">
        <f t="shared" si="1320"/>
        <v>Lighting</v>
      </c>
      <c r="AO144" s="711" t="str">
        <f t="shared" si="1320"/>
        <v>Existing</v>
      </c>
      <c r="AP144" s="711">
        <f t="shared" si="1320"/>
        <v>0</v>
      </c>
      <c r="AQ144" s="711">
        <f t="shared" si="1320"/>
        <v>0</v>
      </c>
      <c r="AR144" s="711">
        <f t="shared" si="1320"/>
        <v>0</v>
      </c>
      <c r="AS144" s="711" t="str">
        <f t="shared" si="1320"/>
        <v>OFFLGInLight</v>
      </c>
      <c r="AT144" s="715" t="s">
        <v>745</v>
      </c>
      <c r="AU144" s="711" t="str">
        <f t="shared" si="1320"/>
        <v>LGE NonRes</v>
      </c>
      <c r="AV144" s="711">
        <f t="shared" si="1320"/>
        <v>8</v>
      </c>
      <c r="AW144" s="711">
        <f t="shared" si="1320"/>
        <v>8</v>
      </c>
      <c r="AX144" s="711" t="str">
        <f t="shared" si="1320"/>
        <v>Based on the DEER 2014 EUL database for the measure "Occupancy sensors"</v>
      </c>
      <c r="AY144" s="711">
        <f t="shared" si="1320"/>
        <v>1</v>
      </c>
      <c r="AZ144" s="711">
        <f t="shared" si="1320"/>
        <v>1</v>
      </c>
      <c r="BA144" s="1066">
        <f t="shared" si="1320"/>
        <v>0</v>
      </c>
      <c r="BB144" s="721">
        <f t="shared" si="1079"/>
        <v>0.73908981456363465</v>
      </c>
      <c r="BC144" s="499">
        <f t="shared" si="1080"/>
        <v>0.73908981456363465</v>
      </c>
      <c r="BD144" s="499">
        <f t="shared" si="1081"/>
        <v>0.73908981456363465</v>
      </c>
      <c r="BE144" s="499">
        <f t="shared" si="1082"/>
        <v>0.73908981456363465</v>
      </c>
      <c r="BF144" s="499">
        <f t="shared" si="1083"/>
        <v>0.73908981456363465</v>
      </c>
      <c r="BG144" s="499">
        <f t="shared" si="1084"/>
        <v>0.73908981456363465</v>
      </c>
      <c r="BH144" s="499">
        <f t="shared" si="1085"/>
        <v>0.73908981456363465</v>
      </c>
      <c r="BI144" s="721">
        <f t="shared" si="1060"/>
        <v>0</v>
      </c>
      <c r="BJ144" s="499">
        <f t="shared" ref="BJ144:BM144" si="1321">BI144</f>
        <v>0</v>
      </c>
      <c r="BK144" s="499">
        <f t="shared" si="1321"/>
        <v>0</v>
      </c>
      <c r="BL144" s="499">
        <f t="shared" si="1321"/>
        <v>0</v>
      </c>
      <c r="BM144" s="499">
        <f t="shared" si="1321"/>
        <v>0</v>
      </c>
      <c r="BN144" s="499">
        <f t="shared" si="1087"/>
        <v>0</v>
      </c>
      <c r="BO144" s="499">
        <f t="shared" si="1088"/>
        <v>0</v>
      </c>
      <c r="BP144" s="721">
        <f t="shared" si="1062"/>
        <v>0.03</v>
      </c>
      <c r="BQ144" s="499">
        <f t="shared" si="1063"/>
        <v>0.03</v>
      </c>
      <c r="BR144" s="499">
        <f t="shared" si="1089"/>
        <v>0.03</v>
      </c>
      <c r="BS144" s="499">
        <f t="shared" si="1090"/>
        <v>0.03</v>
      </c>
      <c r="BT144" s="499">
        <f t="shared" si="1091"/>
        <v>0.03</v>
      </c>
      <c r="BU144" s="499">
        <f t="shared" si="1092"/>
        <v>0.03</v>
      </c>
      <c r="BV144" s="499">
        <f t="shared" si="1093"/>
        <v>0.03</v>
      </c>
      <c r="BW144" s="774">
        <f t="shared" si="1094"/>
        <v>0</v>
      </c>
      <c r="BX144" s="503">
        <f t="shared" si="1094"/>
        <v>0</v>
      </c>
      <c r="BY144" s="503">
        <f t="shared" si="1094"/>
        <v>0</v>
      </c>
      <c r="BZ144" s="503">
        <f t="shared" si="1094"/>
        <v>0</v>
      </c>
      <c r="CA144" s="503">
        <f t="shared" si="1094"/>
        <v>0</v>
      </c>
      <c r="CB144" s="503">
        <f t="shared" si="1094"/>
        <v>0</v>
      </c>
      <c r="CC144" s="503">
        <f t="shared" si="1094"/>
        <v>0</v>
      </c>
      <c r="CD144" s="722">
        <f t="shared" si="1070"/>
        <v>1.1500286088095752</v>
      </c>
      <c r="CE144" s="511">
        <f t="shared" ref="CE144:CH144" si="1322">CD144</f>
        <v>1.1500286088095752</v>
      </c>
      <c r="CF144" s="511">
        <f t="shared" si="1322"/>
        <v>1.1500286088095752</v>
      </c>
      <c r="CG144" s="511">
        <f t="shared" si="1322"/>
        <v>1.1500286088095752</v>
      </c>
      <c r="CH144" s="511">
        <f t="shared" si="1322"/>
        <v>1.1500286088095752</v>
      </c>
      <c r="CI144" s="511">
        <f t="shared" si="1096"/>
        <v>1.1500286088095752</v>
      </c>
      <c r="CJ144" s="511">
        <f t="shared" si="1097"/>
        <v>1.1500286088095752</v>
      </c>
      <c r="CK144" s="722">
        <f t="shared" si="1072"/>
        <v>1.3076625366983857E-4</v>
      </c>
      <c r="CL144" s="511">
        <f t="shared" ref="CL144:CO144" si="1323">CK144</f>
        <v>1.3076625366983857E-4</v>
      </c>
      <c r="CM144" s="511">
        <f t="shared" si="1323"/>
        <v>1.3076625366983857E-4</v>
      </c>
      <c r="CN144" s="511">
        <f t="shared" si="1323"/>
        <v>1.3076625366983857E-4</v>
      </c>
      <c r="CO144" s="511">
        <f t="shared" si="1323"/>
        <v>1.3076625366983857E-4</v>
      </c>
      <c r="CP144" s="511">
        <f t="shared" si="1099"/>
        <v>1.3076625366983857E-4</v>
      </c>
      <c r="CQ144" s="511">
        <f t="shared" si="1100"/>
        <v>1.3076625366983857E-4</v>
      </c>
      <c r="CR144" s="722">
        <f t="shared" si="1074"/>
        <v>0</v>
      </c>
      <c r="CS144" s="511">
        <f t="shared" ref="CS144:CV144" si="1324">CR144</f>
        <v>0</v>
      </c>
      <c r="CT144" s="511">
        <f t="shared" si="1324"/>
        <v>0</v>
      </c>
      <c r="CU144" s="511">
        <f t="shared" si="1324"/>
        <v>0</v>
      </c>
      <c r="CV144" s="511">
        <f t="shared" si="1324"/>
        <v>0</v>
      </c>
      <c r="CW144" s="511">
        <f t="shared" si="1102"/>
        <v>0</v>
      </c>
      <c r="CX144" s="539">
        <f t="shared" si="1103"/>
        <v>0</v>
      </c>
      <c r="CY144" s="724">
        <f t="shared" si="1196"/>
        <v>139182.46391543021</v>
      </c>
      <c r="CZ144" s="508">
        <f t="shared" si="1197"/>
        <v>139182.46391543021</v>
      </c>
      <c r="DA144" s="508">
        <f t="shared" si="1198"/>
        <v>139182.46391543021</v>
      </c>
      <c r="DB144" s="508">
        <f t="shared" si="1199"/>
        <v>139182.46391543021</v>
      </c>
      <c r="DC144" s="508">
        <f t="shared" si="1200"/>
        <v>139182.46391543021</v>
      </c>
      <c r="DD144" s="508">
        <f t="shared" si="1201"/>
        <v>139182.46391543021</v>
      </c>
      <c r="DE144" s="726">
        <f t="shared" si="1202"/>
        <v>139182.46391543021</v>
      </c>
      <c r="DF144" s="724">
        <f t="shared" si="1203"/>
        <v>0</v>
      </c>
      <c r="DG144" s="509">
        <f t="shared" si="1204"/>
        <v>0</v>
      </c>
      <c r="DH144" s="509">
        <f t="shared" si="1205"/>
        <v>0</v>
      </c>
      <c r="DI144" s="509">
        <f t="shared" si="1206"/>
        <v>0</v>
      </c>
      <c r="DJ144" s="509">
        <f t="shared" si="1207"/>
        <v>0</v>
      </c>
      <c r="DK144" s="509">
        <f t="shared" si="1208"/>
        <v>0</v>
      </c>
      <c r="DL144" s="451">
        <f t="shared" si="1209"/>
        <v>0</v>
      </c>
      <c r="DM144" s="509">
        <f t="shared" si="1210"/>
        <v>5649.4810714285713</v>
      </c>
      <c r="DN144" s="509">
        <f t="shared" si="1211"/>
        <v>5649.4810714285713</v>
      </c>
      <c r="DO144" s="509">
        <f t="shared" si="1212"/>
        <v>5649.4810714285713</v>
      </c>
      <c r="DP144" s="509">
        <f t="shared" si="1213"/>
        <v>5649.4810714285713</v>
      </c>
      <c r="DQ144" s="509">
        <f t="shared" si="1214"/>
        <v>5649.4810714285713</v>
      </c>
      <c r="DR144" s="509">
        <f t="shared" si="1215"/>
        <v>5649.4810714285713</v>
      </c>
      <c r="DS144" s="450">
        <f t="shared" si="1216"/>
        <v>5649.4810714285713</v>
      </c>
      <c r="DT144" s="724">
        <f t="shared" si="1217"/>
        <v>0</v>
      </c>
      <c r="DU144" s="508">
        <f t="shared" si="1218"/>
        <v>0</v>
      </c>
      <c r="DV144" s="508">
        <f t="shared" si="1219"/>
        <v>0</v>
      </c>
      <c r="DW144" s="508">
        <f t="shared" si="1220"/>
        <v>0</v>
      </c>
      <c r="DX144" s="508">
        <f t="shared" si="1221"/>
        <v>0</v>
      </c>
      <c r="DY144" s="508">
        <f t="shared" si="1222"/>
        <v>0</v>
      </c>
      <c r="DZ144" s="726">
        <f t="shared" si="1223"/>
        <v>0</v>
      </c>
      <c r="EA144" s="722">
        <f t="shared" si="1224"/>
        <v>216568.82856903429</v>
      </c>
      <c r="EB144" s="511">
        <f t="shared" si="1225"/>
        <v>216568.82856903429</v>
      </c>
      <c r="EC144" s="511">
        <f t="shared" si="1226"/>
        <v>216568.82856903429</v>
      </c>
      <c r="ED144" s="511">
        <f t="shared" si="1227"/>
        <v>216568.82856903429</v>
      </c>
      <c r="EE144" s="511">
        <f t="shared" si="1228"/>
        <v>216568.82856903429</v>
      </c>
      <c r="EF144" s="511">
        <f t="shared" si="1229"/>
        <v>216568.82856903429</v>
      </c>
      <c r="EG144" s="723">
        <f t="shared" si="1230"/>
        <v>216568.82856903429</v>
      </c>
      <c r="EH144" s="397">
        <f t="shared" si="1231"/>
        <v>24.625382496312664</v>
      </c>
      <c r="EI144" s="397">
        <f t="shared" si="1232"/>
        <v>24.625382496312664</v>
      </c>
      <c r="EJ144" s="397">
        <f t="shared" si="1233"/>
        <v>24.625382496312664</v>
      </c>
      <c r="EK144" s="397">
        <f t="shared" si="1234"/>
        <v>24.625382496312664</v>
      </c>
      <c r="EL144" s="397">
        <f t="shared" si="1235"/>
        <v>24.625382496312664</v>
      </c>
      <c r="EM144" s="397">
        <f t="shared" si="1236"/>
        <v>24.625382496312664</v>
      </c>
      <c r="EN144" s="398">
        <f t="shared" si="1237"/>
        <v>24.625382496312664</v>
      </c>
      <c r="EO144" s="722">
        <f t="shared" si="1238"/>
        <v>0</v>
      </c>
      <c r="EP144" s="511">
        <f t="shared" si="1239"/>
        <v>0</v>
      </c>
      <c r="EQ144" s="511">
        <f t="shared" si="1240"/>
        <v>0</v>
      </c>
      <c r="ER144" s="511">
        <f t="shared" si="1241"/>
        <v>0</v>
      </c>
      <c r="ES144" s="511">
        <f t="shared" si="1242"/>
        <v>0</v>
      </c>
      <c r="ET144" s="511">
        <f t="shared" si="1243"/>
        <v>0</v>
      </c>
      <c r="EU144" s="723">
        <f t="shared" si="1244"/>
        <v>0</v>
      </c>
      <c r="EV144" s="727">
        <f t="shared" si="1245"/>
        <v>564948.10714285716</v>
      </c>
      <c r="EW144" s="728">
        <f t="shared" si="1246"/>
        <v>974277.24740801158</v>
      </c>
      <c r="EX144" s="728">
        <f t="shared" si="1247"/>
        <v>0</v>
      </c>
      <c r="EY144" s="728">
        <f t="shared" si="1248"/>
        <v>39546.3675</v>
      </c>
      <c r="EZ144" s="728">
        <f t="shared" si="1249"/>
        <v>0</v>
      </c>
      <c r="FA144" s="777">
        <f t="shared" si="1250"/>
        <v>1515981.7999832402</v>
      </c>
      <c r="FB144" s="777">
        <f t="shared" si="1251"/>
        <v>172.37767747418863</v>
      </c>
      <c r="FC144" s="778">
        <f t="shared" si="1252"/>
        <v>0</v>
      </c>
      <c r="FE144" s="10"/>
      <c r="FF144" s="10"/>
    </row>
    <row r="145" spans="1:162">
      <c r="A145" s="662" t="s">
        <v>252</v>
      </c>
      <c r="B145" s="789" t="s">
        <v>1436</v>
      </c>
      <c r="C145" s="789" t="str">
        <f t="shared" ref="C145:O145" si="1325">C31</f>
        <v>Daylight Dimming-Continuous Fixtures ($0.03 per Controlled Watt)</v>
      </c>
      <c r="D145" s="789" t="str">
        <f t="shared" si="1325"/>
        <v xml:space="preserve">No Daylight Controls </v>
      </c>
      <c r="E145" s="789" t="str">
        <f t="shared" si="1325"/>
        <v>Per Watt Controlled</v>
      </c>
      <c r="F145" s="789" t="str">
        <f t="shared" si="1325"/>
        <v>Per Controlled Watt</v>
      </c>
      <c r="G145" s="704" t="str">
        <f t="shared" si="1325"/>
        <v>Full Cost</v>
      </c>
      <c r="H145" s="704">
        <f t="shared" si="1325"/>
        <v>0.39914115833516844</v>
      </c>
      <c r="I145" s="704">
        <f t="shared" si="1325"/>
        <v>0</v>
      </c>
      <c r="J145" s="704">
        <f t="shared" si="1325"/>
        <v>0.39914115833516844</v>
      </c>
      <c r="K145" s="704">
        <f t="shared" si="1325"/>
        <v>0</v>
      </c>
      <c r="L145" s="704">
        <f t="shared" si="1325"/>
        <v>0.19957057916758422</v>
      </c>
      <c r="M145" s="707" t="str">
        <f t="shared" si="1325"/>
        <v>Costs estimated from IL TRM v9: 4.5.10 Lighting Controls</v>
      </c>
      <c r="N145" s="704">
        <f t="shared" si="1325"/>
        <v>0.03</v>
      </c>
      <c r="O145" s="704">
        <f t="shared" si="1325"/>
        <v>0.03</v>
      </c>
      <c r="P145" s="704">
        <f t="shared" si="1289"/>
        <v>0</v>
      </c>
      <c r="Q145" s="704">
        <f t="shared" si="1289"/>
        <v>0</v>
      </c>
      <c r="R145" s="1021">
        <f t="shared" si="1290"/>
        <v>1.0571904000000001</v>
      </c>
      <c r="S145" s="872">
        <f t="shared" si="1290"/>
        <v>6.6300000000000007E-4</v>
      </c>
      <c r="T145" s="1022">
        <f t="shared" si="1290"/>
        <v>-1.46832E-2</v>
      </c>
      <c r="U145" s="711" t="str">
        <f t="shared" si="1290"/>
        <v>Per Watt savings estimate from IL TRM v10.0 "4.5.10 Lighting Controls" - use-specific input assumptions are for "unknown" building type</v>
      </c>
      <c r="V145" s="716">
        <f t="shared" si="1290"/>
        <v>0</v>
      </c>
      <c r="W145" s="711">
        <f t="shared" si="1290"/>
        <v>6309</v>
      </c>
      <c r="X145" s="781">
        <f t="shared" ref="X145:AJ145" si="1326">X31/2</f>
        <v>0</v>
      </c>
      <c r="Y145" s="781">
        <f t="shared" si="1326"/>
        <v>0</v>
      </c>
      <c r="Z145" s="781">
        <f t="shared" si="1326"/>
        <v>0</v>
      </c>
      <c r="AA145" s="781">
        <f t="shared" si="1326"/>
        <v>0</v>
      </c>
      <c r="AB145" s="781">
        <f t="shared" si="1326"/>
        <v>0</v>
      </c>
      <c r="AC145" s="781">
        <f t="shared" si="1326"/>
        <v>0</v>
      </c>
      <c r="AD145" s="781">
        <f t="shared" si="1326"/>
        <v>0</v>
      </c>
      <c r="AE145" s="781">
        <f t="shared" si="1326"/>
        <v>0.5</v>
      </c>
      <c r="AF145" s="781">
        <f t="shared" si="1326"/>
        <v>0</v>
      </c>
      <c r="AG145" s="781">
        <f t="shared" si="1326"/>
        <v>0</v>
      </c>
      <c r="AH145" s="781">
        <f t="shared" si="1326"/>
        <v>0.5</v>
      </c>
      <c r="AI145" s="781">
        <f t="shared" si="1326"/>
        <v>0</v>
      </c>
      <c r="AJ145" s="781">
        <f t="shared" si="1326"/>
        <v>0</v>
      </c>
      <c r="AK145" s="711" t="str">
        <f t="shared" ref="AK145:BA145" si="1327">AK31</f>
        <v>Electric</v>
      </c>
      <c r="AL145" s="711" t="str">
        <f t="shared" si="1327"/>
        <v>Commercial</v>
      </c>
      <c r="AM145" s="711" t="str">
        <f t="shared" si="1327"/>
        <v>Large Office</v>
      </c>
      <c r="AN145" s="711" t="str">
        <f t="shared" si="1327"/>
        <v>Lighting</v>
      </c>
      <c r="AO145" s="711" t="str">
        <f t="shared" si="1327"/>
        <v>Existing</v>
      </c>
      <c r="AP145" s="711">
        <f t="shared" si="1327"/>
        <v>0</v>
      </c>
      <c r="AQ145" s="711">
        <f t="shared" si="1327"/>
        <v>0</v>
      </c>
      <c r="AR145" s="711">
        <f t="shared" si="1327"/>
        <v>0</v>
      </c>
      <c r="AS145" s="711" t="str">
        <f t="shared" si="1327"/>
        <v>OFFLGInLight</v>
      </c>
      <c r="AT145" s="715" t="s">
        <v>745</v>
      </c>
      <c r="AU145" s="711" t="str">
        <f t="shared" si="1327"/>
        <v>LGE NonRes</v>
      </c>
      <c r="AV145" s="711">
        <f t="shared" si="1327"/>
        <v>8</v>
      </c>
      <c r="AW145" s="711">
        <f t="shared" si="1327"/>
        <v>8</v>
      </c>
      <c r="AX145" s="711" t="str">
        <f t="shared" si="1327"/>
        <v>Based on the 2010 OH TRM for the measure "C&amp;I Lighting Controls (Time of Sale, Retrofit)". Pg 149. Based on the lighting controls "Remote-Mounted Daylight Dimming Sensors" and "Fixture Mounted Daylight Dimming Sensors".</v>
      </c>
      <c r="AY145" s="711">
        <f t="shared" si="1327"/>
        <v>1</v>
      </c>
      <c r="AZ145" s="711">
        <f t="shared" si="1327"/>
        <v>1</v>
      </c>
      <c r="BA145" s="1066">
        <f t="shared" si="1327"/>
        <v>0</v>
      </c>
      <c r="BB145" s="721">
        <f t="shared" si="1079"/>
        <v>0.39914115833516844</v>
      </c>
      <c r="BC145" s="499">
        <f t="shared" si="1080"/>
        <v>0.39914115833516844</v>
      </c>
      <c r="BD145" s="499">
        <f t="shared" si="1081"/>
        <v>0.39914115833516844</v>
      </c>
      <c r="BE145" s="499">
        <f t="shared" si="1082"/>
        <v>0.39914115833516844</v>
      </c>
      <c r="BF145" s="499">
        <f t="shared" si="1083"/>
        <v>0.39914115833516844</v>
      </c>
      <c r="BG145" s="499">
        <f t="shared" si="1084"/>
        <v>0.39914115833516844</v>
      </c>
      <c r="BH145" s="499">
        <f t="shared" si="1085"/>
        <v>0.39914115833516844</v>
      </c>
      <c r="BI145" s="721">
        <f t="shared" si="1060"/>
        <v>0</v>
      </c>
      <c r="BJ145" s="499">
        <f t="shared" ref="BJ145:BM145" si="1328">BI145</f>
        <v>0</v>
      </c>
      <c r="BK145" s="499">
        <f t="shared" si="1328"/>
        <v>0</v>
      </c>
      <c r="BL145" s="499">
        <f t="shared" si="1328"/>
        <v>0</v>
      </c>
      <c r="BM145" s="499">
        <f t="shared" si="1328"/>
        <v>0</v>
      </c>
      <c r="BN145" s="499">
        <f t="shared" si="1087"/>
        <v>0</v>
      </c>
      <c r="BO145" s="499">
        <f t="shared" si="1088"/>
        <v>0</v>
      </c>
      <c r="BP145" s="721">
        <f t="shared" si="1062"/>
        <v>0.03</v>
      </c>
      <c r="BQ145" s="499">
        <f t="shared" si="1063"/>
        <v>0.03</v>
      </c>
      <c r="BR145" s="499">
        <f t="shared" si="1089"/>
        <v>0.03</v>
      </c>
      <c r="BS145" s="499">
        <f t="shared" si="1090"/>
        <v>0.03</v>
      </c>
      <c r="BT145" s="499">
        <f t="shared" si="1091"/>
        <v>0.03</v>
      </c>
      <c r="BU145" s="499">
        <f t="shared" si="1092"/>
        <v>0.03</v>
      </c>
      <c r="BV145" s="499">
        <f t="shared" si="1093"/>
        <v>0.03</v>
      </c>
      <c r="BW145" s="774">
        <f t="shared" si="1094"/>
        <v>0</v>
      </c>
      <c r="BX145" s="503">
        <f t="shared" si="1094"/>
        <v>0</v>
      </c>
      <c r="BY145" s="503">
        <f t="shared" si="1094"/>
        <v>0</v>
      </c>
      <c r="BZ145" s="503">
        <f t="shared" si="1094"/>
        <v>0</v>
      </c>
      <c r="CA145" s="503">
        <f t="shared" si="1094"/>
        <v>0</v>
      </c>
      <c r="CB145" s="503">
        <f t="shared" si="1094"/>
        <v>0</v>
      </c>
      <c r="CC145" s="503">
        <f t="shared" si="1094"/>
        <v>0</v>
      </c>
      <c r="CD145" s="722">
        <f t="shared" si="1070"/>
        <v>1.0571904000000001</v>
      </c>
      <c r="CE145" s="511">
        <f t="shared" ref="CE145:CH145" si="1329">CD145</f>
        <v>1.0571904000000001</v>
      </c>
      <c r="CF145" s="511">
        <f t="shared" si="1329"/>
        <v>1.0571904000000001</v>
      </c>
      <c r="CG145" s="511">
        <f t="shared" si="1329"/>
        <v>1.0571904000000001</v>
      </c>
      <c r="CH145" s="511">
        <f t="shared" si="1329"/>
        <v>1.0571904000000001</v>
      </c>
      <c r="CI145" s="511">
        <f t="shared" si="1096"/>
        <v>1.0571904000000001</v>
      </c>
      <c r="CJ145" s="511">
        <f t="shared" si="1097"/>
        <v>1.0571904000000001</v>
      </c>
      <c r="CK145" s="722">
        <f t="shared" si="1072"/>
        <v>6.6300000000000007E-4</v>
      </c>
      <c r="CL145" s="511">
        <f t="shared" ref="CL145:CO145" si="1330">CK145</f>
        <v>6.6300000000000007E-4</v>
      </c>
      <c r="CM145" s="511">
        <f t="shared" si="1330"/>
        <v>6.6300000000000007E-4</v>
      </c>
      <c r="CN145" s="511">
        <f t="shared" si="1330"/>
        <v>6.6300000000000007E-4</v>
      </c>
      <c r="CO145" s="511">
        <f t="shared" si="1330"/>
        <v>6.6300000000000007E-4</v>
      </c>
      <c r="CP145" s="511">
        <f t="shared" si="1099"/>
        <v>6.6300000000000007E-4</v>
      </c>
      <c r="CQ145" s="511">
        <f t="shared" si="1100"/>
        <v>6.6300000000000007E-4</v>
      </c>
      <c r="CR145" s="722">
        <f t="shared" si="1074"/>
        <v>0</v>
      </c>
      <c r="CS145" s="511">
        <f t="shared" ref="CS145:CV145" si="1331">CR145</f>
        <v>0</v>
      </c>
      <c r="CT145" s="511">
        <f t="shared" si="1331"/>
        <v>0</v>
      </c>
      <c r="CU145" s="511">
        <f t="shared" si="1331"/>
        <v>0</v>
      </c>
      <c r="CV145" s="511">
        <f t="shared" si="1331"/>
        <v>0</v>
      </c>
      <c r="CW145" s="511">
        <f t="shared" si="1102"/>
        <v>0</v>
      </c>
      <c r="CX145" s="539">
        <f t="shared" si="1103"/>
        <v>0</v>
      </c>
      <c r="CY145" s="724">
        <f t="shared" si="1196"/>
        <v>0</v>
      </c>
      <c r="CZ145" s="508">
        <f t="shared" si="1197"/>
        <v>1259.0907839682889</v>
      </c>
      <c r="DA145" s="508">
        <f t="shared" si="1198"/>
        <v>0</v>
      </c>
      <c r="DB145" s="508">
        <f t="shared" si="1199"/>
        <v>0</v>
      </c>
      <c r="DC145" s="508">
        <f t="shared" si="1200"/>
        <v>1259.0907839682889</v>
      </c>
      <c r="DD145" s="508">
        <f t="shared" si="1201"/>
        <v>0</v>
      </c>
      <c r="DE145" s="726">
        <f t="shared" si="1202"/>
        <v>0</v>
      </c>
      <c r="DF145" s="724">
        <f t="shared" si="1203"/>
        <v>0</v>
      </c>
      <c r="DG145" s="509">
        <f t="shared" si="1204"/>
        <v>0</v>
      </c>
      <c r="DH145" s="509">
        <f t="shared" si="1205"/>
        <v>0</v>
      </c>
      <c r="DI145" s="509">
        <f t="shared" si="1206"/>
        <v>0</v>
      </c>
      <c r="DJ145" s="509">
        <f t="shared" si="1207"/>
        <v>0</v>
      </c>
      <c r="DK145" s="509">
        <f t="shared" si="1208"/>
        <v>0</v>
      </c>
      <c r="DL145" s="451">
        <f t="shared" si="1209"/>
        <v>0</v>
      </c>
      <c r="DM145" s="509">
        <f t="shared" si="1210"/>
        <v>0</v>
      </c>
      <c r="DN145" s="509">
        <f t="shared" si="1211"/>
        <v>94.634999999999991</v>
      </c>
      <c r="DO145" s="509">
        <f t="shared" si="1212"/>
        <v>0</v>
      </c>
      <c r="DP145" s="509">
        <f t="shared" si="1213"/>
        <v>0</v>
      </c>
      <c r="DQ145" s="509">
        <f t="shared" si="1214"/>
        <v>94.634999999999991</v>
      </c>
      <c r="DR145" s="509">
        <f t="shared" si="1215"/>
        <v>0</v>
      </c>
      <c r="DS145" s="450">
        <f t="shared" si="1216"/>
        <v>0</v>
      </c>
      <c r="DT145" s="724">
        <f t="shared" si="1217"/>
        <v>0</v>
      </c>
      <c r="DU145" s="508">
        <f t="shared" si="1218"/>
        <v>0</v>
      </c>
      <c r="DV145" s="508">
        <f t="shared" si="1219"/>
        <v>0</v>
      </c>
      <c r="DW145" s="508">
        <f t="shared" si="1220"/>
        <v>0</v>
      </c>
      <c r="DX145" s="508">
        <f t="shared" si="1221"/>
        <v>0</v>
      </c>
      <c r="DY145" s="508">
        <f t="shared" si="1222"/>
        <v>0</v>
      </c>
      <c r="DZ145" s="726">
        <f t="shared" si="1223"/>
        <v>0</v>
      </c>
      <c r="EA145" s="722">
        <f t="shared" si="1224"/>
        <v>0</v>
      </c>
      <c r="EB145" s="511">
        <f t="shared" si="1225"/>
        <v>3334.9071168000005</v>
      </c>
      <c r="EC145" s="511">
        <f t="shared" si="1226"/>
        <v>0</v>
      </c>
      <c r="ED145" s="511">
        <f t="shared" si="1227"/>
        <v>0</v>
      </c>
      <c r="EE145" s="511">
        <f t="shared" si="1228"/>
        <v>3334.9071168000005</v>
      </c>
      <c r="EF145" s="511">
        <f t="shared" si="1229"/>
        <v>0</v>
      </c>
      <c r="EG145" s="723">
        <f t="shared" si="1230"/>
        <v>0</v>
      </c>
      <c r="EH145" s="397">
        <f t="shared" si="1231"/>
        <v>0</v>
      </c>
      <c r="EI145" s="397">
        <f t="shared" si="1232"/>
        <v>2.0914335000000004</v>
      </c>
      <c r="EJ145" s="397">
        <f t="shared" si="1233"/>
        <v>0</v>
      </c>
      <c r="EK145" s="397">
        <f t="shared" si="1234"/>
        <v>0</v>
      </c>
      <c r="EL145" s="397">
        <f t="shared" si="1235"/>
        <v>2.0914335000000004</v>
      </c>
      <c r="EM145" s="397">
        <f t="shared" si="1236"/>
        <v>0</v>
      </c>
      <c r="EN145" s="398">
        <f t="shared" si="1237"/>
        <v>0</v>
      </c>
      <c r="EO145" s="722">
        <f t="shared" si="1238"/>
        <v>0</v>
      </c>
      <c r="EP145" s="511">
        <f t="shared" si="1239"/>
        <v>0</v>
      </c>
      <c r="EQ145" s="511">
        <f t="shared" si="1240"/>
        <v>0</v>
      </c>
      <c r="ER145" s="511">
        <f t="shared" si="1241"/>
        <v>0</v>
      </c>
      <c r="ES145" s="511">
        <f t="shared" si="1242"/>
        <v>0</v>
      </c>
      <c r="ET145" s="511">
        <f t="shared" si="1243"/>
        <v>0</v>
      </c>
      <c r="EU145" s="723">
        <f t="shared" si="1244"/>
        <v>0</v>
      </c>
      <c r="EV145" s="727">
        <f t="shared" si="1245"/>
        <v>0.5</v>
      </c>
      <c r="EW145" s="728">
        <f t="shared" si="1246"/>
        <v>2518.1815679365777</v>
      </c>
      <c r="EX145" s="728">
        <f t="shared" si="1247"/>
        <v>0</v>
      </c>
      <c r="EY145" s="728">
        <f t="shared" si="1248"/>
        <v>189.26999999999998</v>
      </c>
      <c r="EZ145" s="728">
        <f t="shared" si="1249"/>
        <v>0</v>
      </c>
      <c r="FA145" s="777">
        <f t="shared" si="1250"/>
        <v>6669.814233600001</v>
      </c>
      <c r="FB145" s="777">
        <f t="shared" si="1251"/>
        <v>4.1828670000000008</v>
      </c>
      <c r="FC145" s="778">
        <f t="shared" si="1252"/>
        <v>0</v>
      </c>
      <c r="FE145" s="10"/>
      <c r="FF145" s="10"/>
    </row>
    <row r="146" spans="1:162">
      <c r="A146" s="662" t="s">
        <v>253</v>
      </c>
      <c r="B146" s="789" t="s">
        <v>1437</v>
      </c>
      <c r="C146" s="789" t="str">
        <f t="shared" ref="C146:O146" si="1332">C32</f>
        <v>Occupancy/Daylight Dual Control ($0.03 per Controlled Watt)</v>
      </c>
      <c r="D146" s="789" t="str">
        <f t="shared" si="1332"/>
        <v>No Lighting Controls</v>
      </c>
      <c r="E146" s="789" t="str">
        <f t="shared" si="1332"/>
        <v>n/a</v>
      </c>
      <c r="F146" s="789" t="str">
        <f t="shared" si="1332"/>
        <v>Per Controlled Watt</v>
      </c>
      <c r="G146" s="704" t="str">
        <f t="shared" si="1332"/>
        <v>Full Cost</v>
      </c>
      <c r="H146" s="704">
        <f t="shared" si="1332"/>
        <v>1.5274740295243303</v>
      </c>
      <c r="I146" s="704">
        <f t="shared" si="1332"/>
        <v>0</v>
      </c>
      <c r="J146" s="704">
        <f t="shared" si="1332"/>
        <v>1.5274740295243303</v>
      </c>
      <c r="K146" s="704">
        <f t="shared" si="1332"/>
        <v>0</v>
      </c>
      <c r="L146" s="704">
        <f t="shared" si="1332"/>
        <v>0.76373701476216516</v>
      </c>
      <c r="M146" s="707" t="str">
        <f t="shared" si="1332"/>
        <v>Costs estimated from IL TRM v9: 4.5.10 Lighting Controls</v>
      </c>
      <c r="N146" s="704">
        <f t="shared" si="1332"/>
        <v>0.03</v>
      </c>
      <c r="O146" s="704">
        <f t="shared" si="1332"/>
        <v>0.03</v>
      </c>
      <c r="P146" s="704">
        <f t="shared" si="1289"/>
        <v>0</v>
      </c>
      <c r="Q146" s="704">
        <f t="shared" si="1289"/>
        <v>0</v>
      </c>
      <c r="R146" s="1021">
        <f t="shared" si="1290"/>
        <v>1.4347584000000002</v>
      </c>
      <c r="S146" s="872">
        <f t="shared" si="1290"/>
        <v>6.6300000000000007E-4</v>
      </c>
      <c r="T146" s="1022">
        <f t="shared" si="1290"/>
        <v>-1.9927200000000003E-2</v>
      </c>
      <c r="U146" s="711" t="str">
        <f t="shared" si="1290"/>
        <v>Per Watt savings estimate from IL TRM v10.0 "4.5.10 Lighting Controls" - use-specific input assumptions are for "unknown" building type</v>
      </c>
      <c r="V146" s="716">
        <f t="shared" si="1290"/>
        <v>0</v>
      </c>
      <c r="W146" s="711">
        <f t="shared" si="1290"/>
        <v>6309</v>
      </c>
      <c r="X146" s="781">
        <f t="shared" ref="X146:AJ146" si="1333">X32/2</f>
        <v>0</v>
      </c>
      <c r="Y146" s="781">
        <f t="shared" si="1333"/>
        <v>0</v>
      </c>
      <c r="Z146" s="781">
        <f t="shared" si="1333"/>
        <v>0</v>
      </c>
      <c r="AA146" s="781">
        <f t="shared" si="1333"/>
        <v>0</v>
      </c>
      <c r="AB146" s="781">
        <f t="shared" si="1333"/>
        <v>0</v>
      </c>
      <c r="AC146" s="781">
        <f t="shared" si="1333"/>
        <v>0.5</v>
      </c>
      <c r="AD146" s="781">
        <f t="shared" si="1333"/>
        <v>0</v>
      </c>
      <c r="AE146" s="781">
        <f t="shared" si="1333"/>
        <v>0</v>
      </c>
      <c r="AF146" s="781">
        <f t="shared" si="1333"/>
        <v>0.5</v>
      </c>
      <c r="AG146" s="781">
        <f t="shared" si="1333"/>
        <v>0</v>
      </c>
      <c r="AH146" s="781">
        <f t="shared" si="1333"/>
        <v>0</v>
      </c>
      <c r="AI146" s="781">
        <f t="shared" si="1333"/>
        <v>0.5</v>
      </c>
      <c r="AJ146" s="781">
        <f t="shared" si="1333"/>
        <v>0</v>
      </c>
      <c r="AK146" s="711" t="str">
        <f t="shared" ref="AK146:BA146" si="1334">AK32</f>
        <v>Electric</v>
      </c>
      <c r="AL146" s="711" t="str">
        <f t="shared" si="1334"/>
        <v>Commercial</v>
      </c>
      <c r="AM146" s="711" t="str">
        <f t="shared" si="1334"/>
        <v>Large Office</v>
      </c>
      <c r="AN146" s="711" t="str">
        <f t="shared" si="1334"/>
        <v>Lighting</v>
      </c>
      <c r="AO146" s="711" t="str">
        <f t="shared" si="1334"/>
        <v>Existing</v>
      </c>
      <c r="AP146" s="711">
        <f t="shared" si="1334"/>
        <v>0</v>
      </c>
      <c r="AQ146" s="711">
        <f t="shared" si="1334"/>
        <v>0</v>
      </c>
      <c r="AR146" s="711">
        <f t="shared" si="1334"/>
        <v>0</v>
      </c>
      <c r="AS146" s="711" t="str">
        <f t="shared" si="1334"/>
        <v>OFFLGInLight</v>
      </c>
      <c r="AT146" s="715" t="s">
        <v>745</v>
      </c>
      <c r="AU146" s="711" t="str">
        <f t="shared" si="1334"/>
        <v>LGE NonRes</v>
      </c>
      <c r="AV146" s="711">
        <f t="shared" si="1334"/>
        <v>8</v>
      </c>
      <c r="AW146" s="711">
        <f t="shared" si="1334"/>
        <v>8</v>
      </c>
      <c r="AX146" s="711" t="str">
        <f t="shared" si="1334"/>
        <v>Based on the 2010 OH TRM for the measure "C&amp;I Lighting Controls (Time of Sale, Retrofit)". Pg 149. Based on the lighting controls "Remote-Mounted Daylight Dimming Sensors" and "Fixture Mounted Daylight Dimming Sensors".</v>
      </c>
      <c r="AY146" s="711">
        <f t="shared" si="1334"/>
        <v>1</v>
      </c>
      <c r="AZ146" s="711">
        <f t="shared" si="1334"/>
        <v>1</v>
      </c>
      <c r="BA146" s="1066">
        <f t="shared" si="1334"/>
        <v>0</v>
      </c>
      <c r="BB146" s="721">
        <f t="shared" si="1079"/>
        <v>1.5274740295243303</v>
      </c>
      <c r="BC146" s="499">
        <f t="shared" si="1080"/>
        <v>1.5274740295243303</v>
      </c>
      <c r="BD146" s="499">
        <f t="shared" si="1081"/>
        <v>1.5274740295243303</v>
      </c>
      <c r="BE146" s="499">
        <f t="shared" si="1082"/>
        <v>1.5274740295243303</v>
      </c>
      <c r="BF146" s="499">
        <f t="shared" si="1083"/>
        <v>1.5274740295243303</v>
      </c>
      <c r="BG146" s="499">
        <f t="shared" si="1084"/>
        <v>1.5274740295243303</v>
      </c>
      <c r="BH146" s="499">
        <f t="shared" si="1085"/>
        <v>1.5274740295243303</v>
      </c>
      <c r="BI146" s="721">
        <f t="shared" si="1060"/>
        <v>0</v>
      </c>
      <c r="BJ146" s="499">
        <f t="shared" ref="BJ146:BM146" si="1335">BI146</f>
        <v>0</v>
      </c>
      <c r="BK146" s="499">
        <f t="shared" si="1335"/>
        <v>0</v>
      </c>
      <c r="BL146" s="499">
        <f t="shared" si="1335"/>
        <v>0</v>
      </c>
      <c r="BM146" s="499">
        <f t="shared" si="1335"/>
        <v>0</v>
      </c>
      <c r="BN146" s="499">
        <f t="shared" si="1087"/>
        <v>0</v>
      </c>
      <c r="BO146" s="499">
        <f t="shared" si="1088"/>
        <v>0</v>
      </c>
      <c r="BP146" s="721">
        <f t="shared" si="1062"/>
        <v>0.03</v>
      </c>
      <c r="BQ146" s="499">
        <f t="shared" si="1063"/>
        <v>0.03</v>
      </c>
      <c r="BR146" s="499">
        <f t="shared" si="1089"/>
        <v>0.03</v>
      </c>
      <c r="BS146" s="499">
        <f t="shared" si="1090"/>
        <v>0.03</v>
      </c>
      <c r="BT146" s="499">
        <f t="shared" si="1091"/>
        <v>0.03</v>
      </c>
      <c r="BU146" s="499">
        <f t="shared" si="1092"/>
        <v>0.03</v>
      </c>
      <c r="BV146" s="499">
        <f t="shared" si="1093"/>
        <v>0.03</v>
      </c>
      <c r="BW146" s="774">
        <f t="shared" si="1094"/>
        <v>0</v>
      </c>
      <c r="BX146" s="503">
        <f t="shared" si="1094"/>
        <v>0</v>
      </c>
      <c r="BY146" s="503">
        <f t="shared" si="1094"/>
        <v>0</v>
      </c>
      <c r="BZ146" s="503">
        <f t="shared" si="1094"/>
        <v>0</v>
      </c>
      <c r="CA146" s="503">
        <f t="shared" si="1094"/>
        <v>0</v>
      </c>
      <c r="CB146" s="503">
        <f t="shared" si="1094"/>
        <v>0</v>
      </c>
      <c r="CC146" s="503">
        <f t="shared" si="1094"/>
        <v>0</v>
      </c>
      <c r="CD146" s="722">
        <f t="shared" si="1070"/>
        <v>1.4347584000000002</v>
      </c>
      <c r="CE146" s="511">
        <f t="shared" ref="CE146:CH146" si="1336">CD146</f>
        <v>1.4347584000000002</v>
      </c>
      <c r="CF146" s="511">
        <f t="shared" si="1336"/>
        <v>1.4347584000000002</v>
      </c>
      <c r="CG146" s="511">
        <f t="shared" si="1336"/>
        <v>1.4347584000000002</v>
      </c>
      <c r="CH146" s="511">
        <f t="shared" si="1336"/>
        <v>1.4347584000000002</v>
      </c>
      <c r="CI146" s="511">
        <f t="shared" si="1096"/>
        <v>1.4347584000000002</v>
      </c>
      <c r="CJ146" s="511">
        <f t="shared" si="1097"/>
        <v>1.4347584000000002</v>
      </c>
      <c r="CK146" s="722">
        <f t="shared" si="1072"/>
        <v>6.6300000000000007E-4</v>
      </c>
      <c r="CL146" s="511">
        <f t="shared" ref="CL146:CO146" si="1337">CK146</f>
        <v>6.6300000000000007E-4</v>
      </c>
      <c r="CM146" s="511">
        <f t="shared" si="1337"/>
        <v>6.6300000000000007E-4</v>
      </c>
      <c r="CN146" s="511">
        <f t="shared" si="1337"/>
        <v>6.6300000000000007E-4</v>
      </c>
      <c r="CO146" s="511">
        <f t="shared" si="1337"/>
        <v>6.6300000000000007E-4</v>
      </c>
      <c r="CP146" s="511">
        <f t="shared" si="1099"/>
        <v>6.6300000000000007E-4</v>
      </c>
      <c r="CQ146" s="511">
        <f t="shared" si="1100"/>
        <v>6.6300000000000007E-4</v>
      </c>
      <c r="CR146" s="722">
        <f t="shared" si="1074"/>
        <v>0</v>
      </c>
      <c r="CS146" s="511">
        <f t="shared" ref="CS146:CV146" si="1338">CR146</f>
        <v>0</v>
      </c>
      <c r="CT146" s="511">
        <f t="shared" si="1338"/>
        <v>0</v>
      </c>
      <c r="CU146" s="511">
        <f t="shared" si="1338"/>
        <v>0</v>
      </c>
      <c r="CV146" s="511">
        <f t="shared" si="1338"/>
        <v>0</v>
      </c>
      <c r="CW146" s="511">
        <f t="shared" si="1102"/>
        <v>0</v>
      </c>
      <c r="CX146" s="539">
        <f t="shared" si="1103"/>
        <v>0</v>
      </c>
      <c r="CY146" s="724">
        <f t="shared" si="1196"/>
        <v>0</v>
      </c>
      <c r="CZ146" s="508">
        <f t="shared" si="1197"/>
        <v>0</v>
      </c>
      <c r="DA146" s="508">
        <f t="shared" si="1198"/>
        <v>4818.4168261345003</v>
      </c>
      <c r="DB146" s="508">
        <f t="shared" si="1199"/>
        <v>0</v>
      </c>
      <c r="DC146" s="508">
        <f t="shared" si="1200"/>
        <v>0</v>
      </c>
      <c r="DD146" s="508">
        <f t="shared" si="1201"/>
        <v>4818.4168261345003</v>
      </c>
      <c r="DE146" s="726">
        <f t="shared" si="1202"/>
        <v>0</v>
      </c>
      <c r="DF146" s="724">
        <f t="shared" si="1203"/>
        <v>0</v>
      </c>
      <c r="DG146" s="509">
        <f t="shared" si="1204"/>
        <v>0</v>
      </c>
      <c r="DH146" s="509">
        <f t="shared" si="1205"/>
        <v>0</v>
      </c>
      <c r="DI146" s="509">
        <f t="shared" si="1206"/>
        <v>0</v>
      </c>
      <c r="DJ146" s="509">
        <f t="shared" si="1207"/>
        <v>0</v>
      </c>
      <c r="DK146" s="509">
        <f t="shared" si="1208"/>
        <v>0</v>
      </c>
      <c r="DL146" s="451">
        <f t="shared" si="1209"/>
        <v>0</v>
      </c>
      <c r="DM146" s="509">
        <f t="shared" si="1210"/>
        <v>0</v>
      </c>
      <c r="DN146" s="509">
        <f t="shared" si="1211"/>
        <v>0</v>
      </c>
      <c r="DO146" s="509">
        <f t="shared" si="1212"/>
        <v>94.634999999999991</v>
      </c>
      <c r="DP146" s="509">
        <f t="shared" si="1213"/>
        <v>0</v>
      </c>
      <c r="DQ146" s="509">
        <f t="shared" si="1214"/>
        <v>0</v>
      </c>
      <c r="DR146" s="509">
        <f t="shared" si="1215"/>
        <v>94.634999999999991</v>
      </c>
      <c r="DS146" s="450">
        <f t="shared" si="1216"/>
        <v>0</v>
      </c>
      <c r="DT146" s="724">
        <f t="shared" si="1217"/>
        <v>0</v>
      </c>
      <c r="DU146" s="508">
        <f t="shared" si="1218"/>
        <v>0</v>
      </c>
      <c r="DV146" s="508">
        <f t="shared" si="1219"/>
        <v>0</v>
      </c>
      <c r="DW146" s="508">
        <f t="shared" si="1220"/>
        <v>0</v>
      </c>
      <c r="DX146" s="508">
        <f t="shared" si="1221"/>
        <v>0</v>
      </c>
      <c r="DY146" s="508">
        <f t="shared" si="1222"/>
        <v>0</v>
      </c>
      <c r="DZ146" s="726">
        <f t="shared" si="1223"/>
        <v>0</v>
      </c>
      <c r="EA146" s="722">
        <f t="shared" si="1224"/>
        <v>0</v>
      </c>
      <c r="EB146" s="511">
        <f t="shared" si="1225"/>
        <v>0</v>
      </c>
      <c r="EC146" s="511">
        <f t="shared" si="1226"/>
        <v>4525.9453728000008</v>
      </c>
      <c r="ED146" s="511">
        <f t="shared" si="1227"/>
        <v>0</v>
      </c>
      <c r="EE146" s="511">
        <f t="shared" si="1228"/>
        <v>0</v>
      </c>
      <c r="EF146" s="511">
        <f t="shared" si="1229"/>
        <v>4525.9453728000008</v>
      </c>
      <c r="EG146" s="723">
        <f t="shared" si="1230"/>
        <v>0</v>
      </c>
      <c r="EH146" s="397">
        <f t="shared" si="1231"/>
        <v>0</v>
      </c>
      <c r="EI146" s="397">
        <f t="shared" si="1232"/>
        <v>0</v>
      </c>
      <c r="EJ146" s="397">
        <f t="shared" si="1233"/>
        <v>2.0914335000000004</v>
      </c>
      <c r="EK146" s="397">
        <f t="shared" si="1234"/>
        <v>0</v>
      </c>
      <c r="EL146" s="397">
        <f t="shared" si="1235"/>
        <v>0</v>
      </c>
      <c r="EM146" s="397">
        <f t="shared" si="1236"/>
        <v>2.0914335000000004</v>
      </c>
      <c r="EN146" s="398">
        <f t="shared" si="1237"/>
        <v>0</v>
      </c>
      <c r="EO146" s="722">
        <f t="shared" si="1238"/>
        <v>0</v>
      </c>
      <c r="EP146" s="511">
        <f t="shared" si="1239"/>
        <v>0</v>
      </c>
      <c r="EQ146" s="511">
        <f t="shared" si="1240"/>
        <v>0</v>
      </c>
      <c r="ER146" s="511">
        <f t="shared" si="1241"/>
        <v>0</v>
      </c>
      <c r="ES146" s="511">
        <f t="shared" si="1242"/>
        <v>0</v>
      </c>
      <c r="ET146" s="511">
        <f t="shared" si="1243"/>
        <v>0</v>
      </c>
      <c r="EU146" s="723">
        <f t="shared" si="1244"/>
        <v>0</v>
      </c>
      <c r="EV146" s="727">
        <f t="shared" si="1245"/>
        <v>0.5</v>
      </c>
      <c r="EW146" s="728">
        <f t="shared" si="1246"/>
        <v>9636.8336522690006</v>
      </c>
      <c r="EX146" s="728">
        <f t="shared" si="1247"/>
        <v>0</v>
      </c>
      <c r="EY146" s="728">
        <f t="shared" si="1248"/>
        <v>189.26999999999998</v>
      </c>
      <c r="EZ146" s="728">
        <f t="shared" si="1249"/>
        <v>0</v>
      </c>
      <c r="FA146" s="777">
        <f t="shared" si="1250"/>
        <v>9051.8907456000015</v>
      </c>
      <c r="FB146" s="777">
        <f t="shared" si="1251"/>
        <v>4.1828670000000008</v>
      </c>
      <c r="FC146" s="778">
        <f t="shared" si="1252"/>
        <v>0</v>
      </c>
      <c r="FE146" s="10"/>
      <c r="FF146" s="10"/>
    </row>
    <row r="147" spans="1:162">
      <c r="A147" s="662" t="s">
        <v>254</v>
      </c>
      <c r="B147" s="789" t="s">
        <v>1438</v>
      </c>
      <c r="C147" s="789" t="str">
        <f t="shared" ref="C147:O147" si="1339">C33</f>
        <v>Custom Projects - Saves 1 kW of Demand or More</v>
      </c>
      <c r="D147" s="789" t="str">
        <f t="shared" si="1339"/>
        <v>Existing Equipment</v>
      </c>
      <c r="E147" s="789" t="str">
        <f t="shared" si="1339"/>
        <v>Per Saved kW</v>
      </c>
      <c r="F147" s="789" t="str">
        <f t="shared" si="1339"/>
        <v>Per Saved kWh (first year savings only)</v>
      </c>
      <c r="G147" s="704" t="str">
        <f t="shared" si="1339"/>
        <v>Incremental Cost</v>
      </c>
      <c r="H147" s="704">
        <f t="shared" si="1339"/>
        <v>0.22117875297672002</v>
      </c>
      <c r="I147" s="704">
        <f t="shared" si="1339"/>
        <v>0</v>
      </c>
      <c r="J147" s="704">
        <f t="shared" si="1339"/>
        <v>0.22117875297672002</v>
      </c>
      <c r="K147" s="704">
        <f t="shared" si="1339"/>
        <v>0</v>
      </c>
      <c r="L147" s="704">
        <f t="shared" si="1339"/>
        <v>0.11058937648836001</v>
      </c>
      <c r="M147" s="707" t="str">
        <f t="shared" si="1339"/>
        <v xml:space="preserve">Benchmarking custom projects from other utilties to estimate incremental cost. Roughly $0.22 per kWh saved as incermental costs. </v>
      </c>
      <c r="N147" s="704">
        <f t="shared" si="1339"/>
        <v>0.03</v>
      </c>
      <c r="O147" s="704">
        <f t="shared" si="1339"/>
        <v>8.4140489623261386E-2</v>
      </c>
      <c r="P147" s="704">
        <f t="shared" si="1289"/>
        <v>0</v>
      </c>
      <c r="Q147" s="704">
        <f t="shared" si="1289"/>
        <v>0</v>
      </c>
      <c r="R147" s="1021">
        <f t="shared" si="1290"/>
        <v>1</v>
      </c>
      <c r="S147" s="872">
        <f t="shared" si="1290"/>
        <v>2.7312391698609107E-4</v>
      </c>
      <c r="T147" s="1022">
        <f t="shared" si="1290"/>
        <v>0</v>
      </c>
      <c r="U147" s="711" t="str">
        <f t="shared" si="1290"/>
        <v>LG&amp;E and KUCommercial Rebates Program Impact Evaluation for Custom Projects – FINAL November 3, 2016 by The Tetra Tech Evaluation Team</v>
      </c>
      <c r="V147" s="716">
        <f t="shared" si="1290"/>
        <v>0.05</v>
      </c>
      <c r="W147" s="711">
        <f t="shared" si="1290"/>
        <v>1</v>
      </c>
      <c r="X147" s="781">
        <f t="shared" ref="X147:AJ147" si="1340">X33/2</f>
        <v>1020118.5</v>
      </c>
      <c r="Y147" s="781">
        <f t="shared" si="1340"/>
        <v>14035909.5</v>
      </c>
      <c r="Z147" s="781">
        <f t="shared" si="1340"/>
        <v>10569394.5</v>
      </c>
      <c r="AA147" s="781">
        <f t="shared" si="1340"/>
        <v>6315212.5</v>
      </c>
      <c r="AB147" s="781">
        <f t="shared" si="1340"/>
        <v>8442303.5</v>
      </c>
      <c r="AC147" s="781">
        <f t="shared" si="1340"/>
        <v>8442303.5</v>
      </c>
      <c r="AD147" s="781">
        <f t="shared" si="1340"/>
        <v>5000000</v>
      </c>
      <c r="AE147" s="781">
        <f t="shared" si="1340"/>
        <v>8000000</v>
      </c>
      <c r="AF147" s="781">
        <f t="shared" si="1340"/>
        <v>12000000</v>
      </c>
      <c r="AG147" s="781">
        <f t="shared" si="1340"/>
        <v>12000000</v>
      </c>
      <c r="AH147" s="781">
        <f t="shared" si="1340"/>
        <v>12000000</v>
      </c>
      <c r="AI147" s="781">
        <f t="shared" si="1340"/>
        <v>12000000</v>
      </c>
      <c r="AJ147" s="781">
        <f t="shared" si="1340"/>
        <v>12000000</v>
      </c>
      <c r="AK147" s="711" t="str">
        <f t="shared" ref="AK147:BA147" si="1341">AK33</f>
        <v>Both</v>
      </c>
      <c r="AL147" s="711" t="str">
        <f t="shared" si="1341"/>
        <v>Commercial</v>
      </c>
      <c r="AM147" s="711" t="str">
        <f t="shared" si="1341"/>
        <v>Large Office</v>
      </c>
      <c r="AN147" s="711" t="str">
        <f t="shared" si="1341"/>
        <v>All</v>
      </c>
      <c r="AO147" s="711" t="str">
        <f t="shared" si="1341"/>
        <v>Existing</v>
      </c>
      <c r="AP147" s="711">
        <f t="shared" si="1341"/>
        <v>0</v>
      </c>
      <c r="AQ147" s="711">
        <f t="shared" si="1341"/>
        <v>0</v>
      </c>
      <c r="AR147" s="711">
        <f t="shared" si="1341"/>
        <v>0</v>
      </c>
      <c r="AS147" s="711" t="str">
        <f t="shared" si="1341"/>
        <v>OFFLGElecTotl</v>
      </c>
      <c r="AT147" s="715" t="s">
        <v>745</v>
      </c>
      <c r="AU147" s="711" t="str">
        <f t="shared" si="1341"/>
        <v>LGE NonRes</v>
      </c>
      <c r="AV147" s="711">
        <f t="shared" si="1341"/>
        <v>15</v>
      </c>
      <c r="AW147" s="711">
        <f t="shared" si="1341"/>
        <v>15</v>
      </c>
      <c r="AX147" s="711" t="str">
        <f t="shared" si="1341"/>
        <v>Custom measure EULs ranges from 10 to 25 years depending on end use (NEEP EUL study by GDS 2007)</v>
      </c>
      <c r="AY147" s="711">
        <f t="shared" si="1341"/>
        <v>1</v>
      </c>
      <c r="AZ147" s="711">
        <f t="shared" si="1341"/>
        <v>1</v>
      </c>
      <c r="BA147" s="1066">
        <f t="shared" si="1341"/>
        <v>0</v>
      </c>
      <c r="BB147" s="721">
        <f t="shared" si="1079"/>
        <v>0.22117875297672002</v>
      </c>
      <c r="BC147" s="499">
        <f t="shared" si="1080"/>
        <v>0.22117875297672002</v>
      </c>
      <c r="BD147" s="499">
        <f t="shared" si="1081"/>
        <v>0.22117875297672002</v>
      </c>
      <c r="BE147" s="499">
        <f t="shared" si="1082"/>
        <v>0.22117875297672002</v>
      </c>
      <c r="BF147" s="499">
        <f t="shared" si="1083"/>
        <v>0.22117875297672002</v>
      </c>
      <c r="BG147" s="499">
        <f t="shared" si="1084"/>
        <v>0.22117875297672002</v>
      </c>
      <c r="BH147" s="499">
        <f t="shared" si="1085"/>
        <v>0.22117875297672002</v>
      </c>
      <c r="BI147" s="721">
        <f t="shared" si="1060"/>
        <v>0</v>
      </c>
      <c r="BJ147" s="499">
        <f t="shared" ref="BJ147:BM147" si="1342">BI147</f>
        <v>0</v>
      </c>
      <c r="BK147" s="499">
        <f t="shared" si="1342"/>
        <v>0</v>
      </c>
      <c r="BL147" s="499">
        <f t="shared" si="1342"/>
        <v>0</v>
      </c>
      <c r="BM147" s="499">
        <f t="shared" si="1342"/>
        <v>0</v>
      </c>
      <c r="BN147" s="499">
        <f t="shared" si="1087"/>
        <v>0</v>
      </c>
      <c r="BO147" s="499">
        <f t="shared" si="1088"/>
        <v>0</v>
      </c>
      <c r="BP147" s="721">
        <f t="shared" si="1062"/>
        <v>8.4140489623261386E-2</v>
      </c>
      <c r="BQ147" s="499">
        <f t="shared" si="1063"/>
        <v>8.4140489623261386E-2</v>
      </c>
      <c r="BR147" s="499">
        <f t="shared" si="1089"/>
        <v>8.4140489623261386E-2</v>
      </c>
      <c r="BS147" s="499">
        <f t="shared" si="1090"/>
        <v>8.4140489623261386E-2</v>
      </c>
      <c r="BT147" s="499">
        <f t="shared" si="1091"/>
        <v>8.4140489623261386E-2</v>
      </c>
      <c r="BU147" s="499">
        <f t="shared" si="1092"/>
        <v>8.4140489623261386E-2</v>
      </c>
      <c r="BV147" s="499">
        <f t="shared" si="1093"/>
        <v>8.4140489623261386E-2</v>
      </c>
      <c r="BW147" s="774">
        <f t="shared" si="1094"/>
        <v>0</v>
      </c>
      <c r="BX147" s="503">
        <f t="shared" si="1094"/>
        <v>0</v>
      </c>
      <c r="BY147" s="503">
        <f t="shared" si="1094"/>
        <v>0</v>
      </c>
      <c r="BZ147" s="503">
        <f t="shared" si="1094"/>
        <v>0</v>
      </c>
      <c r="CA147" s="503">
        <f t="shared" si="1094"/>
        <v>0</v>
      </c>
      <c r="CB147" s="503">
        <f t="shared" si="1094"/>
        <v>0</v>
      </c>
      <c r="CC147" s="503">
        <f t="shared" si="1094"/>
        <v>0</v>
      </c>
      <c r="CD147" s="722">
        <f t="shared" si="1070"/>
        <v>1</v>
      </c>
      <c r="CE147" s="511">
        <f t="shared" ref="CE147:CH147" si="1343">CD147</f>
        <v>1</v>
      </c>
      <c r="CF147" s="511">
        <f t="shared" si="1343"/>
        <v>1</v>
      </c>
      <c r="CG147" s="511">
        <f t="shared" si="1343"/>
        <v>1</v>
      </c>
      <c r="CH147" s="511">
        <f t="shared" si="1343"/>
        <v>1</v>
      </c>
      <c r="CI147" s="511">
        <f t="shared" si="1096"/>
        <v>1</v>
      </c>
      <c r="CJ147" s="511">
        <f t="shared" si="1097"/>
        <v>1</v>
      </c>
      <c r="CK147" s="722">
        <f t="shared" si="1072"/>
        <v>2.7312391698609107E-4</v>
      </c>
      <c r="CL147" s="511">
        <f t="shared" ref="CL147:CO147" si="1344">CK147</f>
        <v>2.7312391698609107E-4</v>
      </c>
      <c r="CM147" s="511">
        <f t="shared" si="1344"/>
        <v>2.7312391698609107E-4</v>
      </c>
      <c r="CN147" s="511">
        <f t="shared" si="1344"/>
        <v>2.7312391698609107E-4</v>
      </c>
      <c r="CO147" s="511">
        <f t="shared" si="1344"/>
        <v>2.7312391698609107E-4</v>
      </c>
      <c r="CP147" s="511">
        <f t="shared" si="1099"/>
        <v>2.7312391698609107E-4</v>
      </c>
      <c r="CQ147" s="511">
        <f t="shared" si="1100"/>
        <v>2.7312391698609107E-4</v>
      </c>
      <c r="CR147" s="722">
        <f t="shared" si="1074"/>
        <v>0</v>
      </c>
      <c r="CS147" s="511">
        <f t="shared" ref="CS147:CV147" si="1345">CR147</f>
        <v>0</v>
      </c>
      <c r="CT147" s="511">
        <f t="shared" si="1345"/>
        <v>0</v>
      </c>
      <c r="CU147" s="511">
        <f t="shared" si="1345"/>
        <v>0</v>
      </c>
      <c r="CV147" s="511">
        <f t="shared" si="1345"/>
        <v>0</v>
      </c>
      <c r="CW147" s="511">
        <f t="shared" si="1102"/>
        <v>0</v>
      </c>
      <c r="CX147" s="539">
        <f t="shared" si="1103"/>
        <v>0</v>
      </c>
      <c r="CY147" s="724">
        <f t="shared" si="1196"/>
        <v>1105893.7648836002</v>
      </c>
      <c r="CZ147" s="508">
        <f t="shared" si="1197"/>
        <v>1769430.0238137601</v>
      </c>
      <c r="DA147" s="508">
        <f t="shared" si="1198"/>
        <v>2654145.0357206403</v>
      </c>
      <c r="DB147" s="508">
        <f t="shared" si="1199"/>
        <v>2654145.0357206403</v>
      </c>
      <c r="DC147" s="508">
        <f t="shared" si="1200"/>
        <v>2654145.0357206403</v>
      </c>
      <c r="DD147" s="508">
        <f t="shared" si="1201"/>
        <v>2654145.0357206403</v>
      </c>
      <c r="DE147" s="726">
        <f t="shared" si="1202"/>
        <v>2654145.0357206403</v>
      </c>
      <c r="DF147" s="724">
        <f t="shared" si="1203"/>
        <v>0</v>
      </c>
      <c r="DG147" s="509">
        <f t="shared" si="1204"/>
        <v>0</v>
      </c>
      <c r="DH147" s="509">
        <f t="shared" si="1205"/>
        <v>0</v>
      </c>
      <c r="DI147" s="509">
        <f t="shared" si="1206"/>
        <v>0</v>
      </c>
      <c r="DJ147" s="509">
        <f t="shared" si="1207"/>
        <v>0</v>
      </c>
      <c r="DK147" s="509">
        <f t="shared" si="1208"/>
        <v>0</v>
      </c>
      <c r="DL147" s="451">
        <f t="shared" si="1209"/>
        <v>0</v>
      </c>
      <c r="DM147" s="509">
        <f t="shared" si="1210"/>
        <v>420702.44811630691</v>
      </c>
      <c r="DN147" s="509">
        <f t="shared" si="1211"/>
        <v>673123.91698609106</v>
      </c>
      <c r="DO147" s="509">
        <f t="shared" si="1212"/>
        <v>1009685.8754791366</v>
      </c>
      <c r="DP147" s="509">
        <f t="shared" si="1213"/>
        <v>1009685.8754791366</v>
      </c>
      <c r="DQ147" s="509">
        <f t="shared" si="1214"/>
        <v>1009685.8754791366</v>
      </c>
      <c r="DR147" s="509">
        <f t="shared" si="1215"/>
        <v>1009685.8754791366</v>
      </c>
      <c r="DS147" s="450">
        <f t="shared" si="1216"/>
        <v>1009685.8754791366</v>
      </c>
      <c r="DT147" s="724">
        <f t="shared" si="1217"/>
        <v>0</v>
      </c>
      <c r="DU147" s="508">
        <f t="shared" si="1218"/>
        <v>0</v>
      </c>
      <c r="DV147" s="508">
        <f t="shared" si="1219"/>
        <v>0</v>
      </c>
      <c r="DW147" s="508">
        <f t="shared" si="1220"/>
        <v>0</v>
      </c>
      <c r="DX147" s="508">
        <f t="shared" si="1221"/>
        <v>0</v>
      </c>
      <c r="DY147" s="508">
        <f t="shared" si="1222"/>
        <v>0</v>
      </c>
      <c r="DZ147" s="726">
        <f t="shared" si="1223"/>
        <v>0</v>
      </c>
      <c r="EA147" s="722">
        <f t="shared" si="1224"/>
        <v>5000000</v>
      </c>
      <c r="EB147" s="511">
        <f t="shared" si="1225"/>
        <v>8000000</v>
      </c>
      <c r="EC147" s="511">
        <f t="shared" si="1226"/>
        <v>12000000</v>
      </c>
      <c r="ED147" s="511">
        <f t="shared" si="1227"/>
        <v>12000000</v>
      </c>
      <c r="EE147" s="511">
        <f t="shared" si="1228"/>
        <v>12000000</v>
      </c>
      <c r="EF147" s="511">
        <f t="shared" si="1229"/>
        <v>12000000</v>
      </c>
      <c r="EG147" s="723">
        <f t="shared" si="1230"/>
        <v>12000000</v>
      </c>
      <c r="EH147" s="397">
        <f t="shared" si="1231"/>
        <v>1365.6195849304554</v>
      </c>
      <c r="EI147" s="397">
        <f t="shared" si="1232"/>
        <v>2184.9913358887284</v>
      </c>
      <c r="EJ147" s="397">
        <f t="shared" si="1233"/>
        <v>3277.4870038330928</v>
      </c>
      <c r="EK147" s="397">
        <f t="shared" si="1234"/>
        <v>3277.4870038330928</v>
      </c>
      <c r="EL147" s="397">
        <f t="shared" si="1235"/>
        <v>3277.4870038330928</v>
      </c>
      <c r="EM147" s="397">
        <f t="shared" si="1236"/>
        <v>3277.4870038330928</v>
      </c>
      <c r="EN147" s="398">
        <f t="shared" si="1237"/>
        <v>3277.4870038330928</v>
      </c>
      <c r="EO147" s="722">
        <f t="shared" si="1238"/>
        <v>0</v>
      </c>
      <c r="EP147" s="511">
        <f t="shared" si="1239"/>
        <v>0</v>
      </c>
      <c r="EQ147" s="511">
        <f t="shared" si="1240"/>
        <v>0</v>
      </c>
      <c r="ER147" s="511">
        <f t="shared" si="1241"/>
        <v>0</v>
      </c>
      <c r="ES147" s="511">
        <f t="shared" si="1242"/>
        <v>0</v>
      </c>
      <c r="ET147" s="511">
        <f t="shared" si="1243"/>
        <v>0</v>
      </c>
      <c r="EU147" s="723">
        <f t="shared" si="1244"/>
        <v>0</v>
      </c>
      <c r="EV147" s="727">
        <f t="shared" si="1245"/>
        <v>25000000</v>
      </c>
      <c r="EW147" s="728">
        <f t="shared" si="1246"/>
        <v>16146048.967300564</v>
      </c>
      <c r="EX147" s="728">
        <f t="shared" si="1247"/>
        <v>0</v>
      </c>
      <c r="EY147" s="728">
        <f t="shared" si="1248"/>
        <v>6142255.7424980812</v>
      </c>
      <c r="EZ147" s="728">
        <f t="shared" si="1249"/>
        <v>0</v>
      </c>
      <c r="FA147" s="777">
        <f t="shared" si="1250"/>
        <v>73000000</v>
      </c>
      <c r="FB147" s="777">
        <f t="shared" si="1251"/>
        <v>19938.045939984644</v>
      </c>
      <c r="FC147" s="778">
        <f t="shared" si="1252"/>
        <v>0</v>
      </c>
      <c r="FE147" s="10"/>
      <c r="FF147" s="10"/>
    </row>
    <row r="148" spans="1:162">
      <c r="A148" s="662" t="s">
        <v>255</v>
      </c>
      <c r="B148" s="789" t="s">
        <v>1439</v>
      </c>
      <c r="C148" s="789" t="str">
        <f t="shared" ref="C148:O148" si="1346">C34</f>
        <v>Commercial New Construction Tier 1 - 10% Over Code</v>
      </c>
      <c r="D148" s="789" t="str">
        <f t="shared" si="1346"/>
        <v>State and Federal Energy Code</v>
      </c>
      <c r="E148" s="789" t="str">
        <f t="shared" si="1346"/>
        <v>Per Project</v>
      </c>
      <c r="F148" s="789" t="str">
        <f t="shared" si="1346"/>
        <v>Per Project</v>
      </c>
      <c r="G148" s="704" t="str">
        <f t="shared" si="1346"/>
        <v>Incremental Cost</v>
      </c>
      <c r="H148" s="704">
        <f t="shared" si="1346"/>
        <v>10980.198012776291</v>
      </c>
      <c r="I148" s="704">
        <f t="shared" si="1346"/>
        <v>0</v>
      </c>
      <c r="J148" s="704">
        <f t="shared" si="1346"/>
        <v>10980.198012776291</v>
      </c>
      <c r="K148" s="704">
        <f t="shared" si="1346"/>
        <v>0</v>
      </c>
      <c r="L148" s="704">
        <f t="shared" si="1346"/>
        <v>5490.0990063881454</v>
      </c>
      <c r="M148" s="707" t="str">
        <f t="shared" si="1346"/>
        <v xml:space="preserve">Benchmarking custom projects from other utilties to estimate incremental cost. Roughly $0.22 per kWh saved as incermental costs. </v>
      </c>
      <c r="N148" s="704">
        <f t="shared" si="1346"/>
        <v>1500</v>
      </c>
      <c r="O148" s="704">
        <f t="shared" si="1346"/>
        <v>1500</v>
      </c>
      <c r="P148" s="704">
        <f t="shared" si="1289"/>
        <v>0</v>
      </c>
      <c r="Q148" s="704">
        <f t="shared" si="1289"/>
        <v>0</v>
      </c>
      <c r="R148" s="1021">
        <f t="shared" ref="R148:S175" si="1347">R34</f>
        <v>49644.000000000007</v>
      </c>
      <c r="S148" s="872">
        <f t="shared" si="1347"/>
        <v>7.7428571428571429</v>
      </c>
      <c r="T148" s="1068">
        <v>794.81</v>
      </c>
      <c r="U148" s="711" t="str">
        <f t="shared" ref="U148:W175" si="1348">U34</f>
        <v>Estimated savings from LG&amp;E and KU projections and 2016 program data.</v>
      </c>
      <c r="V148" s="716">
        <f t="shared" si="1348"/>
        <v>0</v>
      </c>
      <c r="W148" s="711">
        <f t="shared" si="1348"/>
        <v>1</v>
      </c>
      <c r="X148" s="781">
        <f t="shared" ref="X148:AJ148" si="1349">X34/2</f>
        <v>0</v>
      </c>
      <c r="Y148" s="781">
        <f t="shared" si="1349"/>
        <v>0</v>
      </c>
      <c r="Z148" s="781">
        <f t="shared" si="1349"/>
        <v>0</v>
      </c>
      <c r="AA148" s="781">
        <f t="shared" si="1349"/>
        <v>0</v>
      </c>
      <c r="AB148" s="781">
        <f t="shared" si="1349"/>
        <v>0</v>
      </c>
      <c r="AC148" s="781">
        <f t="shared" si="1349"/>
        <v>0</v>
      </c>
      <c r="AD148" s="781">
        <f t="shared" si="1349"/>
        <v>0</v>
      </c>
      <c r="AE148" s="781">
        <f t="shared" si="1349"/>
        <v>0.5</v>
      </c>
      <c r="AF148" s="781">
        <f t="shared" si="1349"/>
        <v>0</v>
      </c>
      <c r="AG148" s="781">
        <f t="shared" si="1349"/>
        <v>0</v>
      </c>
      <c r="AH148" s="781">
        <f t="shared" si="1349"/>
        <v>0.5</v>
      </c>
      <c r="AI148" s="781">
        <f t="shared" si="1349"/>
        <v>0</v>
      </c>
      <c r="AJ148" s="781">
        <f t="shared" si="1349"/>
        <v>0</v>
      </c>
      <c r="AK148" s="711" t="str">
        <f t="shared" ref="AK148:BA148" si="1350">AK34</f>
        <v>Both</v>
      </c>
      <c r="AL148" s="711" t="str">
        <f t="shared" si="1350"/>
        <v>Commercial</v>
      </c>
      <c r="AM148" s="711" t="str">
        <f t="shared" si="1350"/>
        <v>Large Office</v>
      </c>
      <c r="AN148" s="711" t="str">
        <f t="shared" si="1350"/>
        <v>All</v>
      </c>
      <c r="AO148" s="711" t="str">
        <f t="shared" si="1350"/>
        <v>New</v>
      </c>
      <c r="AP148" s="711">
        <f t="shared" si="1350"/>
        <v>0</v>
      </c>
      <c r="AQ148" s="711">
        <f t="shared" si="1350"/>
        <v>0</v>
      </c>
      <c r="AR148" s="711">
        <f t="shared" si="1350"/>
        <v>0</v>
      </c>
      <c r="AS148" s="711" t="str">
        <f t="shared" si="1350"/>
        <v>OFFLGElecTotl</v>
      </c>
      <c r="AT148" s="715" t="s">
        <v>745</v>
      </c>
      <c r="AU148" s="711" t="str">
        <f t="shared" si="1350"/>
        <v>LGE NonRes</v>
      </c>
      <c r="AV148" s="711">
        <f t="shared" si="1350"/>
        <v>15</v>
      </c>
      <c r="AW148" s="711">
        <f t="shared" si="1350"/>
        <v>15</v>
      </c>
      <c r="AX148" s="711" t="str">
        <f t="shared" si="1350"/>
        <v>Custom measure EULs ranges from 10 to 25 years depending on end use (NEEP EUL study by GDS 2007)</v>
      </c>
      <c r="AY148" s="711">
        <f t="shared" si="1350"/>
        <v>1</v>
      </c>
      <c r="AZ148" s="711">
        <f t="shared" si="1350"/>
        <v>1</v>
      </c>
      <c r="BA148" s="1066">
        <f t="shared" si="1350"/>
        <v>1</v>
      </c>
      <c r="BB148" s="721">
        <f t="shared" si="1079"/>
        <v>10980.198012776291</v>
      </c>
      <c r="BC148" s="499">
        <f t="shared" si="1080"/>
        <v>10980.198012776291</v>
      </c>
      <c r="BD148" s="499">
        <f t="shared" si="1081"/>
        <v>10980.198012776291</v>
      </c>
      <c r="BE148" s="499">
        <f t="shared" si="1082"/>
        <v>10980.198012776291</v>
      </c>
      <c r="BF148" s="499">
        <f t="shared" si="1083"/>
        <v>10980.198012776291</v>
      </c>
      <c r="BG148" s="499">
        <f t="shared" si="1084"/>
        <v>10980.198012776291</v>
      </c>
      <c r="BH148" s="499">
        <f t="shared" si="1085"/>
        <v>10980.198012776291</v>
      </c>
      <c r="BI148" s="721">
        <f t="shared" si="1060"/>
        <v>0</v>
      </c>
      <c r="BJ148" s="499">
        <f t="shared" ref="BJ148:BM148" si="1351">BI148</f>
        <v>0</v>
      </c>
      <c r="BK148" s="499">
        <f t="shared" si="1351"/>
        <v>0</v>
      </c>
      <c r="BL148" s="499">
        <f t="shared" si="1351"/>
        <v>0</v>
      </c>
      <c r="BM148" s="499">
        <f t="shared" si="1351"/>
        <v>0</v>
      </c>
      <c r="BN148" s="499">
        <f t="shared" si="1087"/>
        <v>0</v>
      </c>
      <c r="BO148" s="499">
        <f t="shared" si="1088"/>
        <v>0</v>
      </c>
      <c r="BP148" s="721">
        <f t="shared" si="1062"/>
        <v>1500</v>
      </c>
      <c r="BQ148" s="499">
        <f t="shared" si="1063"/>
        <v>1500</v>
      </c>
      <c r="BR148" s="499">
        <f t="shared" si="1089"/>
        <v>1500</v>
      </c>
      <c r="BS148" s="499">
        <f t="shared" si="1090"/>
        <v>1500</v>
      </c>
      <c r="BT148" s="499">
        <f t="shared" si="1091"/>
        <v>1500</v>
      </c>
      <c r="BU148" s="499">
        <f t="shared" si="1092"/>
        <v>1500</v>
      </c>
      <c r="BV148" s="499">
        <f t="shared" si="1093"/>
        <v>1500</v>
      </c>
      <c r="BW148" s="774">
        <f t="shared" si="1094"/>
        <v>0</v>
      </c>
      <c r="BX148" s="503">
        <f t="shared" si="1094"/>
        <v>0</v>
      </c>
      <c r="BY148" s="503">
        <f t="shared" si="1094"/>
        <v>0</v>
      </c>
      <c r="BZ148" s="503">
        <f t="shared" si="1094"/>
        <v>0</v>
      </c>
      <c r="CA148" s="503">
        <f t="shared" si="1094"/>
        <v>0</v>
      </c>
      <c r="CB148" s="503">
        <f t="shared" si="1094"/>
        <v>0</v>
      </c>
      <c r="CC148" s="503">
        <f t="shared" si="1094"/>
        <v>0</v>
      </c>
      <c r="CD148" s="722">
        <f t="shared" si="1070"/>
        <v>49644.000000000007</v>
      </c>
      <c r="CE148" s="511">
        <f t="shared" ref="CE148:CH148" si="1352">CD148</f>
        <v>49644.000000000007</v>
      </c>
      <c r="CF148" s="511">
        <f t="shared" si="1352"/>
        <v>49644.000000000007</v>
      </c>
      <c r="CG148" s="511">
        <f t="shared" si="1352"/>
        <v>49644.000000000007</v>
      </c>
      <c r="CH148" s="511">
        <f t="shared" si="1352"/>
        <v>49644.000000000007</v>
      </c>
      <c r="CI148" s="511">
        <f t="shared" si="1096"/>
        <v>49644.000000000007</v>
      </c>
      <c r="CJ148" s="511">
        <f t="shared" si="1097"/>
        <v>49644.000000000007</v>
      </c>
      <c r="CK148" s="722">
        <f t="shared" si="1072"/>
        <v>7.7428571428571429</v>
      </c>
      <c r="CL148" s="511">
        <f t="shared" ref="CL148:CO148" si="1353">CK148</f>
        <v>7.7428571428571429</v>
      </c>
      <c r="CM148" s="511">
        <f t="shared" si="1353"/>
        <v>7.7428571428571429</v>
      </c>
      <c r="CN148" s="511">
        <f t="shared" si="1353"/>
        <v>7.7428571428571429</v>
      </c>
      <c r="CO148" s="511">
        <f t="shared" si="1353"/>
        <v>7.7428571428571429</v>
      </c>
      <c r="CP148" s="511">
        <f t="shared" si="1099"/>
        <v>7.7428571428571429</v>
      </c>
      <c r="CQ148" s="511">
        <f t="shared" si="1100"/>
        <v>7.7428571428571429</v>
      </c>
      <c r="CR148" s="722">
        <f t="shared" si="1074"/>
        <v>794.81</v>
      </c>
      <c r="CS148" s="511">
        <f t="shared" ref="CS148:CU148" si="1354">CR148</f>
        <v>794.81</v>
      </c>
      <c r="CT148" s="511">
        <f t="shared" si="1354"/>
        <v>794.81</v>
      </c>
      <c r="CU148" s="511">
        <f t="shared" si="1354"/>
        <v>794.81</v>
      </c>
      <c r="CV148" s="511">
        <f>CU148</f>
        <v>794.81</v>
      </c>
      <c r="CW148" s="511">
        <f t="shared" si="1102"/>
        <v>794.81</v>
      </c>
      <c r="CX148" s="539">
        <f t="shared" si="1103"/>
        <v>794.81</v>
      </c>
      <c r="CY148" s="724">
        <f t="shared" si="1196"/>
        <v>0</v>
      </c>
      <c r="CZ148" s="508">
        <f t="shared" si="1197"/>
        <v>5490.0990063881454</v>
      </c>
      <c r="DA148" s="508">
        <f t="shared" si="1198"/>
        <v>0</v>
      </c>
      <c r="DB148" s="508">
        <f t="shared" si="1199"/>
        <v>0</v>
      </c>
      <c r="DC148" s="508">
        <f t="shared" si="1200"/>
        <v>5490.0990063881454</v>
      </c>
      <c r="DD148" s="508">
        <f t="shared" si="1201"/>
        <v>0</v>
      </c>
      <c r="DE148" s="726">
        <f t="shared" si="1202"/>
        <v>0</v>
      </c>
      <c r="DF148" s="724">
        <f t="shared" si="1203"/>
        <v>0</v>
      </c>
      <c r="DG148" s="509">
        <f t="shared" si="1204"/>
        <v>0</v>
      </c>
      <c r="DH148" s="509">
        <f t="shared" si="1205"/>
        <v>0</v>
      </c>
      <c r="DI148" s="509">
        <f t="shared" si="1206"/>
        <v>0</v>
      </c>
      <c r="DJ148" s="509">
        <f t="shared" si="1207"/>
        <v>0</v>
      </c>
      <c r="DK148" s="509">
        <f t="shared" si="1208"/>
        <v>0</v>
      </c>
      <c r="DL148" s="451">
        <f t="shared" si="1209"/>
        <v>0</v>
      </c>
      <c r="DM148" s="509">
        <f t="shared" si="1210"/>
        <v>0</v>
      </c>
      <c r="DN148" s="509">
        <f t="shared" si="1211"/>
        <v>750</v>
      </c>
      <c r="DO148" s="509">
        <f t="shared" si="1212"/>
        <v>0</v>
      </c>
      <c r="DP148" s="509">
        <f t="shared" si="1213"/>
        <v>0</v>
      </c>
      <c r="DQ148" s="509">
        <f t="shared" si="1214"/>
        <v>750</v>
      </c>
      <c r="DR148" s="509">
        <f t="shared" si="1215"/>
        <v>0</v>
      </c>
      <c r="DS148" s="450">
        <f t="shared" si="1216"/>
        <v>0</v>
      </c>
      <c r="DT148" s="724">
        <f t="shared" si="1217"/>
        <v>0</v>
      </c>
      <c r="DU148" s="508">
        <f t="shared" si="1218"/>
        <v>0</v>
      </c>
      <c r="DV148" s="508">
        <f t="shared" si="1219"/>
        <v>0</v>
      </c>
      <c r="DW148" s="508">
        <f t="shared" si="1220"/>
        <v>0</v>
      </c>
      <c r="DX148" s="508">
        <f t="shared" si="1221"/>
        <v>0</v>
      </c>
      <c r="DY148" s="508">
        <f t="shared" si="1222"/>
        <v>0</v>
      </c>
      <c r="DZ148" s="726">
        <f t="shared" si="1223"/>
        <v>0</v>
      </c>
      <c r="EA148" s="722">
        <f t="shared" si="1224"/>
        <v>0</v>
      </c>
      <c r="EB148" s="511">
        <f t="shared" si="1225"/>
        <v>24822.000000000004</v>
      </c>
      <c r="EC148" s="511">
        <f t="shared" si="1226"/>
        <v>0</v>
      </c>
      <c r="ED148" s="511">
        <f t="shared" si="1227"/>
        <v>0</v>
      </c>
      <c r="EE148" s="511">
        <f t="shared" si="1228"/>
        <v>24822.000000000004</v>
      </c>
      <c r="EF148" s="511">
        <f t="shared" si="1229"/>
        <v>0</v>
      </c>
      <c r="EG148" s="723">
        <f t="shared" si="1230"/>
        <v>0</v>
      </c>
      <c r="EH148" s="397">
        <f t="shared" si="1231"/>
        <v>0</v>
      </c>
      <c r="EI148" s="397">
        <f t="shared" si="1232"/>
        <v>3.8714285714285714</v>
      </c>
      <c r="EJ148" s="397">
        <f t="shared" si="1233"/>
        <v>0</v>
      </c>
      <c r="EK148" s="397">
        <f t="shared" si="1234"/>
        <v>0</v>
      </c>
      <c r="EL148" s="397">
        <f t="shared" si="1235"/>
        <v>3.8714285714285714</v>
      </c>
      <c r="EM148" s="397">
        <f t="shared" si="1236"/>
        <v>0</v>
      </c>
      <c r="EN148" s="398">
        <f t="shared" si="1237"/>
        <v>0</v>
      </c>
      <c r="EO148" s="722">
        <f t="shared" si="1238"/>
        <v>0</v>
      </c>
      <c r="EP148" s="511">
        <f t="shared" si="1239"/>
        <v>397.40499999999997</v>
      </c>
      <c r="EQ148" s="511">
        <f t="shared" si="1240"/>
        <v>0</v>
      </c>
      <c r="ER148" s="511">
        <f t="shared" si="1241"/>
        <v>0</v>
      </c>
      <c r="ES148" s="511">
        <f t="shared" si="1242"/>
        <v>397.40499999999997</v>
      </c>
      <c r="ET148" s="511">
        <f t="shared" si="1243"/>
        <v>0</v>
      </c>
      <c r="EU148" s="723">
        <f t="shared" si="1244"/>
        <v>0</v>
      </c>
      <c r="EV148" s="727">
        <f t="shared" si="1245"/>
        <v>0.5</v>
      </c>
      <c r="EW148" s="728">
        <f t="shared" si="1246"/>
        <v>10980.198012776291</v>
      </c>
      <c r="EX148" s="728">
        <f t="shared" si="1247"/>
        <v>0</v>
      </c>
      <c r="EY148" s="728">
        <f t="shared" si="1248"/>
        <v>1500</v>
      </c>
      <c r="EZ148" s="728">
        <f t="shared" si="1249"/>
        <v>0</v>
      </c>
      <c r="FA148" s="777">
        <f t="shared" si="1250"/>
        <v>49644.000000000007</v>
      </c>
      <c r="FB148" s="777">
        <f t="shared" si="1251"/>
        <v>7.7428571428571429</v>
      </c>
      <c r="FC148" s="778">
        <f t="shared" si="1252"/>
        <v>794.81</v>
      </c>
      <c r="FE148" s="10"/>
      <c r="FF148" s="10"/>
    </row>
    <row r="149" spans="1:162">
      <c r="A149" s="662" t="s">
        <v>256</v>
      </c>
      <c r="B149" s="789" t="s">
        <v>1440</v>
      </c>
      <c r="C149" s="789" t="str">
        <f t="shared" ref="C149:O149" si="1355">C35</f>
        <v>Commercial New Construction Tier 2 - 15% Over Code</v>
      </c>
      <c r="D149" s="789" t="str">
        <f t="shared" si="1355"/>
        <v>State and Federal Energy Code</v>
      </c>
      <c r="E149" s="789" t="str">
        <f t="shared" si="1355"/>
        <v>Per Project</v>
      </c>
      <c r="F149" s="789" t="str">
        <f t="shared" si="1355"/>
        <v>Per Project</v>
      </c>
      <c r="G149" s="704" t="str">
        <f t="shared" si="1355"/>
        <v>Incremental Cost</v>
      </c>
      <c r="H149" s="704">
        <f t="shared" si="1355"/>
        <v>16470.297019164434</v>
      </c>
      <c r="I149" s="704">
        <f t="shared" si="1355"/>
        <v>0</v>
      </c>
      <c r="J149" s="704">
        <f t="shared" si="1355"/>
        <v>16470.297019164434</v>
      </c>
      <c r="K149" s="704">
        <f t="shared" si="1355"/>
        <v>0</v>
      </c>
      <c r="L149" s="704">
        <f t="shared" si="1355"/>
        <v>8235.1485095822172</v>
      </c>
      <c r="M149" s="707" t="str">
        <f t="shared" si="1355"/>
        <v xml:space="preserve">Benchmarking custom projects from other utilties to estimate incremental cost. Roughly $0.22 per kWh saved as incermental costs. </v>
      </c>
      <c r="N149" s="704">
        <f t="shared" si="1355"/>
        <v>2300</v>
      </c>
      <c r="O149" s="704">
        <f t="shared" si="1355"/>
        <v>2300</v>
      </c>
      <c r="P149" s="704">
        <f t="shared" si="1289"/>
        <v>0</v>
      </c>
      <c r="Q149" s="704">
        <f t="shared" si="1289"/>
        <v>0</v>
      </c>
      <c r="R149" s="1021">
        <f t="shared" si="1347"/>
        <v>74466</v>
      </c>
      <c r="S149" s="872">
        <f t="shared" si="1347"/>
        <v>11.614285714285714</v>
      </c>
      <c r="T149" s="1068">
        <v>1192.22</v>
      </c>
      <c r="U149" s="711" t="str">
        <f t="shared" si="1348"/>
        <v>Estimated savings from LG&amp;E and KU projections and 2016 program data.</v>
      </c>
      <c r="V149" s="716">
        <f t="shared" si="1348"/>
        <v>0</v>
      </c>
      <c r="W149" s="711">
        <f t="shared" si="1348"/>
        <v>1</v>
      </c>
      <c r="X149" s="781">
        <f t="shared" ref="X149:AJ149" si="1356">X35/2</f>
        <v>0</v>
      </c>
      <c r="Y149" s="781">
        <f t="shared" si="1356"/>
        <v>0</v>
      </c>
      <c r="Z149" s="781">
        <f t="shared" si="1356"/>
        <v>0</v>
      </c>
      <c r="AA149" s="781">
        <f t="shared" si="1356"/>
        <v>0</v>
      </c>
      <c r="AB149" s="781">
        <f t="shared" si="1356"/>
        <v>0</v>
      </c>
      <c r="AC149" s="781">
        <f t="shared" si="1356"/>
        <v>0</v>
      </c>
      <c r="AD149" s="781">
        <f t="shared" si="1356"/>
        <v>0.5</v>
      </c>
      <c r="AE149" s="781">
        <f t="shared" si="1356"/>
        <v>0</v>
      </c>
      <c r="AF149" s="781">
        <f t="shared" si="1356"/>
        <v>0.5</v>
      </c>
      <c r="AG149" s="781">
        <f t="shared" si="1356"/>
        <v>0</v>
      </c>
      <c r="AH149" s="781">
        <f t="shared" si="1356"/>
        <v>0.5</v>
      </c>
      <c r="AI149" s="781">
        <f t="shared" si="1356"/>
        <v>0</v>
      </c>
      <c r="AJ149" s="781">
        <f t="shared" si="1356"/>
        <v>0.5</v>
      </c>
      <c r="AK149" s="711" t="str">
        <f t="shared" ref="AK149:BA149" si="1357">AK35</f>
        <v>Both</v>
      </c>
      <c r="AL149" s="711" t="str">
        <f t="shared" si="1357"/>
        <v>Commercial</v>
      </c>
      <c r="AM149" s="711" t="str">
        <f t="shared" si="1357"/>
        <v>Large Office</v>
      </c>
      <c r="AN149" s="711" t="str">
        <f t="shared" si="1357"/>
        <v>All</v>
      </c>
      <c r="AO149" s="711" t="str">
        <f t="shared" si="1357"/>
        <v>New</v>
      </c>
      <c r="AP149" s="711">
        <f t="shared" si="1357"/>
        <v>0</v>
      </c>
      <c r="AQ149" s="711">
        <f t="shared" si="1357"/>
        <v>0</v>
      </c>
      <c r="AR149" s="711">
        <f t="shared" si="1357"/>
        <v>0</v>
      </c>
      <c r="AS149" s="711" t="str">
        <f t="shared" si="1357"/>
        <v>OFFLGElecTotl</v>
      </c>
      <c r="AT149" s="715" t="s">
        <v>745</v>
      </c>
      <c r="AU149" s="711" t="str">
        <f t="shared" si="1357"/>
        <v>LGE NonRes</v>
      </c>
      <c r="AV149" s="711">
        <f t="shared" si="1357"/>
        <v>15</v>
      </c>
      <c r="AW149" s="711">
        <f t="shared" si="1357"/>
        <v>15</v>
      </c>
      <c r="AX149" s="711" t="str">
        <f t="shared" si="1357"/>
        <v>Custom measure EULs ranges from 10 to 25 years depending on end use (NEEP EUL study by GDS 2007)</v>
      </c>
      <c r="AY149" s="711">
        <f t="shared" si="1357"/>
        <v>1</v>
      </c>
      <c r="AZ149" s="711">
        <f t="shared" si="1357"/>
        <v>1</v>
      </c>
      <c r="BA149" s="1066">
        <f t="shared" si="1357"/>
        <v>1</v>
      </c>
      <c r="BB149" s="721">
        <f t="shared" si="1079"/>
        <v>16470.297019164434</v>
      </c>
      <c r="BC149" s="499">
        <f t="shared" si="1080"/>
        <v>16470.297019164434</v>
      </c>
      <c r="BD149" s="499">
        <f t="shared" si="1081"/>
        <v>16470.297019164434</v>
      </c>
      <c r="BE149" s="499">
        <f t="shared" si="1082"/>
        <v>16470.297019164434</v>
      </c>
      <c r="BF149" s="499">
        <f t="shared" si="1083"/>
        <v>16470.297019164434</v>
      </c>
      <c r="BG149" s="499">
        <f t="shared" si="1084"/>
        <v>16470.297019164434</v>
      </c>
      <c r="BH149" s="499">
        <f t="shared" si="1085"/>
        <v>16470.297019164434</v>
      </c>
      <c r="BI149" s="721">
        <f t="shared" si="1060"/>
        <v>0</v>
      </c>
      <c r="BJ149" s="499">
        <f t="shared" ref="BJ149:BM149" si="1358">BI149</f>
        <v>0</v>
      </c>
      <c r="BK149" s="499">
        <f t="shared" si="1358"/>
        <v>0</v>
      </c>
      <c r="BL149" s="499">
        <f t="shared" si="1358"/>
        <v>0</v>
      </c>
      <c r="BM149" s="499">
        <f t="shared" si="1358"/>
        <v>0</v>
      </c>
      <c r="BN149" s="499">
        <f t="shared" si="1087"/>
        <v>0</v>
      </c>
      <c r="BO149" s="499">
        <f t="shared" si="1088"/>
        <v>0</v>
      </c>
      <c r="BP149" s="721">
        <f t="shared" si="1062"/>
        <v>2300</v>
      </c>
      <c r="BQ149" s="499">
        <f t="shared" si="1063"/>
        <v>2300</v>
      </c>
      <c r="BR149" s="499">
        <f t="shared" si="1089"/>
        <v>2300</v>
      </c>
      <c r="BS149" s="499">
        <f t="shared" si="1090"/>
        <v>2300</v>
      </c>
      <c r="BT149" s="499">
        <f t="shared" si="1091"/>
        <v>2300</v>
      </c>
      <c r="BU149" s="499">
        <f t="shared" si="1092"/>
        <v>2300</v>
      </c>
      <c r="BV149" s="499">
        <f t="shared" si="1093"/>
        <v>2300</v>
      </c>
      <c r="BW149" s="774">
        <f t="shared" si="1094"/>
        <v>0</v>
      </c>
      <c r="BX149" s="503">
        <f t="shared" si="1094"/>
        <v>0</v>
      </c>
      <c r="BY149" s="503">
        <f t="shared" si="1094"/>
        <v>0</v>
      </c>
      <c r="BZ149" s="503">
        <f t="shared" si="1094"/>
        <v>0</v>
      </c>
      <c r="CA149" s="503">
        <f t="shared" si="1094"/>
        <v>0</v>
      </c>
      <c r="CB149" s="503">
        <f t="shared" si="1094"/>
        <v>0</v>
      </c>
      <c r="CC149" s="503">
        <f t="shared" si="1094"/>
        <v>0</v>
      </c>
      <c r="CD149" s="722">
        <f t="shared" si="1070"/>
        <v>74466</v>
      </c>
      <c r="CE149" s="511">
        <f t="shared" ref="CE149:CH149" si="1359">CD149</f>
        <v>74466</v>
      </c>
      <c r="CF149" s="511">
        <f t="shared" si="1359"/>
        <v>74466</v>
      </c>
      <c r="CG149" s="511">
        <f t="shared" si="1359"/>
        <v>74466</v>
      </c>
      <c r="CH149" s="511">
        <f t="shared" si="1359"/>
        <v>74466</v>
      </c>
      <c r="CI149" s="511">
        <f t="shared" si="1096"/>
        <v>74466</v>
      </c>
      <c r="CJ149" s="511">
        <f t="shared" si="1097"/>
        <v>74466</v>
      </c>
      <c r="CK149" s="722">
        <f t="shared" si="1072"/>
        <v>11.614285714285714</v>
      </c>
      <c r="CL149" s="511">
        <f t="shared" ref="CL149:CO149" si="1360">CK149</f>
        <v>11.614285714285714</v>
      </c>
      <c r="CM149" s="511">
        <f t="shared" si="1360"/>
        <v>11.614285714285714</v>
      </c>
      <c r="CN149" s="511">
        <f t="shared" si="1360"/>
        <v>11.614285714285714</v>
      </c>
      <c r="CO149" s="511">
        <f t="shared" si="1360"/>
        <v>11.614285714285714</v>
      </c>
      <c r="CP149" s="511">
        <f t="shared" si="1099"/>
        <v>11.614285714285714</v>
      </c>
      <c r="CQ149" s="511">
        <f t="shared" si="1100"/>
        <v>11.614285714285714</v>
      </c>
      <c r="CR149" s="722">
        <f t="shared" si="1074"/>
        <v>1192.22</v>
      </c>
      <c r="CS149" s="511">
        <f t="shared" ref="CS149:CV149" si="1361">CR149</f>
        <v>1192.22</v>
      </c>
      <c r="CT149" s="511">
        <f t="shared" si="1361"/>
        <v>1192.22</v>
      </c>
      <c r="CU149" s="511">
        <f t="shared" si="1361"/>
        <v>1192.22</v>
      </c>
      <c r="CV149" s="511">
        <f t="shared" si="1361"/>
        <v>1192.22</v>
      </c>
      <c r="CW149" s="511">
        <f t="shared" si="1102"/>
        <v>1192.22</v>
      </c>
      <c r="CX149" s="539">
        <f t="shared" si="1103"/>
        <v>1192.22</v>
      </c>
      <c r="CY149" s="724">
        <f t="shared" si="1196"/>
        <v>8235.1485095822172</v>
      </c>
      <c r="CZ149" s="508">
        <f t="shared" si="1197"/>
        <v>0</v>
      </c>
      <c r="DA149" s="508">
        <f t="shared" si="1198"/>
        <v>8235.1485095822172</v>
      </c>
      <c r="DB149" s="508">
        <f t="shared" si="1199"/>
        <v>0</v>
      </c>
      <c r="DC149" s="508">
        <f t="shared" si="1200"/>
        <v>8235.1485095822172</v>
      </c>
      <c r="DD149" s="508">
        <f t="shared" si="1201"/>
        <v>0</v>
      </c>
      <c r="DE149" s="726">
        <f t="shared" si="1202"/>
        <v>8235.1485095822172</v>
      </c>
      <c r="DF149" s="724">
        <f t="shared" si="1203"/>
        <v>0</v>
      </c>
      <c r="DG149" s="509">
        <f t="shared" si="1204"/>
        <v>0</v>
      </c>
      <c r="DH149" s="509">
        <f t="shared" si="1205"/>
        <v>0</v>
      </c>
      <c r="DI149" s="509">
        <f t="shared" si="1206"/>
        <v>0</v>
      </c>
      <c r="DJ149" s="509">
        <f t="shared" si="1207"/>
        <v>0</v>
      </c>
      <c r="DK149" s="509">
        <f t="shared" si="1208"/>
        <v>0</v>
      </c>
      <c r="DL149" s="451">
        <f t="shared" si="1209"/>
        <v>0</v>
      </c>
      <c r="DM149" s="509">
        <f t="shared" si="1210"/>
        <v>1150</v>
      </c>
      <c r="DN149" s="509">
        <f t="shared" si="1211"/>
        <v>0</v>
      </c>
      <c r="DO149" s="509">
        <f t="shared" si="1212"/>
        <v>1150</v>
      </c>
      <c r="DP149" s="509">
        <f t="shared" si="1213"/>
        <v>0</v>
      </c>
      <c r="DQ149" s="509">
        <f t="shared" si="1214"/>
        <v>1150</v>
      </c>
      <c r="DR149" s="509">
        <f t="shared" si="1215"/>
        <v>0</v>
      </c>
      <c r="DS149" s="450">
        <f t="shared" si="1216"/>
        <v>1150</v>
      </c>
      <c r="DT149" s="724">
        <f t="shared" si="1217"/>
        <v>0</v>
      </c>
      <c r="DU149" s="508">
        <f t="shared" si="1218"/>
        <v>0</v>
      </c>
      <c r="DV149" s="508">
        <f t="shared" si="1219"/>
        <v>0</v>
      </c>
      <c r="DW149" s="508">
        <f t="shared" si="1220"/>
        <v>0</v>
      </c>
      <c r="DX149" s="508">
        <f t="shared" si="1221"/>
        <v>0</v>
      </c>
      <c r="DY149" s="508">
        <f t="shared" si="1222"/>
        <v>0</v>
      </c>
      <c r="DZ149" s="726">
        <f t="shared" si="1223"/>
        <v>0</v>
      </c>
      <c r="EA149" s="722">
        <f t="shared" si="1224"/>
        <v>37233</v>
      </c>
      <c r="EB149" s="511">
        <f t="shared" si="1225"/>
        <v>0</v>
      </c>
      <c r="EC149" s="511">
        <f t="shared" si="1226"/>
        <v>37233</v>
      </c>
      <c r="ED149" s="511">
        <f t="shared" si="1227"/>
        <v>0</v>
      </c>
      <c r="EE149" s="511">
        <f t="shared" si="1228"/>
        <v>37233</v>
      </c>
      <c r="EF149" s="511">
        <f t="shared" si="1229"/>
        <v>0</v>
      </c>
      <c r="EG149" s="723">
        <f t="shared" si="1230"/>
        <v>37233</v>
      </c>
      <c r="EH149" s="397">
        <f t="shared" si="1231"/>
        <v>5.8071428571428569</v>
      </c>
      <c r="EI149" s="397">
        <f t="shared" si="1232"/>
        <v>0</v>
      </c>
      <c r="EJ149" s="397">
        <f t="shared" si="1233"/>
        <v>5.8071428571428569</v>
      </c>
      <c r="EK149" s="397">
        <f t="shared" si="1234"/>
        <v>0</v>
      </c>
      <c r="EL149" s="397">
        <f t="shared" si="1235"/>
        <v>5.8071428571428569</v>
      </c>
      <c r="EM149" s="397">
        <f t="shared" si="1236"/>
        <v>0</v>
      </c>
      <c r="EN149" s="398">
        <f t="shared" si="1237"/>
        <v>5.8071428571428569</v>
      </c>
      <c r="EO149" s="722">
        <f t="shared" si="1238"/>
        <v>596.11</v>
      </c>
      <c r="EP149" s="511">
        <f t="shared" si="1239"/>
        <v>0</v>
      </c>
      <c r="EQ149" s="511">
        <f t="shared" si="1240"/>
        <v>596.11</v>
      </c>
      <c r="ER149" s="511">
        <f t="shared" si="1241"/>
        <v>0</v>
      </c>
      <c r="ES149" s="511">
        <f t="shared" si="1242"/>
        <v>596.11</v>
      </c>
      <c r="ET149" s="511">
        <f t="shared" si="1243"/>
        <v>0</v>
      </c>
      <c r="EU149" s="723">
        <f t="shared" si="1244"/>
        <v>596.11</v>
      </c>
      <c r="EV149" s="727">
        <f t="shared" si="1245"/>
        <v>1</v>
      </c>
      <c r="EW149" s="728">
        <f t="shared" si="1246"/>
        <v>32940.594038328869</v>
      </c>
      <c r="EX149" s="728">
        <f t="shared" si="1247"/>
        <v>0</v>
      </c>
      <c r="EY149" s="728">
        <f t="shared" si="1248"/>
        <v>4600</v>
      </c>
      <c r="EZ149" s="728">
        <f t="shared" si="1249"/>
        <v>0</v>
      </c>
      <c r="FA149" s="777">
        <f t="shared" si="1250"/>
        <v>148932</v>
      </c>
      <c r="FB149" s="777">
        <f t="shared" si="1251"/>
        <v>23.228571428571428</v>
      </c>
      <c r="FC149" s="778">
        <f t="shared" si="1252"/>
        <v>2384.44</v>
      </c>
      <c r="FE149" s="10"/>
      <c r="FF149" s="10"/>
    </row>
    <row r="150" spans="1:162">
      <c r="A150" s="662" t="s">
        <v>257</v>
      </c>
      <c r="B150" s="789" t="s">
        <v>1441</v>
      </c>
      <c r="C150" s="789" t="str">
        <f t="shared" ref="C150:O150" si="1362">C36</f>
        <v>Commercial New Construction Tier 3 - 20% Over Code</v>
      </c>
      <c r="D150" s="789" t="str">
        <f t="shared" si="1362"/>
        <v>State and Federal Energy Code</v>
      </c>
      <c r="E150" s="789" t="str">
        <f t="shared" si="1362"/>
        <v>Per Project</v>
      </c>
      <c r="F150" s="789" t="str">
        <f t="shared" si="1362"/>
        <v>Per Project</v>
      </c>
      <c r="G150" s="704" t="str">
        <f t="shared" si="1362"/>
        <v>Incremental Cost</v>
      </c>
      <c r="H150" s="704">
        <f t="shared" si="1362"/>
        <v>21960.396025552582</v>
      </c>
      <c r="I150" s="704">
        <f t="shared" si="1362"/>
        <v>0</v>
      </c>
      <c r="J150" s="704">
        <f t="shared" si="1362"/>
        <v>21960.396025552582</v>
      </c>
      <c r="K150" s="704">
        <f t="shared" si="1362"/>
        <v>0</v>
      </c>
      <c r="L150" s="704">
        <f t="shared" si="1362"/>
        <v>10980.198012776291</v>
      </c>
      <c r="M150" s="707" t="str">
        <f t="shared" si="1362"/>
        <v xml:space="preserve">Benchmarking custom projects from other utilties to estimate incremental cost. Roughly $0.22 per kWh saved as incermental costs. </v>
      </c>
      <c r="N150" s="704">
        <f t="shared" si="1362"/>
        <v>3000</v>
      </c>
      <c r="O150" s="704">
        <f t="shared" si="1362"/>
        <v>3000</v>
      </c>
      <c r="P150" s="704">
        <f t="shared" si="1289"/>
        <v>0</v>
      </c>
      <c r="Q150" s="704">
        <f t="shared" si="1289"/>
        <v>0</v>
      </c>
      <c r="R150" s="1021">
        <f t="shared" si="1347"/>
        <v>99288.000000000015</v>
      </c>
      <c r="S150" s="872">
        <f t="shared" si="1347"/>
        <v>15.485714285714286</v>
      </c>
      <c r="T150" s="1068">
        <v>1589.62</v>
      </c>
      <c r="U150" s="711" t="str">
        <f t="shared" si="1348"/>
        <v>Estimated savings from LG&amp;E and KU projections and 2016 program data.</v>
      </c>
      <c r="V150" s="716">
        <f t="shared" si="1348"/>
        <v>0</v>
      </c>
      <c r="W150" s="711">
        <f t="shared" si="1348"/>
        <v>1</v>
      </c>
      <c r="X150" s="781">
        <f t="shared" ref="X150:AJ150" si="1363">X36/2</f>
        <v>0</v>
      </c>
      <c r="Y150" s="781">
        <f t="shared" si="1363"/>
        <v>0.5</v>
      </c>
      <c r="Z150" s="781">
        <f t="shared" si="1363"/>
        <v>0</v>
      </c>
      <c r="AA150" s="781">
        <f t="shared" si="1363"/>
        <v>0</v>
      </c>
      <c r="AB150" s="781">
        <f t="shared" si="1363"/>
        <v>0</v>
      </c>
      <c r="AC150" s="781">
        <f t="shared" si="1363"/>
        <v>0.5</v>
      </c>
      <c r="AD150" s="781">
        <f t="shared" si="1363"/>
        <v>0</v>
      </c>
      <c r="AE150" s="781">
        <f t="shared" si="1363"/>
        <v>0</v>
      </c>
      <c r="AF150" s="781">
        <f t="shared" si="1363"/>
        <v>0.5</v>
      </c>
      <c r="AG150" s="781">
        <f t="shared" si="1363"/>
        <v>0</v>
      </c>
      <c r="AH150" s="781">
        <f t="shared" si="1363"/>
        <v>0</v>
      </c>
      <c r="AI150" s="781">
        <f t="shared" si="1363"/>
        <v>0.5</v>
      </c>
      <c r="AJ150" s="781">
        <f t="shared" si="1363"/>
        <v>0</v>
      </c>
      <c r="AK150" s="711" t="str">
        <f t="shared" ref="AK150:BA150" si="1364">AK36</f>
        <v>Both</v>
      </c>
      <c r="AL150" s="711" t="str">
        <f t="shared" si="1364"/>
        <v>Commercial</v>
      </c>
      <c r="AM150" s="711" t="str">
        <f t="shared" si="1364"/>
        <v>Large Office</v>
      </c>
      <c r="AN150" s="711" t="str">
        <f t="shared" si="1364"/>
        <v>All</v>
      </c>
      <c r="AO150" s="711" t="str">
        <f t="shared" si="1364"/>
        <v>New</v>
      </c>
      <c r="AP150" s="711">
        <f t="shared" si="1364"/>
        <v>0</v>
      </c>
      <c r="AQ150" s="711">
        <f t="shared" si="1364"/>
        <v>0</v>
      </c>
      <c r="AR150" s="711">
        <f t="shared" si="1364"/>
        <v>0</v>
      </c>
      <c r="AS150" s="711" t="str">
        <f t="shared" si="1364"/>
        <v>OFFLGElecTotl</v>
      </c>
      <c r="AT150" s="715" t="s">
        <v>745</v>
      </c>
      <c r="AU150" s="711" t="str">
        <f t="shared" si="1364"/>
        <v>LGE NonRes</v>
      </c>
      <c r="AV150" s="711">
        <f t="shared" si="1364"/>
        <v>15</v>
      </c>
      <c r="AW150" s="711">
        <f t="shared" si="1364"/>
        <v>15</v>
      </c>
      <c r="AX150" s="711" t="str">
        <f t="shared" si="1364"/>
        <v>Custom measure EULs ranges from 10 to 25 years depending on end use (NEEP EUL study by GDS 2007)</v>
      </c>
      <c r="AY150" s="711">
        <f t="shared" si="1364"/>
        <v>1</v>
      </c>
      <c r="AZ150" s="711">
        <f t="shared" si="1364"/>
        <v>1</v>
      </c>
      <c r="BA150" s="1066">
        <f t="shared" si="1364"/>
        <v>1</v>
      </c>
      <c r="BB150" s="721">
        <f t="shared" si="1079"/>
        <v>21960.396025552582</v>
      </c>
      <c r="BC150" s="499">
        <f t="shared" si="1080"/>
        <v>21960.396025552582</v>
      </c>
      <c r="BD150" s="499">
        <f t="shared" si="1081"/>
        <v>21960.396025552582</v>
      </c>
      <c r="BE150" s="499">
        <f t="shared" si="1082"/>
        <v>21960.396025552582</v>
      </c>
      <c r="BF150" s="499">
        <f t="shared" si="1083"/>
        <v>21960.396025552582</v>
      </c>
      <c r="BG150" s="499">
        <f t="shared" si="1084"/>
        <v>21960.396025552582</v>
      </c>
      <c r="BH150" s="499">
        <f t="shared" si="1085"/>
        <v>21960.396025552582</v>
      </c>
      <c r="BI150" s="721">
        <f t="shared" si="1060"/>
        <v>0</v>
      </c>
      <c r="BJ150" s="499">
        <f t="shared" ref="BJ150:BM150" si="1365">BI150</f>
        <v>0</v>
      </c>
      <c r="BK150" s="499">
        <f t="shared" si="1365"/>
        <v>0</v>
      </c>
      <c r="BL150" s="499">
        <f t="shared" si="1365"/>
        <v>0</v>
      </c>
      <c r="BM150" s="499">
        <f t="shared" si="1365"/>
        <v>0</v>
      </c>
      <c r="BN150" s="499">
        <f t="shared" si="1087"/>
        <v>0</v>
      </c>
      <c r="BO150" s="499">
        <f t="shared" si="1088"/>
        <v>0</v>
      </c>
      <c r="BP150" s="721">
        <f t="shared" si="1062"/>
        <v>3000</v>
      </c>
      <c r="BQ150" s="499">
        <f t="shared" si="1063"/>
        <v>3000</v>
      </c>
      <c r="BR150" s="499">
        <f t="shared" si="1089"/>
        <v>3000</v>
      </c>
      <c r="BS150" s="499">
        <f t="shared" si="1090"/>
        <v>3000</v>
      </c>
      <c r="BT150" s="499">
        <f t="shared" si="1091"/>
        <v>3000</v>
      </c>
      <c r="BU150" s="499">
        <f t="shared" si="1092"/>
        <v>3000</v>
      </c>
      <c r="BV150" s="499">
        <f t="shared" si="1093"/>
        <v>3000</v>
      </c>
      <c r="BW150" s="774">
        <f t="shared" si="1094"/>
        <v>0</v>
      </c>
      <c r="BX150" s="503">
        <f t="shared" si="1094"/>
        <v>0</v>
      </c>
      <c r="BY150" s="503">
        <f t="shared" si="1094"/>
        <v>0</v>
      </c>
      <c r="BZ150" s="503">
        <f t="shared" si="1094"/>
        <v>0</v>
      </c>
      <c r="CA150" s="503">
        <f t="shared" si="1094"/>
        <v>0</v>
      </c>
      <c r="CB150" s="503">
        <f t="shared" si="1094"/>
        <v>0</v>
      </c>
      <c r="CC150" s="503">
        <f t="shared" si="1094"/>
        <v>0</v>
      </c>
      <c r="CD150" s="722">
        <f t="shared" si="1070"/>
        <v>99288.000000000015</v>
      </c>
      <c r="CE150" s="511">
        <f t="shared" ref="CE150:CH150" si="1366">CD150</f>
        <v>99288.000000000015</v>
      </c>
      <c r="CF150" s="511">
        <f t="shared" si="1366"/>
        <v>99288.000000000015</v>
      </c>
      <c r="CG150" s="511">
        <f t="shared" si="1366"/>
        <v>99288.000000000015</v>
      </c>
      <c r="CH150" s="511">
        <f t="shared" si="1366"/>
        <v>99288.000000000015</v>
      </c>
      <c r="CI150" s="511">
        <f t="shared" si="1096"/>
        <v>99288.000000000015</v>
      </c>
      <c r="CJ150" s="511">
        <f t="shared" si="1097"/>
        <v>99288.000000000015</v>
      </c>
      <c r="CK150" s="722">
        <f t="shared" si="1072"/>
        <v>15.485714285714286</v>
      </c>
      <c r="CL150" s="511">
        <f t="shared" ref="CL150:CO150" si="1367">CK150</f>
        <v>15.485714285714286</v>
      </c>
      <c r="CM150" s="511">
        <f t="shared" si="1367"/>
        <v>15.485714285714286</v>
      </c>
      <c r="CN150" s="511">
        <f t="shared" si="1367"/>
        <v>15.485714285714286</v>
      </c>
      <c r="CO150" s="511">
        <f t="shared" si="1367"/>
        <v>15.485714285714286</v>
      </c>
      <c r="CP150" s="511">
        <f t="shared" si="1099"/>
        <v>15.485714285714286</v>
      </c>
      <c r="CQ150" s="511">
        <f t="shared" si="1100"/>
        <v>15.485714285714286</v>
      </c>
      <c r="CR150" s="722">
        <f t="shared" si="1074"/>
        <v>1589.62</v>
      </c>
      <c r="CS150" s="511">
        <f t="shared" ref="CS150:CV150" si="1368">CR150</f>
        <v>1589.62</v>
      </c>
      <c r="CT150" s="511">
        <f t="shared" si="1368"/>
        <v>1589.62</v>
      </c>
      <c r="CU150" s="511">
        <f t="shared" si="1368"/>
        <v>1589.62</v>
      </c>
      <c r="CV150" s="511">
        <f t="shared" si="1368"/>
        <v>1589.62</v>
      </c>
      <c r="CW150" s="511">
        <f t="shared" si="1102"/>
        <v>1589.62</v>
      </c>
      <c r="CX150" s="539">
        <f t="shared" si="1103"/>
        <v>1589.62</v>
      </c>
      <c r="CY150" s="724">
        <f t="shared" si="1196"/>
        <v>0</v>
      </c>
      <c r="CZ150" s="508">
        <f t="shared" si="1197"/>
        <v>0</v>
      </c>
      <c r="DA150" s="508">
        <f t="shared" si="1198"/>
        <v>10980.198012776291</v>
      </c>
      <c r="DB150" s="508">
        <f t="shared" si="1199"/>
        <v>0</v>
      </c>
      <c r="DC150" s="508">
        <f t="shared" si="1200"/>
        <v>0</v>
      </c>
      <c r="DD150" s="508">
        <f t="shared" si="1201"/>
        <v>10980.198012776291</v>
      </c>
      <c r="DE150" s="726">
        <f t="shared" si="1202"/>
        <v>0</v>
      </c>
      <c r="DF150" s="724">
        <f t="shared" si="1203"/>
        <v>0</v>
      </c>
      <c r="DG150" s="509">
        <f t="shared" si="1204"/>
        <v>0</v>
      </c>
      <c r="DH150" s="509">
        <f t="shared" si="1205"/>
        <v>0</v>
      </c>
      <c r="DI150" s="509">
        <f t="shared" si="1206"/>
        <v>0</v>
      </c>
      <c r="DJ150" s="509">
        <f t="shared" si="1207"/>
        <v>0</v>
      </c>
      <c r="DK150" s="509">
        <f t="shared" si="1208"/>
        <v>0</v>
      </c>
      <c r="DL150" s="451">
        <f t="shared" si="1209"/>
        <v>0</v>
      </c>
      <c r="DM150" s="509">
        <f t="shared" si="1210"/>
        <v>0</v>
      </c>
      <c r="DN150" s="509">
        <f t="shared" si="1211"/>
        <v>0</v>
      </c>
      <c r="DO150" s="509">
        <f t="shared" si="1212"/>
        <v>1500</v>
      </c>
      <c r="DP150" s="509">
        <f t="shared" si="1213"/>
        <v>0</v>
      </c>
      <c r="DQ150" s="509">
        <f t="shared" si="1214"/>
        <v>0</v>
      </c>
      <c r="DR150" s="509">
        <f t="shared" si="1215"/>
        <v>1500</v>
      </c>
      <c r="DS150" s="450">
        <f t="shared" si="1216"/>
        <v>0</v>
      </c>
      <c r="DT150" s="724">
        <f t="shared" si="1217"/>
        <v>0</v>
      </c>
      <c r="DU150" s="508">
        <f t="shared" si="1218"/>
        <v>0</v>
      </c>
      <c r="DV150" s="508">
        <f t="shared" si="1219"/>
        <v>0</v>
      </c>
      <c r="DW150" s="508">
        <f t="shared" si="1220"/>
        <v>0</v>
      </c>
      <c r="DX150" s="508">
        <f t="shared" si="1221"/>
        <v>0</v>
      </c>
      <c r="DY150" s="508">
        <f t="shared" si="1222"/>
        <v>0</v>
      </c>
      <c r="DZ150" s="726">
        <f t="shared" si="1223"/>
        <v>0</v>
      </c>
      <c r="EA150" s="722">
        <f t="shared" si="1224"/>
        <v>0</v>
      </c>
      <c r="EB150" s="511">
        <f t="shared" si="1225"/>
        <v>0</v>
      </c>
      <c r="EC150" s="511">
        <f t="shared" si="1226"/>
        <v>49644.000000000007</v>
      </c>
      <c r="ED150" s="511">
        <f t="shared" si="1227"/>
        <v>0</v>
      </c>
      <c r="EE150" s="511">
        <f t="shared" si="1228"/>
        <v>0</v>
      </c>
      <c r="EF150" s="511">
        <f t="shared" si="1229"/>
        <v>49644.000000000007</v>
      </c>
      <c r="EG150" s="723">
        <f t="shared" si="1230"/>
        <v>0</v>
      </c>
      <c r="EH150" s="397">
        <f t="shared" si="1231"/>
        <v>0</v>
      </c>
      <c r="EI150" s="397">
        <f t="shared" si="1232"/>
        <v>0</v>
      </c>
      <c r="EJ150" s="397">
        <f t="shared" si="1233"/>
        <v>7.7428571428571429</v>
      </c>
      <c r="EK150" s="397">
        <f t="shared" si="1234"/>
        <v>0</v>
      </c>
      <c r="EL150" s="397">
        <f t="shared" si="1235"/>
        <v>0</v>
      </c>
      <c r="EM150" s="397">
        <f t="shared" si="1236"/>
        <v>7.7428571428571429</v>
      </c>
      <c r="EN150" s="398">
        <f t="shared" si="1237"/>
        <v>0</v>
      </c>
      <c r="EO150" s="722">
        <f t="shared" si="1238"/>
        <v>0</v>
      </c>
      <c r="EP150" s="511">
        <f t="shared" si="1239"/>
        <v>0</v>
      </c>
      <c r="EQ150" s="511">
        <f t="shared" si="1240"/>
        <v>794.81</v>
      </c>
      <c r="ER150" s="511">
        <f t="shared" si="1241"/>
        <v>0</v>
      </c>
      <c r="ES150" s="511">
        <f t="shared" si="1242"/>
        <v>0</v>
      </c>
      <c r="ET150" s="511">
        <f t="shared" si="1243"/>
        <v>794.81</v>
      </c>
      <c r="EU150" s="723">
        <f t="shared" si="1244"/>
        <v>0</v>
      </c>
      <c r="EV150" s="727">
        <f t="shared" si="1245"/>
        <v>0.5</v>
      </c>
      <c r="EW150" s="728">
        <f t="shared" si="1246"/>
        <v>21960.396025552582</v>
      </c>
      <c r="EX150" s="728">
        <f t="shared" si="1247"/>
        <v>0</v>
      </c>
      <c r="EY150" s="728">
        <f t="shared" si="1248"/>
        <v>3000</v>
      </c>
      <c r="EZ150" s="728">
        <f t="shared" si="1249"/>
        <v>0</v>
      </c>
      <c r="FA150" s="777">
        <f t="shared" si="1250"/>
        <v>99288.000000000015</v>
      </c>
      <c r="FB150" s="777">
        <f t="shared" si="1251"/>
        <v>15.485714285714286</v>
      </c>
      <c r="FC150" s="778">
        <f t="shared" si="1252"/>
        <v>1589.62</v>
      </c>
      <c r="FE150" s="10"/>
      <c r="FF150" s="10"/>
    </row>
    <row r="151" spans="1:162">
      <c r="A151" s="662" t="s">
        <v>258</v>
      </c>
      <c r="B151" s="789" t="s">
        <v>1442</v>
      </c>
      <c r="C151" s="789" t="str">
        <f t="shared" ref="C151:O151" si="1369">C37</f>
        <v>Commercial New Construction Tier 4 - 25% Over Code</v>
      </c>
      <c r="D151" s="789" t="str">
        <f t="shared" si="1369"/>
        <v>State and Federal Energy Code</v>
      </c>
      <c r="E151" s="789" t="str">
        <f t="shared" si="1369"/>
        <v>Per Project</v>
      </c>
      <c r="F151" s="789" t="str">
        <f t="shared" si="1369"/>
        <v>Per Project</v>
      </c>
      <c r="G151" s="704" t="str">
        <f t="shared" si="1369"/>
        <v>Incremental Cost</v>
      </c>
      <c r="H151" s="704">
        <f t="shared" si="1369"/>
        <v>27450.495031940722</v>
      </c>
      <c r="I151" s="704">
        <f t="shared" si="1369"/>
        <v>0</v>
      </c>
      <c r="J151" s="704">
        <f t="shared" si="1369"/>
        <v>27450.495031940722</v>
      </c>
      <c r="K151" s="704">
        <f t="shared" si="1369"/>
        <v>0</v>
      </c>
      <c r="L151" s="704">
        <f t="shared" si="1369"/>
        <v>13725.247515970361</v>
      </c>
      <c r="M151" s="707" t="str">
        <f t="shared" si="1369"/>
        <v xml:space="preserve">Benchmarking custom projects from other utilties to estimate incremental cost. Roughly $0.22 per kWh saved as incermental costs. </v>
      </c>
      <c r="N151" s="704">
        <f t="shared" si="1369"/>
        <v>3800</v>
      </c>
      <c r="O151" s="704">
        <f t="shared" si="1369"/>
        <v>3800</v>
      </c>
      <c r="P151" s="704">
        <f t="shared" si="1289"/>
        <v>0</v>
      </c>
      <c r="Q151" s="704">
        <f t="shared" si="1289"/>
        <v>0</v>
      </c>
      <c r="R151" s="1021">
        <f t="shared" si="1347"/>
        <v>124110</v>
      </c>
      <c r="S151" s="872">
        <f t="shared" si="1347"/>
        <v>19.357142857142858</v>
      </c>
      <c r="T151" s="1068">
        <v>1987.03</v>
      </c>
      <c r="U151" s="711" t="str">
        <f t="shared" si="1348"/>
        <v>Estimated savings from LG&amp;E and KU projections and 2016 program data.</v>
      </c>
      <c r="V151" s="716">
        <f t="shared" si="1348"/>
        <v>0</v>
      </c>
      <c r="W151" s="711">
        <f t="shared" si="1348"/>
        <v>1</v>
      </c>
      <c r="X151" s="781">
        <f t="shared" ref="X151:AJ151" si="1370">X37/2</f>
        <v>0</v>
      </c>
      <c r="Y151" s="781">
        <f t="shared" si="1370"/>
        <v>0.5</v>
      </c>
      <c r="Z151" s="781">
        <f t="shared" si="1370"/>
        <v>0</v>
      </c>
      <c r="AA151" s="781">
        <f t="shared" si="1370"/>
        <v>0.8571428571428571</v>
      </c>
      <c r="AB151" s="781">
        <f t="shared" si="1370"/>
        <v>0.42857142857142855</v>
      </c>
      <c r="AC151" s="781">
        <f t="shared" si="1370"/>
        <v>0.5</v>
      </c>
      <c r="AD151" s="781">
        <f t="shared" si="1370"/>
        <v>0.5</v>
      </c>
      <c r="AE151" s="781">
        <f t="shared" si="1370"/>
        <v>0.5</v>
      </c>
      <c r="AF151" s="781">
        <f t="shared" si="1370"/>
        <v>0.5</v>
      </c>
      <c r="AG151" s="781">
        <f t="shared" si="1370"/>
        <v>0.5</v>
      </c>
      <c r="AH151" s="781">
        <f t="shared" si="1370"/>
        <v>0.5</v>
      </c>
      <c r="AI151" s="781">
        <f t="shared" si="1370"/>
        <v>0.5</v>
      </c>
      <c r="AJ151" s="781">
        <f t="shared" si="1370"/>
        <v>0.5</v>
      </c>
      <c r="AK151" s="711" t="str">
        <f t="shared" ref="AK151:BA151" si="1371">AK37</f>
        <v>Both</v>
      </c>
      <c r="AL151" s="711" t="str">
        <f t="shared" si="1371"/>
        <v>Commercial</v>
      </c>
      <c r="AM151" s="711" t="str">
        <f t="shared" si="1371"/>
        <v>Large Office</v>
      </c>
      <c r="AN151" s="711" t="str">
        <f t="shared" si="1371"/>
        <v>All</v>
      </c>
      <c r="AO151" s="711" t="str">
        <f t="shared" si="1371"/>
        <v>New</v>
      </c>
      <c r="AP151" s="711">
        <f t="shared" si="1371"/>
        <v>0</v>
      </c>
      <c r="AQ151" s="711">
        <f t="shared" si="1371"/>
        <v>0</v>
      </c>
      <c r="AR151" s="711">
        <f t="shared" si="1371"/>
        <v>0</v>
      </c>
      <c r="AS151" s="711" t="str">
        <f t="shared" si="1371"/>
        <v>OFFLGElecTotl</v>
      </c>
      <c r="AT151" s="715" t="s">
        <v>745</v>
      </c>
      <c r="AU151" s="711" t="str">
        <f t="shared" si="1371"/>
        <v>LGE NonRes</v>
      </c>
      <c r="AV151" s="711">
        <f t="shared" si="1371"/>
        <v>15</v>
      </c>
      <c r="AW151" s="711">
        <f t="shared" si="1371"/>
        <v>15</v>
      </c>
      <c r="AX151" s="711" t="str">
        <f t="shared" si="1371"/>
        <v>Custom measure EULs ranges from 10 to 25 years depending on end use (NEEP EUL study by GDS 2007)</v>
      </c>
      <c r="AY151" s="711">
        <f t="shared" si="1371"/>
        <v>1</v>
      </c>
      <c r="AZ151" s="711">
        <f t="shared" si="1371"/>
        <v>1</v>
      </c>
      <c r="BA151" s="1066">
        <f t="shared" si="1371"/>
        <v>1</v>
      </c>
      <c r="BB151" s="721">
        <f t="shared" si="1079"/>
        <v>27450.495031940722</v>
      </c>
      <c r="BC151" s="499">
        <f t="shared" si="1080"/>
        <v>27450.495031940722</v>
      </c>
      <c r="BD151" s="499">
        <f t="shared" si="1081"/>
        <v>27450.495031940722</v>
      </c>
      <c r="BE151" s="499">
        <f t="shared" si="1082"/>
        <v>27450.495031940722</v>
      </c>
      <c r="BF151" s="499">
        <f t="shared" si="1083"/>
        <v>27450.495031940722</v>
      </c>
      <c r="BG151" s="499">
        <f t="shared" si="1084"/>
        <v>27450.495031940722</v>
      </c>
      <c r="BH151" s="499">
        <f t="shared" si="1085"/>
        <v>27450.495031940722</v>
      </c>
      <c r="BI151" s="721">
        <f t="shared" si="1060"/>
        <v>0</v>
      </c>
      <c r="BJ151" s="499">
        <f t="shared" ref="BJ151:BM151" si="1372">BI151</f>
        <v>0</v>
      </c>
      <c r="BK151" s="499">
        <f t="shared" si="1372"/>
        <v>0</v>
      </c>
      <c r="BL151" s="499">
        <f t="shared" si="1372"/>
        <v>0</v>
      </c>
      <c r="BM151" s="499">
        <f t="shared" si="1372"/>
        <v>0</v>
      </c>
      <c r="BN151" s="499">
        <f t="shared" si="1087"/>
        <v>0</v>
      </c>
      <c r="BO151" s="499">
        <f t="shared" si="1088"/>
        <v>0</v>
      </c>
      <c r="BP151" s="721">
        <f t="shared" si="1062"/>
        <v>3800</v>
      </c>
      <c r="BQ151" s="499">
        <f t="shared" si="1063"/>
        <v>3800</v>
      </c>
      <c r="BR151" s="499">
        <f t="shared" si="1089"/>
        <v>3800</v>
      </c>
      <c r="BS151" s="499">
        <f t="shared" si="1090"/>
        <v>3800</v>
      </c>
      <c r="BT151" s="499">
        <f t="shared" si="1091"/>
        <v>3800</v>
      </c>
      <c r="BU151" s="499">
        <f t="shared" si="1092"/>
        <v>3800</v>
      </c>
      <c r="BV151" s="499">
        <f t="shared" si="1093"/>
        <v>3800</v>
      </c>
      <c r="BW151" s="774">
        <f t="shared" si="1094"/>
        <v>0</v>
      </c>
      <c r="BX151" s="503">
        <f t="shared" si="1094"/>
        <v>0</v>
      </c>
      <c r="BY151" s="503">
        <f t="shared" si="1094"/>
        <v>0</v>
      </c>
      <c r="BZ151" s="503">
        <f t="shared" si="1094"/>
        <v>0</v>
      </c>
      <c r="CA151" s="503">
        <f t="shared" si="1094"/>
        <v>0</v>
      </c>
      <c r="CB151" s="503">
        <f t="shared" si="1094"/>
        <v>0</v>
      </c>
      <c r="CC151" s="503">
        <f t="shared" si="1094"/>
        <v>0</v>
      </c>
      <c r="CD151" s="722">
        <f t="shared" si="1070"/>
        <v>124110</v>
      </c>
      <c r="CE151" s="511">
        <f t="shared" ref="CE151:CH151" si="1373">CD151</f>
        <v>124110</v>
      </c>
      <c r="CF151" s="511">
        <f t="shared" si="1373"/>
        <v>124110</v>
      </c>
      <c r="CG151" s="511">
        <f t="shared" si="1373"/>
        <v>124110</v>
      </c>
      <c r="CH151" s="511">
        <f t="shared" si="1373"/>
        <v>124110</v>
      </c>
      <c r="CI151" s="511">
        <f t="shared" si="1096"/>
        <v>124110</v>
      </c>
      <c r="CJ151" s="511">
        <f t="shared" si="1097"/>
        <v>124110</v>
      </c>
      <c r="CK151" s="722">
        <f t="shared" si="1072"/>
        <v>19.357142857142858</v>
      </c>
      <c r="CL151" s="511">
        <f t="shared" ref="CL151:CO151" si="1374">CK151</f>
        <v>19.357142857142858</v>
      </c>
      <c r="CM151" s="511">
        <f t="shared" si="1374"/>
        <v>19.357142857142858</v>
      </c>
      <c r="CN151" s="511">
        <f t="shared" si="1374"/>
        <v>19.357142857142858</v>
      </c>
      <c r="CO151" s="511">
        <f t="shared" si="1374"/>
        <v>19.357142857142858</v>
      </c>
      <c r="CP151" s="511">
        <f t="shared" si="1099"/>
        <v>19.357142857142858</v>
      </c>
      <c r="CQ151" s="511">
        <f t="shared" si="1100"/>
        <v>19.357142857142858</v>
      </c>
      <c r="CR151" s="722">
        <f t="shared" si="1074"/>
        <v>1987.03</v>
      </c>
      <c r="CS151" s="511">
        <f t="shared" ref="CS151:CV151" si="1375">CR151</f>
        <v>1987.03</v>
      </c>
      <c r="CT151" s="511">
        <f t="shared" si="1375"/>
        <v>1987.03</v>
      </c>
      <c r="CU151" s="511">
        <f t="shared" si="1375"/>
        <v>1987.03</v>
      </c>
      <c r="CV151" s="511">
        <f t="shared" si="1375"/>
        <v>1987.03</v>
      </c>
      <c r="CW151" s="511">
        <f t="shared" si="1102"/>
        <v>1987.03</v>
      </c>
      <c r="CX151" s="539">
        <f t="shared" si="1103"/>
        <v>1987.03</v>
      </c>
      <c r="CY151" s="724">
        <f t="shared" si="1196"/>
        <v>13725.247515970361</v>
      </c>
      <c r="CZ151" s="508">
        <f t="shared" si="1197"/>
        <v>13725.247515970361</v>
      </c>
      <c r="DA151" s="508">
        <f t="shared" si="1198"/>
        <v>13725.247515970361</v>
      </c>
      <c r="DB151" s="508">
        <f t="shared" si="1199"/>
        <v>13725.247515970361</v>
      </c>
      <c r="DC151" s="508">
        <f t="shared" si="1200"/>
        <v>13725.247515970361</v>
      </c>
      <c r="DD151" s="508">
        <f t="shared" si="1201"/>
        <v>13725.247515970361</v>
      </c>
      <c r="DE151" s="726">
        <f t="shared" si="1202"/>
        <v>13725.247515970361</v>
      </c>
      <c r="DF151" s="724">
        <f t="shared" si="1203"/>
        <v>0</v>
      </c>
      <c r="DG151" s="509">
        <f t="shared" si="1204"/>
        <v>0</v>
      </c>
      <c r="DH151" s="509">
        <f t="shared" si="1205"/>
        <v>0</v>
      </c>
      <c r="DI151" s="509">
        <f t="shared" si="1206"/>
        <v>0</v>
      </c>
      <c r="DJ151" s="509">
        <f t="shared" si="1207"/>
        <v>0</v>
      </c>
      <c r="DK151" s="509">
        <f t="shared" si="1208"/>
        <v>0</v>
      </c>
      <c r="DL151" s="451">
        <f t="shared" si="1209"/>
        <v>0</v>
      </c>
      <c r="DM151" s="509">
        <f t="shared" si="1210"/>
        <v>1900</v>
      </c>
      <c r="DN151" s="509">
        <f t="shared" si="1211"/>
        <v>1900</v>
      </c>
      <c r="DO151" s="509">
        <f t="shared" si="1212"/>
        <v>1900</v>
      </c>
      <c r="DP151" s="509">
        <f t="shared" si="1213"/>
        <v>1900</v>
      </c>
      <c r="DQ151" s="509">
        <f t="shared" si="1214"/>
        <v>1900</v>
      </c>
      <c r="DR151" s="509">
        <f t="shared" si="1215"/>
        <v>1900</v>
      </c>
      <c r="DS151" s="450">
        <f t="shared" si="1216"/>
        <v>1900</v>
      </c>
      <c r="DT151" s="724">
        <f t="shared" si="1217"/>
        <v>0</v>
      </c>
      <c r="DU151" s="508">
        <f t="shared" si="1218"/>
        <v>0</v>
      </c>
      <c r="DV151" s="508">
        <f t="shared" si="1219"/>
        <v>0</v>
      </c>
      <c r="DW151" s="508">
        <f t="shared" si="1220"/>
        <v>0</v>
      </c>
      <c r="DX151" s="508">
        <f t="shared" si="1221"/>
        <v>0</v>
      </c>
      <c r="DY151" s="508">
        <f t="shared" si="1222"/>
        <v>0</v>
      </c>
      <c r="DZ151" s="726">
        <f t="shared" si="1223"/>
        <v>0</v>
      </c>
      <c r="EA151" s="722">
        <f t="shared" si="1224"/>
        <v>62055</v>
      </c>
      <c r="EB151" s="511">
        <f t="shared" si="1225"/>
        <v>62055</v>
      </c>
      <c r="EC151" s="511">
        <f t="shared" si="1226"/>
        <v>62055</v>
      </c>
      <c r="ED151" s="511">
        <f t="shared" si="1227"/>
        <v>62055</v>
      </c>
      <c r="EE151" s="511">
        <f t="shared" si="1228"/>
        <v>62055</v>
      </c>
      <c r="EF151" s="511">
        <f t="shared" si="1229"/>
        <v>62055</v>
      </c>
      <c r="EG151" s="723">
        <f t="shared" si="1230"/>
        <v>62055</v>
      </c>
      <c r="EH151" s="397">
        <f t="shared" si="1231"/>
        <v>9.6785714285714288</v>
      </c>
      <c r="EI151" s="397">
        <f t="shared" si="1232"/>
        <v>9.6785714285714288</v>
      </c>
      <c r="EJ151" s="397">
        <f t="shared" si="1233"/>
        <v>9.6785714285714288</v>
      </c>
      <c r="EK151" s="397">
        <f t="shared" si="1234"/>
        <v>9.6785714285714288</v>
      </c>
      <c r="EL151" s="397">
        <f t="shared" si="1235"/>
        <v>9.6785714285714288</v>
      </c>
      <c r="EM151" s="397">
        <f t="shared" si="1236"/>
        <v>9.6785714285714288</v>
      </c>
      <c r="EN151" s="398">
        <f t="shared" si="1237"/>
        <v>9.6785714285714288</v>
      </c>
      <c r="EO151" s="722">
        <f t="shared" si="1238"/>
        <v>993.51499999999999</v>
      </c>
      <c r="EP151" s="511">
        <f t="shared" si="1239"/>
        <v>993.51499999999999</v>
      </c>
      <c r="EQ151" s="511">
        <f t="shared" si="1240"/>
        <v>993.51499999999999</v>
      </c>
      <c r="ER151" s="511">
        <f t="shared" si="1241"/>
        <v>993.51499999999999</v>
      </c>
      <c r="ES151" s="511">
        <f t="shared" si="1242"/>
        <v>993.51499999999999</v>
      </c>
      <c r="ET151" s="511">
        <f t="shared" si="1243"/>
        <v>993.51499999999999</v>
      </c>
      <c r="EU151" s="723">
        <f t="shared" si="1244"/>
        <v>993.51499999999999</v>
      </c>
      <c r="EV151" s="727">
        <f t="shared" si="1245"/>
        <v>1.5</v>
      </c>
      <c r="EW151" s="728">
        <f t="shared" si="1246"/>
        <v>96076.732611792526</v>
      </c>
      <c r="EX151" s="728">
        <f t="shared" si="1247"/>
        <v>0</v>
      </c>
      <c r="EY151" s="728">
        <f t="shared" si="1248"/>
        <v>13300</v>
      </c>
      <c r="EZ151" s="728">
        <f t="shared" si="1249"/>
        <v>0</v>
      </c>
      <c r="FA151" s="777">
        <f t="shared" si="1250"/>
        <v>434385</v>
      </c>
      <c r="FB151" s="777">
        <f t="shared" si="1251"/>
        <v>67.75</v>
      </c>
      <c r="FC151" s="778">
        <f t="shared" si="1252"/>
        <v>6954.6050000000005</v>
      </c>
      <c r="FE151" s="10"/>
      <c r="FF151" s="10"/>
    </row>
    <row r="152" spans="1:162">
      <c r="A152" s="662" t="s">
        <v>259</v>
      </c>
      <c r="B152" s="789" t="s">
        <v>1443</v>
      </c>
      <c r="C152" s="789" t="str">
        <f t="shared" ref="C152:O152" si="1376">C38</f>
        <v>Commercial New Construction Tier 1 - 10% Over Code</v>
      </c>
      <c r="D152" s="789" t="str">
        <f t="shared" si="1376"/>
        <v>State and Federal Energy Code</v>
      </c>
      <c r="E152" s="789" t="str">
        <f t="shared" si="1376"/>
        <v>Per Project</v>
      </c>
      <c r="F152" s="789" t="str">
        <f t="shared" si="1376"/>
        <v>Per Project</v>
      </c>
      <c r="G152" s="704" t="str">
        <f t="shared" si="1376"/>
        <v>Incremental Cost</v>
      </c>
      <c r="H152" s="704">
        <f t="shared" si="1376"/>
        <v>32940.594038328869</v>
      </c>
      <c r="I152" s="704">
        <f t="shared" si="1376"/>
        <v>0</v>
      </c>
      <c r="J152" s="704">
        <f t="shared" si="1376"/>
        <v>32940.594038328869</v>
      </c>
      <c r="K152" s="704">
        <f t="shared" si="1376"/>
        <v>0</v>
      </c>
      <c r="L152" s="704">
        <f t="shared" si="1376"/>
        <v>16470.297019164434</v>
      </c>
      <c r="M152" s="707" t="str">
        <f t="shared" si="1376"/>
        <v xml:space="preserve">Benchmarking custom projects from other utilties to estimate incremental cost. Roughly $0.22 per kWh saved as incermental costs. </v>
      </c>
      <c r="N152" s="704">
        <f t="shared" si="1376"/>
        <v>4500</v>
      </c>
      <c r="O152" s="704">
        <f t="shared" si="1376"/>
        <v>4500</v>
      </c>
      <c r="P152" s="704">
        <f t="shared" si="1289"/>
        <v>0</v>
      </c>
      <c r="Q152" s="704">
        <f t="shared" si="1289"/>
        <v>0</v>
      </c>
      <c r="R152" s="1021">
        <f t="shared" si="1347"/>
        <v>148932</v>
      </c>
      <c r="S152" s="872">
        <f t="shared" si="1347"/>
        <v>23.228571428571428</v>
      </c>
      <c r="T152" s="1068">
        <v>2384.4299999999998</v>
      </c>
      <c r="U152" s="711" t="str">
        <f t="shared" si="1348"/>
        <v>Estimated savings from LG&amp;E and KU projections and 2016 program data.</v>
      </c>
      <c r="V152" s="716">
        <f t="shared" si="1348"/>
        <v>0</v>
      </c>
      <c r="W152" s="711">
        <f t="shared" si="1348"/>
        <v>1</v>
      </c>
      <c r="X152" s="781">
        <f t="shared" ref="X152:AJ152" si="1377">X38/2</f>
        <v>0.5</v>
      </c>
      <c r="Y152" s="781">
        <f t="shared" si="1377"/>
        <v>0</v>
      </c>
      <c r="Z152" s="781">
        <f t="shared" si="1377"/>
        <v>0</v>
      </c>
      <c r="AA152" s="781">
        <f t="shared" si="1377"/>
        <v>0</v>
      </c>
      <c r="AB152" s="781">
        <f t="shared" si="1377"/>
        <v>0</v>
      </c>
      <c r="AC152" s="781">
        <f t="shared" si="1377"/>
        <v>0</v>
      </c>
      <c r="AD152" s="781">
        <f t="shared" si="1377"/>
        <v>0.5</v>
      </c>
      <c r="AE152" s="781">
        <f t="shared" si="1377"/>
        <v>0</v>
      </c>
      <c r="AF152" s="781">
        <f t="shared" si="1377"/>
        <v>0</v>
      </c>
      <c r="AG152" s="781">
        <f t="shared" si="1377"/>
        <v>0.5</v>
      </c>
      <c r="AH152" s="781">
        <f t="shared" si="1377"/>
        <v>0</v>
      </c>
      <c r="AI152" s="781">
        <f t="shared" si="1377"/>
        <v>0</v>
      </c>
      <c r="AJ152" s="781">
        <f t="shared" si="1377"/>
        <v>0.5</v>
      </c>
      <c r="AK152" s="711" t="str">
        <f t="shared" ref="AK152:BA152" si="1378">AK38</f>
        <v>Both</v>
      </c>
      <c r="AL152" s="711" t="str">
        <f t="shared" si="1378"/>
        <v>Commercial</v>
      </c>
      <c r="AM152" s="711" t="str">
        <f t="shared" si="1378"/>
        <v>Large Office</v>
      </c>
      <c r="AN152" s="711" t="str">
        <f t="shared" si="1378"/>
        <v>All</v>
      </c>
      <c r="AO152" s="711" t="str">
        <f t="shared" si="1378"/>
        <v>New</v>
      </c>
      <c r="AP152" s="711">
        <f t="shared" si="1378"/>
        <v>0</v>
      </c>
      <c r="AQ152" s="711">
        <f t="shared" si="1378"/>
        <v>0</v>
      </c>
      <c r="AR152" s="711">
        <f t="shared" si="1378"/>
        <v>0</v>
      </c>
      <c r="AS152" s="711" t="str">
        <f t="shared" si="1378"/>
        <v>OFFLGElecTotl</v>
      </c>
      <c r="AT152" s="715" t="s">
        <v>745</v>
      </c>
      <c r="AU152" s="711" t="str">
        <f t="shared" si="1378"/>
        <v>LGE NonRes</v>
      </c>
      <c r="AV152" s="711">
        <f t="shared" si="1378"/>
        <v>15</v>
      </c>
      <c r="AW152" s="711">
        <f t="shared" si="1378"/>
        <v>15</v>
      </c>
      <c r="AX152" s="711" t="str">
        <f t="shared" si="1378"/>
        <v>Custom measure EULs ranges from 10 to 25 years depending on end use (NEEP EUL study by GDS 2007)</v>
      </c>
      <c r="AY152" s="711">
        <f t="shared" si="1378"/>
        <v>1</v>
      </c>
      <c r="AZ152" s="711">
        <f t="shared" si="1378"/>
        <v>1</v>
      </c>
      <c r="BA152" s="1066">
        <f t="shared" si="1378"/>
        <v>1</v>
      </c>
      <c r="BB152" s="721">
        <f t="shared" si="1079"/>
        <v>32940.594038328869</v>
      </c>
      <c r="BC152" s="499">
        <f t="shared" si="1080"/>
        <v>32940.594038328869</v>
      </c>
      <c r="BD152" s="499">
        <f t="shared" si="1081"/>
        <v>32940.594038328869</v>
      </c>
      <c r="BE152" s="499">
        <f t="shared" si="1082"/>
        <v>32940.594038328869</v>
      </c>
      <c r="BF152" s="499">
        <f t="shared" si="1083"/>
        <v>32940.594038328869</v>
      </c>
      <c r="BG152" s="499">
        <f t="shared" si="1084"/>
        <v>32940.594038328869</v>
      </c>
      <c r="BH152" s="499">
        <f t="shared" si="1085"/>
        <v>32940.594038328869</v>
      </c>
      <c r="BI152" s="721">
        <f t="shared" ref="BI152:BI175" si="1379">K152</f>
        <v>0</v>
      </c>
      <c r="BJ152" s="499">
        <f t="shared" ref="BJ152:BM152" si="1380">BI152</f>
        <v>0</v>
      </c>
      <c r="BK152" s="499">
        <f t="shared" si="1380"/>
        <v>0</v>
      </c>
      <c r="BL152" s="499">
        <f t="shared" si="1380"/>
        <v>0</v>
      </c>
      <c r="BM152" s="499">
        <f t="shared" si="1380"/>
        <v>0</v>
      </c>
      <c r="BN152" s="499">
        <f t="shared" si="1087"/>
        <v>0</v>
      </c>
      <c r="BO152" s="499">
        <f t="shared" si="1088"/>
        <v>0</v>
      </c>
      <c r="BP152" s="721">
        <f t="shared" ref="BP152:BP175" si="1381">O152+P152</f>
        <v>4500</v>
      </c>
      <c r="BQ152" s="499">
        <f t="shared" ref="BQ152:BQ175" si="1382">BP152</f>
        <v>4500</v>
      </c>
      <c r="BR152" s="499">
        <f t="shared" si="1089"/>
        <v>4500</v>
      </c>
      <c r="BS152" s="499">
        <f t="shared" si="1090"/>
        <v>4500</v>
      </c>
      <c r="BT152" s="499">
        <f t="shared" si="1091"/>
        <v>4500</v>
      </c>
      <c r="BU152" s="499">
        <f t="shared" si="1092"/>
        <v>4500</v>
      </c>
      <c r="BV152" s="499">
        <f t="shared" si="1093"/>
        <v>4500</v>
      </c>
      <c r="BW152" s="774">
        <f t="shared" si="1094"/>
        <v>0</v>
      </c>
      <c r="BX152" s="503">
        <f t="shared" si="1094"/>
        <v>0</v>
      </c>
      <c r="BY152" s="503">
        <f t="shared" si="1094"/>
        <v>0</v>
      </c>
      <c r="BZ152" s="503">
        <f t="shared" si="1094"/>
        <v>0</v>
      </c>
      <c r="CA152" s="503">
        <f t="shared" si="1094"/>
        <v>0</v>
      </c>
      <c r="CB152" s="503">
        <f t="shared" si="1094"/>
        <v>0</v>
      </c>
      <c r="CC152" s="503">
        <f t="shared" si="1094"/>
        <v>0</v>
      </c>
      <c r="CD152" s="722">
        <f t="shared" ref="CD152:CD175" si="1383">R152*AZ152</f>
        <v>148932</v>
      </c>
      <c r="CE152" s="511">
        <f t="shared" ref="CE152:CH152" si="1384">CD152</f>
        <v>148932</v>
      </c>
      <c r="CF152" s="511">
        <f t="shared" si="1384"/>
        <v>148932</v>
      </c>
      <c r="CG152" s="511">
        <f t="shared" si="1384"/>
        <v>148932</v>
      </c>
      <c r="CH152" s="511">
        <f t="shared" si="1384"/>
        <v>148932</v>
      </c>
      <c r="CI152" s="511">
        <f t="shared" si="1096"/>
        <v>148932</v>
      </c>
      <c r="CJ152" s="511">
        <f t="shared" si="1097"/>
        <v>148932</v>
      </c>
      <c r="CK152" s="722">
        <f t="shared" ref="CK152:CK175" si="1385">S152*AZ152</f>
        <v>23.228571428571428</v>
      </c>
      <c r="CL152" s="511">
        <f t="shared" ref="CL152:CO152" si="1386">CK152</f>
        <v>23.228571428571428</v>
      </c>
      <c r="CM152" s="511">
        <f t="shared" si="1386"/>
        <v>23.228571428571428</v>
      </c>
      <c r="CN152" s="511">
        <f t="shared" si="1386"/>
        <v>23.228571428571428</v>
      </c>
      <c r="CO152" s="511">
        <f t="shared" si="1386"/>
        <v>23.228571428571428</v>
      </c>
      <c r="CP152" s="511">
        <f t="shared" si="1099"/>
        <v>23.228571428571428</v>
      </c>
      <c r="CQ152" s="511">
        <f t="shared" si="1100"/>
        <v>23.228571428571428</v>
      </c>
      <c r="CR152" s="722">
        <f t="shared" ref="CR152:CR175" si="1387">T152*BA152</f>
        <v>2384.4299999999998</v>
      </c>
      <c r="CS152" s="511">
        <f t="shared" ref="CS152:CV152" si="1388">CR152</f>
        <v>2384.4299999999998</v>
      </c>
      <c r="CT152" s="511">
        <f t="shared" si="1388"/>
        <v>2384.4299999999998</v>
      </c>
      <c r="CU152" s="511">
        <f t="shared" si="1388"/>
        <v>2384.4299999999998</v>
      </c>
      <c r="CV152" s="511">
        <f t="shared" si="1388"/>
        <v>2384.4299999999998</v>
      </c>
      <c r="CW152" s="511">
        <f t="shared" si="1102"/>
        <v>2384.4299999999998</v>
      </c>
      <c r="CX152" s="539">
        <f t="shared" si="1103"/>
        <v>2384.4299999999998</v>
      </c>
      <c r="CY152" s="724">
        <f t="shared" si="1196"/>
        <v>16470.297019164434</v>
      </c>
      <c r="CZ152" s="508">
        <f t="shared" si="1197"/>
        <v>0</v>
      </c>
      <c r="DA152" s="508">
        <f t="shared" si="1198"/>
        <v>0</v>
      </c>
      <c r="DB152" s="508">
        <f t="shared" si="1199"/>
        <v>16470.297019164434</v>
      </c>
      <c r="DC152" s="508">
        <f t="shared" si="1200"/>
        <v>0</v>
      </c>
      <c r="DD152" s="508">
        <f t="shared" si="1201"/>
        <v>0</v>
      </c>
      <c r="DE152" s="726">
        <f t="shared" si="1202"/>
        <v>16470.297019164434</v>
      </c>
      <c r="DF152" s="724">
        <f t="shared" si="1203"/>
        <v>0</v>
      </c>
      <c r="DG152" s="509">
        <f t="shared" si="1204"/>
        <v>0</v>
      </c>
      <c r="DH152" s="509">
        <f t="shared" si="1205"/>
        <v>0</v>
      </c>
      <c r="DI152" s="509">
        <f t="shared" si="1206"/>
        <v>0</v>
      </c>
      <c r="DJ152" s="509">
        <f t="shared" si="1207"/>
        <v>0</v>
      </c>
      <c r="DK152" s="509">
        <f t="shared" si="1208"/>
        <v>0</v>
      </c>
      <c r="DL152" s="451">
        <f t="shared" si="1209"/>
        <v>0</v>
      </c>
      <c r="DM152" s="509">
        <f t="shared" si="1210"/>
        <v>2250</v>
      </c>
      <c r="DN152" s="509">
        <f t="shared" si="1211"/>
        <v>0</v>
      </c>
      <c r="DO152" s="509">
        <f t="shared" si="1212"/>
        <v>0</v>
      </c>
      <c r="DP152" s="509">
        <f t="shared" si="1213"/>
        <v>2250</v>
      </c>
      <c r="DQ152" s="509">
        <f t="shared" si="1214"/>
        <v>0</v>
      </c>
      <c r="DR152" s="509">
        <f t="shared" si="1215"/>
        <v>0</v>
      </c>
      <c r="DS152" s="450">
        <f t="shared" si="1216"/>
        <v>2250</v>
      </c>
      <c r="DT152" s="724">
        <f t="shared" si="1217"/>
        <v>0</v>
      </c>
      <c r="DU152" s="508">
        <f t="shared" si="1218"/>
        <v>0</v>
      </c>
      <c r="DV152" s="508">
        <f t="shared" si="1219"/>
        <v>0</v>
      </c>
      <c r="DW152" s="508">
        <f t="shared" si="1220"/>
        <v>0</v>
      </c>
      <c r="DX152" s="508">
        <f t="shared" si="1221"/>
        <v>0</v>
      </c>
      <c r="DY152" s="508">
        <f t="shared" si="1222"/>
        <v>0</v>
      </c>
      <c r="DZ152" s="726">
        <f t="shared" si="1223"/>
        <v>0</v>
      </c>
      <c r="EA152" s="722">
        <f t="shared" si="1224"/>
        <v>74466</v>
      </c>
      <c r="EB152" s="511">
        <f t="shared" si="1225"/>
        <v>0</v>
      </c>
      <c r="EC152" s="511">
        <f t="shared" si="1226"/>
        <v>0</v>
      </c>
      <c r="ED152" s="511">
        <f t="shared" si="1227"/>
        <v>74466</v>
      </c>
      <c r="EE152" s="511">
        <f t="shared" si="1228"/>
        <v>0</v>
      </c>
      <c r="EF152" s="511">
        <f t="shared" si="1229"/>
        <v>0</v>
      </c>
      <c r="EG152" s="723">
        <f t="shared" si="1230"/>
        <v>74466</v>
      </c>
      <c r="EH152" s="397">
        <f t="shared" si="1231"/>
        <v>11.614285714285714</v>
      </c>
      <c r="EI152" s="397">
        <f t="shared" si="1232"/>
        <v>0</v>
      </c>
      <c r="EJ152" s="397">
        <f t="shared" si="1233"/>
        <v>0</v>
      </c>
      <c r="EK152" s="397">
        <f t="shared" si="1234"/>
        <v>11.614285714285714</v>
      </c>
      <c r="EL152" s="397">
        <f t="shared" si="1235"/>
        <v>0</v>
      </c>
      <c r="EM152" s="397">
        <f t="shared" si="1236"/>
        <v>0</v>
      </c>
      <c r="EN152" s="398">
        <f t="shared" si="1237"/>
        <v>11.614285714285714</v>
      </c>
      <c r="EO152" s="722">
        <f t="shared" si="1238"/>
        <v>1192.2149999999999</v>
      </c>
      <c r="EP152" s="511">
        <f t="shared" si="1239"/>
        <v>0</v>
      </c>
      <c r="EQ152" s="511">
        <f t="shared" si="1240"/>
        <v>0</v>
      </c>
      <c r="ER152" s="511">
        <f t="shared" si="1241"/>
        <v>1192.2149999999999</v>
      </c>
      <c r="ES152" s="511">
        <f t="shared" si="1242"/>
        <v>0</v>
      </c>
      <c r="ET152" s="511">
        <f t="shared" si="1243"/>
        <v>0</v>
      </c>
      <c r="EU152" s="723">
        <f t="shared" si="1244"/>
        <v>1192.2149999999999</v>
      </c>
      <c r="EV152" s="727">
        <f t="shared" si="1245"/>
        <v>0.5</v>
      </c>
      <c r="EW152" s="728">
        <f t="shared" si="1246"/>
        <v>49410.891057493303</v>
      </c>
      <c r="EX152" s="728">
        <f t="shared" si="1247"/>
        <v>0</v>
      </c>
      <c r="EY152" s="728">
        <f t="shared" si="1248"/>
        <v>6750</v>
      </c>
      <c r="EZ152" s="728">
        <f t="shared" si="1249"/>
        <v>0</v>
      </c>
      <c r="FA152" s="777">
        <f t="shared" si="1250"/>
        <v>223398</v>
      </c>
      <c r="FB152" s="777">
        <f t="shared" si="1251"/>
        <v>34.842857142857142</v>
      </c>
      <c r="FC152" s="778">
        <f t="shared" si="1252"/>
        <v>3576.6449999999995</v>
      </c>
      <c r="FE152" s="10"/>
      <c r="FF152" s="10"/>
    </row>
    <row r="153" spans="1:162">
      <c r="A153" s="662" t="s">
        <v>260</v>
      </c>
      <c r="B153" s="789" t="s">
        <v>1444</v>
      </c>
      <c r="C153" s="789" t="str">
        <f t="shared" ref="C153:O153" si="1389">C39</f>
        <v>Commercial New Construction Tier 2 - 15% Over Code</v>
      </c>
      <c r="D153" s="789" t="str">
        <f t="shared" si="1389"/>
        <v>State and Federal Energy Code</v>
      </c>
      <c r="E153" s="789" t="str">
        <f t="shared" si="1389"/>
        <v>Per Project</v>
      </c>
      <c r="F153" s="789" t="str">
        <f t="shared" si="1389"/>
        <v>Per Project</v>
      </c>
      <c r="G153" s="704" t="str">
        <f t="shared" si="1389"/>
        <v>Incremental Cost</v>
      </c>
      <c r="H153" s="704">
        <f t="shared" si="1389"/>
        <v>49410.891057493303</v>
      </c>
      <c r="I153" s="704">
        <f t="shared" si="1389"/>
        <v>0</v>
      </c>
      <c r="J153" s="704">
        <f t="shared" si="1389"/>
        <v>49410.891057493303</v>
      </c>
      <c r="K153" s="704">
        <f t="shared" si="1389"/>
        <v>0</v>
      </c>
      <c r="L153" s="704">
        <f t="shared" si="1389"/>
        <v>24705.445528746652</v>
      </c>
      <c r="M153" s="707" t="str">
        <f t="shared" si="1389"/>
        <v xml:space="preserve">Benchmarking custom projects from other utilties to estimate incremental cost. Roughly $0.22 per kWh saved as incermental costs. </v>
      </c>
      <c r="N153" s="704">
        <f t="shared" si="1389"/>
        <v>6800</v>
      </c>
      <c r="O153" s="704">
        <f t="shared" si="1389"/>
        <v>6800</v>
      </c>
      <c r="P153" s="704">
        <f t="shared" si="1289"/>
        <v>0</v>
      </c>
      <c r="Q153" s="704">
        <f t="shared" si="1289"/>
        <v>0</v>
      </c>
      <c r="R153" s="1021">
        <f t="shared" si="1347"/>
        <v>223398.00000000003</v>
      </c>
      <c r="S153" s="872">
        <f t="shared" si="1347"/>
        <v>34.842857142857142</v>
      </c>
      <c r="T153" s="1068">
        <v>3576.65</v>
      </c>
      <c r="U153" s="711" t="str">
        <f t="shared" si="1348"/>
        <v>Estimated savings from LG&amp;E and KU projections and 2016 program data.</v>
      </c>
      <c r="V153" s="716">
        <f t="shared" si="1348"/>
        <v>0</v>
      </c>
      <c r="W153" s="711">
        <f t="shared" si="1348"/>
        <v>1</v>
      </c>
      <c r="X153" s="781">
        <f t="shared" ref="X153:AJ153" si="1390">X39/2</f>
        <v>8</v>
      </c>
      <c r="Y153" s="781">
        <f t="shared" si="1390"/>
        <v>9.5</v>
      </c>
      <c r="Z153" s="781">
        <f t="shared" si="1390"/>
        <v>6.5</v>
      </c>
      <c r="AA153" s="781">
        <f t="shared" si="1390"/>
        <v>8.5714285714285712</v>
      </c>
      <c r="AB153" s="781">
        <f t="shared" si="1390"/>
        <v>7.5357142857142856</v>
      </c>
      <c r="AC153" s="781">
        <f t="shared" si="1390"/>
        <v>0</v>
      </c>
      <c r="AD153" s="781">
        <f t="shared" si="1390"/>
        <v>0</v>
      </c>
      <c r="AE153" s="781">
        <f t="shared" si="1390"/>
        <v>0.5</v>
      </c>
      <c r="AF153" s="781">
        <f t="shared" si="1390"/>
        <v>0</v>
      </c>
      <c r="AG153" s="781">
        <f t="shared" si="1390"/>
        <v>0</v>
      </c>
      <c r="AH153" s="781">
        <f t="shared" si="1390"/>
        <v>0.5</v>
      </c>
      <c r="AI153" s="781">
        <f t="shared" si="1390"/>
        <v>0</v>
      </c>
      <c r="AJ153" s="781">
        <f t="shared" si="1390"/>
        <v>0</v>
      </c>
      <c r="AK153" s="711" t="str">
        <f t="shared" ref="AK153:BA153" si="1391">AK39</f>
        <v>Both</v>
      </c>
      <c r="AL153" s="711" t="str">
        <f t="shared" si="1391"/>
        <v>Commercial</v>
      </c>
      <c r="AM153" s="711" t="str">
        <f t="shared" si="1391"/>
        <v>Large Office</v>
      </c>
      <c r="AN153" s="711" t="str">
        <f t="shared" si="1391"/>
        <v>All</v>
      </c>
      <c r="AO153" s="711" t="str">
        <f t="shared" si="1391"/>
        <v>New</v>
      </c>
      <c r="AP153" s="711">
        <f t="shared" si="1391"/>
        <v>0</v>
      </c>
      <c r="AQ153" s="711">
        <f t="shared" si="1391"/>
        <v>0</v>
      </c>
      <c r="AR153" s="711">
        <f t="shared" si="1391"/>
        <v>0</v>
      </c>
      <c r="AS153" s="711" t="str">
        <f t="shared" si="1391"/>
        <v>OFFLGElecTotl</v>
      </c>
      <c r="AT153" s="715" t="s">
        <v>745</v>
      </c>
      <c r="AU153" s="711" t="str">
        <f t="shared" si="1391"/>
        <v>LGE NonRes</v>
      </c>
      <c r="AV153" s="711">
        <f t="shared" si="1391"/>
        <v>15</v>
      </c>
      <c r="AW153" s="711">
        <f t="shared" si="1391"/>
        <v>15</v>
      </c>
      <c r="AX153" s="711" t="str">
        <f t="shared" si="1391"/>
        <v>Custom measure EULs ranges from 10 to 25 years depending on end use (NEEP EUL study by GDS 2007)</v>
      </c>
      <c r="AY153" s="711">
        <f t="shared" si="1391"/>
        <v>1</v>
      </c>
      <c r="AZ153" s="711">
        <f t="shared" si="1391"/>
        <v>1</v>
      </c>
      <c r="BA153" s="1066">
        <f t="shared" si="1391"/>
        <v>1</v>
      </c>
      <c r="BB153" s="721">
        <f t="shared" si="1079"/>
        <v>49410.891057493303</v>
      </c>
      <c r="BC153" s="499">
        <f t="shared" si="1080"/>
        <v>49410.891057493303</v>
      </c>
      <c r="BD153" s="499">
        <f t="shared" si="1081"/>
        <v>49410.891057493303</v>
      </c>
      <c r="BE153" s="499">
        <f t="shared" si="1082"/>
        <v>49410.891057493303</v>
      </c>
      <c r="BF153" s="499">
        <f t="shared" si="1083"/>
        <v>49410.891057493303</v>
      </c>
      <c r="BG153" s="499">
        <f t="shared" si="1084"/>
        <v>49410.891057493303</v>
      </c>
      <c r="BH153" s="499">
        <f t="shared" si="1085"/>
        <v>49410.891057493303</v>
      </c>
      <c r="BI153" s="721">
        <f t="shared" si="1379"/>
        <v>0</v>
      </c>
      <c r="BJ153" s="499">
        <f t="shared" ref="BJ153:BM153" si="1392">BI153</f>
        <v>0</v>
      </c>
      <c r="BK153" s="499">
        <f t="shared" si="1392"/>
        <v>0</v>
      </c>
      <c r="BL153" s="499">
        <f t="shared" si="1392"/>
        <v>0</v>
      </c>
      <c r="BM153" s="499">
        <f t="shared" si="1392"/>
        <v>0</v>
      </c>
      <c r="BN153" s="499">
        <f t="shared" si="1087"/>
        <v>0</v>
      </c>
      <c r="BO153" s="499">
        <f t="shared" si="1088"/>
        <v>0</v>
      </c>
      <c r="BP153" s="721">
        <f t="shared" si="1381"/>
        <v>6800</v>
      </c>
      <c r="BQ153" s="499">
        <f t="shared" si="1382"/>
        <v>6800</v>
      </c>
      <c r="BR153" s="499">
        <f t="shared" si="1089"/>
        <v>6800</v>
      </c>
      <c r="BS153" s="499">
        <f t="shared" si="1090"/>
        <v>6800</v>
      </c>
      <c r="BT153" s="499">
        <f t="shared" si="1091"/>
        <v>6800</v>
      </c>
      <c r="BU153" s="499">
        <f t="shared" si="1092"/>
        <v>6800</v>
      </c>
      <c r="BV153" s="499">
        <f t="shared" si="1093"/>
        <v>6800</v>
      </c>
      <c r="BW153" s="774">
        <f t="shared" ref="BW153:CC175" si="1393">$Q153</f>
        <v>0</v>
      </c>
      <c r="BX153" s="503">
        <f t="shared" si="1393"/>
        <v>0</v>
      </c>
      <c r="BY153" s="503">
        <f t="shared" si="1393"/>
        <v>0</v>
      </c>
      <c r="BZ153" s="503">
        <f t="shared" si="1393"/>
        <v>0</v>
      </c>
      <c r="CA153" s="503">
        <f t="shared" si="1393"/>
        <v>0</v>
      </c>
      <c r="CB153" s="503">
        <f t="shared" si="1393"/>
        <v>0</v>
      </c>
      <c r="CC153" s="503">
        <f t="shared" si="1393"/>
        <v>0</v>
      </c>
      <c r="CD153" s="722">
        <f t="shared" si="1383"/>
        <v>223398.00000000003</v>
      </c>
      <c r="CE153" s="511">
        <f t="shared" ref="CE153:CH153" si="1394">CD153</f>
        <v>223398.00000000003</v>
      </c>
      <c r="CF153" s="511">
        <f t="shared" si="1394"/>
        <v>223398.00000000003</v>
      </c>
      <c r="CG153" s="511">
        <f t="shared" si="1394"/>
        <v>223398.00000000003</v>
      </c>
      <c r="CH153" s="511">
        <f t="shared" si="1394"/>
        <v>223398.00000000003</v>
      </c>
      <c r="CI153" s="511">
        <f t="shared" si="1096"/>
        <v>223398.00000000003</v>
      </c>
      <c r="CJ153" s="511">
        <f t="shared" si="1097"/>
        <v>223398.00000000003</v>
      </c>
      <c r="CK153" s="722">
        <f t="shared" si="1385"/>
        <v>34.842857142857142</v>
      </c>
      <c r="CL153" s="511">
        <f t="shared" ref="CL153:CO153" si="1395">CK153</f>
        <v>34.842857142857142</v>
      </c>
      <c r="CM153" s="511">
        <f t="shared" si="1395"/>
        <v>34.842857142857142</v>
      </c>
      <c r="CN153" s="511">
        <f t="shared" si="1395"/>
        <v>34.842857142857142</v>
      </c>
      <c r="CO153" s="511">
        <f t="shared" si="1395"/>
        <v>34.842857142857142</v>
      </c>
      <c r="CP153" s="511">
        <f t="shared" si="1099"/>
        <v>34.842857142857142</v>
      </c>
      <c r="CQ153" s="511">
        <f t="shared" si="1100"/>
        <v>34.842857142857142</v>
      </c>
      <c r="CR153" s="722">
        <f t="shared" si="1387"/>
        <v>3576.65</v>
      </c>
      <c r="CS153" s="511">
        <f t="shared" ref="CS153:CV153" si="1396">CR153</f>
        <v>3576.65</v>
      </c>
      <c r="CT153" s="511">
        <f t="shared" si="1396"/>
        <v>3576.65</v>
      </c>
      <c r="CU153" s="511">
        <f t="shared" si="1396"/>
        <v>3576.65</v>
      </c>
      <c r="CV153" s="511">
        <f t="shared" si="1396"/>
        <v>3576.65</v>
      </c>
      <c r="CW153" s="511">
        <f t="shared" si="1102"/>
        <v>3576.65</v>
      </c>
      <c r="CX153" s="539">
        <f t="shared" si="1103"/>
        <v>3576.65</v>
      </c>
      <c r="CY153" s="724">
        <f t="shared" si="1196"/>
        <v>0</v>
      </c>
      <c r="CZ153" s="508">
        <f t="shared" si="1197"/>
        <v>24705.445528746652</v>
      </c>
      <c r="DA153" s="508">
        <f t="shared" si="1198"/>
        <v>0</v>
      </c>
      <c r="DB153" s="508">
        <f t="shared" si="1199"/>
        <v>0</v>
      </c>
      <c r="DC153" s="508">
        <f t="shared" si="1200"/>
        <v>24705.445528746652</v>
      </c>
      <c r="DD153" s="508">
        <f t="shared" si="1201"/>
        <v>0</v>
      </c>
      <c r="DE153" s="726">
        <f t="shared" si="1202"/>
        <v>0</v>
      </c>
      <c r="DF153" s="724">
        <f t="shared" si="1203"/>
        <v>0</v>
      </c>
      <c r="DG153" s="509">
        <f t="shared" si="1204"/>
        <v>0</v>
      </c>
      <c r="DH153" s="509">
        <f t="shared" si="1205"/>
        <v>0</v>
      </c>
      <c r="DI153" s="509">
        <f t="shared" si="1206"/>
        <v>0</v>
      </c>
      <c r="DJ153" s="509">
        <f t="shared" si="1207"/>
        <v>0</v>
      </c>
      <c r="DK153" s="509">
        <f t="shared" si="1208"/>
        <v>0</v>
      </c>
      <c r="DL153" s="451">
        <f t="shared" si="1209"/>
        <v>0</v>
      </c>
      <c r="DM153" s="509">
        <f t="shared" si="1210"/>
        <v>0</v>
      </c>
      <c r="DN153" s="509">
        <f t="shared" si="1211"/>
        <v>3400</v>
      </c>
      <c r="DO153" s="509">
        <f t="shared" si="1212"/>
        <v>0</v>
      </c>
      <c r="DP153" s="509">
        <f t="shared" si="1213"/>
        <v>0</v>
      </c>
      <c r="DQ153" s="509">
        <f t="shared" si="1214"/>
        <v>3400</v>
      </c>
      <c r="DR153" s="509">
        <f t="shared" si="1215"/>
        <v>0</v>
      </c>
      <c r="DS153" s="450">
        <f t="shared" si="1216"/>
        <v>0</v>
      </c>
      <c r="DT153" s="724">
        <f t="shared" si="1217"/>
        <v>0</v>
      </c>
      <c r="DU153" s="508">
        <f t="shared" si="1218"/>
        <v>0</v>
      </c>
      <c r="DV153" s="508">
        <f t="shared" si="1219"/>
        <v>0</v>
      </c>
      <c r="DW153" s="508">
        <f t="shared" si="1220"/>
        <v>0</v>
      </c>
      <c r="DX153" s="508">
        <f t="shared" si="1221"/>
        <v>0</v>
      </c>
      <c r="DY153" s="508">
        <f t="shared" si="1222"/>
        <v>0</v>
      </c>
      <c r="DZ153" s="726">
        <f t="shared" si="1223"/>
        <v>0</v>
      </c>
      <c r="EA153" s="722">
        <f t="shared" si="1224"/>
        <v>0</v>
      </c>
      <c r="EB153" s="511">
        <f t="shared" si="1225"/>
        <v>111699.00000000001</v>
      </c>
      <c r="EC153" s="511">
        <f t="shared" si="1226"/>
        <v>0</v>
      </c>
      <c r="ED153" s="511">
        <f t="shared" si="1227"/>
        <v>0</v>
      </c>
      <c r="EE153" s="511">
        <f t="shared" si="1228"/>
        <v>111699.00000000001</v>
      </c>
      <c r="EF153" s="511">
        <f t="shared" si="1229"/>
        <v>0</v>
      </c>
      <c r="EG153" s="723">
        <f t="shared" si="1230"/>
        <v>0</v>
      </c>
      <c r="EH153" s="397">
        <f t="shared" si="1231"/>
        <v>0</v>
      </c>
      <c r="EI153" s="397">
        <f t="shared" si="1232"/>
        <v>17.421428571428571</v>
      </c>
      <c r="EJ153" s="397">
        <f t="shared" si="1233"/>
        <v>0</v>
      </c>
      <c r="EK153" s="397">
        <f t="shared" si="1234"/>
        <v>0</v>
      </c>
      <c r="EL153" s="397">
        <f t="shared" si="1235"/>
        <v>17.421428571428571</v>
      </c>
      <c r="EM153" s="397">
        <f t="shared" si="1236"/>
        <v>0</v>
      </c>
      <c r="EN153" s="398">
        <f t="shared" si="1237"/>
        <v>0</v>
      </c>
      <c r="EO153" s="722">
        <f t="shared" si="1238"/>
        <v>0</v>
      </c>
      <c r="EP153" s="511">
        <f t="shared" si="1239"/>
        <v>1788.325</v>
      </c>
      <c r="EQ153" s="511">
        <f t="shared" si="1240"/>
        <v>0</v>
      </c>
      <c r="ER153" s="511">
        <f t="shared" si="1241"/>
        <v>0</v>
      </c>
      <c r="ES153" s="511">
        <f t="shared" si="1242"/>
        <v>1788.325</v>
      </c>
      <c r="ET153" s="511">
        <f t="shared" si="1243"/>
        <v>0</v>
      </c>
      <c r="EU153" s="723">
        <f t="shared" si="1244"/>
        <v>0</v>
      </c>
      <c r="EV153" s="727">
        <f t="shared" si="1245"/>
        <v>0.5</v>
      </c>
      <c r="EW153" s="728">
        <f t="shared" si="1246"/>
        <v>49410.891057493303</v>
      </c>
      <c r="EX153" s="728">
        <f t="shared" si="1247"/>
        <v>0</v>
      </c>
      <c r="EY153" s="728">
        <f t="shared" si="1248"/>
        <v>6800</v>
      </c>
      <c r="EZ153" s="728">
        <f t="shared" si="1249"/>
        <v>0</v>
      </c>
      <c r="FA153" s="777">
        <f t="shared" si="1250"/>
        <v>223398.00000000003</v>
      </c>
      <c r="FB153" s="777">
        <f t="shared" si="1251"/>
        <v>34.842857142857142</v>
      </c>
      <c r="FC153" s="778">
        <f t="shared" si="1252"/>
        <v>3576.65</v>
      </c>
      <c r="FE153" s="10"/>
      <c r="FF153" s="10"/>
    </row>
    <row r="154" spans="1:162">
      <c r="A154" s="662" t="s">
        <v>261</v>
      </c>
      <c r="B154" s="789" t="s">
        <v>1445</v>
      </c>
      <c r="C154" s="789" t="str">
        <f t="shared" ref="C154:O154" si="1397">C40</f>
        <v>Commercial New Construction Tier 3 - 20% Over Code</v>
      </c>
      <c r="D154" s="789" t="str">
        <f t="shared" si="1397"/>
        <v>State and Federal Energy Code</v>
      </c>
      <c r="E154" s="789" t="str">
        <f t="shared" si="1397"/>
        <v>Per Project</v>
      </c>
      <c r="F154" s="789" t="str">
        <f t="shared" si="1397"/>
        <v>Per Project</v>
      </c>
      <c r="G154" s="704" t="str">
        <f t="shared" si="1397"/>
        <v>Incremental Cost</v>
      </c>
      <c r="H154" s="704">
        <f t="shared" si="1397"/>
        <v>65881.188076657738</v>
      </c>
      <c r="I154" s="704">
        <f t="shared" si="1397"/>
        <v>0</v>
      </c>
      <c r="J154" s="704">
        <f t="shared" si="1397"/>
        <v>65881.188076657738</v>
      </c>
      <c r="K154" s="704">
        <f t="shared" si="1397"/>
        <v>0</v>
      </c>
      <c r="L154" s="704">
        <f t="shared" si="1397"/>
        <v>32940.594038328869</v>
      </c>
      <c r="M154" s="707" t="str">
        <f t="shared" si="1397"/>
        <v xml:space="preserve">Benchmarking custom projects from other utilties to estimate incremental cost. Roughly $0.22 per kWh saved as incermental costs. </v>
      </c>
      <c r="N154" s="704">
        <f t="shared" si="1397"/>
        <v>9000</v>
      </c>
      <c r="O154" s="704">
        <f t="shared" si="1397"/>
        <v>9000</v>
      </c>
      <c r="P154" s="704">
        <f t="shared" si="1289"/>
        <v>0</v>
      </c>
      <c r="Q154" s="704">
        <f t="shared" si="1289"/>
        <v>0</v>
      </c>
      <c r="R154" s="1021">
        <f t="shared" si="1347"/>
        <v>297864</v>
      </c>
      <c r="S154" s="872">
        <f t="shared" si="1347"/>
        <v>46.457142857142856</v>
      </c>
      <c r="T154" s="1068">
        <v>4768.87</v>
      </c>
      <c r="U154" s="711" t="str">
        <f t="shared" si="1348"/>
        <v>Estimated savings from LG&amp;E and KU projections and 2016 program data.</v>
      </c>
      <c r="V154" s="716">
        <f t="shared" si="1348"/>
        <v>0</v>
      </c>
      <c r="W154" s="711">
        <f t="shared" si="1348"/>
        <v>1</v>
      </c>
      <c r="X154" s="781">
        <f t="shared" ref="X154:AJ154" si="1398">X40/2</f>
        <v>0</v>
      </c>
      <c r="Y154" s="781">
        <f t="shared" si="1398"/>
        <v>0</v>
      </c>
      <c r="Z154" s="781">
        <f t="shared" si="1398"/>
        <v>0</v>
      </c>
      <c r="AA154" s="781">
        <f t="shared" si="1398"/>
        <v>0</v>
      </c>
      <c r="AB154" s="781">
        <f t="shared" si="1398"/>
        <v>0</v>
      </c>
      <c r="AC154" s="781">
        <f t="shared" si="1398"/>
        <v>0.5</v>
      </c>
      <c r="AD154" s="781">
        <f t="shared" si="1398"/>
        <v>0</v>
      </c>
      <c r="AE154" s="781">
        <f t="shared" si="1398"/>
        <v>0</v>
      </c>
      <c r="AF154" s="781">
        <f t="shared" si="1398"/>
        <v>0.5</v>
      </c>
      <c r="AG154" s="781">
        <f t="shared" si="1398"/>
        <v>0</v>
      </c>
      <c r="AH154" s="781">
        <f t="shared" si="1398"/>
        <v>0</v>
      </c>
      <c r="AI154" s="781">
        <f t="shared" si="1398"/>
        <v>0.5</v>
      </c>
      <c r="AJ154" s="781">
        <f t="shared" si="1398"/>
        <v>0</v>
      </c>
      <c r="AK154" s="711" t="str">
        <f t="shared" ref="AK154:BA154" si="1399">AK40</f>
        <v>Both</v>
      </c>
      <c r="AL154" s="711" t="str">
        <f t="shared" si="1399"/>
        <v>Commercial</v>
      </c>
      <c r="AM154" s="711" t="str">
        <f t="shared" si="1399"/>
        <v>Large Office</v>
      </c>
      <c r="AN154" s="711" t="str">
        <f t="shared" si="1399"/>
        <v>All</v>
      </c>
      <c r="AO154" s="711" t="str">
        <f t="shared" si="1399"/>
        <v>New</v>
      </c>
      <c r="AP154" s="711">
        <f t="shared" si="1399"/>
        <v>0</v>
      </c>
      <c r="AQ154" s="711">
        <f t="shared" si="1399"/>
        <v>0</v>
      </c>
      <c r="AR154" s="711">
        <f t="shared" si="1399"/>
        <v>0</v>
      </c>
      <c r="AS154" s="711" t="str">
        <f t="shared" si="1399"/>
        <v>OFFLGElecTotl</v>
      </c>
      <c r="AT154" s="715" t="s">
        <v>745</v>
      </c>
      <c r="AU154" s="711" t="str">
        <f t="shared" si="1399"/>
        <v>LGE NonRes</v>
      </c>
      <c r="AV154" s="711">
        <f t="shared" si="1399"/>
        <v>15</v>
      </c>
      <c r="AW154" s="711">
        <f t="shared" si="1399"/>
        <v>15</v>
      </c>
      <c r="AX154" s="711" t="str">
        <f t="shared" si="1399"/>
        <v>Custom measure EULs ranges from 10 to 25 years depending on end use (NEEP EUL study by GDS 2007)</v>
      </c>
      <c r="AY154" s="711">
        <f t="shared" si="1399"/>
        <v>1</v>
      </c>
      <c r="AZ154" s="711">
        <f t="shared" si="1399"/>
        <v>1</v>
      </c>
      <c r="BA154" s="1066">
        <f t="shared" si="1399"/>
        <v>1</v>
      </c>
      <c r="BB154" s="721">
        <f t="shared" si="1079"/>
        <v>65881.188076657738</v>
      </c>
      <c r="BC154" s="499">
        <f t="shared" si="1080"/>
        <v>65881.188076657738</v>
      </c>
      <c r="BD154" s="499">
        <f t="shared" si="1081"/>
        <v>65881.188076657738</v>
      </c>
      <c r="BE154" s="499">
        <f t="shared" si="1082"/>
        <v>65881.188076657738</v>
      </c>
      <c r="BF154" s="499">
        <f t="shared" si="1083"/>
        <v>65881.188076657738</v>
      </c>
      <c r="BG154" s="499">
        <f t="shared" si="1084"/>
        <v>65881.188076657738</v>
      </c>
      <c r="BH154" s="499">
        <f t="shared" si="1085"/>
        <v>65881.188076657738</v>
      </c>
      <c r="BI154" s="721">
        <f t="shared" si="1379"/>
        <v>0</v>
      </c>
      <c r="BJ154" s="499">
        <f t="shared" ref="BJ154:BM154" si="1400">BI154</f>
        <v>0</v>
      </c>
      <c r="BK154" s="499">
        <f t="shared" si="1400"/>
        <v>0</v>
      </c>
      <c r="BL154" s="499">
        <f t="shared" si="1400"/>
        <v>0</v>
      </c>
      <c r="BM154" s="499">
        <f t="shared" si="1400"/>
        <v>0</v>
      </c>
      <c r="BN154" s="499">
        <f t="shared" si="1087"/>
        <v>0</v>
      </c>
      <c r="BO154" s="499">
        <f t="shared" si="1088"/>
        <v>0</v>
      </c>
      <c r="BP154" s="721">
        <f t="shared" si="1381"/>
        <v>9000</v>
      </c>
      <c r="BQ154" s="499">
        <f t="shared" si="1382"/>
        <v>9000</v>
      </c>
      <c r="BR154" s="499">
        <f t="shared" si="1089"/>
        <v>9000</v>
      </c>
      <c r="BS154" s="499">
        <f t="shared" si="1090"/>
        <v>9000</v>
      </c>
      <c r="BT154" s="499">
        <f t="shared" si="1091"/>
        <v>9000</v>
      </c>
      <c r="BU154" s="499">
        <f t="shared" si="1092"/>
        <v>9000</v>
      </c>
      <c r="BV154" s="499">
        <f t="shared" si="1093"/>
        <v>9000</v>
      </c>
      <c r="BW154" s="774">
        <f t="shared" si="1393"/>
        <v>0</v>
      </c>
      <c r="BX154" s="503">
        <f t="shared" si="1393"/>
        <v>0</v>
      </c>
      <c r="BY154" s="503">
        <f t="shared" si="1393"/>
        <v>0</v>
      </c>
      <c r="BZ154" s="503">
        <f t="shared" si="1393"/>
        <v>0</v>
      </c>
      <c r="CA154" s="503">
        <f t="shared" si="1393"/>
        <v>0</v>
      </c>
      <c r="CB154" s="503">
        <f t="shared" si="1393"/>
        <v>0</v>
      </c>
      <c r="CC154" s="503">
        <f t="shared" si="1393"/>
        <v>0</v>
      </c>
      <c r="CD154" s="722">
        <f t="shared" si="1383"/>
        <v>297864</v>
      </c>
      <c r="CE154" s="511">
        <f t="shared" ref="CE154:CH154" si="1401">CD154</f>
        <v>297864</v>
      </c>
      <c r="CF154" s="511">
        <f t="shared" si="1401"/>
        <v>297864</v>
      </c>
      <c r="CG154" s="511">
        <f t="shared" si="1401"/>
        <v>297864</v>
      </c>
      <c r="CH154" s="511">
        <f t="shared" si="1401"/>
        <v>297864</v>
      </c>
      <c r="CI154" s="511">
        <f t="shared" si="1096"/>
        <v>297864</v>
      </c>
      <c r="CJ154" s="511">
        <f t="shared" si="1097"/>
        <v>297864</v>
      </c>
      <c r="CK154" s="722">
        <f t="shared" si="1385"/>
        <v>46.457142857142856</v>
      </c>
      <c r="CL154" s="511">
        <f t="shared" ref="CL154:CO154" si="1402">CK154</f>
        <v>46.457142857142856</v>
      </c>
      <c r="CM154" s="511">
        <f t="shared" si="1402"/>
        <v>46.457142857142856</v>
      </c>
      <c r="CN154" s="511">
        <f t="shared" si="1402"/>
        <v>46.457142857142856</v>
      </c>
      <c r="CO154" s="511">
        <f t="shared" si="1402"/>
        <v>46.457142857142856</v>
      </c>
      <c r="CP154" s="511">
        <f t="shared" si="1099"/>
        <v>46.457142857142856</v>
      </c>
      <c r="CQ154" s="511">
        <f t="shared" si="1100"/>
        <v>46.457142857142856</v>
      </c>
      <c r="CR154" s="722">
        <f t="shared" si="1387"/>
        <v>4768.87</v>
      </c>
      <c r="CS154" s="511">
        <f t="shared" ref="CS154:CV154" si="1403">CR154</f>
        <v>4768.87</v>
      </c>
      <c r="CT154" s="511">
        <f t="shared" si="1403"/>
        <v>4768.87</v>
      </c>
      <c r="CU154" s="511">
        <f t="shared" si="1403"/>
        <v>4768.87</v>
      </c>
      <c r="CV154" s="511">
        <f t="shared" si="1403"/>
        <v>4768.87</v>
      </c>
      <c r="CW154" s="511">
        <f t="shared" si="1102"/>
        <v>4768.87</v>
      </c>
      <c r="CX154" s="539">
        <f t="shared" si="1103"/>
        <v>4768.87</v>
      </c>
      <c r="CY154" s="724">
        <f t="shared" si="1196"/>
        <v>0</v>
      </c>
      <c r="CZ154" s="508">
        <f t="shared" si="1197"/>
        <v>0</v>
      </c>
      <c r="DA154" s="508">
        <f t="shared" si="1198"/>
        <v>32940.594038328869</v>
      </c>
      <c r="DB154" s="508">
        <f t="shared" si="1199"/>
        <v>0</v>
      </c>
      <c r="DC154" s="508">
        <f t="shared" si="1200"/>
        <v>0</v>
      </c>
      <c r="DD154" s="508">
        <f t="shared" si="1201"/>
        <v>32940.594038328869</v>
      </c>
      <c r="DE154" s="726">
        <f t="shared" si="1202"/>
        <v>0</v>
      </c>
      <c r="DF154" s="724">
        <f t="shared" si="1203"/>
        <v>0</v>
      </c>
      <c r="DG154" s="509">
        <f t="shared" si="1204"/>
        <v>0</v>
      </c>
      <c r="DH154" s="509">
        <f t="shared" si="1205"/>
        <v>0</v>
      </c>
      <c r="DI154" s="509">
        <f t="shared" si="1206"/>
        <v>0</v>
      </c>
      <c r="DJ154" s="509">
        <f t="shared" si="1207"/>
        <v>0</v>
      </c>
      <c r="DK154" s="509">
        <f t="shared" si="1208"/>
        <v>0</v>
      </c>
      <c r="DL154" s="451">
        <f t="shared" si="1209"/>
        <v>0</v>
      </c>
      <c r="DM154" s="509">
        <f t="shared" si="1210"/>
        <v>0</v>
      </c>
      <c r="DN154" s="509">
        <f t="shared" si="1211"/>
        <v>0</v>
      </c>
      <c r="DO154" s="509">
        <f t="shared" si="1212"/>
        <v>4500</v>
      </c>
      <c r="DP154" s="509">
        <f t="shared" si="1213"/>
        <v>0</v>
      </c>
      <c r="DQ154" s="509">
        <f t="shared" si="1214"/>
        <v>0</v>
      </c>
      <c r="DR154" s="509">
        <f t="shared" si="1215"/>
        <v>4500</v>
      </c>
      <c r="DS154" s="450">
        <f t="shared" si="1216"/>
        <v>0</v>
      </c>
      <c r="DT154" s="724">
        <f t="shared" si="1217"/>
        <v>0</v>
      </c>
      <c r="DU154" s="508">
        <f t="shared" si="1218"/>
        <v>0</v>
      </c>
      <c r="DV154" s="508">
        <f t="shared" si="1219"/>
        <v>0</v>
      </c>
      <c r="DW154" s="508">
        <f t="shared" si="1220"/>
        <v>0</v>
      </c>
      <c r="DX154" s="508">
        <f t="shared" si="1221"/>
        <v>0</v>
      </c>
      <c r="DY154" s="508">
        <f t="shared" si="1222"/>
        <v>0</v>
      </c>
      <c r="DZ154" s="726">
        <f t="shared" si="1223"/>
        <v>0</v>
      </c>
      <c r="EA154" s="722">
        <f t="shared" si="1224"/>
        <v>0</v>
      </c>
      <c r="EB154" s="511">
        <f t="shared" si="1225"/>
        <v>0</v>
      </c>
      <c r="EC154" s="511">
        <f t="shared" si="1226"/>
        <v>148932</v>
      </c>
      <c r="ED154" s="511">
        <f t="shared" si="1227"/>
        <v>0</v>
      </c>
      <c r="EE154" s="511">
        <f t="shared" si="1228"/>
        <v>0</v>
      </c>
      <c r="EF154" s="511">
        <f t="shared" si="1229"/>
        <v>148932</v>
      </c>
      <c r="EG154" s="723">
        <f t="shared" si="1230"/>
        <v>0</v>
      </c>
      <c r="EH154" s="397">
        <f t="shared" si="1231"/>
        <v>0</v>
      </c>
      <c r="EI154" s="397">
        <f t="shared" si="1232"/>
        <v>0</v>
      </c>
      <c r="EJ154" s="397">
        <f t="shared" si="1233"/>
        <v>23.228571428571428</v>
      </c>
      <c r="EK154" s="397">
        <f t="shared" si="1234"/>
        <v>0</v>
      </c>
      <c r="EL154" s="397">
        <f t="shared" si="1235"/>
        <v>0</v>
      </c>
      <c r="EM154" s="397">
        <f t="shared" si="1236"/>
        <v>23.228571428571428</v>
      </c>
      <c r="EN154" s="398">
        <f t="shared" si="1237"/>
        <v>0</v>
      </c>
      <c r="EO154" s="722">
        <f t="shared" si="1238"/>
        <v>0</v>
      </c>
      <c r="EP154" s="511">
        <f t="shared" si="1239"/>
        <v>0</v>
      </c>
      <c r="EQ154" s="511">
        <f t="shared" si="1240"/>
        <v>2384.4349999999999</v>
      </c>
      <c r="ER154" s="511">
        <f t="shared" si="1241"/>
        <v>0</v>
      </c>
      <c r="ES154" s="511">
        <f t="shared" si="1242"/>
        <v>0</v>
      </c>
      <c r="ET154" s="511">
        <f t="shared" si="1243"/>
        <v>2384.4349999999999</v>
      </c>
      <c r="EU154" s="723">
        <f t="shared" si="1244"/>
        <v>0</v>
      </c>
      <c r="EV154" s="727">
        <f t="shared" si="1245"/>
        <v>0.5</v>
      </c>
      <c r="EW154" s="728">
        <f t="shared" si="1246"/>
        <v>65881.188076657738</v>
      </c>
      <c r="EX154" s="728">
        <f t="shared" si="1247"/>
        <v>0</v>
      </c>
      <c r="EY154" s="728">
        <f t="shared" si="1248"/>
        <v>9000</v>
      </c>
      <c r="EZ154" s="728">
        <f t="shared" si="1249"/>
        <v>0</v>
      </c>
      <c r="FA154" s="777">
        <f t="shared" si="1250"/>
        <v>297864</v>
      </c>
      <c r="FB154" s="777">
        <f t="shared" si="1251"/>
        <v>46.457142857142856</v>
      </c>
      <c r="FC154" s="778">
        <f t="shared" si="1252"/>
        <v>4768.87</v>
      </c>
      <c r="FE154" s="10"/>
      <c r="FF154" s="10"/>
    </row>
    <row r="155" spans="1:162">
      <c r="A155" s="662" t="s">
        <v>262</v>
      </c>
      <c r="B155" s="789" t="s">
        <v>1446</v>
      </c>
      <c r="C155" s="789" t="str">
        <f t="shared" ref="C155:O155" si="1404">C41</f>
        <v>Commercial New Construction Tier 4 - 25% Over Code</v>
      </c>
      <c r="D155" s="789" t="str">
        <f t="shared" si="1404"/>
        <v>State and Federal Energy Code</v>
      </c>
      <c r="E155" s="789" t="str">
        <f t="shared" si="1404"/>
        <v>Per Project</v>
      </c>
      <c r="F155" s="789" t="str">
        <f t="shared" si="1404"/>
        <v>Per Project</v>
      </c>
      <c r="G155" s="704" t="str">
        <f t="shared" si="1404"/>
        <v>Incremental Cost</v>
      </c>
      <c r="H155" s="704">
        <f t="shared" si="1404"/>
        <v>82351.485095822165</v>
      </c>
      <c r="I155" s="704">
        <f t="shared" si="1404"/>
        <v>0</v>
      </c>
      <c r="J155" s="704">
        <f t="shared" si="1404"/>
        <v>82351.485095822165</v>
      </c>
      <c r="K155" s="704">
        <f t="shared" si="1404"/>
        <v>0</v>
      </c>
      <c r="L155" s="704">
        <f t="shared" si="1404"/>
        <v>41175.742547911083</v>
      </c>
      <c r="M155" s="707" t="str">
        <f t="shared" si="1404"/>
        <v xml:space="preserve">Benchmarking custom projects from other utilties to estimate incremental cost. Roughly $0.22 per kWh saved as incermental costs. </v>
      </c>
      <c r="N155" s="704">
        <f t="shared" si="1404"/>
        <v>11200</v>
      </c>
      <c r="O155" s="704">
        <f t="shared" si="1404"/>
        <v>11200</v>
      </c>
      <c r="P155" s="704">
        <f t="shared" si="1289"/>
        <v>0</v>
      </c>
      <c r="Q155" s="704">
        <f t="shared" si="1289"/>
        <v>0</v>
      </c>
      <c r="R155" s="1021">
        <f t="shared" si="1347"/>
        <v>372330</v>
      </c>
      <c r="S155" s="872">
        <f t="shared" si="1347"/>
        <v>58.071428571428562</v>
      </c>
      <c r="T155" s="1068">
        <v>5961.08</v>
      </c>
      <c r="U155" s="711" t="str">
        <f t="shared" si="1348"/>
        <v>Estimated savings from LG&amp;E and KU projections and 2016 program data.</v>
      </c>
      <c r="V155" s="716">
        <f t="shared" si="1348"/>
        <v>0</v>
      </c>
      <c r="W155" s="711">
        <f t="shared" si="1348"/>
        <v>1</v>
      </c>
      <c r="X155" s="781">
        <f t="shared" ref="X155:AJ155" si="1405">X41/2</f>
        <v>0.5</v>
      </c>
      <c r="Y155" s="781">
        <f t="shared" si="1405"/>
        <v>0</v>
      </c>
      <c r="Z155" s="781">
        <f t="shared" si="1405"/>
        <v>0</v>
      </c>
      <c r="AA155" s="781">
        <f t="shared" si="1405"/>
        <v>0</v>
      </c>
      <c r="AB155" s="781">
        <f t="shared" si="1405"/>
        <v>0</v>
      </c>
      <c r="AC155" s="781">
        <f t="shared" si="1405"/>
        <v>0</v>
      </c>
      <c r="AD155" s="781">
        <f t="shared" si="1405"/>
        <v>0</v>
      </c>
      <c r="AE155" s="781">
        <f t="shared" si="1405"/>
        <v>0</v>
      </c>
      <c r="AF155" s="781">
        <f t="shared" si="1405"/>
        <v>0</v>
      </c>
      <c r="AG155" s="781">
        <f t="shared" si="1405"/>
        <v>0</v>
      </c>
      <c r="AH155" s="781">
        <f t="shared" si="1405"/>
        <v>0</v>
      </c>
      <c r="AI155" s="781">
        <f t="shared" si="1405"/>
        <v>0</v>
      </c>
      <c r="AJ155" s="781">
        <f t="shared" si="1405"/>
        <v>0</v>
      </c>
      <c r="AK155" s="711" t="str">
        <f t="shared" ref="AK155:BA155" si="1406">AK41</f>
        <v>Both</v>
      </c>
      <c r="AL155" s="711" t="str">
        <f t="shared" si="1406"/>
        <v>Commercial</v>
      </c>
      <c r="AM155" s="711" t="str">
        <f t="shared" si="1406"/>
        <v>Large Office</v>
      </c>
      <c r="AN155" s="711" t="str">
        <f t="shared" si="1406"/>
        <v>All</v>
      </c>
      <c r="AO155" s="711" t="str">
        <f t="shared" si="1406"/>
        <v>New</v>
      </c>
      <c r="AP155" s="711">
        <f t="shared" si="1406"/>
        <v>0</v>
      </c>
      <c r="AQ155" s="711">
        <f t="shared" si="1406"/>
        <v>0</v>
      </c>
      <c r="AR155" s="711">
        <f t="shared" si="1406"/>
        <v>0</v>
      </c>
      <c r="AS155" s="711" t="str">
        <f t="shared" si="1406"/>
        <v>OFFLGElecTotl</v>
      </c>
      <c r="AT155" s="715" t="s">
        <v>745</v>
      </c>
      <c r="AU155" s="711" t="str">
        <f t="shared" si="1406"/>
        <v>LGE NonRes</v>
      </c>
      <c r="AV155" s="711">
        <f t="shared" si="1406"/>
        <v>15</v>
      </c>
      <c r="AW155" s="711">
        <f t="shared" si="1406"/>
        <v>15</v>
      </c>
      <c r="AX155" s="711" t="str">
        <f t="shared" si="1406"/>
        <v>Custom measure EULs ranges from 10 to 25 years depending on end use (NEEP EUL study by GDS 2007)</v>
      </c>
      <c r="AY155" s="711">
        <f t="shared" si="1406"/>
        <v>1</v>
      </c>
      <c r="AZ155" s="711">
        <f t="shared" si="1406"/>
        <v>1</v>
      </c>
      <c r="BA155" s="1066">
        <f t="shared" si="1406"/>
        <v>1</v>
      </c>
      <c r="BB155" s="721">
        <f t="shared" si="1079"/>
        <v>82351.485095822165</v>
      </c>
      <c r="BC155" s="499">
        <f t="shared" si="1080"/>
        <v>82351.485095822165</v>
      </c>
      <c r="BD155" s="499">
        <f t="shared" si="1081"/>
        <v>82351.485095822165</v>
      </c>
      <c r="BE155" s="499">
        <f t="shared" si="1082"/>
        <v>82351.485095822165</v>
      </c>
      <c r="BF155" s="499">
        <f t="shared" si="1083"/>
        <v>82351.485095822165</v>
      </c>
      <c r="BG155" s="499">
        <f t="shared" si="1084"/>
        <v>82351.485095822165</v>
      </c>
      <c r="BH155" s="499">
        <f t="shared" si="1085"/>
        <v>82351.485095822165</v>
      </c>
      <c r="BI155" s="721">
        <f t="shared" si="1379"/>
        <v>0</v>
      </c>
      <c r="BJ155" s="499">
        <f t="shared" ref="BJ155:BM155" si="1407">BI155</f>
        <v>0</v>
      </c>
      <c r="BK155" s="499">
        <f t="shared" si="1407"/>
        <v>0</v>
      </c>
      <c r="BL155" s="499">
        <f t="shared" si="1407"/>
        <v>0</v>
      </c>
      <c r="BM155" s="499">
        <f t="shared" si="1407"/>
        <v>0</v>
      </c>
      <c r="BN155" s="499">
        <f t="shared" si="1087"/>
        <v>0</v>
      </c>
      <c r="BO155" s="499">
        <f t="shared" si="1088"/>
        <v>0</v>
      </c>
      <c r="BP155" s="721">
        <f t="shared" si="1381"/>
        <v>11200</v>
      </c>
      <c r="BQ155" s="499">
        <f t="shared" si="1382"/>
        <v>11200</v>
      </c>
      <c r="BR155" s="499">
        <f t="shared" si="1089"/>
        <v>11200</v>
      </c>
      <c r="BS155" s="499">
        <f t="shared" si="1090"/>
        <v>11200</v>
      </c>
      <c r="BT155" s="499">
        <f t="shared" si="1091"/>
        <v>11200</v>
      </c>
      <c r="BU155" s="499">
        <f t="shared" si="1092"/>
        <v>11200</v>
      </c>
      <c r="BV155" s="499">
        <f t="shared" si="1093"/>
        <v>11200</v>
      </c>
      <c r="BW155" s="774">
        <f t="shared" si="1393"/>
        <v>0</v>
      </c>
      <c r="BX155" s="503">
        <f t="shared" si="1393"/>
        <v>0</v>
      </c>
      <c r="BY155" s="503">
        <f t="shared" si="1393"/>
        <v>0</v>
      </c>
      <c r="BZ155" s="503">
        <f t="shared" si="1393"/>
        <v>0</v>
      </c>
      <c r="CA155" s="503">
        <f t="shared" si="1393"/>
        <v>0</v>
      </c>
      <c r="CB155" s="503">
        <f t="shared" si="1393"/>
        <v>0</v>
      </c>
      <c r="CC155" s="503">
        <f t="shared" si="1393"/>
        <v>0</v>
      </c>
      <c r="CD155" s="722">
        <f t="shared" si="1383"/>
        <v>372330</v>
      </c>
      <c r="CE155" s="511">
        <f t="shared" ref="CE155:CH155" si="1408">CD155</f>
        <v>372330</v>
      </c>
      <c r="CF155" s="511">
        <f t="shared" si="1408"/>
        <v>372330</v>
      </c>
      <c r="CG155" s="511">
        <f t="shared" si="1408"/>
        <v>372330</v>
      </c>
      <c r="CH155" s="511">
        <f t="shared" si="1408"/>
        <v>372330</v>
      </c>
      <c r="CI155" s="511">
        <f t="shared" si="1096"/>
        <v>372330</v>
      </c>
      <c r="CJ155" s="511">
        <f t="shared" si="1097"/>
        <v>372330</v>
      </c>
      <c r="CK155" s="722">
        <f t="shared" si="1385"/>
        <v>58.071428571428562</v>
      </c>
      <c r="CL155" s="511">
        <f t="shared" ref="CL155:CO155" si="1409">CK155</f>
        <v>58.071428571428562</v>
      </c>
      <c r="CM155" s="511">
        <f t="shared" si="1409"/>
        <v>58.071428571428562</v>
      </c>
      <c r="CN155" s="511">
        <f t="shared" si="1409"/>
        <v>58.071428571428562</v>
      </c>
      <c r="CO155" s="511">
        <f t="shared" si="1409"/>
        <v>58.071428571428562</v>
      </c>
      <c r="CP155" s="511">
        <f t="shared" si="1099"/>
        <v>58.071428571428562</v>
      </c>
      <c r="CQ155" s="511">
        <f t="shared" si="1100"/>
        <v>58.071428571428562</v>
      </c>
      <c r="CR155" s="722">
        <f t="shared" si="1387"/>
        <v>5961.08</v>
      </c>
      <c r="CS155" s="511">
        <f t="shared" ref="CS155:CV155" si="1410">CR155</f>
        <v>5961.08</v>
      </c>
      <c r="CT155" s="511">
        <f t="shared" si="1410"/>
        <v>5961.08</v>
      </c>
      <c r="CU155" s="511">
        <f t="shared" si="1410"/>
        <v>5961.08</v>
      </c>
      <c r="CV155" s="511">
        <f t="shared" si="1410"/>
        <v>5961.08</v>
      </c>
      <c r="CW155" s="511">
        <f t="shared" si="1102"/>
        <v>5961.08</v>
      </c>
      <c r="CX155" s="539">
        <f t="shared" si="1103"/>
        <v>5961.08</v>
      </c>
      <c r="CY155" s="724">
        <f t="shared" si="1196"/>
        <v>0</v>
      </c>
      <c r="CZ155" s="508">
        <f t="shared" si="1197"/>
        <v>0</v>
      </c>
      <c r="DA155" s="508">
        <f t="shared" si="1198"/>
        <v>0</v>
      </c>
      <c r="DB155" s="508">
        <f t="shared" si="1199"/>
        <v>0</v>
      </c>
      <c r="DC155" s="508">
        <f t="shared" si="1200"/>
        <v>0</v>
      </c>
      <c r="DD155" s="508">
        <f t="shared" si="1201"/>
        <v>0</v>
      </c>
      <c r="DE155" s="726">
        <f t="shared" si="1202"/>
        <v>0</v>
      </c>
      <c r="DF155" s="724">
        <f t="shared" si="1203"/>
        <v>0</v>
      </c>
      <c r="DG155" s="509">
        <f t="shared" si="1204"/>
        <v>0</v>
      </c>
      <c r="DH155" s="509">
        <f t="shared" si="1205"/>
        <v>0</v>
      </c>
      <c r="DI155" s="509">
        <f t="shared" si="1206"/>
        <v>0</v>
      </c>
      <c r="DJ155" s="509">
        <f t="shared" si="1207"/>
        <v>0</v>
      </c>
      <c r="DK155" s="509">
        <f t="shared" si="1208"/>
        <v>0</v>
      </c>
      <c r="DL155" s="451">
        <f t="shared" si="1209"/>
        <v>0</v>
      </c>
      <c r="DM155" s="509">
        <f t="shared" si="1210"/>
        <v>0</v>
      </c>
      <c r="DN155" s="509">
        <f t="shared" si="1211"/>
        <v>0</v>
      </c>
      <c r="DO155" s="509">
        <f t="shared" si="1212"/>
        <v>0</v>
      </c>
      <c r="DP155" s="509">
        <f t="shared" si="1213"/>
        <v>0</v>
      </c>
      <c r="DQ155" s="509">
        <f t="shared" si="1214"/>
        <v>0</v>
      </c>
      <c r="DR155" s="509">
        <f t="shared" si="1215"/>
        <v>0</v>
      </c>
      <c r="DS155" s="450">
        <f t="shared" si="1216"/>
        <v>0</v>
      </c>
      <c r="DT155" s="724">
        <f t="shared" si="1217"/>
        <v>0</v>
      </c>
      <c r="DU155" s="508">
        <f t="shared" si="1218"/>
        <v>0</v>
      </c>
      <c r="DV155" s="508">
        <f t="shared" si="1219"/>
        <v>0</v>
      </c>
      <c r="DW155" s="508">
        <f t="shared" si="1220"/>
        <v>0</v>
      </c>
      <c r="DX155" s="508">
        <f t="shared" si="1221"/>
        <v>0</v>
      </c>
      <c r="DY155" s="508">
        <f t="shared" si="1222"/>
        <v>0</v>
      </c>
      <c r="DZ155" s="726">
        <f t="shared" si="1223"/>
        <v>0</v>
      </c>
      <c r="EA155" s="722">
        <f t="shared" si="1224"/>
        <v>0</v>
      </c>
      <c r="EB155" s="511">
        <f t="shared" si="1225"/>
        <v>0</v>
      </c>
      <c r="EC155" s="511">
        <f t="shared" si="1226"/>
        <v>0</v>
      </c>
      <c r="ED155" s="511">
        <f t="shared" si="1227"/>
        <v>0</v>
      </c>
      <c r="EE155" s="511">
        <f t="shared" si="1228"/>
        <v>0</v>
      </c>
      <c r="EF155" s="511">
        <f t="shared" si="1229"/>
        <v>0</v>
      </c>
      <c r="EG155" s="723">
        <f t="shared" si="1230"/>
        <v>0</v>
      </c>
      <c r="EH155" s="397">
        <f t="shared" si="1231"/>
        <v>0</v>
      </c>
      <c r="EI155" s="397">
        <f t="shared" si="1232"/>
        <v>0</v>
      </c>
      <c r="EJ155" s="397">
        <f t="shared" si="1233"/>
        <v>0</v>
      </c>
      <c r="EK155" s="397">
        <f t="shared" si="1234"/>
        <v>0</v>
      </c>
      <c r="EL155" s="397">
        <f t="shared" si="1235"/>
        <v>0</v>
      </c>
      <c r="EM155" s="397">
        <f t="shared" si="1236"/>
        <v>0</v>
      </c>
      <c r="EN155" s="398">
        <f t="shared" si="1237"/>
        <v>0</v>
      </c>
      <c r="EO155" s="722">
        <f t="shared" si="1238"/>
        <v>0</v>
      </c>
      <c r="EP155" s="511">
        <f t="shared" si="1239"/>
        <v>0</v>
      </c>
      <c r="EQ155" s="511">
        <f t="shared" si="1240"/>
        <v>0</v>
      </c>
      <c r="ER155" s="511">
        <f t="shared" si="1241"/>
        <v>0</v>
      </c>
      <c r="ES155" s="511">
        <f t="shared" si="1242"/>
        <v>0</v>
      </c>
      <c r="ET155" s="511">
        <f t="shared" si="1243"/>
        <v>0</v>
      </c>
      <c r="EU155" s="723">
        <f t="shared" si="1244"/>
        <v>0</v>
      </c>
      <c r="EV155" s="727">
        <f t="shared" si="1245"/>
        <v>0</v>
      </c>
      <c r="EW155" s="728">
        <f t="shared" si="1246"/>
        <v>0</v>
      </c>
      <c r="EX155" s="728">
        <f t="shared" si="1247"/>
        <v>0</v>
      </c>
      <c r="EY155" s="728">
        <f t="shared" si="1248"/>
        <v>0</v>
      </c>
      <c r="EZ155" s="728">
        <f t="shared" si="1249"/>
        <v>0</v>
      </c>
      <c r="FA155" s="777">
        <f t="shared" si="1250"/>
        <v>0</v>
      </c>
      <c r="FB155" s="777">
        <f t="shared" si="1251"/>
        <v>0</v>
      </c>
      <c r="FC155" s="778">
        <f t="shared" si="1252"/>
        <v>0</v>
      </c>
      <c r="FE155" s="10"/>
      <c r="FF155" s="10"/>
    </row>
    <row r="156" spans="1:162">
      <c r="A156" s="662" t="s">
        <v>263</v>
      </c>
      <c r="B156" s="789" t="s">
        <v>1447</v>
      </c>
      <c r="C156" s="789" t="str">
        <f t="shared" ref="C156:O156" si="1411">C42</f>
        <v>Commercial New Construction LEED 1 to 5 Points - LEED Energy &amp; Atmosphere, Credit 1 Category Optimize Energy Efficiency Performance</v>
      </c>
      <c r="D156" s="789" t="str">
        <f t="shared" si="1411"/>
        <v>Non-LEED Building</v>
      </c>
      <c r="E156" s="789" t="str">
        <f t="shared" si="1411"/>
        <v>Per Project</v>
      </c>
      <c r="F156" s="789" t="str">
        <f t="shared" si="1411"/>
        <v>Per Project</v>
      </c>
      <c r="G156" s="704" t="str">
        <f t="shared" si="1411"/>
        <v>Incremental Cost</v>
      </c>
      <c r="H156" s="704">
        <f t="shared" si="1411"/>
        <v>37200</v>
      </c>
      <c r="I156" s="704">
        <f t="shared" si="1411"/>
        <v>0</v>
      </c>
      <c r="J156" s="704">
        <f t="shared" si="1411"/>
        <v>37200</v>
      </c>
      <c r="K156" s="704">
        <f t="shared" si="1411"/>
        <v>0</v>
      </c>
      <c r="L156" s="704">
        <f t="shared" si="1411"/>
        <v>18600</v>
      </c>
      <c r="M156" s="707" t="str">
        <f t="shared" si="1411"/>
        <v>Assume Direct Costs of LEED Certification ONLY: http://www.josre.org/wp-content/uploads/2012/09/Cost_of_LEED_Analysis_of_Construction_Costs-JOSRE_v3-13.pdf</v>
      </c>
      <c r="N156" s="704">
        <f t="shared" si="1411"/>
        <v>2000</v>
      </c>
      <c r="O156" s="704">
        <f t="shared" si="1411"/>
        <v>2000</v>
      </c>
      <c r="P156" s="704">
        <f t="shared" si="1289"/>
        <v>0</v>
      </c>
      <c r="Q156" s="704">
        <f t="shared" si="1289"/>
        <v>0</v>
      </c>
      <c r="R156" s="1021">
        <f t="shared" si="1347"/>
        <v>0</v>
      </c>
      <c r="S156" s="872">
        <f t="shared" si="1347"/>
        <v>0</v>
      </c>
      <c r="T156" s="1022">
        <f t="shared" ref="T156:T175" si="1412">T42</f>
        <v>0</v>
      </c>
      <c r="U156" s="711" t="str">
        <f t="shared" si="1348"/>
        <v>Assume no additional savings for LEED. Bonus incentive. Estimated savings from LG&amp;E and KU projections and 2016 program data.</v>
      </c>
      <c r="V156" s="716">
        <f t="shared" si="1348"/>
        <v>0</v>
      </c>
      <c r="W156" s="711">
        <f t="shared" si="1348"/>
        <v>1</v>
      </c>
      <c r="X156" s="781">
        <f t="shared" ref="X156:AJ156" si="1413">X42/2</f>
        <v>0.5</v>
      </c>
      <c r="Y156" s="781">
        <f t="shared" si="1413"/>
        <v>0.5</v>
      </c>
      <c r="Z156" s="781">
        <f t="shared" si="1413"/>
        <v>0</v>
      </c>
      <c r="AA156" s="781">
        <f t="shared" si="1413"/>
        <v>0</v>
      </c>
      <c r="AB156" s="781">
        <f t="shared" si="1413"/>
        <v>0</v>
      </c>
      <c r="AC156" s="781">
        <f t="shared" si="1413"/>
        <v>0</v>
      </c>
      <c r="AD156" s="781">
        <f t="shared" si="1413"/>
        <v>0.5</v>
      </c>
      <c r="AE156" s="781">
        <f t="shared" si="1413"/>
        <v>0</v>
      </c>
      <c r="AF156" s="781">
        <f t="shared" si="1413"/>
        <v>0</v>
      </c>
      <c r="AG156" s="781">
        <f t="shared" si="1413"/>
        <v>0.5</v>
      </c>
      <c r="AH156" s="781">
        <f t="shared" si="1413"/>
        <v>0</v>
      </c>
      <c r="AI156" s="781">
        <f t="shared" si="1413"/>
        <v>0</v>
      </c>
      <c r="AJ156" s="781">
        <f t="shared" si="1413"/>
        <v>0.5</v>
      </c>
      <c r="AK156" s="711" t="str">
        <f t="shared" ref="AK156:BA156" si="1414">AK42</f>
        <v>Both</v>
      </c>
      <c r="AL156" s="711" t="str">
        <f t="shared" si="1414"/>
        <v>Commercial</v>
      </c>
      <c r="AM156" s="711" t="str">
        <f t="shared" si="1414"/>
        <v>Large Office</v>
      </c>
      <c r="AN156" s="711" t="str">
        <f t="shared" si="1414"/>
        <v>All</v>
      </c>
      <c r="AO156" s="711" t="str">
        <f t="shared" si="1414"/>
        <v>New</v>
      </c>
      <c r="AP156" s="711">
        <f t="shared" si="1414"/>
        <v>0</v>
      </c>
      <c r="AQ156" s="711">
        <f t="shared" si="1414"/>
        <v>0</v>
      </c>
      <c r="AR156" s="711">
        <f t="shared" si="1414"/>
        <v>0</v>
      </c>
      <c r="AS156" s="711" t="str">
        <f t="shared" si="1414"/>
        <v>OFFLGElecTotl</v>
      </c>
      <c r="AT156" s="715" t="s">
        <v>745</v>
      </c>
      <c r="AU156" s="711" t="str">
        <f t="shared" si="1414"/>
        <v>LGE NonRes</v>
      </c>
      <c r="AV156" s="711">
        <f t="shared" si="1414"/>
        <v>15</v>
      </c>
      <c r="AW156" s="711">
        <f t="shared" si="1414"/>
        <v>15</v>
      </c>
      <c r="AX156" s="711" t="str">
        <f t="shared" si="1414"/>
        <v>Custom measure EULs ranges from 10 to 25 years depending on end use (NEEP EUL study by GDS 2007)</v>
      </c>
      <c r="AY156" s="711">
        <f t="shared" si="1414"/>
        <v>1</v>
      </c>
      <c r="AZ156" s="711">
        <f t="shared" si="1414"/>
        <v>1</v>
      </c>
      <c r="BA156" s="1066">
        <f t="shared" si="1414"/>
        <v>0</v>
      </c>
      <c r="BB156" s="721">
        <f t="shared" si="1079"/>
        <v>37200</v>
      </c>
      <c r="BC156" s="499">
        <f t="shared" si="1080"/>
        <v>37200</v>
      </c>
      <c r="BD156" s="499">
        <f t="shared" si="1081"/>
        <v>37200</v>
      </c>
      <c r="BE156" s="499">
        <f t="shared" si="1082"/>
        <v>37200</v>
      </c>
      <c r="BF156" s="499">
        <f t="shared" si="1083"/>
        <v>37200</v>
      </c>
      <c r="BG156" s="499">
        <f t="shared" si="1084"/>
        <v>37200</v>
      </c>
      <c r="BH156" s="499">
        <f t="shared" si="1085"/>
        <v>37200</v>
      </c>
      <c r="BI156" s="721">
        <f t="shared" si="1379"/>
        <v>0</v>
      </c>
      <c r="BJ156" s="499">
        <f t="shared" ref="BJ156:BM156" si="1415">BI156</f>
        <v>0</v>
      </c>
      <c r="BK156" s="499">
        <f t="shared" si="1415"/>
        <v>0</v>
      </c>
      <c r="BL156" s="499">
        <f t="shared" si="1415"/>
        <v>0</v>
      </c>
      <c r="BM156" s="499">
        <f t="shared" si="1415"/>
        <v>0</v>
      </c>
      <c r="BN156" s="499">
        <f t="shared" si="1087"/>
        <v>0</v>
      </c>
      <c r="BO156" s="499">
        <f t="shared" si="1088"/>
        <v>0</v>
      </c>
      <c r="BP156" s="721">
        <f t="shared" si="1381"/>
        <v>2000</v>
      </c>
      <c r="BQ156" s="499">
        <f t="shared" si="1382"/>
        <v>2000</v>
      </c>
      <c r="BR156" s="499">
        <f t="shared" si="1089"/>
        <v>2000</v>
      </c>
      <c r="BS156" s="499">
        <f t="shared" si="1090"/>
        <v>2000</v>
      </c>
      <c r="BT156" s="499">
        <f t="shared" si="1091"/>
        <v>2000</v>
      </c>
      <c r="BU156" s="499">
        <f t="shared" si="1092"/>
        <v>2000</v>
      </c>
      <c r="BV156" s="499">
        <f t="shared" si="1093"/>
        <v>2000</v>
      </c>
      <c r="BW156" s="774">
        <f t="shared" si="1393"/>
        <v>0</v>
      </c>
      <c r="BX156" s="503">
        <f t="shared" si="1393"/>
        <v>0</v>
      </c>
      <c r="BY156" s="503">
        <f t="shared" si="1393"/>
        <v>0</v>
      </c>
      <c r="BZ156" s="503">
        <f t="shared" si="1393"/>
        <v>0</v>
      </c>
      <c r="CA156" s="503">
        <f t="shared" si="1393"/>
        <v>0</v>
      </c>
      <c r="CB156" s="503">
        <f t="shared" si="1393"/>
        <v>0</v>
      </c>
      <c r="CC156" s="503">
        <f t="shared" si="1393"/>
        <v>0</v>
      </c>
      <c r="CD156" s="722">
        <f t="shared" si="1383"/>
        <v>0</v>
      </c>
      <c r="CE156" s="511">
        <f t="shared" ref="CE156:CH156" si="1416">CD156</f>
        <v>0</v>
      </c>
      <c r="CF156" s="511">
        <f t="shared" si="1416"/>
        <v>0</v>
      </c>
      <c r="CG156" s="511">
        <f t="shared" si="1416"/>
        <v>0</v>
      </c>
      <c r="CH156" s="511">
        <f t="shared" si="1416"/>
        <v>0</v>
      </c>
      <c r="CI156" s="511">
        <f t="shared" si="1096"/>
        <v>0</v>
      </c>
      <c r="CJ156" s="511">
        <f t="shared" si="1097"/>
        <v>0</v>
      </c>
      <c r="CK156" s="722">
        <f t="shared" si="1385"/>
        <v>0</v>
      </c>
      <c r="CL156" s="511">
        <f t="shared" ref="CL156:CO156" si="1417">CK156</f>
        <v>0</v>
      </c>
      <c r="CM156" s="511">
        <f t="shared" si="1417"/>
        <v>0</v>
      </c>
      <c r="CN156" s="511">
        <f t="shared" si="1417"/>
        <v>0</v>
      </c>
      <c r="CO156" s="511">
        <f t="shared" si="1417"/>
        <v>0</v>
      </c>
      <c r="CP156" s="511">
        <f t="shared" si="1099"/>
        <v>0</v>
      </c>
      <c r="CQ156" s="511">
        <f t="shared" si="1100"/>
        <v>0</v>
      </c>
      <c r="CR156" s="722">
        <f t="shared" si="1387"/>
        <v>0</v>
      </c>
      <c r="CS156" s="511">
        <f t="shared" ref="CS156:CV156" si="1418">CR156</f>
        <v>0</v>
      </c>
      <c r="CT156" s="511">
        <f t="shared" si="1418"/>
        <v>0</v>
      </c>
      <c r="CU156" s="511">
        <f t="shared" si="1418"/>
        <v>0</v>
      </c>
      <c r="CV156" s="511">
        <f t="shared" si="1418"/>
        <v>0</v>
      </c>
      <c r="CW156" s="511">
        <f t="shared" si="1102"/>
        <v>0</v>
      </c>
      <c r="CX156" s="539">
        <f t="shared" si="1103"/>
        <v>0</v>
      </c>
      <c r="CY156" s="724">
        <f t="shared" si="1196"/>
        <v>18600</v>
      </c>
      <c r="CZ156" s="508">
        <f t="shared" si="1197"/>
        <v>0</v>
      </c>
      <c r="DA156" s="508">
        <f t="shared" si="1198"/>
        <v>0</v>
      </c>
      <c r="DB156" s="508">
        <f t="shared" si="1199"/>
        <v>18600</v>
      </c>
      <c r="DC156" s="508">
        <f t="shared" si="1200"/>
        <v>0</v>
      </c>
      <c r="DD156" s="508">
        <f t="shared" si="1201"/>
        <v>0</v>
      </c>
      <c r="DE156" s="726">
        <f t="shared" si="1202"/>
        <v>18600</v>
      </c>
      <c r="DF156" s="724">
        <f t="shared" si="1203"/>
        <v>0</v>
      </c>
      <c r="DG156" s="509">
        <f t="shared" si="1204"/>
        <v>0</v>
      </c>
      <c r="DH156" s="509">
        <f t="shared" si="1205"/>
        <v>0</v>
      </c>
      <c r="DI156" s="509">
        <f t="shared" si="1206"/>
        <v>0</v>
      </c>
      <c r="DJ156" s="509">
        <f t="shared" si="1207"/>
        <v>0</v>
      </c>
      <c r="DK156" s="509">
        <f t="shared" si="1208"/>
        <v>0</v>
      </c>
      <c r="DL156" s="451">
        <f t="shared" si="1209"/>
        <v>0</v>
      </c>
      <c r="DM156" s="509">
        <f t="shared" si="1210"/>
        <v>1000</v>
      </c>
      <c r="DN156" s="509">
        <f t="shared" si="1211"/>
        <v>0</v>
      </c>
      <c r="DO156" s="509">
        <f t="shared" si="1212"/>
        <v>0</v>
      </c>
      <c r="DP156" s="509">
        <f t="shared" si="1213"/>
        <v>1000</v>
      </c>
      <c r="DQ156" s="509">
        <f t="shared" si="1214"/>
        <v>0</v>
      </c>
      <c r="DR156" s="509">
        <f t="shared" si="1215"/>
        <v>0</v>
      </c>
      <c r="DS156" s="450">
        <f t="shared" si="1216"/>
        <v>1000</v>
      </c>
      <c r="DT156" s="724">
        <f t="shared" si="1217"/>
        <v>0</v>
      </c>
      <c r="DU156" s="508">
        <f t="shared" si="1218"/>
        <v>0</v>
      </c>
      <c r="DV156" s="508">
        <f t="shared" si="1219"/>
        <v>0</v>
      </c>
      <c r="DW156" s="508">
        <f t="shared" si="1220"/>
        <v>0</v>
      </c>
      <c r="DX156" s="508">
        <f t="shared" si="1221"/>
        <v>0</v>
      </c>
      <c r="DY156" s="508">
        <f t="shared" si="1222"/>
        <v>0</v>
      </c>
      <c r="DZ156" s="726">
        <f t="shared" si="1223"/>
        <v>0</v>
      </c>
      <c r="EA156" s="722">
        <f t="shared" si="1224"/>
        <v>0</v>
      </c>
      <c r="EB156" s="511">
        <f t="shared" si="1225"/>
        <v>0</v>
      </c>
      <c r="EC156" s="511">
        <f t="shared" si="1226"/>
        <v>0</v>
      </c>
      <c r="ED156" s="511">
        <f t="shared" si="1227"/>
        <v>0</v>
      </c>
      <c r="EE156" s="511">
        <f t="shared" si="1228"/>
        <v>0</v>
      </c>
      <c r="EF156" s="511">
        <f t="shared" si="1229"/>
        <v>0</v>
      </c>
      <c r="EG156" s="723">
        <f t="shared" si="1230"/>
        <v>0</v>
      </c>
      <c r="EH156" s="397">
        <f t="shared" si="1231"/>
        <v>0</v>
      </c>
      <c r="EI156" s="397">
        <f t="shared" si="1232"/>
        <v>0</v>
      </c>
      <c r="EJ156" s="397">
        <f t="shared" si="1233"/>
        <v>0</v>
      </c>
      <c r="EK156" s="397">
        <f t="shared" si="1234"/>
        <v>0</v>
      </c>
      <c r="EL156" s="397">
        <f t="shared" si="1235"/>
        <v>0</v>
      </c>
      <c r="EM156" s="397">
        <f t="shared" si="1236"/>
        <v>0</v>
      </c>
      <c r="EN156" s="398">
        <f t="shared" si="1237"/>
        <v>0</v>
      </c>
      <c r="EO156" s="722">
        <f t="shared" si="1238"/>
        <v>0</v>
      </c>
      <c r="EP156" s="511">
        <f t="shared" si="1239"/>
        <v>0</v>
      </c>
      <c r="EQ156" s="511">
        <f t="shared" si="1240"/>
        <v>0</v>
      </c>
      <c r="ER156" s="511">
        <f t="shared" si="1241"/>
        <v>0</v>
      </c>
      <c r="ES156" s="511">
        <f t="shared" si="1242"/>
        <v>0</v>
      </c>
      <c r="ET156" s="511">
        <f t="shared" si="1243"/>
        <v>0</v>
      </c>
      <c r="EU156" s="723">
        <f t="shared" si="1244"/>
        <v>0</v>
      </c>
      <c r="EV156" s="727">
        <f t="shared" si="1245"/>
        <v>0.5</v>
      </c>
      <c r="EW156" s="728">
        <f t="shared" si="1246"/>
        <v>55800</v>
      </c>
      <c r="EX156" s="728">
        <f t="shared" si="1247"/>
        <v>0</v>
      </c>
      <c r="EY156" s="728">
        <f t="shared" si="1248"/>
        <v>3000</v>
      </c>
      <c r="EZ156" s="728">
        <f t="shared" si="1249"/>
        <v>0</v>
      </c>
      <c r="FA156" s="777">
        <f t="shared" si="1250"/>
        <v>0</v>
      </c>
      <c r="FB156" s="777">
        <f t="shared" si="1251"/>
        <v>0</v>
      </c>
      <c r="FC156" s="778">
        <f t="shared" si="1252"/>
        <v>0</v>
      </c>
      <c r="FE156" s="10"/>
      <c r="FF156" s="10"/>
    </row>
    <row r="157" spans="1:162">
      <c r="A157" s="662" t="s">
        <v>264</v>
      </c>
      <c r="B157" s="789" t="s">
        <v>1448</v>
      </c>
      <c r="C157" s="789" t="str">
        <f t="shared" ref="C157:O157" si="1419">C43</f>
        <v>Commercial New Construction LEED 6 to 10 Points - LEED Energy &amp; Atmosphere, Credit 1 Category Optimize Energy Efficiency Performance</v>
      </c>
      <c r="D157" s="789" t="str">
        <f t="shared" si="1419"/>
        <v>Non-LEED Building</v>
      </c>
      <c r="E157" s="789" t="str">
        <f t="shared" si="1419"/>
        <v>Per Project</v>
      </c>
      <c r="F157" s="789" t="str">
        <f t="shared" si="1419"/>
        <v>Per Project</v>
      </c>
      <c r="G157" s="704" t="str">
        <f t="shared" si="1419"/>
        <v>Incremental Cost</v>
      </c>
      <c r="H157" s="704">
        <f t="shared" si="1419"/>
        <v>37200</v>
      </c>
      <c r="I157" s="704">
        <f t="shared" si="1419"/>
        <v>0</v>
      </c>
      <c r="J157" s="704">
        <f t="shared" si="1419"/>
        <v>37200</v>
      </c>
      <c r="K157" s="704">
        <f t="shared" si="1419"/>
        <v>0</v>
      </c>
      <c r="L157" s="704">
        <f t="shared" si="1419"/>
        <v>18600</v>
      </c>
      <c r="M157" s="707" t="str">
        <f t="shared" si="1419"/>
        <v>Assume Direct Costs of LEED Certification ONLY: http://www.josre.org/wp-content/uploads/2012/09/Cost_of_LEED_Analysis_of_Construction_Costs-JOSRE_v3-13.pdf</v>
      </c>
      <c r="N157" s="704">
        <f t="shared" si="1419"/>
        <v>2500</v>
      </c>
      <c r="O157" s="704">
        <f t="shared" si="1419"/>
        <v>2500</v>
      </c>
      <c r="P157" s="704">
        <f t="shared" si="1289"/>
        <v>0</v>
      </c>
      <c r="Q157" s="704">
        <f t="shared" si="1289"/>
        <v>0</v>
      </c>
      <c r="R157" s="1021">
        <f t="shared" si="1347"/>
        <v>0</v>
      </c>
      <c r="S157" s="872">
        <f t="shared" si="1347"/>
        <v>0</v>
      </c>
      <c r="T157" s="1022">
        <f t="shared" si="1412"/>
        <v>0</v>
      </c>
      <c r="U157" s="711" t="str">
        <f t="shared" si="1348"/>
        <v>Assume no additional savings for LEED. Bonus incentive. Estimated savings from LG&amp;E and KU projections and 2016 program data.</v>
      </c>
      <c r="V157" s="716">
        <f t="shared" si="1348"/>
        <v>0</v>
      </c>
      <c r="W157" s="711">
        <f t="shared" si="1348"/>
        <v>1</v>
      </c>
      <c r="X157" s="781">
        <f t="shared" ref="X157:AJ157" si="1420">X43/2</f>
        <v>4</v>
      </c>
      <c r="Y157" s="781">
        <f t="shared" si="1420"/>
        <v>4.5</v>
      </c>
      <c r="Z157" s="781">
        <f t="shared" si="1420"/>
        <v>6</v>
      </c>
      <c r="AA157" s="781">
        <f t="shared" si="1420"/>
        <v>1.7142857142857142</v>
      </c>
      <c r="AB157" s="781">
        <f t="shared" si="1420"/>
        <v>3.8571428571428572</v>
      </c>
      <c r="AC157" s="781">
        <f t="shared" si="1420"/>
        <v>0</v>
      </c>
      <c r="AD157" s="781">
        <f t="shared" si="1420"/>
        <v>0</v>
      </c>
      <c r="AE157" s="781">
        <f t="shared" si="1420"/>
        <v>0.5</v>
      </c>
      <c r="AF157" s="781">
        <f t="shared" si="1420"/>
        <v>0</v>
      </c>
      <c r="AG157" s="781">
        <f t="shared" si="1420"/>
        <v>0</v>
      </c>
      <c r="AH157" s="781">
        <f t="shared" si="1420"/>
        <v>0.5</v>
      </c>
      <c r="AI157" s="781">
        <f t="shared" si="1420"/>
        <v>0</v>
      </c>
      <c r="AJ157" s="781">
        <f t="shared" si="1420"/>
        <v>0</v>
      </c>
      <c r="AK157" s="711" t="str">
        <f t="shared" ref="AK157:BA157" si="1421">AK43</f>
        <v>Both</v>
      </c>
      <c r="AL157" s="711" t="str">
        <f t="shared" si="1421"/>
        <v>Commercial</v>
      </c>
      <c r="AM157" s="711" t="str">
        <f t="shared" si="1421"/>
        <v>Large Office</v>
      </c>
      <c r="AN157" s="711" t="str">
        <f t="shared" si="1421"/>
        <v>All</v>
      </c>
      <c r="AO157" s="711" t="str">
        <f t="shared" si="1421"/>
        <v>New</v>
      </c>
      <c r="AP157" s="711">
        <f t="shared" si="1421"/>
        <v>0</v>
      </c>
      <c r="AQ157" s="711">
        <f t="shared" si="1421"/>
        <v>0</v>
      </c>
      <c r="AR157" s="711">
        <f t="shared" si="1421"/>
        <v>0</v>
      </c>
      <c r="AS157" s="711" t="str">
        <f t="shared" si="1421"/>
        <v>OFFLGElecTotl</v>
      </c>
      <c r="AT157" s="715" t="s">
        <v>745</v>
      </c>
      <c r="AU157" s="711" t="str">
        <f t="shared" si="1421"/>
        <v>LGE NonRes</v>
      </c>
      <c r="AV157" s="711">
        <f t="shared" si="1421"/>
        <v>15</v>
      </c>
      <c r="AW157" s="711">
        <f t="shared" si="1421"/>
        <v>15</v>
      </c>
      <c r="AX157" s="711" t="str">
        <f t="shared" si="1421"/>
        <v>Custom measure EULs ranges from 10 to 25 years depending on end use (NEEP EUL study by GDS 2007)</v>
      </c>
      <c r="AY157" s="711">
        <f t="shared" si="1421"/>
        <v>1</v>
      </c>
      <c r="AZ157" s="711">
        <f t="shared" si="1421"/>
        <v>1</v>
      </c>
      <c r="BA157" s="1066">
        <f t="shared" si="1421"/>
        <v>0</v>
      </c>
      <c r="BB157" s="721">
        <f t="shared" si="1079"/>
        <v>37200</v>
      </c>
      <c r="BC157" s="499">
        <f t="shared" si="1080"/>
        <v>37200</v>
      </c>
      <c r="BD157" s="499">
        <f t="shared" si="1081"/>
        <v>37200</v>
      </c>
      <c r="BE157" s="499">
        <f t="shared" si="1082"/>
        <v>37200</v>
      </c>
      <c r="BF157" s="499">
        <f t="shared" si="1083"/>
        <v>37200</v>
      </c>
      <c r="BG157" s="499">
        <f t="shared" si="1084"/>
        <v>37200</v>
      </c>
      <c r="BH157" s="499">
        <f t="shared" si="1085"/>
        <v>37200</v>
      </c>
      <c r="BI157" s="721">
        <f t="shared" si="1379"/>
        <v>0</v>
      </c>
      <c r="BJ157" s="499">
        <f t="shared" ref="BJ157:BM157" si="1422">BI157</f>
        <v>0</v>
      </c>
      <c r="BK157" s="499">
        <f t="shared" si="1422"/>
        <v>0</v>
      </c>
      <c r="BL157" s="499">
        <f t="shared" si="1422"/>
        <v>0</v>
      </c>
      <c r="BM157" s="499">
        <f t="shared" si="1422"/>
        <v>0</v>
      </c>
      <c r="BN157" s="499">
        <f t="shared" si="1087"/>
        <v>0</v>
      </c>
      <c r="BO157" s="499">
        <f t="shared" si="1088"/>
        <v>0</v>
      </c>
      <c r="BP157" s="721">
        <f t="shared" si="1381"/>
        <v>2500</v>
      </c>
      <c r="BQ157" s="499">
        <f t="shared" si="1382"/>
        <v>2500</v>
      </c>
      <c r="BR157" s="499">
        <f t="shared" si="1089"/>
        <v>2500</v>
      </c>
      <c r="BS157" s="499">
        <f t="shared" si="1090"/>
        <v>2500</v>
      </c>
      <c r="BT157" s="499">
        <f t="shared" si="1091"/>
        <v>2500</v>
      </c>
      <c r="BU157" s="499">
        <f t="shared" si="1092"/>
        <v>2500</v>
      </c>
      <c r="BV157" s="499">
        <f t="shared" si="1093"/>
        <v>2500</v>
      </c>
      <c r="BW157" s="774">
        <f t="shared" si="1393"/>
        <v>0</v>
      </c>
      <c r="BX157" s="503">
        <f t="shared" si="1393"/>
        <v>0</v>
      </c>
      <c r="BY157" s="503">
        <f t="shared" si="1393"/>
        <v>0</v>
      </c>
      <c r="BZ157" s="503">
        <f t="shared" si="1393"/>
        <v>0</v>
      </c>
      <c r="CA157" s="503">
        <f t="shared" si="1393"/>
        <v>0</v>
      </c>
      <c r="CB157" s="503">
        <f t="shared" si="1393"/>
        <v>0</v>
      </c>
      <c r="CC157" s="503">
        <f t="shared" si="1393"/>
        <v>0</v>
      </c>
      <c r="CD157" s="722">
        <f t="shared" si="1383"/>
        <v>0</v>
      </c>
      <c r="CE157" s="511">
        <f t="shared" ref="CE157:CH157" si="1423">CD157</f>
        <v>0</v>
      </c>
      <c r="CF157" s="511">
        <f t="shared" si="1423"/>
        <v>0</v>
      </c>
      <c r="CG157" s="511">
        <f t="shared" si="1423"/>
        <v>0</v>
      </c>
      <c r="CH157" s="511">
        <f t="shared" si="1423"/>
        <v>0</v>
      </c>
      <c r="CI157" s="511">
        <f t="shared" si="1096"/>
        <v>0</v>
      </c>
      <c r="CJ157" s="511">
        <f t="shared" si="1097"/>
        <v>0</v>
      </c>
      <c r="CK157" s="722">
        <f t="shared" si="1385"/>
        <v>0</v>
      </c>
      <c r="CL157" s="511">
        <f t="shared" ref="CL157:CO157" si="1424">CK157</f>
        <v>0</v>
      </c>
      <c r="CM157" s="511">
        <f t="shared" si="1424"/>
        <v>0</v>
      </c>
      <c r="CN157" s="511">
        <f t="shared" si="1424"/>
        <v>0</v>
      </c>
      <c r="CO157" s="511">
        <f t="shared" si="1424"/>
        <v>0</v>
      </c>
      <c r="CP157" s="511">
        <f t="shared" si="1099"/>
        <v>0</v>
      </c>
      <c r="CQ157" s="511">
        <f t="shared" si="1100"/>
        <v>0</v>
      </c>
      <c r="CR157" s="722">
        <f t="shared" si="1387"/>
        <v>0</v>
      </c>
      <c r="CS157" s="511">
        <f t="shared" ref="CS157:CV157" si="1425">CR157</f>
        <v>0</v>
      </c>
      <c r="CT157" s="511">
        <f t="shared" si="1425"/>
        <v>0</v>
      </c>
      <c r="CU157" s="511">
        <f t="shared" si="1425"/>
        <v>0</v>
      </c>
      <c r="CV157" s="511">
        <f t="shared" si="1425"/>
        <v>0</v>
      </c>
      <c r="CW157" s="511">
        <f t="shared" si="1102"/>
        <v>0</v>
      </c>
      <c r="CX157" s="539">
        <f t="shared" si="1103"/>
        <v>0</v>
      </c>
      <c r="CY157" s="724">
        <f t="shared" si="1196"/>
        <v>0</v>
      </c>
      <c r="CZ157" s="508">
        <f t="shared" si="1197"/>
        <v>18600</v>
      </c>
      <c r="DA157" s="508">
        <f t="shared" si="1198"/>
        <v>0</v>
      </c>
      <c r="DB157" s="508">
        <f t="shared" si="1199"/>
        <v>0</v>
      </c>
      <c r="DC157" s="508">
        <f t="shared" si="1200"/>
        <v>18600</v>
      </c>
      <c r="DD157" s="508">
        <f t="shared" si="1201"/>
        <v>0</v>
      </c>
      <c r="DE157" s="726">
        <f t="shared" si="1202"/>
        <v>0</v>
      </c>
      <c r="DF157" s="724">
        <f t="shared" si="1203"/>
        <v>0</v>
      </c>
      <c r="DG157" s="509">
        <f t="shared" si="1204"/>
        <v>0</v>
      </c>
      <c r="DH157" s="509">
        <f t="shared" si="1205"/>
        <v>0</v>
      </c>
      <c r="DI157" s="509">
        <f t="shared" si="1206"/>
        <v>0</v>
      </c>
      <c r="DJ157" s="509">
        <f t="shared" si="1207"/>
        <v>0</v>
      </c>
      <c r="DK157" s="509">
        <f t="shared" si="1208"/>
        <v>0</v>
      </c>
      <c r="DL157" s="451">
        <f t="shared" si="1209"/>
        <v>0</v>
      </c>
      <c r="DM157" s="509">
        <f t="shared" si="1210"/>
        <v>0</v>
      </c>
      <c r="DN157" s="509">
        <f t="shared" si="1211"/>
        <v>1250</v>
      </c>
      <c r="DO157" s="509">
        <f t="shared" si="1212"/>
        <v>0</v>
      </c>
      <c r="DP157" s="509">
        <f t="shared" si="1213"/>
        <v>0</v>
      </c>
      <c r="DQ157" s="509">
        <f t="shared" si="1214"/>
        <v>1250</v>
      </c>
      <c r="DR157" s="509">
        <f t="shared" si="1215"/>
        <v>0</v>
      </c>
      <c r="DS157" s="450">
        <f t="shared" si="1216"/>
        <v>0</v>
      </c>
      <c r="DT157" s="724">
        <f t="shared" si="1217"/>
        <v>0</v>
      </c>
      <c r="DU157" s="508">
        <f t="shared" si="1218"/>
        <v>0</v>
      </c>
      <c r="DV157" s="508">
        <f t="shared" si="1219"/>
        <v>0</v>
      </c>
      <c r="DW157" s="508">
        <f t="shared" si="1220"/>
        <v>0</v>
      </c>
      <c r="DX157" s="508">
        <f t="shared" si="1221"/>
        <v>0</v>
      </c>
      <c r="DY157" s="508">
        <f t="shared" si="1222"/>
        <v>0</v>
      </c>
      <c r="DZ157" s="726">
        <f t="shared" si="1223"/>
        <v>0</v>
      </c>
      <c r="EA157" s="722">
        <f t="shared" si="1224"/>
        <v>0</v>
      </c>
      <c r="EB157" s="511">
        <f t="shared" si="1225"/>
        <v>0</v>
      </c>
      <c r="EC157" s="511">
        <f t="shared" si="1226"/>
        <v>0</v>
      </c>
      <c r="ED157" s="511">
        <f t="shared" si="1227"/>
        <v>0</v>
      </c>
      <c r="EE157" s="511">
        <f t="shared" si="1228"/>
        <v>0</v>
      </c>
      <c r="EF157" s="511">
        <f t="shared" si="1229"/>
        <v>0</v>
      </c>
      <c r="EG157" s="723">
        <f t="shared" si="1230"/>
        <v>0</v>
      </c>
      <c r="EH157" s="397">
        <f t="shared" si="1231"/>
        <v>0</v>
      </c>
      <c r="EI157" s="397">
        <f t="shared" si="1232"/>
        <v>0</v>
      </c>
      <c r="EJ157" s="397">
        <f t="shared" si="1233"/>
        <v>0</v>
      </c>
      <c r="EK157" s="397">
        <f t="shared" si="1234"/>
        <v>0</v>
      </c>
      <c r="EL157" s="397">
        <f t="shared" si="1235"/>
        <v>0</v>
      </c>
      <c r="EM157" s="397">
        <f t="shared" si="1236"/>
        <v>0</v>
      </c>
      <c r="EN157" s="398">
        <f t="shared" si="1237"/>
        <v>0</v>
      </c>
      <c r="EO157" s="722">
        <f t="shared" si="1238"/>
        <v>0</v>
      </c>
      <c r="EP157" s="511">
        <f t="shared" si="1239"/>
        <v>0</v>
      </c>
      <c r="EQ157" s="511">
        <f t="shared" si="1240"/>
        <v>0</v>
      </c>
      <c r="ER157" s="511">
        <f t="shared" si="1241"/>
        <v>0</v>
      </c>
      <c r="ES157" s="511">
        <f t="shared" si="1242"/>
        <v>0</v>
      </c>
      <c r="ET157" s="511">
        <f t="shared" si="1243"/>
        <v>0</v>
      </c>
      <c r="EU157" s="723">
        <f t="shared" si="1244"/>
        <v>0</v>
      </c>
      <c r="EV157" s="727">
        <f t="shared" si="1245"/>
        <v>0.5</v>
      </c>
      <c r="EW157" s="728">
        <f t="shared" si="1246"/>
        <v>37200</v>
      </c>
      <c r="EX157" s="728">
        <f t="shared" si="1247"/>
        <v>0</v>
      </c>
      <c r="EY157" s="728">
        <f t="shared" si="1248"/>
        <v>2500</v>
      </c>
      <c r="EZ157" s="728">
        <f t="shared" si="1249"/>
        <v>0</v>
      </c>
      <c r="FA157" s="777">
        <f t="shared" si="1250"/>
        <v>0</v>
      </c>
      <c r="FB157" s="777">
        <f t="shared" si="1251"/>
        <v>0</v>
      </c>
      <c r="FC157" s="778">
        <f t="shared" si="1252"/>
        <v>0</v>
      </c>
      <c r="FE157" s="10"/>
      <c r="FF157" s="10"/>
    </row>
    <row r="158" spans="1:162">
      <c r="A158" s="662" t="s">
        <v>265</v>
      </c>
      <c r="B158" s="789" t="s">
        <v>1449</v>
      </c>
      <c r="C158" s="789" t="str">
        <f t="shared" ref="C158:O158" si="1426">C44</f>
        <v>Commercial New Construction LEED 11 to 15 Points - LEED Energy &amp; Atmosphere, Credit 1 Category Optimize Energy Efficiency Performance</v>
      </c>
      <c r="D158" s="789" t="str">
        <f t="shared" si="1426"/>
        <v>Non-LEED Building</v>
      </c>
      <c r="E158" s="789" t="str">
        <f t="shared" si="1426"/>
        <v>Per Project</v>
      </c>
      <c r="F158" s="789" t="str">
        <f t="shared" si="1426"/>
        <v>Per Project</v>
      </c>
      <c r="G158" s="704" t="str">
        <f t="shared" si="1426"/>
        <v>Incremental Cost</v>
      </c>
      <c r="H158" s="704">
        <f t="shared" si="1426"/>
        <v>37200</v>
      </c>
      <c r="I158" s="704">
        <f t="shared" si="1426"/>
        <v>0</v>
      </c>
      <c r="J158" s="704">
        <f t="shared" si="1426"/>
        <v>37200</v>
      </c>
      <c r="K158" s="704">
        <f t="shared" si="1426"/>
        <v>0</v>
      </c>
      <c r="L158" s="704">
        <f t="shared" si="1426"/>
        <v>18600</v>
      </c>
      <c r="M158" s="707" t="str">
        <f t="shared" si="1426"/>
        <v>Assume Direct Costs of LEED Certification ONLY: http://www.josre.org/wp-content/uploads/2012/09/Cost_of_LEED_Analysis_of_Construction_Costs-JOSRE_v3-13.pdf</v>
      </c>
      <c r="N158" s="704">
        <f t="shared" si="1426"/>
        <v>3000</v>
      </c>
      <c r="O158" s="704">
        <f t="shared" si="1426"/>
        <v>3000</v>
      </c>
      <c r="P158" s="704">
        <f t="shared" si="1289"/>
        <v>0</v>
      </c>
      <c r="Q158" s="704">
        <f t="shared" si="1289"/>
        <v>0</v>
      </c>
      <c r="R158" s="1021">
        <f t="shared" si="1347"/>
        <v>0</v>
      </c>
      <c r="S158" s="872">
        <f t="shared" si="1347"/>
        <v>0</v>
      </c>
      <c r="T158" s="1022">
        <f t="shared" si="1412"/>
        <v>0</v>
      </c>
      <c r="U158" s="711" t="str">
        <f t="shared" si="1348"/>
        <v>Assume no additional savings for LEED. Bonus incentive. Estimated savings from LG&amp;E and KU projections and 2016 program data.</v>
      </c>
      <c r="V158" s="716">
        <f t="shared" si="1348"/>
        <v>0</v>
      </c>
      <c r="W158" s="711">
        <f t="shared" si="1348"/>
        <v>1</v>
      </c>
      <c r="X158" s="781">
        <f t="shared" ref="X158:AJ158" si="1427">X44/2</f>
        <v>0</v>
      </c>
      <c r="Y158" s="781">
        <f t="shared" si="1427"/>
        <v>0</v>
      </c>
      <c r="Z158" s="781">
        <f t="shared" si="1427"/>
        <v>0</v>
      </c>
      <c r="AA158" s="781">
        <f t="shared" si="1427"/>
        <v>0</v>
      </c>
      <c r="AB158" s="781">
        <f t="shared" si="1427"/>
        <v>0</v>
      </c>
      <c r="AC158" s="781">
        <f t="shared" si="1427"/>
        <v>0.5</v>
      </c>
      <c r="AD158" s="781">
        <f t="shared" si="1427"/>
        <v>0</v>
      </c>
      <c r="AE158" s="781">
        <f t="shared" si="1427"/>
        <v>0</v>
      </c>
      <c r="AF158" s="781">
        <f t="shared" si="1427"/>
        <v>0.5</v>
      </c>
      <c r="AG158" s="781">
        <f t="shared" si="1427"/>
        <v>0</v>
      </c>
      <c r="AH158" s="781">
        <f t="shared" si="1427"/>
        <v>0</v>
      </c>
      <c r="AI158" s="781">
        <f t="shared" si="1427"/>
        <v>0.5</v>
      </c>
      <c r="AJ158" s="781">
        <f t="shared" si="1427"/>
        <v>0</v>
      </c>
      <c r="AK158" s="711" t="str">
        <f t="shared" ref="AK158:BA158" si="1428">AK44</f>
        <v>Both</v>
      </c>
      <c r="AL158" s="711" t="str">
        <f t="shared" si="1428"/>
        <v>Commercial</v>
      </c>
      <c r="AM158" s="711" t="str">
        <f t="shared" si="1428"/>
        <v>Large Office</v>
      </c>
      <c r="AN158" s="711" t="str">
        <f t="shared" si="1428"/>
        <v>All</v>
      </c>
      <c r="AO158" s="711" t="str">
        <f t="shared" si="1428"/>
        <v>New</v>
      </c>
      <c r="AP158" s="711">
        <f t="shared" si="1428"/>
        <v>0</v>
      </c>
      <c r="AQ158" s="711">
        <f t="shared" si="1428"/>
        <v>0</v>
      </c>
      <c r="AR158" s="711">
        <f t="shared" si="1428"/>
        <v>0</v>
      </c>
      <c r="AS158" s="711" t="str">
        <f t="shared" si="1428"/>
        <v>OFFLGElecTotl</v>
      </c>
      <c r="AT158" s="715" t="s">
        <v>745</v>
      </c>
      <c r="AU158" s="711" t="str">
        <f t="shared" si="1428"/>
        <v>LGE NonRes</v>
      </c>
      <c r="AV158" s="711">
        <f t="shared" si="1428"/>
        <v>15</v>
      </c>
      <c r="AW158" s="711">
        <f t="shared" si="1428"/>
        <v>15</v>
      </c>
      <c r="AX158" s="711" t="str">
        <f t="shared" si="1428"/>
        <v>Custom measure EULs ranges from 10 to 25 years depending on end use (NEEP EUL study by GDS 2007)</v>
      </c>
      <c r="AY158" s="711">
        <f t="shared" si="1428"/>
        <v>1</v>
      </c>
      <c r="AZ158" s="711">
        <f t="shared" si="1428"/>
        <v>1</v>
      </c>
      <c r="BA158" s="1066">
        <f t="shared" si="1428"/>
        <v>0</v>
      </c>
      <c r="BB158" s="721">
        <f t="shared" si="1079"/>
        <v>37200</v>
      </c>
      <c r="BC158" s="499">
        <f t="shared" si="1080"/>
        <v>37200</v>
      </c>
      <c r="BD158" s="499">
        <f t="shared" si="1081"/>
        <v>37200</v>
      </c>
      <c r="BE158" s="499">
        <f t="shared" si="1082"/>
        <v>37200</v>
      </c>
      <c r="BF158" s="499">
        <f t="shared" si="1083"/>
        <v>37200</v>
      </c>
      <c r="BG158" s="499">
        <f t="shared" si="1084"/>
        <v>37200</v>
      </c>
      <c r="BH158" s="499">
        <f t="shared" si="1085"/>
        <v>37200</v>
      </c>
      <c r="BI158" s="721">
        <f t="shared" si="1379"/>
        <v>0</v>
      </c>
      <c r="BJ158" s="499">
        <f t="shared" ref="BJ158:BM158" si="1429">BI158</f>
        <v>0</v>
      </c>
      <c r="BK158" s="499">
        <f t="shared" si="1429"/>
        <v>0</v>
      </c>
      <c r="BL158" s="499">
        <f t="shared" si="1429"/>
        <v>0</v>
      </c>
      <c r="BM158" s="499">
        <f t="shared" si="1429"/>
        <v>0</v>
      </c>
      <c r="BN158" s="499">
        <f t="shared" si="1087"/>
        <v>0</v>
      </c>
      <c r="BO158" s="499">
        <f t="shared" si="1088"/>
        <v>0</v>
      </c>
      <c r="BP158" s="721">
        <f t="shared" si="1381"/>
        <v>3000</v>
      </c>
      <c r="BQ158" s="499">
        <f t="shared" si="1382"/>
        <v>3000</v>
      </c>
      <c r="BR158" s="499">
        <f t="shared" si="1089"/>
        <v>3000</v>
      </c>
      <c r="BS158" s="499">
        <f t="shared" si="1090"/>
        <v>3000</v>
      </c>
      <c r="BT158" s="499">
        <f t="shared" si="1091"/>
        <v>3000</v>
      </c>
      <c r="BU158" s="499">
        <f t="shared" si="1092"/>
        <v>3000</v>
      </c>
      <c r="BV158" s="499">
        <f t="shared" si="1093"/>
        <v>3000</v>
      </c>
      <c r="BW158" s="774">
        <f t="shared" si="1393"/>
        <v>0</v>
      </c>
      <c r="BX158" s="503">
        <f t="shared" si="1393"/>
        <v>0</v>
      </c>
      <c r="BY158" s="503">
        <f t="shared" si="1393"/>
        <v>0</v>
      </c>
      <c r="BZ158" s="503">
        <f t="shared" si="1393"/>
        <v>0</v>
      </c>
      <c r="CA158" s="503">
        <f t="shared" si="1393"/>
        <v>0</v>
      </c>
      <c r="CB158" s="503">
        <f t="shared" si="1393"/>
        <v>0</v>
      </c>
      <c r="CC158" s="503">
        <f t="shared" si="1393"/>
        <v>0</v>
      </c>
      <c r="CD158" s="722">
        <f t="shared" si="1383"/>
        <v>0</v>
      </c>
      <c r="CE158" s="511">
        <f t="shared" ref="CE158:CH158" si="1430">CD158</f>
        <v>0</v>
      </c>
      <c r="CF158" s="511">
        <f t="shared" si="1430"/>
        <v>0</v>
      </c>
      <c r="CG158" s="511">
        <f t="shared" si="1430"/>
        <v>0</v>
      </c>
      <c r="CH158" s="511">
        <f t="shared" si="1430"/>
        <v>0</v>
      </c>
      <c r="CI158" s="511">
        <f t="shared" si="1096"/>
        <v>0</v>
      </c>
      <c r="CJ158" s="511">
        <f t="shared" si="1097"/>
        <v>0</v>
      </c>
      <c r="CK158" s="722">
        <f t="shared" si="1385"/>
        <v>0</v>
      </c>
      <c r="CL158" s="511">
        <f t="shared" ref="CL158:CO158" si="1431">CK158</f>
        <v>0</v>
      </c>
      <c r="CM158" s="511">
        <f t="shared" si="1431"/>
        <v>0</v>
      </c>
      <c r="CN158" s="511">
        <f t="shared" si="1431"/>
        <v>0</v>
      </c>
      <c r="CO158" s="511">
        <f t="shared" si="1431"/>
        <v>0</v>
      </c>
      <c r="CP158" s="511">
        <f t="shared" si="1099"/>
        <v>0</v>
      </c>
      <c r="CQ158" s="511">
        <f t="shared" si="1100"/>
        <v>0</v>
      </c>
      <c r="CR158" s="722">
        <f t="shared" si="1387"/>
        <v>0</v>
      </c>
      <c r="CS158" s="511">
        <f t="shared" ref="CS158:CV158" si="1432">CR158</f>
        <v>0</v>
      </c>
      <c r="CT158" s="511">
        <f t="shared" si="1432"/>
        <v>0</v>
      </c>
      <c r="CU158" s="511">
        <f t="shared" si="1432"/>
        <v>0</v>
      </c>
      <c r="CV158" s="511">
        <f t="shared" si="1432"/>
        <v>0</v>
      </c>
      <c r="CW158" s="511">
        <f t="shared" si="1102"/>
        <v>0</v>
      </c>
      <c r="CX158" s="539">
        <f t="shared" si="1103"/>
        <v>0</v>
      </c>
      <c r="CY158" s="724">
        <f t="shared" si="1196"/>
        <v>0</v>
      </c>
      <c r="CZ158" s="508">
        <f t="shared" si="1197"/>
        <v>0</v>
      </c>
      <c r="DA158" s="508">
        <f t="shared" si="1198"/>
        <v>18600</v>
      </c>
      <c r="DB158" s="508">
        <f t="shared" si="1199"/>
        <v>0</v>
      </c>
      <c r="DC158" s="508">
        <f t="shared" si="1200"/>
        <v>0</v>
      </c>
      <c r="DD158" s="508">
        <f t="shared" si="1201"/>
        <v>18600</v>
      </c>
      <c r="DE158" s="726">
        <f t="shared" si="1202"/>
        <v>0</v>
      </c>
      <c r="DF158" s="724">
        <f t="shared" si="1203"/>
        <v>0</v>
      </c>
      <c r="DG158" s="509">
        <f t="shared" si="1204"/>
        <v>0</v>
      </c>
      <c r="DH158" s="509">
        <f t="shared" si="1205"/>
        <v>0</v>
      </c>
      <c r="DI158" s="509">
        <f t="shared" si="1206"/>
        <v>0</v>
      </c>
      <c r="DJ158" s="509">
        <f t="shared" si="1207"/>
        <v>0</v>
      </c>
      <c r="DK158" s="509">
        <f t="shared" si="1208"/>
        <v>0</v>
      </c>
      <c r="DL158" s="451">
        <f t="shared" si="1209"/>
        <v>0</v>
      </c>
      <c r="DM158" s="509">
        <f t="shared" si="1210"/>
        <v>0</v>
      </c>
      <c r="DN158" s="509">
        <f t="shared" si="1211"/>
        <v>0</v>
      </c>
      <c r="DO158" s="509">
        <f t="shared" si="1212"/>
        <v>1500</v>
      </c>
      <c r="DP158" s="509">
        <f t="shared" si="1213"/>
        <v>0</v>
      </c>
      <c r="DQ158" s="509">
        <f t="shared" si="1214"/>
        <v>0</v>
      </c>
      <c r="DR158" s="509">
        <f t="shared" si="1215"/>
        <v>1500</v>
      </c>
      <c r="DS158" s="450">
        <f t="shared" si="1216"/>
        <v>0</v>
      </c>
      <c r="DT158" s="724">
        <f t="shared" si="1217"/>
        <v>0</v>
      </c>
      <c r="DU158" s="508">
        <f t="shared" si="1218"/>
        <v>0</v>
      </c>
      <c r="DV158" s="508">
        <f t="shared" si="1219"/>
        <v>0</v>
      </c>
      <c r="DW158" s="508">
        <f t="shared" si="1220"/>
        <v>0</v>
      </c>
      <c r="DX158" s="508">
        <f t="shared" si="1221"/>
        <v>0</v>
      </c>
      <c r="DY158" s="508">
        <f t="shared" si="1222"/>
        <v>0</v>
      </c>
      <c r="DZ158" s="726">
        <f t="shared" si="1223"/>
        <v>0</v>
      </c>
      <c r="EA158" s="722">
        <f t="shared" si="1224"/>
        <v>0</v>
      </c>
      <c r="EB158" s="511">
        <f t="shared" si="1225"/>
        <v>0</v>
      </c>
      <c r="EC158" s="511">
        <f t="shared" si="1226"/>
        <v>0</v>
      </c>
      <c r="ED158" s="511">
        <f t="shared" si="1227"/>
        <v>0</v>
      </c>
      <c r="EE158" s="511">
        <f t="shared" si="1228"/>
        <v>0</v>
      </c>
      <c r="EF158" s="511">
        <f t="shared" si="1229"/>
        <v>0</v>
      </c>
      <c r="EG158" s="723">
        <f t="shared" si="1230"/>
        <v>0</v>
      </c>
      <c r="EH158" s="397">
        <f t="shared" si="1231"/>
        <v>0</v>
      </c>
      <c r="EI158" s="397">
        <f t="shared" si="1232"/>
        <v>0</v>
      </c>
      <c r="EJ158" s="397">
        <f t="shared" si="1233"/>
        <v>0</v>
      </c>
      <c r="EK158" s="397">
        <f t="shared" si="1234"/>
        <v>0</v>
      </c>
      <c r="EL158" s="397">
        <f t="shared" si="1235"/>
        <v>0</v>
      </c>
      <c r="EM158" s="397">
        <f t="shared" si="1236"/>
        <v>0</v>
      </c>
      <c r="EN158" s="398">
        <f t="shared" si="1237"/>
        <v>0</v>
      </c>
      <c r="EO158" s="722">
        <f t="shared" si="1238"/>
        <v>0</v>
      </c>
      <c r="EP158" s="511">
        <f t="shared" si="1239"/>
        <v>0</v>
      </c>
      <c r="EQ158" s="511">
        <f t="shared" si="1240"/>
        <v>0</v>
      </c>
      <c r="ER158" s="511">
        <f t="shared" si="1241"/>
        <v>0</v>
      </c>
      <c r="ES158" s="511">
        <f t="shared" si="1242"/>
        <v>0</v>
      </c>
      <c r="ET158" s="511">
        <f t="shared" si="1243"/>
        <v>0</v>
      </c>
      <c r="EU158" s="723">
        <f t="shared" si="1244"/>
        <v>0</v>
      </c>
      <c r="EV158" s="727">
        <f t="shared" si="1245"/>
        <v>0.5</v>
      </c>
      <c r="EW158" s="728">
        <f t="shared" si="1246"/>
        <v>37200</v>
      </c>
      <c r="EX158" s="728">
        <f t="shared" si="1247"/>
        <v>0</v>
      </c>
      <c r="EY158" s="728">
        <f t="shared" si="1248"/>
        <v>3000</v>
      </c>
      <c r="EZ158" s="728">
        <f t="shared" si="1249"/>
        <v>0</v>
      </c>
      <c r="FA158" s="777">
        <f t="shared" si="1250"/>
        <v>0</v>
      </c>
      <c r="FB158" s="777">
        <f t="shared" si="1251"/>
        <v>0</v>
      </c>
      <c r="FC158" s="778">
        <f t="shared" si="1252"/>
        <v>0</v>
      </c>
      <c r="FE158" s="10"/>
      <c r="FF158" s="10"/>
    </row>
    <row r="159" spans="1:162">
      <c r="A159" s="662" t="s">
        <v>266</v>
      </c>
      <c r="B159" s="789" t="s">
        <v>1450</v>
      </c>
      <c r="C159" s="789" t="str">
        <f t="shared" ref="C159:O159" si="1433">C45</f>
        <v>Commercial New Construction LEED 16+ Points - LEED Energy &amp; Atmosphere, Credit 1 Category Optimize Energy Efficiency Performance</v>
      </c>
      <c r="D159" s="789" t="str">
        <f t="shared" si="1433"/>
        <v>Non-LEED Building</v>
      </c>
      <c r="E159" s="789" t="str">
        <f t="shared" si="1433"/>
        <v>Per Project</v>
      </c>
      <c r="F159" s="789" t="str">
        <f t="shared" si="1433"/>
        <v>Per Project</v>
      </c>
      <c r="G159" s="704" t="str">
        <f t="shared" si="1433"/>
        <v>Incremental Cost</v>
      </c>
      <c r="H159" s="704">
        <f t="shared" si="1433"/>
        <v>37200</v>
      </c>
      <c r="I159" s="704">
        <f t="shared" si="1433"/>
        <v>0</v>
      </c>
      <c r="J159" s="704">
        <f t="shared" si="1433"/>
        <v>37200</v>
      </c>
      <c r="K159" s="704">
        <f t="shared" si="1433"/>
        <v>0</v>
      </c>
      <c r="L159" s="704">
        <f t="shared" si="1433"/>
        <v>18600</v>
      </c>
      <c r="M159" s="707" t="str">
        <f t="shared" si="1433"/>
        <v>Assume Direct Costs of LEED Certification ONLY: http://www.josre.org/wp-content/uploads/2012/09/Cost_of_LEED_Analysis_of_Construction_Costs-JOSRE_v3-13.pdf</v>
      </c>
      <c r="N159" s="704">
        <f t="shared" si="1433"/>
        <v>3500</v>
      </c>
      <c r="O159" s="704">
        <f t="shared" si="1433"/>
        <v>3500</v>
      </c>
      <c r="P159" s="704">
        <f t="shared" si="1289"/>
        <v>0</v>
      </c>
      <c r="Q159" s="704">
        <f t="shared" si="1289"/>
        <v>0</v>
      </c>
      <c r="R159" s="1021">
        <f t="shared" si="1347"/>
        <v>0</v>
      </c>
      <c r="S159" s="872">
        <f t="shared" si="1347"/>
        <v>0</v>
      </c>
      <c r="T159" s="1022">
        <f t="shared" si="1412"/>
        <v>0</v>
      </c>
      <c r="U159" s="711" t="str">
        <f t="shared" si="1348"/>
        <v>Assume no additional savings for LEED. Bonus incentive. Estimated savings from LG&amp;E and KU projections and 2016 program data.</v>
      </c>
      <c r="V159" s="716">
        <f t="shared" si="1348"/>
        <v>0</v>
      </c>
      <c r="W159" s="711">
        <f t="shared" si="1348"/>
        <v>1</v>
      </c>
      <c r="X159" s="781">
        <f t="shared" ref="X159:AJ159" si="1434">X45/2</f>
        <v>0.5</v>
      </c>
      <c r="Y159" s="781">
        <f t="shared" si="1434"/>
        <v>0</v>
      </c>
      <c r="Z159" s="781">
        <f t="shared" si="1434"/>
        <v>0</v>
      </c>
      <c r="AA159" s="781">
        <f t="shared" si="1434"/>
        <v>0</v>
      </c>
      <c r="AB159" s="781">
        <f t="shared" si="1434"/>
        <v>0</v>
      </c>
      <c r="AC159" s="781">
        <f t="shared" si="1434"/>
        <v>0</v>
      </c>
      <c r="AD159" s="781">
        <f t="shared" si="1434"/>
        <v>0.5</v>
      </c>
      <c r="AE159" s="781">
        <f t="shared" si="1434"/>
        <v>0</v>
      </c>
      <c r="AF159" s="781">
        <f t="shared" si="1434"/>
        <v>0</v>
      </c>
      <c r="AG159" s="781">
        <f t="shared" si="1434"/>
        <v>0.5</v>
      </c>
      <c r="AH159" s="781">
        <f t="shared" si="1434"/>
        <v>0</v>
      </c>
      <c r="AI159" s="781">
        <f t="shared" si="1434"/>
        <v>0</v>
      </c>
      <c r="AJ159" s="781">
        <f t="shared" si="1434"/>
        <v>0.5</v>
      </c>
      <c r="AK159" s="711" t="str">
        <f t="shared" ref="AK159:BA159" si="1435">AK45</f>
        <v>Both</v>
      </c>
      <c r="AL159" s="711" t="str">
        <f t="shared" si="1435"/>
        <v>Commercial</v>
      </c>
      <c r="AM159" s="711" t="str">
        <f t="shared" si="1435"/>
        <v>Large Office</v>
      </c>
      <c r="AN159" s="711" t="str">
        <f t="shared" si="1435"/>
        <v>All</v>
      </c>
      <c r="AO159" s="711" t="str">
        <f t="shared" si="1435"/>
        <v>New</v>
      </c>
      <c r="AP159" s="711">
        <f t="shared" si="1435"/>
        <v>0</v>
      </c>
      <c r="AQ159" s="711">
        <f t="shared" si="1435"/>
        <v>0</v>
      </c>
      <c r="AR159" s="711">
        <f t="shared" si="1435"/>
        <v>0</v>
      </c>
      <c r="AS159" s="711" t="str">
        <f t="shared" si="1435"/>
        <v>OFFLGElecTotl</v>
      </c>
      <c r="AT159" s="715" t="s">
        <v>745</v>
      </c>
      <c r="AU159" s="711" t="str">
        <f t="shared" si="1435"/>
        <v>LGE NonRes</v>
      </c>
      <c r="AV159" s="711">
        <f t="shared" si="1435"/>
        <v>15</v>
      </c>
      <c r="AW159" s="711">
        <f t="shared" si="1435"/>
        <v>15</v>
      </c>
      <c r="AX159" s="711" t="str">
        <f t="shared" si="1435"/>
        <v>Custom measure EULs ranges from 10 to 25 years depending on end use (NEEP EUL study by GDS 2007)</v>
      </c>
      <c r="AY159" s="711">
        <f t="shared" si="1435"/>
        <v>1</v>
      </c>
      <c r="AZ159" s="711">
        <f t="shared" si="1435"/>
        <v>1</v>
      </c>
      <c r="BA159" s="1066">
        <f t="shared" si="1435"/>
        <v>0</v>
      </c>
      <c r="BB159" s="721">
        <f t="shared" si="1079"/>
        <v>37200</v>
      </c>
      <c r="BC159" s="499">
        <f t="shared" si="1080"/>
        <v>37200</v>
      </c>
      <c r="BD159" s="499">
        <f t="shared" si="1081"/>
        <v>37200</v>
      </c>
      <c r="BE159" s="499">
        <f t="shared" si="1082"/>
        <v>37200</v>
      </c>
      <c r="BF159" s="499">
        <f t="shared" si="1083"/>
        <v>37200</v>
      </c>
      <c r="BG159" s="499">
        <f t="shared" si="1084"/>
        <v>37200</v>
      </c>
      <c r="BH159" s="499">
        <f t="shared" si="1085"/>
        <v>37200</v>
      </c>
      <c r="BI159" s="721">
        <f t="shared" si="1379"/>
        <v>0</v>
      </c>
      <c r="BJ159" s="499">
        <f t="shared" ref="BJ159:BM159" si="1436">BI159</f>
        <v>0</v>
      </c>
      <c r="BK159" s="499">
        <f t="shared" si="1436"/>
        <v>0</v>
      </c>
      <c r="BL159" s="499">
        <f t="shared" si="1436"/>
        <v>0</v>
      </c>
      <c r="BM159" s="499">
        <f t="shared" si="1436"/>
        <v>0</v>
      </c>
      <c r="BN159" s="499">
        <f t="shared" si="1087"/>
        <v>0</v>
      </c>
      <c r="BO159" s="499">
        <f t="shared" si="1088"/>
        <v>0</v>
      </c>
      <c r="BP159" s="721">
        <f t="shared" si="1381"/>
        <v>3500</v>
      </c>
      <c r="BQ159" s="499">
        <f t="shared" si="1382"/>
        <v>3500</v>
      </c>
      <c r="BR159" s="499">
        <f t="shared" si="1089"/>
        <v>3500</v>
      </c>
      <c r="BS159" s="499">
        <f t="shared" si="1090"/>
        <v>3500</v>
      </c>
      <c r="BT159" s="499">
        <f t="shared" si="1091"/>
        <v>3500</v>
      </c>
      <c r="BU159" s="499">
        <f t="shared" si="1092"/>
        <v>3500</v>
      </c>
      <c r="BV159" s="499">
        <f t="shared" si="1093"/>
        <v>3500</v>
      </c>
      <c r="BW159" s="774">
        <f t="shared" si="1393"/>
        <v>0</v>
      </c>
      <c r="BX159" s="503">
        <f t="shared" si="1393"/>
        <v>0</v>
      </c>
      <c r="BY159" s="503">
        <f t="shared" si="1393"/>
        <v>0</v>
      </c>
      <c r="BZ159" s="503">
        <f t="shared" si="1393"/>
        <v>0</v>
      </c>
      <c r="CA159" s="503">
        <f t="shared" si="1393"/>
        <v>0</v>
      </c>
      <c r="CB159" s="503">
        <f t="shared" si="1393"/>
        <v>0</v>
      </c>
      <c r="CC159" s="503">
        <f t="shared" si="1393"/>
        <v>0</v>
      </c>
      <c r="CD159" s="722">
        <f t="shared" si="1383"/>
        <v>0</v>
      </c>
      <c r="CE159" s="511">
        <f t="shared" ref="CE159:CH159" si="1437">CD159</f>
        <v>0</v>
      </c>
      <c r="CF159" s="511">
        <f t="shared" si="1437"/>
        <v>0</v>
      </c>
      <c r="CG159" s="511">
        <f t="shared" si="1437"/>
        <v>0</v>
      </c>
      <c r="CH159" s="511">
        <f t="shared" si="1437"/>
        <v>0</v>
      </c>
      <c r="CI159" s="511">
        <f t="shared" si="1096"/>
        <v>0</v>
      </c>
      <c r="CJ159" s="511">
        <f t="shared" si="1097"/>
        <v>0</v>
      </c>
      <c r="CK159" s="722">
        <f t="shared" si="1385"/>
        <v>0</v>
      </c>
      <c r="CL159" s="511">
        <f t="shared" ref="CL159:CO159" si="1438">CK159</f>
        <v>0</v>
      </c>
      <c r="CM159" s="511">
        <f t="shared" si="1438"/>
        <v>0</v>
      </c>
      <c r="CN159" s="511">
        <f t="shared" si="1438"/>
        <v>0</v>
      </c>
      <c r="CO159" s="511">
        <f t="shared" si="1438"/>
        <v>0</v>
      </c>
      <c r="CP159" s="511">
        <f t="shared" si="1099"/>
        <v>0</v>
      </c>
      <c r="CQ159" s="511">
        <f t="shared" si="1100"/>
        <v>0</v>
      </c>
      <c r="CR159" s="722">
        <f t="shared" si="1387"/>
        <v>0</v>
      </c>
      <c r="CS159" s="511">
        <f t="shared" ref="CS159:CV159" si="1439">CR159</f>
        <v>0</v>
      </c>
      <c r="CT159" s="511">
        <f t="shared" si="1439"/>
        <v>0</v>
      </c>
      <c r="CU159" s="511">
        <f t="shared" si="1439"/>
        <v>0</v>
      </c>
      <c r="CV159" s="511">
        <f t="shared" si="1439"/>
        <v>0</v>
      </c>
      <c r="CW159" s="511">
        <f t="shared" si="1102"/>
        <v>0</v>
      </c>
      <c r="CX159" s="539">
        <f t="shared" si="1103"/>
        <v>0</v>
      </c>
      <c r="CY159" s="724">
        <f t="shared" si="1196"/>
        <v>18600</v>
      </c>
      <c r="CZ159" s="508">
        <f t="shared" si="1197"/>
        <v>0</v>
      </c>
      <c r="DA159" s="508">
        <f t="shared" si="1198"/>
        <v>0</v>
      </c>
      <c r="DB159" s="508">
        <f t="shared" si="1199"/>
        <v>18600</v>
      </c>
      <c r="DC159" s="508">
        <f t="shared" si="1200"/>
        <v>0</v>
      </c>
      <c r="DD159" s="508">
        <f t="shared" si="1201"/>
        <v>0</v>
      </c>
      <c r="DE159" s="726">
        <f t="shared" si="1202"/>
        <v>18600</v>
      </c>
      <c r="DF159" s="724">
        <f t="shared" si="1203"/>
        <v>0</v>
      </c>
      <c r="DG159" s="509">
        <f t="shared" si="1204"/>
        <v>0</v>
      </c>
      <c r="DH159" s="509">
        <f t="shared" si="1205"/>
        <v>0</v>
      </c>
      <c r="DI159" s="509">
        <f t="shared" si="1206"/>
        <v>0</v>
      </c>
      <c r="DJ159" s="509">
        <f t="shared" si="1207"/>
        <v>0</v>
      </c>
      <c r="DK159" s="509">
        <f t="shared" si="1208"/>
        <v>0</v>
      </c>
      <c r="DL159" s="451">
        <f t="shared" si="1209"/>
        <v>0</v>
      </c>
      <c r="DM159" s="509">
        <f t="shared" si="1210"/>
        <v>1750</v>
      </c>
      <c r="DN159" s="509">
        <f t="shared" si="1211"/>
        <v>0</v>
      </c>
      <c r="DO159" s="509">
        <f t="shared" si="1212"/>
        <v>0</v>
      </c>
      <c r="DP159" s="509">
        <f t="shared" si="1213"/>
        <v>1750</v>
      </c>
      <c r="DQ159" s="509">
        <f t="shared" si="1214"/>
        <v>0</v>
      </c>
      <c r="DR159" s="509">
        <f t="shared" si="1215"/>
        <v>0</v>
      </c>
      <c r="DS159" s="450">
        <f t="shared" si="1216"/>
        <v>1750</v>
      </c>
      <c r="DT159" s="724">
        <f t="shared" si="1217"/>
        <v>0</v>
      </c>
      <c r="DU159" s="508">
        <f t="shared" si="1218"/>
        <v>0</v>
      </c>
      <c r="DV159" s="508">
        <f t="shared" si="1219"/>
        <v>0</v>
      </c>
      <c r="DW159" s="508">
        <f t="shared" si="1220"/>
        <v>0</v>
      </c>
      <c r="DX159" s="508">
        <f t="shared" si="1221"/>
        <v>0</v>
      </c>
      <c r="DY159" s="508">
        <f t="shared" si="1222"/>
        <v>0</v>
      </c>
      <c r="DZ159" s="726">
        <f t="shared" si="1223"/>
        <v>0</v>
      </c>
      <c r="EA159" s="722">
        <f t="shared" si="1224"/>
        <v>0</v>
      </c>
      <c r="EB159" s="511">
        <f t="shared" si="1225"/>
        <v>0</v>
      </c>
      <c r="EC159" s="511">
        <f t="shared" si="1226"/>
        <v>0</v>
      </c>
      <c r="ED159" s="511">
        <f t="shared" si="1227"/>
        <v>0</v>
      </c>
      <c r="EE159" s="511">
        <f t="shared" si="1228"/>
        <v>0</v>
      </c>
      <c r="EF159" s="511">
        <f t="shared" si="1229"/>
        <v>0</v>
      </c>
      <c r="EG159" s="723">
        <f t="shared" si="1230"/>
        <v>0</v>
      </c>
      <c r="EH159" s="397">
        <f t="shared" si="1231"/>
        <v>0</v>
      </c>
      <c r="EI159" s="397">
        <f t="shared" si="1232"/>
        <v>0</v>
      </c>
      <c r="EJ159" s="397">
        <f t="shared" si="1233"/>
        <v>0</v>
      </c>
      <c r="EK159" s="397">
        <f t="shared" si="1234"/>
        <v>0</v>
      </c>
      <c r="EL159" s="397">
        <f t="shared" si="1235"/>
        <v>0</v>
      </c>
      <c r="EM159" s="397">
        <f t="shared" si="1236"/>
        <v>0</v>
      </c>
      <c r="EN159" s="398">
        <f t="shared" si="1237"/>
        <v>0</v>
      </c>
      <c r="EO159" s="722">
        <f t="shared" si="1238"/>
        <v>0</v>
      </c>
      <c r="EP159" s="511">
        <f t="shared" si="1239"/>
        <v>0</v>
      </c>
      <c r="EQ159" s="511">
        <f t="shared" si="1240"/>
        <v>0</v>
      </c>
      <c r="ER159" s="511">
        <f t="shared" si="1241"/>
        <v>0</v>
      </c>
      <c r="ES159" s="511">
        <f t="shared" si="1242"/>
        <v>0</v>
      </c>
      <c r="ET159" s="511">
        <f t="shared" si="1243"/>
        <v>0</v>
      </c>
      <c r="EU159" s="723">
        <f t="shared" si="1244"/>
        <v>0</v>
      </c>
      <c r="EV159" s="727">
        <f t="shared" si="1245"/>
        <v>0.5</v>
      </c>
      <c r="EW159" s="728">
        <f t="shared" si="1246"/>
        <v>55800</v>
      </c>
      <c r="EX159" s="728">
        <f t="shared" si="1247"/>
        <v>0</v>
      </c>
      <c r="EY159" s="728">
        <f t="shared" si="1248"/>
        <v>5250</v>
      </c>
      <c r="EZ159" s="728">
        <f t="shared" si="1249"/>
        <v>0</v>
      </c>
      <c r="FA159" s="777">
        <f t="shared" si="1250"/>
        <v>0</v>
      </c>
      <c r="FB159" s="777">
        <f t="shared" si="1251"/>
        <v>0</v>
      </c>
      <c r="FC159" s="778">
        <f t="shared" si="1252"/>
        <v>0</v>
      </c>
      <c r="FE159" s="10"/>
      <c r="FF159" s="10"/>
    </row>
    <row r="160" spans="1:162">
      <c r="A160" s="662" t="s">
        <v>267</v>
      </c>
      <c r="B160" s="789" t="s">
        <v>1451</v>
      </c>
      <c r="C160" s="789" t="str">
        <f t="shared" ref="C160:O160" si="1440">C46</f>
        <v>Commercial New Construction LEED 1 to 5 Points - LEED Energy &amp; Atmosphere, Credit 1 Category Optimize Energy Efficiency Performance</v>
      </c>
      <c r="D160" s="789" t="str">
        <f t="shared" si="1440"/>
        <v>Non-LEED Building</v>
      </c>
      <c r="E160" s="789" t="str">
        <f t="shared" si="1440"/>
        <v>Per Project</v>
      </c>
      <c r="F160" s="789" t="str">
        <f t="shared" si="1440"/>
        <v>Per Project</v>
      </c>
      <c r="G160" s="704" t="str">
        <f t="shared" si="1440"/>
        <v>Incremental Cost</v>
      </c>
      <c r="H160" s="704">
        <f t="shared" si="1440"/>
        <v>37200</v>
      </c>
      <c r="I160" s="704">
        <f t="shared" si="1440"/>
        <v>0</v>
      </c>
      <c r="J160" s="704">
        <f t="shared" si="1440"/>
        <v>37200</v>
      </c>
      <c r="K160" s="704">
        <f t="shared" si="1440"/>
        <v>0</v>
      </c>
      <c r="L160" s="704">
        <f t="shared" si="1440"/>
        <v>18600</v>
      </c>
      <c r="M160" s="707" t="str">
        <f t="shared" si="1440"/>
        <v>Assume Direct Costs of LEED Certification ONLY: http://www.josre.org/wp-content/uploads/2012/09/Cost_of_LEED_Analysis_of_Construction_Costs-JOSRE_v3-13.pdf</v>
      </c>
      <c r="N160" s="704">
        <f t="shared" si="1440"/>
        <v>4000</v>
      </c>
      <c r="O160" s="704">
        <f t="shared" si="1440"/>
        <v>4000</v>
      </c>
      <c r="P160" s="704">
        <f t="shared" ref="P160:Q175" si="1441">P103</f>
        <v>0</v>
      </c>
      <c r="Q160" s="704">
        <f t="shared" si="1441"/>
        <v>0</v>
      </c>
      <c r="R160" s="1021">
        <f t="shared" si="1347"/>
        <v>0</v>
      </c>
      <c r="S160" s="872">
        <f t="shared" si="1347"/>
        <v>0</v>
      </c>
      <c r="T160" s="1022">
        <f t="shared" si="1412"/>
        <v>0</v>
      </c>
      <c r="U160" s="711" t="str">
        <f t="shared" si="1348"/>
        <v>Assume no additional savings for LEED. Bonus incentive. Estimated savings from LG&amp;E and KU projections and 2016 program data.</v>
      </c>
      <c r="V160" s="716">
        <f t="shared" si="1348"/>
        <v>0</v>
      </c>
      <c r="W160" s="711">
        <f t="shared" si="1348"/>
        <v>1</v>
      </c>
      <c r="X160" s="781">
        <f t="shared" ref="X160:AJ160" si="1442">X46/2</f>
        <v>0</v>
      </c>
      <c r="Y160" s="781">
        <f t="shared" si="1442"/>
        <v>0</v>
      </c>
      <c r="Z160" s="781">
        <f t="shared" si="1442"/>
        <v>0</v>
      </c>
      <c r="AA160" s="781">
        <f t="shared" si="1442"/>
        <v>0</v>
      </c>
      <c r="AB160" s="781">
        <f t="shared" si="1442"/>
        <v>0</v>
      </c>
      <c r="AC160" s="781">
        <f t="shared" si="1442"/>
        <v>0</v>
      </c>
      <c r="AD160" s="781">
        <f t="shared" si="1442"/>
        <v>0</v>
      </c>
      <c r="AE160" s="781">
        <f t="shared" si="1442"/>
        <v>0.5</v>
      </c>
      <c r="AF160" s="781">
        <f t="shared" si="1442"/>
        <v>0</v>
      </c>
      <c r="AG160" s="781">
        <f t="shared" si="1442"/>
        <v>0</v>
      </c>
      <c r="AH160" s="781">
        <f t="shared" si="1442"/>
        <v>0.5</v>
      </c>
      <c r="AI160" s="781">
        <f t="shared" si="1442"/>
        <v>0</v>
      </c>
      <c r="AJ160" s="781">
        <f t="shared" si="1442"/>
        <v>0</v>
      </c>
      <c r="AK160" s="711" t="str">
        <f t="shared" ref="AK160:BA160" si="1443">AK46</f>
        <v>Both</v>
      </c>
      <c r="AL160" s="711" t="str">
        <f t="shared" si="1443"/>
        <v>Commercial</v>
      </c>
      <c r="AM160" s="711" t="str">
        <f t="shared" si="1443"/>
        <v>Large Office</v>
      </c>
      <c r="AN160" s="711" t="str">
        <f t="shared" si="1443"/>
        <v>All</v>
      </c>
      <c r="AO160" s="711" t="str">
        <f t="shared" si="1443"/>
        <v>New</v>
      </c>
      <c r="AP160" s="711">
        <f t="shared" si="1443"/>
        <v>0</v>
      </c>
      <c r="AQ160" s="711">
        <f t="shared" si="1443"/>
        <v>0</v>
      </c>
      <c r="AR160" s="711">
        <f t="shared" si="1443"/>
        <v>0</v>
      </c>
      <c r="AS160" s="711" t="str">
        <f t="shared" si="1443"/>
        <v>OFFLGElecTotl</v>
      </c>
      <c r="AT160" s="715" t="s">
        <v>745</v>
      </c>
      <c r="AU160" s="711" t="str">
        <f t="shared" si="1443"/>
        <v>LGE NonRes</v>
      </c>
      <c r="AV160" s="711">
        <f t="shared" si="1443"/>
        <v>15</v>
      </c>
      <c r="AW160" s="711">
        <f t="shared" si="1443"/>
        <v>15</v>
      </c>
      <c r="AX160" s="711" t="str">
        <f t="shared" si="1443"/>
        <v>Custom measure EULs ranges from 10 to 25 years depending on end use (NEEP EUL study by GDS 2007)</v>
      </c>
      <c r="AY160" s="711">
        <f t="shared" si="1443"/>
        <v>1</v>
      </c>
      <c r="AZ160" s="711">
        <f t="shared" si="1443"/>
        <v>1</v>
      </c>
      <c r="BA160" s="1066">
        <f t="shared" si="1443"/>
        <v>0</v>
      </c>
      <c r="BB160" s="721">
        <f t="shared" si="1079"/>
        <v>37200</v>
      </c>
      <c r="BC160" s="499">
        <f t="shared" si="1080"/>
        <v>37200</v>
      </c>
      <c r="BD160" s="499">
        <f t="shared" si="1081"/>
        <v>37200</v>
      </c>
      <c r="BE160" s="499">
        <f t="shared" si="1082"/>
        <v>37200</v>
      </c>
      <c r="BF160" s="499">
        <f t="shared" si="1083"/>
        <v>37200</v>
      </c>
      <c r="BG160" s="499">
        <f t="shared" si="1084"/>
        <v>37200</v>
      </c>
      <c r="BH160" s="499">
        <f t="shared" si="1085"/>
        <v>37200</v>
      </c>
      <c r="BI160" s="721">
        <f t="shared" si="1379"/>
        <v>0</v>
      </c>
      <c r="BJ160" s="499">
        <f t="shared" ref="BJ160:BM160" si="1444">BI160</f>
        <v>0</v>
      </c>
      <c r="BK160" s="499">
        <f t="shared" si="1444"/>
        <v>0</v>
      </c>
      <c r="BL160" s="499">
        <f t="shared" si="1444"/>
        <v>0</v>
      </c>
      <c r="BM160" s="499">
        <f t="shared" si="1444"/>
        <v>0</v>
      </c>
      <c r="BN160" s="499">
        <f t="shared" si="1087"/>
        <v>0</v>
      </c>
      <c r="BO160" s="499">
        <f t="shared" si="1088"/>
        <v>0</v>
      </c>
      <c r="BP160" s="721">
        <f t="shared" si="1381"/>
        <v>4000</v>
      </c>
      <c r="BQ160" s="499">
        <f t="shared" si="1382"/>
        <v>4000</v>
      </c>
      <c r="BR160" s="499">
        <f t="shared" si="1089"/>
        <v>4000</v>
      </c>
      <c r="BS160" s="499">
        <f t="shared" si="1090"/>
        <v>4000</v>
      </c>
      <c r="BT160" s="499">
        <f t="shared" si="1091"/>
        <v>4000</v>
      </c>
      <c r="BU160" s="499">
        <f t="shared" si="1092"/>
        <v>4000</v>
      </c>
      <c r="BV160" s="499">
        <f t="shared" si="1093"/>
        <v>4000</v>
      </c>
      <c r="BW160" s="774">
        <f t="shared" si="1393"/>
        <v>0</v>
      </c>
      <c r="BX160" s="503">
        <f t="shared" si="1393"/>
        <v>0</v>
      </c>
      <c r="BY160" s="503">
        <f t="shared" si="1393"/>
        <v>0</v>
      </c>
      <c r="BZ160" s="503">
        <f t="shared" si="1393"/>
        <v>0</v>
      </c>
      <c r="CA160" s="503">
        <f t="shared" si="1393"/>
        <v>0</v>
      </c>
      <c r="CB160" s="503">
        <f t="shared" si="1393"/>
        <v>0</v>
      </c>
      <c r="CC160" s="503">
        <f t="shared" si="1393"/>
        <v>0</v>
      </c>
      <c r="CD160" s="722">
        <f t="shared" si="1383"/>
        <v>0</v>
      </c>
      <c r="CE160" s="511">
        <f t="shared" ref="CE160:CH160" si="1445">CD160</f>
        <v>0</v>
      </c>
      <c r="CF160" s="511">
        <f t="shared" si="1445"/>
        <v>0</v>
      </c>
      <c r="CG160" s="511">
        <f t="shared" si="1445"/>
        <v>0</v>
      </c>
      <c r="CH160" s="511">
        <f t="shared" si="1445"/>
        <v>0</v>
      </c>
      <c r="CI160" s="511">
        <f t="shared" si="1096"/>
        <v>0</v>
      </c>
      <c r="CJ160" s="511">
        <f t="shared" si="1097"/>
        <v>0</v>
      </c>
      <c r="CK160" s="722">
        <f t="shared" si="1385"/>
        <v>0</v>
      </c>
      <c r="CL160" s="511">
        <f t="shared" ref="CL160:CO160" si="1446">CK160</f>
        <v>0</v>
      </c>
      <c r="CM160" s="511">
        <f t="shared" si="1446"/>
        <v>0</v>
      </c>
      <c r="CN160" s="511">
        <f t="shared" si="1446"/>
        <v>0</v>
      </c>
      <c r="CO160" s="511">
        <f t="shared" si="1446"/>
        <v>0</v>
      </c>
      <c r="CP160" s="511">
        <f t="shared" si="1099"/>
        <v>0</v>
      </c>
      <c r="CQ160" s="511">
        <f t="shared" si="1100"/>
        <v>0</v>
      </c>
      <c r="CR160" s="722">
        <f t="shared" si="1387"/>
        <v>0</v>
      </c>
      <c r="CS160" s="511">
        <f t="shared" ref="CS160:CV160" si="1447">CR160</f>
        <v>0</v>
      </c>
      <c r="CT160" s="511">
        <f t="shared" si="1447"/>
        <v>0</v>
      </c>
      <c r="CU160" s="511">
        <f t="shared" si="1447"/>
        <v>0</v>
      </c>
      <c r="CV160" s="511">
        <f t="shared" si="1447"/>
        <v>0</v>
      </c>
      <c r="CW160" s="511">
        <f t="shared" si="1102"/>
        <v>0</v>
      </c>
      <c r="CX160" s="539">
        <f t="shared" si="1103"/>
        <v>0</v>
      </c>
      <c r="CY160" s="724">
        <f t="shared" si="1196"/>
        <v>0</v>
      </c>
      <c r="CZ160" s="508">
        <f t="shared" si="1197"/>
        <v>18600</v>
      </c>
      <c r="DA160" s="508">
        <f t="shared" si="1198"/>
        <v>0</v>
      </c>
      <c r="DB160" s="508">
        <f t="shared" si="1199"/>
        <v>0</v>
      </c>
      <c r="DC160" s="508">
        <f t="shared" si="1200"/>
        <v>18600</v>
      </c>
      <c r="DD160" s="508">
        <f t="shared" si="1201"/>
        <v>0</v>
      </c>
      <c r="DE160" s="726">
        <f t="shared" si="1202"/>
        <v>0</v>
      </c>
      <c r="DF160" s="724">
        <f t="shared" si="1203"/>
        <v>0</v>
      </c>
      <c r="DG160" s="509">
        <f t="shared" si="1204"/>
        <v>0</v>
      </c>
      <c r="DH160" s="509">
        <f t="shared" si="1205"/>
        <v>0</v>
      </c>
      <c r="DI160" s="509">
        <f t="shared" si="1206"/>
        <v>0</v>
      </c>
      <c r="DJ160" s="509">
        <f t="shared" si="1207"/>
        <v>0</v>
      </c>
      <c r="DK160" s="509">
        <f t="shared" si="1208"/>
        <v>0</v>
      </c>
      <c r="DL160" s="451">
        <f t="shared" si="1209"/>
        <v>0</v>
      </c>
      <c r="DM160" s="509">
        <f t="shared" si="1210"/>
        <v>0</v>
      </c>
      <c r="DN160" s="509">
        <f t="shared" si="1211"/>
        <v>2000</v>
      </c>
      <c r="DO160" s="509">
        <f t="shared" si="1212"/>
        <v>0</v>
      </c>
      <c r="DP160" s="509">
        <f t="shared" si="1213"/>
        <v>0</v>
      </c>
      <c r="DQ160" s="509">
        <f t="shared" si="1214"/>
        <v>2000</v>
      </c>
      <c r="DR160" s="509">
        <f t="shared" si="1215"/>
        <v>0</v>
      </c>
      <c r="DS160" s="450">
        <f t="shared" si="1216"/>
        <v>0</v>
      </c>
      <c r="DT160" s="724">
        <f t="shared" si="1217"/>
        <v>0</v>
      </c>
      <c r="DU160" s="508">
        <f t="shared" si="1218"/>
        <v>0</v>
      </c>
      <c r="DV160" s="508">
        <f t="shared" si="1219"/>
        <v>0</v>
      </c>
      <c r="DW160" s="508">
        <f t="shared" si="1220"/>
        <v>0</v>
      </c>
      <c r="DX160" s="508">
        <f t="shared" si="1221"/>
        <v>0</v>
      </c>
      <c r="DY160" s="508">
        <f t="shared" si="1222"/>
        <v>0</v>
      </c>
      <c r="DZ160" s="726">
        <f t="shared" si="1223"/>
        <v>0</v>
      </c>
      <c r="EA160" s="722">
        <f t="shared" si="1224"/>
        <v>0</v>
      </c>
      <c r="EB160" s="511">
        <f t="shared" si="1225"/>
        <v>0</v>
      </c>
      <c r="EC160" s="511">
        <f t="shared" si="1226"/>
        <v>0</v>
      </c>
      <c r="ED160" s="511">
        <f t="shared" si="1227"/>
        <v>0</v>
      </c>
      <c r="EE160" s="511">
        <f t="shared" si="1228"/>
        <v>0</v>
      </c>
      <c r="EF160" s="511">
        <f t="shared" si="1229"/>
        <v>0</v>
      </c>
      <c r="EG160" s="723">
        <f t="shared" si="1230"/>
        <v>0</v>
      </c>
      <c r="EH160" s="397">
        <f t="shared" si="1231"/>
        <v>0</v>
      </c>
      <c r="EI160" s="397">
        <f t="shared" si="1232"/>
        <v>0</v>
      </c>
      <c r="EJ160" s="397">
        <f t="shared" si="1233"/>
        <v>0</v>
      </c>
      <c r="EK160" s="397">
        <f t="shared" si="1234"/>
        <v>0</v>
      </c>
      <c r="EL160" s="397">
        <f t="shared" si="1235"/>
        <v>0</v>
      </c>
      <c r="EM160" s="397">
        <f t="shared" si="1236"/>
        <v>0</v>
      </c>
      <c r="EN160" s="398">
        <f t="shared" si="1237"/>
        <v>0</v>
      </c>
      <c r="EO160" s="722">
        <f t="shared" si="1238"/>
        <v>0</v>
      </c>
      <c r="EP160" s="511">
        <f t="shared" si="1239"/>
        <v>0</v>
      </c>
      <c r="EQ160" s="511">
        <f t="shared" si="1240"/>
        <v>0</v>
      </c>
      <c r="ER160" s="511">
        <f t="shared" si="1241"/>
        <v>0</v>
      </c>
      <c r="ES160" s="511">
        <f t="shared" si="1242"/>
        <v>0</v>
      </c>
      <c r="ET160" s="511">
        <f t="shared" si="1243"/>
        <v>0</v>
      </c>
      <c r="EU160" s="723">
        <f t="shared" si="1244"/>
        <v>0</v>
      </c>
      <c r="EV160" s="727">
        <f t="shared" si="1245"/>
        <v>0.5</v>
      </c>
      <c r="EW160" s="728">
        <f t="shared" si="1246"/>
        <v>37200</v>
      </c>
      <c r="EX160" s="728">
        <f t="shared" si="1247"/>
        <v>0</v>
      </c>
      <c r="EY160" s="728">
        <f t="shared" si="1248"/>
        <v>4000</v>
      </c>
      <c r="EZ160" s="728">
        <f t="shared" si="1249"/>
        <v>0</v>
      </c>
      <c r="FA160" s="777">
        <f t="shared" si="1250"/>
        <v>0</v>
      </c>
      <c r="FB160" s="777">
        <f t="shared" si="1251"/>
        <v>0</v>
      </c>
      <c r="FC160" s="778">
        <f t="shared" si="1252"/>
        <v>0</v>
      </c>
      <c r="FE160" s="10"/>
      <c r="FF160" s="10"/>
    </row>
    <row r="161" spans="1:162">
      <c r="A161" s="662" t="s">
        <v>268</v>
      </c>
      <c r="B161" s="789" t="s">
        <v>1452</v>
      </c>
      <c r="C161" s="789" t="str">
        <f t="shared" ref="C161:O161" si="1448">C47</f>
        <v>Commercial New Construction LEED 6 to 10 Points - LEED Energy &amp; Atmosphere, Credit 1 Category Optimize Energy Efficiency Performance</v>
      </c>
      <c r="D161" s="789" t="str">
        <f t="shared" si="1448"/>
        <v>Non-LEED Building</v>
      </c>
      <c r="E161" s="789" t="str">
        <f t="shared" si="1448"/>
        <v>Per Project</v>
      </c>
      <c r="F161" s="789" t="str">
        <f t="shared" si="1448"/>
        <v>Per Project</v>
      </c>
      <c r="G161" s="704" t="str">
        <f t="shared" si="1448"/>
        <v>Incremental Cost</v>
      </c>
      <c r="H161" s="704">
        <f t="shared" si="1448"/>
        <v>37200</v>
      </c>
      <c r="I161" s="704">
        <f t="shared" si="1448"/>
        <v>0</v>
      </c>
      <c r="J161" s="704">
        <f t="shared" si="1448"/>
        <v>37200</v>
      </c>
      <c r="K161" s="704">
        <f t="shared" si="1448"/>
        <v>0</v>
      </c>
      <c r="L161" s="704">
        <f t="shared" si="1448"/>
        <v>18600</v>
      </c>
      <c r="M161" s="707" t="str">
        <f t="shared" si="1448"/>
        <v>Assume Direct Costs of LEED Certification ONLY: http://www.josre.org/wp-content/uploads/2012/09/Cost_of_LEED_Analysis_of_Construction_Costs-JOSRE_v3-13.pdf</v>
      </c>
      <c r="N161" s="704">
        <f t="shared" si="1448"/>
        <v>6000</v>
      </c>
      <c r="O161" s="704">
        <f t="shared" si="1448"/>
        <v>6000</v>
      </c>
      <c r="P161" s="704">
        <f t="shared" si="1441"/>
        <v>0</v>
      </c>
      <c r="Q161" s="704">
        <f t="shared" si="1441"/>
        <v>0</v>
      </c>
      <c r="R161" s="1021">
        <f t="shared" si="1347"/>
        <v>0</v>
      </c>
      <c r="S161" s="872">
        <f t="shared" si="1347"/>
        <v>0</v>
      </c>
      <c r="T161" s="1022">
        <f t="shared" si="1412"/>
        <v>0</v>
      </c>
      <c r="U161" s="711" t="str">
        <f t="shared" si="1348"/>
        <v>Assume no additional savings for LEED. Bonus incentive. Estimated savings from LG&amp;E and KU projections and 2016 program data.</v>
      </c>
      <c r="V161" s="716">
        <f t="shared" si="1348"/>
        <v>0</v>
      </c>
      <c r="W161" s="711">
        <f t="shared" si="1348"/>
        <v>1</v>
      </c>
      <c r="X161" s="781">
        <f t="shared" ref="X161:AJ161" si="1449">X47/2</f>
        <v>0</v>
      </c>
      <c r="Y161" s="781">
        <f t="shared" si="1449"/>
        <v>0</v>
      </c>
      <c r="Z161" s="781">
        <f t="shared" si="1449"/>
        <v>0</v>
      </c>
      <c r="AA161" s="781">
        <f t="shared" si="1449"/>
        <v>0</v>
      </c>
      <c r="AB161" s="781">
        <f t="shared" si="1449"/>
        <v>0</v>
      </c>
      <c r="AC161" s="781">
        <f t="shared" si="1449"/>
        <v>0.5</v>
      </c>
      <c r="AD161" s="781">
        <f t="shared" si="1449"/>
        <v>0</v>
      </c>
      <c r="AE161" s="781">
        <f t="shared" si="1449"/>
        <v>0.5</v>
      </c>
      <c r="AF161" s="781">
        <f t="shared" si="1449"/>
        <v>0</v>
      </c>
      <c r="AG161" s="781">
        <f t="shared" si="1449"/>
        <v>0.5</v>
      </c>
      <c r="AH161" s="781">
        <f t="shared" si="1449"/>
        <v>0</v>
      </c>
      <c r="AI161" s="781">
        <f t="shared" si="1449"/>
        <v>0.5</v>
      </c>
      <c r="AJ161" s="781">
        <f t="shared" si="1449"/>
        <v>0</v>
      </c>
      <c r="AK161" s="711" t="str">
        <f t="shared" ref="AK161:BA161" si="1450">AK47</f>
        <v>Both</v>
      </c>
      <c r="AL161" s="711" t="str">
        <f t="shared" si="1450"/>
        <v>Commercial</v>
      </c>
      <c r="AM161" s="711" t="str">
        <f t="shared" si="1450"/>
        <v>Large Office</v>
      </c>
      <c r="AN161" s="711" t="str">
        <f t="shared" si="1450"/>
        <v>All</v>
      </c>
      <c r="AO161" s="711" t="str">
        <f t="shared" si="1450"/>
        <v>New</v>
      </c>
      <c r="AP161" s="711">
        <f t="shared" si="1450"/>
        <v>0</v>
      </c>
      <c r="AQ161" s="711">
        <f t="shared" si="1450"/>
        <v>0</v>
      </c>
      <c r="AR161" s="711">
        <f t="shared" si="1450"/>
        <v>0</v>
      </c>
      <c r="AS161" s="711" t="str">
        <f t="shared" si="1450"/>
        <v>OFFLGElecTotl</v>
      </c>
      <c r="AT161" s="715" t="s">
        <v>745</v>
      </c>
      <c r="AU161" s="711" t="str">
        <f t="shared" si="1450"/>
        <v>LGE NonRes</v>
      </c>
      <c r="AV161" s="711">
        <f t="shared" si="1450"/>
        <v>15</v>
      </c>
      <c r="AW161" s="711">
        <f t="shared" si="1450"/>
        <v>15</v>
      </c>
      <c r="AX161" s="711" t="str">
        <f t="shared" si="1450"/>
        <v>Custom measure EULs ranges from 10 to 25 years depending on end use (NEEP EUL study by GDS 2007)</v>
      </c>
      <c r="AY161" s="711">
        <f t="shared" si="1450"/>
        <v>1</v>
      </c>
      <c r="AZ161" s="711">
        <f t="shared" si="1450"/>
        <v>1</v>
      </c>
      <c r="BA161" s="1066">
        <f t="shared" si="1450"/>
        <v>0</v>
      </c>
      <c r="BB161" s="721">
        <f t="shared" si="1079"/>
        <v>37200</v>
      </c>
      <c r="BC161" s="499">
        <f t="shared" si="1080"/>
        <v>37200</v>
      </c>
      <c r="BD161" s="499">
        <f t="shared" si="1081"/>
        <v>37200</v>
      </c>
      <c r="BE161" s="499">
        <f t="shared" si="1082"/>
        <v>37200</v>
      </c>
      <c r="BF161" s="499">
        <f t="shared" si="1083"/>
        <v>37200</v>
      </c>
      <c r="BG161" s="499">
        <f t="shared" si="1084"/>
        <v>37200</v>
      </c>
      <c r="BH161" s="499">
        <f t="shared" si="1085"/>
        <v>37200</v>
      </c>
      <c r="BI161" s="721">
        <f t="shared" si="1379"/>
        <v>0</v>
      </c>
      <c r="BJ161" s="499">
        <f t="shared" ref="BJ161:BM161" si="1451">BI161</f>
        <v>0</v>
      </c>
      <c r="BK161" s="499">
        <f t="shared" si="1451"/>
        <v>0</v>
      </c>
      <c r="BL161" s="499">
        <f t="shared" si="1451"/>
        <v>0</v>
      </c>
      <c r="BM161" s="499">
        <f t="shared" si="1451"/>
        <v>0</v>
      </c>
      <c r="BN161" s="499">
        <f t="shared" si="1087"/>
        <v>0</v>
      </c>
      <c r="BO161" s="499">
        <f t="shared" si="1088"/>
        <v>0</v>
      </c>
      <c r="BP161" s="721">
        <f t="shared" si="1381"/>
        <v>6000</v>
      </c>
      <c r="BQ161" s="499">
        <f t="shared" si="1382"/>
        <v>6000</v>
      </c>
      <c r="BR161" s="499">
        <f t="shared" si="1089"/>
        <v>6000</v>
      </c>
      <c r="BS161" s="499">
        <f t="shared" si="1090"/>
        <v>6000</v>
      </c>
      <c r="BT161" s="499">
        <f t="shared" si="1091"/>
        <v>6000</v>
      </c>
      <c r="BU161" s="499">
        <f t="shared" si="1092"/>
        <v>6000</v>
      </c>
      <c r="BV161" s="499">
        <f t="shared" si="1093"/>
        <v>6000</v>
      </c>
      <c r="BW161" s="774">
        <f t="shared" si="1393"/>
        <v>0</v>
      </c>
      <c r="BX161" s="503">
        <f t="shared" si="1393"/>
        <v>0</v>
      </c>
      <c r="BY161" s="503">
        <f t="shared" si="1393"/>
        <v>0</v>
      </c>
      <c r="BZ161" s="503">
        <f t="shared" si="1393"/>
        <v>0</v>
      </c>
      <c r="CA161" s="503">
        <f t="shared" si="1393"/>
        <v>0</v>
      </c>
      <c r="CB161" s="503">
        <f t="shared" si="1393"/>
        <v>0</v>
      </c>
      <c r="CC161" s="503">
        <f t="shared" si="1393"/>
        <v>0</v>
      </c>
      <c r="CD161" s="722">
        <f t="shared" si="1383"/>
        <v>0</v>
      </c>
      <c r="CE161" s="511">
        <f t="shared" ref="CE161:CH161" si="1452">CD161</f>
        <v>0</v>
      </c>
      <c r="CF161" s="511">
        <f t="shared" si="1452"/>
        <v>0</v>
      </c>
      <c r="CG161" s="511">
        <f t="shared" si="1452"/>
        <v>0</v>
      </c>
      <c r="CH161" s="511">
        <f t="shared" si="1452"/>
        <v>0</v>
      </c>
      <c r="CI161" s="511">
        <f t="shared" si="1096"/>
        <v>0</v>
      </c>
      <c r="CJ161" s="511">
        <f t="shared" si="1097"/>
        <v>0</v>
      </c>
      <c r="CK161" s="722">
        <f t="shared" si="1385"/>
        <v>0</v>
      </c>
      <c r="CL161" s="511">
        <f t="shared" ref="CL161:CO161" si="1453">CK161</f>
        <v>0</v>
      </c>
      <c r="CM161" s="511">
        <f t="shared" si="1453"/>
        <v>0</v>
      </c>
      <c r="CN161" s="511">
        <f t="shared" si="1453"/>
        <v>0</v>
      </c>
      <c r="CO161" s="511">
        <f t="shared" si="1453"/>
        <v>0</v>
      </c>
      <c r="CP161" s="511">
        <f t="shared" si="1099"/>
        <v>0</v>
      </c>
      <c r="CQ161" s="511">
        <f t="shared" si="1100"/>
        <v>0</v>
      </c>
      <c r="CR161" s="722">
        <f t="shared" si="1387"/>
        <v>0</v>
      </c>
      <c r="CS161" s="511">
        <f t="shared" ref="CS161:CV161" si="1454">CR161</f>
        <v>0</v>
      </c>
      <c r="CT161" s="511">
        <f t="shared" si="1454"/>
        <v>0</v>
      </c>
      <c r="CU161" s="511">
        <f t="shared" si="1454"/>
        <v>0</v>
      </c>
      <c r="CV161" s="511">
        <f t="shared" si="1454"/>
        <v>0</v>
      </c>
      <c r="CW161" s="511">
        <f t="shared" si="1102"/>
        <v>0</v>
      </c>
      <c r="CX161" s="539">
        <f t="shared" si="1103"/>
        <v>0</v>
      </c>
      <c r="CY161" s="724">
        <f t="shared" si="1196"/>
        <v>0</v>
      </c>
      <c r="CZ161" s="508">
        <f t="shared" si="1197"/>
        <v>18600</v>
      </c>
      <c r="DA161" s="508">
        <f t="shared" si="1198"/>
        <v>0</v>
      </c>
      <c r="DB161" s="508">
        <f t="shared" si="1199"/>
        <v>18600</v>
      </c>
      <c r="DC161" s="508">
        <f t="shared" si="1200"/>
        <v>0</v>
      </c>
      <c r="DD161" s="508">
        <f t="shared" si="1201"/>
        <v>18600</v>
      </c>
      <c r="DE161" s="726">
        <f t="shared" si="1202"/>
        <v>0</v>
      </c>
      <c r="DF161" s="724">
        <f t="shared" si="1203"/>
        <v>0</v>
      </c>
      <c r="DG161" s="509">
        <f t="shared" si="1204"/>
        <v>0</v>
      </c>
      <c r="DH161" s="509">
        <f t="shared" si="1205"/>
        <v>0</v>
      </c>
      <c r="DI161" s="509">
        <f t="shared" si="1206"/>
        <v>0</v>
      </c>
      <c r="DJ161" s="509">
        <f t="shared" si="1207"/>
        <v>0</v>
      </c>
      <c r="DK161" s="509">
        <f t="shared" si="1208"/>
        <v>0</v>
      </c>
      <c r="DL161" s="451">
        <f t="shared" si="1209"/>
        <v>0</v>
      </c>
      <c r="DM161" s="509">
        <f t="shared" si="1210"/>
        <v>0</v>
      </c>
      <c r="DN161" s="509">
        <f t="shared" si="1211"/>
        <v>3000</v>
      </c>
      <c r="DO161" s="509">
        <f t="shared" si="1212"/>
        <v>0</v>
      </c>
      <c r="DP161" s="509">
        <f t="shared" si="1213"/>
        <v>3000</v>
      </c>
      <c r="DQ161" s="509">
        <f t="shared" si="1214"/>
        <v>0</v>
      </c>
      <c r="DR161" s="509">
        <f t="shared" si="1215"/>
        <v>3000</v>
      </c>
      <c r="DS161" s="450">
        <f t="shared" si="1216"/>
        <v>0</v>
      </c>
      <c r="DT161" s="724">
        <f t="shared" si="1217"/>
        <v>0</v>
      </c>
      <c r="DU161" s="508">
        <f t="shared" si="1218"/>
        <v>0</v>
      </c>
      <c r="DV161" s="508">
        <f t="shared" si="1219"/>
        <v>0</v>
      </c>
      <c r="DW161" s="508">
        <f t="shared" si="1220"/>
        <v>0</v>
      </c>
      <c r="DX161" s="508">
        <f t="shared" si="1221"/>
        <v>0</v>
      </c>
      <c r="DY161" s="508">
        <f t="shared" si="1222"/>
        <v>0</v>
      </c>
      <c r="DZ161" s="726">
        <f t="shared" si="1223"/>
        <v>0</v>
      </c>
      <c r="EA161" s="722">
        <f t="shared" si="1224"/>
        <v>0</v>
      </c>
      <c r="EB161" s="511">
        <f t="shared" si="1225"/>
        <v>0</v>
      </c>
      <c r="EC161" s="511">
        <f t="shared" si="1226"/>
        <v>0</v>
      </c>
      <c r="ED161" s="511">
        <f t="shared" si="1227"/>
        <v>0</v>
      </c>
      <c r="EE161" s="511">
        <f t="shared" si="1228"/>
        <v>0</v>
      </c>
      <c r="EF161" s="511">
        <f t="shared" si="1229"/>
        <v>0</v>
      </c>
      <c r="EG161" s="723">
        <f t="shared" si="1230"/>
        <v>0</v>
      </c>
      <c r="EH161" s="397">
        <f t="shared" si="1231"/>
        <v>0</v>
      </c>
      <c r="EI161" s="397">
        <f t="shared" si="1232"/>
        <v>0</v>
      </c>
      <c r="EJ161" s="397">
        <f t="shared" si="1233"/>
        <v>0</v>
      </c>
      <c r="EK161" s="397">
        <f t="shared" si="1234"/>
        <v>0</v>
      </c>
      <c r="EL161" s="397">
        <f t="shared" si="1235"/>
        <v>0</v>
      </c>
      <c r="EM161" s="397">
        <f t="shared" si="1236"/>
        <v>0</v>
      </c>
      <c r="EN161" s="398">
        <f t="shared" si="1237"/>
        <v>0</v>
      </c>
      <c r="EO161" s="722">
        <f t="shared" si="1238"/>
        <v>0</v>
      </c>
      <c r="EP161" s="511">
        <f t="shared" si="1239"/>
        <v>0</v>
      </c>
      <c r="EQ161" s="511">
        <f t="shared" si="1240"/>
        <v>0</v>
      </c>
      <c r="ER161" s="511">
        <f t="shared" si="1241"/>
        <v>0</v>
      </c>
      <c r="ES161" s="511">
        <f t="shared" si="1242"/>
        <v>0</v>
      </c>
      <c r="ET161" s="511">
        <f t="shared" si="1243"/>
        <v>0</v>
      </c>
      <c r="EU161" s="723">
        <f t="shared" si="1244"/>
        <v>0</v>
      </c>
      <c r="EV161" s="727">
        <f t="shared" si="1245"/>
        <v>0.5</v>
      </c>
      <c r="EW161" s="728">
        <f t="shared" si="1246"/>
        <v>55800</v>
      </c>
      <c r="EX161" s="728">
        <f t="shared" si="1247"/>
        <v>0</v>
      </c>
      <c r="EY161" s="728">
        <f t="shared" si="1248"/>
        <v>9000</v>
      </c>
      <c r="EZ161" s="728">
        <f t="shared" si="1249"/>
        <v>0</v>
      </c>
      <c r="FA161" s="777">
        <f t="shared" si="1250"/>
        <v>0</v>
      </c>
      <c r="FB161" s="777">
        <f t="shared" si="1251"/>
        <v>0</v>
      </c>
      <c r="FC161" s="778">
        <f t="shared" si="1252"/>
        <v>0</v>
      </c>
      <c r="FE161" s="10"/>
      <c r="FF161" s="10"/>
    </row>
    <row r="162" spans="1:162">
      <c r="A162" s="662" t="s">
        <v>269</v>
      </c>
      <c r="B162" s="789" t="s">
        <v>1453</v>
      </c>
      <c r="C162" s="789" t="str">
        <f t="shared" ref="C162:O162" si="1455">C48</f>
        <v>Commercial New Construction LEED 11 to 15 Points - LEED Energy &amp; Atmosphere, Credit 1 Category Optimize Energy Efficiency Performance</v>
      </c>
      <c r="D162" s="789" t="str">
        <f t="shared" si="1455"/>
        <v>Non-LEED Building</v>
      </c>
      <c r="E162" s="789" t="str">
        <f t="shared" si="1455"/>
        <v>Per Project</v>
      </c>
      <c r="F162" s="789" t="str">
        <f t="shared" si="1455"/>
        <v>Per Project</v>
      </c>
      <c r="G162" s="704" t="str">
        <f t="shared" si="1455"/>
        <v>Incremental Cost</v>
      </c>
      <c r="H162" s="704">
        <f t="shared" si="1455"/>
        <v>37200</v>
      </c>
      <c r="I162" s="704">
        <f t="shared" si="1455"/>
        <v>0</v>
      </c>
      <c r="J162" s="704">
        <f t="shared" si="1455"/>
        <v>37200</v>
      </c>
      <c r="K162" s="704">
        <f t="shared" si="1455"/>
        <v>0</v>
      </c>
      <c r="L162" s="704">
        <f t="shared" si="1455"/>
        <v>18600</v>
      </c>
      <c r="M162" s="707" t="str">
        <f t="shared" si="1455"/>
        <v>Assume Direct Costs of LEED Certification ONLY: http://www.josre.org/wp-content/uploads/2012/09/Cost_of_LEED_Analysis_of_Construction_Costs-JOSRE_v3-13.pdf</v>
      </c>
      <c r="N162" s="704">
        <f t="shared" si="1455"/>
        <v>8000</v>
      </c>
      <c r="O162" s="704">
        <f t="shared" si="1455"/>
        <v>8000</v>
      </c>
      <c r="P162" s="704">
        <f t="shared" si="1441"/>
        <v>0</v>
      </c>
      <c r="Q162" s="704">
        <f t="shared" si="1441"/>
        <v>0</v>
      </c>
      <c r="R162" s="1021">
        <f t="shared" si="1347"/>
        <v>0</v>
      </c>
      <c r="S162" s="872">
        <f t="shared" si="1347"/>
        <v>0</v>
      </c>
      <c r="T162" s="1022">
        <f t="shared" si="1412"/>
        <v>0</v>
      </c>
      <c r="U162" s="711" t="str">
        <f t="shared" si="1348"/>
        <v>Assume no additional savings for LEED. Bonus incentive. Estimated savings from LG&amp;E and KU projections and 2016 program data.</v>
      </c>
      <c r="V162" s="716">
        <f t="shared" si="1348"/>
        <v>0</v>
      </c>
      <c r="W162" s="711">
        <f t="shared" si="1348"/>
        <v>1</v>
      </c>
      <c r="X162" s="781">
        <f t="shared" ref="X162:AJ162" si="1456">X48/2</f>
        <v>0</v>
      </c>
      <c r="Y162" s="781">
        <f t="shared" si="1456"/>
        <v>0</v>
      </c>
      <c r="Z162" s="781">
        <f t="shared" si="1456"/>
        <v>0</v>
      </c>
      <c r="AA162" s="781">
        <f t="shared" si="1456"/>
        <v>0</v>
      </c>
      <c r="AB162" s="781">
        <f t="shared" si="1456"/>
        <v>0</v>
      </c>
      <c r="AC162" s="781">
        <f t="shared" si="1456"/>
        <v>0</v>
      </c>
      <c r="AD162" s="781">
        <f t="shared" si="1456"/>
        <v>0.5</v>
      </c>
      <c r="AE162" s="781">
        <f t="shared" si="1456"/>
        <v>0</v>
      </c>
      <c r="AF162" s="781">
        <f t="shared" si="1456"/>
        <v>0.5</v>
      </c>
      <c r="AG162" s="781">
        <f t="shared" si="1456"/>
        <v>0</v>
      </c>
      <c r="AH162" s="781">
        <f t="shared" si="1456"/>
        <v>0.5</v>
      </c>
      <c r="AI162" s="781">
        <f t="shared" si="1456"/>
        <v>0</v>
      </c>
      <c r="AJ162" s="781">
        <f t="shared" si="1456"/>
        <v>0.5</v>
      </c>
      <c r="AK162" s="711" t="str">
        <f t="shared" ref="AK162:BA162" si="1457">AK48</f>
        <v>Both</v>
      </c>
      <c r="AL162" s="711" t="str">
        <f t="shared" si="1457"/>
        <v>Commercial</v>
      </c>
      <c r="AM162" s="711" t="str">
        <f t="shared" si="1457"/>
        <v>Large Office</v>
      </c>
      <c r="AN162" s="711" t="str">
        <f t="shared" si="1457"/>
        <v>All</v>
      </c>
      <c r="AO162" s="711" t="str">
        <f t="shared" si="1457"/>
        <v>New</v>
      </c>
      <c r="AP162" s="711">
        <f t="shared" si="1457"/>
        <v>0</v>
      </c>
      <c r="AQ162" s="711">
        <f t="shared" si="1457"/>
        <v>0</v>
      </c>
      <c r="AR162" s="711">
        <f t="shared" si="1457"/>
        <v>0</v>
      </c>
      <c r="AS162" s="711" t="str">
        <f t="shared" si="1457"/>
        <v>OFFLGElecTotl</v>
      </c>
      <c r="AT162" s="715" t="s">
        <v>745</v>
      </c>
      <c r="AU162" s="711" t="str">
        <f t="shared" si="1457"/>
        <v>LGE NonRes</v>
      </c>
      <c r="AV162" s="711">
        <f t="shared" si="1457"/>
        <v>15</v>
      </c>
      <c r="AW162" s="711">
        <f t="shared" si="1457"/>
        <v>15</v>
      </c>
      <c r="AX162" s="711" t="str">
        <f t="shared" si="1457"/>
        <v>Custom measure EULs ranges from 10 to 25 years depending on end use (NEEP EUL study by GDS 2007)</v>
      </c>
      <c r="AY162" s="711">
        <f t="shared" si="1457"/>
        <v>1</v>
      </c>
      <c r="AZ162" s="711">
        <f t="shared" si="1457"/>
        <v>1</v>
      </c>
      <c r="BA162" s="1066">
        <f t="shared" si="1457"/>
        <v>0</v>
      </c>
      <c r="BB162" s="721">
        <f t="shared" si="1079"/>
        <v>37200</v>
      </c>
      <c r="BC162" s="499">
        <f t="shared" si="1080"/>
        <v>37200</v>
      </c>
      <c r="BD162" s="499">
        <f t="shared" si="1081"/>
        <v>37200</v>
      </c>
      <c r="BE162" s="499">
        <f t="shared" si="1082"/>
        <v>37200</v>
      </c>
      <c r="BF162" s="499">
        <f t="shared" si="1083"/>
        <v>37200</v>
      </c>
      <c r="BG162" s="499">
        <f t="shared" si="1084"/>
        <v>37200</v>
      </c>
      <c r="BH162" s="499">
        <f t="shared" si="1085"/>
        <v>37200</v>
      </c>
      <c r="BI162" s="721">
        <f t="shared" si="1379"/>
        <v>0</v>
      </c>
      <c r="BJ162" s="499">
        <f t="shared" ref="BJ162:BM162" si="1458">BI162</f>
        <v>0</v>
      </c>
      <c r="BK162" s="499">
        <f t="shared" si="1458"/>
        <v>0</v>
      </c>
      <c r="BL162" s="499">
        <f t="shared" si="1458"/>
        <v>0</v>
      </c>
      <c r="BM162" s="499">
        <f t="shared" si="1458"/>
        <v>0</v>
      </c>
      <c r="BN162" s="499">
        <f t="shared" si="1087"/>
        <v>0</v>
      </c>
      <c r="BO162" s="499">
        <f t="shared" si="1088"/>
        <v>0</v>
      </c>
      <c r="BP162" s="721">
        <f t="shared" si="1381"/>
        <v>8000</v>
      </c>
      <c r="BQ162" s="499">
        <f t="shared" si="1382"/>
        <v>8000</v>
      </c>
      <c r="BR162" s="499">
        <f t="shared" si="1089"/>
        <v>8000</v>
      </c>
      <c r="BS162" s="499">
        <f t="shared" si="1090"/>
        <v>8000</v>
      </c>
      <c r="BT162" s="499">
        <f t="shared" si="1091"/>
        <v>8000</v>
      </c>
      <c r="BU162" s="499">
        <f t="shared" si="1092"/>
        <v>8000</v>
      </c>
      <c r="BV162" s="499">
        <f t="shared" si="1093"/>
        <v>8000</v>
      </c>
      <c r="BW162" s="774">
        <f t="shared" si="1393"/>
        <v>0</v>
      </c>
      <c r="BX162" s="503">
        <f t="shared" si="1393"/>
        <v>0</v>
      </c>
      <c r="BY162" s="503">
        <f t="shared" si="1393"/>
        <v>0</v>
      </c>
      <c r="BZ162" s="503">
        <f t="shared" si="1393"/>
        <v>0</v>
      </c>
      <c r="CA162" s="503">
        <f t="shared" si="1393"/>
        <v>0</v>
      </c>
      <c r="CB162" s="503">
        <f t="shared" si="1393"/>
        <v>0</v>
      </c>
      <c r="CC162" s="503">
        <f t="shared" si="1393"/>
        <v>0</v>
      </c>
      <c r="CD162" s="722">
        <f t="shared" si="1383"/>
        <v>0</v>
      </c>
      <c r="CE162" s="511">
        <f t="shared" ref="CE162:CH162" si="1459">CD162</f>
        <v>0</v>
      </c>
      <c r="CF162" s="511">
        <f t="shared" si="1459"/>
        <v>0</v>
      </c>
      <c r="CG162" s="511">
        <f t="shared" si="1459"/>
        <v>0</v>
      </c>
      <c r="CH162" s="511">
        <f t="shared" si="1459"/>
        <v>0</v>
      </c>
      <c r="CI162" s="511">
        <f t="shared" si="1096"/>
        <v>0</v>
      </c>
      <c r="CJ162" s="511">
        <f t="shared" si="1097"/>
        <v>0</v>
      </c>
      <c r="CK162" s="722">
        <f t="shared" si="1385"/>
        <v>0</v>
      </c>
      <c r="CL162" s="511">
        <f t="shared" ref="CL162:CO162" si="1460">CK162</f>
        <v>0</v>
      </c>
      <c r="CM162" s="511">
        <f t="shared" si="1460"/>
        <v>0</v>
      </c>
      <c r="CN162" s="511">
        <f t="shared" si="1460"/>
        <v>0</v>
      </c>
      <c r="CO162" s="511">
        <f t="shared" si="1460"/>
        <v>0</v>
      </c>
      <c r="CP162" s="511">
        <f t="shared" si="1099"/>
        <v>0</v>
      </c>
      <c r="CQ162" s="511">
        <f t="shared" si="1100"/>
        <v>0</v>
      </c>
      <c r="CR162" s="722">
        <f t="shared" si="1387"/>
        <v>0</v>
      </c>
      <c r="CS162" s="511">
        <f t="shared" ref="CS162:CV162" si="1461">CR162</f>
        <v>0</v>
      </c>
      <c r="CT162" s="511">
        <f t="shared" si="1461"/>
        <v>0</v>
      </c>
      <c r="CU162" s="511">
        <f t="shared" si="1461"/>
        <v>0</v>
      </c>
      <c r="CV162" s="511">
        <f t="shared" si="1461"/>
        <v>0</v>
      </c>
      <c r="CW162" s="511">
        <f t="shared" si="1102"/>
        <v>0</v>
      </c>
      <c r="CX162" s="539">
        <f t="shared" si="1103"/>
        <v>0</v>
      </c>
      <c r="CY162" s="724">
        <f t="shared" si="1196"/>
        <v>18600</v>
      </c>
      <c r="CZ162" s="508">
        <f t="shared" si="1197"/>
        <v>0</v>
      </c>
      <c r="DA162" s="508">
        <f t="shared" si="1198"/>
        <v>18600</v>
      </c>
      <c r="DB162" s="508">
        <f t="shared" si="1199"/>
        <v>0</v>
      </c>
      <c r="DC162" s="508">
        <f t="shared" si="1200"/>
        <v>18600</v>
      </c>
      <c r="DD162" s="508">
        <f t="shared" si="1201"/>
        <v>0</v>
      </c>
      <c r="DE162" s="726">
        <f t="shared" si="1202"/>
        <v>18600</v>
      </c>
      <c r="DF162" s="724">
        <f t="shared" si="1203"/>
        <v>0</v>
      </c>
      <c r="DG162" s="509">
        <f t="shared" si="1204"/>
        <v>0</v>
      </c>
      <c r="DH162" s="509">
        <f t="shared" si="1205"/>
        <v>0</v>
      </c>
      <c r="DI162" s="509">
        <f t="shared" si="1206"/>
        <v>0</v>
      </c>
      <c r="DJ162" s="509">
        <f t="shared" si="1207"/>
        <v>0</v>
      </c>
      <c r="DK162" s="509">
        <f t="shared" si="1208"/>
        <v>0</v>
      </c>
      <c r="DL162" s="451">
        <f t="shared" si="1209"/>
        <v>0</v>
      </c>
      <c r="DM162" s="509">
        <f t="shared" si="1210"/>
        <v>4000</v>
      </c>
      <c r="DN162" s="509">
        <f t="shared" si="1211"/>
        <v>0</v>
      </c>
      <c r="DO162" s="509">
        <f t="shared" si="1212"/>
        <v>4000</v>
      </c>
      <c r="DP162" s="509">
        <f t="shared" si="1213"/>
        <v>0</v>
      </c>
      <c r="DQ162" s="509">
        <f t="shared" si="1214"/>
        <v>4000</v>
      </c>
      <c r="DR162" s="509">
        <f t="shared" si="1215"/>
        <v>0</v>
      </c>
      <c r="DS162" s="450">
        <f t="shared" si="1216"/>
        <v>4000</v>
      </c>
      <c r="DT162" s="724">
        <f t="shared" si="1217"/>
        <v>0</v>
      </c>
      <c r="DU162" s="508">
        <f t="shared" si="1218"/>
        <v>0</v>
      </c>
      <c r="DV162" s="508">
        <f t="shared" si="1219"/>
        <v>0</v>
      </c>
      <c r="DW162" s="508">
        <f t="shared" si="1220"/>
        <v>0</v>
      </c>
      <c r="DX162" s="508">
        <f t="shared" si="1221"/>
        <v>0</v>
      </c>
      <c r="DY162" s="508">
        <f t="shared" si="1222"/>
        <v>0</v>
      </c>
      <c r="DZ162" s="726">
        <f t="shared" si="1223"/>
        <v>0</v>
      </c>
      <c r="EA162" s="722">
        <f t="shared" si="1224"/>
        <v>0</v>
      </c>
      <c r="EB162" s="511">
        <f t="shared" si="1225"/>
        <v>0</v>
      </c>
      <c r="EC162" s="511">
        <f t="shared" si="1226"/>
        <v>0</v>
      </c>
      <c r="ED162" s="511">
        <f t="shared" si="1227"/>
        <v>0</v>
      </c>
      <c r="EE162" s="511">
        <f t="shared" si="1228"/>
        <v>0</v>
      </c>
      <c r="EF162" s="511">
        <f t="shared" si="1229"/>
        <v>0</v>
      </c>
      <c r="EG162" s="723">
        <f t="shared" si="1230"/>
        <v>0</v>
      </c>
      <c r="EH162" s="397">
        <f t="shared" si="1231"/>
        <v>0</v>
      </c>
      <c r="EI162" s="397">
        <f t="shared" si="1232"/>
        <v>0</v>
      </c>
      <c r="EJ162" s="397">
        <f t="shared" si="1233"/>
        <v>0</v>
      </c>
      <c r="EK162" s="397">
        <f t="shared" si="1234"/>
        <v>0</v>
      </c>
      <c r="EL162" s="397">
        <f t="shared" si="1235"/>
        <v>0</v>
      </c>
      <c r="EM162" s="397">
        <f t="shared" si="1236"/>
        <v>0</v>
      </c>
      <c r="EN162" s="398">
        <f t="shared" si="1237"/>
        <v>0</v>
      </c>
      <c r="EO162" s="722">
        <f t="shared" si="1238"/>
        <v>0</v>
      </c>
      <c r="EP162" s="511">
        <f t="shared" si="1239"/>
        <v>0</v>
      </c>
      <c r="EQ162" s="511">
        <f t="shared" si="1240"/>
        <v>0</v>
      </c>
      <c r="ER162" s="511">
        <f t="shared" si="1241"/>
        <v>0</v>
      </c>
      <c r="ES162" s="511">
        <f t="shared" si="1242"/>
        <v>0</v>
      </c>
      <c r="ET162" s="511">
        <f t="shared" si="1243"/>
        <v>0</v>
      </c>
      <c r="EU162" s="723">
        <f t="shared" si="1244"/>
        <v>0</v>
      </c>
      <c r="EV162" s="727">
        <f t="shared" si="1245"/>
        <v>1</v>
      </c>
      <c r="EW162" s="728">
        <f t="shared" si="1246"/>
        <v>74400</v>
      </c>
      <c r="EX162" s="728">
        <f t="shared" si="1247"/>
        <v>0</v>
      </c>
      <c r="EY162" s="728">
        <f t="shared" si="1248"/>
        <v>16000</v>
      </c>
      <c r="EZ162" s="728">
        <f t="shared" si="1249"/>
        <v>0</v>
      </c>
      <c r="FA162" s="777">
        <f t="shared" si="1250"/>
        <v>0</v>
      </c>
      <c r="FB162" s="777">
        <f t="shared" si="1251"/>
        <v>0</v>
      </c>
      <c r="FC162" s="778">
        <f t="shared" si="1252"/>
        <v>0</v>
      </c>
      <c r="FE162" s="10"/>
      <c r="FF162" s="10"/>
    </row>
    <row r="163" spans="1:162">
      <c r="A163" s="662" t="s">
        <v>270</v>
      </c>
      <c r="B163" s="789" t="s">
        <v>1454</v>
      </c>
      <c r="C163" s="789" t="str">
        <f t="shared" ref="C163:O163" si="1462">C49</f>
        <v>Commercial New Construction LEED 16+ Points - LEED Energy &amp; Atmosphere, Credit 1 Category Optimize Energy Efficiency Performance</v>
      </c>
      <c r="D163" s="789" t="str">
        <f t="shared" si="1462"/>
        <v>Non-LEED Building</v>
      </c>
      <c r="E163" s="789" t="str">
        <f t="shared" si="1462"/>
        <v>Per Project</v>
      </c>
      <c r="F163" s="789" t="str">
        <f t="shared" si="1462"/>
        <v>Per Project</v>
      </c>
      <c r="G163" s="704" t="str">
        <f t="shared" si="1462"/>
        <v>Incremental Cost</v>
      </c>
      <c r="H163" s="704">
        <f t="shared" si="1462"/>
        <v>37200</v>
      </c>
      <c r="I163" s="704">
        <f t="shared" si="1462"/>
        <v>0</v>
      </c>
      <c r="J163" s="704">
        <f t="shared" si="1462"/>
        <v>37200</v>
      </c>
      <c r="K163" s="704">
        <f t="shared" si="1462"/>
        <v>0</v>
      </c>
      <c r="L163" s="704">
        <f t="shared" si="1462"/>
        <v>18600</v>
      </c>
      <c r="M163" s="707" t="str">
        <f t="shared" si="1462"/>
        <v>Assume Direct Costs of LEED Certification ONLY: http://www.josre.org/wp-content/uploads/2012/09/Cost_of_LEED_Analysis_of_Construction_Costs-JOSRE_v3-13.pdf</v>
      </c>
      <c r="N163" s="704">
        <f t="shared" si="1462"/>
        <v>10000</v>
      </c>
      <c r="O163" s="704">
        <f t="shared" si="1462"/>
        <v>10000</v>
      </c>
      <c r="P163" s="704">
        <f t="shared" si="1441"/>
        <v>0</v>
      </c>
      <c r="Q163" s="704">
        <f t="shared" si="1441"/>
        <v>0</v>
      </c>
      <c r="R163" s="1021">
        <f t="shared" si="1347"/>
        <v>0</v>
      </c>
      <c r="S163" s="872">
        <f t="shared" si="1347"/>
        <v>0</v>
      </c>
      <c r="T163" s="1022">
        <f t="shared" si="1412"/>
        <v>0</v>
      </c>
      <c r="U163" s="711" t="str">
        <f t="shared" si="1348"/>
        <v>Assume no additional savings for LEED. Bonus incentive. Estimated savings from LG&amp;E and KU projections and 2016 program data.</v>
      </c>
      <c r="V163" s="716">
        <f t="shared" si="1348"/>
        <v>0</v>
      </c>
      <c r="W163" s="711">
        <f t="shared" si="1348"/>
        <v>1</v>
      </c>
      <c r="X163" s="781">
        <f t="shared" ref="X163:AJ163" si="1463">X49/2</f>
        <v>1.5</v>
      </c>
      <c r="Y163" s="781">
        <f t="shared" si="1463"/>
        <v>0</v>
      </c>
      <c r="Z163" s="781">
        <f t="shared" si="1463"/>
        <v>0.5</v>
      </c>
      <c r="AA163" s="781">
        <f t="shared" si="1463"/>
        <v>0</v>
      </c>
      <c r="AB163" s="781">
        <f t="shared" si="1463"/>
        <v>0.25</v>
      </c>
      <c r="AC163" s="781">
        <f t="shared" si="1463"/>
        <v>0.5</v>
      </c>
      <c r="AD163" s="781">
        <f t="shared" si="1463"/>
        <v>0</v>
      </c>
      <c r="AE163" s="781">
        <f t="shared" si="1463"/>
        <v>0</v>
      </c>
      <c r="AF163" s="781">
        <f t="shared" si="1463"/>
        <v>0.5</v>
      </c>
      <c r="AG163" s="781">
        <f t="shared" si="1463"/>
        <v>0</v>
      </c>
      <c r="AH163" s="781">
        <f t="shared" si="1463"/>
        <v>0</v>
      </c>
      <c r="AI163" s="781">
        <f t="shared" si="1463"/>
        <v>0.5</v>
      </c>
      <c r="AJ163" s="781">
        <f t="shared" si="1463"/>
        <v>0</v>
      </c>
      <c r="AK163" s="711" t="str">
        <f t="shared" ref="AK163:BA163" si="1464">AK49</f>
        <v>Both</v>
      </c>
      <c r="AL163" s="711" t="str">
        <f t="shared" si="1464"/>
        <v>Commercial</v>
      </c>
      <c r="AM163" s="711" t="str">
        <f t="shared" si="1464"/>
        <v>Large Office</v>
      </c>
      <c r="AN163" s="711" t="str">
        <f t="shared" si="1464"/>
        <v>Lighting</v>
      </c>
      <c r="AO163" s="711" t="str">
        <f t="shared" si="1464"/>
        <v>New</v>
      </c>
      <c r="AP163" s="711">
        <f t="shared" si="1464"/>
        <v>0</v>
      </c>
      <c r="AQ163" s="711">
        <f t="shared" si="1464"/>
        <v>0</v>
      </c>
      <c r="AR163" s="711">
        <f t="shared" si="1464"/>
        <v>0</v>
      </c>
      <c r="AS163" s="711" t="str">
        <f t="shared" si="1464"/>
        <v>OFFLGElecTotl</v>
      </c>
      <c r="AT163" s="715" t="s">
        <v>745</v>
      </c>
      <c r="AU163" s="711" t="str">
        <f t="shared" si="1464"/>
        <v>LGE NonRes</v>
      </c>
      <c r="AV163" s="711">
        <f t="shared" si="1464"/>
        <v>15</v>
      </c>
      <c r="AW163" s="711">
        <f t="shared" si="1464"/>
        <v>15</v>
      </c>
      <c r="AX163" s="711" t="str">
        <f t="shared" si="1464"/>
        <v>Custom measure EULs ranges from 10 to 25 years depending on end use (NEEP EUL study by GDS 2007)</v>
      </c>
      <c r="AY163" s="711">
        <f t="shared" si="1464"/>
        <v>1</v>
      </c>
      <c r="AZ163" s="711">
        <f t="shared" si="1464"/>
        <v>1</v>
      </c>
      <c r="BA163" s="1066">
        <f t="shared" si="1464"/>
        <v>0</v>
      </c>
      <c r="BB163" s="721">
        <f t="shared" si="1079"/>
        <v>37200</v>
      </c>
      <c r="BC163" s="499">
        <f t="shared" si="1080"/>
        <v>37200</v>
      </c>
      <c r="BD163" s="499">
        <f t="shared" si="1081"/>
        <v>37200</v>
      </c>
      <c r="BE163" s="499">
        <f t="shared" si="1082"/>
        <v>37200</v>
      </c>
      <c r="BF163" s="499">
        <f t="shared" si="1083"/>
        <v>37200</v>
      </c>
      <c r="BG163" s="499">
        <f t="shared" si="1084"/>
        <v>37200</v>
      </c>
      <c r="BH163" s="499">
        <f t="shared" si="1085"/>
        <v>37200</v>
      </c>
      <c r="BI163" s="721">
        <f t="shared" si="1379"/>
        <v>0</v>
      </c>
      <c r="BJ163" s="499">
        <f t="shared" ref="BJ163:BM163" si="1465">BI163</f>
        <v>0</v>
      </c>
      <c r="BK163" s="499">
        <f t="shared" si="1465"/>
        <v>0</v>
      </c>
      <c r="BL163" s="499">
        <f t="shared" si="1465"/>
        <v>0</v>
      </c>
      <c r="BM163" s="499">
        <f t="shared" si="1465"/>
        <v>0</v>
      </c>
      <c r="BN163" s="499">
        <f t="shared" si="1087"/>
        <v>0</v>
      </c>
      <c r="BO163" s="499">
        <f t="shared" si="1088"/>
        <v>0</v>
      </c>
      <c r="BP163" s="721">
        <f t="shared" si="1381"/>
        <v>10000</v>
      </c>
      <c r="BQ163" s="499">
        <f t="shared" si="1382"/>
        <v>10000</v>
      </c>
      <c r="BR163" s="499">
        <f t="shared" si="1089"/>
        <v>10000</v>
      </c>
      <c r="BS163" s="499">
        <f t="shared" si="1090"/>
        <v>10000</v>
      </c>
      <c r="BT163" s="499">
        <f t="shared" si="1091"/>
        <v>10000</v>
      </c>
      <c r="BU163" s="499">
        <f t="shared" si="1092"/>
        <v>10000</v>
      </c>
      <c r="BV163" s="499">
        <f t="shared" si="1093"/>
        <v>10000</v>
      </c>
      <c r="BW163" s="774">
        <f t="shared" si="1393"/>
        <v>0</v>
      </c>
      <c r="BX163" s="503">
        <f t="shared" si="1393"/>
        <v>0</v>
      </c>
      <c r="BY163" s="503">
        <f t="shared" si="1393"/>
        <v>0</v>
      </c>
      <c r="BZ163" s="503">
        <f t="shared" si="1393"/>
        <v>0</v>
      </c>
      <c r="CA163" s="503">
        <f t="shared" si="1393"/>
        <v>0</v>
      </c>
      <c r="CB163" s="503">
        <f t="shared" si="1393"/>
        <v>0</v>
      </c>
      <c r="CC163" s="503">
        <f t="shared" si="1393"/>
        <v>0</v>
      </c>
      <c r="CD163" s="722">
        <f t="shared" si="1383"/>
        <v>0</v>
      </c>
      <c r="CE163" s="511">
        <f t="shared" ref="CE163:CH163" si="1466">CD163</f>
        <v>0</v>
      </c>
      <c r="CF163" s="511">
        <f t="shared" si="1466"/>
        <v>0</v>
      </c>
      <c r="CG163" s="511">
        <f t="shared" si="1466"/>
        <v>0</v>
      </c>
      <c r="CH163" s="511">
        <f t="shared" si="1466"/>
        <v>0</v>
      </c>
      <c r="CI163" s="511">
        <f t="shared" si="1096"/>
        <v>0</v>
      </c>
      <c r="CJ163" s="511">
        <f t="shared" si="1097"/>
        <v>0</v>
      </c>
      <c r="CK163" s="722">
        <f t="shared" si="1385"/>
        <v>0</v>
      </c>
      <c r="CL163" s="511">
        <f t="shared" ref="CL163:CO163" si="1467">CK163</f>
        <v>0</v>
      </c>
      <c r="CM163" s="511">
        <f t="shared" si="1467"/>
        <v>0</v>
      </c>
      <c r="CN163" s="511">
        <f t="shared" si="1467"/>
        <v>0</v>
      </c>
      <c r="CO163" s="511">
        <f t="shared" si="1467"/>
        <v>0</v>
      </c>
      <c r="CP163" s="511">
        <f t="shared" si="1099"/>
        <v>0</v>
      </c>
      <c r="CQ163" s="511">
        <f t="shared" si="1100"/>
        <v>0</v>
      </c>
      <c r="CR163" s="722">
        <f t="shared" si="1387"/>
        <v>0</v>
      </c>
      <c r="CS163" s="511">
        <f t="shared" ref="CS163:CV163" si="1468">CR163</f>
        <v>0</v>
      </c>
      <c r="CT163" s="511">
        <f t="shared" si="1468"/>
        <v>0</v>
      </c>
      <c r="CU163" s="511">
        <f t="shared" si="1468"/>
        <v>0</v>
      </c>
      <c r="CV163" s="511">
        <f t="shared" si="1468"/>
        <v>0</v>
      </c>
      <c r="CW163" s="511">
        <f t="shared" si="1102"/>
        <v>0</v>
      </c>
      <c r="CX163" s="539">
        <f t="shared" si="1103"/>
        <v>0</v>
      </c>
      <c r="CY163" s="724">
        <f t="shared" si="1196"/>
        <v>0</v>
      </c>
      <c r="CZ163" s="508">
        <f t="shared" si="1197"/>
        <v>0</v>
      </c>
      <c r="DA163" s="508">
        <f t="shared" si="1198"/>
        <v>18600</v>
      </c>
      <c r="DB163" s="508">
        <f t="shared" si="1199"/>
        <v>0</v>
      </c>
      <c r="DC163" s="508">
        <f t="shared" si="1200"/>
        <v>0</v>
      </c>
      <c r="DD163" s="508">
        <f t="shared" si="1201"/>
        <v>18600</v>
      </c>
      <c r="DE163" s="726">
        <f t="shared" si="1202"/>
        <v>0</v>
      </c>
      <c r="DF163" s="724">
        <f t="shared" si="1203"/>
        <v>0</v>
      </c>
      <c r="DG163" s="509">
        <f t="shared" si="1204"/>
        <v>0</v>
      </c>
      <c r="DH163" s="509">
        <f t="shared" si="1205"/>
        <v>0</v>
      </c>
      <c r="DI163" s="509">
        <f t="shared" si="1206"/>
        <v>0</v>
      </c>
      <c r="DJ163" s="509">
        <f t="shared" si="1207"/>
        <v>0</v>
      </c>
      <c r="DK163" s="509">
        <f t="shared" si="1208"/>
        <v>0</v>
      </c>
      <c r="DL163" s="451">
        <f t="shared" si="1209"/>
        <v>0</v>
      </c>
      <c r="DM163" s="509">
        <f t="shared" si="1210"/>
        <v>0</v>
      </c>
      <c r="DN163" s="509">
        <f t="shared" si="1211"/>
        <v>0</v>
      </c>
      <c r="DO163" s="509">
        <f t="shared" si="1212"/>
        <v>5000</v>
      </c>
      <c r="DP163" s="509">
        <f t="shared" si="1213"/>
        <v>0</v>
      </c>
      <c r="DQ163" s="509">
        <f t="shared" si="1214"/>
        <v>0</v>
      </c>
      <c r="DR163" s="509">
        <f t="shared" si="1215"/>
        <v>5000</v>
      </c>
      <c r="DS163" s="450">
        <f t="shared" si="1216"/>
        <v>0</v>
      </c>
      <c r="DT163" s="724">
        <f t="shared" si="1217"/>
        <v>0</v>
      </c>
      <c r="DU163" s="508">
        <f t="shared" si="1218"/>
        <v>0</v>
      </c>
      <c r="DV163" s="508">
        <f t="shared" si="1219"/>
        <v>0</v>
      </c>
      <c r="DW163" s="508">
        <f t="shared" si="1220"/>
        <v>0</v>
      </c>
      <c r="DX163" s="508">
        <f t="shared" si="1221"/>
        <v>0</v>
      </c>
      <c r="DY163" s="508">
        <f t="shared" si="1222"/>
        <v>0</v>
      </c>
      <c r="DZ163" s="726">
        <f t="shared" si="1223"/>
        <v>0</v>
      </c>
      <c r="EA163" s="722">
        <f t="shared" si="1224"/>
        <v>0</v>
      </c>
      <c r="EB163" s="511">
        <f t="shared" si="1225"/>
        <v>0</v>
      </c>
      <c r="EC163" s="511">
        <f t="shared" si="1226"/>
        <v>0</v>
      </c>
      <c r="ED163" s="511">
        <f t="shared" si="1227"/>
        <v>0</v>
      </c>
      <c r="EE163" s="511">
        <f t="shared" si="1228"/>
        <v>0</v>
      </c>
      <c r="EF163" s="511">
        <f t="shared" si="1229"/>
        <v>0</v>
      </c>
      <c r="EG163" s="723">
        <f t="shared" si="1230"/>
        <v>0</v>
      </c>
      <c r="EH163" s="397">
        <f t="shared" si="1231"/>
        <v>0</v>
      </c>
      <c r="EI163" s="397">
        <f t="shared" si="1232"/>
        <v>0</v>
      </c>
      <c r="EJ163" s="397">
        <f t="shared" si="1233"/>
        <v>0</v>
      </c>
      <c r="EK163" s="397">
        <f t="shared" si="1234"/>
        <v>0</v>
      </c>
      <c r="EL163" s="397">
        <f t="shared" si="1235"/>
        <v>0</v>
      </c>
      <c r="EM163" s="397">
        <f t="shared" si="1236"/>
        <v>0</v>
      </c>
      <c r="EN163" s="398">
        <f t="shared" si="1237"/>
        <v>0</v>
      </c>
      <c r="EO163" s="722">
        <f t="shared" si="1238"/>
        <v>0</v>
      </c>
      <c r="EP163" s="511">
        <f t="shared" si="1239"/>
        <v>0</v>
      </c>
      <c r="EQ163" s="511">
        <f t="shared" si="1240"/>
        <v>0</v>
      </c>
      <c r="ER163" s="511">
        <f t="shared" si="1241"/>
        <v>0</v>
      </c>
      <c r="ES163" s="511">
        <f t="shared" si="1242"/>
        <v>0</v>
      </c>
      <c r="ET163" s="511">
        <f t="shared" si="1243"/>
        <v>0</v>
      </c>
      <c r="EU163" s="723">
        <f t="shared" si="1244"/>
        <v>0</v>
      </c>
      <c r="EV163" s="727">
        <f t="shared" si="1245"/>
        <v>0.5</v>
      </c>
      <c r="EW163" s="728">
        <f t="shared" si="1246"/>
        <v>37200</v>
      </c>
      <c r="EX163" s="728">
        <f t="shared" si="1247"/>
        <v>0</v>
      </c>
      <c r="EY163" s="728">
        <f t="shared" si="1248"/>
        <v>10000</v>
      </c>
      <c r="EZ163" s="728">
        <f t="shared" si="1249"/>
        <v>0</v>
      </c>
      <c r="FA163" s="777">
        <f t="shared" si="1250"/>
        <v>0</v>
      </c>
      <c r="FB163" s="777">
        <f t="shared" si="1251"/>
        <v>0</v>
      </c>
      <c r="FC163" s="778">
        <f t="shared" si="1252"/>
        <v>0</v>
      </c>
      <c r="FE163" s="10"/>
      <c r="FF163" s="10"/>
    </row>
    <row r="164" spans="1:162" s="10" customFormat="1" ht="12.5">
      <c r="A164" s="662" t="s">
        <v>271</v>
      </c>
      <c r="B164" s="789" t="s">
        <v>1455</v>
      </c>
      <c r="C164" s="789" t="str">
        <f t="shared" ref="C164:O164" si="1469">C50</f>
        <v>Any LED lamps or ballasts must also be ENERGY STAR® certified or listed on the Design Lights Consortium (DLC) qualified list.</v>
      </c>
      <c r="D164" s="789" t="str">
        <f t="shared" si="1469"/>
        <v>1-, 2-, 3-, or 4-Lamp 32w T8</v>
      </c>
      <c r="E164" s="789" t="str">
        <f t="shared" si="1469"/>
        <v>n/a</v>
      </c>
      <c r="F164" s="789" t="str">
        <f t="shared" si="1469"/>
        <v>Per Unit</v>
      </c>
      <c r="G164" s="704" t="str">
        <f t="shared" si="1469"/>
        <v>Incremental Cost</v>
      </c>
      <c r="H164" s="704">
        <f t="shared" si="1469"/>
        <v>67.125</v>
      </c>
      <c r="I164" s="704">
        <f t="shared" si="1469"/>
        <v>0</v>
      </c>
      <c r="J164" s="704">
        <f t="shared" si="1469"/>
        <v>67.125</v>
      </c>
      <c r="K164" s="704">
        <f t="shared" si="1469"/>
        <v>0</v>
      </c>
      <c r="L164" s="704">
        <f t="shared" si="1469"/>
        <v>33.5625</v>
      </c>
      <c r="M164" s="881" t="str">
        <f t="shared" si="1469"/>
        <v>Costs estimated from IL TRM v9: 4.5.4 LED Bulbs and Fixtures: LED Troffers</v>
      </c>
      <c r="N164" s="704">
        <f t="shared" si="1469"/>
        <v>10</v>
      </c>
      <c r="O164" s="704">
        <f t="shared" si="1469"/>
        <v>10</v>
      </c>
      <c r="P164" s="704">
        <f t="shared" si="1441"/>
        <v>0</v>
      </c>
      <c r="Q164" s="704">
        <f t="shared" si="1441"/>
        <v>0</v>
      </c>
      <c r="R164" s="1021">
        <f t="shared" si="1347"/>
        <v>114.589377864</v>
      </c>
      <c r="S164" s="872">
        <f t="shared" si="1347"/>
        <v>2.7349574200000001E-2</v>
      </c>
      <c r="T164" s="1022">
        <f t="shared" si="1412"/>
        <v>-1.5915191369999997</v>
      </c>
      <c r="U164" s="711" t="str">
        <f t="shared" si="1348"/>
        <v>Per unit savings estimate from IL TRM v10.0 "4.5.4 LED Bulbs and Fixtures" - use-specific input assumptions are for "Unknown" building/space type and Energy Star Fixtures</v>
      </c>
      <c r="V164" s="716">
        <f t="shared" si="1348"/>
        <v>0</v>
      </c>
      <c r="W164" s="711">
        <f t="shared" si="1348"/>
        <v>1</v>
      </c>
      <c r="X164" s="781">
        <f t="shared" ref="X164:AJ164" si="1470">X50/2</f>
        <v>0.5</v>
      </c>
      <c r="Y164" s="781">
        <f t="shared" si="1470"/>
        <v>0</v>
      </c>
      <c r="Z164" s="781">
        <f t="shared" si="1470"/>
        <v>0.5</v>
      </c>
      <c r="AA164" s="781">
        <f t="shared" si="1470"/>
        <v>0</v>
      </c>
      <c r="AB164" s="781">
        <f t="shared" si="1470"/>
        <v>0.25</v>
      </c>
      <c r="AC164" s="781">
        <f t="shared" si="1470"/>
        <v>0.5</v>
      </c>
      <c r="AD164" s="781">
        <f t="shared" si="1470"/>
        <v>0.5</v>
      </c>
      <c r="AE164" s="781">
        <f t="shared" si="1470"/>
        <v>0.5</v>
      </c>
      <c r="AF164" s="781">
        <f t="shared" si="1470"/>
        <v>0.1</v>
      </c>
      <c r="AG164" s="781">
        <f t="shared" si="1470"/>
        <v>0</v>
      </c>
      <c r="AH164" s="781">
        <f t="shared" si="1470"/>
        <v>0</v>
      </c>
      <c r="AI164" s="781">
        <f t="shared" si="1470"/>
        <v>0</v>
      </c>
      <c r="AJ164" s="781">
        <f t="shared" si="1470"/>
        <v>0</v>
      </c>
      <c r="AK164" s="711" t="str">
        <f t="shared" ref="AK164:BA164" si="1471">AK50</f>
        <v>Electric</v>
      </c>
      <c r="AL164" s="711" t="str">
        <f t="shared" si="1471"/>
        <v>Commercial</v>
      </c>
      <c r="AM164" s="711" t="str">
        <f t="shared" si="1471"/>
        <v>Large Office</v>
      </c>
      <c r="AN164" s="711" t="str">
        <f t="shared" si="1471"/>
        <v>Lighting</v>
      </c>
      <c r="AO164" s="711" t="str">
        <f t="shared" si="1471"/>
        <v>Existing</v>
      </c>
      <c r="AP164" s="711">
        <f t="shared" si="1471"/>
        <v>0</v>
      </c>
      <c r="AQ164" s="711">
        <f t="shared" si="1471"/>
        <v>0</v>
      </c>
      <c r="AR164" s="711">
        <f t="shared" si="1471"/>
        <v>0</v>
      </c>
      <c r="AS164" s="711" t="str">
        <f t="shared" si="1471"/>
        <v>OFFLGInLight</v>
      </c>
      <c r="AT164" s="715" t="s">
        <v>745</v>
      </c>
      <c r="AU164" s="711" t="str">
        <f t="shared" si="1471"/>
        <v>LGE NonRes</v>
      </c>
      <c r="AV164" s="711">
        <f t="shared" si="1471"/>
        <v>20</v>
      </c>
      <c r="AW164" s="711">
        <f t="shared" si="1471"/>
        <v>15</v>
      </c>
      <c r="AX164" s="711" t="str">
        <f t="shared" si="1471"/>
        <v>Based on the DEER 2014 EUL database for the measure "Linear Fluorescent with Electronic Ballast"</v>
      </c>
      <c r="AY164" s="711">
        <f t="shared" si="1471"/>
        <v>1</v>
      </c>
      <c r="AZ164" s="711">
        <f t="shared" si="1471"/>
        <v>1</v>
      </c>
      <c r="BA164" s="1066">
        <f t="shared" si="1471"/>
        <v>0</v>
      </c>
      <c r="BB164" s="721">
        <f t="shared" si="1079"/>
        <v>67.125</v>
      </c>
      <c r="BC164" s="499">
        <f t="shared" si="1080"/>
        <v>67.125</v>
      </c>
      <c r="BD164" s="499">
        <f t="shared" si="1081"/>
        <v>67.125</v>
      </c>
      <c r="BE164" s="499">
        <f t="shared" si="1082"/>
        <v>67.125</v>
      </c>
      <c r="BF164" s="499">
        <f t="shared" si="1083"/>
        <v>67.125</v>
      </c>
      <c r="BG164" s="499">
        <f t="shared" si="1084"/>
        <v>67.125</v>
      </c>
      <c r="BH164" s="499">
        <f t="shared" si="1085"/>
        <v>67.125</v>
      </c>
      <c r="BI164" s="721">
        <f t="shared" si="1379"/>
        <v>0</v>
      </c>
      <c r="BJ164" s="499">
        <f t="shared" ref="BJ164:BM164" si="1472">BI164</f>
        <v>0</v>
      </c>
      <c r="BK164" s="499">
        <f t="shared" si="1472"/>
        <v>0</v>
      </c>
      <c r="BL164" s="499">
        <f t="shared" si="1472"/>
        <v>0</v>
      </c>
      <c r="BM164" s="499">
        <f t="shared" si="1472"/>
        <v>0</v>
      </c>
      <c r="BN164" s="499">
        <f t="shared" si="1087"/>
        <v>0</v>
      </c>
      <c r="BO164" s="499">
        <f t="shared" si="1088"/>
        <v>0</v>
      </c>
      <c r="BP164" s="721">
        <f t="shared" si="1381"/>
        <v>10</v>
      </c>
      <c r="BQ164" s="499">
        <f t="shared" si="1382"/>
        <v>10</v>
      </c>
      <c r="BR164" s="499">
        <f t="shared" si="1089"/>
        <v>10</v>
      </c>
      <c r="BS164" s="499">
        <f t="shared" si="1090"/>
        <v>10</v>
      </c>
      <c r="BT164" s="499">
        <f t="shared" si="1091"/>
        <v>10</v>
      </c>
      <c r="BU164" s="499">
        <f t="shared" si="1092"/>
        <v>10</v>
      </c>
      <c r="BV164" s="499">
        <f t="shared" si="1093"/>
        <v>10</v>
      </c>
      <c r="BW164" s="774">
        <f t="shared" si="1393"/>
        <v>0</v>
      </c>
      <c r="BX164" s="503">
        <f t="shared" si="1393"/>
        <v>0</v>
      </c>
      <c r="BY164" s="503">
        <f t="shared" si="1393"/>
        <v>0</v>
      </c>
      <c r="BZ164" s="503">
        <f t="shared" si="1393"/>
        <v>0</v>
      </c>
      <c r="CA164" s="503">
        <f t="shared" si="1393"/>
        <v>0</v>
      </c>
      <c r="CB164" s="503">
        <f t="shared" si="1393"/>
        <v>0</v>
      </c>
      <c r="CC164" s="503">
        <f t="shared" si="1393"/>
        <v>0</v>
      </c>
      <c r="CD164" s="722">
        <f t="shared" si="1383"/>
        <v>114.589377864</v>
      </c>
      <c r="CE164" s="511">
        <f t="shared" ref="CE164:CH164" si="1473">CD164</f>
        <v>114.589377864</v>
      </c>
      <c r="CF164" s="511">
        <f t="shared" si="1473"/>
        <v>114.589377864</v>
      </c>
      <c r="CG164" s="511">
        <f t="shared" si="1473"/>
        <v>114.589377864</v>
      </c>
      <c r="CH164" s="511">
        <f t="shared" si="1473"/>
        <v>114.589377864</v>
      </c>
      <c r="CI164" s="511">
        <f t="shared" si="1096"/>
        <v>114.589377864</v>
      </c>
      <c r="CJ164" s="511">
        <f t="shared" si="1097"/>
        <v>114.589377864</v>
      </c>
      <c r="CK164" s="722">
        <f t="shared" si="1385"/>
        <v>2.7349574200000001E-2</v>
      </c>
      <c r="CL164" s="511">
        <f t="shared" ref="CL164:CO164" si="1474">CK164</f>
        <v>2.7349574200000001E-2</v>
      </c>
      <c r="CM164" s="511">
        <f t="shared" si="1474"/>
        <v>2.7349574200000001E-2</v>
      </c>
      <c r="CN164" s="511">
        <f t="shared" si="1474"/>
        <v>2.7349574200000001E-2</v>
      </c>
      <c r="CO164" s="511">
        <f t="shared" si="1474"/>
        <v>2.7349574200000001E-2</v>
      </c>
      <c r="CP164" s="511">
        <f t="shared" si="1099"/>
        <v>2.7349574200000001E-2</v>
      </c>
      <c r="CQ164" s="511">
        <f t="shared" si="1100"/>
        <v>2.7349574200000001E-2</v>
      </c>
      <c r="CR164" s="722">
        <f t="shared" si="1387"/>
        <v>0</v>
      </c>
      <c r="CS164" s="511">
        <f t="shared" ref="CS164:CV164" si="1475">CR164</f>
        <v>0</v>
      </c>
      <c r="CT164" s="511">
        <f t="shared" si="1475"/>
        <v>0</v>
      </c>
      <c r="CU164" s="511">
        <f t="shared" si="1475"/>
        <v>0</v>
      </c>
      <c r="CV164" s="511">
        <f t="shared" si="1475"/>
        <v>0</v>
      </c>
      <c r="CW164" s="511">
        <f t="shared" si="1102"/>
        <v>0</v>
      </c>
      <c r="CX164" s="539">
        <f t="shared" si="1103"/>
        <v>0</v>
      </c>
      <c r="CY164" s="724">
        <f t="shared" si="1196"/>
        <v>33.5625</v>
      </c>
      <c r="CZ164" s="508">
        <f t="shared" si="1197"/>
        <v>33.5625</v>
      </c>
      <c r="DA164" s="508">
        <f t="shared" si="1198"/>
        <v>6.7125000000000004</v>
      </c>
      <c r="DB164" s="508">
        <f t="shared" si="1199"/>
        <v>0</v>
      </c>
      <c r="DC164" s="508">
        <f t="shared" si="1200"/>
        <v>0</v>
      </c>
      <c r="DD164" s="508">
        <f t="shared" si="1201"/>
        <v>0</v>
      </c>
      <c r="DE164" s="726">
        <f t="shared" si="1202"/>
        <v>0</v>
      </c>
      <c r="DF164" s="724">
        <f t="shared" si="1203"/>
        <v>0</v>
      </c>
      <c r="DG164" s="509">
        <f t="shared" si="1204"/>
        <v>0</v>
      </c>
      <c r="DH164" s="509">
        <f t="shared" si="1205"/>
        <v>0</v>
      </c>
      <c r="DI164" s="509">
        <f t="shared" si="1206"/>
        <v>0</v>
      </c>
      <c r="DJ164" s="509">
        <f t="shared" si="1207"/>
        <v>0</v>
      </c>
      <c r="DK164" s="509">
        <f t="shared" si="1208"/>
        <v>0</v>
      </c>
      <c r="DL164" s="451">
        <f t="shared" si="1209"/>
        <v>0</v>
      </c>
      <c r="DM164" s="509">
        <f t="shared" si="1210"/>
        <v>5</v>
      </c>
      <c r="DN164" s="509">
        <f t="shared" si="1211"/>
        <v>5</v>
      </c>
      <c r="DO164" s="509">
        <f t="shared" si="1212"/>
        <v>1</v>
      </c>
      <c r="DP164" s="509">
        <f t="shared" si="1213"/>
        <v>0</v>
      </c>
      <c r="DQ164" s="509">
        <f t="shared" si="1214"/>
        <v>0</v>
      </c>
      <c r="DR164" s="509">
        <f t="shared" si="1215"/>
        <v>0</v>
      </c>
      <c r="DS164" s="450">
        <f t="shared" si="1216"/>
        <v>0</v>
      </c>
      <c r="DT164" s="724">
        <f t="shared" si="1217"/>
        <v>0</v>
      </c>
      <c r="DU164" s="508">
        <f t="shared" si="1218"/>
        <v>0</v>
      </c>
      <c r="DV164" s="508">
        <f t="shared" si="1219"/>
        <v>0</v>
      </c>
      <c r="DW164" s="508">
        <f t="shared" si="1220"/>
        <v>0</v>
      </c>
      <c r="DX164" s="508">
        <f t="shared" si="1221"/>
        <v>0</v>
      </c>
      <c r="DY164" s="508">
        <f t="shared" si="1222"/>
        <v>0</v>
      </c>
      <c r="DZ164" s="726">
        <f t="shared" si="1223"/>
        <v>0</v>
      </c>
      <c r="EA164" s="722">
        <f t="shared" si="1224"/>
        <v>57.294688932</v>
      </c>
      <c r="EB164" s="511">
        <f t="shared" si="1225"/>
        <v>57.294688932</v>
      </c>
      <c r="EC164" s="511">
        <f t="shared" si="1226"/>
        <v>11.4589377864</v>
      </c>
      <c r="ED164" s="511">
        <f t="shared" si="1227"/>
        <v>0</v>
      </c>
      <c r="EE164" s="511">
        <f t="shared" si="1228"/>
        <v>0</v>
      </c>
      <c r="EF164" s="511">
        <f t="shared" si="1229"/>
        <v>0</v>
      </c>
      <c r="EG164" s="723">
        <f t="shared" si="1230"/>
        <v>0</v>
      </c>
      <c r="EH164" s="397">
        <f t="shared" si="1231"/>
        <v>1.36747871E-2</v>
      </c>
      <c r="EI164" s="397">
        <f t="shared" si="1232"/>
        <v>1.36747871E-2</v>
      </c>
      <c r="EJ164" s="397">
        <f t="shared" si="1233"/>
        <v>2.7349574200000002E-3</v>
      </c>
      <c r="EK164" s="397">
        <f t="shared" si="1234"/>
        <v>0</v>
      </c>
      <c r="EL164" s="397">
        <f t="shared" si="1235"/>
        <v>0</v>
      </c>
      <c r="EM164" s="397">
        <f t="shared" si="1236"/>
        <v>0</v>
      </c>
      <c r="EN164" s="398">
        <f t="shared" si="1237"/>
        <v>0</v>
      </c>
      <c r="EO164" s="722">
        <f t="shared" si="1238"/>
        <v>0</v>
      </c>
      <c r="EP164" s="511">
        <f t="shared" si="1239"/>
        <v>0</v>
      </c>
      <c r="EQ164" s="511">
        <f t="shared" si="1240"/>
        <v>0</v>
      </c>
      <c r="ER164" s="511">
        <f t="shared" si="1241"/>
        <v>0</v>
      </c>
      <c r="ES164" s="511">
        <f t="shared" si="1242"/>
        <v>0</v>
      </c>
      <c r="ET164" s="511">
        <f t="shared" si="1243"/>
        <v>0</v>
      </c>
      <c r="EU164" s="723">
        <f t="shared" si="1244"/>
        <v>0</v>
      </c>
      <c r="EV164" s="727">
        <f t="shared" si="1245"/>
        <v>1.1000000000000001</v>
      </c>
      <c r="EW164" s="728">
        <f t="shared" si="1246"/>
        <v>73.837500000000006</v>
      </c>
      <c r="EX164" s="728">
        <f t="shared" si="1247"/>
        <v>0</v>
      </c>
      <c r="EY164" s="728">
        <f t="shared" si="1248"/>
        <v>11</v>
      </c>
      <c r="EZ164" s="728">
        <f t="shared" si="1249"/>
        <v>0</v>
      </c>
      <c r="FA164" s="777">
        <f t="shared" si="1250"/>
        <v>126.0483156504</v>
      </c>
      <c r="FB164" s="777">
        <f t="shared" si="1251"/>
        <v>3.008453162E-2</v>
      </c>
      <c r="FC164" s="778">
        <f t="shared" si="1252"/>
        <v>0</v>
      </c>
    </row>
    <row r="165" spans="1:162" s="10" customFormat="1" ht="12.5">
      <c r="A165" s="662" t="s">
        <v>272</v>
      </c>
      <c r="B165" s="789" t="s">
        <v>1456</v>
      </c>
      <c r="C165" s="789" t="str">
        <f t="shared" ref="C165:O165" si="1476">C51</f>
        <v>Any LED lamps or ballasts must also be ENERGY STAR® certified or listed on the Design Lights Consortium (DLC) qualified list.</v>
      </c>
      <c r="D165" s="789" t="str">
        <f t="shared" si="1476"/>
        <v>High-bay luminaire with a high intensity discharge or fluorescent light-source</v>
      </c>
      <c r="E165" s="789" t="str">
        <f t="shared" si="1476"/>
        <v>n/a</v>
      </c>
      <c r="F165" s="789" t="str">
        <f t="shared" si="1476"/>
        <v>Per Unit</v>
      </c>
      <c r="G165" s="704" t="str">
        <f t="shared" si="1476"/>
        <v>Incremental Cost</v>
      </c>
      <c r="H165" s="704">
        <f t="shared" si="1476"/>
        <v>326.08199999999999</v>
      </c>
      <c r="I165" s="704">
        <f t="shared" si="1476"/>
        <v>0</v>
      </c>
      <c r="J165" s="704">
        <f t="shared" si="1476"/>
        <v>326.08199999999999</v>
      </c>
      <c r="K165" s="704">
        <f t="shared" si="1476"/>
        <v>-2.17</v>
      </c>
      <c r="L165" s="704">
        <f t="shared" si="1476"/>
        <v>163.041</v>
      </c>
      <c r="M165" s="881" t="str">
        <f t="shared" si="1476"/>
        <v>Costs estimated from Mid-Atlantic TRM v9: LED High-Bay Luminaires and Retrofit Kits; O&amp;M impact - $32.50/lamp over 15 year max measure life</v>
      </c>
      <c r="N165" s="704">
        <f t="shared" si="1476"/>
        <v>25</v>
      </c>
      <c r="O165" s="704">
        <f t="shared" si="1476"/>
        <v>25</v>
      </c>
      <c r="P165" s="704">
        <f t="shared" si="1441"/>
        <v>0</v>
      </c>
      <c r="Q165" s="704">
        <f t="shared" si="1441"/>
        <v>0</v>
      </c>
      <c r="R165" s="1021">
        <f t="shared" si="1347"/>
        <v>2111.8968</v>
      </c>
      <c r="S165" s="872">
        <f t="shared" si="1347"/>
        <v>0.32590999999999998</v>
      </c>
      <c r="T165" s="1022">
        <f t="shared" si="1412"/>
        <v>-15.416846639999999</v>
      </c>
      <c r="U165" s="711" t="str">
        <f t="shared" si="1348"/>
        <v>Per unit savings estimate from Mid-Atlantic TRM v9 "LED LED High-Bay Luminaires and Retrofit Kits" - use-specific input assumptions are average of all building types from Table D-3; Base and EE Wattage assumptions are average from IL TRM 4.5.4 LED Bulbs and Fixtures "LED Fixture Wattage, TOS Baseline and Incremental Cost Assumptions" Table</v>
      </c>
      <c r="V165" s="716">
        <f t="shared" si="1348"/>
        <v>0</v>
      </c>
      <c r="W165" s="711">
        <f t="shared" si="1348"/>
        <v>1</v>
      </c>
      <c r="X165" s="781">
        <f t="shared" ref="X165:AJ165" si="1477">X51/2</f>
        <v>0</v>
      </c>
      <c r="Y165" s="781">
        <f t="shared" si="1477"/>
        <v>0</v>
      </c>
      <c r="Z165" s="781">
        <f t="shared" si="1477"/>
        <v>0</v>
      </c>
      <c r="AA165" s="781">
        <f t="shared" si="1477"/>
        <v>0</v>
      </c>
      <c r="AB165" s="781">
        <f t="shared" si="1477"/>
        <v>0</v>
      </c>
      <c r="AC165" s="781">
        <f t="shared" si="1477"/>
        <v>0</v>
      </c>
      <c r="AD165" s="781">
        <f t="shared" si="1477"/>
        <v>0</v>
      </c>
      <c r="AE165" s="781">
        <f t="shared" si="1477"/>
        <v>0</v>
      </c>
      <c r="AF165" s="781">
        <f t="shared" si="1477"/>
        <v>0</v>
      </c>
      <c r="AG165" s="781">
        <f t="shared" si="1477"/>
        <v>0</v>
      </c>
      <c r="AH165" s="781">
        <f t="shared" si="1477"/>
        <v>0</v>
      </c>
      <c r="AI165" s="781">
        <f t="shared" si="1477"/>
        <v>0</v>
      </c>
      <c r="AJ165" s="781">
        <f t="shared" si="1477"/>
        <v>0</v>
      </c>
      <c r="AK165" s="711" t="str">
        <f t="shared" ref="AK165:BA165" si="1478">AK51</f>
        <v>Electric</v>
      </c>
      <c r="AL165" s="711" t="str">
        <f t="shared" si="1478"/>
        <v>Commercial</v>
      </c>
      <c r="AM165" s="711" t="str">
        <f t="shared" si="1478"/>
        <v>Large Office</v>
      </c>
      <c r="AN165" s="711" t="str">
        <f t="shared" si="1478"/>
        <v>Lighting</v>
      </c>
      <c r="AO165" s="711" t="str">
        <f t="shared" si="1478"/>
        <v>Existing</v>
      </c>
      <c r="AP165" s="711">
        <f t="shared" si="1478"/>
        <v>0</v>
      </c>
      <c r="AQ165" s="711">
        <f t="shared" si="1478"/>
        <v>0</v>
      </c>
      <c r="AR165" s="711">
        <f t="shared" si="1478"/>
        <v>0</v>
      </c>
      <c r="AS165" s="711" t="str">
        <f t="shared" si="1478"/>
        <v>OFFLGInLight</v>
      </c>
      <c r="AT165" s="715" t="s">
        <v>745</v>
      </c>
      <c r="AU165" s="711" t="str">
        <f t="shared" si="1478"/>
        <v>LGE NonRes</v>
      </c>
      <c r="AV165" s="711">
        <f t="shared" si="1478"/>
        <v>20</v>
      </c>
      <c r="AW165" s="711">
        <f t="shared" si="1478"/>
        <v>15</v>
      </c>
      <c r="AX165" s="711" t="str">
        <f t="shared" si="1478"/>
        <v>Based on the DEER 2014 EUL database for the measure "HID Lighting (T-5)"</v>
      </c>
      <c r="AY165" s="711">
        <f t="shared" si="1478"/>
        <v>1</v>
      </c>
      <c r="AZ165" s="711">
        <f t="shared" si="1478"/>
        <v>1</v>
      </c>
      <c r="BA165" s="1066">
        <f t="shared" si="1478"/>
        <v>0</v>
      </c>
      <c r="BB165" s="721">
        <f t="shared" si="1079"/>
        <v>326.08199999999999</v>
      </c>
      <c r="BC165" s="499">
        <f t="shared" si="1080"/>
        <v>326.08199999999999</v>
      </c>
      <c r="BD165" s="499">
        <f t="shared" si="1081"/>
        <v>326.08199999999999</v>
      </c>
      <c r="BE165" s="499">
        <f t="shared" si="1082"/>
        <v>326.08199999999999</v>
      </c>
      <c r="BF165" s="499">
        <f t="shared" si="1083"/>
        <v>326.08199999999999</v>
      </c>
      <c r="BG165" s="499">
        <f t="shared" si="1084"/>
        <v>326.08199999999999</v>
      </c>
      <c r="BH165" s="499">
        <f t="shared" si="1085"/>
        <v>326.08199999999999</v>
      </c>
      <c r="BI165" s="721">
        <f t="shared" si="1379"/>
        <v>-2.17</v>
      </c>
      <c r="BJ165" s="499">
        <f t="shared" ref="BJ165:BM165" si="1479">BI165</f>
        <v>-2.17</v>
      </c>
      <c r="BK165" s="499">
        <f t="shared" si="1479"/>
        <v>-2.17</v>
      </c>
      <c r="BL165" s="499">
        <f t="shared" si="1479"/>
        <v>-2.17</v>
      </c>
      <c r="BM165" s="499">
        <f t="shared" si="1479"/>
        <v>-2.17</v>
      </c>
      <c r="BN165" s="499">
        <f t="shared" si="1087"/>
        <v>-2.17</v>
      </c>
      <c r="BO165" s="499">
        <f t="shared" si="1088"/>
        <v>-2.17</v>
      </c>
      <c r="BP165" s="721">
        <f t="shared" si="1381"/>
        <v>25</v>
      </c>
      <c r="BQ165" s="499">
        <f t="shared" si="1382"/>
        <v>25</v>
      </c>
      <c r="BR165" s="499">
        <f t="shared" si="1089"/>
        <v>25</v>
      </c>
      <c r="BS165" s="499">
        <f t="shared" si="1090"/>
        <v>25</v>
      </c>
      <c r="BT165" s="499">
        <f t="shared" si="1091"/>
        <v>25</v>
      </c>
      <c r="BU165" s="499">
        <f t="shared" si="1092"/>
        <v>25</v>
      </c>
      <c r="BV165" s="499">
        <f t="shared" si="1093"/>
        <v>25</v>
      </c>
      <c r="BW165" s="774">
        <f t="shared" si="1393"/>
        <v>0</v>
      </c>
      <c r="BX165" s="503">
        <f t="shared" si="1393"/>
        <v>0</v>
      </c>
      <c r="BY165" s="503">
        <f t="shared" si="1393"/>
        <v>0</v>
      </c>
      <c r="BZ165" s="503">
        <f t="shared" si="1393"/>
        <v>0</v>
      </c>
      <c r="CA165" s="503">
        <f t="shared" si="1393"/>
        <v>0</v>
      </c>
      <c r="CB165" s="503">
        <f t="shared" si="1393"/>
        <v>0</v>
      </c>
      <c r="CC165" s="503">
        <f t="shared" si="1393"/>
        <v>0</v>
      </c>
      <c r="CD165" s="722">
        <f t="shared" si="1383"/>
        <v>2111.8968</v>
      </c>
      <c r="CE165" s="511">
        <f t="shared" ref="CE165:CH165" si="1480">CD165</f>
        <v>2111.8968</v>
      </c>
      <c r="CF165" s="511">
        <f t="shared" si="1480"/>
        <v>2111.8968</v>
      </c>
      <c r="CG165" s="511">
        <f t="shared" si="1480"/>
        <v>2111.8968</v>
      </c>
      <c r="CH165" s="511">
        <f t="shared" si="1480"/>
        <v>2111.8968</v>
      </c>
      <c r="CI165" s="511">
        <f t="shared" si="1096"/>
        <v>2111.8968</v>
      </c>
      <c r="CJ165" s="511">
        <f t="shared" si="1097"/>
        <v>2111.8968</v>
      </c>
      <c r="CK165" s="722">
        <f t="shared" si="1385"/>
        <v>0.32590999999999998</v>
      </c>
      <c r="CL165" s="511">
        <f t="shared" ref="CL165:CO165" si="1481">CK165</f>
        <v>0.32590999999999998</v>
      </c>
      <c r="CM165" s="511">
        <f t="shared" si="1481"/>
        <v>0.32590999999999998</v>
      </c>
      <c r="CN165" s="511">
        <f t="shared" si="1481"/>
        <v>0.32590999999999998</v>
      </c>
      <c r="CO165" s="511">
        <f t="shared" si="1481"/>
        <v>0.32590999999999998</v>
      </c>
      <c r="CP165" s="511">
        <f t="shared" si="1099"/>
        <v>0.32590999999999998</v>
      </c>
      <c r="CQ165" s="511">
        <f t="shared" si="1100"/>
        <v>0.32590999999999998</v>
      </c>
      <c r="CR165" s="722">
        <f t="shared" si="1387"/>
        <v>0</v>
      </c>
      <c r="CS165" s="511">
        <f t="shared" ref="CS165:CV165" si="1482">CR165</f>
        <v>0</v>
      </c>
      <c r="CT165" s="511">
        <f t="shared" si="1482"/>
        <v>0</v>
      </c>
      <c r="CU165" s="511">
        <f t="shared" si="1482"/>
        <v>0</v>
      </c>
      <c r="CV165" s="511">
        <f t="shared" si="1482"/>
        <v>0</v>
      </c>
      <c r="CW165" s="511">
        <f t="shared" si="1102"/>
        <v>0</v>
      </c>
      <c r="CX165" s="539">
        <f t="shared" si="1103"/>
        <v>0</v>
      </c>
      <c r="CY165" s="724">
        <f t="shared" si="1196"/>
        <v>0</v>
      </c>
      <c r="CZ165" s="508">
        <f t="shared" si="1197"/>
        <v>0</v>
      </c>
      <c r="DA165" s="508">
        <f t="shared" si="1198"/>
        <v>0</v>
      </c>
      <c r="DB165" s="508">
        <f t="shared" si="1199"/>
        <v>0</v>
      </c>
      <c r="DC165" s="508">
        <f t="shared" si="1200"/>
        <v>0</v>
      </c>
      <c r="DD165" s="508">
        <f t="shared" si="1201"/>
        <v>0</v>
      </c>
      <c r="DE165" s="726">
        <f t="shared" si="1202"/>
        <v>0</v>
      </c>
      <c r="DF165" s="724">
        <f t="shared" si="1203"/>
        <v>0</v>
      </c>
      <c r="DG165" s="509">
        <f t="shared" si="1204"/>
        <v>0</v>
      </c>
      <c r="DH165" s="509">
        <f t="shared" si="1205"/>
        <v>0</v>
      </c>
      <c r="DI165" s="509">
        <f t="shared" si="1206"/>
        <v>0</v>
      </c>
      <c r="DJ165" s="509">
        <f t="shared" si="1207"/>
        <v>0</v>
      </c>
      <c r="DK165" s="509">
        <f t="shared" si="1208"/>
        <v>0</v>
      </c>
      <c r="DL165" s="451">
        <f t="shared" si="1209"/>
        <v>0</v>
      </c>
      <c r="DM165" s="509">
        <f t="shared" si="1210"/>
        <v>0</v>
      </c>
      <c r="DN165" s="509">
        <f t="shared" si="1211"/>
        <v>0</v>
      </c>
      <c r="DO165" s="509">
        <f t="shared" si="1212"/>
        <v>0</v>
      </c>
      <c r="DP165" s="509">
        <f t="shared" si="1213"/>
        <v>0</v>
      </c>
      <c r="DQ165" s="509">
        <f t="shared" si="1214"/>
        <v>0</v>
      </c>
      <c r="DR165" s="509">
        <f t="shared" si="1215"/>
        <v>0</v>
      </c>
      <c r="DS165" s="450">
        <f t="shared" si="1216"/>
        <v>0</v>
      </c>
      <c r="DT165" s="724">
        <f t="shared" si="1217"/>
        <v>0</v>
      </c>
      <c r="DU165" s="508">
        <f t="shared" si="1218"/>
        <v>0</v>
      </c>
      <c r="DV165" s="508">
        <f t="shared" si="1219"/>
        <v>0</v>
      </c>
      <c r="DW165" s="508">
        <f t="shared" si="1220"/>
        <v>0</v>
      </c>
      <c r="DX165" s="508">
        <f t="shared" si="1221"/>
        <v>0</v>
      </c>
      <c r="DY165" s="508">
        <f t="shared" si="1222"/>
        <v>0</v>
      </c>
      <c r="DZ165" s="726">
        <f t="shared" si="1223"/>
        <v>0</v>
      </c>
      <c r="EA165" s="722">
        <f t="shared" si="1224"/>
        <v>0</v>
      </c>
      <c r="EB165" s="511">
        <f t="shared" si="1225"/>
        <v>0</v>
      </c>
      <c r="EC165" s="511">
        <f t="shared" si="1226"/>
        <v>0</v>
      </c>
      <c r="ED165" s="511">
        <f t="shared" si="1227"/>
        <v>0</v>
      </c>
      <c r="EE165" s="511">
        <f t="shared" si="1228"/>
        <v>0</v>
      </c>
      <c r="EF165" s="511">
        <f t="shared" si="1229"/>
        <v>0</v>
      </c>
      <c r="EG165" s="723">
        <f t="shared" si="1230"/>
        <v>0</v>
      </c>
      <c r="EH165" s="397">
        <f t="shared" si="1231"/>
        <v>0</v>
      </c>
      <c r="EI165" s="397">
        <f t="shared" si="1232"/>
        <v>0</v>
      </c>
      <c r="EJ165" s="397">
        <f t="shared" si="1233"/>
        <v>0</v>
      </c>
      <c r="EK165" s="397">
        <f t="shared" si="1234"/>
        <v>0</v>
      </c>
      <c r="EL165" s="397">
        <f t="shared" si="1235"/>
        <v>0</v>
      </c>
      <c r="EM165" s="397">
        <f t="shared" si="1236"/>
        <v>0</v>
      </c>
      <c r="EN165" s="398">
        <f t="shared" si="1237"/>
        <v>0</v>
      </c>
      <c r="EO165" s="722">
        <f t="shared" si="1238"/>
        <v>0</v>
      </c>
      <c r="EP165" s="511">
        <f t="shared" si="1239"/>
        <v>0</v>
      </c>
      <c r="EQ165" s="511">
        <f t="shared" si="1240"/>
        <v>0</v>
      </c>
      <c r="ER165" s="511">
        <f t="shared" si="1241"/>
        <v>0</v>
      </c>
      <c r="ES165" s="511">
        <f t="shared" si="1242"/>
        <v>0</v>
      </c>
      <c r="ET165" s="511">
        <f t="shared" si="1243"/>
        <v>0</v>
      </c>
      <c r="EU165" s="723">
        <f t="shared" si="1244"/>
        <v>0</v>
      </c>
      <c r="EV165" s="727">
        <f t="shared" si="1245"/>
        <v>0</v>
      </c>
      <c r="EW165" s="728">
        <f t="shared" si="1246"/>
        <v>0</v>
      </c>
      <c r="EX165" s="728">
        <f t="shared" si="1247"/>
        <v>0</v>
      </c>
      <c r="EY165" s="728">
        <f t="shared" si="1248"/>
        <v>0</v>
      </c>
      <c r="EZ165" s="728">
        <f t="shared" si="1249"/>
        <v>0</v>
      </c>
      <c r="FA165" s="777">
        <f t="shared" si="1250"/>
        <v>0</v>
      </c>
      <c r="FB165" s="777">
        <f t="shared" si="1251"/>
        <v>0</v>
      </c>
      <c r="FC165" s="778">
        <f t="shared" si="1252"/>
        <v>0</v>
      </c>
    </row>
    <row r="166" spans="1:162" s="10" customFormat="1" ht="12.5">
      <c r="A166" s="662" t="s">
        <v>273</v>
      </c>
      <c r="B166" s="789" t="s">
        <v>1457</v>
      </c>
      <c r="C166" s="789" t="str">
        <f t="shared" ref="C166:O166" si="1483">C52</f>
        <v>Any LED lamps or ballasts must also be ENERGY STAR® certified or listed on the Design Lights Consortium (DLC) qualified list.</v>
      </c>
      <c r="D166" s="789" t="str">
        <f t="shared" si="1483"/>
        <v>Existing four-foot linear fluorescent fixture</v>
      </c>
      <c r="E166" s="789" t="str">
        <f t="shared" si="1483"/>
        <v>n/a</v>
      </c>
      <c r="F166" s="789" t="str">
        <f t="shared" si="1483"/>
        <v>Per Unit</v>
      </c>
      <c r="G166" s="704" t="str">
        <f t="shared" si="1483"/>
        <v>Incremental Cost</v>
      </c>
      <c r="H166" s="704">
        <f t="shared" si="1483"/>
        <v>30.205000000000002</v>
      </c>
      <c r="I166" s="704">
        <f t="shared" si="1483"/>
        <v>0</v>
      </c>
      <c r="J166" s="704">
        <f t="shared" si="1483"/>
        <v>30.205000000000002</v>
      </c>
      <c r="K166" s="704">
        <f t="shared" si="1483"/>
        <v>0</v>
      </c>
      <c r="L166" s="704">
        <f t="shared" si="1483"/>
        <v>15.102500000000001</v>
      </c>
      <c r="M166" s="881" t="str">
        <f t="shared" si="1483"/>
        <v xml:space="preserve">Costs estimated from Mid-Atlantic TRM v9: LED Four-Foot Linear Replacement Lamps; </v>
      </c>
      <c r="N166" s="704">
        <f t="shared" si="1483"/>
        <v>3</v>
      </c>
      <c r="O166" s="704">
        <f t="shared" si="1483"/>
        <v>3</v>
      </c>
      <c r="P166" s="704">
        <f t="shared" si="1441"/>
        <v>0</v>
      </c>
      <c r="Q166" s="704">
        <f t="shared" si="1441"/>
        <v>0</v>
      </c>
      <c r="R166" s="1021">
        <f t="shared" si="1347"/>
        <v>39.487499999999997</v>
      </c>
      <c r="S166" s="872">
        <f t="shared" si="1347"/>
        <v>6.0937500000000002E-3</v>
      </c>
      <c r="T166" s="1022">
        <f t="shared" si="1412"/>
        <v>-0.28825874999999995</v>
      </c>
      <c r="U166" s="711" t="str">
        <f t="shared" si="1348"/>
        <v>Per unit savings estimate from Mid-Atlantic TRM v9 "LED LED High-Bay Luminaires and Retrofit Kits" - use-specific input assumptions are average of all building types from Table D-3</v>
      </c>
      <c r="V166" s="716">
        <f t="shared" si="1348"/>
        <v>0</v>
      </c>
      <c r="W166" s="711">
        <f t="shared" si="1348"/>
        <v>1</v>
      </c>
      <c r="X166" s="781">
        <f t="shared" ref="X166:AJ166" si="1484">X52/2</f>
        <v>0</v>
      </c>
      <c r="Y166" s="781">
        <f t="shared" si="1484"/>
        <v>0</v>
      </c>
      <c r="Z166" s="781">
        <f t="shared" si="1484"/>
        <v>0</v>
      </c>
      <c r="AA166" s="781">
        <f t="shared" si="1484"/>
        <v>6071.1428571428569</v>
      </c>
      <c r="AB166" s="781">
        <f t="shared" si="1484"/>
        <v>3035.5714285714284</v>
      </c>
      <c r="AC166" s="781">
        <f t="shared" si="1484"/>
        <v>3035.5</v>
      </c>
      <c r="AD166" s="781">
        <f t="shared" si="1484"/>
        <v>3035.5</v>
      </c>
      <c r="AE166" s="781">
        <f t="shared" si="1484"/>
        <v>3035.5</v>
      </c>
      <c r="AF166" s="781">
        <f t="shared" si="1484"/>
        <v>728.52</v>
      </c>
      <c r="AG166" s="781">
        <f t="shared" si="1484"/>
        <v>0</v>
      </c>
      <c r="AH166" s="781">
        <f t="shared" si="1484"/>
        <v>0</v>
      </c>
      <c r="AI166" s="781">
        <f t="shared" si="1484"/>
        <v>0</v>
      </c>
      <c r="AJ166" s="781">
        <f t="shared" si="1484"/>
        <v>0</v>
      </c>
      <c r="AK166" s="711" t="str">
        <f t="shared" ref="AK166:BA166" si="1485">AK52</f>
        <v>Electric</v>
      </c>
      <c r="AL166" s="711" t="str">
        <f t="shared" si="1485"/>
        <v>Commercial</v>
      </c>
      <c r="AM166" s="711" t="str">
        <f t="shared" si="1485"/>
        <v>Large Office</v>
      </c>
      <c r="AN166" s="711" t="str">
        <f t="shared" si="1485"/>
        <v>Lighting</v>
      </c>
      <c r="AO166" s="711" t="str">
        <f t="shared" si="1485"/>
        <v>Existing</v>
      </c>
      <c r="AP166" s="711">
        <f t="shared" si="1485"/>
        <v>0</v>
      </c>
      <c r="AQ166" s="711">
        <f t="shared" si="1485"/>
        <v>0</v>
      </c>
      <c r="AR166" s="711">
        <f t="shared" si="1485"/>
        <v>0</v>
      </c>
      <c r="AS166" s="711" t="str">
        <f t="shared" si="1485"/>
        <v>OFFLGInLight</v>
      </c>
      <c r="AT166" s="715" t="s">
        <v>745</v>
      </c>
      <c r="AU166" s="711" t="str">
        <f t="shared" si="1485"/>
        <v>LGE NonRes</v>
      </c>
      <c r="AV166" s="711">
        <f t="shared" si="1485"/>
        <v>20</v>
      </c>
      <c r="AW166" s="711">
        <f t="shared" si="1485"/>
        <v>15</v>
      </c>
      <c r="AX166" s="711" t="str">
        <f t="shared" si="1485"/>
        <v>Based on the DEER 2014 EUL database for the measure "Linear Fluorescent with Electronic Ballast"</v>
      </c>
      <c r="AY166" s="711">
        <f t="shared" si="1485"/>
        <v>1</v>
      </c>
      <c r="AZ166" s="711">
        <f t="shared" si="1485"/>
        <v>1</v>
      </c>
      <c r="BA166" s="1066">
        <f t="shared" si="1485"/>
        <v>0</v>
      </c>
      <c r="BB166" s="721">
        <f t="shared" si="1079"/>
        <v>30.205000000000002</v>
      </c>
      <c r="BC166" s="499">
        <f t="shared" si="1080"/>
        <v>30.205000000000002</v>
      </c>
      <c r="BD166" s="499">
        <f t="shared" si="1081"/>
        <v>30.205000000000002</v>
      </c>
      <c r="BE166" s="499">
        <f t="shared" si="1082"/>
        <v>30.205000000000002</v>
      </c>
      <c r="BF166" s="499">
        <f t="shared" si="1083"/>
        <v>30.205000000000002</v>
      </c>
      <c r="BG166" s="499">
        <f t="shared" si="1084"/>
        <v>30.205000000000002</v>
      </c>
      <c r="BH166" s="499">
        <f t="shared" si="1085"/>
        <v>30.205000000000002</v>
      </c>
      <c r="BI166" s="721">
        <f t="shared" si="1379"/>
        <v>0</v>
      </c>
      <c r="BJ166" s="499">
        <f t="shared" ref="BJ166:BM166" si="1486">BI166</f>
        <v>0</v>
      </c>
      <c r="BK166" s="499">
        <f t="shared" si="1486"/>
        <v>0</v>
      </c>
      <c r="BL166" s="499">
        <f t="shared" si="1486"/>
        <v>0</v>
      </c>
      <c r="BM166" s="499">
        <f t="shared" si="1486"/>
        <v>0</v>
      </c>
      <c r="BN166" s="499">
        <f t="shared" si="1087"/>
        <v>0</v>
      </c>
      <c r="BO166" s="499">
        <f t="shared" si="1088"/>
        <v>0</v>
      </c>
      <c r="BP166" s="721">
        <f t="shared" si="1381"/>
        <v>3</v>
      </c>
      <c r="BQ166" s="499">
        <f t="shared" si="1382"/>
        <v>3</v>
      </c>
      <c r="BR166" s="499">
        <f t="shared" si="1089"/>
        <v>3</v>
      </c>
      <c r="BS166" s="499">
        <f t="shared" si="1090"/>
        <v>3</v>
      </c>
      <c r="BT166" s="499">
        <f t="shared" si="1091"/>
        <v>3</v>
      </c>
      <c r="BU166" s="499">
        <f t="shared" si="1092"/>
        <v>3</v>
      </c>
      <c r="BV166" s="499">
        <f t="shared" si="1093"/>
        <v>3</v>
      </c>
      <c r="BW166" s="774">
        <f t="shared" si="1393"/>
        <v>0</v>
      </c>
      <c r="BX166" s="503">
        <f t="shared" si="1393"/>
        <v>0</v>
      </c>
      <c r="BY166" s="503">
        <f t="shared" si="1393"/>
        <v>0</v>
      </c>
      <c r="BZ166" s="503">
        <f t="shared" si="1393"/>
        <v>0</v>
      </c>
      <c r="CA166" s="503">
        <f t="shared" si="1393"/>
        <v>0</v>
      </c>
      <c r="CB166" s="503">
        <f t="shared" si="1393"/>
        <v>0</v>
      </c>
      <c r="CC166" s="503">
        <f t="shared" si="1393"/>
        <v>0</v>
      </c>
      <c r="CD166" s="722">
        <f t="shared" si="1383"/>
        <v>39.487499999999997</v>
      </c>
      <c r="CE166" s="511">
        <f t="shared" ref="CE166:CH166" si="1487">CD166</f>
        <v>39.487499999999997</v>
      </c>
      <c r="CF166" s="511">
        <f t="shared" si="1487"/>
        <v>39.487499999999997</v>
      </c>
      <c r="CG166" s="511">
        <f t="shared" si="1487"/>
        <v>39.487499999999997</v>
      </c>
      <c r="CH166" s="511">
        <f t="shared" si="1487"/>
        <v>39.487499999999997</v>
      </c>
      <c r="CI166" s="511">
        <f t="shared" si="1096"/>
        <v>39.487499999999997</v>
      </c>
      <c r="CJ166" s="511">
        <f t="shared" si="1097"/>
        <v>39.487499999999997</v>
      </c>
      <c r="CK166" s="722">
        <f t="shared" si="1385"/>
        <v>6.0937500000000002E-3</v>
      </c>
      <c r="CL166" s="511">
        <f t="shared" ref="CL166:CO166" si="1488">CK166</f>
        <v>6.0937500000000002E-3</v>
      </c>
      <c r="CM166" s="511">
        <f t="shared" si="1488"/>
        <v>6.0937500000000002E-3</v>
      </c>
      <c r="CN166" s="511">
        <f t="shared" si="1488"/>
        <v>6.0937500000000002E-3</v>
      </c>
      <c r="CO166" s="511">
        <f t="shared" si="1488"/>
        <v>6.0937500000000002E-3</v>
      </c>
      <c r="CP166" s="511">
        <f t="shared" si="1099"/>
        <v>6.0937500000000002E-3</v>
      </c>
      <c r="CQ166" s="511">
        <f t="shared" si="1100"/>
        <v>6.0937500000000002E-3</v>
      </c>
      <c r="CR166" s="722">
        <f t="shared" si="1387"/>
        <v>0</v>
      </c>
      <c r="CS166" s="511">
        <f t="shared" ref="CS166:CV166" si="1489">CR166</f>
        <v>0</v>
      </c>
      <c r="CT166" s="511">
        <f t="shared" si="1489"/>
        <v>0</v>
      </c>
      <c r="CU166" s="511">
        <f t="shared" si="1489"/>
        <v>0</v>
      </c>
      <c r="CV166" s="511">
        <f t="shared" si="1489"/>
        <v>0</v>
      </c>
      <c r="CW166" s="511">
        <f t="shared" si="1102"/>
        <v>0</v>
      </c>
      <c r="CX166" s="539">
        <f t="shared" si="1103"/>
        <v>0</v>
      </c>
      <c r="CY166" s="724">
        <f t="shared" ref="CY166:CY175" si="1490">AD166*BB166*$W166</f>
        <v>91687.277500000011</v>
      </c>
      <c r="CZ166" s="508">
        <f t="shared" ref="CZ166:CZ175" si="1491">AE166*BC166*$W166</f>
        <v>91687.277500000011</v>
      </c>
      <c r="DA166" s="508">
        <f t="shared" ref="DA166:DA175" si="1492">AF166*BD166*$W166</f>
        <v>22004.946599999999</v>
      </c>
      <c r="DB166" s="508">
        <f t="shared" ref="DB166:DB175" si="1493">AG166*BE166*$W166</f>
        <v>0</v>
      </c>
      <c r="DC166" s="508">
        <f t="shared" ref="DC166:DC175" si="1494">AH166*BF166*$W166</f>
        <v>0</v>
      </c>
      <c r="DD166" s="508">
        <f t="shared" ref="DD166:DD175" si="1495">AI166*BG166*$W166</f>
        <v>0</v>
      </c>
      <c r="DE166" s="726">
        <f t="shared" ref="DE166:DE175" si="1496">AJ166*BH166*$W166</f>
        <v>0</v>
      </c>
      <c r="DF166" s="724">
        <f t="shared" ref="DF166:DF175" si="1497">AD166*BI166*$W166</f>
        <v>0</v>
      </c>
      <c r="DG166" s="509">
        <f t="shared" ref="DG166:DG175" si="1498">AE166*BJ166*$W166</f>
        <v>0</v>
      </c>
      <c r="DH166" s="509">
        <f t="shared" ref="DH166:DH175" si="1499">AF166*BK166*$W166</f>
        <v>0</v>
      </c>
      <c r="DI166" s="509">
        <f t="shared" ref="DI166:DI175" si="1500">AG166*BL166*$W166</f>
        <v>0</v>
      </c>
      <c r="DJ166" s="509">
        <f t="shared" ref="DJ166:DJ175" si="1501">AH166*BM166*$W166</f>
        <v>0</v>
      </c>
      <c r="DK166" s="509">
        <f t="shared" ref="DK166:DK175" si="1502">AI166*BN166*$W166</f>
        <v>0</v>
      </c>
      <c r="DL166" s="451">
        <f t="shared" ref="DL166:DL175" si="1503">AJ166*BO166*$W166</f>
        <v>0</v>
      </c>
      <c r="DM166" s="509">
        <f t="shared" ref="DM166:DM175" si="1504">AD166*BP166*$W166</f>
        <v>9106.5</v>
      </c>
      <c r="DN166" s="509">
        <f t="shared" ref="DN166:DN175" si="1505">AE166*BQ166*$W166</f>
        <v>9106.5</v>
      </c>
      <c r="DO166" s="509">
        <f t="shared" ref="DO166:DO175" si="1506">AF166*BR166*$W166</f>
        <v>2185.56</v>
      </c>
      <c r="DP166" s="509">
        <f t="shared" ref="DP166:DP175" si="1507">AG166*BS166*$W166</f>
        <v>0</v>
      </c>
      <c r="DQ166" s="509">
        <f t="shared" ref="DQ166:DQ175" si="1508">AH166*BT166*$W166</f>
        <v>0</v>
      </c>
      <c r="DR166" s="509">
        <f t="shared" ref="DR166:DR175" si="1509">AI166*BU166*$W166</f>
        <v>0</v>
      </c>
      <c r="DS166" s="450">
        <f t="shared" ref="DS166:DS175" si="1510">AJ166*BV166*$W166</f>
        <v>0</v>
      </c>
      <c r="DT166" s="724">
        <f t="shared" ref="DT166:DT175" si="1511">BW166*AD166*$W166</f>
        <v>0</v>
      </c>
      <c r="DU166" s="508">
        <f t="shared" ref="DU166:DU175" si="1512">BX166*AE166*$W166</f>
        <v>0</v>
      </c>
      <c r="DV166" s="508">
        <f t="shared" ref="DV166:DV175" si="1513">BY166*AF166*$W166</f>
        <v>0</v>
      </c>
      <c r="DW166" s="508">
        <f t="shared" ref="DW166:DW175" si="1514">BZ166*AG166*$W166</f>
        <v>0</v>
      </c>
      <c r="DX166" s="508">
        <f t="shared" ref="DX166:DX175" si="1515">CA166*AH166*$W166</f>
        <v>0</v>
      </c>
      <c r="DY166" s="508">
        <f t="shared" ref="DY166:DY175" si="1516">CB166*AI166*$W166</f>
        <v>0</v>
      </c>
      <c r="DZ166" s="726">
        <f t="shared" ref="DZ166:DZ175" si="1517">CC166*AJ166*$W166</f>
        <v>0</v>
      </c>
      <c r="EA166" s="722">
        <f t="shared" ref="EA166:EA175" si="1518">AD166*CD166*$W166</f>
        <v>119864.30624999999</v>
      </c>
      <c r="EB166" s="511">
        <f t="shared" ref="EB166:EB175" si="1519">AE166*CE166*$W166</f>
        <v>119864.30624999999</v>
      </c>
      <c r="EC166" s="511">
        <f t="shared" ref="EC166:EC175" si="1520">AF166*CF166*$W166</f>
        <v>28767.433499999996</v>
      </c>
      <c r="ED166" s="511">
        <f t="shared" ref="ED166:ED175" si="1521">AG166*CG166*$W166</f>
        <v>0</v>
      </c>
      <c r="EE166" s="511">
        <f t="shared" ref="EE166:EE175" si="1522">AH166*CH166*$W166</f>
        <v>0</v>
      </c>
      <c r="EF166" s="511">
        <f t="shared" ref="EF166:EF175" si="1523">AI166*CI166*$W166</f>
        <v>0</v>
      </c>
      <c r="EG166" s="723">
        <f t="shared" ref="EG166:EG175" si="1524">AJ166*CJ166*$W166</f>
        <v>0</v>
      </c>
      <c r="EH166" s="397">
        <f t="shared" ref="EH166:EH175" si="1525">AD166*CK166*$W166</f>
        <v>18.497578125</v>
      </c>
      <c r="EI166" s="397">
        <f t="shared" ref="EI166:EI175" si="1526">AE166*CL166*$W166</f>
        <v>18.497578125</v>
      </c>
      <c r="EJ166" s="397">
        <f t="shared" ref="EJ166:EJ175" si="1527">AF166*CM166*$W166</f>
        <v>4.4394187499999997</v>
      </c>
      <c r="EK166" s="397">
        <f t="shared" ref="EK166:EK175" si="1528">AG166*CN166*$W166</f>
        <v>0</v>
      </c>
      <c r="EL166" s="397">
        <f t="shared" ref="EL166:EL175" si="1529">AH166*CO166*$W166</f>
        <v>0</v>
      </c>
      <c r="EM166" s="397">
        <f t="shared" ref="EM166:EM175" si="1530">AI166*CP166*$W166</f>
        <v>0</v>
      </c>
      <c r="EN166" s="398">
        <f t="shared" ref="EN166:EN175" si="1531">AJ166*CQ166*$W166</f>
        <v>0</v>
      </c>
      <c r="EO166" s="722">
        <f t="shared" ref="EO166:EO175" si="1532">AD166*CR166*$W166</f>
        <v>0</v>
      </c>
      <c r="EP166" s="511">
        <f t="shared" ref="EP166:EP175" si="1533">AE166*CS166*$W166</f>
        <v>0</v>
      </c>
      <c r="EQ166" s="511">
        <f t="shared" ref="EQ166:EQ175" si="1534">AF166*CT166*$W166</f>
        <v>0</v>
      </c>
      <c r="ER166" s="511">
        <f t="shared" ref="ER166:ER175" si="1535">AG166*CU166*$W166</f>
        <v>0</v>
      </c>
      <c r="ES166" s="511">
        <f t="shared" ref="ES166:ES175" si="1536">AH166*CV166*$W166</f>
        <v>0</v>
      </c>
      <c r="ET166" s="511">
        <f t="shared" ref="ET166:ET175" si="1537">AI166*CW166*$W166</f>
        <v>0</v>
      </c>
      <c r="EU166" s="723">
        <f t="shared" ref="EU166:EU175" si="1538">AJ166*CX166*$W166</f>
        <v>0</v>
      </c>
      <c r="EV166" s="727">
        <f t="shared" ref="EV166:EV175" si="1539">SUM(AD166:AF166)</f>
        <v>6799.52</v>
      </c>
      <c r="EW166" s="728">
        <f t="shared" ref="EW166:EW175" si="1540">SUM(CY166:DE166)</f>
        <v>205379.50160000002</v>
      </c>
      <c r="EX166" s="728">
        <f t="shared" ref="EX166:EX175" si="1541">SUM(DF166:DL166)</f>
        <v>0</v>
      </c>
      <c r="EY166" s="728">
        <f t="shared" ref="EY166:EY175" si="1542">SUM(DM166:DS166)</f>
        <v>20398.560000000001</v>
      </c>
      <c r="EZ166" s="728">
        <f t="shared" ref="EZ166:EZ175" si="1543">SUM(DT166:DZ166)</f>
        <v>0</v>
      </c>
      <c r="FA166" s="777">
        <f t="shared" ref="FA166:FA175" si="1544">SUM(EA166:EG166)</f>
        <v>268496.04599999997</v>
      </c>
      <c r="FB166" s="777">
        <f t="shared" ref="FB166:FB175" si="1545">SUM(EH166:EN166)</f>
        <v>41.434575000000002</v>
      </c>
      <c r="FC166" s="778">
        <f t="shared" ref="FC166:FC175" si="1546">SUM(EO166:EU166)</f>
        <v>0</v>
      </c>
    </row>
    <row r="167" spans="1:162" s="10" customFormat="1" ht="12.5">
      <c r="A167" s="662" t="s">
        <v>274</v>
      </c>
      <c r="B167" s="789" t="s">
        <v>1458</v>
      </c>
      <c r="C167" s="789" t="str">
        <f t="shared" ref="C167:O167" si="1547">C53</f>
        <v>Any LED lamps or ballasts must also be ENERGY STAR® certified or listed on the Design Lights Consortium (DLC) qualified list.</v>
      </c>
      <c r="D167" s="789" t="str">
        <f t="shared" si="1547"/>
        <v>Baseline Wall-Wash Fixtures or 2 ft F17T8 Standard Lamp</v>
      </c>
      <c r="E167" s="789" t="str">
        <f t="shared" si="1547"/>
        <v>n/a</v>
      </c>
      <c r="F167" s="789" t="str">
        <f t="shared" si="1547"/>
        <v>Per Unit</v>
      </c>
      <c r="G167" s="704" t="str">
        <f t="shared" si="1547"/>
        <v>Incremental Cost</v>
      </c>
      <c r="H167" s="704">
        <f t="shared" si="1547"/>
        <v>36</v>
      </c>
      <c r="I167" s="704">
        <f t="shared" si="1547"/>
        <v>0</v>
      </c>
      <c r="J167" s="704">
        <f t="shared" si="1547"/>
        <v>36</v>
      </c>
      <c r="K167" s="704">
        <f t="shared" si="1547"/>
        <v>0</v>
      </c>
      <c r="L167" s="704">
        <f t="shared" si="1547"/>
        <v>18</v>
      </c>
      <c r="M167" s="881" t="str">
        <f t="shared" si="1547"/>
        <v>Costs estimated from IL TRM v10: "4.5.4 LED Bulbs and Fixtures;" LED Downlight Fixtures, LED Interior Directional, LED Linear Replacement Lamps, and LED Linear Ambient Fixtures</v>
      </c>
      <c r="N167" s="704">
        <f t="shared" si="1547"/>
        <v>5</v>
      </c>
      <c r="O167" s="704">
        <f t="shared" si="1547"/>
        <v>5</v>
      </c>
      <c r="P167" s="704">
        <f t="shared" si="1441"/>
        <v>0</v>
      </c>
      <c r="Q167" s="704">
        <f t="shared" si="1441"/>
        <v>0</v>
      </c>
      <c r="R167" s="1021">
        <f t="shared" si="1347"/>
        <v>167.1274142799152</v>
      </c>
      <c r="S167" s="872">
        <f t="shared" si="1347"/>
        <v>3.8547530882739774E-2</v>
      </c>
      <c r="T167" s="1022">
        <f t="shared" si="1412"/>
        <v>0</v>
      </c>
      <c r="U167" s="711" t="str">
        <f t="shared" si="1348"/>
        <v>LG&amp;E/KU Commercial Rebates Report - Appendix A</v>
      </c>
      <c r="V167" s="716">
        <f t="shared" si="1348"/>
        <v>0</v>
      </c>
      <c r="W167" s="711">
        <f t="shared" si="1348"/>
        <v>1</v>
      </c>
      <c r="X167" s="781">
        <f t="shared" ref="X167:AJ167" si="1548">X53/2</f>
        <v>0</v>
      </c>
      <c r="Y167" s="781">
        <f t="shared" si="1548"/>
        <v>0</v>
      </c>
      <c r="Z167" s="781">
        <f t="shared" si="1548"/>
        <v>0</v>
      </c>
      <c r="AA167" s="781">
        <f t="shared" si="1548"/>
        <v>7365.4285714285706</v>
      </c>
      <c r="AB167" s="781">
        <f t="shared" si="1548"/>
        <v>7365.4285714285706</v>
      </c>
      <c r="AC167" s="781">
        <f t="shared" si="1548"/>
        <v>7365.5</v>
      </c>
      <c r="AD167" s="781">
        <f t="shared" si="1548"/>
        <v>7365.5</v>
      </c>
      <c r="AE167" s="781">
        <f t="shared" si="1548"/>
        <v>7365.5</v>
      </c>
      <c r="AF167" s="781">
        <f t="shared" si="1548"/>
        <v>1767.7200000000003</v>
      </c>
      <c r="AG167" s="781">
        <f t="shared" si="1548"/>
        <v>0</v>
      </c>
      <c r="AH167" s="781">
        <f t="shared" si="1548"/>
        <v>0</v>
      </c>
      <c r="AI167" s="781">
        <f t="shared" si="1548"/>
        <v>0</v>
      </c>
      <c r="AJ167" s="781">
        <f t="shared" si="1548"/>
        <v>0</v>
      </c>
      <c r="AK167" s="711" t="str">
        <f t="shared" ref="AK167:BA167" si="1549">AK53</f>
        <v>Electric</v>
      </c>
      <c r="AL167" s="711" t="str">
        <f t="shared" si="1549"/>
        <v>Commercial</v>
      </c>
      <c r="AM167" s="711" t="str">
        <f t="shared" si="1549"/>
        <v>Large Office</v>
      </c>
      <c r="AN167" s="711" t="str">
        <f t="shared" si="1549"/>
        <v>Lighting</v>
      </c>
      <c r="AO167" s="711" t="str">
        <f t="shared" si="1549"/>
        <v>Existing</v>
      </c>
      <c r="AP167" s="711">
        <f t="shared" si="1549"/>
        <v>0</v>
      </c>
      <c r="AQ167" s="711">
        <f t="shared" si="1549"/>
        <v>0</v>
      </c>
      <c r="AR167" s="711">
        <f t="shared" si="1549"/>
        <v>0</v>
      </c>
      <c r="AS167" s="711" t="str">
        <f t="shared" si="1549"/>
        <v>OFFLGInLight</v>
      </c>
      <c r="AT167" s="715" t="s">
        <v>745</v>
      </c>
      <c r="AU167" s="711" t="str">
        <f t="shared" si="1549"/>
        <v>LGE NonRes</v>
      </c>
      <c r="AV167" s="711">
        <f t="shared" si="1549"/>
        <v>12</v>
      </c>
      <c r="AW167" s="711">
        <f t="shared" si="1549"/>
        <v>3</v>
      </c>
      <c r="AX167" s="711" t="str">
        <f t="shared" si="1549"/>
        <v>Engineering calculation. Assuming a 10,000 hour lifetime and an average screw base hours of use for commercial buildings of 3856 hours per year.</v>
      </c>
      <c r="AY167" s="711">
        <f t="shared" si="1549"/>
        <v>1</v>
      </c>
      <c r="AZ167" s="711">
        <f t="shared" si="1549"/>
        <v>1</v>
      </c>
      <c r="BA167" s="1066">
        <f t="shared" si="1549"/>
        <v>0</v>
      </c>
      <c r="BB167" s="721">
        <f t="shared" si="1079"/>
        <v>36</v>
      </c>
      <c r="BC167" s="499">
        <f t="shared" si="1080"/>
        <v>36</v>
      </c>
      <c r="BD167" s="499">
        <f t="shared" si="1081"/>
        <v>36</v>
      </c>
      <c r="BE167" s="499">
        <f t="shared" si="1082"/>
        <v>36</v>
      </c>
      <c r="BF167" s="499">
        <f t="shared" si="1083"/>
        <v>36</v>
      </c>
      <c r="BG167" s="499">
        <f t="shared" si="1084"/>
        <v>36</v>
      </c>
      <c r="BH167" s="499">
        <f t="shared" si="1085"/>
        <v>36</v>
      </c>
      <c r="BI167" s="721">
        <f t="shared" si="1379"/>
        <v>0</v>
      </c>
      <c r="BJ167" s="499">
        <f t="shared" ref="BJ167:BM167" si="1550">BI167</f>
        <v>0</v>
      </c>
      <c r="BK167" s="499">
        <f t="shared" si="1550"/>
        <v>0</v>
      </c>
      <c r="BL167" s="499">
        <f t="shared" si="1550"/>
        <v>0</v>
      </c>
      <c r="BM167" s="499">
        <f t="shared" si="1550"/>
        <v>0</v>
      </c>
      <c r="BN167" s="499">
        <f t="shared" si="1087"/>
        <v>0</v>
      </c>
      <c r="BO167" s="499">
        <f t="shared" si="1088"/>
        <v>0</v>
      </c>
      <c r="BP167" s="721">
        <f t="shared" si="1381"/>
        <v>5</v>
      </c>
      <c r="BQ167" s="499">
        <f t="shared" si="1382"/>
        <v>5</v>
      </c>
      <c r="BR167" s="499">
        <f t="shared" si="1089"/>
        <v>5</v>
      </c>
      <c r="BS167" s="499">
        <f t="shared" si="1090"/>
        <v>5</v>
      </c>
      <c r="BT167" s="499">
        <f t="shared" si="1091"/>
        <v>5</v>
      </c>
      <c r="BU167" s="499">
        <f t="shared" si="1092"/>
        <v>5</v>
      </c>
      <c r="BV167" s="499">
        <f t="shared" si="1093"/>
        <v>5</v>
      </c>
      <c r="BW167" s="774">
        <f t="shared" si="1393"/>
        <v>0</v>
      </c>
      <c r="BX167" s="503">
        <f t="shared" si="1393"/>
        <v>0</v>
      </c>
      <c r="BY167" s="503">
        <f t="shared" si="1393"/>
        <v>0</v>
      </c>
      <c r="BZ167" s="503">
        <f t="shared" si="1393"/>
        <v>0</v>
      </c>
      <c r="CA167" s="503">
        <f t="shared" si="1393"/>
        <v>0</v>
      </c>
      <c r="CB167" s="503">
        <f t="shared" si="1393"/>
        <v>0</v>
      </c>
      <c r="CC167" s="503">
        <f t="shared" si="1393"/>
        <v>0</v>
      </c>
      <c r="CD167" s="722">
        <f t="shared" si="1383"/>
        <v>167.1274142799152</v>
      </c>
      <c r="CE167" s="511">
        <f t="shared" ref="CE167:CH167" si="1551">CD167</f>
        <v>167.1274142799152</v>
      </c>
      <c r="CF167" s="511">
        <f t="shared" si="1551"/>
        <v>167.1274142799152</v>
      </c>
      <c r="CG167" s="511">
        <f t="shared" si="1551"/>
        <v>167.1274142799152</v>
      </c>
      <c r="CH167" s="511">
        <f t="shared" si="1551"/>
        <v>167.1274142799152</v>
      </c>
      <c r="CI167" s="511">
        <f t="shared" si="1096"/>
        <v>167.1274142799152</v>
      </c>
      <c r="CJ167" s="511">
        <f t="shared" si="1097"/>
        <v>167.1274142799152</v>
      </c>
      <c r="CK167" s="722">
        <f t="shared" si="1385"/>
        <v>3.8547530882739774E-2</v>
      </c>
      <c r="CL167" s="511">
        <f t="shared" ref="CL167:CO167" si="1552">CK167</f>
        <v>3.8547530882739774E-2</v>
      </c>
      <c r="CM167" s="511">
        <f t="shared" si="1552"/>
        <v>3.8547530882739774E-2</v>
      </c>
      <c r="CN167" s="511">
        <f t="shared" si="1552"/>
        <v>3.8547530882739774E-2</v>
      </c>
      <c r="CO167" s="511">
        <f t="shared" si="1552"/>
        <v>3.8547530882739774E-2</v>
      </c>
      <c r="CP167" s="511">
        <f t="shared" si="1099"/>
        <v>3.8547530882739774E-2</v>
      </c>
      <c r="CQ167" s="511">
        <f t="shared" si="1100"/>
        <v>3.8547530882739774E-2</v>
      </c>
      <c r="CR167" s="722">
        <f t="shared" si="1387"/>
        <v>0</v>
      </c>
      <c r="CS167" s="511">
        <f t="shared" ref="CS167:CV167" si="1553">CR167</f>
        <v>0</v>
      </c>
      <c r="CT167" s="511">
        <f t="shared" si="1553"/>
        <v>0</v>
      </c>
      <c r="CU167" s="511">
        <f t="shared" si="1553"/>
        <v>0</v>
      </c>
      <c r="CV167" s="511">
        <f t="shared" si="1553"/>
        <v>0</v>
      </c>
      <c r="CW167" s="511">
        <f t="shared" si="1102"/>
        <v>0</v>
      </c>
      <c r="CX167" s="539">
        <f t="shared" si="1103"/>
        <v>0</v>
      </c>
      <c r="CY167" s="724">
        <f t="shared" si="1490"/>
        <v>265158</v>
      </c>
      <c r="CZ167" s="508">
        <f t="shared" si="1491"/>
        <v>265158</v>
      </c>
      <c r="DA167" s="508">
        <f t="shared" si="1492"/>
        <v>63637.920000000013</v>
      </c>
      <c r="DB167" s="508">
        <f t="shared" si="1493"/>
        <v>0</v>
      </c>
      <c r="DC167" s="508">
        <f t="shared" si="1494"/>
        <v>0</v>
      </c>
      <c r="DD167" s="508">
        <f t="shared" si="1495"/>
        <v>0</v>
      </c>
      <c r="DE167" s="726">
        <f t="shared" si="1496"/>
        <v>0</v>
      </c>
      <c r="DF167" s="724">
        <f t="shared" si="1497"/>
        <v>0</v>
      </c>
      <c r="DG167" s="509">
        <f t="shared" si="1498"/>
        <v>0</v>
      </c>
      <c r="DH167" s="509">
        <f t="shared" si="1499"/>
        <v>0</v>
      </c>
      <c r="DI167" s="509">
        <f t="shared" si="1500"/>
        <v>0</v>
      </c>
      <c r="DJ167" s="509">
        <f t="shared" si="1501"/>
        <v>0</v>
      </c>
      <c r="DK167" s="509">
        <f t="shared" si="1502"/>
        <v>0</v>
      </c>
      <c r="DL167" s="451">
        <f t="shared" si="1503"/>
        <v>0</v>
      </c>
      <c r="DM167" s="509">
        <f t="shared" si="1504"/>
        <v>36827.5</v>
      </c>
      <c r="DN167" s="509">
        <f t="shared" si="1505"/>
        <v>36827.5</v>
      </c>
      <c r="DO167" s="509">
        <f t="shared" si="1506"/>
        <v>8838.6000000000022</v>
      </c>
      <c r="DP167" s="509">
        <f t="shared" si="1507"/>
        <v>0</v>
      </c>
      <c r="DQ167" s="509">
        <f t="shared" si="1508"/>
        <v>0</v>
      </c>
      <c r="DR167" s="509">
        <f t="shared" si="1509"/>
        <v>0</v>
      </c>
      <c r="DS167" s="450">
        <f t="shared" si="1510"/>
        <v>0</v>
      </c>
      <c r="DT167" s="724">
        <f t="shared" si="1511"/>
        <v>0</v>
      </c>
      <c r="DU167" s="508">
        <f t="shared" si="1512"/>
        <v>0</v>
      </c>
      <c r="DV167" s="508">
        <f t="shared" si="1513"/>
        <v>0</v>
      </c>
      <c r="DW167" s="508">
        <f t="shared" si="1514"/>
        <v>0</v>
      </c>
      <c r="DX167" s="508">
        <f t="shared" si="1515"/>
        <v>0</v>
      </c>
      <c r="DY167" s="508">
        <f t="shared" si="1516"/>
        <v>0</v>
      </c>
      <c r="DZ167" s="726">
        <f t="shared" si="1517"/>
        <v>0</v>
      </c>
      <c r="EA167" s="722">
        <f t="shared" si="1518"/>
        <v>1230976.9698787155</v>
      </c>
      <c r="EB167" s="511">
        <f t="shared" si="1519"/>
        <v>1230976.9698787155</v>
      </c>
      <c r="EC167" s="511">
        <f t="shared" si="1520"/>
        <v>295434.47277089173</v>
      </c>
      <c r="ED167" s="511">
        <f t="shared" si="1521"/>
        <v>0</v>
      </c>
      <c r="EE167" s="511">
        <f t="shared" si="1522"/>
        <v>0</v>
      </c>
      <c r="EF167" s="511">
        <f t="shared" si="1523"/>
        <v>0</v>
      </c>
      <c r="EG167" s="723">
        <f t="shared" si="1524"/>
        <v>0</v>
      </c>
      <c r="EH167" s="397">
        <f t="shared" si="1525"/>
        <v>283.92183871681982</v>
      </c>
      <c r="EI167" s="397">
        <f t="shared" si="1526"/>
        <v>283.92183871681982</v>
      </c>
      <c r="EJ167" s="397">
        <f t="shared" si="1527"/>
        <v>68.141241292036767</v>
      </c>
      <c r="EK167" s="397">
        <f t="shared" si="1528"/>
        <v>0</v>
      </c>
      <c r="EL167" s="397">
        <f t="shared" si="1529"/>
        <v>0</v>
      </c>
      <c r="EM167" s="397">
        <f t="shared" si="1530"/>
        <v>0</v>
      </c>
      <c r="EN167" s="398">
        <f t="shared" si="1531"/>
        <v>0</v>
      </c>
      <c r="EO167" s="722">
        <f t="shared" si="1532"/>
        <v>0</v>
      </c>
      <c r="EP167" s="511">
        <f t="shared" si="1533"/>
        <v>0</v>
      </c>
      <c r="EQ167" s="511">
        <f t="shared" si="1534"/>
        <v>0</v>
      </c>
      <c r="ER167" s="511">
        <f t="shared" si="1535"/>
        <v>0</v>
      </c>
      <c r="ES167" s="511">
        <f t="shared" si="1536"/>
        <v>0</v>
      </c>
      <c r="ET167" s="511">
        <f t="shared" si="1537"/>
        <v>0</v>
      </c>
      <c r="EU167" s="723">
        <f t="shared" si="1538"/>
        <v>0</v>
      </c>
      <c r="EV167" s="727">
        <f t="shared" si="1539"/>
        <v>16498.72</v>
      </c>
      <c r="EW167" s="728">
        <f t="shared" si="1540"/>
        <v>593953.92000000004</v>
      </c>
      <c r="EX167" s="728">
        <f t="shared" si="1541"/>
        <v>0</v>
      </c>
      <c r="EY167" s="728">
        <f t="shared" si="1542"/>
        <v>82493.600000000006</v>
      </c>
      <c r="EZ167" s="728">
        <f t="shared" si="1543"/>
        <v>0</v>
      </c>
      <c r="FA167" s="777">
        <f t="shared" si="1544"/>
        <v>2757388.4125283225</v>
      </c>
      <c r="FB167" s="777">
        <f t="shared" si="1545"/>
        <v>635.98491872567638</v>
      </c>
      <c r="FC167" s="778">
        <f t="shared" si="1546"/>
        <v>0</v>
      </c>
    </row>
    <row r="168" spans="1:162" s="10" customFormat="1" ht="12.5">
      <c r="A168" s="662" t="s">
        <v>275</v>
      </c>
      <c r="B168" s="789" t="s">
        <v>1459</v>
      </c>
      <c r="C168" s="789" t="str">
        <f t="shared" ref="C168:O168" si="1554">C54</f>
        <v>Any LED lamps or ballasts must also be ENERGY STAR® certified or listed on the Design Lights Consortium (DLC) qualified list.</v>
      </c>
      <c r="D168" s="789" t="str">
        <f t="shared" si="1554"/>
        <v>Baseline Recessed, Surface, Pendant Downlights; Baseline Track Lighting; 4 ft F32T8 Standard Lamp; 4 ft F32T8/HO Standard Lamp; 1-, 2-, or 3-lamp 32w T8</v>
      </c>
      <c r="E168" s="789" t="str">
        <f t="shared" si="1554"/>
        <v>n/a</v>
      </c>
      <c r="F168" s="789" t="str">
        <f t="shared" si="1554"/>
        <v>Per Unit</v>
      </c>
      <c r="G168" s="704" t="str">
        <f t="shared" si="1554"/>
        <v>Incremental Cost</v>
      </c>
      <c r="H168" s="704">
        <f t="shared" si="1554"/>
        <v>36.285714285714285</v>
      </c>
      <c r="I168" s="704">
        <f t="shared" si="1554"/>
        <v>0</v>
      </c>
      <c r="J168" s="704">
        <f t="shared" si="1554"/>
        <v>36.285714285714285</v>
      </c>
      <c r="K168" s="704">
        <f t="shared" si="1554"/>
        <v>0</v>
      </c>
      <c r="L168" s="704">
        <f t="shared" si="1554"/>
        <v>18.142857142857142</v>
      </c>
      <c r="M168" s="881" t="str">
        <f t="shared" si="1554"/>
        <v>Costs estimated from IL TRM v10: "4.5.4 LED Bulbs and Fixtures;" LED Downlight Fixtures, LED Interior Directional, LED Linear Replacement Lamps, and LED Linear Ambient Fixtures</v>
      </c>
      <c r="N168" s="704">
        <f t="shared" si="1554"/>
        <v>5</v>
      </c>
      <c r="O168" s="704">
        <f t="shared" si="1554"/>
        <v>5</v>
      </c>
      <c r="P168" s="704">
        <f t="shared" si="1441"/>
        <v>0</v>
      </c>
      <c r="Q168" s="704">
        <f t="shared" si="1441"/>
        <v>0</v>
      </c>
      <c r="R168" s="1021">
        <f t="shared" si="1347"/>
        <v>129.12008590645323</v>
      </c>
      <c r="S168" s="872">
        <f t="shared" si="1347"/>
        <v>6.2447295814748824E-2</v>
      </c>
      <c r="T168" s="1022">
        <f t="shared" si="1412"/>
        <v>0</v>
      </c>
      <c r="U168" s="711" t="str">
        <f t="shared" si="1348"/>
        <v>LG&amp;E/KU Commercial Rebates Report - Appendix A</v>
      </c>
      <c r="V168" s="716">
        <f t="shared" si="1348"/>
        <v>0</v>
      </c>
      <c r="W168" s="711">
        <f t="shared" si="1348"/>
        <v>1</v>
      </c>
      <c r="X168" s="781">
        <f t="shared" ref="X168:AJ168" si="1555">X54/2</f>
        <v>0</v>
      </c>
      <c r="Y168" s="781">
        <f t="shared" si="1555"/>
        <v>129481.5</v>
      </c>
      <c r="Z168" s="781">
        <f t="shared" si="1555"/>
        <v>116329</v>
      </c>
      <c r="AA168" s="781">
        <f t="shared" si="1555"/>
        <v>98232</v>
      </c>
      <c r="AB168" s="781">
        <f t="shared" si="1555"/>
        <v>98232</v>
      </c>
      <c r="AC168" s="781">
        <f t="shared" si="1555"/>
        <v>98232</v>
      </c>
      <c r="AD168" s="781">
        <f t="shared" si="1555"/>
        <v>98232</v>
      </c>
      <c r="AE168" s="781">
        <f t="shared" si="1555"/>
        <v>98232</v>
      </c>
      <c r="AF168" s="781">
        <f t="shared" si="1555"/>
        <v>23575.68</v>
      </c>
      <c r="AG168" s="781">
        <f t="shared" si="1555"/>
        <v>0</v>
      </c>
      <c r="AH168" s="781">
        <f t="shared" si="1555"/>
        <v>0</v>
      </c>
      <c r="AI168" s="781">
        <f t="shared" si="1555"/>
        <v>0</v>
      </c>
      <c r="AJ168" s="781">
        <f t="shared" si="1555"/>
        <v>0</v>
      </c>
      <c r="AK168" s="711" t="str">
        <f t="shared" ref="AK168:BA168" si="1556">AK54</f>
        <v>Electric</v>
      </c>
      <c r="AL168" s="711" t="str">
        <f t="shared" si="1556"/>
        <v>Commercial</v>
      </c>
      <c r="AM168" s="711" t="str">
        <f t="shared" si="1556"/>
        <v>Large Office</v>
      </c>
      <c r="AN168" s="711" t="str">
        <f t="shared" si="1556"/>
        <v>Lighting</v>
      </c>
      <c r="AO168" s="711" t="str">
        <f t="shared" si="1556"/>
        <v>Existing</v>
      </c>
      <c r="AP168" s="711">
        <f t="shared" si="1556"/>
        <v>0</v>
      </c>
      <c r="AQ168" s="711">
        <f t="shared" si="1556"/>
        <v>0</v>
      </c>
      <c r="AR168" s="711">
        <f t="shared" si="1556"/>
        <v>0</v>
      </c>
      <c r="AS168" s="711" t="str">
        <f t="shared" si="1556"/>
        <v>OFFLGInLight</v>
      </c>
      <c r="AT168" s="715" t="s">
        <v>745</v>
      </c>
      <c r="AU168" s="711" t="str">
        <f t="shared" si="1556"/>
        <v>LGE NonRes</v>
      </c>
      <c r="AV168" s="711">
        <f t="shared" si="1556"/>
        <v>12</v>
      </c>
      <c r="AW168" s="711">
        <f t="shared" si="1556"/>
        <v>3</v>
      </c>
      <c r="AX168" s="711" t="str">
        <f t="shared" si="1556"/>
        <v>Engineering calculation. Assuming a 10,000 hour lifetime and an average screw base hours of use for commercial buildings of 3856 hours per year.</v>
      </c>
      <c r="AY168" s="711">
        <f t="shared" si="1556"/>
        <v>1</v>
      </c>
      <c r="AZ168" s="711">
        <f t="shared" si="1556"/>
        <v>1</v>
      </c>
      <c r="BA168" s="1066">
        <f t="shared" si="1556"/>
        <v>0</v>
      </c>
      <c r="BB168" s="721">
        <f t="shared" si="1079"/>
        <v>36.285714285714285</v>
      </c>
      <c r="BC168" s="499">
        <f t="shared" si="1080"/>
        <v>36.285714285714285</v>
      </c>
      <c r="BD168" s="499">
        <f t="shared" si="1081"/>
        <v>36.285714285714285</v>
      </c>
      <c r="BE168" s="499">
        <f t="shared" si="1082"/>
        <v>36.285714285714285</v>
      </c>
      <c r="BF168" s="499">
        <f t="shared" si="1083"/>
        <v>36.285714285714285</v>
      </c>
      <c r="BG168" s="499">
        <f t="shared" si="1084"/>
        <v>36.285714285714285</v>
      </c>
      <c r="BH168" s="499">
        <f t="shared" si="1085"/>
        <v>36.285714285714285</v>
      </c>
      <c r="BI168" s="721">
        <f t="shared" si="1379"/>
        <v>0</v>
      </c>
      <c r="BJ168" s="499">
        <f t="shared" ref="BJ168:BM168" si="1557">BI168</f>
        <v>0</v>
      </c>
      <c r="BK168" s="499">
        <f t="shared" si="1557"/>
        <v>0</v>
      </c>
      <c r="BL168" s="499">
        <f t="shared" si="1557"/>
        <v>0</v>
      </c>
      <c r="BM168" s="499">
        <f t="shared" si="1557"/>
        <v>0</v>
      </c>
      <c r="BN168" s="499">
        <f t="shared" si="1087"/>
        <v>0</v>
      </c>
      <c r="BO168" s="499">
        <f t="shared" si="1088"/>
        <v>0</v>
      </c>
      <c r="BP168" s="721">
        <f t="shared" si="1381"/>
        <v>5</v>
      </c>
      <c r="BQ168" s="499">
        <f t="shared" si="1382"/>
        <v>5</v>
      </c>
      <c r="BR168" s="499">
        <f t="shared" si="1089"/>
        <v>5</v>
      </c>
      <c r="BS168" s="499">
        <f t="shared" si="1090"/>
        <v>5</v>
      </c>
      <c r="BT168" s="499">
        <f t="shared" si="1091"/>
        <v>5</v>
      </c>
      <c r="BU168" s="499">
        <f t="shared" si="1092"/>
        <v>5</v>
      </c>
      <c r="BV168" s="499">
        <f t="shared" si="1093"/>
        <v>5</v>
      </c>
      <c r="BW168" s="774">
        <f t="shared" si="1393"/>
        <v>0</v>
      </c>
      <c r="BX168" s="503">
        <f t="shared" si="1393"/>
        <v>0</v>
      </c>
      <c r="BY168" s="503">
        <f t="shared" si="1393"/>
        <v>0</v>
      </c>
      <c r="BZ168" s="503">
        <f t="shared" si="1393"/>
        <v>0</v>
      </c>
      <c r="CA168" s="503">
        <f t="shared" si="1393"/>
        <v>0</v>
      </c>
      <c r="CB168" s="503">
        <f t="shared" si="1393"/>
        <v>0</v>
      </c>
      <c r="CC168" s="503">
        <f t="shared" si="1393"/>
        <v>0</v>
      </c>
      <c r="CD168" s="722">
        <f t="shared" si="1383"/>
        <v>129.12008590645323</v>
      </c>
      <c r="CE168" s="511">
        <f t="shared" ref="CE168:CH168" si="1558">CD168</f>
        <v>129.12008590645323</v>
      </c>
      <c r="CF168" s="511">
        <f t="shared" si="1558"/>
        <v>129.12008590645323</v>
      </c>
      <c r="CG168" s="511">
        <f t="shared" si="1558"/>
        <v>129.12008590645323</v>
      </c>
      <c r="CH168" s="511">
        <f t="shared" si="1558"/>
        <v>129.12008590645323</v>
      </c>
      <c r="CI168" s="511">
        <f t="shared" si="1096"/>
        <v>129.12008590645323</v>
      </c>
      <c r="CJ168" s="511">
        <f t="shared" si="1097"/>
        <v>129.12008590645323</v>
      </c>
      <c r="CK168" s="722">
        <f t="shared" si="1385"/>
        <v>6.2447295814748824E-2</v>
      </c>
      <c r="CL168" s="511">
        <f t="shared" ref="CL168:CO168" si="1559">CK168</f>
        <v>6.2447295814748824E-2</v>
      </c>
      <c r="CM168" s="511">
        <f t="shared" si="1559"/>
        <v>6.2447295814748824E-2</v>
      </c>
      <c r="CN168" s="511">
        <f t="shared" si="1559"/>
        <v>6.2447295814748824E-2</v>
      </c>
      <c r="CO168" s="511">
        <f t="shared" si="1559"/>
        <v>6.2447295814748824E-2</v>
      </c>
      <c r="CP168" s="511">
        <f t="shared" si="1099"/>
        <v>6.2447295814748824E-2</v>
      </c>
      <c r="CQ168" s="511">
        <f t="shared" si="1100"/>
        <v>6.2447295814748824E-2</v>
      </c>
      <c r="CR168" s="722">
        <f t="shared" si="1387"/>
        <v>0</v>
      </c>
      <c r="CS168" s="511">
        <f t="shared" ref="CS168:CV168" si="1560">CR168</f>
        <v>0</v>
      </c>
      <c r="CT168" s="511">
        <f t="shared" si="1560"/>
        <v>0</v>
      </c>
      <c r="CU168" s="511">
        <f t="shared" si="1560"/>
        <v>0</v>
      </c>
      <c r="CV168" s="511">
        <f t="shared" si="1560"/>
        <v>0</v>
      </c>
      <c r="CW168" s="511">
        <f t="shared" si="1102"/>
        <v>0</v>
      </c>
      <c r="CX168" s="539">
        <f t="shared" si="1103"/>
        <v>0</v>
      </c>
      <c r="CY168" s="724">
        <f t="shared" si="1490"/>
        <v>3564418.2857142854</v>
      </c>
      <c r="CZ168" s="508">
        <f t="shared" si="1491"/>
        <v>3564418.2857142854</v>
      </c>
      <c r="DA168" s="508">
        <f t="shared" si="1492"/>
        <v>855460.3885714286</v>
      </c>
      <c r="DB168" s="508">
        <f t="shared" si="1493"/>
        <v>0</v>
      </c>
      <c r="DC168" s="508">
        <f t="shared" si="1494"/>
        <v>0</v>
      </c>
      <c r="DD168" s="508">
        <f t="shared" si="1495"/>
        <v>0</v>
      </c>
      <c r="DE168" s="726">
        <f t="shared" si="1496"/>
        <v>0</v>
      </c>
      <c r="DF168" s="724">
        <f t="shared" si="1497"/>
        <v>0</v>
      </c>
      <c r="DG168" s="509">
        <f t="shared" si="1498"/>
        <v>0</v>
      </c>
      <c r="DH168" s="509">
        <f t="shared" si="1499"/>
        <v>0</v>
      </c>
      <c r="DI168" s="509">
        <f t="shared" si="1500"/>
        <v>0</v>
      </c>
      <c r="DJ168" s="509">
        <f t="shared" si="1501"/>
        <v>0</v>
      </c>
      <c r="DK168" s="509">
        <f t="shared" si="1502"/>
        <v>0</v>
      </c>
      <c r="DL168" s="451">
        <f t="shared" si="1503"/>
        <v>0</v>
      </c>
      <c r="DM168" s="509">
        <f t="shared" si="1504"/>
        <v>491160</v>
      </c>
      <c r="DN168" s="509">
        <f t="shared" si="1505"/>
        <v>491160</v>
      </c>
      <c r="DO168" s="509">
        <f t="shared" si="1506"/>
        <v>117878.39999999999</v>
      </c>
      <c r="DP168" s="509">
        <f t="shared" si="1507"/>
        <v>0</v>
      </c>
      <c r="DQ168" s="509">
        <f t="shared" si="1508"/>
        <v>0</v>
      </c>
      <c r="DR168" s="509">
        <f t="shared" si="1509"/>
        <v>0</v>
      </c>
      <c r="DS168" s="450">
        <f t="shared" si="1510"/>
        <v>0</v>
      </c>
      <c r="DT168" s="724">
        <f t="shared" si="1511"/>
        <v>0</v>
      </c>
      <c r="DU168" s="508">
        <f t="shared" si="1512"/>
        <v>0</v>
      </c>
      <c r="DV168" s="508">
        <f t="shared" si="1513"/>
        <v>0</v>
      </c>
      <c r="DW168" s="508">
        <f t="shared" si="1514"/>
        <v>0</v>
      </c>
      <c r="DX168" s="508">
        <f t="shared" si="1515"/>
        <v>0</v>
      </c>
      <c r="DY168" s="508">
        <f t="shared" si="1516"/>
        <v>0</v>
      </c>
      <c r="DZ168" s="726">
        <f t="shared" si="1517"/>
        <v>0</v>
      </c>
      <c r="EA168" s="722">
        <f t="shared" si="1518"/>
        <v>12683724.278762713</v>
      </c>
      <c r="EB168" s="511">
        <f t="shared" si="1519"/>
        <v>12683724.278762713</v>
      </c>
      <c r="EC168" s="511">
        <f t="shared" si="1520"/>
        <v>3044093.8269030512</v>
      </c>
      <c r="ED168" s="511">
        <f t="shared" si="1521"/>
        <v>0</v>
      </c>
      <c r="EE168" s="511">
        <f t="shared" si="1522"/>
        <v>0</v>
      </c>
      <c r="EF168" s="511">
        <f t="shared" si="1523"/>
        <v>0</v>
      </c>
      <c r="EG168" s="723">
        <f t="shared" si="1524"/>
        <v>0</v>
      </c>
      <c r="EH168" s="397">
        <f t="shared" si="1525"/>
        <v>6134.3227624744068</v>
      </c>
      <c r="EI168" s="397">
        <f t="shared" si="1526"/>
        <v>6134.3227624744068</v>
      </c>
      <c r="EJ168" s="397">
        <f t="shared" si="1527"/>
        <v>1472.2374629938577</v>
      </c>
      <c r="EK168" s="397">
        <f t="shared" si="1528"/>
        <v>0</v>
      </c>
      <c r="EL168" s="397">
        <f t="shared" si="1529"/>
        <v>0</v>
      </c>
      <c r="EM168" s="397">
        <f t="shared" si="1530"/>
        <v>0</v>
      </c>
      <c r="EN168" s="398">
        <f t="shared" si="1531"/>
        <v>0</v>
      </c>
      <c r="EO168" s="722">
        <f t="shared" si="1532"/>
        <v>0</v>
      </c>
      <c r="EP168" s="511">
        <f t="shared" si="1533"/>
        <v>0</v>
      </c>
      <c r="EQ168" s="511">
        <f t="shared" si="1534"/>
        <v>0</v>
      </c>
      <c r="ER168" s="511">
        <f t="shared" si="1535"/>
        <v>0</v>
      </c>
      <c r="ES168" s="511">
        <f t="shared" si="1536"/>
        <v>0</v>
      </c>
      <c r="ET168" s="511">
        <f t="shared" si="1537"/>
        <v>0</v>
      </c>
      <c r="EU168" s="723">
        <f t="shared" si="1538"/>
        <v>0</v>
      </c>
      <c r="EV168" s="727">
        <f t="shared" si="1539"/>
        <v>220039.67999999999</v>
      </c>
      <c r="EW168" s="728">
        <f t="shared" si="1540"/>
        <v>7984296.959999999</v>
      </c>
      <c r="EX168" s="728">
        <f t="shared" si="1541"/>
        <v>0</v>
      </c>
      <c r="EY168" s="728">
        <f t="shared" si="1542"/>
        <v>1100198.3999999999</v>
      </c>
      <c r="EZ168" s="728">
        <f t="shared" si="1543"/>
        <v>0</v>
      </c>
      <c r="FA168" s="777">
        <f t="shared" si="1544"/>
        <v>28411542.384428479</v>
      </c>
      <c r="FB168" s="777">
        <f t="shared" si="1545"/>
        <v>13740.88298794267</v>
      </c>
      <c r="FC168" s="778">
        <f t="shared" si="1546"/>
        <v>0</v>
      </c>
    </row>
    <row r="169" spans="1:162" s="10" customFormat="1" ht="12.5">
      <c r="A169" s="662" t="s">
        <v>276</v>
      </c>
      <c r="B169" s="789" t="s">
        <v>1460</v>
      </c>
      <c r="C169" s="789" t="str">
        <f t="shared" ref="C169:O169" si="1561">C55</f>
        <v>Any LED lamps or ballasts must also be ENERGY STAR® certified or listed on the Design Lights Consortium (DLC) qualified list.</v>
      </c>
      <c r="D169" s="789" t="str">
        <f t="shared" si="1561"/>
        <v>4 ft T5HO 2L-F54T5HO or T5HO 3L-F54T5HO</v>
      </c>
      <c r="E169" s="789" t="str">
        <f t="shared" si="1561"/>
        <v>n/a</v>
      </c>
      <c r="F169" s="789" t="str">
        <f t="shared" si="1561"/>
        <v>Per Unit</v>
      </c>
      <c r="G169" s="704" t="str">
        <f t="shared" si="1561"/>
        <v>Incremental Cost</v>
      </c>
      <c r="H169" s="704">
        <f t="shared" si="1561"/>
        <v>152</v>
      </c>
      <c r="I169" s="704">
        <f t="shared" si="1561"/>
        <v>0</v>
      </c>
      <c r="J169" s="704">
        <f t="shared" si="1561"/>
        <v>152</v>
      </c>
      <c r="K169" s="704">
        <f t="shared" si="1561"/>
        <v>0</v>
      </c>
      <c r="L169" s="704">
        <f t="shared" si="1561"/>
        <v>76</v>
      </c>
      <c r="M169" s="881" t="str">
        <f t="shared" si="1561"/>
        <v>Costs estimated from IL TRM v10: "4.5.4 LED Bulbs and Fixtures;" LED Downlight Fixtures, LED Interior Directional, LED Linear Replacement Lamps, and LED Linear Ambient Fixtures</v>
      </c>
      <c r="N169" s="704">
        <f t="shared" si="1561"/>
        <v>6</v>
      </c>
      <c r="O169" s="704">
        <f t="shared" si="1561"/>
        <v>6</v>
      </c>
      <c r="P169" s="704">
        <f t="shared" si="1441"/>
        <v>0</v>
      </c>
      <c r="Q169" s="704">
        <f t="shared" si="1441"/>
        <v>0</v>
      </c>
      <c r="R169" s="1021">
        <f t="shared" si="1347"/>
        <v>208.35125523884722</v>
      </c>
      <c r="S169" s="872">
        <f t="shared" si="1347"/>
        <v>4.4388573704168037E-2</v>
      </c>
      <c r="T169" s="1022">
        <f t="shared" si="1412"/>
        <v>0</v>
      </c>
      <c r="U169" s="711" t="str">
        <f t="shared" si="1348"/>
        <v>LG&amp;E/KU Commercial Rebates Report - Appendix A</v>
      </c>
      <c r="V169" s="716">
        <f t="shared" si="1348"/>
        <v>0</v>
      </c>
      <c r="W169" s="711">
        <f t="shared" si="1348"/>
        <v>1</v>
      </c>
      <c r="X169" s="781">
        <f t="shared" ref="X169:AJ169" si="1562">X55/2</f>
        <v>14810.5</v>
      </c>
      <c r="Y169" s="781">
        <f t="shared" si="1562"/>
        <v>16109</v>
      </c>
      <c r="Z169" s="781">
        <f t="shared" si="1562"/>
        <v>12611</v>
      </c>
      <c r="AA169" s="781">
        <f t="shared" si="1562"/>
        <v>12185.142857142857</v>
      </c>
      <c r="AB169" s="781">
        <f t="shared" si="1562"/>
        <v>12185.142857142857</v>
      </c>
      <c r="AC169" s="781">
        <f t="shared" si="1562"/>
        <v>12185</v>
      </c>
      <c r="AD169" s="781">
        <f t="shared" si="1562"/>
        <v>12185</v>
      </c>
      <c r="AE169" s="781">
        <f t="shared" si="1562"/>
        <v>12185</v>
      </c>
      <c r="AF169" s="781">
        <f t="shared" si="1562"/>
        <v>2924.4</v>
      </c>
      <c r="AG169" s="781">
        <f t="shared" si="1562"/>
        <v>0</v>
      </c>
      <c r="AH169" s="781">
        <f t="shared" si="1562"/>
        <v>0</v>
      </c>
      <c r="AI169" s="781">
        <f t="shared" si="1562"/>
        <v>0</v>
      </c>
      <c r="AJ169" s="781">
        <f t="shared" si="1562"/>
        <v>0</v>
      </c>
      <c r="AK169" s="711" t="str">
        <f t="shared" ref="AK169:BA169" si="1563">AK55</f>
        <v>Electric</v>
      </c>
      <c r="AL169" s="711" t="str">
        <f t="shared" si="1563"/>
        <v>Commercial</v>
      </c>
      <c r="AM169" s="711" t="str">
        <f t="shared" si="1563"/>
        <v>Large Office</v>
      </c>
      <c r="AN169" s="711" t="str">
        <f t="shared" si="1563"/>
        <v>Lighting</v>
      </c>
      <c r="AO169" s="711" t="str">
        <f t="shared" si="1563"/>
        <v>Existing</v>
      </c>
      <c r="AP169" s="711">
        <f t="shared" si="1563"/>
        <v>0</v>
      </c>
      <c r="AQ169" s="711">
        <f t="shared" si="1563"/>
        <v>0</v>
      </c>
      <c r="AR169" s="711">
        <f t="shared" si="1563"/>
        <v>0</v>
      </c>
      <c r="AS169" s="711" t="str">
        <f t="shared" si="1563"/>
        <v>OFFLGInLight</v>
      </c>
      <c r="AT169" s="715" t="s">
        <v>745</v>
      </c>
      <c r="AU169" s="711" t="str">
        <f t="shared" si="1563"/>
        <v>LGE NonRes</v>
      </c>
      <c r="AV169" s="711">
        <f t="shared" si="1563"/>
        <v>12</v>
      </c>
      <c r="AW169" s="711">
        <f t="shared" si="1563"/>
        <v>3</v>
      </c>
      <c r="AX169" s="711" t="str">
        <f t="shared" si="1563"/>
        <v>Engineering calculation. Assuming a 10,000 hour lifetime and an average screw base hours of use for commercial buildings of 3856 hours per year.</v>
      </c>
      <c r="AY169" s="711">
        <f t="shared" si="1563"/>
        <v>1</v>
      </c>
      <c r="AZ169" s="711">
        <f t="shared" si="1563"/>
        <v>1</v>
      </c>
      <c r="BA169" s="1066">
        <f t="shared" si="1563"/>
        <v>0</v>
      </c>
      <c r="BB169" s="721">
        <f t="shared" si="1079"/>
        <v>152</v>
      </c>
      <c r="BC169" s="499">
        <f t="shared" si="1080"/>
        <v>152</v>
      </c>
      <c r="BD169" s="499">
        <f t="shared" si="1081"/>
        <v>152</v>
      </c>
      <c r="BE169" s="499">
        <f t="shared" si="1082"/>
        <v>152</v>
      </c>
      <c r="BF169" s="499">
        <f t="shared" si="1083"/>
        <v>152</v>
      </c>
      <c r="BG169" s="499">
        <f t="shared" si="1084"/>
        <v>152</v>
      </c>
      <c r="BH169" s="499">
        <f t="shared" si="1085"/>
        <v>152</v>
      </c>
      <c r="BI169" s="721">
        <f t="shared" si="1379"/>
        <v>0</v>
      </c>
      <c r="BJ169" s="499">
        <f t="shared" ref="BJ169:BM169" si="1564">BI169</f>
        <v>0</v>
      </c>
      <c r="BK169" s="499">
        <f t="shared" si="1564"/>
        <v>0</v>
      </c>
      <c r="BL169" s="499">
        <f t="shared" si="1564"/>
        <v>0</v>
      </c>
      <c r="BM169" s="499">
        <f t="shared" si="1564"/>
        <v>0</v>
      </c>
      <c r="BN169" s="499">
        <f t="shared" si="1087"/>
        <v>0</v>
      </c>
      <c r="BO169" s="499">
        <f t="shared" si="1088"/>
        <v>0</v>
      </c>
      <c r="BP169" s="721">
        <f t="shared" si="1381"/>
        <v>6</v>
      </c>
      <c r="BQ169" s="499">
        <f t="shared" si="1382"/>
        <v>6</v>
      </c>
      <c r="BR169" s="499">
        <f t="shared" si="1089"/>
        <v>6</v>
      </c>
      <c r="BS169" s="499">
        <f t="shared" si="1090"/>
        <v>6</v>
      </c>
      <c r="BT169" s="499">
        <f t="shared" si="1091"/>
        <v>6</v>
      </c>
      <c r="BU169" s="499">
        <f t="shared" si="1092"/>
        <v>6</v>
      </c>
      <c r="BV169" s="499">
        <f t="shared" si="1093"/>
        <v>6</v>
      </c>
      <c r="BW169" s="774">
        <f t="shared" si="1393"/>
        <v>0</v>
      </c>
      <c r="BX169" s="503">
        <f t="shared" si="1393"/>
        <v>0</v>
      </c>
      <c r="BY169" s="503">
        <f t="shared" si="1393"/>
        <v>0</v>
      </c>
      <c r="BZ169" s="503">
        <f t="shared" si="1393"/>
        <v>0</v>
      </c>
      <c r="CA169" s="503">
        <f t="shared" si="1393"/>
        <v>0</v>
      </c>
      <c r="CB169" s="503">
        <f t="shared" si="1393"/>
        <v>0</v>
      </c>
      <c r="CC169" s="503">
        <f t="shared" si="1393"/>
        <v>0</v>
      </c>
      <c r="CD169" s="722">
        <f t="shared" si="1383"/>
        <v>208.35125523884722</v>
      </c>
      <c r="CE169" s="511">
        <f t="shared" ref="CE169:CH169" si="1565">CD169</f>
        <v>208.35125523884722</v>
      </c>
      <c r="CF169" s="511">
        <f t="shared" si="1565"/>
        <v>208.35125523884722</v>
      </c>
      <c r="CG169" s="511">
        <f t="shared" si="1565"/>
        <v>208.35125523884722</v>
      </c>
      <c r="CH169" s="511">
        <f t="shared" si="1565"/>
        <v>208.35125523884722</v>
      </c>
      <c r="CI169" s="511">
        <f t="shared" si="1096"/>
        <v>208.35125523884722</v>
      </c>
      <c r="CJ169" s="511">
        <f t="shared" si="1097"/>
        <v>208.35125523884722</v>
      </c>
      <c r="CK169" s="722">
        <f t="shared" si="1385"/>
        <v>4.4388573704168037E-2</v>
      </c>
      <c r="CL169" s="511">
        <f t="shared" ref="CL169:CO169" si="1566">CK169</f>
        <v>4.4388573704168037E-2</v>
      </c>
      <c r="CM169" s="511">
        <f t="shared" si="1566"/>
        <v>4.4388573704168037E-2</v>
      </c>
      <c r="CN169" s="511">
        <f t="shared" si="1566"/>
        <v>4.4388573704168037E-2</v>
      </c>
      <c r="CO169" s="511">
        <f t="shared" si="1566"/>
        <v>4.4388573704168037E-2</v>
      </c>
      <c r="CP169" s="511">
        <f t="shared" si="1099"/>
        <v>4.4388573704168037E-2</v>
      </c>
      <c r="CQ169" s="511">
        <f t="shared" si="1100"/>
        <v>4.4388573704168037E-2</v>
      </c>
      <c r="CR169" s="722">
        <f t="shared" si="1387"/>
        <v>0</v>
      </c>
      <c r="CS169" s="511">
        <f t="shared" ref="CS169:CV169" si="1567">CR169</f>
        <v>0</v>
      </c>
      <c r="CT169" s="511">
        <f t="shared" si="1567"/>
        <v>0</v>
      </c>
      <c r="CU169" s="511">
        <f t="shared" si="1567"/>
        <v>0</v>
      </c>
      <c r="CV169" s="511">
        <f t="shared" si="1567"/>
        <v>0</v>
      </c>
      <c r="CW169" s="511">
        <f t="shared" si="1102"/>
        <v>0</v>
      </c>
      <c r="CX169" s="539">
        <f t="shared" si="1103"/>
        <v>0</v>
      </c>
      <c r="CY169" s="724">
        <f t="shared" si="1490"/>
        <v>1852120</v>
      </c>
      <c r="CZ169" s="508">
        <f t="shared" si="1491"/>
        <v>1852120</v>
      </c>
      <c r="DA169" s="508">
        <f t="shared" si="1492"/>
        <v>444508.8</v>
      </c>
      <c r="DB169" s="508">
        <f t="shared" si="1493"/>
        <v>0</v>
      </c>
      <c r="DC169" s="508">
        <f t="shared" si="1494"/>
        <v>0</v>
      </c>
      <c r="DD169" s="508">
        <f t="shared" si="1495"/>
        <v>0</v>
      </c>
      <c r="DE169" s="726">
        <f t="shared" si="1496"/>
        <v>0</v>
      </c>
      <c r="DF169" s="724">
        <f t="shared" si="1497"/>
        <v>0</v>
      </c>
      <c r="DG169" s="509">
        <f t="shared" si="1498"/>
        <v>0</v>
      </c>
      <c r="DH169" s="509">
        <f t="shared" si="1499"/>
        <v>0</v>
      </c>
      <c r="DI169" s="509">
        <f t="shared" si="1500"/>
        <v>0</v>
      </c>
      <c r="DJ169" s="509">
        <f t="shared" si="1501"/>
        <v>0</v>
      </c>
      <c r="DK169" s="509">
        <f t="shared" si="1502"/>
        <v>0</v>
      </c>
      <c r="DL169" s="451">
        <f t="shared" si="1503"/>
        <v>0</v>
      </c>
      <c r="DM169" s="509">
        <f t="shared" si="1504"/>
        <v>73110</v>
      </c>
      <c r="DN169" s="509">
        <f t="shared" si="1505"/>
        <v>73110</v>
      </c>
      <c r="DO169" s="509">
        <f t="shared" si="1506"/>
        <v>17546.400000000001</v>
      </c>
      <c r="DP169" s="509">
        <f t="shared" si="1507"/>
        <v>0</v>
      </c>
      <c r="DQ169" s="509">
        <f t="shared" si="1508"/>
        <v>0</v>
      </c>
      <c r="DR169" s="509">
        <f t="shared" si="1509"/>
        <v>0</v>
      </c>
      <c r="DS169" s="450">
        <f t="shared" si="1510"/>
        <v>0</v>
      </c>
      <c r="DT169" s="724">
        <f t="shared" si="1511"/>
        <v>0</v>
      </c>
      <c r="DU169" s="508">
        <f t="shared" si="1512"/>
        <v>0</v>
      </c>
      <c r="DV169" s="508">
        <f t="shared" si="1513"/>
        <v>0</v>
      </c>
      <c r="DW169" s="508">
        <f t="shared" si="1514"/>
        <v>0</v>
      </c>
      <c r="DX169" s="508">
        <f t="shared" si="1515"/>
        <v>0</v>
      </c>
      <c r="DY169" s="508">
        <f t="shared" si="1516"/>
        <v>0</v>
      </c>
      <c r="DZ169" s="726">
        <f t="shared" si="1517"/>
        <v>0</v>
      </c>
      <c r="EA169" s="722">
        <f t="shared" si="1518"/>
        <v>2538760.0450853533</v>
      </c>
      <c r="EB169" s="511">
        <f t="shared" si="1519"/>
        <v>2538760.0450853533</v>
      </c>
      <c r="EC169" s="511">
        <f t="shared" si="1520"/>
        <v>609302.41082048486</v>
      </c>
      <c r="ED169" s="511">
        <f t="shared" si="1521"/>
        <v>0</v>
      </c>
      <c r="EE169" s="511">
        <f t="shared" si="1522"/>
        <v>0</v>
      </c>
      <c r="EF169" s="511">
        <f t="shared" si="1523"/>
        <v>0</v>
      </c>
      <c r="EG169" s="723">
        <f t="shared" si="1524"/>
        <v>0</v>
      </c>
      <c r="EH169" s="397">
        <f t="shared" si="1525"/>
        <v>540.87477058528748</v>
      </c>
      <c r="EI169" s="397">
        <f t="shared" si="1526"/>
        <v>540.87477058528748</v>
      </c>
      <c r="EJ169" s="397">
        <f t="shared" si="1527"/>
        <v>129.80994494046902</v>
      </c>
      <c r="EK169" s="397">
        <f t="shared" si="1528"/>
        <v>0</v>
      </c>
      <c r="EL169" s="397">
        <f t="shared" si="1529"/>
        <v>0</v>
      </c>
      <c r="EM169" s="397">
        <f t="shared" si="1530"/>
        <v>0</v>
      </c>
      <c r="EN169" s="398">
        <f t="shared" si="1531"/>
        <v>0</v>
      </c>
      <c r="EO169" s="722">
        <f t="shared" si="1532"/>
        <v>0</v>
      </c>
      <c r="EP169" s="511">
        <f t="shared" si="1533"/>
        <v>0</v>
      </c>
      <c r="EQ169" s="511">
        <f t="shared" si="1534"/>
        <v>0</v>
      </c>
      <c r="ER169" s="511">
        <f t="shared" si="1535"/>
        <v>0</v>
      </c>
      <c r="ES169" s="511">
        <f t="shared" si="1536"/>
        <v>0</v>
      </c>
      <c r="ET169" s="511">
        <f t="shared" si="1537"/>
        <v>0</v>
      </c>
      <c r="EU169" s="723">
        <f t="shared" si="1538"/>
        <v>0</v>
      </c>
      <c r="EV169" s="727">
        <f t="shared" si="1539"/>
        <v>27294.400000000001</v>
      </c>
      <c r="EW169" s="728">
        <f t="shared" si="1540"/>
        <v>4148748.8</v>
      </c>
      <c r="EX169" s="728">
        <f t="shared" si="1541"/>
        <v>0</v>
      </c>
      <c r="EY169" s="728">
        <f t="shared" si="1542"/>
        <v>163766.39999999999</v>
      </c>
      <c r="EZ169" s="728">
        <f t="shared" si="1543"/>
        <v>0</v>
      </c>
      <c r="FA169" s="777">
        <f t="shared" si="1544"/>
        <v>5686822.5009911917</v>
      </c>
      <c r="FB169" s="777">
        <f t="shared" si="1545"/>
        <v>1211.559486111044</v>
      </c>
      <c r="FC169" s="778">
        <f t="shared" si="1546"/>
        <v>0</v>
      </c>
    </row>
    <row r="170" spans="1:162" s="10" customFormat="1" ht="12.5">
      <c r="A170" s="662" t="s">
        <v>277</v>
      </c>
      <c r="B170" s="789" t="s">
        <v>1461</v>
      </c>
      <c r="C170" s="789" t="str">
        <f t="shared" ref="C170:O170" si="1568">C56</f>
        <v>Any LED lamps or ballasts must also be ENERGY STAR® certified or listed on the Design Lights Consortium (DLC) qualified list.</v>
      </c>
      <c r="D170" s="789" t="str">
        <f t="shared" si="1568"/>
        <v>Exterior flood or spot fixture with a high intensity discharge or PAR light-source</v>
      </c>
      <c r="E170" s="789" t="str">
        <f t="shared" si="1568"/>
        <v>n/a</v>
      </c>
      <c r="F170" s="789" t="str">
        <f t="shared" si="1568"/>
        <v>Per Unit</v>
      </c>
      <c r="G170" s="704" t="str">
        <f t="shared" si="1568"/>
        <v>Incremental Cost</v>
      </c>
      <c r="H170" s="704">
        <f t="shared" si="1568"/>
        <v>18.5</v>
      </c>
      <c r="I170" s="704">
        <f t="shared" si="1568"/>
        <v>0</v>
      </c>
      <c r="J170" s="704">
        <f t="shared" si="1568"/>
        <v>18.5</v>
      </c>
      <c r="K170" s="704">
        <f t="shared" si="1568"/>
        <v>0</v>
      </c>
      <c r="L170" s="704">
        <f t="shared" si="1568"/>
        <v>9.25</v>
      </c>
      <c r="M170" s="881" t="str">
        <f t="shared" si="1568"/>
        <v>Average of all "Exterior LED Flood and Spot Luminaires" costs from Mid-Atlantic TRM</v>
      </c>
      <c r="N170" s="704">
        <f t="shared" si="1568"/>
        <v>13</v>
      </c>
      <c r="O170" s="704">
        <f t="shared" si="1568"/>
        <v>13</v>
      </c>
      <c r="P170" s="704">
        <f t="shared" si="1441"/>
        <v>0</v>
      </c>
      <c r="Q170" s="704">
        <f t="shared" si="1441"/>
        <v>0</v>
      </c>
      <c r="R170" s="1021">
        <f t="shared" si="1347"/>
        <v>634.50473031189699</v>
      </c>
      <c r="S170" s="872">
        <f t="shared" si="1347"/>
        <v>0</v>
      </c>
      <c r="T170" s="1022">
        <f t="shared" si="1412"/>
        <v>0</v>
      </c>
      <c r="U170" s="711" t="str">
        <f t="shared" si="1348"/>
        <v>LG&amp;E/KU Commercial Rebates Report - Appendix A</v>
      </c>
      <c r="V170" s="716">
        <f t="shared" si="1348"/>
        <v>0</v>
      </c>
      <c r="W170" s="711">
        <f t="shared" si="1348"/>
        <v>1</v>
      </c>
      <c r="X170" s="781">
        <f t="shared" ref="X170:AJ170" si="1569">X56/2</f>
        <v>178033</v>
      </c>
      <c r="Y170" s="781">
        <f t="shared" si="1569"/>
        <v>60822</v>
      </c>
      <c r="Z170" s="781">
        <f t="shared" si="1569"/>
        <v>30900.5</v>
      </c>
      <c r="AA170" s="781">
        <f t="shared" si="1569"/>
        <v>28446.857142857141</v>
      </c>
      <c r="AB170" s="781">
        <f t="shared" si="1569"/>
        <v>28446.857142857141</v>
      </c>
      <c r="AC170" s="781">
        <f t="shared" si="1569"/>
        <v>28447</v>
      </c>
      <c r="AD170" s="781">
        <f t="shared" si="1569"/>
        <v>28447</v>
      </c>
      <c r="AE170" s="781">
        <f t="shared" si="1569"/>
        <v>28447</v>
      </c>
      <c r="AF170" s="781">
        <f t="shared" si="1569"/>
        <v>6827.2800000000007</v>
      </c>
      <c r="AG170" s="781">
        <f t="shared" si="1569"/>
        <v>0</v>
      </c>
      <c r="AH170" s="781">
        <f t="shared" si="1569"/>
        <v>0</v>
      </c>
      <c r="AI170" s="781">
        <f t="shared" si="1569"/>
        <v>0</v>
      </c>
      <c r="AJ170" s="781">
        <f t="shared" si="1569"/>
        <v>0</v>
      </c>
      <c r="AK170" s="711" t="str">
        <f t="shared" ref="AK170:BA170" si="1570">AK56</f>
        <v>Electric</v>
      </c>
      <c r="AL170" s="711" t="str">
        <f t="shared" si="1570"/>
        <v>Commercial</v>
      </c>
      <c r="AM170" s="711" t="str">
        <f t="shared" si="1570"/>
        <v>Large Office</v>
      </c>
      <c r="AN170" s="711" t="str">
        <f t="shared" si="1570"/>
        <v>Lighting</v>
      </c>
      <c r="AO170" s="711" t="str">
        <f t="shared" si="1570"/>
        <v>Existing</v>
      </c>
      <c r="AP170" s="711">
        <f t="shared" si="1570"/>
        <v>0</v>
      </c>
      <c r="AQ170" s="711">
        <f t="shared" si="1570"/>
        <v>0</v>
      </c>
      <c r="AR170" s="711">
        <f t="shared" si="1570"/>
        <v>0</v>
      </c>
      <c r="AS170" s="711" t="str">
        <f t="shared" si="1570"/>
        <v>OFFLGInLight</v>
      </c>
      <c r="AT170" s="715" t="s">
        <v>745</v>
      </c>
      <c r="AU170" s="711" t="str">
        <f t="shared" si="1570"/>
        <v>LGE NonRes</v>
      </c>
      <c r="AV170" s="711">
        <f t="shared" si="1570"/>
        <v>20</v>
      </c>
      <c r="AW170" s="711">
        <f t="shared" si="1570"/>
        <v>15</v>
      </c>
      <c r="AX170" s="711" t="str">
        <f t="shared" si="1570"/>
        <v>2015/2016 Xcel Demand-Side Management Plan, Electric and Natural Gas. pg. 516; Commercial Prescriptive Retrofit Lighting; LED Exterior Wall Pack 26W - 60W measure</v>
      </c>
      <c r="AY170" s="711">
        <f t="shared" si="1570"/>
        <v>1</v>
      </c>
      <c r="AZ170" s="711">
        <f t="shared" si="1570"/>
        <v>1</v>
      </c>
      <c r="BA170" s="1066">
        <f t="shared" si="1570"/>
        <v>0</v>
      </c>
      <c r="BB170" s="721">
        <f t="shared" si="1079"/>
        <v>18.5</v>
      </c>
      <c r="BC170" s="499">
        <f t="shared" si="1080"/>
        <v>18.5</v>
      </c>
      <c r="BD170" s="499">
        <f t="shared" si="1081"/>
        <v>18.5</v>
      </c>
      <c r="BE170" s="499">
        <f t="shared" si="1082"/>
        <v>18.5</v>
      </c>
      <c r="BF170" s="499">
        <f t="shared" si="1083"/>
        <v>18.5</v>
      </c>
      <c r="BG170" s="499">
        <f t="shared" si="1084"/>
        <v>18.5</v>
      </c>
      <c r="BH170" s="499">
        <f t="shared" si="1085"/>
        <v>18.5</v>
      </c>
      <c r="BI170" s="721">
        <f t="shared" si="1379"/>
        <v>0</v>
      </c>
      <c r="BJ170" s="499">
        <f t="shared" ref="BJ170:BM170" si="1571">BI170</f>
        <v>0</v>
      </c>
      <c r="BK170" s="499">
        <f t="shared" si="1571"/>
        <v>0</v>
      </c>
      <c r="BL170" s="499">
        <f t="shared" si="1571"/>
        <v>0</v>
      </c>
      <c r="BM170" s="499">
        <f t="shared" si="1571"/>
        <v>0</v>
      </c>
      <c r="BN170" s="499">
        <f t="shared" si="1087"/>
        <v>0</v>
      </c>
      <c r="BO170" s="499">
        <f t="shared" si="1088"/>
        <v>0</v>
      </c>
      <c r="BP170" s="721">
        <f t="shared" si="1381"/>
        <v>13</v>
      </c>
      <c r="BQ170" s="499">
        <f t="shared" si="1382"/>
        <v>13</v>
      </c>
      <c r="BR170" s="499">
        <f t="shared" si="1089"/>
        <v>13</v>
      </c>
      <c r="BS170" s="499">
        <f t="shared" si="1090"/>
        <v>13</v>
      </c>
      <c r="BT170" s="499">
        <f t="shared" si="1091"/>
        <v>13</v>
      </c>
      <c r="BU170" s="499">
        <f t="shared" si="1092"/>
        <v>13</v>
      </c>
      <c r="BV170" s="499">
        <f t="shared" si="1093"/>
        <v>13</v>
      </c>
      <c r="BW170" s="774">
        <f t="shared" si="1393"/>
        <v>0</v>
      </c>
      <c r="BX170" s="503">
        <f t="shared" si="1393"/>
        <v>0</v>
      </c>
      <c r="BY170" s="503">
        <f t="shared" si="1393"/>
        <v>0</v>
      </c>
      <c r="BZ170" s="503">
        <f t="shared" si="1393"/>
        <v>0</v>
      </c>
      <c r="CA170" s="503">
        <f t="shared" si="1393"/>
        <v>0</v>
      </c>
      <c r="CB170" s="503">
        <f t="shared" si="1393"/>
        <v>0</v>
      </c>
      <c r="CC170" s="503">
        <f t="shared" si="1393"/>
        <v>0</v>
      </c>
      <c r="CD170" s="722">
        <f t="shared" si="1383"/>
        <v>634.50473031189699</v>
      </c>
      <c r="CE170" s="511">
        <f t="shared" ref="CE170:CH170" si="1572">CD170</f>
        <v>634.50473031189699</v>
      </c>
      <c r="CF170" s="511">
        <f t="shared" si="1572"/>
        <v>634.50473031189699</v>
      </c>
      <c r="CG170" s="511">
        <f t="shared" si="1572"/>
        <v>634.50473031189699</v>
      </c>
      <c r="CH170" s="511">
        <f t="shared" si="1572"/>
        <v>634.50473031189699</v>
      </c>
      <c r="CI170" s="511">
        <f t="shared" si="1096"/>
        <v>634.50473031189699</v>
      </c>
      <c r="CJ170" s="511">
        <f t="shared" si="1097"/>
        <v>634.50473031189699</v>
      </c>
      <c r="CK170" s="722">
        <f t="shared" si="1385"/>
        <v>0</v>
      </c>
      <c r="CL170" s="511">
        <f t="shared" ref="CL170:CO170" si="1573">CK170</f>
        <v>0</v>
      </c>
      <c r="CM170" s="511">
        <f t="shared" si="1573"/>
        <v>0</v>
      </c>
      <c r="CN170" s="511">
        <f t="shared" si="1573"/>
        <v>0</v>
      </c>
      <c r="CO170" s="511">
        <f t="shared" si="1573"/>
        <v>0</v>
      </c>
      <c r="CP170" s="511">
        <f t="shared" si="1099"/>
        <v>0</v>
      </c>
      <c r="CQ170" s="511">
        <f t="shared" si="1100"/>
        <v>0</v>
      </c>
      <c r="CR170" s="722">
        <f t="shared" si="1387"/>
        <v>0</v>
      </c>
      <c r="CS170" s="511">
        <f t="shared" ref="CS170:CV170" si="1574">CR170</f>
        <v>0</v>
      </c>
      <c r="CT170" s="511">
        <f t="shared" si="1574"/>
        <v>0</v>
      </c>
      <c r="CU170" s="511">
        <f t="shared" si="1574"/>
        <v>0</v>
      </c>
      <c r="CV170" s="511">
        <f t="shared" si="1574"/>
        <v>0</v>
      </c>
      <c r="CW170" s="511">
        <f t="shared" si="1102"/>
        <v>0</v>
      </c>
      <c r="CX170" s="539">
        <f t="shared" si="1103"/>
        <v>0</v>
      </c>
      <c r="CY170" s="724">
        <f t="shared" si="1490"/>
        <v>526269.5</v>
      </c>
      <c r="CZ170" s="508">
        <f t="shared" si="1491"/>
        <v>526269.5</v>
      </c>
      <c r="DA170" s="508">
        <f t="shared" si="1492"/>
        <v>126304.68000000001</v>
      </c>
      <c r="DB170" s="508">
        <f t="shared" si="1493"/>
        <v>0</v>
      </c>
      <c r="DC170" s="508">
        <f t="shared" si="1494"/>
        <v>0</v>
      </c>
      <c r="DD170" s="508">
        <f t="shared" si="1495"/>
        <v>0</v>
      </c>
      <c r="DE170" s="726">
        <f t="shared" si="1496"/>
        <v>0</v>
      </c>
      <c r="DF170" s="724">
        <f t="shared" si="1497"/>
        <v>0</v>
      </c>
      <c r="DG170" s="509">
        <f t="shared" si="1498"/>
        <v>0</v>
      </c>
      <c r="DH170" s="509">
        <f t="shared" si="1499"/>
        <v>0</v>
      </c>
      <c r="DI170" s="509">
        <f t="shared" si="1500"/>
        <v>0</v>
      </c>
      <c r="DJ170" s="509">
        <f t="shared" si="1501"/>
        <v>0</v>
      </c>
      <c r="DK170" s="509">
        <f t="shared" si="1502"/>
        <v>0</v>
      </c>
      <c r="DL170" s="451">
        <f t="shared" si="1503"/>
        <v>0</v>
      </c>
      <c r="DM170" s="509">
        <f t="shared" si="1504"/>
        <v>369811</v>
      </c>
      <c r="DN170" s="509">
        <f t="shared" si="1505"/>
        <v>369811</v>
      </c>
      <c r="DO170" s="509">
        <f t="shared" si="1506"/>
        <v>88754.640000000014</v>
      </c>
      <c r="DP170" s="509">
        <f t="shared" si="1507"/>
        <v>0</v>
      </c>
      <c r="DQ170" s="509">
        <f t="shared" si="1508"/>
        <v>0</v>
      </c>
      <c r="DR170" s="509">
        <f t="shared" si="1509"/>
        <v>0</v>
      </c>
      <c r="DS170" s="450">
        <f t="shared" si="1510"/>
        <v>0</v>
      </c>
      <c r="DT170" s="724">
        <f t="shared" si="1511"/>
        <v>0</v>
      </c>
      <c r="DU170" s="508">
        <f t="shared" si="1512"/>
        <v>0</v>
      </c>
      <c r="DV170" s="508">
        <f t="shared" si="1513"/>
        <v>0</v>
      </c>
      <c r="DW170" s="508">
        <f t="shared" si="1514"/>
        <v>0</v>
      </c>
      <c r="DX170" s="508">
        <f t="shared" si="1515"/>
        <v>0</v>
      </c>
      <c r="DY170" s="508">
        <f t="shared" si="1516"/>
        <v>0</v>
      </c>
      <c r="DZ170" s="726">
        <f t="shared" si="1517"/>
        <v>0</v>
      </c>
      <c r="EA170" s="722">
        <f t="shared" si="1518"/>
        <v>18049756.063182533</v>
      </c>
      <c r="EB170" s="511">
        <f t="shared" si="1519"/>
        <v>18049756.063182533</v>
      </c>
      <c r="EC170" s="511">
        <f t="shared" si="1520"/>
        <v>4331941.4551638085</v>
      </c>
      <c r="ED170" s="511">
        <f t="shared" si="1521"/>
        <v>0</v>
      </c>
      <c r="EE170" s="511">
        <f t="shared" si="1522"/>
        <v>0</v>
      </c>
      <c r="EF170" s="511">
        <f t="shared" si="1523"/>
        <v>0</v>
      </c>
      <c r="EG170" s="723">
        <f t="shared" si="1524"/>
        <v>0</v>
      </c>
      <c r="EH170" s="397">
        <f t="shared" si="1525"/>
        <v>0</v>
      </c>
      <c r="EI170" s="397">
        <f t="shared" si="1526"/>
        <v>0</v>
      </c>
      <c r="EJ170" s="397">
        <f t="shared" si="1527"/>
        <v>0</v>
      </c>
      <c r="EK170" s="397">
        <f t="shared" si="1528"/>
        <v>0</v>
      </c>
      <c r="EL170" s="397">
        <f t="shared" si="1529"/>
        <v>0</v>
      </c>
      <c r="EM170" s="397">
        <f t="shared" si="1530"/>
        <v>0</v>
      </c>
      <c r="EN170" s="398">
        <f t="shared" si="1531"/>
        <v>0</v>
      </c>
      <c r="EO170" s="722">
        <f t="shared" si="1532"/>
        <v>0</v>
      </c>
      <c r="EP170" s="511">
        <f t="shared" si="1533"/>
        <v>0</v>
      </c>
      <c r="EQ170" s="511">
        <f t="shared" si="1534"/>
        <v>0</v>
      </c>
      <c r="ER170" s="511">
        <f t="shared" si="1535"/>
        <v>0</v>
      </c>
      <c r="ES170" s="511">
        <f t="shared" si="1536"/>
        <v>0</v>
      </c>
      <c r="ET170" s="511">
        <f t="shared" si="1537"/>
        <v>0</v>
      </c>
      <c r="EU170" s="723">
        <f t="shared" si="1538"/>
        <v>0</v>
      </c>
      <c r="EV170" s="727">
        <f t="shared" si="1539"/>
        <v>63721.279999999999</v>
      </c>
      <c r="EW170" s="728">
        <f t="shared" si="1540"/>
        <v>1178843.68</v>
      </c>
      <c r="EX170" s="728">
        <f t="shared" si="1541"/>
        <v>0</v>
      </c>
      <c r="EY170" s="728">
        <f t="shared" si="1542"/>
        <v>828376.64</v>
      </c>
      <c r="EZ170" s="728">
        <f t="shared" si="1543"/>
        <v>0</v>
      </c>
      <c r="FA170" s="777">
        <f t="shared" si="1544"/>
        <v>40431453.581528872</v>
      </c>
      <c r="FB170" s="777">
        <f t="shared" si="1545"/>
        <v>0</v>
      </c>
      <c r="FC170" s="778">
        <f t="shared" si="1546"/>
        <v>0</v>
      </c>
    </row>
    <row r="171" spans="1:162" s="10" customFormat="1" ht="12.5">
      <c r="A171" s="662" t="s">
        <v>278</v>
      </c>
      <c r="B171" s="789" t="s">
        <v>1462</v>
      </c>
      <c r="C171" s="789" t="str">
        <f t="shared" ref="C171:O171" si="1575">C57</f>
        <v>Any LED lamps or ballasts must also be ENERGY STAR® certified or listed on the Design Lights Consortium (DLC) qualified list.</v>
      </c>
      <c r="D171" s="789" t="str">
        <f t="shared" si="1575"/>
        <v>A parking garage or canopy luminaire with a high intensity discharge light-source</v>
      </c>
      <c r="E171" s="789" t="str">
        <f t="shared" si="1575"/>
        <v>n/a</v>
      </c>
      <c r="F171" s="789" t="str">
        <f t="shared" si="1575"/>
        <v>Per Unit</v>
      </c>
      <c r="G171" s="704" t="str">
        <f t="shared" si="1575"/>
        <v>Incremental Cost</v>
      </c>
      <c r="H171" s="704">
        <f t="shared" si="1575"/>
        <v>631</v>
      </c>
      <c r="I171" s="704">
        <f t="shared" si="1575"/>
        <v>0</v>
      </c>
      <c r="J171" s="704">
        <f t="shared" si="1575"/>
        <v>631</v>
      </c>
      <c r="K171" s="704">
        <f t="shared" si="1575"/>
        <v>-2.8653333333333331</v>
      </c>
      <c r="L171" s="704">
        <f t="shared" si="1575"/>
        <v>315.5</v>
      </c>
      <c r="M171" s="881" t="str">
        <f t="shared" si="1575"/>
        <v>Equipment and O&amp;M costs pulled directly from Mid Atlantic TRM V9: LED Parking Garage/Canopy Luminaires and Retrofit Kit</v>
      </c>
      <c r="N171" s="704">
        <f t="shared" si="1575"/>
        <v>20</v>
      </c>
      <c r="O171" s="704">
        <f t="shared" si="1575"/>
        <v>20</v>
      </c>
      <c r="P171" s="704">
        <f t="shared" si="1441"/>
        <v>0</v>
      </c>
      <c r="Q171" s="704">
        <f t="shared" si="1441"/>
        <v>0</v>
      </c>
      <c r="R171" s="1021">
        <f t="shared" si="1347"/>
        <v>465.77299999999997</v>
      </c>
      <c r="S171" s="872">
        <f t="shared" si="1347"/>
        <v>3.85E-2</v>
      </c>
      <c r="T171" s="1022">
        <f t="shared" si="1412"/>
        <v>0</v>
      </c>
      <c r="U171" s="711" t="str">
        <f t="shared" si="1348"/>
        <v>Per unit savings estimate from Mid-Atlantic TRM v9 "LED Parking Garage/Canopy Luminaires and Retrofit Kits"</v>
      </c>
      <c r="V171" s="716">
        <f t="shared" si="1348"/>
        <v>0</v>
      </c>
      <c r="W171" s="711">
        <f t="shared" si="1348"/>
        <v>1</v>
      </c>
      <c r="X171" s="781">
        <f t="shared" ref="X171:AJ171" si="1576">X57/2</f>
        <v>5615</v>
      </c>
      <c r="Y171" s="781">
        <f t="shared" si="1576"/>
        <v>8584</v>
      </c>
      <c r="Z171" s="781">
        <f t="shared" si="1576"/>
        <v>7688</v>
      </c>
      <c r="AA171" s="781">
        <f t="shared" si="1576"/>
        <v>4529.1428571428569</v>
      </c>
      <c r="AB171" s="781">
        <f t="shared" si="1576"/>
        <v>4529.1428571428569</v>
      </c>
      <c r="AC171" s="781">
        <f t="shared" si="1576"/>
        <v>4529</v>
      </c>
      <c r="AD171" s="781">
        <f t="shared" si="1576"/>
        <v>4529</v>
      </c>
      <c r="AE171" s="781">
        <f t="shared" si="1576"/>
        <v>4529</v>
      </c>
      <c r="AF171" s="781">
        <f t="shared" si="1576"/>
        <v>1086.96</v>
      </c>
      <c r="AG171" s="781">
        <f t="shared" si="1576"/>
        <v>0</v>
      </c>
      <c r="AH171" s="781">
        <f t="shared" si="1576"/>
        <v>0</v>
      </c>
      <c r="AI171" s="781">
        <f t="shared" si="1576"/>
        <v>0</v>
      </c>
      <c r="AJ171" s="781">
        <f t="shared" si="1576"/>
        <v>0</v>
      </c>
      <c r="AK171" s="711" t="str">
        <f t="shared" ref="AK171:BA171" si="1577">AK57</f>
        <v>Electric</v>
      </c>
      <c r="AL171" s="711" t="str">
        <f t="shared" si="1577"/>
        <v>Commercial</v>
      </c>
      <c r="AM171" s="711" t="str">
        <f t="shared" si="1577"/>
        <v>Large Office</v>
      </c>
      <c r="AN171" s="711" t="str">
        <f t="shared" si="1577"/>
        <v>Lighting</v>
      </c>
      <c r="AO171" s="711" t="str">
        <f t="shared" si="1577"/>
        <v>Existing</v>
      </c>
      <c r="AP171" s="711">
        <f t="shared" si="1577"/>
        <v>0</v>
      </c>
      <c r="AQ171" s="711">
        <f t="shared" si="1577"/>
        <v>0</v>
      </c>
      <c r="AR171" s="711">
        <f t="shared" si="1577"/>
        <v>0</v>
      </c>
      <c r="AS171" s="711" t="str">
        <f t="shared" si="1577"/>
        <v>OFFLGInLight</v>
      </c>
      <c r="AT171" s="715" t="s">
        <v>745</v>
      </c>
      <c r="AU171" s="711" t="str">
        <f t="shared" si="1577"/>
        <v>LGE NonRes</v>
      </c>
      <c r="AV171" s="711">
        <f t="shared" si="1577"/>
        <v>8</v>
      </c>
      <c r="AW171" s="711">
        <f t="shared" si="1577"/>
        <v>15</v>
      </c>
      <c r="AX171" s="711" t="str">
        <f t="shared" si="1577"/>
        <v>Based on the DEER 2014 EUL database for the measure "Occupancy sensors"</v>
      </c>
      <c r="AY171" s="711">
        <f t="shared" si="1577"/>
        <v>1</v>
      </c>
      <c r="AZ171" s="711">
        <f t="shared" si="1577"/>
        <v>1</v>
      </c>
      <c r="BA171" s="1066">
        <f t="shared" si="1577"/>
        <v>0</v>
      </c>
      <c r="BB171" s="721">
        <f t="shared" si="1079"/>
        <v>631</v>
      </c>
      <c r="BC171" s="499">
        <f t="shared" si="1080"/>
        <v>631</v>
      </c>
      <c r="BD171" s="499">
        <f t="shared" si="1081"/>
        <v>631</v>
      </c>
      <c r="BE171" s="499">
        <f t="shared" si="1082"/>
        <v>631</v>
      </c>
      <c r="BF171" s="499">
        <f t="shared" si="1083"/>
        <v>631</v>
      </c>
      <c r="BG171" s="499">
        <f t="shared" si="1084"/>
        <v>631</v>
      </c>
      <c r="BH171" s="499">
        <f t="shared" si="1085"/>
        <v>631</v>
      </c>
      <c r="BI171" s="721">
        <f t="shared" si="1379"/>
        <v>-2.8653333333333331</v>
      </c>
      <c r="BJ171" s="499">
        <f t="shared" ref="BJ171:BM171" si="1578">BI171</f>
        <v>-2.8653333333333331</v>
      </c>
      <c r="BK171" s="499">
        <f t="shared" si="1578"/>
        <v>-2.8653333333333331</v>
      </c>
      <c r="BL171" s="499">
        <f t="shared" si="1578"/>
        <v>-2.8653333333333331</v>
      </c>
      <c r="BM171" s="499">
        <f t="shared" si="1578"/>
        <v>-2.8653333333333331</v>
      </c>
      <c r="BN171" s="499">
        <f t="shared" si="1087"/>
        <v>-2.8653333333333331</v>
      </c>
      <c r="BO171" s="499">
        <f t="shared" si="1088"/>
        <v>-2.8653333333333331</v>
      </c>
      <c r="BP171" s="721">
        <f t="shared" si="1381"/>
        <v>20</v>
      </c>
      <c r="BQ171" s="499">
        <f t="shared" si="1382"/>
        <v>20</v>
      </c>
      <c r="BR171" s="499">
        <f t="shared" si="1089"/>
        <v>20</v>
      </c>
      <c r="BS171" s="499">
        <f t="shared" si="1090"/>
        <v>20</v>
      </c>
      <c r="BT171" s="499">
        <f t="shared" si="1091"/>
        <v>20</v>
      </c>
      <c r="BU171" s="499">
        <f t="shared" si="1092"/>
        <v>20</v>
      </c>
      <c r="BV171" s="499">
        <f t="shared" si="1093"/>
        <v>20</v>
      </c>
      <c r="BW171" s="774">
        <f t="shared" si="1393"/>
        <v>0</v>
      </c>
      <c r="BX171" s="503">
        <f t="shared" si="1393"/>
        <v>0</v>
      </c>
      <c r="BY171" s="503">
        <f t="shared" si="1393"/>
        <v>0</v>
      </c>
      <c r="BZ171" s="503">
        <f t="shared" si="1393"/>
        <v>0</v>
      </c>
      <c r="CA171" s="503">
        <f t="shared" si="1393"/>
        <v>0</v>
      </c>
      <c r="CB171" s="503">
        <f t="shared" si="1393"/>
        <v>0</v>
      </c>
      <c r="CC171" s="503">
        <f t="shared" si="1393"/>
        <v>0</v>
      </c>
      <c r="CD171" s="722">
        <f t="shared" si="1383"/>
        <v>465.77299999999997</v>
      </c>
      <c r="CE171" s="511">
        <f t="shared" ref="CE171:CH171" si="1579">CD171</f>
        <v>465.77299999999997</v>
      </c>
      <c r="CF171" s="511">
        <f t="shared" si="1579"/>
        <v>465.77299999999997</v>
      </c>
      <c r="CG171" s="511">
        <f t="shared" si="1579"/>
        <v>465.77299999999997</v>
      </c>
      <c r="CH171" s="511">
        <f t="shared" si="1579"/>
        <v>465.77299999999997</v>
      </c>
      <c r="CI171" s="511">
        <f t="shared" si="1096"/>
        <v>465.77299999999997</v>
      </c>
      <c r="CJ171" s="511">
        <f t="shared" si="1097"/>
        <v>465.77299999999997</v>
      </c>
      <c r="CK171" s="722">
        <f t="shared" si="1385"/>
        <v>3.85E-2</v>
      </c>
      <c r="CL171" s="511">
        <f t="shared" ref="CL171:CO171" si="1580">CK171</f>
        <v>3.85E-2</v>
      </c>
      <c r="CM171" s="511">
        <f t="shared" si="1580"/>
        <v>3.85E-2</v>
      </c>
      <c r="CN171" s="511">
        <f t="shared" si="1580"/>
        <v>3.85E-2</v>
      </c>
      <c r="CO171" s="511">
        <f t="shared" si="1580"/>
        <v>3.85E-2</v>
      </c>
      <c r="CP171" s="511">
        <f t="shared" si="1099"/>
        <v>3.85E-2</v>
      </c>
      <c r="CQ171" s="511">
        <f t="shared" si="1100"/>
        <v>3.85E-2</v>
      </c>
      <c r="CR171" s="722">
        <f t="shared" si="1387"/>
        <v>0</v>
      </c>
      <c r="CS171" s="511">
        <f t="shared" ref="CS171:CV171" si="1581">CR171</f>
        <v>0</v>
      </c>
      <c r="CT171" s="511">
        <f t="shared" si="1581"/>
        <v>0</v>
      </c>
      <c r="CU171" s="511">
        <f t="shared" si="1581"/>
        <v>0</v>
      </c>
      <c r="CV171" s="511">
        <f t="shared" si="1581"/>
        <v>0</v>
      </c>
      <c r="CW171" s="511">
        <f t="shared" si="1102"/>
        <v>0</v>
      </c>
      <c r="CX171" s="539">
        <f t="shared" si="1103"/>
        <v>0</v>
      </c>
      <c r="CY171" s="724">
        <f t="shared" si="1490"/>
        <v>2857799</v>
      </c>
      <c r="CZ171" s="508">
        <f t="shared" si="1491"/>
        <v>2857799</v>
      </c>
      <c r="DA171" s="508">
        <f t="shared" si="1492"/>
        <v>685871.76</v>
      </c>
      <c r="DB171" s="508">
        <f t="shared" si="1493"/>
        <v>0</v>
      </c>
      <c r="DC171" s="508">
        <f t="shared" si="1494"/>
        <v>0</v>
      </c>
      <c r="DD171" s="508">
        <f t="shared" si="1495"/>
        <v>0</v>
      </c>
      <c r="DE171" s="726">
        <f t="shared" si="1496"/>
        <v>0</v>
      </c>
      <c r="DF171" s="724">
        <f t="shared" si="1497"/>
        <v>-12977.094666666666</v>
      </c>
      <c r="DG171" s="509">
        <f t="shared" si="1498"/>
        <v>-12977.094666666666</v>
      </c>
      <c r="DH171" s="509">
        <f t="shared" si="1499"/>
        <v>-3114.50272</v>
      </c>
      <c r="DI171" s="509">
        <f t="shared" si="1500"/>
        <v>0</v>
      </c>
      <c r="DJ171" s="509">
        <f t="shared" si="1501"/>
        <v>0</v>
      </c>
      <c r="DK171" s="509">
        <f t="shared" si="1502"/>
        <v>0</v>
      </c>
      <c r="DL171" s="451">
        <f t="shared" si="1503"/>
        <v>0</v>
      </c>
      <c r="DM171" s="509">
        <f t="shared" si="1504"/>
        <v>90580</v>
      </c>
      <c r="DN171" s="509">
        <f t="shared" si="1505"/>
        <v>90580</v>
      </c>
      <c r="DO171" s="509">
        <f t="shared" si="1506"/>
        <v>21739.200000000001</v>
      </c>
      <c r="DP171" s="509">
        <f t="shared" si="1507"/>
        <v>0</v>
      </c>
      <c r="DQ171" s="509">
        <f t="shared" si="1508"/>
        <v>0</v>
      </c>
      <c r="DR171" s="509">
        <f t="shared" si="1509"/>
        <v>0</v>
      </c>
      <c r="DS171" s="450">
        <f t="shared" si="1510"/>
        <v>0</v>
      </c>
      <c r="DT171" s="724">
        <f t="shared" si="1511"/>
        <v>0</v>
      </c>
      <c r="DU171" s="508">
        <f t="shared" si="1512"/>
        <v>0</v>
      </c>
      <c r="DV171" s="508">
        <f t="shared" si="1513"/>
        <v>0</v>
      </c>
      <c r="DW171" s="508">
        <f t="shared" si="1514"/>
        <v>0</v>
      </c>
      <c r="DX171" s="508">
        <f t="shared" si="1515"/>
        <v>0</v>
      </c>
      <c r="DY171" s="508">
        <f t="shared" si="1516"/>
        <v>0</v>
      </c>
      <c r="DZ171" s="726">
        <f t="shared" si="1517"/>
        <v>0</v>
      </c>
      <c r="EA171" s="722">
        <f t="shared" si="1518"/>
        <v>2109485.9169999999</v>
      </c>
      <c r="EB171" s="511">
        <f t="shared" si="1519"/>
        <v>2109485.9169999999</v>
      </c>
      <c r="EC171" s="511">
        <f t="shared" si="1520"/>
        <v>506276.62007999996</v>
      </c>
      <c r="ED171" s="511">
        <f t="shared" si="1521"/>
        <v>0</v>
      </c>
      <c r="EE171" s="511">
        <f t="shared" si="1522"/>
        <v>0</v>
      </c>
      <c r="EF171" s="511">
        <f t="shared" si="1523"/>
        <v>0</v>
      </c>
      <c r="EG171" s="723">
        <f t="shared" si="1524"/>
        <v>0</v>
      </c>
      <c r="EH171" s="397">
        <f t="shared" si="1525"/>
        <v>174.3665</v>
      </c>
      <c r="EI171" s="397">
        <f t="shared" si="1526"/>
        <v>174.3665</v>
      </c>
      <c r="EJ171" s="397">
        <f t="shared" si="1527"/>
        <v>41.84796</v>
      </c>
      <c r="EK171" s="397">
        <f t="shared" si="1528"/>
        <v>0</v>
      </c>
      <c r="EL171" s="397">
        <f t="shared" si="1529"/>
        <v>0</v>
      </c>
      <c r="EM171" s="397">
        <f t="shared" si="1530"/>
        <v>0</v>
      </c>
      <c r="EN171" s="398">
        <f t="shared" si="1531"/>
        <v>0</v>
      </c>
      <c r="EO171" s="722">
        <f t="shared" si="1532"/>
        <v>0</v>
      </c>
      <c r="EP171" s="511">
        <f t="shared" si="1533"/>
        <v>0</v>
      </c>
      <c r="EQ171" s="511">
        <f t="shared" si="1534"/>
        <v>0</v>
      </c>
      <c r="ER171" s="511">
        <f t="shared" si="1535"/>
        <v>0</v>
      </c>
      <c r="ES171" s="511">
        <f t="shared" si="1536"/>
        <v>0</v>
      </c>
      <c r="ET171" s="511">
        <f t="shared" si="1537"/>
        <v>0</v>
      </c>
      <c r="EU171" s="723">
        <f t="shared" si="1538"/>
        <v>0</v>
      </c>
      <c r="EV171" s="727">
        <f t="shared" si="1539"/>
        <v>10144.959999999999</v>
      </c>
      <c r="EW171" s="728">
        <f t="shared" si="1540"/>
        <v>6401469.7599999998</v>
      </c>
      <c r="EX171" s="728">
        <f t="shared" si="1541"/>
        <v>-29068.692053333332</v>
      </c>
      <c r="EY171" s="728">
        <f t="shared" si="1542"/>
        <v>202899.20000000001</v>
      </c>
      <c r="EZ171" s="728">
        <f t="shared" si="1543"/>
        <v>0</v>
      </c>
      <c r="FA171" s="777">
        <f t="shared" si="1544"/>
        <v>4725248.4540799996</v>
      </c>
      <c r="FB171" s="777">
        <f t="shared" si="1545"/>
        <v>390.58096</v>
      </c>
      <c r="FC171" s="778">
        <f t="shared" si="1546"/>
        <v>0</v>
      </c>
    </row>
    <row r="172" spans="1:162" s="10" customFormat="1" ht="12.5">
      <c r="A172" s="662" t="s">
        <v>279</v>
      </c>
      <c r="B172" s="789" t="s">
        <v>1463</v>
      </c>
      <c r="C172" s="789" t="str">
        <f t="shared" ref="C172:O172" si="1582">C58</f>
        <v>Any LED lamps or ballasts must also be ENERGY STAR® certified or listed on the Design Lights Consortium (DLC) qualified list.</v>
      </c>
      <c r="D172" s="789" t="str">
        <f t="shared" si="1582"/>
        <v>A parking garage or canopy luminaire with a high intensity discharge light-source</v>
      </c>
      <c r="E172" s="789" t="str">
        <f t="shared" si="1582"/>
        <v>n/a</v>
      </c>
      <c r="F172" s="789" t="str">
        <f t="shared" si="1582"/>
        <v>Per Unit</v>
      </c>
      <c r="G172" s="704" t="str">
        <f t="shared" si="1582"/>
        <v>Incremental Cost</v>
      </c>
      <c r="H172" s="704">
        <f t="shared" si="1582"/>
        <v>1846</v>
      </c>
      <c r="I172" s="704">
        <f t="shared" si="1582"/>
        <v>0</v>
      </c>
      <c r="J172" s="704">
        <f t="shared" si="1582"/>
        <v>1846</v>
      </c>
      <c r="K172" s="704">
        <f t="shared" si="1582"/>
        <v>-2.8653333333333331</v>
      </c>
      <c r="L172" s="704">
        <f t="shared" si="1582"/>
        <v>923</v>
      </c>
      <c r="M172" s="881" t="str">
        <f t="shared" si="1582"/>
        <v>Mid Atlantic TRM V9 (see BizRebates_Costs_Savings tab) - "LED Parking Garage/Canopy Luminaires and Retrofit Kits"</v>
      </c>
      <c r="N172" s="704">
        <f t="shared" si="1582"/>
        <v>30</v>
      </c>
      <c r="O172" s="704">
        <f t="shared" si="1582"/>
        <v>30</v>
      </c>
      <c r="P172" s="704">
        <f t="shared" si="1441"/>
        <v>0</v>
      </c>
      <c r="Q172" s="704">
        <f t="shared" si="1441"/>
        <v>0</v>
      </c>
      <c r="R172" s="1021">
        <f t="shared" si="1347"/>
        <v>998.08500000000004</v>
      </c>
      <c r="S172" s="872">
        <f t="shared" si="1347"/>
        <v>8.2500000000000004E-2</v>
      </c>
      <c r="T172" s="1022">
        <f t="shared" si="1412"/>
        <v>0</v>
      </c>
      <c r="U172" s="711" t="str">
        <f t="shared" si="1348"/>
        <v>Per unit savings estimate from Mid-Atlantic TRM v9 "LED Parking Garage/Canopy Luminaires and Retrofit Kits"</v>
      </c>
      <c r="V172" s="716">
        <f t="shared" si="1348"/>
        <v>0</v>
      </c>
      <c r="W172" s="711">
        <f t="shared" si="1348"/>
        <v>1</v>
      </c>
      <c r="X172" s="781">
        <f t="shared" ref="X172:AJ172" si="1583">X58/2</f>
        <v>0</v>
      </c>
      <c r="Y172" s="781">
        <f t="shared" si="1583"/>
        <v>0</v>
      </c>
      <c r="Z172" s="781">
        <f t="shared" si="1583"/>
        <v>0</v>
      </c>
      <c r="AA172" s="781">
        <f t="shared" si="1583"/>
        <v>655.71428571428567</v>
      </c>
      <c r="AB172" s="781">
        <f t="shared" si="1583"/>
        <v>327.85714285714283</v>
      </c>
      <c r="AC172" s="781">
        <f t="shared" si="1583"/>
        <v>0</v>
      </c>
      <c r="AD172" s="781">
        <f t="shared" si="1583"/>
        <v>0.5</v>
      </c>
      <c r="AE172" s="781">
        <f t="shared" si="1583"/>
        <v>0.5</v>
      </c>
      <c r="AF172" s="781">
        <f t="shared" si="1583"/>
        <v>0.12</v>
      </c>
      <c r="AG172" s="781">
        <f t="shared" si="1583"/>
        <v>0</v>
      </c>
      <c r="AH172" s="781">
        <f t="shared" si="1583"/>
        <v>0</v>
      </c>
      <c r="AI172" s="781">
        <f t="shared" si="1583"/>
        <v>0</v>
      </c>
      <c r="AJ172" s="781">
        <f t="shared" si="1583"/>
        <v>0</v>
      </c>
      <c r="AK172" s="711" t="str">
        <f t="shared" ref="AK172:BA172" si="1584">AK58</f>
        <v>Electric</v>
      </c>
      <c r="AL172" s="711" t="str">
        <f t="shared" si="1584"/>
        <v>Commercial</v>
      </c>
      <c r="AM172" s="711" t="str">
        <f t="shared" si="1584"/>
        <v>Large Office</v>
      </c>
      <c r="AN172" s="711" t="str">
        <f t="shared" si="1584"/>
        <v>Lighting</v>
      </c>
      <c r="AO172" s="711" t="str">
        <f t="shared" si="1584"/>
        <v>Existing</v>
      </c>
      <c r="AP172" s="711">
        <f t="shared" si="1584"/>
        <v>0</v>
      </c>
      <c r="AQ172" s="711">
        <f t="shared" si="1584"/>
        <v>0</v>
      </c>
      <c r="AR172" s="711">
        <f t="shared" si="1584"/>
        <v>0</v>
      </c>
      <c r="AS172" s="711" t="str">
        <f t="shared" si="1584"/>
        <v>OFFLGInLight</v>
      </c>
      <c r="AT172" s="715" t="s">
        <v>745</v>
      </c>
      <c r="AU172" s="711" t="str">
        <f t="shared" si="1584"/>
        <v>LGE NonRes</v>
      </c>
      <c r="AV172" s="711">
        <f t="shared" si="1584"/>
        <v>8</v>
      </c>
      <c r="AW172" s="711">
        <f t="shared" si="1584"/>
        <v>15</v>
      </c>
      <c r="AX172" s="711" t="str">
        <f t="shared" si="1584"/>
        <v>Based on the DEER 2014 EUL database for the measure "Occupancy sensors"</v>
      </c>
      <c r="AY172" s="711">
        <f t="shared" si="1584"/>
        <v>1</v>
      </c>
      <c r="AZ172" s="711">
        <f t="shared" si="1584"/>
        <v>1</v>
      </c>
      <c r="BA172" s="1066">
        <f t="shared" si="1584"/>
        <v>0</v>
      </c>
      <c r="BB172" s="721">
        <f t="shared" si="1079"/>
        <v>1846</v>
      </c>
      <c r="BC172" s="499">
        <f t="shared" si="1080"/>
        <v>1846</v>
      </c>
      <c r="BD172" s="499">
        <f t="shared" si="1081"/>
        <v>1846</v>
      </c>
      <c r="BE172" s="499">
        <f t="shared" si="1082"/>
        <v>1846</v>
      </c>
      <c r="BF172" s="499">
        <f t="shared" si="1083"/>
        <v>1846</v>
      </c>
      <c r="BG172" s="499">
        <f t="shared" si="1084"/>
        <v>1846</v>
      </c>
      <c r="BH172" s="499">
        <f t="shared" si="1085"/>
        <v>1846</v>
      </c>
      <c r="BI172" s="721">
        <f t="shared" si="1379"/>
        <v>-2.8653333333333331</v>
      </c>
      <c r="BJ172" s="499">
        <f t="shared" ref="BJ172:BM172" si="1585">BI172</f>
        <v>-2.8653333333333331</v>
      </c>
      <c r="BK172" s="499">
        <f t="shared" si="1585"/>
        <v>-2.8653333333333331</v>
      </c>
      <c r="BL172" s="499">
        <f t="shared" si="1585"/>
        <v>-2.8653333333333331</v>
      </c>
      <c r="BM172" s="499">
        <f t="shared" si="1585"/>
        <v>-2.8653333333333331</v>
      </c>
      <c r="BN172" s="499">
        <f t="shared" si="1087"/>
        <v>-2.8653333333333331</v>
      </c>
      <c r="BO172" s="499">
        <f t="shared" si="1088"/>
        <v>-2.8653333333333331</v>
      </c>
      <c r="BP172" s="721">
        <f t="shared" si="1381"/>
        <v>30</v>
      </c>
      <c r="BQ172" s="499">
        <f t="shared" si="1382"/>
        <v>30</v>
      </c>
      <c r="BR172" s="499">
        <f t="shared" si="1089"/>
        <v>30</v>
      </c>
      <c r="BS172" s="499">
        <f t="shared" si="1090"/>
        <v>30</v>
      </c>
      <c r="BT172" s="499">
        <f t="shared" si="1091"/>
        <v>30</v>
      </c>
      <c r="BU172" s="499">
        <f t="shared" si="1092"/>
        <v>30</v>
      </c>
      <c r="BV172" s="499">
        <f t="shared" si="1093"/>
        <v>30</v>
      </c>
      <c r="BW172" s="774">
        <f t="shared" si="1393"/>
        <v>0</v>
      </c>
      <c r="BX172" s="503">
        <f t="shared" si="1393"/>
        <v>0</v>
      </c>
      <c r="BY172" s="503">
        <f t="shared" si="1393"/>
        <v>0</v>
      </c>
      <c r="BZ172" s="503">
        <f t="shared" si="1393"/>
        <v>0</v>
      </c>
      <c r="CA172" s="503">
        <f t="shared" si="1393"/>
        <v>0</v>
      </c>
      <c r="CB172" s="503">
        <f t="shared" si="1393"/>
        <v>0</v>
      </c>
      <c r="CC172" s="503">
        <f t="shared" si="1393"/>
        <v>0</v>
      </c>
      <c r="CD172" s="722">
        <f t="shared" si="1383"/>
        <v>998.08500000000004</v>
      </c>
      <c r="CE172" s="511">
        <f t="shared" ref="CE172:CH172" si="1586">CD172</f>
        <v>998.08500000000004</v>
      </c>
      <c r="CF172" s="511">
        <f t="shared" si="1586"/>
        <v>998.08500000000004</v>
      </c>
      <c r="CG172" s="511">
        <f t="shared" si="1586"/>
        <v>998.08500000000004</v>
      </c>
      <c r="CH172" s="511">
        <f t="shared" si="1586"/>
        <v>998.08500000000004</v>
      </c>
      <c r="CI172" s="511">
        <f t="shared" si="1096"/>
        <v>998.08500000000004</v>
      </c>
      <c r="CJ172" s="511">
        <f t="shared" si="1097"/>
        <v>998.08500000000004</v>
      </c>
      <c r="CK172" s="722">
        <f t="shared" si="1385"/>
        <v>8.2500000000000004E-2</v>
      </c>
      <c r="CL172" s="511">
        <f t="shared" ref="CL172:CO172" si="1587">CK172</f>
        <v>8.2500000000000004E-2</v>
      </c>
      <c r="CM172" s="511">
        <f t="shared" si="1587"/>
        <v>8.2500000000000004E-2</v>
      </c>
      <c r="CN172" s="511">
        <f t="shared" si="1587"/>
        <v>8.2500000000000004E-2</v>
      </c>
      <c r="CO172" s="511">
        <f t="shared" si="1587"/>
        <v>8.2500000000000004E-2</v>
      </c>
      <c r="CP172" s="511">
        <f t="shared" si="1099"/>
        <v>8.2500000000000004E-2</v>
      </c>
      <c r="CQ172" s="511">
        <f t="shared" si="1100"/>
        <v>8.2500000000000004E-2</v>
      </c>
      <c r="CR172" s="722">
        <f t="shared" si="1387"/>
        <v>0</v>
      </c>
      <c r="CS172" s="511">
        <f t="shared" ref="CS172:CV172" si="1588">CR172</f>
        <v>0</v>
      </c>
      <c r="CT172" s="511">
        <f t="shared" si="1588"/>
        <v>0</v>
      </c>
      <c r="CU172" s="511">
        <f t="shared" si="1588"/>
        <v>0</v>
      </c>
      <c r="CV172" s="511">
        <f t="shared" si="1588"/>
        <v>0</v>
      </c>
      <c r="CW172" s="511">
        <f t="shared" si="1102"/>
        <v>0</v>
      </c>
      <c r="CX172" s="539">
        <f t="shared" si="1103"/>
        <v>0</v>
      </c>
      <c r="CY172" s="724">
        <f t="shared" si="1490"/>
        <v>923</v>
      </c>
      <c r="CZ172" s="508">
        <f t="shared" si="1491"/>
        <v>923</v>
      </c>
      <c r="DA172" s="508">
        <f t="shared" si="1492"/>
        <v>221.51999999999998</v>
      </c>
      <c r="DB172" s="508">
        <f t="shared" si="1493"/>
        <v>0</v>
      </c>
      <c r="DC172" s="508">
        <f t="shared" si="1494"/>
        <v>0</v>
      </c>
      <c r="DD172" s="508">
        <f t="shared" si="1495"/>
        <v>0</v>
      </c>
      <c r="DE172" s="726">
        <f t="shared" si="1496"/>
        <v>0</v>
      </c>
      <c r="DF172" s="724">
        <f t="shared" si="1497"/>
        <v>-1.4326666666666665</v>
      </c>
      <c r="DG172" s="509">
        <f t="shared" si="1498"/>
        <v>-1.4326666666666665</v>
      </c>
      <c r="DH172" s="509">
        <f t="shared" si="1499"/>
        <v>-0.34383999999999998</v>
      </c>
      <c r="DI172" s="509">
        <f t="shared" si="1500"/>
        <v>0</v>
      </c>
      <c r="DJ172" s="509">
        <f t="shared" si="1501"/>
        <v>0</v>
      </c>
      <c r="DK172" s="509">
        <f t="shared" si="1502"/>
        <v>0</v>
      </c>
      <c r="DL172" s="451">
        <f t="shared" si="1503"/>
        <v>0</v>
      </c>
      <c r="DM172" s="509">
        <f t="shared" si="1504"/>
        <v>15</v>
      </c>
      <c r="DN172" s="509">
        <f t="shared" si="1505"/>
        <v>15</v>
      </c>
      <c r="DO172" s="509">
        <f t="shared" si="1506"/>
        <v>3.5999999999999996</v>
      </c>
      <c r="DP172" s="509">
        <f t="shared" si="1507"/>
        <v>0</v>
      </c>
      <c r="DQ172" s="509">
        <f t="shared" si="1508"/>
        <v>0</v>
      </c>
      <c r="DR172" s="509">
        <f t="shared" si="1509"/>
        <v>0</v>
      </c>
      <c r="DS172" s="450">
        <f t="shared" si="1510"/>
        <v>0</v>
      </c>
      <c r="DT172" s="724">
        <f t="shared" si="1511"/>
        <v>0</v>
      </c>
      <c r="DU172" s="508">
        <f t="shared" si="1512"/>
        <v>0</v>
      </c>
      <c r="DV172" s="508">
        <f t="shared" si="1513"/>
        <v>0</v>
      </c>
      <c r="DW172" s="508">
        <f t="shared" si="1514"/>
        <v>0</v>
      </c>
      <c r="DX172" s="508">
        <f t="shared" si="1515"/>
        <v>0</v>
      </c>
      <c r="DY172" s="508">
        <f t="shared" si="1516"/>
        <v>0</v>
      </c>
      <c r="DZ172" s="726">
        <f t="shared" si="1517"/>
        <v>0</v>
      </c>
      <c r="EA172" s="722">
        <f t="shared" si="1518"/>
        <v>499.04250000000002</v>
      </c>
      <c r="EB172" s="511">
        <f t="shared" si="1519"/>
        <v>499.04250000000002</v>
      </c>
      <c r="EC172" s="511">
        <f t="shared" si="1520"/>
        <v>119.7702</v>
      </c>
      <c r="ED172" s="511">
        <f t="shared" si="1521"/>
        <v>0</v>
      </c>
      <c r="EE172" s="511">
        <f t="shared" si="1522"/>
        <v>0</v>
      </c>
      <c r="EF172" s="511">
        <f t="shared" si="1523"/>
        <v>0</v>
      </c>
      <c r="EG172" s="723">
        <f t="shared" si="1524"/>
        <v>0</v>
      </c>
      <c r="EH172" s="397">
        <f t="shared" si="1525"/>
        <v>4.1250000000000002E-2</v>
      </c>
      <c r="EI172" s="397">
        <f t="shared" si="1526"/>
        <v>4.1250000000000002E-2</v>
      </c>
      <c r="EJ172" s="397">
        <f t="shared" si="1527"/>
        <v>9.9000000000000008E-3</v>
      </c>
      <c r="EK172" s="397">
        <f t="shared" si="1528"/>
        <v>0</v>
      </c>
      <c r="EL172" s="397">
        <f t="shared" si="1529"/>
        <v>0</v>
      </c>
      <c r="EM172" s="397">
        <f t="shared" si="1530"/>
        <v>0</v>
      </c>
      <c r="EN172" s="398">
        <f t="shared" si="1531"/>
        <v>0</v>
      </c>
      <c r="EO172" s="722">
        <f t="shared" si="1532"/>
        <v>0</v>
      </c>
      <c r="EP172" s="511">
        <f t="shared" si="1533"/>
        <v>0</v>
      </c>
      <c r="EQ172" s="511">
        <f t="shared" si="1534"/>
        <v>0</v>
      </c>
      <c r="ER172" s="511">
        <f t="shared" si="1535"/>
        <v>0</v>
      </c>
      <c r="ES172" s="511">
        <f t="shared" si="1536"/>
        <v>0</v>
      </c>
      <c r="ET172" s="511">
        <f t="shared" si="1537"/>
        <v>0</v>
      </c>
      <c r="EU172" s="723">
        <f t="shared" si="1538"/>
        <v>0</v>
      </c>
      <c r="EV172" s="727">
        <f t="shared" si="1539"/>
        <v>1.1200000000000001</v>
      </c>
      <c r="EW172" s="728">
        <f t="shared" si="1540"/>
        <v>2067.52</v>
      </c>
      <c r="EX172" s="728">
        <f t="shared" si="1541"/>
        <v>-3.2091733333333332</v>
      </c>
      <c r="EY172" s="728">
        <f t="shared" si="1542"/>
        <v>33.6</v>
      </c>
      <c r="EZ172" s="728">
        <f t="shared" si="1543"/>
        <v>0</v>
      </c>
      <c r="FA172" s="777">
        <f t="shared" si="1544"/>
        <v>1117.8552</v>
      </c>
      <c r="FB172" s="777">
        <f t="shared" si="1545"/>
        <v>9.240000000000001E-2</v>
      </c>
      <c r="FC172" s="778">
        <f t="shared" si="1546"/>
        <v>0</v>
      </c>
    </row>
    <row r="173" spans="1:162" s="10" customFormat="1" ht="12.5">
      <c r="A173" s="662" t="s">
        <v>280</v>
      </c>
      <c r="B173" s="789" t="s">
        <v>1464</v>
      </c>
      <c r="C173" s="789" t="str">
        <f t="shared" ref="C173:O173" si="1589">C59</f>
        <v>Small Business Kits</v>
      </c>
      <c r="D173" s="789" t="str">
        <f t="shared" si="1589"/>
        <v>No kit</v>
      </c>
      <c r="E173" s="789">
        <f t="shared" si="1589"/>
        <v>0</v>
      </c>
      <c r="F173" s="789" t="str">
        <f t="shared" si="1589"/>
        <v>Per Unit</v>
      </c>
      <c r="G173" s="704" t="str">
        <f t="shared" si="1589"/>
        <v>Incremental Cost</v>
      </c>
      <c r="H173" s="704">
        <f t="shared" si="1589"/>
        <v>0</v>
      </c>
      <c r="I173" s="704">
        <f t="shared" si="1589"/>
        <v>0</v>
      </c>
      <c r="J173" s="704">
        <f t="shared" si="1589"/>
        <v>0</v>
      </c>
      <c r="K173" s="704">
        <f t="shared" si="1589"/>
        <v>0</v>
      </c>
      <c r="L173" s="704">
        <f t="shared" si="1589"/>
        <v>0</v>
      </c>
      <c r="M173" s="881" t="str">
        <f t="shared" si="1589"/>
        <v>Email from John 11/4/21; ~$100/kit with savings of ~339 kWh/kit.</v>
      </c>
      <c r="N173" s="704">
        <f t="shared" si="1589"/>
        <v>0</v>
      </c>
      <c r="O173" s="704">
        <f t="shared" si="1589"/>
        <v>0</v>
      </c>
      <c r="P173" s="704">
        <f t="shared" si="1441"/>
        <v>0</v>
      </c>
      <c r="Q173" s="704">
        <f t="shared" si="1441"/>
        <v>0</v>
      </c>
      <c r="R173" s="1021">
        <f t="shared" si="1347"/>
        <v>339</v>
      </c>
      <c r="S173" s="872">
        <f t="shared" si="1347"/>
        <v>0</v>
      </c>
      <c r="T173" s="1022">
        <f t="shared" si="1412"/>
        <v>0</v>
      </c>
      <c r="U173" s="711" t="str">
        <f t="shared" si="1348"/>
        <v>Email from John 11/4/21; ~$100/kit with savings of ~339 kWh/kit.</v>
      </c>
      <c r="V173" s="716">
        <f t="shared" si="1348"/>
        <v>0</v>
      </c>
      <c r="W173" s="711">
        <f t="shared" si="1348"/>
        <v>1</v>
      </c>
      <c r="X173" s="781">
        <f t="shared" ref="X173:AJ173" si="1590">X59/2</f>
        <v>0</v>
      </c>
      <c r="Y173" s="781">
        <f t="shared" si="1590"/>
        <v>0</v>
      </c>
      <c r="Z173" s="781">
        <f t="shared" si="1590"/>
        <v>0</v>
      </c>
      <c r="AA173" s="781">
        <f t="shared" si="1590"/>
        <v>0</v>
      </c>
      <c r="AB173" s="781">
        <f t="shared" si="1590"/>
        <v>0</v>
      </c>
      <c r="AC173" s="781">
        <f t="shared" si="1590"/>
        <v>1250</v>
      </c>
      <c r="AD173" s="781">
        <f t="shared" si="1590"/>
        <v>0</v>
      </c>
      <c r="AE173" s="781">
        <f t="shared" si="1590"/>
        <v>0</v>
      </c>
      <c r="AF173" s="781">
        <f t="shared" si="1590"/>
        <v>0</v>
      </c>
      <c r="AG173" s="781">
        <f t="shared" si="1590"/>
        <v>0</v>
      </c>
      <c r="AH173" s="781">
        <f t="shared" si="1590"/>
        <v>0</v>
      </c>
      <c r="AI173" s="781">
        <f t="shared" si="1590"/>
        <v>0</v>
      </c>
      <c r="AJ173" s="781">
        <f t="shared" si="1590"/>
        <v>0</v>
      </c>
      <c r="AK173" s="711" t="str">
        <f t="shared" ref="AK173:BA173" si="1591">AK59</f>
        <v>Electric</v>
      </c>
      <c r="AL173" s="711" t="str">
        <f t="shared" si="1591"/>
        <v>Commercial</v>
      </c>
      <c r="AM173" s="711" t="str">
        <f t="shared" si="1591"/>
        <v>Large Office</v>
      </c>
      <c r="AN173" s="711" t="str">
        <f t="shared" si="1591"/>
        <v>Lighting</v>
      </c>
      <c r="AO173" s="711" t="str">
        <f t="shared" si="1591"/>
        <v>Existing</v>
      </c>
      <c r="AP173" s="711">
        <f t="shared" si="1591"/>
        <v>0</v>
      </c>
      <c r="AQ173" s="711">
        <f t="shared" si="1591"/>
        <v>0</v>
      </c>
      <c r="AR173" s="711">
        <f t="shared" si="1591"/>
        <v>0</v>
      </c>
      <c r="AS173" s="711" t="str">
        <f t="shared" si="1591"/>
        <v>OFFLGInLight</v>
      </c>
      <c r="AT173" s="715" t="s">
        <v>745</v>
      </c>
      <c r="AU173" s="711" t="str">
        <f t="shared" si="1591"/>
        <v>LGE NonRes</v>
      </c>
      <c r="AV173" s="711">
        <f t="shared" si="1591"/>
        <v>8</v>
      </c>
      <c r="AW173" s="711">
        <f t="shared" si="1591"/>
        <v>15</v>
      </c>
      <c r="AX173" s="711" t="str">
        <f t="shared" si="1591"/>
        <v>Based on the DEER 2014 EUL database for the measure "Occupancy sensors"</v>
      </c>
      <c r="AY173" s="711">
        <f t="shared" si="1591"/>
        <v>1</v>
      </c>
      <c r="AZ173" s="711">
        <f t="shared" si="1591"/>
        <v>1</v>
      </c>
      <c r="BA173" s="1066">
        <f t="shared" si="1591"/>
        <v>0</v>
      </c>
      <c r="BB173" s="721">
        <f t="shared" ref="BB173" si="1592">J173</f>
        <v>0</v>
      </c>
      <c r="BC173" s="499">
        <f t="shared" ref="BC173" si="1593">BB173</f>
        <v>0</v>
      </c>
      <c r="BD173" s="499">
        <f t="shared" ref="BD173" si="1594">BC173</f>
        <v>0</v>
      </c>
      <c r="BE173" s="499">
        <f t="shared" ref="BE173" si="1595">BD173</f>
        <v>0</v>
      </c>
      <c r="BF173" s="499">
        <f t="shared" ref="BF173" si="1596">BC173</f>
        <v>0</v>
      </c>
      <c r="BG173" s="499">
        <f t="shared" ref="BG173" si="1597">BD173</f>
        <v>0</v>
      </c>
      <c r="BH173" s="499">
        <f t="shared" ref="BH173" si="1598">BE173</f>
        <v>0</v>
      </c>
      <c r="BI173" s="721">
        <f t="shared" si="1379"/>
        <v>0</v>
      </c>
      <c r="BJ173" s="499">
        <f t="shared" ref="BJ173" si="1599">BI173</f>
        <v>0</v>
      </c>
      <c r="BK173" s="499">
        <f t="shared" ref="BK173" si="1600">BJ173</f>
        <v>0</v>
      </c>
      <c r="BL173" s="499">
        <f t="shared" ref="BL173" si="1601">BK173</f>
        <v>0</v>
      </c>
      <c r="BM173" s="499">
        <f t="shared" ref="BM173" si="1602">BL173</f>
        <v>0</v>
      </c>
      <c r="BN173" s="499">
        <f t="shared" ref="BN173" si="1603">BM173</f>
        <v>0</v>
      </c>
      <c r="BO173" s="499">
        <f t="shared" ref="BO173" si="1604">BN173</f>
        <v>0</v>
      </c>
      <c r="BP173" s="721">
        <f t="shared" si="1381"/>
        <v>0</v>
      </c>
      <c r="BQ173" s="499">
        <f t="shared" si="1382"/>
        <v>0</v>
      </c>
      <c r="BR173" s="499">
        <f t="shared" ref="BR173" si="1605">BQ173</f>
        <v>0</v>
      </c>
      <c r="BS173" s="499">
        <f t="shared" ref="BS173" si="1606">BR173</f>
        <v>0</v>
      </c>
      <c r="BT173" s="499">
        <f t="shared" ref="BT173" si="1607">BS173</f>
        <v>0</v>
      </c>
      <c r="BU173" s="499">
        <f t="shared" ref="BU173" si="1608">BT173</f>
        <v>0</v>
      </c>
      <c r="BV173" s="499">
        <f t="shared" ref="BV173" si="1609">BU173</f>
        <v>0</v>
      </c>
      <c r="BW173" s="774">
        <f t="shared" si="1393"/>
        <v>0</v>
      </c>
      <c r="BX173" s="503">
        <f t="shared" si="1393"/>
        <v>0</v>
      </c>
      <c r="BY173" s="503">
        <f t="shared" si="1393"/>
        <v>0</v>
      </c>
      <c r="BZ173" s="503">
        <f t="shared" si="1393"/>
        <v>0</v>
      </c>
      <c r="CA173" s="503">
        <f t="shared" si="1393"/>
        <v>0</v>
      </c>
      <c r="CB173" s="503">
        <f t="shared" si="1393"/>
        <v>0</v>
      </c>
      <c r="CC173" s="503">
        <f t="shared" si="1393"/>
        <v>0</v>
      </c>
      <c r="CD173" s="722">
        <f t="shared" si="1383"/>
        <v>339</v>
      </c>
      <c r="CE173" s="511">
        <f t="shared" ref="CE173" si="1610">CD173</f>
        <v>339</v>
      </c>
      <c r="CF173" s="511">
        <f t="shared" ref="CF173" si="1611">CE173</f>
        <v>339</v>
      </c>
      <c r="CG173" s="511">
        <f t="shared" ref="CG173" si="1612">CF173</f>
        <v>339</v>
      </c>
      <c r="CH173" s="511">
        <f t="shared" ref="CH173" si="1613">CG173</f>
        <v>339</v>
      </c>
      <c r="CI173" s="511">
        <f t="shared" ref="CI173" si="1614">CH173</f>
        <v>339</v>
      </c>
      <c r="CJ173" s="511">
        <f t="shared" ref="CJ173" si="1615">CI173</f>
        <v>339</v>
      </c>
      <c r="CK173" s="722">
        <f t="shared" si="1385"/>
        <v>0</v>
      </c>
      <c r="CL173" s="511">
        <f t="shared" ref="CL173" si="1616">CK173</f>
        <v>0</v>
      </c>
      <c r="CM173" s="511">
        <f t="shared" ref="CM173" si="1617">CL173</f>
        <v>0</v>
      </c>
      <c r="CN173" s="511">
        <f t="shared" ref="CN173" si="1618">CM173</f>
        <v>0</v>
      </c>
      <c r="CO173" s="511">
        <f t="shared" ref="CO173" si="1619">CN173</f>
        <v>0</v>
      </c>
      <c r="CP173" s="511">
        <f t="shared" ref="CP173" si="1620">CO173</f>
        <v>0</v>
      </c>
      <c r="CQ173" s="511">
        <f t="shared" ref="CQ173" si="1621">CP173</f>
        <v>0</v>
      </c>
      <c r="CR173" s="722">
        <f t="shared" si="1387"/>
        <v>0</v>
      </c>
      <c r="CS173" s="511">
        <f t="shared" ref="CS173" si="1622">CR173</f>
        <v>0</v>
      </c>
      <c r="CT173" s="511">
        <f t="shared" ref="CT173" si="1623">CS173</f>
        <v>0</v>
      </c>
      <c r="CU173" s="511">
        <f t="shared" ref="CU173" si="1624">CT173</f>
        <v>0</v>
      </c>
      <c r="CV173" s="511">
        <f t="shared" ref="CV173" si="1625">CU173</f>
        <v>0</v>
      </c>
      <c r="CW173" s="511">
        <f t="shared" ref="CW173" si="1626">CV173</f>
        <v>0</v>
      </c>
      <c r="CX173" s="539">
        <f t="shared" ref="CX173" si="1627">CW173</f>
        <v>0</v>
      </c>
      <c r="CY173" s="724">
        <f t="shared" si="1490"/>
        <v>0</v>
      </c>
      <c r="CZ173" s="508">
        <f t="shared" si="1491"/>
        <v>0</v>
      </c>
      <c r="DA173" s="508">
        <f t="shared" si="1492"/>
        <v>0</v>
      </c>
      <c r="DB173" s="508">
        <f t="shared" si="1493"/>
        <v>0</v>
      </c>
      <c r="DC173" s="508">
        <f t="shared" si="1494"/>
        <v>0</v>
      </c>
      <c r="DD173" s="508">
        <f t="shared" si="1495"/>
        <v>0</v>
      </c>
      <c r="DE173" s="726">
        <f t="shared" si="1496"/>
        <v>0</v>
      </c>
      <c r="DF173" s="724">
        <f t="shared" si="1497"/>
        <v>0</v>
      </c>
      <c r="DG173" s="509">
        <f t="shared" si="1498"/>
        <v>0</v>
      </c>
      <c r="DH173" s="509">
        <f t="shared" si="1499"/>
        <v>0</v>
      </c>
      <c r="DI173" s="509">
        <f t="shared" si="1500"/>
        <v>0</v>
      </c>
      <c r="DJ173" s="509">
        <f t="shared" si="1501"/>
        <v>0</v>
      </c>
      <c r="DK173" s="509">
        <f t="shared" si="1502"/>
        <v>0</v>
      </c>
      <c r="DL173" s="451">
        <f t="shared" si="1503"/>
        <v>0</v>
      </c>
      <c r="DM173" s="509">
        <f t="shared" si="1504"/>
        <v>0</v>
      </c>
      <c r="DN173" s="509">
        <f t="shared" si="1505"/>
        <v>0</v>
      </c>
      <c r="DO173" s="509">
        <f t="shared" si="1506"/>
        <v>0</v>
      </c>
      <c r="DP173" s="509">
        <f t="shared" si="1507"/>
        <v>0</v>
      </c>
      <c r="DQ173" s="509">
        <f t="shared" si="1508"/>
        <v>0</v>
      </c>
      <c r="DR173" s="509">
        <f t="shared" si="1509"/>
        <v>0</v>
      </c>
      <c r="DS173" s="450">
        <f t="shared" si="1510"/>
        <v>0</v>
      </c>
      <c r="DT173" s="724">
        <f t="shared" si="1511"/>
        <v>0</v>
      </c>
      <c r="DU173" s="508">
        <f t="shared" si="1512"/>
        <v>0</v>
      </c>
      <c r="DV173" s="508">
        <f t="shared" si="1513"/>
        <v>0</v>
      </c>
      <c r="DW173" s="508">
        <f t="shared" si="1514"/>
        <v>0</v>
      </c>
      <c r="DX173" s="508">
        <f t="shared" si="1515"/>
        <v>0</v>
      </c>
      <c r="DY173" s="508">
        <f t="shared" si="1516"/>
        <v>0</v>
      </c>
      <c r="DZ173" s="726">
        <f t="shared" si="1517"/>
        <v>0</v>
      </c>
      <c r="EA173" s="722">
        <f t="shared" si="1518"/>
        <v>0</v>
      </c>
      <c r="EB173" s="511">
        <f t="shared" si="1519"/>
        <v>0</v>
      </c>
      <c r="EC173" s="511">
        <f t="shared" si="1520"/>
        <v>0</v>
      </c>
      <c r="ED173" s="511">
        <f t="shared" si="1521"/>
        <v>0</v>
      </c>
      <c r="EE173" s="511">
        <f t="shared" si="1522"/>
        <v>0</v>
      </c>
      <c r="EF173" s="511">
        <f t="shared" si="1523"/>
        <v>0</v>
      </c>
      <c r="EG173" s="723">
        <f t="shared" si="1524"/>
        <v>0</v>
      </c>
      <c r="EH173" s="397">
        <f t="shared" si="1525"/>
        <v>0</v>
      </c>
      <c r="EI173" s="397">
        <f t="shared" si="1526"/>
        <v>0</v>
      </c>
      <c r="EJ173" s="397">
        <f t="shared" si="1527"/>
        <v>0</v>
      </c>
      <c r="EK173" s="397">
        <f t="shared" si="1528"/>
        <v>0</v>
      </c>
      <c r="EL173" s="397">
        <f t="shared" si="1529"/>
        <v>0</v>
      </c>
      <c r="EM173" s="397">
        <f t="shared" si="1530"/>
        <v>0</v>
      </c>
      <c r="EN173" s="398">
        <f t="shared" si="1531"/>
        <v>0</v>
      </c>
      <c r="EO173" s="722">
        <f t="shared" si="1532"/>
        <v>0</v>
      </c>
      <c r="EP173" s="511">
        <f t="shared" si="1533"/>
        <v>0</v>
      </c>
      <c r="EQ173" s="511">
        <f t="shared" si="1534"/>
        <v>0</v>
      </c>
      <c r="ER173" s="511">
        <f t="shared" si="1535"/>
        <v>0</v>
      </c>
      <c r="ES173" s="511">
        <f t="shared" si="1536"/>
        <v>0</v>
      </c>
      <c r="ET173" s="511">
        <f t="shared" si="1537"/>
        <v>0</v>
      </c>
      <c r="EU173" s="723">
        <f t="shared" si="1538"/>
        <v>0</v>
      </c>
      <c r="EV173" s="727">
        <f t="shared" si="1539"/>
        <v>0</v>
      </c>
      <c r="EW173" s="728">
        <f t="shared" si="1540"/>
        <v>0</v>
      </c>
      <c r="EX173" s="728">
        <f t="shared" si="1541"/>
        <v>0</v>
      </c>
      <c r="EY173" s="728">
        <f t="shared" si="1542"/>
        <v>0</v>
      </c>
      <c r="EZ173" s="728">
        <f t="shared" si="1543"/>
        <v>0</v>
      </c>
      <c r="FA173" s="777">
        <f t="shared" si="1544"/>
        <v>0</v>
      </c>
      <c r="FB173" s="777">
        <f t="shared" si="1545"/>
        <v>0</v>
      </c>
      <c r="FC173" s="778">
        <f t="shared" si="1546"/>
        <v>0</v>
      </c>
    </row>
    <row r="174" spans="1:162" s="10" customFormat="1" ht="12.5">
      <c r="A174" s="662" t="s">
        <v>281</v>
      </c>
      <c r="B174" s="789" t="s">
        <v>1465</v>
      </c>
      <c r="C174" s="789" t="str">
        <f t="shared" ref="C174:O174" si="1628">C60</f>
        <v>Any LED lamps or ballasts must also be ENERGY STAR® certified or listed on the Design Lights Consortium (DLC) qualified list.</v>
      </c>
      <c r="D174" s="789" t="str">
        <f t="shared" si="1628"/>
        <v>Outdoor pole/arm- or wall-mounted luminaire with a high intensity discharge light-source</v>
      </c>
      <c r="E174" s="789" t="str">
        <f t="shared" si="1628"/>
        <v>n/a</v>
      </c>
      <c r="F174" s="789" t="str">
        <f t="shared" si="1628"/>
        <v>Per Unit</v>
      </c>
      <c r="G174" s="704" t="str">
        <f t="shared" si="1628"/>
        <v>Incremental Cost</v>
      </c>
      <c r="H174" s="704">
        <f t="shared" si="1628"/>
        <v>489</v>
      </c>
      <c r="I174" s="704">
        <f t="shared" si="1628"/>
        <v>0</v>
      </c>
      <c r="J174" s="704">
        <f t="shared" si="1628"/>
        <v>489</v>
      </c>
      <c r="K174" s="704">
        <f t="shared" si="1628"/>
        <v>-2.0299999999999998</v>
      </c>
      <c r="L174" s="704">
        <f t="shared" si="1628"/>
        <v>244.5</v>
      </c>
      <c r="M174" s="881" t="str">
        <f t="shared" si="1628"/>
        <v>Costs estimated from Mid-Atlantic TRM v9: LED Outdoor Pole/Arm- or Wall-Mounted Area and Roadway Lighting Luminaires and Retrofit Kits; Cost is average of "LED Fixtures up to 150 W" and "LED Fixtures between 150W to 265W"</v>
      </c>
      <c r="N174" s="704">
        <f t="shared" si="1628"/>
        <v>35</v>
      </c>
      <c r="O174" s="704">
        <f t="shared" si="1628"/>
        <v>35</v>
      </c>
      <c r="P174" s="704">
        <f t="shared" si="1441"/>
        <v>0</v>
      </c>
      <c r="Q174" s="704">
        <f t="shared" si="1441"/>
        <v>0</v>
      </c>
      <c r="R174" s="1021">
        <f t="shared" si="1347"/>
        <v>313.77199999999999</v>
      </c>
      <c r="S174" s="872">
        <f t="shared" si="1347"/>
        <v>0</v>
      </c>
      <c r="T174" s="1022">
        <f t="shared" si="1412"/>
        <v>0</v>
      </c>
      <c r="U174" s="711" t="str">
        <f t="shared" si="1348"/>
        <v>Per unit savings estimate from Mid-Atlantic TRM v9 "LED Outdoor Pole/Arm- or Wall-Mounted Area and Roadway Lighting Luminaires and Retrofit Kits"</v>
      </c>
      <c r="V174" s="716">
        <f t="shared" si="1348"/>
        <v>0</v>
      </c>
      <c r="W174" s="711">
        <f t="shared" si="1348"/>
        <v>1</v>
      </c>
      <c r="X174" s="781">
        <f t="shared" ref="X174:AJ174" si="1629">X60/2</f>
        <v>0</v>
      </c>
      <c r="Y174" s="781">
        <f t="shared" si="1629"/>
        <v>0</v>
      </c>
      <c r="Z174" s="781">
        <f t="shared" si="1629"/>
        <v>0</v>
      </c>
      <c r="AA174" s="781">
        <f t="shared" si="1629"/>
        <v>0</v>
      </c>
      <c r="AB174" s="781">
        <f t="shared" si="1629"/>
        <v>0</v>
      </c>
      <c r="AC174" s="781">
        <f t="shared" si="1629"/>
        <v>0</v>
      </c>
      <c r="AD174" s="781">
        <f t="shared" si="1629"/>
        <v>0</v>
      </c>
      <c r="AE174" s="781">
        <f t="shared" si="1629"/>
        <v>0</v>
      </c>
      <c r="AF174" s="781">
        <f t="shared" si="1629"/>
        <v>0</v>
      </c>
      <c r="AG174" s="781">
        <f t="shared" si="1629"/>
        <v>0</v>
      </c>
      <c r="AH174" s="781">
        <f t="shared" si="1629"/>
        <v>0</v>
      </c>
      <c r="AI174" s="781">
        <f t="shared" si="1629"/>
        <v>0</v>
      </c>
      <c r="AJ174" s="781">
        <f t="shared" si="1629"/>
        <v>0</v>
      </c>
      <c r="AK174" s="711" t="str">
        <f t="shared" ref="AK174:BA174" si="1630">AK60</f>
        <v>Electric</v>
      </c>
      <c r="AL174" s="711" t="str">
        <f t="shared" si="1630"/>
        <v>Commercial</v>
      </c>
      <c r="AM174" s="711" t="str">
        <f t="shared" si="1630"/>
        <v>Large Office</v>
      </c>
      <c r="AN174" s="711" t="str">
        <f t="shared" si="1630"/>
        <v>Lighting</v>
      </c>
      <c r="AO174" s="711" t="str">
        <f t="shared" si="1630"/>
        <v>Existing</v>
      </c>
      <c r="AP174" s="711">
        <f t="shared" si="1630"/>
        <v>0</v>
      </c>
      <c r="AQ174" s="711">
        <f t="shared" si="1630"/>
        <v>0</v>
      </c>
      <c r="AR174" s="711">
        <f t="shared" si="1630"/>
        <v>0</v>
      </c>
      <c r="AS174" s="711" t="str">
        <f t="shared" si="1630"/>
        <v>OFFLGInLight</v>
      </c>
      <c r="AT174" s="715" t="s">
        <v>745</v>
      </c>
      <c r="AU174" s="711" t="str">
        <f t="shared" si="1630"/>
        <v>LGE NonRes</v>
      </c>
      <c r="AV174" s="711">
        <f t="shared" si="1630"/>
        <v>19</v>
      </c>
      <c r="AW174" s="711">
        <f t="shared" si="1630"/>
        <v>15</v>
      </c>
      <c r="AX174" s="711" t="str">
        <f t="shared" si="1630"/>
        <v>NWPPC 6th Plan</v>
      </c>
      <c r="AY174" s="711">
        <f t="shared" si="1630"/>
        <v>1</v>
      </c>
      <c r="AZ174" s="711">
        <f t="shared" si="1630"/>
        <v>1</v>
      </c>
      <c r="BA174" s="1066">
        <f t="shared" si="1630"/>
        <v>0</v>
      </c>
      <c r="BB174" s="721">
        <f t="shared" si="1079"/>
        <v>489</v>
      </c>
      <c r="BC174" s="499">
        <f t="shared" si="1080"/>
        <v>489</v>
      </c>
      <c r="BD174" s="499">
        <f t="shared" si="1081"/>
        <v>489</v>
      </c>
      <c r="BE174" s="499">
        <f t="shared" si="1082"/>
        <v>489</v>
      </c>
      <c r="BF174" s="499">
        <f t="shared" si="1083"/>
        <v>489</v>
      </c>
      <c r="BG174" s="499">
        <f t="shared" si="1084"/>
        <v>489</v>
      </c>
      <c r="BH174" s="499">
        <f t="shared" si="1085"/>
        <v>489</v>
      </c>
      <c r="BI174" s="721">
        <f t="shared" si="1379"/>
        <v>-2.0299999999999998</v>
      </c>
      <c r="BJ174" s="499">
        <f t="shared" ref="BJ174:BM174" si="1631">BI174</f>
        <v>-2.0299999999999998</v>
      </c>
      <c r="BK174" s="499">
        <f t="shared" si="1631"/>
        <v>-2.0299999999999998</v>
      </c>
      <c r="BL174" s="499">
        <f t="shared" si="1631"/>
        <v>-2.0299999999999998</v>
      </c>
      <c r="BM174" s="499">
        <f t="shared" si="1631"/>
        <v>-2.0299999999999998</v>
      </c>
      <c r="BN174" s="499">
        <f t="shared" si="1087"/>
        <v>-2.0299999999999998</v>
      </c>
      <c r="BO174" s="499">
        <f t="shared" si="1088"/>
        <v>-2.0299999999999998</v>
      </c>
      <c r="BP174" s="721">
        <f t="shared" si="1381"/>
        <v>35</v>
      </c>
      <c r="BQ174" s="499">
        <f t="shared" si="1382"/>
        <v>35</v>
      </c>
      <c r="BR174" s="499">
        <f t="shared" si="1089"/>
        <v>35</v>
      </c>
      <c r="BS174" s="499">
        <f t="shared" si="1090"/>
        <v>35</v>
      </c>
      <c r="BT174" s="499">
        <f t="shared" si="1091"/>
        <v>35</v>
      </c>
      <c r="BU174" s="499">
        <f t="shared" si="1092"/>
        <v>35</v>
      </c>
      <c r="BV174" s="499">
        <f t="shared" si="1093"/>
        <v>35</v>
      </c>
      <c r="BW174" s="774">
        <f t="shared" si="1393"/>
        <v>0</v>
      </c>
      <c r="BX174" s="503">
        <f t="shared" si="1393"/>
        <v>0</v>
      </c>
      <c r="BY174" s="503">
        <f t="shared" si="1393"/>
        <v>0</v>
      </c>
      <c r="BZ174" s="503">
        <f t="shared" si="1393"/>
        <v>0</v>
      </c>
      <c r="CA174" s="503">
        <f t="shared" si="1393"/>
        <v>0</v>
      </c>
      <c r="CB174" s="503">
        <f t="shared" si="1393"/>
        <v>0</v>
      </c>
      <c r="CC174" s="503">
        <f t="shared" si="1393"/>
        <v>0</v>
      </c>
      <c r="CD174" s="722">
        <f t="shared" si="1383"/>
        <v>313.77199999999999</v>
      </c>
      <c r="CE174" s="511">
        <f t="shared" ref="CE174:CH174" si="1632">CD174</f>
        <v>313.77199999999999</v>
      </c>
      <c r="CF174" s="511">
        <f t="shared" si="1632"/>
        <v>313.77199999999999</v>
      </c>
      <c r="CG174" s="511">
        <f t="shared" si="1632"/>
        <v>313.77199999999999</v>
      </c>
      <c r="CH174" s="511">
        <f t="shared" si="1632"/>
        <v>313.77199999999999</v>
      </c>
      <c r="CI174" s="511">
        <f t="shared" si="1096"/>
        <v>313.77199999999999</v>
      </c>
      <c r="CJ174" s="511">
        <f t="shared" si="1097"/>
        <v>313.77199999999999</v>
      </c>
      <c r="CK174" s="722">
        <f t="shared" si="1385"/>
        <v>0</v>
      </c>
      <c r="CL174" s="511">
        <f t="shared" ref="CL174:CO174" si="1633">CK174</f>
        <v>0</v>
      </c>
      <c r="CM174" s="511">
        <f t="shared" si="1633"/>
        <v>0</v>
      </c>
      <c r="CN174" s="511">
        <f t="shared" si="1633"/>
        <v>0</v>
      </c>
      <c r="CO174" s="511">
        <f t="shared" si="1633"/>
        <v>0</v>
      </c>
      <c r="CP174" s="511">
        <f t="shared" si="1099"/>
        <v>0</v>
      </c>
      <c r="CQ174" s="511">
        <f t="shared" si="1100"/>
        <v>0</v>
      </c>
      <c r="CR174" s="722">
        <f t="shared" si="1387"/>
        <v>0</v>
      </c>
      <c r="CS174" s="511">
        <f t="shared" ref="CS174:CV174" si="1634">CR174</f>
        <v>0</v>
      </c>
      <c r="CT174" s="511">
        <f t="shared" si="1634"/>
        <v>0</v>
      </c>
      <c r="CU174" s="511">
        <f t="shared" si="1634"/>
        <v>0</v>
      </c>
      <c r="CV174" s="511">
        <f t="shared" si="1634"/>
        <v>0</v>
      </c>
      <c r="CW174" s="511">
        <f t="shared" si="1102"/>
        <v>0</v>
      </c>
      <c r="CX174" s="539">
        <f t="shared" si="1103"/>
        <v>0</v>
      </c>
      <c r="CY174" s="724">
        <f t="shared" si="1490"/>
        <v>0</v>
      </c>
      <c r="CZ174" s="508">
        <f t="shared" si="1491"/>
        <v>0</v>
      </c>
      <c r="DA174" s="508">
        <f t="shared" si="1492"/>
        <v>0</v>
      </c>
      <c r="DB174" s="508">
        <f t="shared" si="1493"/>
        <v>0</v>
      </c>
      <c r="DC174" s="508">
        <f t="shared" si="1494"/>
        <v>0</v>
      </c>
      <c r="DD174" s="508">
        <f t="shared" si="1495"/>
        <v>0</v>
      </c>
      <c r="DE174" s="726">
        <f t="shared" si="1496"/>
        <v>0</v>
      </c>
      <c r="DF174" s="724">
        <f t="shared" si="1497"/>
        <v>0</v>
      </c>
      <c r="DG174" s="509">
        <f t="shared" si="1498"/>
        <v>0</v>
      </c>
      <c r="DH174" s="509">
        <f t="shared" si="1499"/>
        <v>0</v>
      </c>
      <c r="DI174" s="509">
        <f t="shared" si="1500"/>
        <v>0</v>
      </c>
      <c r="DJ174" s="509">
        <f t="shared" si="1501"/>
        <v>0</v>
      </c>
      <c r="DK174" s="509">
        <f t="shared" si="1502"/>
        <v>0</v>
      </c>
      <c r="DL174" s="451">
        <f t="shared" si="1503"/>
        <v>0</v>
      </c>
      <c r="DM174" s="509">
        <f t="shared" si="1504"/>
        <v>0</v>
      </c>
      <c r="DN174" s="509">
        <f t="shared" si="1505"/>
        <v>0</v>
      </c>
      <c r="DO174" s="509">
        <f t="shared" si="1506"/>
        <v>0</v>
      </c>
      <c r="DP174" s="509">
        <f t="shared" si="1507"/>
        <v>0</v>
      </c>
      <c r="DQ174" s="509">
        <f t="shared" si="1508"/>
        <v>0</v>
      </c>
      <c r="DR174" s="509">
        <f t="shared" si="1509"/>
        <v>0</v>
      </c>
      <c r="DS174" s="450">
        <f t="shared" si="1510"/>
        <v>0</v>
      </c>
      <c r="DT174" s="724">
        <f t="shared" si="1511"/>
        <v>0</v>
      </c>
      <c r="DU174" s="508">
        <f t="shared" si="1512"/>
        <v>0</v>
      </c>
      <c r="DV174" s="508">
        <f t="shared" si="1513"/>
        <v>0</v>
      </c>
      <c r="DW174" s="508">
        <f t="shared" si="1514"/>
        <v>0</v>
      </c>
      <c r="DX174" s="508">
        <f t="shared" si="1515"/>
        <v>0</v>
      </c>
      <c r="DY174" s="508">
        <f t="shared" si="1516"/>
        <v>0</v>
      </c>
      <c r="DZ174" s="726">
        <f t="shared" si="1517"/>
        <v>0</v>
      </c>
      <c r="EA174" s="722">
        <f t="shared" si="1518"/>
        <v>0</v>
      </c>
      <c r="EB174" s="511">
        <f t="shared" si="1519"/>
        <v>0</v>
      </c>
      <c r="EC174" s="511">
        <f t="shared" si="1520"/>
        <v>0</v>
      </c>
      <c r="ED174" s="511">
        <f t="shared" si="1521"/>
        <v>0</v>
      </c>
      <c r="EE174" s="511">
        <f t="shared" si="1522"/>
        <v>0</v>
      </c>
      <c r="EF174" s="511">
        <f t="shared" si="1523"/>
        <v>0</v>
      </c>
      <c r="EG174" s="723">
        <f t="shared" si="1524"/>
        <v>0</v>
      </c>
      <c r="EH174" s="397">
        <f t="shared" si="1525"/>
        <v>0</v>
      </c>
      <c r="EI174" s="397">
        <f t="shared" si="1526"/>
        <v>0</v>
      </c>
      <c r="EJ174" s="397">
        <f t="shared" si="1527"/>
        <v>0</v>
      </c>
      <c r="EK174" s="397">
        <f t="shared" si="1528"/>
        <v>0</v>
      </c>
      <c r="EL174" s="397">
        <f t="shared" si="1529"/>
        <v>0</v>
      </c>
      <c r="EM174" s="397">
        <f t="shared" si="1530"/>
        <v>0</v>
      </c>
      <c r="EN174" s="398">
        <f t="shared" si="1531"/>
        <v>0</v>
      </c>
      <c r="EO174" s="722">
        <f t="shared" si="1532"/>
        <v>0</v>
      </c>
      <c r="EP174" s="511">
        <f t="shared" si="1533"/>
        <v>0</v>
      </c>
      <c r="EQ174" s="511">
        <f t="shared" si="1534"/>
        <v>0</v>
      </c>
      <c r="ER174" s="511">
        <f t="shared" si="1535"/>
        <v>0</v>
      </c>
      <c r="ES174" s="511">
        <f t="shared" si="1536"/>
        <v>0</v>
      </c>
      <c r="ET174" s="511">
        <f t="shared" si="1537"/>
        <v>0</v>
      </c>
      <c r="EU174" s="723">
        <f t="shared" si="1538"/>
        <v>0</v>
      </c>
      <c r="EV174" s="727">
        <f t="shared" si="1539"/>
        <v>0</v>
      </c>
      <c r="EW174" s="728">
        <f t="shared" si="1540"/>
        <v>0</v>
      </c>
      <c r="EX174" s="728">
        <f t="shared" si="1541"/>
        <v>0</v>
      </c>
      <c r="EY174" s="728">
        <f t="shared" si="1542"/>
        <v>0</v>
      </c>
      <c r="EZ174" s="728">
        <f t="shared" si="1543"/>
        <v>0</v>
      </c>
      <c r="FA174" s="777">
        <f t="shared" si="1544"/>
        <v>0</v>
      </c>
      <c r="FB174" s="777">
        <f t="shared" si="1545"/>
        <v>0</v>
      </c>
      <c r="FC174" s="778">
        <f t="shared" si="1546"/>
        <v>0</v>
      </c>
    </row>
    <row r="175" spans="1:162" s="10" customFormat="1" thickBot="1">
      <c r="A175" s="662" t="s">
        <v>282</v>
      </c>
      <c r="B175" s="789" t="s">
        <v>1466</v>
      </c>
      <c r="C175" s="789" t="str">
        <f t="shared" ref="C175:O175" si="1635">C61</f>
        <v>Any LED lamps or ballasts must also be ENERGY STAR® certified or listed on the Design Lights Consortium (DLC) qualified list.</v>
      </c>
      <c r="D175" s="789" t="str">
        <f t="shared" si="1635"/>
        <v>Outdoor pole/arm- or wall-mounted luminaire with a high intensity discharge light-source</v>
      </c>
      <c r="E175" s="789" t="str">
        <f t="shared" si="1635"/>
        <v>n/a</v>
      </c>
      <c r="F175" s="789" t="str">
        <f t="shared" si="1635"/>
        <v>Per Unit</v>
      </c>
      <c r="G175" s="704" t="str">
        <f t="shared" si="1635"/>
        <v>Incremental Cost</v>
      </c>
      <c r="H175" s="704">
        <f t="shared" si="1635"/>
        <v>750</v>
      </c>
      <c r="I175" s="704">
        <f t="shared" si="1635"/>
        <v>0</v>
      </c>
      <c r="J175" s="704">
        <f t="shared" si="1635"/>
        <v>750</v>
      </c>
      <c r="K175" s="704">
        <f t="shared" si="1635"/>
        <v>-2.0299999999999998</v>
      </c>
      <c r="L175" s="704">
        <f t="shared" si="1635"/>
        <v>375</v>
      </c>
      <c r="M175" s="881" t="str">
        <f t="shared" si="1635"/>
        <v>Costs estimated from Mid-Atlantic TRM v9: LED LED Outdoor Pole/Arm- or Wall-Mounted Area and Roadway Lighting Luminaires and Retrofit Kits; Cost is for "LED Fixtures between 150W to 265W"</v>
      </c>
      <c r="N175" s="704">
        <f t="shared" si="1635"/>
        <v>55</v>
      </c>
      <c r="O175" s="704">
        <f t="shared" si="1635"/>
        <v>55</v>
      </c>
      <c r="P175" s="704">
        <f t="shared" si="1441"/>
        <v>0</v>
      </c>
      <c r="Q175" s="704">
        <f t="shared" si="1441"/>
        <v>0</v>
      </c>
      <c r="R175" s="1021">
        <f t="shared" si="1347"/>
        <v>952.99899999999991</v>
      </c>
      <c r="S175" s="872">
        <f t="shared" si="1347"/>
        <v>0</v>
      </c>
      <c r="T175" s="1022">
        <f t="shared" si="1412"/>
        <v>0</v>
      </c>
      <c r="U175" s="711" t="str">
        <f t="shared" si="1348"/>
        <v>Per unit savings estimate from Mid-Atlantic TRM v9 "LED Outdoor Pole/Arm- or Wall-Mounted Area and Roadway Lighting Luminaires and Retrofit Kits"</v>
      </c>
      <c r="V175" s="716">
        <f t="shared" si="1348"/>
        <v>0</v>
      </c>
      <c r="W175" s="711">
        <f t="shared" si="1348"/>
        <v>1</v>
      </c>
      <c r="X175" s="781">
        <f t="shared" ref="X175:AJ175" si="1636">X61/2</f>
        <v>0</v>
      </c>
      <c r="Y175" s="781">
        <f t="shared" si="1636"/>
        <v>0</v>
      </c>
      <c r="Z175" s="781">
        <f t="shared" si="1636"/>
        <v>0</v>
      </c>
      <c r="AA175" s="781">
        <f t="shared" si="1636"/>
        <v>750.85714285714278</v>
      </c>
      <c r="AB175" s="781">
        <f t="shared" si="1636"/>
        <v>375.42857142857139</v>
      </c>
      <c r="AC175" s="781">
        <f t="shared" si="1636"/>
        <v>375.5</v>
      </c>
      <c r="AD175" s="781">
        <f t="shared" si="1636"/>
        <v>375.5</v>
      </c>
      <c r="AE175" s="781">
        <f t="shared" si="1636"/>
        <v>375.5</v>
      </c>
      <c r="AF175" s="781">
        <f t="shared" si="1636"/>
        <v>375.5</v>
      </c>
      <c r="AG175" s="781">
        <f t="shared" si="1636"/>
        <v>375.5</v>
      </c>
      <c r="AH175" s="781">
        <f t="shared" si="1636"/>
        <v>375.5</v>
      </c>
      <c r="AI175" s="781">
        <f t="shared" si="1636"/>
        <v>375.5</v>
      </c>
      <c r="AJ175" s="781">
        <f t="shared" si="1636"/>
        <v>375.5</v>
      </c>
      <c r="AK175" s="711" t="str">
        <f t="shared" ref="AK175:BA175" si="1637">AK61</f>
        <v>Electric</v>
      </c>
      <c r="AL175" s="711" t="str">
        <f t="shared" si="1637"/>
        <v>Commercial</v>
      </c>
      <c r="AM175" s="711" t="str">
        <f t="shared" si="1637"/>
        <v>Large Office</v>
      </c>
      <c r="AN175" s="711" t="str">
        <f t="shared" si="1637"/>
        <v>Lighting</v>
      </c>
      <c r="AO175" s="711" t="str">
        <f t="shared" si="1637"/>
        <v>Existing</v>
      </c>
      <c r="AP175" s="711">
        <f t="shared" si="1637"/>
        <v>0</v>
      </c>
      <c r="AQ175" s="711">
        <f t="shared" si="1637"/>
        <v>0</v>
      </c>
      <c r="AR175" s="711">
        <f t="shared" si="1637"/>
        <v>0</v>
      </c>
      <c r="AS175" s="711" t="str">
        <f t="shared" si="1637"/>
        <v>OFFLGInLight</v>
      </c>
      <c r="AT175" s="715" t="s">
        <v>745</v>
      </c>
      <c r="AU175" s="711" t="str">
        <f t="shared" si="1637"/>
        <v>LGE NonRes</v>
      </c>
      <c r="AV175" s="711">
        <f t="shared" si="1637"/>
        <v>19</v>
      </c>
      <c r="AW175" s="711">
        <f t="shared" si="1637"/>
        <v>15</v>
      </c>
      <c r="AX175" s="711" t="str">
        <f t="shared" si="1637"/>
        <v>NWPPC 6th Plan</v>
      </c>
      <c r="AY175" s="711">
        <f t="shared" si="1637"/>
        <v>1</v>
      </c>
      <c r="AZ175" s="711">
        <f t="shared" si="1637"/>
        <v>1</v>
      </c>
      <c r="BA175" s="1066">
        <f t="shared" si="1637"/>
        <v>0</v>
      </c>
      <c r="BB175" s="1069">
        <f t="shared" si="1079"/>
        <v>750</v>
      </c>
      <c r="BC175" s="1070">
        <f t="shared" si="1080"/>
        <v>750</v>
      </c>
      <c r="BD175" s="1070">
        <f t="shared" si="1081"/>
        <v>750</v>
      </c>
      <c r="BE175" s="1070">
        <f t="shared" si="1082"/>
        <v>750</v>
      </c>
      <c r="BF175" s="1070">
        <f t="shared" si="1083"/>
        <v>750</v>
      </c>
      <c r="BG175" s="1070">
        <f t="shared" si="1084"/>
        <v>750</v>
      </c>
      <c r="BH175" s="1070">
        <f t="shared" si="1085"/>
        <v>750</v>
      </c>
      <c r="BI175" s="1069">
        <f t="shared" si="1379"/>
        <v>-2.0299999999999998</v>
      </c>
      <c r="BJ175" s="1070">
        <f t="shared" ref="BJ175:BM175" si="1638">BI175</f>
        <v>-2.0299999999999998</v>
      </c>
      <c r="BK175" s="1070">
        <f t="shared" si="1638"/>
        <v>-2.0299999999999998</v>
      </c>
      <c r="BL175" s="1070">
        <f t="shared" si="1638"/>
        <v>-2.0299999999999998</v>
      </c>
      <c r="BM175" s="1070">
        <f t="shared" si="1638"/>
        <v>-2.0299999999999998</v>
      </c>
      <c r="BN175" s="1070">
        <f t="shared" si="1087"/>
        <v>-2.0299999999999998</v>
      </c>
      <c r="BO175" s="1070">
        <f t="shared" si="1088"/>
        <v>-2.0299999999999998</v>
      </c>
      <c r="BP175" s="1069">
        <f t="shared" si="1381"/>
        <v>55</v>
      </c>
      <c r="BQ175" s="1070">
        <f t="shared" si="1382"/>
        <v>55</v>
      </c>
      <c r="BR175" s="1070">
        <f t="shared" si="1089"/>
        <v>55</v>
      </c>
      <c r="BS175" s="1070">
        <f t="shared" si="1090"/>
        <v>55</v>
      </c>
      <c r="BT175" s="1070">
        <f t="shared" si="1091"/>
        <v>55</v>
      </c>
      <c r="BU175" s="1070">
        <f t="shared" si="1092"/>
        <v>55</v>
      </c>
      <c r="BV175" s="1070">
        <f t="shared" si="1093"/>
        <v>55</v>
      </c>
      <c r="BW175" s="1071">
        <f t="shared" si="1393"/>
        <v>0</v>
      </c>
      <c r="BX175" s="1072">
        <f t="shared" si="1393"/>
        <v>0</v>
      </c>
      <c r="BY175" s="1072">
        <f t="shared" si="1393"/>
        <v>0</v>
      </c>
      <c r="BZ175" s="1072">
        <f t="shared" si="1393"/>
        <v>0</v>
      </c>
      <c r="CA175" s="1072">
        <f t="shared" si="1393"/>
        <v>0</v>
      </c>
      <c r="CB175" s="1072">
        <f t="shared" si="1393"/>
        <v>0</v>
      </c>
      <c r="CC175" s="1072">
        <f t="shared" si="1393"/>
        <v>0</v>
      </c>
      <c r="CD175" s="1073">
        <f t="shared" si="1383"/>
        <v>952.99899999999991</v>
      </c>
      <c r="CE175" s="1074">
        <f t="shared" ref="CE175:CH175" si="1639">CD175</f>
        <v>952.99899999999991</v>
      </c>
      <c r="CF175" s="1074">
        <f t="shared" si="1639"/>
        <v>952.99899999999991</v>
      </c>
      <c r="CG175" s="1074">
        <f t="shared" si="1639"/>
        <v>952.99899999999991</v>
      </c>
      <c r="CH175" s="1074">
        <f t="shared" si="1639"/>
        <v>952.99899999999991</v>
      </c>
      <c r="CI175" s="1074">
        <f t="shared" si="1096"/>
        <v>952.99899999999991</v>
      </c>
      <c r="CJ175" s="1074">
        <f t="shared" si="1097"/>
        <v>952.99899999999991</v>
      </c>
      <c r="CK175" s="1073">
        <f t="shared" si="1385"/>
        <v>0</v>
      </c>
      <c r="CL175" s="1074">
        <f t="shared" ref="CL175:CO175" si="1640">CK175</f>
        <v>0</v>
      </c>
      <c r="CM175" s="1074">
        <f t="shared" si="1640"/>
        <v>0</v>
      </c>
      <c r="CN175" s="1074">
        <f t="shared" si="1640"/>
        <v>0</v>
      </c>
      <c r="CO175" s="1074">
        <f t="shared" si="1640"/>
        <v>0</v>
      </c>
      <c r="CP175" s="1074">
        <f t="shared" si="1099"/>
        <v>0</v>
      </c>
      <c r="CQ175" s="1074">
        <f t="shared" si="1100"/>
        <v>0</v>
      </c>
      <c r="CR175" s="1073">
        <f t="shared" si="1387"/>
        <v>0</v>
      </c>
      <c r="CS175" s="1074">
        <f t="shared" ref="CS175:CV175" si="1641">CR175</f>
        <v>0</v>
      </c>
      <c r="CT175" s="1074">
        <f t="shared" si="1641"/>
        <v>0</v>
      </c>
      <c r="CU175" s="1074">
        <f t="shared" si="1641"/>
        <v>0</v>
      </c>
      <c r="CV175" s="1074">
        <f t="shared" si="1641"/>
        <v>0</v>
      </c>
      <c r="CW175" s="1074">
        <f t="shared" si="1102"/>
        <v>0</v>
      </c>
      <c r="CX175" s="1075">
        <f t="shared" si="1103"/>
        <v>0</v>
      </c>
      <c r="CY175" s="1076">
        <f t="shared" si="1490"/>
        <v>281625</v>
      </c>
      <c r="CZ175" s="1077">
        <f t="shared" si="1491"/>
        <v>281625</v>
      </c>
      <c r="DA175" s="1077">
        <f t="shared" si="1492"/>
        <v>281625</v>
      </c>
      <c r="DB175" s="1077">
        <f t="shared" si="1493"/>
        <v>281625</v>
      </c>
      <c r="DC175" s="1077">
        <f t="shared" si="1494"/>
        <v>281625</v>
      </c>
      <c r="DD175" s="1077">
        <f t="shared" si="1495"/>
        <v>281625</v>
      </c>
      <c r="DE175" s="1078">
        <f t="shared" si="1496"/>
        <v>281625</v>
      </c>
      <c r="DF175" s="1076">
        <f t="shared" si="1497"/>
        <v>-762.26499999999987</v>
      </c>
      <c r="DG175" s="1079">
        <f t="shared" si="1498"/>
        <v>-762.26499999999987</v>
      </c>
      <c r="DH175" s="1079">
        <f t="shared" si="1499"/>
        <v>-762.26499999999987</v>
      </c>
      <c r="DI175" s="1079">
        <f t="shared" si="1500"/>
        <v>-762.26499999999987</v>
      </c>
      <c r="DJ175" s="1079">
        <f t="shared" si="1501"/>
        <v>-762.26499999999987</v>
      </c>
      <c r="DK175" s="1079">
        <f t="shared" si="1502"/>
        <v>-762.26499999999987</v>
      </c>
      <c r="DL175" s="1080">
        <f t="shared" si="1503"/>
        <v>-762.26499999999987</v>
      </c>
      <c r="DM175" s="509">
        <f t="shared" si="1504"/>
        <v>20652.5</v>
      </c>
      <c r="DN175" s="509">
        <f t="shared" si="1505"/>
        <v>20652.5</v>
      </c>
      <c r="DO175" s="509">
        <f t="shared" si="1506"/>
        <v>20652.5</v>
      </c>
      <c r="DP175" s="509">
        <f t="shared" si="1507"/>
        <v>20652.5</v>
      </c>
      <c r="DQ175" s="509">
        <f t="shared" si="1508"/>
        <v>20652.5</v>
      </c>
      <c r="DR175" s="509">
        <f t="shared" si="1509"/>
        <v>20652.5</v>
      </c>
      <c r="DS175" s="450">
        <f t="shared" si="1510"/>
        <v>20652.5</v>
      </c>
      <c r="DT175" s="1076">
        <f t="shared" si="1511"/>
        <v>0</v>
      </c>
      <c r="DU175" s="1077">
        <f t="shared" si="1512"/>
        <v>0</v>
      </c>
      <c r="DV175" s="1077">
        <f t="shared" si="1513"/>
        <v>0</v>
      </c>
      <c r="DW175" s="1077">
        <f t="shared" si="1514"/>
        <v>0</v>
      </c>
      <c r="DX175" s="1077">
        <f t="shared" si="1515"/>
        <v>0</v>
      </c>
      <c r="DY175" s="1077">
        <f t="shared" si="1516"/>
        <v>0</v>
      </c>
      <c r="DZ175" s="1078">
        <f t="shared" si="1517"/>
        <v>0</v>
      </c>
      <c r="EA175" s="1073">
        <f t="shared" si="1518"/>
        <v>357851.12449999998</v>
      </c>
      <c r="EB175" s="1074">
        <f t="shared" si="1519"/>
        <v>357851.12449999998</v>
      </c>
      <c r="EC175" s="1074">
        <f t="shared" si="1520"/>
        <v>357851.12449999998</v>
      </c>
      <c r="ED175" s="1074">
        <f t="shared" si="1521"/>
        <v>357851.12449999998</v>
      </c>
      <c r="EE175" s="1074">
        <f t="shared" si="1522"/>
        <v>357851.12449999998</v>
      </c>
      <c r="EF175" s="1074">
        <f t="shared" si="1523"/>
        <v>357851.12449999998</v>
      </c>
      <c r="EG175" s="1081">
        <f t="shared" si="1524"/>
        <v>357851.12449999998</v>
      </c>
      <c r="EH175" s="397">
        <f t="shared" si="1525"/>
        <v>0</v>
      </c>
      <c r="EI175" s="397">
        <f t="shared" si="1526"/>
        <v>0</v>
      </c>
      <c r="EJ175" s="397">
        <f t="shared" si="1527"/>
        <v>0</v>
      </c>
      <c r="EK175" s="397">
        <f t="shared" si="1528"/>
        <v>0</v>
      </c>
      <c r="EL175" s="397">
        <f t="shared" si="1529"/>
        <v>0</v>
      </c>
      <c r="EM175" s="397">
        <f t="shared" si="1530"/>
        <v>0</v>
      </c>
      <c r="EN175" s="398">
        <f t="shared" si="1531"/>
        <v>0</v>
      </c>
      <c r="EO175" s="1073">
        <f t="shared" si="1532"/>
        <v>0</v>
      </c>
      <c r="EP175" s="1074">
        <f t="shared" si="1533"/>
        <v>0</v>
      </c>
      <c r="EQ175" s="1074">
        <f t="shared" si="1534"/>
        <v>0</v>
      </c>
      <c r="ER175" s="1074">
        <f t="shared" si="1535"/>
        <v>0</v>
      </c>
      <c r="ES175" s="1074">
        <f t="shared" si="1536"/>
        <v>0</v>
      </c>
      <c r="ET175" s="1074">
        <f t="shared" si="1537"/>
        <v>0</v>
      </c>
      <c r="EU175" s="1081">
        <f t="shared" si="1538"/>
        <v>0</v>
      </c>
      <c r="EV175" s="727">
        <f t="shared" si="1539"/>
        <v>1126.5</v>
      </c>
      <c r="EW175" s="728">
        <f t="shared" si="1540"/>
        <v>1971375</v>
      </c>
      <c r="EX175" s="728">
        <f t="shared" si="1541"/>
        <v>-5335.8549999999996</v>
      </c>
      <c r="EY175" s="728">
        <f t="shared" si="1542"/>
        <v>144567.5</v>
      </c>
      <c r="EZ175" s="728">
        <f t="shared" si="1543"/>
        <v>0</v>
      </c>
      <c r="FA175" s="777">
        <f t="shared" si="1544"/>
        <v>2504957.8714999999</v>
      </c>
      <c r="FB175" s="777">
        <f t="shared" si="1545"/>
        <v>0</v>
      </c>
      <c r="FC175" s="778">
        <f t="shared" si="1546"/>
        <v>0</v>
      </c>
    </row>
    <row r="176" spans="1:162" s="10" customFormat="1" ht="12.5">
      <c r="A176" s="104"/>
      <c r="B176" s="91"/>
      <c r="C176" s="91"/>
      <c r="D176" s="91"/>
      <c r="E176" s="91"/>
      <c r="F176" s="91"/>
      <c r="G176" s="125"/>
      <c r="H176" s="125"/>
      <c r="I176" s="125"/>
      <c r="J176" s="125"/>
      <c r="K176" s="125"/>
      <c r="L176" s="125"/>
      <c r="M176" s="285"/>
      <c r="N176" s="125"/>
      <c r="O176" s="125"/>
      <c r="P176" s="125"/>
      <c r="Q176" s="125"/>
      <c r="R176" s="126"/>
      <c r="S176" s="127"/>
      <c r="T176" s="128"/>
      <c r="U176" s="129"/>
      <c r="V176" s="130"/>
      <c r="W176" s="129"/>
      <c r="X176" s="131"/>
      <c r="Y176" s="131"/>
      <c r="Z176" s="131"/>
      <c r="AA176" s="131"/>
      <c r="AB176" s="131"/>
      <c r="AC176" s="131"/>
      <c r="AD176" s="131"/>
      <c r="AE176" s="131"/>
      <c r="AF176" s="131"/>
      <c r="AG176" s="131"/>
      <c r="AH176" s="131"/>
      <c r="AI176" s="131"/>
      <c r="AJ176" s="131"/>
      <c r="AK176" s="129"/>
      <c r="AL176" s="129"/>
      <c r="AM176" s="129"/>
      <c r="AN176" s="129"/>
      <c r="AO176" s="129"/>
      <c r="AP176" s="129"/>
      <c r="AQ176" s="129"/>
      <c r="AR176" s="129"/>
      <c r="AS176" s="129"/>
      <c r="AT176" s="129"/>
      <c r="AU176" s="129"/>
      <c r="AV176" s="129"/>
      <c r="AW176" s="129"/>
      <c r="AX176" s="129"/>
      <c r="AY176" s="129"/>
      <c r="AZ176" s="129"/>
      <c r="BA176" s="129"/>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4"/>
      <c r="BX176" s="134"/>
      <c r="BY176" s="134"/>
      <c r="BZ176" s="134"/>
      <c r="CA176" s="134"/>
      <c r="CB176" s="134"/>
      <c r="CC176" s="134"/>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5"/>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5"/>
      <c r="EB176" s="135"/>
      <c r="EC176" s="135"/>
      <c r="ED176" s="135"/>
      <c r="EE176" s="135"/>
      <c r="EF176" s="135"/>
      <c r="EG176" s="135"/>
      <c r="EH176" s="135"/>
      <c r="EI176" s="135"/>
      <c r="EJ176" s="135"/>
      <c r="EK176" s="135"/>
      <c r="EL176" s="135"/>
      <c r="EM176" s="135"/>
      <c r="EN176" s="135"/>
      <c r="EO176" s="135"/>
      <c r="EP176" s="135"/>
      <c r="EQ176" s="135"/>
      <c r="ER176" s="135"/>
      <c r="ES176" s="135"/>
      <c r="ET176" s="135"/>
      <c r="EU176" s="135"/>
      <c r="EV176" s="286"/>
      <c r="EW176" s="138"/>
      <c r="EX176" s="138"/>
      <c r="EY176" s="138"/>
      <c r="EZ176" s="138"/>
      <c r="FA176" s="286"/>
      <c r="FB176" s="286"/>
      <c r="FC176" s="139"/>
    </row>
    <row r="177" spans="1:159" s="10" customFormat="1">
      <c r="A177" s="280"/>
      <c r="B177" s="91"/>
      <c r="C177" s="91"/>
      <c r="D177" s="91"/>
      <c r="E177" s="91"/>
      <c r="F177" s="91"/>
      <c r="G177" s="125"/>
      <c r="H177" s="125"/>
      <c r="I177" s="125"/>
      <c r="J177" s="125"/>
      <c r="K177" s="125"/>
      <c r="L177" s="125"/>
      <c r="M177" s="285"/>
      <c r="N177" s="125"/>
      <c r="O177" s="125"/>
      <c r="P177" s="125"/>
      <c r="Q177" s="125"/>
      <c r="R177" s="126"/>
      <c r="S177" s="127"/>
      <c r="T177" s="128"/>
      <c r="U177" s="129"/>
      <c r="V177" s="130"/>
      <c r="W177" s="129"/>
      <c r="X177" s="131"/>
      <c r="Y177" s="131"/>
      <c r="Z177" s="131"/>
      <c r="AA177" s="131"/>
      <c r="AB177" s="131"/>
      <c r="AC177" s="131"/>
      <c r="AD177" s="131"/>
      <c r="AE177" s="131"/>
      <c r="AF177" s="131"/>
      <c r="AG177" s="131"/>
      <c r="AH177" s="131"/>
      <c r="AI177" s="131"/>
      <c r="AJ177" s="131"/>
      <c r="AK177" s="129"/>
      <c r="AL177" s="129"/>
      <c r="AM177" s="129"/>
      <c r="AN177" s="129"/>
      <c r="AO177" s="129"/>
      <c r="AP177" s="129"/>
      <c r="AQ177" s="129"/>
      <c r="AR177" s="129"/>
      <c r="AS177" s="129"/>
      <c r="AT177" s="129"/>
      <c r="AU177" s="129"/>
      <c r="AV177" s="129"/>
      <c r="AW177" s="129"/>
      <c r="AX177" s="129"/>
      <c r="AY177" s="129"/>
      <c r="AZ177" s="129"/>
      <c r="BA177" s="129"/>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4"/>
      <c r="BX177" s="134"/>
      <c r="BY177" s="134"/>
      <c r="BZ177" s="134"/>
      <c r="CA177" s="134"/>
      <c r="CB177" s="134"/>
      <c r="CC177" s="134"/>
      <c r="CD177" s="135"/>
      <c r="CE177" s="135"/>
      <c r="CF177" s="135"/>
      <c r="CG177" s="135"/>
      <c r="CH177" s="135"/>
      <c r="CI177" s="135"/>
      <c r="CJ177" s="135"/>
      <c r="CK177" s="135"/>
      <c r="CL177" s="135"/>
      <c r="CM177" s="135"/>
      <c r="CN177" s="135"/>
      <c r="CO177" s="135"/>
      <c r="CP177" s="135"/>
      <c r="CQ177" s="135"/>
      <c r="CR177" s="135"/>
      <c r="CS177" s="135"/>
      <c r="CT177" s="135"/>
      <c r="CU177" s="135"/>
      <c r="CV177" s="135"/>
      <c r="CW177" s="135"/>
      <c r="CX177" s="135"/>
      <c r="CY177" s="136"/>
      <c r="CZ177" s="136"/>
      <c r="DA177" s="136"/>
      <c r="DB177" s="136"/>
      <c r="DC177" s="136"/>
      <c r="DD177" s="136"/>
      <c r="DE177" s="136"/>
      <c r="DF177" s="136"/>
      <c r="DG177" s="136"/>
      <c r="DH177" s="136"/>
      <c r="DI177" s="136"/>
      <c r="DJ177" s="136"/>
      <c r="DK177" s="136"/>
      <c r="DL177" s="136"/>
      <c r="DM177" s="136"/>
      <c r="DN177" s="136"/>
      <c r="DO177" s="136"/>
      <c r="DP177" s="136"/>
      <c r="DQ177" s="136"/>
      <c r="DR177" s="136"/>
      <c r="DS177" s="136"/>
      <c r="DT177" s="136"/>
      <c r="DU177" s="136"/>
      <c r="DV177" s="136"/>
      <c r="DW177" s="136"/>
      <c r="DX177" s="136"/>
      <c r="DY177" s="136"/>
      <c r="DZ177" s="136"/>
      <c r="EA177" s="135"/>
      <c r="EB177" s="135"/>
      <c r="EC177" s="135"/>
      <c r="ED177" s="135"/>
      <c r="EE177" s="135"/>
      <c r="EF177" s="135"/>
      <c r="EG177" s="135"/>
      <c r="EH177" s="135"/>
      <c r="EI177" s="135"/>
      <c r="EJ177" s="135"/>
      <c r="EK177" s="135"/>
      <c r="EL177" s="135"/>
      <c r="EM177" s="135"/>
      <c r="EN177" s="135"/>
      <c r="EO177" s="135"/>
      <c r="EP177" s="135"/>
      <c r="EQ177" s="135"/>
      <c r="ER177" s="135"/>
      <c r="ES177" s="135"/>
      <c r="ET177" s="135"/>
      <c r="EU177" s="135"/>
      <c r="EV177" s="286"/>
      <c r="EW177" s="138"/>
      <c r="EX177" s="138"/>
      <c r="EY177" s="138"/>
      <c r="EZ177" s="138"/>
      <c r="FA177" s="286"/>
      <c r="FB177" s="286"/>
      <c r="FC177" s="139"/>
    </row>
    <row r="178" spans="1:159" s="10" customFormat="1">
      <c r="A178" s="104"/>
      <c r="B178" s="287"/>
      <c r="C178" s="104">
        <v>0.54</v>
      </c>
      <c r="D178" s="10">
        <v>0.72</v>
      </c>
      <c r="E178" s="91"/>
      <c r="F178" s="91"/>
      <c r="G178" s="124"/>
      <c r="H178" s="125"/>
      <c r="I178" s="125"/>
      <c r="J178" s="125"/>
      <c r="K178" s="125"/>
      <c r="L178" s="125"/>
      <c r="M178" s="125"/>
      <c r="N178" s="125"/>
      <c r="O178" s="125"/>
      <c r="P178" s="125"/>
      <c r="Q178" s="125"/>
      <c r="R178" s="1021">
        <f>1*(0.54-0.49)*880*BizRebates_Costs!R5</f>
        <v>54.568940493468844</v>
      </c>
      <c r="S178" s="127"/>
      <c r="T178" s="128"/>
      <c r="U178" s="129"/>
      <c r="V178" s="130"/>
      <c r="W178" s="131"/>
      <c r="X178" s="131"/>
      <c r="Y178" s="131"/>
      <c r="Z178" s="131"/>
      <c r="AA178" s="131"/>
      <c r="AB178" s="131"/>
      <c r="AC178" s="131"/>
      <c r="AD178" s="131"/>
      <c r="AE178" s="131"/>
      <c r="AF178" s="131"/>
      <c r="AG178" s="131"/>
      <c r="AH178" s="131"/>
      <c r="AI178" s="131"/>
      <c r="AJ178" s="131"/>
      <c r="AK178" s="2"/>
      <c r="AL178" s="2"/>
      <c r="AM178" s="129"/>
      <c r="AN178" s="129"/>
      <c r="AO178" s="129"/>
      <c r="AP178" s="132"/>
      <c r="AQ178" s="132"/>
      <c r="AR178" s="132"/>
      <c r="AV178" s="129"/>
      <c r="AW178" s="129"/>
      <c r="AX178" s="2"/>
      <c r="AY178" s="130"/>
      <c r="AZ178" s="130"/>
      <c r="BA178" s="130"/>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4"/>
      <c r="BX178" s="134"/>
      <c r="BY178" s="134"/>
      <c r="BZ178" s="134"/>
      <c r="CA178" s="134"/>
      <c r="CB178" s="134"/>
      <c r="CC178" s="134"/>
      <c r="CD178" s="135"/>
      <c r="CE178" s="135"/>
      <c r="CF178" s="135"/>
      <c r="CG178" s="135"/>
      <c r="CH178" s="135"/>
      <c r="CI178" s="135"/>
      <c r="CJ178" s="135"/>
      <c r="CK178" s="135"/>
      <c r="CL178" s="135"/>
      <c r="CM178" s="135"/>
      <c r="CN178" s="135"/>
      <c r="CO178" s="135"/>
      <c r="CP178" s="135"/>
      <c r="CQ178" s="135"/>
      <c r="CR178" s="135"/>
      <c r="CS178" s="135"/>
      <c r="CT178" s="135"/>
      <c r="CU178" s="135"/>
      <c r="CV178" s="135"/>
      <c r="CW178" s="135"/>
      <c r="CX178" s="135"/>
      <c r="CY178" s="136"/>
      <c r="CZ178" s="136"/>
      <c r="DA178" s="136"/>
      <c r="DB178" s="136"/>
      <c r="DC178" s="136"/>
      <c r="DD178" s="136"/>
      <c r="DE178" s="136"/>
      <c r="DF178" s="136"/>
      <c r="DG178" s="136"/>
      <c r="DH178" s="136"/>
      <c r="DI178" s="136"/>
      <c r="DJ178" s="136"/>
      <c r="DK178" s="136"/>
      <c r="DL178" s="136"/>
      <c r="DM178" s="136"/>
      <c r="DN178" s="136"/>
      <c r="DO178" s="136"/>
      <c r="DP178" s="136"/>
      <c r="DQ178" s="136"/>
      <c r="DR178" s="136"/>
      <c r="DS178" s="136"/>
      <c r="DT178" s="136"/>
      <c r="DU178" s="136"/>
      <c r="DV178" s="136"/>
      <c r="DW178" s="136"/>
      <c r="DX178" s="136"/>
      <c r="DY178" s="136"/>
      <c r="DZ178" s="136"/>
      <c r="EA178" s="135"/>
      <c r="EB178" s="135"/>
      <c r="EC178" s="135"/>
      <c r="ED178" s="135"/>
      <c r="EE178" s="135"/>
      <c r="EF178" s="135"/>
      <c r="EG178" s="135"/>
      <c r="EH178" s="135"/>
      <c r="EI178" s="135"/>
      <c r="EJ178" s="135"/>
      <c r="EK178" s="135"/>
      <c r="EL178" s="135"/>
      <c r="EM178" s="135"/>
      <c r="EN178" s="135"/>
      <c r="EO178" s="135"/>
      <c r="EP178" s="135"/>
      <c r="EQ178" s="135"/>
      <c r="ER178" s="135"/>
      <c r="ES178" s="135"/>
      <c r="ET178" s="135"/>
      <c r="EU178" s="135"/>
      <c r="EV178" s="137"/>
      <c r="EW178" s="138"/>
      <c r="EX178" s="138"/>
      <c r="EY178" s="138"/>
      <c r="EZ178" s="138"/>
      <c r="FA178" s="137"/>
      <c r="FB178" s="137"/>
      <c r="FC178" s="139"/>
    </row>
    <row r="179" spans="1:159">
      <c r="C179" s="2">
        <v>0.49</v>
      </c>
      <c r="D179" s="2">
        <v>0.66</v>
      </c>
      <c r="CK179" s="135"/>
      <c r="CL179" s="135"/>
      <c r="CM179" s="135"/>
      <c r="CN179" s="135"/>
      <c r="CO179" s="135"/>
      <c r="CP179" s="135"/>
      <c r="CQ179" s="135"/>
    </row>
    <row r="180" spans="1:159">
      <c r="C180" s="2">
        <v>0.46</v>
      </c>
      <c r="D180" s="2">
        <v>0.56000000000000005</v>
      </c>
      <c r="E180" s="5" t="s">
        <v>1467</v>
      </c>
      <c r="CK180" s="135"/>
      <c r="CL180" s="135"/>
      <c r="CM180" s="135"/>
      <c r="CN180" s="135"/>
      <c r="CO180" s="135"/>
      <c r="CP180" s="135"/>
      <c r="CQ180" s="135"/>
    </row>
    <row r="181" spans="1:159">
      <c r="C181" s="2">
        <f t="shared" ref="C181:D183" si="1642">C178*12</f>
        <v>6.48</v>
      </c>
      <c r="D181" s="2">
        <f t="shared" si="1642"/>
        <v>8.64</v>
      </c>
      <c r="E181" s="2" t="s">
        <v>1468</v>
      </c>
      <c r="CK181" s="135"/>
      <c r="CL181" s="135"/>
      <c r="CM181" s="135"/>
      <c r="CN181" s="135"/>
      <c r="CO181" s="135"/>
      <c r="CP181" s="135"/>
      <c r="CQ181" s="135"/>
    </row>
    <row r="182" spans="1:159" ht="14.5">
      <c r="C182" s="2">
        <f t="shared" si="1642"/>
        <v>5.88</v>
      </c>
      <c r="D182" s="2">
        <f t="shared" si="1642"/>
        <v>7.92</v>
      </c>
      <c r="E182" s="1405" t="s">
        <v>0</v>
      </c>
      <c r="F182" s="462" t="s">
        <v>1469</v>
      </c>
      <c r="G182" s="462" t="s">
        <v>1470</v>
      </c>
      <c r="H182" s="462" t="s">
        <v>1471</v>
      </c>
      <c r="I182" s="462" t="s">
        <v>1472</v>
      </c>
      <c r="CK182" s="135"/>
      <c r="CL182" s="135"/>
      <c r="CM182" s="135"/>
      <c r="CN182" s="135"/>
      <c r="CO182" s="135"/>
      <c r="CP182" s="135"/>
      <c r="CQ182" s="135"/>
    </row>
    <row r="183" spans="1:159" ht="14.5">
      <c r="C183" s="2">
        <f t="shared" si="1642"/>
        <v>5.5200000000000005</v>
      </c>
      <c r="D183" s="2">
        <f t="shared" si="1642"/>
        <v>6.7200000000000006</v>
      </c>
      <c r="E183" s="1405"/>
      <c r="F183" s="462" t="s">
        <v>1473</v>
      </c>
      <c r="G183" s="1082">
        <v>0.05</v>
      </c>
      <c r="H183" s="471">
        <v>0.08</v>
      </c>
      <c r="I183" s="471">
        <v>0.1</v>
      </c>
      <c r="CK183" s="135"/>
      <c r="CL183" s="135"/>
      <c r="CM183" s="135"/>
      <c r="CN183" s="135"/>
      <c r="CO183" s="135"/>
      <c r="CP183" s="135"/>
      <c r="CQ183" s="135"/>
    </row>
    <row r="184" spans="1:159" ht="14.5">
      <c r="E184" s="1405"/>
      <c r="F184" s="462" t="s">
        <v>1474</v>
      </c>
      <c r="G184" s="1083">
        <v>200</v>
      </c>
      <c r="H184" s="559">
        <v>300</v>
      </c>
      <c r="I184" s="559">
        <v>400</v>
      </c>
      <c r="CK184" s="135"/>
      <c r="CL184" s="135"/>
      <c r="CM184" s="135"/>
      <c r="CN184" s="135"/>
      <c r="CO184" s="135"/>
      <c r="CP184" s="135"/>
      <c r="CQ184" s="135"/>
    </row>
    <row r="185" spans="1:159" ht="14.5">
      <c r="E185" s="1405"/>
      <c r="F185" s="462" t="s">
        <v>1475</v>
      </c>
      <c r="G185" s="471">
        <v>1</v>
      </c>
      <c r="H185" s="471">
        <v>1.25</v>
      </c>
      <c r="I185" s="471">
        <v>1.5</v>
      </c>
      <c r="CK185" s="135"/>
      <c r="CL185" s="135"/>
      <c r="CM185" s="135"/>
      <c r="CN185" s="135"/>
      <c r="CO185" s="135"/>
      <c r="CP185" s="135"/>
      <c r="CQ185" s="135"/>
    </row>
    <row r="186" spans="1:159" ht="14.5">
      <c r="E186" s="1406" t="s">
        <v>1476</v>
      </c>
      <c r="F186" s="558" t="s">
        <v>131</v>
      </c>
      <c r="G186" s="559">
        <v>14369.988202247194</v>
      </c>
      <c r="H186" s="559">
        <v>22991.981123595509</v>
      </c>
      <c r="I186" s="559">
        <v>28739.976404494388</v>
      </c>
      <c r="CK186" s="135"/>
      <c r="CL186" s="135"/>
      <c r="CM186" s="135"/>
      <c r="CN186" s="135"/>
      <c r="CO186" s="135"/>
      <c r="CP186" s="135"/>
      <c r="CQ186" s="135"/>
    </row>
    <row r="187" spans="1:159" ht="14.5">
      <c r="E187" s="1406"/>
      <c r="F187" s="462" t="s">
        <v>132</v>
      </c>
      <c r="G187" s="559">
        <v>6115.091011235957</v>
      </c>
      <c r="H187" s="559">
        <v>9172.636516853936</v>
      </c>
      <c r="I187" s="559">
        <v>12230.182022471914</v>
      </c>
      <c r="CK187" s="135"/>
      <c r="CL187" s="135"/>
      <c r="CM187" s="135"/>
      <c r="CN187" s="135"/>
      <c r="CO187" s="135"/>
      <c r="CP187" s="135"/>
      <c r="CQ187" s="135"/>
    </row>
    <row r="188" spans="1:159" ht="14.5">
      <c r="E188" s="1406"/>
      <c r="F188" s="462" t="s">
        <v>133</v>
      </c>
      <c r="G188" s="559">
        <v>758.27528089887642</v>
      </c>
      <c r="H188" s="559">
        <v>947.84410112359546</v>
      </c>
      <c r="I188" s="559">
        <v>1137.4129213483147</v>
      </c>
      <c r="CK188" s="135"/>
      <c r="CL188" s="135"/>
      <c r="CM188" s="135"/>
      <c r="CN188" s="135"/>
      <c r="CO188" s="135"/>
      <c r="CP188" s="135"/>
      <c r="CQ188" s="135"/>
    </row>
    <row r="189" spans="1:159" ht="14.5">
      <c r="E189" s="1406" t="s">
        <v>1477</v>
      </c>
      <c r="F189" s="558" t="s">
        <v>131</v>
      </c>
      <c r="G189" s="559">
        <v>3698.4961089494168</v>
      </c>
      <c r="H189" s="559">
        <v>5917.5937743190661</v>
      </c>
      <c r="I189" s="559">
        <v>7396.9922178988336</v>
      </c>
      <c r="CK189" s="542"/>
      <c r="CL189" s="542"/>
      <c r="CM189" s="542"/>
      <c r="CN189" s="542"/>
      <c r="CO189" s="542"/>
      <c r="CP189" s="542"/>
      <c r="CQ189" s="542"/>
    </row>
    <row r="190" spans="1:159" ht="14.5">
      <c r="E190" s="1406"/>
      <c r="F190" s="462" t="s">
        <v>132</v>
      </c>
      <c r="G190" s="559">
        <v>2476.1463035019447</v>
      </c>
      <c r="H190" s="559">
        <v>3714.2194552529168</v>
      </c>
      <c r="I190" s="559">
        <v>4952.2926070038893</v>
      </c>
    </row>
    <row r="191" spans="1:159" ht="14.5">
      <c r="E191" s="1406"/>
      <c r="F191" s="462" t="s">
        <v>133</v>
      </c>
      <c r="G191" s="559">
        <v>838.60700389105068</v>
      </c>
      <c r="H191" s="559">
        <v>1048.2587548638135</v>
      </c>
      <c r="I191" s="559">
        <v>1257.910505836576</v>
      </c>
    </row>
    <row r="192" spans="1:159" ht="14.5">
      <c r="E192" s="1407" t="s">
        <v>1478</v>
      </c>
      <c r="F192" s="558" t="s">
        <v>131</v>
      </c>
      <c r="G192" s="559">
        <v>4276.4025862068966</v>
      </c>
      <c r="H192" s="559">
        <v>6842.2441379310339</v>
      </c>
      <c r="I192" s="559">
        <v>8552.8051724137931</v>
      </c>
    </row>
    <row r="193" spans="5:9" ht="14.5">
      <c r="E193" s="1407"/>
      <c r="F193" s="462" t="s">
        <v>132</v>
      </c>
      <c r="G193" s="559">
        <v>1773.8827586206899</v>
      </c>
      <c r="H193" s="559">
        <v>2660.8241379310348</v>
      </c>
      <c r="I193" s="559">
        <v>3547.7655172413797</v>
      </c>
    </row>
    <row r="194" spans="5:9" ht="14.5">
      <c r="E194" s="1407"/>
      <c r="F194" s="462" t="s">
        <v>133</v>
      </c>
      <c r="G194" s="559">
        <v>833.77586206896558</v>
      </c>
      <c r="H194" s="559">
        <v>1042.219827586207</v>
      </c>
      <c r="I194" s="559">
        <v>1250.6637931034484</v>
      </c>
    </row>
    <row r="197" spans="5:9">
      <c r="G197" s="2" t="s">
        <v>1479</v>
      </c>
      <c r="H197" s="2" t="s">
        <v>132</v>
      </c>
    </row>
    <row r="198" spans="5:9">
      <c r="G198" s="84">
        <f>R33</f>
        <v>1</v>
      </c>
      <c r="H198" s="389">
        <f>S33</f>
        <v>2.7312391698609107E-4</v>
      </c>
    </row>
    <row r="199" spans="5:9">
      <c r="G199" s="272">
        <f>G183</f>
        <v>0.05</v>
      </c>
      <c r="H199" s="388">
        <f>G184</f>
        <v>200</v>
      </c>
    </row>
    <row r="200" spans="5:9">
      <c r="G200" s="390"/>
    </row>
    <row r="210" spans="2:3">
      <c r="B210" s="2" t="s">
        <v>1480</v>
      </c>
    </row>
    <row r="211" spans="2:3">
      <c r="B211" s="1084">
        <v>1.01</v>
      </c>
      <c r="C211" s="2" t="s">
        <v>1481</v>
      </c>
    </row>
  </sheetData>
  <autoFilter ref="A5:FL175" xr:uid="{00000000-0009-0000-0000-00000A000000}"/>
  <mergeCells count="18">
    <mergeCell ref="EA2:EG2"/>
    <mergeCell ref="EH2:EN2"/>
    <mergeCell ref="EO2:EU2"/>
    <mergeCell ref="BB2:CC2"/>
    <mergeCell ref="CD2:CJ2"/>
    <mergeCell ref="CK2:CQ2"/>
    <mergeCell ref="CR2:CX2"/>
    <mergeCell ref="CY2:DZ2"/>
    <mergeCell ref="EV4:FC4"/>
    <mergeCell ref="R4:U4"/>
    <mergeCell ref="AK4:AX4"/>
    <mergeCell ref="AZ4:BA4"/>
    <mergeCell ref="V4:AJ4"/>
    <mergeCell ref="E182:E185"/>
    <mergeCell ref="E186:E188"/>
    <mergeCell ref="E189:E191"/>
    <mergeCell ref="E192:E194"/>
    <mergeCell ref="G4:Q4"/>
  </mergeCells>
  <dataValidations disablePrompts="1" count="1">
    <dataValidation type="list" allowBlank="1" showInputMessage="1" showErrorMessage="1" sqref="AS6:AS61 AU6:AU61 AS178:AU178" xr:uid="{00000000-0002-0000-0A00-000000000000}">
      <formula1>#REF!</formula1>
    </dataValidation>
  </dataValidations>
  <hyperlinks>
    <hyperlink ref="M7" r:id="rId1" display="MA TRM V9 Electric Chillers (p.435)" xr:uid="{1432DB83-95FC-413E-BB09-DE433E2E62D7}"/>
    <hyperlink ref="M57" r:id="rId2" display="Mid Atlantic TRM V9 (see BizRebates_Costs_Savings tab)" xr:uid="{DED04132-DA54-4EDB-9FCC-64B9A3F998E9}"/>
    <hyperlink ref="M58" r:id="rId3" display="Mid Atlantic TRM V9 (see BizRebates_Costs_Savings tab)" xr:uid="{D8BDCE64-9675-4610-AC78-8B37DF3E286C}"/>
    <hyperlink ref="M27" r:id="rId4" display="$210.52/HP for variable torque measures; $122.48/HP for constant torque measures per FOE TRM." xr:uid="{C0FD9ADB-81EC-40BC-840C-DC917CC7FFB2}"/>
    <hyperlink ref="M28" r:id="rId5" xr:uid="{DA26AD16-18A5-44DC-B64A-A686E5AD2D3F}"/>
    <hyperlink ref="M50" r:id="rId6" xr:uid="{1550A27E-4605-49F1-B73F-EF74BFF06B2C}"/>
    <hyperlink ref="M51" r:id="rId7" display="Costs estimated from Mid-Atlantic TRM v9: LED High-Bay Luminaires and Retrofit Kits; O&amp;M impact comes from Mid-Atlantic TRM v9: https://neep.org/sites/default/files/resources/Mid_Atlantic_TRM_V9_Final_clean_wUpdateSummary%20-%20CT%20FORMAT.pdf - $32.50/lamp over 15 year max measure life" xr:uid="{993BA461-04F0-4861-92C9-AEC48A7DF9B8}"/>
    <hyperlink ref="M52" r:id="rId8" xr:uid="{1BA53D97-3F51-4FC3-AF60-99737E0E2468}"/>
    <hyperlink ref="M56" r:id="rId9" xr:uid="{1C97CC7E-759F-4A53-B0BA-09DA332E1467}"/>
    <hyperlink ref="M60:M61" r:id="rId10" display="Costs estimated from Mid-Atlantic TRM v9: LED LED Outdoor Pole/Arm- or Wall-Mounted Area and Roadway Lighting Luminaires and Retrofit Kits; Cost is average of &quot;LED Fixtures up to 150 W&quot; and &quot;LED Fixtures between 150W to 265W&quot;" xr:uid="{AFCE249A-545C-4311-BB7C-0DF03CD9FC4D}"/>
    <hyperlink ref="M8:M10" r:id="rId11" display="Mid-Atlantic TRM V9 Electric Chillers (p.435) - Assuming 100 tons from 'Assumptions' tab" xr:uid="{0A3F111D-ECCB-45B0-BF35-93903C3CE123}"/>
    <hyperlink ref="U54" r:id="rId12" xr:uid="{EE908E4A-077F-4973-BC16-59D2906AB479}"/>
    <hyperlink ref="U10" r:id="rId13" xr:uid="{AA8AF9C4-BE11-45A9-B96E-5EE60B96C85C}"/>
    <hyperlink ref="U53" r:id="rId14" xr:uid="{7D7887DE-96C2-44C4-82DC-6669452FB3C0}"/>
    <hyperlink ref="U29" r:id="rId15" xr:uid="{6CFC5CBB-A520-4A61-8E2B-3A76D19597F6}"/>
    <hyperlink ref="U30" r:id="rId16" xr:uid="{D8ACDB7F-CAAA-4E8E-B579-9CBF0BAA837B}"/>
    <hyperlink ref="U55" r:id="rId17" xr:uid="{D7243F4A-3EB2-46B0-B5B4-FD8817FA5DB8}"/>
    <hyperlink ref="U56" r:id="rId18" xr:uid="{60D637DF-41EC-467E-B6CC-5B4C08D6DD37}"/>
    <hyperlink ref="U27" r:id="rId19" xr:uid="{E0D0A0CB-DB96-4F37-B778-4BCA674A22C6}"/>
    <hyperlink ref="U19" r:id="rId20" xr:uid="{B6717887-73A1-410C-BEE3-8D2D85C85448}"/>
    <hyperlink ref="U23" r:id="rId21" xr:uid="{459D169D-0E18-4852-B2E8-1ECF04AC7315}"/>
    <hyperlink ref="M20" r:id="rId22" display="Adapted from data in https://nwcouncil.app.box.com/v/ComAgIndPumpsv2-2" xr:uid="{C235B721-D089-4E81-8D00-307FEF0F647E}"/>
    <hyperlink ref="M21:M26" r:id="rId23" display="Adapted from data in https://nwcouncil.app.box.com/v/ComAgIndPumpsv2-2" xr:uid="{A7186475-E329-434C-A011-7524E36048E0}"/>
    <hyperlink ref="M30" r:id="rId24" xr:uid="{1D4B2860-C65F-4267-8E60-0B92E827EF38}"/>
    <hyperlink ref="U31:U32" r:id="rId25" display="Per Watt savings estimate from IL TRM v10.0 &quot;4.5.10 Lighting Controls&quot; - use-specific input assumptions are averages for all building types/uses except agricultural end uses" xr:uid="{D4A50BF3-C0F6-4007-9588-4B8812138CE5}"/>
    <hyperlink ref="U50" r:id="rId26" xr:uid="{EC2ABF5C-34C8-4808-BFF7-7B1CE60E5FC9}"/>
    <hyperlink ref="U51" r:id="rId27"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80A3285D-FBE2-40B2-A701-40C4AB8E0879}"/>
    <hyperlink ref="U52" r:id="rId28"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DB147EFF-F3A9-48DA-A6FE-16C0CAB59FD9}"/>
    <hyperlink ref="M53" r:id="rId29" xr:uid="{399E1E4F-E49F-4B93-A05B-DB180DF1B774}"/>
    <hyperlink ref="M54:M55" r:id="rId30" display="Costs estimated from IL TRM v10: &quot;4.5.4 LED Bulbs and Fixtures;&quot; LED Downlight Fixtures, LED Interior Directional, LED Linear Replacement Lamps, and LED Linear Ambient Fixtures" xr:uid="{7F20B35D-6EC7-4A25-8BD4-6B7D70515069}"/>
    <hyperlink ref="U57" r:id="rId31"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42FCF571-8597-485B-8CB8-626C25EA69AC}"/>
    <hyperlink ref="U58" r:id="rId32"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4E9FCD21-CDF3-4B9F-80A9-A5EB06936344}"/>
    <hyperlink ref="U60" r:id="rId33"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F885254E-C3F5-4193-A466-E9982C5ED4A8}"/>
    <hyperlink ref="U61" r:id="rId34"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9DBED31E-3F0E-4D45-8B0B-B468B8B7B240}"/>
    <hyperlink ref="M10" r:id="rId35" display="Mid-Atlantic TRM V9 Electric Chillers (p.435) - Assuming 400 tons from 'Assumptions' tab - See BizRebates_Cost_Savings tab for calculations (assumed Water-Cooled Centrifugal Chiller Incremental Costs ($/Ton) for Maryland for 300 and 600 tons as baseline kW/ton was more accurate)" xr:uid="{A5889894-B9F7-42B2-AA49-A677ECE9F787}"/>
    <hyperlink ref="U8:U9" r:id="rId36"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AEAC7D91-E418-4662-B27E-4B05FF949381}"/>
    <hyperlink ref="U7" r:id="rId37"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B21CD1B7-88F6-464D-A939-F2D7F96E1A81}"/>
    <hyperlink ref="M31:M32" r:id="rId38" display="Costs estimated from IL TRM v9: 4.5.10 Lighting Controls" xr:uid="{2E854597-B576-4282-A49C-C3BB93BE3B7D}"/>
  </hyperlinks>
  <pageMargins left="0.7" right="0.7" top="0.75" bottom="0.75" header="0.3" footer="0.3"/>
  <pageSetup orientation="portrait" r:id="rId39"/>
  <headerFooter>
    <oddFooter>&amp;L&amp;1#&amp;"Calibri"&amp;14&amp;K000000Business Use</oddFooter>
  </headerFooter>
  <drawing r:id="rId40"/>
  <legacyDrawing r:id="rId4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2F492-B264-49ED-94AE-F6BA45A5626D}">
  <sheetPr>
    <tabColor theme="5"/>
  </sheetPr>
  <dimension ref="A1:FL53"/>
  <sheetViews>
    <sheetView zoomScale="70" zoomScaleNormal="70" workbookViewId="0">
      <selection activeCell="R10" sqref="R10"/>
    </sheetView>
  </sheetViews>
  <sheetFormatPr defaultColWidth="9.1796875" defaultRowHeight="13"/>
  <cols>
    <col min="1" max="1" width="9.1796875" style="2" customWidth="1"/>
    <col min="2" max="2" width="31.453125" style="2" customWidth="1"/>
    <col min="3" max="3" width="34.453125" style="2" customWidth="1"/>
    <col min="4" max="4" width="17.54296875" style="2" customWidth="1"/>
    <col min="5" max="5" width="21.1796875" style="2" customWidth="1"/>
    <col min="6" max="6" width="12.54296875" style="2" customWidth="1"/>
    <col min="7" max="7" width="12.453125" style="2" customWidth="1"/>
    <col min="8" max="8" width="11.81640625" style="2" customWidth="1"/>
    <col min="9" max="9" width="11.54296875" style="2" customWidth="1"/>
    <col min="10" max="10" width="14.54296875" style="2" customWidth="1"/>
    <col min="11" max="11" width="15.453125" style="2" customWidth="1"/>
    <col min="12" max="13" width="15.26953125" style="2" customWidth="1"/>
    <col min="14" max="14" width="15" style="2" customWidth="1"/>
    <col min="15" max="16" width="10.7265625" style="2" customWidth="1"/>
    <col min="17" max="17" width="13.453125" style="2" customWidth="1"/>
    <col min="18" max="19" width="12.1796875" style="2" customWidth="1"/>
    <col min="20" max="20" width="15.7265625" style="3" customWidth="1"/>
    <col min="21" max="25" width="10.81640625" style="3" customWidth="1"/>
    <col min="26" max="26" width="12.453125" style="3" customWidth="1"/>
    <col min="27" max="27" width="13.1796875" style="3" customWidth="1"/>
    <col min="28" max="29" width="10.1796875" style="3" customWidth="1"/>
    <col min="30" max="30" width="17.54296875" style="3" customWidth="1"/>
    <col min="31" max="31" width="18.54296875" style="3" customWidth="1"/>
    <col min="32" max="32" width="21.26953125" style="3" customWidth="1"/>
    <col min="33" max="33" width="15.81640625" style="3" customWidth="1"/>
    <col min="34" max="36" width="17.81640625" style="3" bestFit="1" customWidth="1"/>
    <col min="37" max="44" width="14.453125" style="2" customWidth="1"/>
    <col min="45" max="45" width="20.81640625" style="2" customWidth="1"/>
    <col min="46" max="46" width="14.453125" style="2" customWidth="1"/>
    <col min="47" max="47" width="16.453125" style="2" customWidth="1"/>
    <col min="48" max="53" width="12" style="2" customWidth="1"/>
    <col min="54" max="56" width="17.81640625" style="2" customWidth="1"/>
    <col min="57" max="60" width="15.7265625" style="2" customWidth="1"/>
    <col min="61" max="67" width="12" style="2" customWidth="1"/>
    <col min="68" max="81" width="11.7265625" style="2" customWidth="1"/>
    <col min="82" max="159" width="15.54296875" style="2" customWidth="1"/>
    <col min="160" max="16384" width="9.1796875" style="2"/>
  </cols>
  <sheetData>
    <row r="1" spans="1:168" ht="15" thickBot="1">
      <c r="A1" t="str">
        <f>A3&amp;"_"&amp;A4&amp;"_"&amp;A5</f>
        <v>Merged  together in Business Rebates. (Small business audit and midstream lighting). Modeled separately for flexibility. _Measure Details_Measure ID</v>
      </c>
      <c r="B1" t="str">
        <f t="shared" ref="B1:CC1" si="0">B3&amp;"_"&amp;B4&amp;"_"&amp;B5</f>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t="str">
        <f t="shared" si="0"/>
        <v>__Number of Unit Per Participant</v>
      </c>
      <c r="W1" t="str">
        <f t="shared" si="0"/>
        <v>1__2017</v>
      </c>
      <c r="X1" t="str">
        <f t="shared" si="0"/>
        <v>2__2018</v>
      </c>
      <c r="Y1" t="str">
        <f t="shared" si="0"/>
        <v>3__2019</v>
      </c>
      <c r="Z1" t="str">
        <f t="shared" si="0"/>
        <v>4__2020</v>
      </c>
      <c r="AA1" t="str">
        <f t="shared" si="0"/>
        <v>__Projected 2021</v>
      </c>
      <c r="AB1" t="str">
        <f t="shared" si="0"/>
        <v>__Projected 2022</v>
      </c>
      <c r="AC1" t="str">
        <f>AC3&amp;"_"&amp;AC4&amp;"_"&amp;AC5</f>
        <v>__Projected 2023</v>
      </c>
      <c r="AD1" t="str">
        <f t="shared" si="0"/>
        <v>__Participation 2024</v>
      </c>
      <c r="AE1" t="str">
        <f t="shared" si="0"/>
        <v>__Participation 2025</v>
      </c>
      <c r="AF1" t="str">
        <f t="shared" si="0"/>
        <v>__Participation 2026</v>
      </c>
      <c r="AG1" t="str">
        <f t="shared" si="0"/>
        <v>__Participation 2027</v>
      </c>
      <c r="AH1" t="str">
        <f>AH3&amp;"_"&amp;AH4&amp;"_"&amp;AH5</f>
        <v>__Participation 2028</v>
      </c>
      <c r="AI1" t="str">
        <f t="shared" si="0"/>
        <v>__Participation 2029</v>
      </c>
      <c r="AJ1" t="str">
        <f t="shared" si="0"/>
        <v>__Participation 2030</v>
      </c>
      <c r="AK1" t="str">
        <f t="shared" si="0"/>
        <v>_Modeling Measure-level Inputs_Fuel Type</v>
      </c>
      <c r="AL1" t="str">
        <f t="shared" si="0"/>
        <v>__Sector</v>
      </c>
      <c r="AM1" t="str">
        <f t="shared" si="0"/>
        <v>__Segment</v>
      </c>
      <c r="AN1" t="str">
        <f t="shared" si="0"/>
        <v>__Enduse</v>
      </c>
      <c r="AO1" t="str">
        <f t="shared" si="0"/>
        <v>__Construction Type</v>
      </c>
      <c r="AP1" t="str">
        <f t="shared" si="0"/>
        <v>__Potential Study Measure Name</v>
      </c>
      <c r="AQ1" t="str">
        <f t="shared" si="0"/>
        <v>__Potential Study Measure Description</v>
      </c>
      <c r="AR1" t="str">
        <f t="shared" si="0"/>
        <v>__Potential Study Baseline Description</v>
      </c>
      <c r="AS1" t="str">
        <f t="shared" si="0"/>
        <v>__Electric Load Shape</v>
      </c>
      <c r="AT1" t="str">
        <f t="shared" si="0"/>
        <v>__Natural Gas Load Shape</v>
      </c>
      <c r="AU1" t="str">
        <f t="shared" si="0"/>
        <v>__Customer Rate Class</v>
      </c>
      <c r="AV1" t="str">
        <f t="shared" si="0"/>
        <v>__Measure Life</v>
      </c>
      <c r="AW1" t="str">
        <f t="shared" si="0"/>
        <v>__Baseline Life</v>
      </c>
      <c r="AX1" t="str">
        <f t="shared" si="0"/>
        <v>__Life Source</v>
      </c>
      <c r="AY1" t="str">
        <f t="shared" si="0"/>
        <v>_Measure Tier Share_Tier Share</v>
      </c>
      <c r="AZ1" t="str">
        <f t="shared" si="0"/>
        <v>_Measure Fuel Weights_Electric Share</v>
      </c>
      <c r="BA1" t="str">
        <f t="shared" si="0"/>
        <v>__Natural Gas Share</v>
      </c>
      <c r="BB1" t="str">
        <f t="shared" si="0"/>
        <v>Per Unit_Incremental Costs_2024</v>
      </c>
      <c r="BC1" t="str">
        <f>BC3&amp;"_"&amp;BC4&amp;"_"&amp;BC5</f>
        <v>Per Unit_Incremental Costs_2025</v>
      </c>
      <c r="BD1" t="str">
        <f t="shared" si="0"/>
        <v>Per Unit_Incremental Costs_2026</v>
      </c>
      <c r="BE1" t="str">
        <f t="shared" si="0"/>
        <v>Per Unit_Incremental Costs_2027</v>
      </c>
      <c r="BF1" t="str">
        <f t="shared" si="0"/>
        <v>Per Unit_Incremental Costs_2028</v>
      </c>
      <c r="BG1" t="str">
        <f t="shared" si="0"/>
        <v>Per Unit_Incremental Costs_2029</v>
      </c>
      <c r="BH1" t="str">
        <f t="shared" si="0"/>
        <v>Per Unit_Incremental Costs_2030</v>
      </c>
      <c r="BI1" t="str">
        <f t="shared" si="0"/>
        <v>Per Unit_Incremental Annual O&amp;M_2024</v>
      </c>
      <c r="BJ1" t="str">
        <f t="shared" si="0"/>
        <v>Per Unit_Incremental Annual O&amp;M_2025</v>
      </c>
      <c r="BK1" t="str">
        <f t="shared" si="0"/>
        <v>Per Unit_Incremental Annual O&amp;M_2026</v>
      </c>
      <c r="BL1" t="str">
        <f t="shared" si="0"/>
        <v>Per Unit_Incremental Annual O&amp;M_2027</v>
      </c>
      <c r="BM1" t="str">
        <f t="shared" si="0"/>
        <v>Per Unit_Incremental Annual O&amp;M_2028</v>
      </c>
      <c r="BN1" t="str">
        <f t="shared" si="0"/>
        <v>Per Unit_Incremental Annual O&amp;M_2029</v>
      </c>
      <c r="BO1" t="str">
        <f t="shared" si="0"/>
        <v>Per Unit_Incremental Annual O&amp;M_2030</v>
      </c>
      <c r="BP1" t="str">
        <f t="shared" si="0"/>
        <v>Per Unit_Customer &amp; Dealer Incentives_2024</v>
      </c>
      <c r="BQ1" t="str">
        <f t="shared" si="0"/>
        <v>Per Unit_Customer &amp; Dealer Incentives_2025</v>
      </c>
      <c r="BR1" t="str">
        <f t="shared" si="0"/>
        <v>Per Unit_Customer &amp; Dealer Incentives_2026</v>
      </c>
      <c r="BS1" t="str">
        <f t="shared" si="0"/>
        <v>Per Unit_Customer &amp; Dealer Incentives_2027</v>
      </c>
      <c r="BT1" t="str">
        <f t="shared" si="0"/>
        <v>Per Unit_Customer &amp; Dealer Incentives_2028</v>
      </c>
      <c r="BU1" t="str">
        <f t="shared" si="0"/>
        <v>Per Unit_Customer &amp; Dealer Incentives_2029</v>
      </c>
      <c r="BV1" t="str">
        <f t="shared" si="0"/>
        <v>Per Unit_Customer &amp; Dealer Incentives_2030</v>
      </c>
      <c r="BW1" t="str">
        <f t="shared" si="0"/>
        <v>Per Unit_Implementation Cost_2024</v>
      </c>
      <c r="BX1" t="str">
        <f t="shared" si="0"/>
        <v>Per Unit_Implementation Cost_2025</v>
      </c>
      <c r="BY1" t="str">
        <f t="shared" si="0"/>
        <v>Per Unit_Implementation Cost_2026</v>
      </c>
      <c r="BZ1" t="str">
        <f t="shared" si="0"/>
        <v>Per Unit_Implementation Cost_2027</v>
      </c>
      <c r="CA1" t="str">
        <f t="shared" si="0"/>
        <v>Per Unit_Implementation Cost_2028</v>
      </c>
      <c r="CB1" t="str">
        <f t="shared" si="0"/>
        <v>Per Unit_Implementation Cost_2029</v>
      </c>
      <c r="CC1" t="str">
        <f t="shared" si="0"/>
        <v>Per Unit_Implementation Cost_2030</v>
      </c>
      <c r="CD1" t="str">
        <f t="shared" ref="CD1:FC1" si="1">CD3&amp;"_"&amp;CD4&amp;"_"&amp;CD5</f>
        <v>Per Unit_kWh _2024</v>
      </c>
      <c r="CE1" t="str">
        <f t="shared" si="1"/>
        <v>Per Unit_kWh _2025</v>
      </c>
      <c r="CF1" t="str">
        <f t="shared" si="1"/>
        <v>Per Unit_kWh _2026</v>
      </c>
      <c r="CG1" t="str">
        <f t="shared" si="1"/>
        <v>Per Unit_kWh _2027</v>
      </c>
      <c r="CH1" t="str">
        <f t="shared" si="1"/>
        <v>Per Unit_kWh _2028</v>
      </c>
      <c r="CI1" t="str">
        <f t="shared" si="1"/>
        <v>Per Unit_kWh _2029</v>
      </c>
      <c r="CJ1" t="str">
        <f t="shared" si="1"/>
        <v>Per Unit_kWh _2030</v>
      </c>
      <c r="CK1" t="str">
        <f t="shared" si="1"/>
        <v>Per Unit_kW_2024</v>
      </c>
      <c r="CL1" t="str">
        <f t="shared" si="1"/>
        <v>Per Unit_kW_2025</v>
      </c>
      <c r="CM1" t="str">
        <f t="shared" si="1"/>
        <v>Per Unit_kW_2026</v>
      </c>
      <c r="CN1" t="str">
        <f t="shared" si="1"/>
        <v>Per Unit_kW_2027</v>
      </c>
      <c r="CO1" t="str">
        <f t="shared" si="1"/>
        <v>Per Unit_kW_2028</v>
      </c>
      <c r="CP1" t="str">
        <f t="shared" si="1"/>
        <v>Per Unit_kW_2029</v>
      </c>
      <c r="CQ1" t="str">
        <f t="shared" si="1"/>
        <v>Per Unit_kW_2030</v>
      </c>
      <c r="CR1" t="str">
        <f t="shared" si="1"/>
        <v>Per Unit_Therms_2024</v>
      </c>
      <c r="CS1" t="str">
        <f t="shared" si="1"/>
        <v>Per Unit_Therms_2025</v>
      </c>
      <c r="CT1" t="str">
        <f t="shared" si="1"/>
        <v>Per Unit_Therms_2026</v>
      </c>
      <c r="CU1" t="str">
        <f t="shared" si="1"/>
        <v>Per Unit_Therms_2027</v>
      </c>
      <c r="CV1" t="str">
        <f t="shared" si="1"/>
        <v>Per Unit_Therms_2028</v>
      </c>
      <c r="CW1" t="str">
        <f t="shared" si="1"/>
        <v>Per Unit_Therms_2029</v>
      </c>
      <c r="CX1" t="str">
        <f t="shared" si="1"/>
        <v>Per Unit_Therms_2030</v>
      </c>
      <c r="CY1" t="str">
        <f t="shared" si="1"/>
        <v>Program_Incremental Costs_2024</v>
      </c>
      <c r="CZ1" t="str">
        <f t="shared" si="1"/>
        <v>Program_Incremental Costs_2025</v>
      </c>
      <c r="DA1" t="str">
        <f t="shared" si="1"/>
        <v>Program_Incremental Costs_2026</v>
      </c>
      <c r="DB1" t="str">
        <f t="shared" si="1"/>
        <v>Program_Incremental Costs_2027</v>
      </c>
      <c r="DC1" t="str">
        <f t="shared" si="1"/>
        <v>Program_Incremental Costs_2028</v>
      </c>
      <c r="DD1" t="str">
        <f t="shared" si="1"/>
        <v>Program_Incremental Costs_2029</v>
      </c>
      <c r="DE1" t="str">
        <f t="shared" si="1"/>
        <v>Program_Incremental Costs_2030</v>
      </c>
      <c r="DF1" t="str">
        <f t="shared" si="1"/>
        <v>Program_Incremental Annual O&amp;M_2024</v>
      </c>
      <c r="DG1" t="str">
        <f t="shared" si="1"/>
        <v>Program_Incremental Annual O&amp;M_2025</v>
      </c>
      <c r="DH1" t="str">
        <f t="shared" si="1"/>
        <v>Program_Incremental Annual O&amp;M_2026</v>
      </c>
      <c r="DI1" t="str">
        <f t="shared" si="1"/>
        <v>Program_Incremental Annual O&amp;M_2027</v>
      </c>
      <c r="DJ1" t="str">
        <f t="shared" si="1"/>
        <v>Program_Incremental Annual O&amp;M_2028</v>
      </c>
      <c r="DK1" t="str">
        <f t="shared" si="1"/>
        <v>Program_Incremental Annual O&amp;M_2029</v>
      </c>
      <c r="DL1" t="str">
        <f t="shared" si="1"/>
        <v>Program_Incremental Annual O&amp;M_2030</v>
      </c>
      <c r="DM1" t="str">
        <f t="shared" si="1"/>
        <v>Program_Customer &amp; Dealer Incentives_2024</v>
      </c>
      <c r="DN1" t="str">
        <f t="shared" si="1"/>
        <v>Program_Customer &amp; Dealer Incentives_2025</v>
      </c>
      <c r="DO1" t="str">
        <f t="shared" si="1"/>
        <v>Program_Customer &amp; Dealer Incentives_2026</v>
      </c>
      <c r="DP1" t="str">
        <f t="shared" si="1"/>
        <v>Program_Customer &amp; Dealer Incentives_2027</v>
      </c>
      <c r="DQ1" t="str">
        <f t="shared" si="1"/>
        <v>Program_Customer &amp; Dealer Incentives_2028</v>
      </c>
      <c r="DR1" t="str">
        <f t="shared" si="1"/>
        <v>Program_Customer &amp; Dealer Incentives_2029</v>
      </c>
      <c r="DS1" t="str">
        <f t="shared" si="1"/>
        <v>Program_Customer &amp; Dealer Incentives_2030</v>
      </c>
      <c r="DT1" t="str">
        <f t="shared" si="1"/>
        <v>Program_Implementation Costs_2024</v>
      </c>
      <c r="DU1" t="str">
        <f t="shared" si="1"/>
        <v>Program_Implementation Costs_2025</v>
      </c>
      <c r="DV1" t="str">
        <f t="shared" si="1"/>
        <v>Program_Implementation Costs_2026</v>
      </c>
      <c r="DW1" t="str">
        <f t="shared" si="1"/>
        <v>Program_Implementation Costs_2027</v>
      </c>
      <c r="DX1" t="str">
        <f t="shared" si="1"/>
        <v>Program_Implementation Costs_2028</v>
      </c>
      <c r="DY1" t="str">
        <f t="shared" si="1"/>
        <v>Program_Implementation Costs_2029</v>
      </c>
      <c r="DZ1" t="str">
        <f t="shared" si="1"/>
        <v>Program_Implementation Costs_2030</v>
      </c>
      <c r="EA1" t="str">
        <f t="shared" si="1"/>
        <v>Program_kWh _2024</v>
      </c>
      <c r="EB1" t="str">
        <f t="shared" si="1"/>
        <v>Program_kWh _2025</v>
      </c>
      <c r="EC1" t="str">
        <f t="shared" si="1"/>
        <v>Program_kWh _2026</v>
      </c>
      <c r="ED1" t="str">
        <f t="shared" si="1"/>
        <v>Program_kWh _2027</v>
      </c>
      <c r="EE1" t="str">
        <f t="shared" si="1"/>
        <v>Program_kWh _2028</v>
      </c>
      <c r="EF1" t="str">
        <f t="shared" si="1"/>
        <v>Program_kWh _2029</v>
      </c>
      <c r="EG1" t="str">
        <f t="shared" si="1"/>
        <v>Program_kWh _2030</v>
      </c>
      <c r="EH1" t="str">
        <f t="shared" si="1"/>
        <v>Program_kW_2024</v>
      </c>
      <c r="EI1" t="str">
        <f t="shared" si="1"/>
        <v>Program_kW_2025</v>
      </c>
      <c r="EJ1" t="str">
        <f t="shared" si="1"/>
        <v>Program_kW_2026</v>
      </c>
      <c r="EK1" t="str">
        <f t="shared" si="1"/>
        <v>Program_kW_2027</v>
      </c>
      <c r="EL1" t="str">
        <f t="shared" si="1"/>
        <v>Program_kW_2028</v>
      </c>
      <c r="EM1" t="str">
        <f t="shared" si="1"/>
        <v>Program_kW_2029</v>
      </c>
      <c r="EN1" t="str">
        <f t="shared" si="1"/>
        <v>Program_kW_2030</v>
      </c>
      <c r="EO1" t="str">
        <f t="shared" si="1"/>
        <v>Program_Therms_2024</v>
      </c>
      <c r="EP1" t="str">
        <f t="shared" si="1"/>
        <v>Program_Therms_2025</v>
      </c>
      <c r="EQ1" t="str">
        <f t="shared" si="1"/>
        <v>Program_Therms_2026</v>
      </c>
      <c r="ER1" t="str">
        <f t="shared" si="1"/>
        <v>Program_Therms_2027</v>
      </c>
      <c r="ES1" t="str">
        <f t="shared" si="1"/>
        <v>Program_Therms_2028</v>
      </c>
      <c r="ET1" t="str">
        <f t="shared" si="1"/>
        <v>Program_Therms_2029</v>
      </c>
      <c r="EU1" t="str">
        <f t="shared" si="1"/>
        <v>Program_Therms_2030</v>
      </c>
      <c r="EV1" t="str">
        <f>EV3&amp;"_"&amp;EV4&amp;"_"&amp;EV5</f>
        <v>_Total Plan Summary 2024-2030_Participation</v>
      </c>
      <c r="EW1" t="str">
        <f>EW3&amp;"_"&amp;EW4&amp;"_"&amp;EW5</f>
        <v>__Incremental Costs ($)</v>
      </c>
      <c r="EX1" t="str">
        <f t="shared" si="1"/>
        <v>__Incremental Annual O&amp;M ($)</v>
      </c>
      <c r="EY1" t="str">
        <f t="shared" si="1"/>
        <v>__Customer &amp; Dealer Incentives ($)</v>
      </c>
      <c r="EZ1" t="str">
        <f t="shared" si="1"/>
        <v>__Implementation Costs ($)</v>
      </c>
      <c r="FA1" t="str">
        <f t="shared" si="1"/>
        <v>__Electric kWh  Benefits</v>
      </c>
      <c r="FB1" t="str">
        <f t="shared" si="1"/>
        <v>__Electric kW Peak Demand Benefits</v>
      </c>
      <c r="FC1" t="str">
        <f t="shared" si="1"/>
        <v>__Natural Gas Therms Benefits</v>
      </c>
    </row>
    <row r="2" spans="1:168" s="5" customFormat="1" ht="16" thickBot="1">
      <c r="A2" s="1" t="s">
        <v>1482</v>
      </c>
      <c r="B2" s="4"/>
      <c r="C2" s="4"/>
      <c r="U2" s="6"/>
      <c r="V2" s="6"/>
      <c r="W2" s="6"/>
      <c r="X2" s="6"/>
      <c r="Y2" s="6"/>
      <c r="Z2" s="6"/>
      <c r="AA2" s="6"/>
      <c r="AB2" s="6"/>
      <c r="AC2" s="6"/>
      <c r="AD2" s="6"/>
      <c r="AE2" s="6"/>
      <c r="AF2" s="6"/>
      <c r="AG2" s="6"/>
      <c r="AH2" s="6"/>
      <c r="AI2" s="6"/>
      <c r="AJ2" s="6"/>
      <c r="AK2" s="6"/>
      <c r="AL2" s="6"/>
      <c r="AM2" s="6"/>
      <c r="AN2" s="7"/>
      <c r="AO2" s="7"/>
      <c r="AP2" s="7"/>
      <c r="AQ2" s="7"/>
      <c r="AR2" s="7"/>
      <c r="AS2" s="7"/>
      <c r="AT2" s="7"/>
      <c r="AU2" s="7"/>
      <c r="BB2" s="1384" t="s">
        <v>327</v>
      </c>
      <c r="BC2" s="1385"/>
      <c r="BD2" s="1385"/>
      <c r="BE2" s="1385"/>
      <c r="BF2" s="1385"/>
      <c r="BG2" s="1385"/>
      <c r="BH2" s="1385"/>
      <c r="BI2" s="1385"/>
      <c r="BJ2" s="1385"/>
      <c r="BK2" s="1385"/>
      <c r="BL2" s="1385"/>
      <c r="BM2" s="1385"/>
      <c r="BN2" s="1385"/>
      <c r="BO2" s="1385"/>
      <c r="BP2" s="1385"/>
      <c r="BQ2" s="1385"/>
      <c r="BR2" s="1385"/>
      <c r="BS2" s="1385"/>
      <c r="BT2" s="1385"/>
      <c r="BU2" s="1385"/>
      <c r="BV2" s="1385"/>
      <c r="BW2" s="1385"/>
      <c r="BX2" s="1385"/>
      <c r="BY2" s="1385"/>
      <c r="BZ2" s="1385"/>
      <c r="CA2" s="1385"/>
      <c r="CB2" s="1385"/>
      <c r="CC2" s="1386"/>
      <c r="CD2" s="1381" t="s">
        <v>328</v>
      </c>
      <c r="CE2" s="1382"/>
      <c r="CF2" s="1382"/>
      <c r="CG2" s="1382"/>
      <c r="CH2" s="1382"/>
      <c r="CI2" s="1382"/>
      <c r="CJ2" s="1383"/>
      <c r="CK2" s="1381" t="s">
        <v>329</v>
      </c>
      <c r="CL2" s="1382"/>
      <c r="CM2" s="1382"/>
      <c r="CN2" s="1382"/>
      <c r="CO2" s="1382"/>
      <c r="CP2" s="1382"/>
      <c r="CQ2" s="1383"/>
      <c r="CR2" s="1381" t="s">
        <v>330</v>
      </c>
      <c r="CS2" s="1382"/>
      <c r="CT2" s="1382"/>
      <c r="CU2" s="1382"/>
      <c r="CV2" s="1382"/>
      <c r="CW2" s="1382"/>
      <c r="CX2" s="1383"/>
      <c r="CY2" s="1384" t="s">
        <v>327</v>
      </c>
      <c r="CZ2" s="1385"/>
      <c r="DA2" s="1385"/>
      <c r="DB2" s="1385"/>
      <c r="DC2" s="1385"/>
      <c r="DD2" s="1385"/>
      <c r="DE2" s="1385"/>
      <c r="DF2" s="1385"/>
      <c r="DG2" s="1385"/>
      <c r="DH2" s="1385"/>
      <c r="DI2" s="1385"/>
      <c r="DJ2" s="1385"/>
      <c r="DK2" s="1385"/>
      <c r="DL2" s="1385"/>
      <c r="DM2" s="1385"/>
      <c r="DN2" s="1385"/>
      <c r="DO2" s="1385"/>
      <c r="DP2" s="1385"/>
      <c r="DQ2" s="1385"/>
      <c r="DR2" s="1385"/>
      <c r="DS2" s="1385"/>
      <c r="DT2" s="1385"/>
      <c r="DU2" s="1385"/>
      <c r="DV2" s="1385"/>
      <c r="DW2" s="1385"/>
      <c r="DX2" s="1385"/>
      <c r="DY2" s="1385"/>
      <c r="DZ2" s="1386"/>
      <c r="EA2" s="1381" t="s">
        <v>328</v>
      </c>
      <c r="EB2" s="1382"/>
      <c r="EC2" s="1382"/>
      <c r="ED2" s="1382"/>
      <c r="EE2" s="1382"/>
      <c r="EF2" s="1382"/>
      <c r="EG2" s="1383"/>
      <c r="EH2" s="1381" t="s">
        <v>329</v>
      </c>
      <c r="EI2" s="1382"/>
      <c r="EJ2" s="1382"/>
      <c r="EK2" s="1382"/>
      <c r="EL2" s="1382"/>
      <c r="EM2" s="1382"/>
      <c r="EN2" s="1383"/>
      <c r="EO2" s="1381" t="s">
        <v>330</v>
      </c>
      <c r="EP2" s="1382"/>
      <c r="EQ2" s="1382"/>
      <c r="ER2" s="1382"/>
      <c r="ES2" s="1382"/>
      <c r="ET2" s="1382"/>
      <c r="EU2" s="1383"/>
    </row>
    <row r="3" spans="1:168">
      <c r="A3" s="14" t="s">
        <v>1140</v>
      </c>
      <c r="B3" s="8"/>
      <c r="C3" s="8"/>
      <c r="T3" s="2"/>
      <c r="W3" s="3">
        <v>1</v>
      </c>
      <c r="X3" s="3">
        <v>2</v>
      </c>
      <c r="Y3" s="3">
        <v>3</v>
      </c>
      <c r="Z3" s="3">
        <v>4</v>
      </c>
      <c r="AK3" s="3"/>
      <c r="AL3" s="3"/>
      <c r="AM3" s="3"/>
      <c r="AN3" s="9"/>
      <c r="AO3" s="9"/>
      <c r="AP3" s="9"/>
      <c r="AQ3" s="9"/>
      <c r="AR3" s="9"/>
      <c r="AS3" s="9"/>
      <c r="AT3" s="9"/>
      <c r="AU3" s="9"/>
      <c r="BB3" s="109" t="s">
        <v>331</v>
      </c>
      <c r="BC3" s="110" t="s">
        <v>331</v>
      </c>
      <c r="BD3" s="110" t="s">
        <v>331</v>
      </c>
      <c r="BE3" s="110" t="s">
        <v>331</v>
      </c>
      <c r="BF3" s="110" t="s">
        <v>331</v>
      </c>
      <c r="BG3" s="110" t="s">
        <v>331</v>
      </c>
      <c r="BH3" s="111" t="s">
        <v>331</v>
      </c>
      <c r="BI3" s="110" t="s">
        <v>331</v>
      </c>
      <c r="BJ3" s="110" t="s">
        <v>331</v>
      </c>
      <c r="BK3" s="110" t="s">
        <v>331</v>
      </c>
      <c r="BL3" s="110" t="s">
        <v>331</v>
      </c>
      <c r="BM3" s="110" t="s">
        <v>331</v>
      </c>
      <c r="BN3" s="110" t="s">
        <v>331</v>
      </c>
      <c r="BO3" s="282" t="s">
        <v>331</v>
      </c>
      <c r="BP3" s="109" t="s">
        <v>331</v>
      </c>
      <c r="BQ3" s="110" t="s">
        <v>331</v>
      </c>
      <c r="BR3" s="110" t="s">
        <v>331</v>
      </c>
      <c r="BS3" s="110" t="s">
        <v>331</v>
      </c>
      <c r="BT3" s="110" t="s">
        <v>331</v>
      </c>
      <c r="BU3" s="110" t="s">
        <v>331</v>
      </c>
      <c r="BV3" s="111" t="s">
        <v>331</v>
      </c>
      <c r="BW3" s="110" t="s">
        <v>331</v>
      </c>
      <c r="BX3" s="110" t="s">
        <v>331</v>
      </c>
      <c r="BY3" s="110" t="s">
        <v>331</v>
      </c>
      <c r="BZ3" s="110" t="s">
        <v>331</v>
      </c>
      <c r="CA3" s="110" t="s">
        <v>331</v>
      </c>
      <c r="CB3" s="110" t="s">
        <v>331</v>
      </c>
      <c r="CC3" s="282" t="s">
        <v>331</v>
      </c>
      <c r="CD3" s="112" t="s">
        <v>331</v>
      </c>
      <c r="CE3" s="113" t="s">
        <v>331</v>
      </c>
      <c r="CF3" s="113" t="s">
        <v>331</v>
      </c>
      <c r="CG3" s="113" t="s">
        <v>331</v>
      </c>
      <c r="CH3" s="113" t="s">
        <v>331</v>
      </c>
      <c r="CI3" s="113" t="s">
        <v>331</v>
      </c>
      <c r="CJ3" s="114" t="s">
        <v>331</v>
      </c>
      <c r="CK3" s="112" t="s">
        <v>331</v>
      </c>
      <c r="CL3" s="113" t="s">
        <v>331</v>
      </c>
      <c r="CM3" s="113" t="s">
        <v>331</v>
      </c>
      <c r="CN3" s="113" t="s">
        <v>331</v>
      </c>
      <c r="CO3" s="113" t="s">
        <v>331</v>
      </c>
      <c r="CP3" s="113" t="s">
        <v>331</v>
      </c>
      <c r="CQ3" s="114" t="s">
        <v>331</v>
      </c>
      <c r="CR3" s="113" t="s">
        <v>331</v>
      </c>
      <c r="CS3" s="113" t="s">
        <v>331</v>
      </c>
      <c r="CT3" s="113" t="s">
        <v>331</v>
      </c>
      <c r="CU3" s="113" t="s">
        <v>331</v>
      </c>
      <c r="CV3" s="113" t="s">
        <v>331</v>
      </c>
      <c r="CW3" s="113" t="s">
        <v>331</v>
      </c>
      <c r="CX3" s="283" t="s">
        <v>331</v>
      </c>
      <c r="CY3" s="109" t="s">
        <v>0</v>
      </c>
      <c r="CZ3" s="110" t="s">
        <v>0</v>
      </c>
      <c r="DA3" s="110" t="s">
        <v>0</v>
      </c>
      <c r="DB3" s="110" t="s">
        <v>0</v>
      </c>
      <c r="DC3" s="110" t="s">
        <v>0</v>
      </c>
      <c r="DD3" s="110" t="s">
        <v>0</v>
      </c>
      <c r="DE3" s="111" t="s">
        <v>0</v>
      </c>
      <c r="DF3" s="109" t="s">
        <v>0</v>
      </c>
      <c r="DG3" s="110" t="s">
        <v>0</v>
      </c>
      <c r="DH3" s="110" t="s">
        <v>0</v>
      </c>
      <c r="DI3" s="110" t="s">
        <v>0</v>
      </c>
      <c r="DJ3" s="110" t="s">
        <v>0</v>
      </c>
      <c r="DK3" s="110" t="s">
        <v>0</v>
      </c>
      <c r="DL3" s="111" t="s">
        <v>0</v>
      </c>
      <c r="DM3" s="109" t="s">
        <v>0</v>
      </c>
      <c r="DN3" s="110" t="s">
        <v>0</v>
      </c>
      <c r="DO3" s="110" t="s">
        <v>0</v>
      </c>
      <c r="DP3" s="110" t="s">
        <v>0</v>
      </c>
      <c r="DQ3" s="110" t="s">
        <v>0</v>
      </c>
      <c r="DR3" s="110" t="s">
        <v>0</v>
      </c>
      <c r="DS3" s="111" t="s">
        <v>0</v>
      </c>
      <c r="DT3" s="109" t="s">
        <v>0</v>
      </c>
      <c r="DU3" s="110" t="s">
        <v>0</v>
      </c>
      <c r="DV3" s="110" t="s">
        <v>0</v>
      </c>
      <c r="DW3" s="110" t="s">
        <v>0</v>
      </c>
      <c r="DX3" s="110" t="s">
        <v>0</v>
      </c>
      <c r="DY3" s="110" t="s">
        <v>0</v>
      </c>
      <c r="DZ3" s="111" t="s">
        <v>0</v>
      </c>
      <c r="EA3" s="116" t="s">
        <v>0</v>
      </c>
      <c r="EB3" s="116" t="s">
        <v>0</v>
      </c>
      <c r="EC3" s="116" t="s">
        <v>0</v>
      </c>
      <c r="ED3" s="116" t="s">
        <v>0</v>
      </c>
      <c r="EE3" s="116" t="s">
        <v>0</v>
      </c>
      <c r="EF3" s="116" t="s">
        <v>0</v>
      </c>
      <c r="EG3" s="284" t="s">
        <v>0</v>
      </c>
      <c r="EH3" s="115" t="s">
        <v>0</v>
      </c>
      <c r="EI3" s="116" t="s">
        <v>0</v>
      </c>
      <c r="EJ3" s="116" t="s">
        <v>0</v>
      </c>
      <c r="EK3" s="116" t="s">
        <v>0</v>
      </c>
      <c r="EL3" s="116" t="s">
        <v>0</v>
      </c>
      <c r="EM3" s="116" t="s">
        <v>0</v>
      </c>
      <c r="EN3" s="117" t="s">
        <v>0</v>
      </c>
      <c r="EO3" s="115" t="s">
        <v>0</v>
      </c>
      <c r="EP3" s="116" t="s">
        <v>0</v>
      </c>
      <c r="EQ3" s="116" t="s">
        <v>0</v>
      </c>
      <c r="ER3" s="116" t="s">
        <v>0</v>
      </c>
      <c r="ES3" s="116" t="s">
        <v>0</v>
      </c>
      <c r="ET3" s="116" t="s">
        <v>0</v>
      </c>
      <c r="EU3" s="117" t="s">
        <v>0</v>
      </c>
    </row>
    <row r="4" spans="1:168"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1375"/>
      <c r="AC4" s="1375"/>
      <c r="AD4" s="1375"/>
      <c r="AE4" s="1375"/>
      <c r="AF4" s="1375"/>
      <c r="AG4" s="1375"/>
      <c r="AH4" s="440"/>
      <c r="AI4" s="440"/>
      <c r="AJ4" s="440"/>
      <c r="AK4" s="1376" t="s">
        <v>335</v>
      </c>
      <c r="AL4" s="1377"/>
      <c r="AM4" s="1377"/>
      <c r="AN4" s="1377"/>
      <c r="AO4" s="1377"/>
      <c r="AP4" s="1377"/>
      <c r="AQ4" s="1377"/>
      <c r="AR4" s="1377"/>
      <c r="AS4" s="1377"/>
      <c r="AT4" s="1377"/>
      <c r="AU4" s="1377"/>
      <c r="AV4" s="1377"/>
      <c r="AW4" s="1377"/>
      <c r="AX4" s="1378"/>
      <c r="AY4" s="687" t="s">
        <v>336</v>
      </c>
      <c r="AZ4" s="1376" t="s">
        <v>337</v>
      </c>
      <c r="BA4" s="1377"/>
      <c r="BB4" s="688" t="s">
        <v>128</v>
      </c>
      <c r="BC4" s="476" t="s">
        <v>128</v>
      </c>
      <c r="BD4" s="476" t="s">
        <v>128</v>
      </c>
      <c r="BE4" s="476" t="s">
        <v>128</v>
      </c>
      <c r="BF4" s="476" t="s">
        <v>128</v>
      </c>
      <c r="BG4" s="476" t="s">
        <v>128</v>
      </c>
      <c r="BH4" s="689" t="s">
        <v>128</v>
      </c>
      <c r="BI4" s="476" t="s">
        <v>129</v>
      </c>
      <c r="BJ4" s="476" t="s">
        <v>129</v>
      </c>
      <c r="BK4" s="476" t="s">
        <v>129</v>
      </c>
      <c r="BL4" s="476" t="s">
        <v>129</v>
      </c>
      <c r="BM4" s="476" t="s">
        <v>129</v>
      </c>
      <c r="BN4" s="476" t="s">
        <v>129</v>
      </c>
      <c r="BO4" s="502" t="s">
        <v>129</v>
      </c>
      <c r="BP4" s="688" t="s">
        <v>130</v>
      </c>
      <c r="BQ4" s="476" t="s">
        <v>130</v>
      </c>
      <c r="BR4" s="476" t="s">
        <v>130</v>
      </c>
      <c r="BS4" s="476" t="s">
        <v>130</v>
      </c>
      <c r="BT4" s="476" t="s">
        <v>130</v>
      </c>
      <c r="BU4" s="476" t="s">
        <v>130</v>
      </c>
      <c r="BV4" s="689" t="s">
        <v>130</v>
      </c>
      <c r="BW4" s="476" t="s">
        <v>338</v>
      </c>
      <c r="BX4" s="476" t="s">
        <v>338</v>
      </c>
      <c r="BY4" s="476" t="s">
        <v>338</v>
      </c>
      <c r="BZ4" s="476" t="s">
        <v>338</v>
      </c>
      <c r="CA4" s="476" t="s">
        <v>338</v>
      </c>
      <c r="CB4" s="476" t="s">
        <v>338</v>
      </c>
      <c r="CC4" s="502" t="s">
        <v>338</v>
      </c>
      <c r="CD4" s="690" t="s">
        <v>131</v>
      </c>
      <c r="CE4" s="477" t="s">
        <v>131</v>
      </c>
      <c r="CF4" s="477" t="s">
        <v>131</v>
      </c>
      <c r="CG4" s="477" t="s">
        <v>131</v>
      </c>
      <c r="CH4" s="477" t="s">
        <v>131</v>
      </c>
      <c r="CI4" s="477" t="s">
        <v>131</v>
      </c>
      <c r="CJ4" s="691" t="s">
        <v>131</v>
      </c>
      <c r="CK4" s="690" t="s">
        <v>132</v>
      </c>
      <c r="CL4" s="477" t="s">
        <v>132</v>
      </c>
      <c r="CM4" s="477" t="s">
        <v>132</v>
      </c>
      <c r="CN4" s="477" t="s">
        <v>132</v>
      </c>
      <c r="CO4" s="477" t="s">
        <v>132</v>
      </c>
      <c r="CP4" s="477" t="s">
        <v>132</v>
      </c>
      <c r="CQ4" s="691" t="s">
        <v>132</v>
      </c>
      <c r="CR4" s="477" t="s">
        <v>133</v>
      </c>
      <c r="CS4" s="477" t="s">
        <v>133</v>
      </c>
      <c r="CT4" s="477" t="s">
        <v>133</v>
      </c>
      <c r="CU4" s="477" t="s">
        <v>133</v>
      </c>
      <c r="CV4" s="477" t="s">
        <v>133</v>
      </c>
      <c r="CW4" s="477" t="s">
        <v>133</v>
      </c>
      <c r="CX4" s="512" t="s">
        <v>133</v>
      </c>
      <c r="CY4" s="688" t="s">
        <v>128</v>
      </c>
      <c r="CZ4" s="476" t="s">
        <v>128</v>
      </c>
      <c r="DA4" s="476" t="s">
        <v>128</v>
      </c>
      <c r="DB4" s="476" t="s">
        <v>128</v>
      </c>
      <c r="DC4" s="476" t="s">
        <v>128</v>
      </c>
      <c r="DD4" s="476" t="s">
        <v>128</v>
      </c>
      <c r="DE4" s="689" t="s">
        <v>128</v>
      </c>
      <c r="DF4" s="688" t="s">
        <v>129</v>
      </c>
      <c r="DG4" s="476" t="s">
        <v>129</v>
      </c>
      <c r="DH4" s="476" t="s">
        <v>129</v>
      </c>
      <c r="DI4" s="476" t="s">
        <v>129</v>
      </c>
      <c r="DJ4" s="476" t="s">
        <v>129</v>
      </c>
      <c r="DK4" s="476" t="s">
        <v>129</v>
      </c>
      <c r="DL4" s="689" t="s">
        <v>129</v>
      </c>
      <c r="DM4" s="688" t="s">
        <v>130</v>
      </c>
      <c r="DN4" s="476" t="s">
        <v>130</v>
      </c>
      <c r="DO4" s="476" t="s">
        <v>130</v>
      </c>
      <c r="DP4" s="476" t="s">
        <v>130</v>
      </c>
      <c r="DQ4" s="476" t="s">
        <v>130</v>
      </c>
      <c r="DR4" s="476" t="s">
        <v>130</v>
      </c>
      <c r="DS4" s="689" t="s">
        <v>130</v>
      </c>
      <c r="DT4" s="688" t="s">
        <v>165</v>
      </c>
      <c r="DU4" s="476" t="s">
        <v>165</v>
      </c>
      <c r="DV4" s="476" t="s">
        <v>165</v>
      </c>
      <c r="DW4" s="476" t="s">
        <v>165</v>
      </c>
      <c r="DX4" s="476" t="s">
        <v>165</v>
      </c>
      <c r="DY4" s="476" t="s">
        <v>165</v>
      </c>
      <c r="DZ4" s="689" t="s">
        <v>165</v>
      </c>
      <c r="EA4" s="477" t="s">
        <v>131</v>
      </c>
      <c r="EB4" s="477" t="s">
        <v>131</v>
      </c>
      <c r="EC4" s="477" t="s">
        <v>131</v>
      </c>
      <c r="ED4" s="477" t="s">
        <v>131</v>
      </c>
      <c r="EE4" s="477" t="s">
        <v>131</v>
      </c>
      <c r="EF4" s="477" t="s">
        <v>131</v>
      </c>
      <c r="EG4" s="512" t="s">
        <v>131</v>
      </c>
      <c r="EH4" s="690" t="s">
        <v>132</v>
      </c>
      <c r="EI4" s="477" t="s">
        <v>132</v>
      </c>
      <c r="EJ4" s="477" t="s">
        <v>132</v>
      </c>
      <c r="EK4" s="477" t="s">
        <v>132</v>
      </c>
      <c r="EL4" s="477" t="s">
        <v>132</v>
      </c>
      <c r="EM4" s="477" t="s">
        <v>132</v>
      </c>
      <c r="EN4" s="691" t="s">
        <v>132</v>
      </c>
      <c r="EO4" s="690" t="s">
        <v>133</v>
      </c>
      <c r="EP4" s="477" t="s">
        <v>133</v>
      </c>
      <c r="EQ4" s="477" t="s">
        <v>133</v>
      </c>
      <c r="ER4" s="477" t="s">
        <v>133</v>
      </c>
      <c r="ES4" s="477" t="s">
        <v>133</v>
      </c>
      <c r="ET4" s="477" t="s">
        <v>133</v>
      </c>
      <c r="EU4" s="691" t="s">
        <v>133</v>
      </c>
      <c r="EV4" s="1345" t="s">
        <v>134</v>
      </c>
      <c r="EW4" s="1342"/>
      <c r="EX4" s="1342"/>
      <c r="EY4" s="1342"/>
      <c r="EZ4" s="1342"/>
      <c r="FA4" s="1342"/>
      <c r="FB4" s="1342"/>
      <c r="FC4" s="1342"/>
    </row>
    <row r="5" spans="1:168"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4">
        <v>2017</v>
      </c>
      <c r="X5" s="694">
        <v>2018</v>
      </c>
      <c r="Y5" s="694">
        <v>2019</v>
      </c>
      <c r="Z5" s="694">
        <v>2020</v>
      </c>
      <c r="AA5" s="694" t="s">
        <v>356</v>
      </c>
      <c r="AB5" s="694" t="s">
        <v>357</v>
      </c>
      <c r="AC5" s="694" t="s">
        <v>390</v>
      </c>
      <c r="AD5" s="695" t="s">
        <v>15</v>
      </c>
      <c r="AE5" s="695" t="s">
        <v>16</v>
      </c>
      <c r="AF5" s="695" t="s">
        <v>17</v>
      </c>
      <c r="AG5" s="695" t="s">
        <v>18</v>
      </c>
      <c r="AH5" s="695" t="s">
        <v>19</v>
      </c>
      <c r="AI5" s="695" t="s">
        <v>20</v>
      </c>
      <c r="AJ5" s="695" t="s">
        <v>21</v>
      </c>
      <c r="AK5" s="697" t="s">
        <v>359</v>
      </c>
      <c r="AL5" s="697" t="s">
        <v>166</v>
      </c>
      <c r="AM5" s="697" t="s">
        <v>360</v>
      </c>
      <c r="AN5" s="697" t="s">
        <v>361</v>
      </c>
      <c r="AO5" s="697" t="s">
        <v>362</v>
      </c>
      <c r="AP5" s="697" t="s">
        <v>363</v>
      </c>
      <c r="AQ5" s="697" t="s">
        <v>364</v>
      </c>
      <c r="AR5" s="697" t="s">
        <v>365</v>
      </c>
      <c r="AS5" s="698" t="s">
        <v>167</v>
      </c>
      <c r="AT5" s="698" t="s">
        <v>168</v>
      </c>
      <c r="AU5" s="698" t="s">
        <v>169</v>
      </c>
      <c r="AV5" s="697" t="s">
        <v>170</v>
      </c>
      <c r="AW5" s="697" t="s">
        <v>366</v>
      </c>
      <c r="AX5" s="699" t="s">
        <v>367</v>
      </c>
      <c r="AY5" s="699" t="s">
        <v>368</v>
      </c>
      <c r="AZ5" s="699" t="s">
        <v>369</v>
      </c>
      <c r="BA5" s="699" t="s">
        <v>370</v>
      </c>
      <c r="BB5" s="700">
        <v>2024</v>
      </c>
      <c r="BC5" s="486">
        <v>2025</v>
      </c>
      <c r="BD5" s="486">
        <v>2026</v>
      </c>
      <c r="BE5" s="486">
        <v>2027</v>
      </c>
      <c r="BF5" s="486">
        <v>2028</v>
      </c>
      <c r="BG5" s="486">
        <v>2029</v>
      </c>
      <c r="BH5" s="910">
        <v>2030</v>
      </c>
      <c r="BI5" s="486">
        <v>2024</v>
      </c>
      <c r="BJ5" s="486">
        <v>2025</v>
      </c>
      <c r="BK5" s="486">
        <v>2026</v>
      </c>
      <c r="BL5" s="486">
        <v>2027</v>
      </c>
      <c r="BM5" s="486">
        <v>2028</v>
      </c>
      <c r="BN5" s="486">
        <v>2029</v>
      </c>
      <c r="BO5" s="479">
        <v>2030</v>
      </c>
      <c r="BP5" s="700">
        <v>2024</v>
      </c>
      <c r="BQ5" s="486">
        <v>2025</v>
      </c>
      <c r="BR5" s="486">
        <v>2026</v>
      </c>
      <c r="BS5" s="486">
        <v>2027</v>
      </c>
      <c r="BT5" s="486">
        <v>2028</v>
      </c>
      <c r="BU5" s="486">
        <v>2029</v>
      </c>
      <c r="BV5" s="910">
        <v>2030</v>
      </c>
      <c r="BW5" s="486">
        <v>2024</v>
      </c>
      <c r="BX5" s="486">
        <v>2025</v>
      </c>
      <c r="BY5" s="486">
        <v>2026</v>
      </c>
      <c r="BZ5" s="486">
        <v>2027</v>
      </c>
      <c r="CA5" s="486">
        <v>2028</v>
      </c>
      <c r="CB5" s="486">
        <v>2029</v>
      </c>
      <c r="CC5" s="479">
        <v>2030</v>
      </c>
      <c r="CD5" s="700">
        <v>2024</v>
      </c>
      <c r="CE5" s="486">
        <v>2025</v>
      </c>
      <c r="CF5" s="486">
        <v>2026</v>
      </c>
      <c r="CG5" s="486">
        <v>2027</v>
      </c>
      <c r="CH5" s="486">
        <v>2028</v>
      </c>
      <c r="CI5" s="486">
        <v>2029</v>
      </c>
      <c r="CJ5" s="910">
        <v>2030</v>
      </c>
      <c r="CK5" s="700">
        <v>2024</v>
      </c>
      <c r="CL5" s="486">
        <v>2025</v>
      </c>
      <c r="CM5" s="486">
        <v>2026</v>
      </c>
      <c r="CN5" s="486">
        <v>2027</v>
      </c>
      <c r="CO5" s="486">
        <v>2028</v>
      </c>
      <c r="CP5" s="486">
        <v>2029</v>
      </c>
      <c r="CQ5" s="910">
        <v>2030</v>
      </c>
      <c r="CR5" s="486">
        <v>2024</v>
      </c>
      <c r="CS5" s="486">
        <v>2025</v>
      </c>
      <c r="CT5" s="486">
        <v>2026</v>
      </c>
      <c r="CU5" s="486">
        <v>2027</v>
      </c>
      <c r="CV5" s="486">
        <v>2028</v>
      </c>
      <c r="CW5" s="486">
        <v>2029</v>
      </c>
      <c r="CX5" s="479">
        <v>2030</v>
      </c>
      <c r="CY5" s="700">
        <v>2024</v>
      </c>
      <c r="CZ5" s="486">
        <v>2025</v>
      </c>
      <c r="DA5" s="486">
        <v>2026</v>
      </c>
      <c r="DB5" s="486">
        <v>2027</v>
      </c>
      <c r="DC5" s="486">
        <v>2028</v>
      </c>
      <c r="DD5" s="486">
        <v>2029</v>
      </c>
      <c r="DE5" s="910">
        <v>2030</v>
      </c>
      <c r="DF5" s="700">
        <v>2024</v>
      </c>
      <c r="DG5" s="486">
        <v>2025</v>
      </c>
      <c r="DH5" s="486">
        <v>2026</v>
      </c>
      <c r="DI5" s="486">
        <v>2027</v>
      </c>
      <c r="DJ5" s="486">
        <v>2028</v>
      </c>
      <c r="DK5" s="486">
        <v>2029</v>
      </c>
      <c r="DL5" s="910">
        <v>2030</v>
      </c>
      <c r="DM5" s="700">
        <v>2024</v>
      </c>
      <c r="DN5" s="486">
        <v>2025</v>
      </c>
      <c r="DO5" s="486">
        <v>2026</v>
      </c>
      <c r="DP5" s="486">
        <v>2027</v>
      </c>
      <c r="DQ5" s="486">
        <v>2028</v>
      </c>
      <c r="DR5" s="486">
        <v>2029</v>
      </c>
      <c r="DS5" s="910">
        <v>2030</v>
      </c>
      <c r="DT5" s="700">
        <v>2024</v>
      </c>
      <c r="DU5" s="486">
        <v>2025</v>
      </c>
      <c r="DV5" s="486">
        <v>2026</v>
      </c>
      <c r="DW5" s="486">
        <v>2027</v>
      </c>
      <c r="DX5" s="486">
        <v>2028</v>
      </c>
      <c r="DY5" s="486">
        <v>2029</v>
      </c>
      <c r="DZ5" s="910">
        <v>2030</v>
      </c>
      <c r="EA5" s="486">
        <v>2024</v>
      </c>
      <c r="EB5" s="486">
        <v>2025</v>
      </c>
      <c r="EC5" s="486">
        <v>2026</v>
      </c>
      <c r="ED5" s="486">
        <v>2027</v>
      </c>
      <c r="EE5" s="486">
        <v>2028</v>
      </c>
      <c r="EF5" s="486">
        <v>2029</v>
      </c>
      <c r="EG5" s="479">
        <v>2030</v>
      </c>
      <c r="EH5" s="700">
        <v>2024</v>
      </c>
      <c r="EI5" s="486">
        <v>2025</v>
      </c>
      <c r="EJ5" s="486">
        <v>2026</v>
      </c>
      <c r="EK5" s="486">
        <v>2027</v>
      </c>
      <c r="EL5" s="486">
        <v>2028</v>
      </c>
      <c r="EM5" s="486">
        <v>2029</v>
      </c>
      <c r="EN5" s="910">
        <v>2030</v>
      </c>
      <c r="EO5" s="700">
        <v>2024</v>
      </c>
      <c r="EP5" s="486">
        <v>2025</v>
      </c>
      <c r="EQ5" s="486">
        <v>2026</v>
      </c>
      <c r="ER5" s="486">
        <v>2027</v>
      </c>
      <c r="ES5" s="486">
        <v>2028</v>
      </c>
      <c r="ET5" s="486">
        <v>2029</v>
      </c>
      <c r="EU5" s="910">
        <v>2030</v>
      </c>
      <c r="EV5" s="514" t="s">
        <v>9</v>
      </c>
      <c r="EW5" s="659" t="s">
        <v>139</v>
      </c>
      <c r="EX5" s="659" t="s">
        <v>140</v>
      </c>
      <c r="EY5" s="659" t="s">
        <v>141</v>
      </c>
      <c r="EZ5" s="659" t="s">
        <v>142</v>
      </c>
      <c r="FA5" s="659" t="s">
        <v>12</v>
      </c>
      <c r="FB5" s="659" t="s">
        <v>13</v>
      </c>
      <c r="FC5" s="659" t="s">
        <v>14</v>
      </c>
    </row>
    <row r="6" spans="1:168" s="10" customFormat="1" ht="12.75" customHeight="1">
      <c r="A6" s="662">
        <v>1</v>
      </c>
      <c r="B6" s="703" t="s">
        <v>1317</v>
      </c>
      <c r="C6" s="703" t="s">
        <v>1318</v>
      </c>
      <c r="D6" s="703" t="s">
        <v>1319</v>
      </c>
      <c r="E6" s="703" t="s">
        <v>331</v>
      </c>
      <c r="F6" s="704" t="s">
        <v>402</v>
      </c>
      <c r="G6" s="881">
        <v>67.125</v>
      </c>
      <c r="H6" s="707">
        <v>0</v>
      </c>
      <c r="I6" s="779">
        <v>67.125</v>
      </c>
      <c r="J6" s="707">
        <v>0</v>
      </c>
      <c r="K6" s="779">
        <v>33.5625</v>
      </c>
      <c r="L6" s="1085" t="s">
        <v>1320</v>
      </c>
      <c r="M6" s="707">
        <v>10</v>
      </c>
      <c r="N6" s="708">
        <v>10</v>
      </c>
      <c r="O6" s="707">
        <v>0</v>
      </c>
      <c r="P6" s="708">
        <v>0</v>
      </c>
      <c r="Q6" s="1086">
        <f>((70.8-37)/1000)*3379*1.08*0.929</f>
        <v>114.589377864</v>
      </c>
      <c r="R6" s="1087">
        <f>((70.8-37)/1000)*0.929*1.3*0.67</f>
        <v>2.7349574200000001E-2</v>
      </c>
      <c r="S6" s="1088">
        <f>((70.8-37)/1000)*0.929*3379*-(0.015)</f>
        <v>-1.5915191369999997</v>
      </c>
      <c r="T6" s="1089" t="s">
        <v>1321</v>
      </c>
      <c r="U6" s="712">
        <v>0.2</v>
      </c>
      <c r="V6" s="713">
        <v>1</v>
      </c>
      <c r="W6" s="661"/>
      <c r="X6" s="661"/>
      <c r="Y6" s="661"/>
      <c r="Z6" s="661"/>
      <c r="AA6" s="714"/>
      <c r="AB6" s="714"/>
      <c r="AC6" s="714"/>
      <c r="AD6" s="1034">
        <v>0</v>
      </c>
      <c r="AE6" s="1034">
        <v>0</v>
      </c>
      <c r="AF6" s="1034">
        <f>('Business Rebates'!AE50*0.8)*(1+U$6)</f>
        <v>0.96</v>
      </c>
      <c r="AG6" s="1034">
        <f>(AF6+'Business Rebates'!AF50)*(1+$U6)</f>
        <v>1.3919999999999999</v>
      </c>
      <c r="AH6" s="1034">
        <f>AG6</f>
        <v>1.3919999999999999</v>
      </c>
      <c r="AI6" s="1034">
        <f>AH6*0.8</f>
        <v>1.1135999999999999</v>
      </c>
      <c r="AJ6" s="1034">
        <f t="shared" ref="AJ6:AJ14" si="2">AI6*0.8</f>
        <v>0.89088000000000001</v>
      </c>
      <c r="AK6" s="711" t="s">
        <v>384</v>
      </c>
      <c r="AL6" s="711" t="s">
        <v>742</v>
      </c>
      <c r="AM6" s="711" t="s">
        <v>1186</v>
      </c>
      <c r="AN6" s="711" t="s">
        <v>1152</v>
      </c>
      <c r="AO6" s="711" t="s">
        <v>1</v>
      </c>
      <c r="AP6" s="711"/>
      <c r="AQ6" s="711"/>
      <c r="AR6" s="711"/>
      <c r="AS6" s="715" t="s">
        <v>1153</v>
      </c>
      <c r="AT6" s="711" t="s">
        <v>1147</v>
      </c>
      <c r="AU6" s="715" t="s">
        <v>746</v>
      </c>
      <c r="AV6" s="661">
        <v>20</v>
      </c>
      <c r="AW6" s="661">
        <v>15</v>
      </c>
      <c r="AX6" s="711" t="s">
        <v>1483</v>
      </c>
      <c r="AY6" s="716">
        <v>1</v>
      </c>
      <c r="AZ6" s="716">
        <v>1</v>
      </c>
      <c r="BA6" s="717">
        <v>0</v>
      </c>
      <c r="BB6" s="774">
        <f>I6</f>
        <v>67.125</v>
      </c>
      <c r="BC6" s="503">
        <f t="shared" ref="BC6:BD14" si="3">BB6</f>
        <v>67.125</v>
      </c>
      <c r="BD6" s="503">
        <f t="shared" si="3"/>
        <v>67.125</v>
      </c>
      <c r="BE6" s="503">
        <f t="shared" ref="BE6:BH14" si="4">BB6</f>
        <v>67.125</v>
      </c>
      <c r="BF6" s="503">
        <f t="shared" si="4"/>
        <v>67.125</v>
      </c>
      <c r="BG6" s="503">
        <f t="shared" si="4"/>
        <v>67.125</v>
      </c>
      <c r="BH6" s="776">
        <f t="shared" si="4"/>
        <v>67.125</v>
      </c>
      <c r="BI6" s="503">
        <f>J6</f>
        <v>0</v>
      </c>
      <c r="BJ6" s="503">
        <f t="shared" ref="BJ6:BL14" si="5">BI6</f>
        <v>0</v>
      </c>
      <c r="BK6" s="503">
        <f t="shared" si="5"/>
        <v>0</v>
      </c>
      <c r="BL6" s="503">
        <f>BK6</f>
        <v>0</v>
      </c>
      <c r="BM6" s="503">
        <f t="shared" ref="BM6:BO14" si="6">BL6</f>
        <v>0</v>
      </c>
      <c r="BN6" s="503">
        <f>BM6</f>
        <v>0</v>
      </c>
      <c r="BO6" s="645">
        <f>BN6</f>
        <v>0</v>
      </c>
      <c r="BP6" s="774">
        <f t="shared" ref="BP6:BP14" si="7">N6+O6</f>
        <v>10</v>
      </c>
      <c r="BQ6" s="503">
        <f t="shared" ref="BQ6:BS14" si="8">BP6</f>
        <v>10</v>
      </c>
      <c r="BR6" s="503">
        <f t="shared" si="8"/>
        <v>10</v>
      </c>
      <c r="BS6" s="503">
        <f>BR6</f>
        <v>10</v>
      </c>
      <c r="BT6" s="503">
        <f t="shared" ref="BT6:BV14" si="9">BS6</f>
        <v>10</v>
      </c>
      <c r="BU6" s="503">
        <f t="shared" si="9"/>
        <v>10</v>
      </c>
      <c r="BV6" s="776">
        <f t="shared" si="9"/>
        <v>10</v>
      </c>
      <c r="BW6" s="836">
        <f>$P6</f>
        <v>0</v>
      </c>
      <c r="BX6" s="503">
        <f t="shared" ref="BW6:CC26" si="10">$P6</f>
        <v>0</v>
      </c>
      <c r="BY6" s="503">
        <f t="shared" si="10"/>
        <v>0</v>
      </c>
      <c r="BZ6" s="503">
        <f t="shared" si="10"/>
        <v>0</v>
      </c>
      <c r="CA6" s="503">
        <f t="shared" si="10"/>
        <v>0</v>
      </c>
      <c r="CB6" s="503">
        <f t="shared" si="10"/>
        <v>0</v>
      </c>
      <c r="CC6" s="645">
        <f t="shared" si="10"/>
        <v>0</v>
      </c>
      <c r="CD6" s="722">
        <f>Q6*AZ6</f>
        <v>114.589377864</v>
      </c>
      <c r="CE6" s="511">
        <f t="shared" ref="CE6:CG14" si="11">CD6</f>
        <v>114.589377864</v>
      </c>
      <c r="CF6" s="511">
        <f t="shared" si="11"/>
        <v>114.589377864</v>
      </c>
      <c r="CG6" s="511">
        <f>CF6</f>
        <v>114.589377864</v>
      </c>
      <c r="CH6" s="511">
        <f t="shared" ref="CH6:CJ14" si="12">CG6</f>
        <v>114.589377864</v>
      </c>
      <c r="CI6" s="511">
        <f t="shared" si="12"/>
        <v>114.589377864</v>
      </c>
      <c r="CJ6" s="723">
        <f t="shared" si="12"/>
        <v>114.589377864</v>
      </c>
      <c r="CK6" s="722">
        <f t="shared" ref="CK6:CK14" si="13">R6*AZ6</f>
        <v>2.7349574200000001E-2</v>
      </c>
      <c r="CL6" s="511">
        <f t="shared" ref="CL6:CN14" si="14">CK6</f>
        <v>2.7349574200000001E-2</v>
      </c>
      <c r="CM6" s="511">
        <f t="shared" si="14"/>
        <v>2.7349574200000001E-2</v>
      </c>
      <c r="CN6" s="511">
        <f>CM6</f>
        <v>2.7349574200000001E-2</v>
      </c>
      <c r="CO6" s="511">
        <f t="shared" ref="CO6:CQ14" si="15">CN6</f>
        <v>2.7349574200000001E-2</v>
      </c>
      <c r="CP6" s="511">
        <f t="shared" si="15"/>
        <v>2.7349574200000001E-2</v>
      </c>
      <c r="CQ6" s="723">
        <f t="shared" si="15"/>
        <v>2.7349574200000001E-2</v>
      </c>
      <c r="CR6" s="511">
        <f t="shared" ref="CR6:CR14" si="16">S6*BA6</f>
        <v>0</v>
      </c>
      <c r="CS6" s="511">
        <f t="shared" ref="CS6:CU14" si="17">CR6</f>
        <v>0</v>
      </c>
      <c r="CT6" s="511">
        <f t="shared" si="17"/>
        <v>0</v>
      </c>
      <c r="CU6" s="511">
        <f>CT6</f>
        <v>0</v>
      </c>
      <c r="CV6" s="511">
        <f t="shared" ref="CV6:CX14" si="18">CU6</f>
        <v>0</v>
      </c>
      <c r="CW6" s="511">
        <f t="shared" si="18"/>
        <v>0</v>
      </c>
      <c r="CX6" s="539">
        <f t="shared" si="18"/>
        <v>0</v>
      </c>
      <c r="CY6" s="774">
        <f t="shared" ref="CY6:DE6" si="19">AD6*BB6</f>
        <v>0</v>
      </c>
      <c r="CZ6" s="503">
        <f t="shared" si="19"/>
        <v>0</v>
      </c>
      <c r="DA6" s="503">
        <f t="shared" si="19"/>
        <v>64.44</v>
      </c>
      <c r="DB6" s="503">
        <f t="shared" si="19"/>
        <v>93.437999999999988</v>
      </c>
      <c r="DC6" s="503">
        <f t="shared" si="19"/>
        <v>93.437999999999988</v>
      </c>
      <c r="DD6" s="503">
        <f t="shared" si="19"/>
        <v>74.750399999999999</v>
      </c>
      <c r="DE6" s="776">
        <f t="shared" si="19"/>
        <v>59.800319999999999</v>
      </c>
      <c r="DF6" s="774">
        <f>AD6*BI6</f>
        <v>0</v>
      </c>
      <c r="DG6" s="503">
        <f t="shared" ref="DG6:DL6" si="20">AE6*BJ6</f>
        <v>0</v>
      </c>
      <c r="DH6" s="503">
        <f t="shared" si="20"/>
        <v>0</v>
      </c>
      <c r="DI6" s="503">
        <f t="shared" si="20"/>
        <v>0</v>
      </c>
      <c r="DJ6" s="503">
        <f t="shared" si="20"/>
        <v>0</v>
      </c>
      <c r="DK6" s="503">
        <f t="shared" si="20"/>
        <v>0</v>
      </c>
      <c r="DL6" s="776">
        <f t="shared" si="20"/>
        <v>0</v>
      </c>
      <c r="DM6" s="774">
        <f t="shared" ref="DM6:DS6" si="21">AD6*BP6</f>
        <v>0</v>
      </c>
      <c r="DN6" s="503">
        <f t="shared" si="21"/>
        <v>0</v>
      </c>
      <c r="DO6" s="503">
        <f t="shared" si="21"/>
        <v>9.6</v>
      </c>
      <c r="DP6" s="503">
        <f t="shared" si="21"/>
        <v>13.919999999999998</v>
      </c>
      <c r="DQ6" s="503">
        <f t="shared" si="21"/>
        <v>13.919999999999998</v>
      </c>
      <c r="DR6" s="503">
        <f t="shared" si="21"/>
        <v>11.135999999999999</v>
      </c>
      <c r="DS6" s="776">
        <f t="shared" si="21"/>
        <v>8.9087999999999994</v>
      </c>
      <c r="DT6" s="774">
        <f t="shared" ref="DT6:DZ6" si="22">BW6*AD6</f>
        <v>0</v>
      </c>
      <c r="DU6" s="503">
        <f t="shared" si="22"/>
        <v>0</v>
      </c>
      <c r="DV6" s="503">
        <f t="shared" si="22"/>
        <v>0</v>
      </c>
      <c r="DW6" s="503">
        <f t="shared" si="22"/>
        <v>0</v>
      </c>
      <c r="DX6" s="503">
        <f t="shared" si="22"/>
        <v>0</v>
      </c>
      <c r="DY6" s="503">
        <f t="shared" si="22"/>
        <v>0</v>
      </c>
      <c r="DZ6" s="776">
        <f t="shared" si="22"/>
        <v>0</v>
      </c>
      <c r="EA6" s="511">
        <f t="shared" ref="EA6:EG6" si="23">AD6*CD6</f>
        <v>0</v>
      </c>
      <c r="EB6" s="511">
        <f t="shared" si="23"/>
        <v>0</v>
      </c>
      <c r="EC6" s="511">
        <f t="shared" si="23"/>
        <v>110.00580274943999</v>
      </c>
      <c r="ED6" s="511">
        <f t="shared" si="23"/>
        <v>159.508413986688</v>
      </c>
      <c r="EE6" s="511">
        <f t="shared" si="23"/>
        <v>159.508413986688</v>
      </c>
      <c r="EF6" s="511">
        <f t="shared" si="23"/>
        <v>127.60673118935038</v>
      </c>
      <c r="EG6" s="539">
        <f t="shared" si="23"/>
        <v>102.08538495148032</v>
      </c>
      <c r="EH6" s="722">
        <f t="shared" ref="EH6:EN6" si="24">AD6*CK6</f>
        <v>0</v>
      </c>
      <c r="EI6" s="511">
        <f t="shared" si="24"/>
        <v>0</v>
      </c>
      <c r="EJ6" s="511">
        <f t="shared" si="24"/>
        <v>2.6255591232000001E-2</v>
      </c>
      <c r="EK6" s="511">
        <f t="shared" si="24"/>
        <v>3.80706072864E-2</v>
      </c>
      <c r="EL6" s="511">
        <f t="shared" si="24"/>
        <v>3.80706072864E-2</v>
      </c>
      <c r="EM6" s="511">
        <f t="shared" si="24"/>
        <v>3.045648582912E-2</v>
      </c>
      <c r="EN6" s="723">
        <f t="shared" si="24"/>
        <v>2.4365188663296001E-2</v>
      </c>
      <c r="EO6" s="722">
        <f t="shared" ref="EO6:EU6" si="25">AD6*CR6</f>
        <v>0</v>
      </c>
      <c r="EP6" s="511">
        <f t="shared" si="25"/>
        <v>0</v>
      </c>
      <c r="EQ6" s="511">
        <f t="shared" si="25"/>
        <v>0</v>
      </c>
      <c r="ER6" s="511">
        <f t="shared" si="25"/>
        <v>0</v>
      </c>
      <c r="ES6" s="511">
        <f t="shared" si="25"/>
        <v>0</v>
      </c>
      <c r="ET6" s="511">
        <f t="shared" si="25"/>
        <v>0</v>
      </c>
      <c r="EU6" s="723">
        <f t="shared" si="25"/>
        <v>0</v>
      </c>
      <c r="EV6" s="722">
        <f>SUM(AD6:AJ6)</f>
        <v>5.7484799999999998</v>
      </c>
      <c r="EW6" s="503">
        <f>SUM(CY6:DE6)</f>
        <v>385.86671999999999</v>
      </c>
      <c r="EX6" s="503">
        <f>SUM(DF6:DL6)</f>
        <v>0</v>
      </c>
      <c r="EY6" s="503">
        <f>SUM(DM6:DS6)</f>
        <v>57.484799999999993</v>
      </c>
      <c r="EZ6" s="503">
        <f>SUM(DT6:DZ6)</f>
        <v>0</v>
      </c>
      <c r="FA6" s="511">
        <f>SUM(EA6:EG6)</f>
        <v>658.71474686364672</v>
      </c>
      <c r="FB6" s="511">
        <f>SUM(EH6:EN6)</f>
        <v>0.15721848029721602</v>
      </c>
      <c r="FC6" s="511">
        <f>SUM(EO6:EU6)</f>
        <v>0</v>
      </c>
      <c r="FE6" s="10" t="b">
        <f t="shared" ref="FE6:FL6" si="26">EV6=SUM(EV16,EV26)</f>
        <v>1</v>
      </c>
      <c r="FF6" s="10" t="b">
        <f t="shared" si="26"/>
        <v>1</v>
      </c>
      <c r="FG6" s="10" t="b">
        <f t="shared" si="26"/>
        <v>1</v>
      </c>
      <c r="FH6" s="10" t="b">
        <f t="shared" si="26"/>
        <v>1</v>
      </c>
      <c r="FI6" s="10" t="b">
        <f t="shared" si="26"/>
        <v>1</v>
      </c>
      <c r="FJ6" s="10" t="b">
        <f t="shared" si="26"/>
        <v>1</v>
      </c>
      <c r="FK6" s="10" t="b">
        <f t="shared" si="26"/>
        <v>1</v>
      </c>
      <c r="FL6" s="10" t="b">
        <f t="shared" si="26"/>
        <v>1</v>
      </c>
    </row>
    <row r="7" spans="1:168" s="10" customFormat="1" ht="12.75" customHeight="1">
      <c r="A7" s="662">
        <v>2</v>
      </c>
      <c r="B7" s="703" t="s">
        <v>1322</v>
      </c>
      <c r="C7" s="703" t="s">
        <v>1318</v>
      </c>
      <c r="D7" s="703" t="s">
        <v>1323</v>
      </c>
      <c r="E7" s="703" t="s">
        <v>331</v>
      </c>
      <c r="F7" s="704" t="s">
        <v>402</v>
      </c>
      <c r="G7" s="1090">
        <v>326.08199999999999</v>
      </c>
      <c r="H7" s="707">
        <v>0</v>
      </c>
      <c r="I7" s="779">
        <v>326.08199999999999</v>
      </c>
      <c r="J7" s="707">
        <v>-2.17</v>
      </c>
      <c r="K7" s="779">
        <v>163.041</v>
      </c>
      <c r="L7" s="1085" t="s">
        <v>1324</v>
      </c>
      <c r="M7" s="707">
        <v>25</v>
      </c>
      <c r="N7" s="708">
        <v>25</v>
      </c>
      <c r="O7" s="707">
        <v>0</v>
      </c>
      <c r="P7" s="708">
        <v>0</v>
      </c>
      <c r="Q7" s="1086">
        <f>((737-235.6)/1000)*4212*1*1</f>
        <v>2111.8968</v>
      </c>
      <c r="R7" s="1087">
        <f>((737-235.6)/1000)*1*1*0.65</f>
        <v>0.32590999999999998</v>
      </c>
      <c r="S7" s="1088">
        <f>(-Q7/1)*0.00073*10</f>
        <v>-15.416846639999999</v>
      </c>
      <c r="T7" s="1089" t="s">
        <v>1325</v>
      </c>
      <c r="U7" s="712">
        <v>0.2</v>
      </c>
      <c r="V7" s="713">
        <v>1</v>
      </c>
      <c r="W7" s="661"/>
      <c r="X7" s="661"/>
      <c r="Y7" s="661"/>
      <c r="Z7" s="661"/>
      <c r="AA7" s="714"/>
      <c r="AB7" s="714"/>
      <c r="AC7" s="714"/>
      <c r="AD7" s="1034">
        <v>0</v>
      </c>
      <c r="AE7" s="1034">
        <v>0</v>
      </c>
      <c r="AF7" s="1034">
        <f>('Business Rebates'!AE51*0.8)*(1+U$6)</f>
        <v>0</v>
      </c>
      <c r="AG7" s="1034">
        <f>(AF7+'Business Rebates'!AF51)*(1+$U7)</f>
        <v>0</v>
      </c>
      <c r="AH7" s="1034">
        <f t="shared" ref="AH7" si="27">AG7</f>
        <v>0</v>
      </c>
      <c r="AI7" s="1034">
        <f t="shared" ref="AI7" si="28">AH7*0.8</f>
        <v>0</v>
      </c>
      <c r="AJ7" s="1034">
        <f t="shared" si="2"/>
        <v>0</v>
      </c>
      <c r="AK7" s="711" t="s">
        <v>384</v>
      </c>
      <c r="AL7" s="711" t="s">
        <v>742</v>
      </c>
      <c r="AM7" s="711" t="s">
        <v>1186</v>
      </c>
      <c r="AN7" s="711" t="s">
        <v>1152</v>
      </c>
      <c r="AO7" s="711" t="s">
        <v>1</v>
      </c>
      <c r="AP7" s="711"/>
      <c r="AQ7" s="711"/>
      <c r="AR7" s="711"/>
      <c r="AS7" s="715" t="s">
        <v>1153</v>
      </c>
      <c r="AT7" s="711" t="s">
        <v>1147</v>
      </c>
      <c r="AU7" s="715" t="s">
        <v>746</v>
      </c>
      <c r="AV7" s="661">
        <v>20</v>
      </c>
      <c r="AW7" s="661">
        <v>15</v>
      </c>
      <c r="AX7" s="711" t="s">
        <v>1484</v>
      </c>
      <c r="AY7" s="716">
        <v>1</v>
      </c>
      <c r="AZ7" s="716">
        <v>1</v>
      </c>
      <c r="BA7" s="717">
        <v>0</v>
      </c>
      <c r="BB7" s="774">
        <f t="shared" ref="BB7:BB14" si="29">I7</f>
        <v>326.08199999999999</v>
      </c>
      <c r="BC7" s="503">
        <f t="shared" si="3"/>
        <v>326.08199999999999</v>
      </c>
      <c r="BD7" s="503">
        <f t="shared" si="3"/>
        <v>326.08199999999999</v>
      </c>
      <c r="BE7" s="503">
        <f t="shared" si="4"/>
        <v>326.08199999999999</v>
      </c>
      <c r="BF7" s="503">
        <f t="shared" si="4"/>
        <v>326.08199999999999</v>
      </c>
      <c r="BG7" s="503">
        <f t="shared" si="4"/>
        <v>326.08199999999999</v>
      </c>
      <c r="BH7" s="776">
        <f t="shared" si="4"/>
        <v>326.08199999999999</v>
      </c>
      <c r="BI7" s="503">
        <f t="shared" ref="BI7:BI14" si="30">J7</f>
        <v>-2.17</v>
      </c>
      <c r="BJ7" s="503">
        <f t="shared" si="5"/>
        <v>-2.17</v>
      </c>
      <c r="BK7" s="503">
        <f t="shared" si="5"/>
        <v>-2.17</v>
      </c>
      <c r="BL7" s="503">
        <f t="shared" si="5"/>
        <v>-2.17</v>
      </c>
      <c r="BM7" s="503">
        <f t="shared" si="6"/>
        <v>-2.17</v>
      </c>
      <c r="BN7" s="503">
        <f t="shared" si="6"/>
        <v>-2.17</v>
      </c>
      <c r="BO7" s="645">
        <f t="shared" si="6"/>
        <v>-2.17</v>
      </c>
      <c r="BP7" s="774">
        <f t="shared" si="7"/>
        <v>25</v>
      </c>
      <c r="BQ7" s="503">
        <f t="shared" si="8"/>
        <v>25</v>
      </c>
      <c r="BR7" s="503">
        <f t="shared" si="8"/>
        <v>25</v>
      </c>
      <c r="BS7" s="503">
        <f t="shared" si="8"/>
        <v>25</v>
      </c>
      <c r="BT7" s="503">
        <f t="shared" si="9"/>
        <v>25</v>
      </c>
      <c r="BU7" s="503">
        <f t="shared" si="9"/>
        <v>25</v>
      </c>
      <c r="BV7" s="776">
        <f t="shared" si="9"/>
        <v>25</v>
      </c>
      <c r="BW7" s="503"/>
      <c r="BX7" s="503"/>
      <c r="BY7" s="503"/>
      <c r="BZ7" s="503"/>
      <c r="CA7" s="503"/>
      <c r="CB7" s="503"/>
      <c r="CC7" s="645"/>
      <c r="CD7" s="722">
        <f t="shared" ref="CD7:CD14" si="31">Q7*AZ7</f>
        <v>2111.8968</v>
      </c>
      <c r="CE7" s="511">
        <f t="shared" si="11"/>
        <v>2111.8968</v>
      </c>
      <c r="CF7" s="511">
        <f t="shared" si="11"/>
        <v>2111.8968</v>
      </c>
      <c r="CG7" s="511">
        <f t="shared" si="11"/>
        <v>2111.8968</v>
      </c>
      <c r="CH7" s="511">
        <f t="shared" si="12"/>
        <v>2111.8968</v>
      </c>
      <c r="CI7" s="511">
        <f t="shared" si="12"/>
        <v>2111.8968</v>
      </c>
      <c r="CJ7" s="723">
        <f t="shared" si="12"/>
        <v>2111.8968</v>
      </c>
      <c r="CK7" s="722">
        <f t="shared" si="13"/>
        <v>0.32590999999999998</v>
      </c>
      <c r="CL7" s="511">
        <f t="shared" si="14"/>
        <v>0.32590999999999998</v>
      </c>
      <c r="CM7" s="511">
        <f t="shared" si="14"/>
        <v>0.32590999999999998</v>
      </c>
      <c r="CN7" s="511">
        <f t="shared" si="14"/>
        <v>0.32590999999999998</v>
      </c>
      <c r="CO7" s="511">
        <f t="shared" si="15"/>
        <v>0.32590999999999998</v>
      </c>
      <c r="CP7" s="511">
        <f t="shared" si="15"/>
        <v>0.32590999999999998</v>
      </c>
      <c r="CQ7" s="723">
        <f t="shared" si="15"/>
        <v>0.32590999999999998</v>
      </c>
      <c r="CR7" s="511">
        <f t="shared" si="16"/>
        <v>0</v>
      </c>
      <c r="CS7" s="511">
        <f t="shared" si="17"/>
        <v>0</v>
      </c>
      <c r="CT7" s="511">
        <f t="shared" si="17"/>
        <v>0</v>
      </c>
      <c r="CU7" s="511">
        <f t="shared" si="17"/>
        <v>0</v>
      </c>
      <c r="CV7" s="511">
        <f t="shared" si="18"/>
        <v>0</v>
      </c>
      <c r="CW7" s="511">
        <f t="shared" si="18"/>
        <v>0</v>
      </c>
      <c r="CX7" s="539">
        <f t="shared" si="18"/>
        <v>0</v>
      </c>
      <c r="CY7" s="774">
        <f t="shared" ref="CY7:DE14" si="32">AD7*BB7</f>
        <v>0</v>
      </c>
      <c r="CZ7" s="503">
        <f t="shared" si="32"/>
        <v>0</v>
      </c>
      <c r="DA7" s="503">
        <f t="shared" si="32"/>
        <v>0</v>
      </c>
      <c r="DB7" s="503">
        <f t="shared" si="32"/>
        <v>0</v>
      </c>
      <c r="DC7" s="503">
        <f t="shared" si="32"/>
        <v>0</v>
      </c>
      <c r="DD7" s="503">
        <f t="shared" si="32"/>
        <v>0</v>
      </c>
      <c r="DE7" s="776">
        <f t="shared" si="32"/>
        <v>0</v>
      </c>
      <c r="DF7" s="774">
        <f>AD7*BI7</f>
        <v>0</v>
      </c>
      <c r="DG7" s="503">
        <f t="shared" ref="DF7:DL14" si="33">AE7*BJ7</f>
        <v>0</v>
      </c>
      <c r="DH7" s="503">
        <f t="shared" si="33"/>
        <v>0</v>
      </c>
      <c r="DI7" s="503">
        <f t="shared" si="33"/>
        <v>0</v>
      </c>
      <c r="DJ7" s="503">
        <f t="shared" si="33"/>
        <v>0</v>
      </c>
      <c r="DK7" s="503">
        <f t="shared" si="33"/>
        <v>0</v>
      </c>
      <c r="DL7" s="776">
        <f t="shared" si="33"/>
        <v>0</v>
      </c>
      <c r="DM7" s="774">
        <f t="shared" ref="DM7:DS14" si="34">AD7*BP7</f>
        <v>0</v>
      </c>
      <c r="DN7" s="503">
        <f t="shared" si="34"/>
        <v>0</v>
      </c>
      <c r="DO7" s="503">
        <f t="shared" si="34"/>
        <v>0</v>
      </c>
      <c r="DP7" s="503">
        <f t="shared" si="34"/>
        <v>0</v>
      </c>
      <c r="DQ7" s="503">
        <f t="shared" si="34"/>
        <v>0</v>
      </c>
      <c r="DR7" s="503">
        <f t="shared" si="34"/>
        <v>0</v>
      </c>
      <c r="DS7" s="776">
        <f t="shared" si="34"/>
        <v>0</v>
      </c>
      <c r="DT7" s="774">
        <f t="shared" ref="DT7:DZ14" si="35">BW7*AD7</f>
        <v>0</v>
      </c>
      <c r="DU7" s="503">
        <f t="shared" si="35"/>
        <v>0</v>
      </c>
      <c r="DV7" s="503">
        <f t="shared" si="35"/>
        <v>0</v>
      </c>
      <c r="DW7" s="503">
        <f t="shared" si="35"/>
        <v>0</v>
      </c>
      <c r="DX7" s="503">
        <f t="shared" si="35"/>
        <v>0</v>
      </c>
      <c r="DY7" s="503">
        <f t="shared" si="35"/>
        <v>0</v>
      </c>
      <c r="DZ7" s="776">
        <f t="shared" si="35"/>
        <v>0</v>
      </c>
      <c r="EA7" s="511">
        <f t="shared" ref="EA7:EG14" si="36">AD7*CD7</f>
        <v>0</v>
      </c>
      <c r="EB7" s="511">
        <f t="shared" si="36"/>
        <v>0</v>
      </c>
      <c r="EC7" s="511">
        <f t="shared" si="36"/>
        <v>0</v>
      </c>
      <c r="ED7" s="511">
        <f t="shared" si="36"/>
        <v>0</v>
      </c>
      <c r="EE7" s="511">
        <f t="shared" si="36"/>
        <v>0</v>
      </c>
      <c r="EF7" s="511">
        <f t="shared" si="36"/>
        <v>0</v>
      </c>
      <c r="EG7" s="539">
        <f t="shared" si="36"/>
        <v>0</v>
      </c>
      <c r="EH7" s="722">
        <f t="shared" ref="EH7:EN14" si="37">AD7*CK7</f>
        <v>0</v>
      </c>
      <c r="EI7" s="511">
        <f t="shared" si="37"/>
        <v>0</v>
      </c>
      <c r="EJ7" s="511">
        <f t="shared" si="37"/>
        <v>0</v>
      </c>
      <c r="EK7" s="511">
        <f t="shared" si="37"/>
        <v>0</v>
      </c>
      <c r="EL7" s="511">
        <f t="shared" si="37"/>
        <v>0</v>
      </c>
      <c r="EM7" s="511">
        <f t="shared" si="37"/>
        <v>0</v>
      </c>
      <c r="EN7" s="723">
        <f t="shared" si="37"/>
        <v>0</v>
      </c>
      <c r="EO7" s="722">
        <f t="shared" ref="EO7:EU14" si="38">AD7*CR7</f>
        <v>0</v>
      </c>
      <c r="EP7" s="511">
        <f t="shared" si="38"/>
        <v>0</v>
      </c>
      <c r="EQ7" s="511">
        <f t="shared" si="38"/>
        <v>0</v>
      </c>
      <c r="ER7" s="511">
        <f t="shared" si="38"/>
        <v>0</v>
      </c>
      <c r="ES7" s="511">
        <f t="shared" si="38"/>
        <v>0</v>
      </c>
      <c r="ET7" s="511">
        <f t="shared" si="38"/>
        <v>0</v>
      </c>
      <c r="EU7" s="723">
        <f t="shared" si="38"/>
        <v>0</v>
      </c>
      <c r="EV7" s="722">
        <f t="shared" ref="EV7:EV14" si="39">SUM(AD7:AJ7)</f>
        <v>0</v>
      </c>
      <c r="EW7" s="503">
        <f t="shared" ref="EW7:EW14" si="40">SUM(CY7:DE7)</f>
        <v>0</v>
      </c>
      <c r="EX7" s="503">
        <f t="shared" ref="EX7:EX14" si="41">SUM(DF7:DL7)</f>
        <v>0</v>
      </c>
      <c r="EY7" s="503">
        <f t="shared" ref="EY7:EY14" si="42">SUM(DM7:DS7)</f>
        <v>0</v>
      </c>
      <c r="EZ7" s="503">
        <f t="shared" ref="EZ7:EZ14" si="43">SUM(DT7:DZ7)</f>
        <v>0</v>
      </c>
      <c r="FA7" s="511">
        <f t="shared" ref="FA7:FA14" si="44">SUM(EA7:EG7)</f>
        <v>0</v>
      </c>
      <c r="FB7" s="511">
        <f t="shared" ref="FB7:FB14" si="45">SUM(EH7:EN7)</f>
        <v>0</v>
      </c>
      <c r="FC7" s="511">
        <f t="shared" ref="FC7:FC14" si="46">SUM(EO7:EU7)</f>
        <v>0</v>
      </c>
      <c r="FE7" s="10" t="b">
        <f t="shared" ref="FE7:FE14" si="47">EV7=SUM(EV17,EV27)</f>
        <v>1</v>
      </c>
      <c r="FF7" s="10" t="b">
        <f t="shared" ref="FF7:FF14" si="48">EW7=SUM(EW17,EW27)</f>
        <v>1</v>
      </c>
      <c r="FG7" s="10" t="b">
        <f t="shared" ref="FG7:FG14" si="49">EX7=SUM(EX17,EX27)</f>
        <v>1</v>
      </c>
      <c r="FH7" s="10" t="b">
        <f t="shared" ref="FH7:FH14" si="50">EY7=SUM(EY17,EY27)</f>
        <v>1</v>
      </c>
      <c r="FI7" s="10" t="b">
        <f t="shared" ref="FI7:FI14" si="51">EZ7=SUM(EZ17,EZ27)</f>
        <v>1</v>
      </c>
      <c r="FJ7" s="10" t="b">
        <f t="shared" ref="FJ7:FJ14" si="52">FA7=SUM(FA17,FA27)</f>
        <v>1</v>
      </c>
      <c r="FK7" s="10" t="b">
        <f t="shared" ref="FK7:FK14" si="53">FB7=SUM(FB17,FB27)</f>
        <v>1</v>
      </c>
      <c r="FL7" s="10" t="b">
        <f t="shared" ref="FL7:FL14" si="54">FC7=SUM(FC17,FC27)</f>
        <v>1</v>
      </c>
    </row>
    <row r="8" spans="1:168" s="10" customFormat="1" ht="12.75" customHeight="1">
      <c r="A8" s="662">
        <v>3</v>
      </c>
      <c r="B8" s="703" t="s">
        <v>1326</v>
      </c>
      <c r="C8" s="703" t="s">
        <v>1318</v>
      </c>
      <c r="D8" s="703" t="s">
        <v>1327</v>
      </c>
      <c r="E8" s="703" t="s">
        <v>331</v>
      </c>
      <c r="F8" s="704" t="s">
        <v>402</v>
      </c>
      <c r="G8" s="1090">
        <v>30.205000000000002</v>
      </c>
      <c r="H8" s="707">
        <v>0</v>
      </c>
      <c r="I8" s="779">
        <v>30.205000000000002</v>
      </c>
      <c r="J8" s="707">
        <v>0</v>
      </c>
      <c r="K8" s="779">
        <v>15.102500000000001</v>
      </c>
      <c r="L8" s="1085" t="s">
        <v>1328</v>
      </c>
      <c r="M8" s="707">
        <v>3</v>
      </c>
      <c r="N8" s="708">
        <v>3</v>
      </c>
      <c r="O8" s="707">
        <v>0</v>
      </c>
      <c r="P8" s="708">
        <v>0</v>
      </c>
      <c r="Q8" s="1086">
        <f>(9.375/1000)*4212*1*1</f>
        <v>39.487499999999997</v>
      </c>
      <c r="R8" s="1087">
        <f>(9.375/1000)*1*1*0.65</f>
        <v>6.0937500000000002E-3</v>
      </c>
      <c r="S8" s="1088">
        <f>(-Q8/1)*0.00073*10</f>
        <v>-0.28825874999999995</v>
      </c>
      <c r="T8" s="1089" t="s">
        <v>1329</v>
      </c>
      <c r="U8" s="712">
        <v>0.2</v>
      </c>
      <c r="V8" s="713">
        <v>1</v>
      </c>
      <c r="W8" s="661"/>
      <c r="X8" s="661"/>
      <c r="Y8" s="661"/>
      <c r="Z8" s="661"/>
      <c r="AA8" s="714"/>
      <c r="AB8" s="714"/>
      <c r="AC8" s="714"/>
      <c r="AD8" s="1034">
        <v>0</v>
      </c>
      <c r="AE8" s="1034">
        <v>0</v>
      </c>
      <c r="AF8" s="1034">
        <f>('Business Rebates'!AE52*0.8)*(1+U$6)</f>
        <v>5828.16</v>
      </c>
      <c r="AG8" s="1034">
        <f>(AF8+'Business Rebates'!AF52)*(1+$U8)</f>
        <v>8742.24</v>
      </c>
      <c r="AH8" s="1034">
        <f t="shared" ref="AH8" si="55">AG8</f>
        <v>8742.24</v>
      </c>
      <c r="AI8" s="1034">
        <f t="shared" ref="AI8" si="56">AH8*0.8</f>
        <v>6993.7920000000004</v>
      </c>
      <c r="AJ8" s="1034">
        <f t="shared" si="2"/>
        <v>5595.0336000000007</v>
      </c>
      <c r="AK8" s="711" t="s">
        <v>384</v>
      </c>
      <c r="AL8" s="711" t="s">
        <v>742</v>
      </c>
      <c r="AM8" s="711" t="s">
        <v>1186</v>
      </c>
      <c r="AN8" s="711" t="s">
        <v>1152</v>
      </c>
      <c r="AO8" s="711" t="s">
        <v>1</v>
      </c>
      <c r="AP8" s="711"/>
      <c r="AQ8" s="711"/>
      <c r="AR8" s="711"/>
      <c r="AS8" s="715" t="s">
        <v>1153</v>
      </c>
      <c r="AT8" s="711" t="s">
        <v>1147</v>
      </c>
      <c r="AU8" s="715" t="s">
        <v>746</v>
      </c>
      <c r="AV8" s="661">
        <v>20</v>
      </c>
      <c r="AW8" s="661">
        <v>15</v>
      </c>
      <c r="AX8" s="711" t="s">
        <v>1483</v>
      </c>
      <c r="AY8" s="716">
        <v>1</v>
      </c>
      <c r="AZ8" s="716">
        <v>1</v>
      </c>
      <c r="BA8" s="717">
        <v>0</v>
      </c>
      <c r="BB8" s="774">
        <f t="shared" si="29"/>
        <v>30.205000000000002</v>
      </c>
      <c r="BC8" s="503">
        <f t="shared" si="3"/>
        <v>30.205000000000002</v>
      </c>
      <c r="BD8" s="503">
        <f t="shared" si="3"/>
        <v>30.205000000000002</v>
      </c>
      <c r="BE8" s="503">
        <f t="shared" si="4"/>
        <v>30.205000000000002</v>
      </c>
      <c r="BF8" s="503">
        <f t="shared" si="4"/>
        <v>30.205000000000002</v>
      </c>
      <c r="BG8" s="503">
        <f t="shared" si="4"/>
        <v>30.205000000000002</v>
      </c>
      <c r="BH8" s="776">
        <f t="shared" si="4"/>
        <v>30.205000000000002</v>
      </c>
      <c r="BI8" s="503">
        <f t="shared" si="30"/>
        <v>0</v>
      </c>
      <c r="BJ8" s="503">
        <f t="shared" si="5"/>
        <v>0</v>
      </c>
      <c r="BK8" s="503">
        <f t="shared" si="5"/>
        <v>0</v>
      </c>
      <c r="BL8" s="503">
        <f t="shared" si="5"/>
        <v>0</v>
      </c>
      <c r="BM8" s="503">
        <f t="shared" si="6"/>
        <v>0</v>
      </c>
      <c r="BN8" s="503">
        <f t="shared" si="6"/>
        <v>0</v>
      </c>
      <c r="BO8" s="645">
        <f t="shared" si="6"/>
        <v>0</v>
      </c>
      <c r="BP8" s="774">
        <f t="shared" si="7"/>
        <v>3</v>
      </c>
      <c r="BQ8" s="503">
        <f t="shared" si="8"/>
        <v>3</v>
      </c>
      <c r="BR8" s="503">
        <f t="shared" si="8"/>
        <v>3</v>
      </c>
      <c r="BS8" s="503">
        <f t="shared" si="8"/>
        <v>3</v>
      </c>
      <c r="BT8" s="503">
        <f t="shared" si="9"/>
        <v>3</v>
      </c>
      <c r="BU8" s="503">
        <f t="shared" si="9"/>
        <v>3</v>
      </c>
      <c r="BV8" s="776">
        <f t="shared" si="9"/>
        <v>3</v>
      </c>
      <c r="BW8" s="503"/>
      <c r="BX8" s="503"/>
      <c r="BY8" s="503"/>
      <c r="BZ8" s="503"/>
      <c r="CA8" s="503"/>
      <c r="CB8" s="503"/>
      <c r="CC8" s="645"/>
      <c r="CD8" s="722">
        <f t="shared" si="31"/>
        <v>39.487499999999997</v>
      </c>
      <c r="CE8" s="511">
        <f t="shared" si="11"/>
        <v>39.487499999999997</v>
      </c>
      <c r="CF8" s="511">
        <f t="shared" si="11"/>
        <v>39.487499999999997</v>
      </c>
      <c r="CG8" s="511">
        <f t="shared" si="11"/>
        <v>39.487499999999997</v>
      </c>
      <c r="CH8" s="511">
        <f t="shared" si="12"/>
        <v>39.487499999999997</v>
      </c>
      <c r="CI8" s="511">
        <f t="shared" si="12"/>
        <v>39.487499999999997</v>
      </c>
      <c r="CJ8" s="723">
        <f t="shared" si="12"/>
        <v>39.487499999999997</v>
      </c>
      <c r="CK8" s="722">
        <f t="shared" si="13"/>
        <v>6.0937500000000002E-3</v>
      </c>
      <c r="CL8" s="511">
        <f t="shared" si="14"/>
        <v>6.0937500000000002E-3</v>
      </c>
      <c r="CM8" s="511">
        <f t="shared" si="14"/>
        <v>6.0937500000000002E-3</v>
      </c>
      <c r="CN8" s="511">
        <f t="shared" si="14"/>
        <v>6.0937500000000002E-3</v>
      </c>
      <c r="CO8" s="511">
        <f t="shared" si="15"/>
        <v>6.0937500000000002E-3</v>
      </c>
      <c r="CP8" s="511">
        <f t="shared" si="15"/>
        <v>6.0937500000000002E-3</v>
      </c>
      <c r="CQ8" s="723">
        <f t="shared" si="15"/>
        <v>6.0937500000000002E-3</v>
      </c>
      <c r="CR8" s="511">
        <f t="shared" si="16"/>
        <v>0</v>
      </c>
      <c r="CS8" s="511">
        <f t="shared" si="17"/>
        <v>0</v>
      </c>
      <c r="CT8" s="511">
        <f t="shared" si="17"/>
        <v>0</v>
      </c>
      <c r="CU8" s="511">
        <f t="shared" si="17"/>
        <v>0</v>
      </c>
      <c r="CV8" s="511">
        <f t="shared" si="18"/>
        <v>0</v>
      </c>
      <c r="CW8" s="511">
        <f t="shared" si="18"/>
        <v>0</v>
      </c>
      <c r="CX8" s="539">
        <f t="shared" si="18"/>
        <v>0</v>
      </c>
      <c r="CY8" s="774">
        <f t="shared" si="32"/>
        <v>0</v>
      </c>
      <c r="CZ8" s="503">
        <f t="shared" si="32"/>
        <v>0</v>
      </c>
      <c r="DA8" s="503">
        <f t="shared" si="32"/>
        <v>176039.57279999999</v>
      </c>
      <c r="DB8" s="503">
        <f t="shared" si="32"/>
        <v>264059.35920000001</v>
      </c>
      <c r="DC8" s="503">
        <f t="shared" si="32"/>
        <v>264059.35920000001</v>
      </c>
      <c r="DD8" s="503">
        <f t="shared" si="32"/>
        <v>211247.48736000003</v>
      </c>
      <c r="DE8" s="776">
        <f t="shared" si="32"/>
        <v>168997.98988800004</v>
      </c>
      <c r="DF8" s="774">
        <f t="shared" si="33"/>
        <v>0</v>
      </c>
      <c r="DG8" s="503">
        <f t="shared" si="33"/>
        <v>0</v>
      </c>
      <c r="DH8" s="503">
        <f t="shared" si="33"/>
        <v>0</v>
      </c>
      <c r="DI8" s="503">
        <f t="shared" si="33"/>
        <v>0</v>
      </c>
      <c r="DJ8" s="503">
        <f t="shared" si="33"/>
        <v>0</v>
      </c>
      <c r="DK8" s="503">
        <f t="shared" si="33"/>
        <v>0</v>
      </c>
      <c r="DL8" s="776">
        <f t="shared" si="33"/>
        <v>0</v>
      </c>
      <c r="DM8" s="774">
        <f t="shared" si="34"/>
        <v>0</v>
      </c>
      <c r="DN8" s="503">
        <f t="shared" si="34"/>
        <v>0</v>
      </c>
      <c r="DO8" s="503">
        <f t="shared" si="34"/>
        <v>17484.48</v>
      </c>
      <c r="DP8" s="503">
        <f t="shared" si="34"/>
        <v>26226.720000000001</v>
      </c>
      <c r="DQ8" s="503">
        <f t="shared" si="34"/>
        <v>26226.720000000001</v>
      </c>
      <c r="DR8" s="503">
        <f t="shared" si="34"/>
        <v>20981.376</v>
      </c>
      <c r="DS8" s="776">
        <f t="shared" si="34"/>
        <v>16785.1008</v>
      </c>
      <c r="DT8" s="774">
        <f t="shared" si="35"/>
        <v>0</v>
      </c>
      <c r="DU8" s="503">
        <f t="shared" si="35"/>
        <v>0</v>
      </c>
      <c r="DV8" s="503">
        <f t="shared" si="35"/>
        <v>0</v>
      </c>
      <c r="DW8" s="503">
        <f t="shared" si="35"/>
        <v>0</v>
      </c>
      <c r="DX8" s="503">
        <f t="shared" si="35"/>
        <v>0</v>
      </c>
      <c r="DY8" s="503">
        <f t="shared" si="35"/>
        <v>0</v>
      </c>
      <c r="DZ8" s="776">
        <f t="shared" si="35"/>
        <v>0</v>
      </c>
      <c r="EA8" s="511">
        <f t="shared" si="36"/>
        <v>0</v>
      </c>
      <c r="EB8" s="511">
        <f t="shared" si="36"/>
        <v>0</v>
      </c>
      <c r="EC8" s="511">
        <f t="shared" si="36"/>
        <v>230139.46799999996</v>
      </c>
      <c r="ED8" s="511">
        <f t="shared" si="36"/>
        <v>345209.20199999999</v>
      </c>
      <c r="EE8" s="511">
        <f t="shared" si="36"/>
        <v>345209.20199999999</v>
      </c>
      <c r="EF8" s="511">
        <f t="shared" si="36"/>
        <v>276167.3616</v>
      </c>
      <c r="EG8" s="539">
        <f t="shared" si="36"/>
        <v>220933.88928</v>
      </c>
      <c r="EH8" s="722">
        <f t="shared" si="37"/>
        <v>0</v>
      </c>
      <c r="EI8" s="511">
        <f t="shared" si="37"/>
        <v>0</v>
      </c>
      <c r="EJ8" s="511">
        <f t="shared" si="37"/>
        <v>35.515349999999998</v>
      </c>
      <c r="EK8" s="511">
        <f t="shared" si="37"/>
        <v>53.273024999999997</v>
      </c>
      <c r="EL8" s="511">
        <f t="shared" si="37"/>
        <v>53.273024999999997</v>
      </c>
      <c r="EM8" s="511">
        <f t="shared" si="37"/>
        <v>42.61842</v>
      </c>
      <c r="EN8" s="723">
        <f t="shared" si="37"/>
        <v>34.094736000000005</v>
      </c>
      <c r="EO8" s="722">
        <f t="shared" si="38"/>
        <v>0</v>
      </c>
      <c r="EP8" s="511">
        <f t="shared" si="38"/>
        <v>0</v>
      </c>
      <c r="EQ8" s="511">
        <f t="shared" si="38"/>
        <v>0</v>
      </c>
      <c r="ER8" s="511">
        <f t="shared" si="38"/>
        <v>0</v>
      </c>
      <c r="ES8" s="511">
        <f t="shared" si="38"/>
        <v>0</v>
      </c>
      <c r="ET8" s="511">
        <f t="shared" si="38"/>
        <v>0</v>
      </c>
      <c r="EU8" s="723">
        <f t="shared" si="38"/>
        <v>0</v>
      </c>
      <c r="EV8" s="722">
        <f t="shared" si="39"/>
        <v>35901.465600000003</v>
      </c>
      <c r="EW8" s="503">
        <f t="shared" si="40"/>
        <v>1084403.7684480001</v>
      </c>
      <c r="EX8" s="503">
        <f t="shared" si="41"/>
        <v>0</v>
      </c>
      <c r="EY8" s="503">
        <f t="shared" si="42"/>
        <v>107704.3968</v>
      </c>
      <c r="EZ8" s="503">
        <f t="shared" si="43"/>
        <v>0</v>
      </c>
      <c r="FA8" s="511">
        <f t="shared" si="44"/>
        <v>1417659.1228799999</v>
      </c>
      <c r="FB8" s="511">
        <f t="shared" si="45"/>
        <v>218.77455600000002</v>
      </c>
      <c r="FC8" s="511">
        <f t="shared" si="46"/>
        <v>0</v>
      </c>
      <c r="FE8" s="10" t="b">
        <f t="shared" si="47"/>
        <v>1</v>
      </c>
      <c r="FF8" s="10" t="b">
        <f t="shared" si="48"/>
        <v>1</v>
      </c>
      <c r="FG8" s="10" t="b">
        <f t="shared" si="49"/>
        <v>1</v>
      </c>
      <c r="FH8" s="10" t="b">
        <f t="shared" si="50"/>
        <v>1</v>
      </c>
      <c r="FI8" s="10" t="b">
        <f t="shared" si="51"/>
        <v>1</v>
      </c>
      <c r="FJ8" s="10" t="b">
        <f t="shared" si="52"/>
        <v>1</v>
      </c>
      <c r="FK8" s="10" t="b">
        <f t="shared" si="53"/>
        <v>1</v>
      </c>
      <c r="FL8" s="10" t="b">
        <f t="shared" si="54"/>
        <v>1</v>
      </c>
    </row>
    <row r="9" spans="1:168" s="10" customFormat="1" ht="12.75" customHeight="1">
      <c r="A9" s="662">
        <v>4</v>
      </c>
      <c r="B9" s="703" t="s">
        <v>1330</v>
      </c>
      <c r="C9" s="703" t="s">
        <v>1318</v>
      </c>
      <c r="D9" s="703" t="s">
        <v>1331</v>
      </c>
      <c r="E9" s="703" t="s">
        <v>331</v>
      </c>
      <c r="F9" s="704" t="s">
        <v>402</v>
      </c>
      <c r="G9" s="1090">
        <v>36</v>
      </c>
      <c r="H9" s="707">
        <v>0</v>
      </c>
      <c r="I9" s="779">
        <v>36</v>
      </c>
      <c r="J9" s="707">
        <v>0</v>
      </c>
      <c r="K9" s="779">
        <v>18</v>
      </c>
      <c r="L9" s="1085" t="s">
        <v>1332</v>
      </c>
      <c r="M9" s="707">
        <v>5</v>
      </c>
      <c r="N9" s="708">
        <v>5</v>
      </c>
      <c r="O9" s="707">
        <v>0</v>
      </c>
      <c r="P9" s="708">
        <v>0</v>
      </c>
      <c r="Q9" s="1086">
        <f>AVERAGE(LGE_KU_ComReb_Report_Data!$G$31:$G$40)</f>
        <v>167.1274142799152</v>
      </c>
      <c r="R9" s="1087">
        <f>AVERAGE(LGE_KU_ComReb_Report_Data!$H$31:$H$40)</f>
        <v>3.8547530882739774E-2</v>
      </c>
      <c r="S9" s="1088">
        <v>0</v>
      </c>
      <c r="T9" s="1089" t="s">
        <v>1212</v>
      </c>
      <c r="U9" s="712">
        <v>0.2</v>
      </c>
      <c r="V9" s="713">
        <v>1</v>
      </c>
      <c r="W9" s="661"/>
      <c r="X9" s="661"/>
      <c r="Y9" s="661"/>
      <c r="Z9" s="661"/>
      <c r="AA9" s="714"/>
      <c r="AB9" s="714"/>
      <c r="AC9" s="714"/>
      <c r="AD9" s="1034">
        <v>0</v>
      </c>
      <c r="AE9" s="1034">
        <v>0</v>
      </c>
      <c r="AF9" s="1034">
        <f>('Business Rebates'!AE53*0.8)*(1+U$6)</f>
        <v>14141.76</v>
      </c>
      <c r="AG9" s="1034">
        <f>(AF9+'Business Rebates'!AF53)*(1+$U9)</f>
        <v>21212.639999999999</v>
      </c>
      <c r="AH9" s="1034">
        <f t="shared" ref="AH9" si="57">AG9</f>
        <v>21212.639999999999</v>
      </c>
      <c r="AI9" s="1034">
        <f t="shared" ref="AI9" si="58">AH9*0.8</f>
        <v>16970.112000000001</v>
      </c>
      <c r="AJ9" s="1034">
        <f t="shared" si="2"/>
        <v>13576.089600000001</v>
      </c>
      <c r="AK9" s="711" t="s">
        <v>384</v>
      </c>
      <c r="AL9" s="711" t="s">
        <v>742</v>
      </c>
      <c r="AM9" s="711" t="s">
        <v>1186</v>
      </c>
      <c r="AN9" s="711" t="s">
        <v>1152</v>
      </c>
      <c r="AO9" s="711" t="s">
        <v>1</v>
      </c>
      <c r="AP9" s="711"/>
      <c r="AQ9" s="711"/>
      <c r="AR9" s="711"/>
      <c r="AS9" s="715" t="s">
        <v>1153</v>
      </c>
      <c r="AT9" s="711" t="s">
        <v>1147</v>
      </c>
      <c r="AU9" s="715" t="s">
        <v>746</v>
      </c>
      <c r="AV9" s="661">
        <v>12</v>
      </c>
      <c r="AW9" s="661">
        <v>3</v>
      </c>
      <c r="AX9" s="711" t="s">
        <v>1485</v>
      </c>
      <c r="AY9" s="716">
        <v>1</v>
      </c>
      <c r="AZ9" s="716">
        <v>1</v>
      </c>
      <c r="BA9" s="717">
        <v>0</v>
      </c>
      <c r="BB9" s="774">
        <f t="shared" si="29"/>
        <v>36</v>
      </c>
      <c r="BC9" s="503">
        <f t="shared" si="3"/>
        <v>36</v>
      </c>
      <c r="BD9" s="503">
        <f t="shared" si="3"/>
        <v>36</v>
      </c>
      <c r="BE9" s="503">
        <f t="shared" si="4"/>
        <v>36</v>
      </c>
      <c r="BF9" s="503">
        <f t="shared" si="4"/>
        <v>36</v>
      </c>
      <c r="BG9" s="503">
        <f t="shared" si="4"/>
        <v>36</v>
      </c>
      <c r="BH9" s="776">
        <f t="shared" si="4"/>
        <v>36</v>
      </c>
      <c r="BI9" s="503">
        <f t="shared" si="30"/>
        <v>0</v>
      </c>
      <c r="BJ9" s="503">
        <f t="shared" si="5"/>
        <v>0</v>
      </c>
      <c r="BK9" s="503">
        <f t="shared" si="5"/>
        <v>0</v>
      </c>
      <c r="BL9" s="503">
        <f t="shared" si="5"/>
        <v>0</v>
      </c>
      <c r="BM9" s="503">
        <f t="shared" si="6"/>
        <v>0</v>
      </c>
      <c r="BN9" s="503">
        <f t="shared" si="6"/>
        <v>0</v>
      </c>
      <c r="BO9" s="645">
        <f t="shared" si="6"/>
        <v>0</v>
      </c>
      <c r="BP9" s="774">
        <f t="shared" si="7"/>
        <v>5</v>
      </c>
      <c r="BQ9" s="503">
        <f t="shared" si="8"/>
        <v>5</v>
      </c>
      <c r="BR9" s="503">
        <f t="shared" si="8"/>
        <v>5</v>
      </c>
      <c r="BS9" s="503">
        <f t="shared" si="8"/>
        <v>5</v>
      </c>
      <c r="BT9" s="503">
        <f t="shared" si="9"/>
        <v>5</v>
      </c>
      <c r="BU9" s="503">
        <f t="shared" si="9"/>
        <v>5</v>
      </c>
      <c r="BV9" s="776">
        <f t="shared" si="9"/>
        <v>5</v>
      </c>
      <c r="BW9" s="503"/>
      <c r="BX9" s="503"/>
      <c r="BY9" s="503"/>
      <c r="BZ9" s="503"/>
      <c r="CA9" s="503"/>
      <c r="CB9" s="503"/>
      <c r="CC9" s="645"/>
      <c r="CD9" s="722">
        <f t="shared" si="31"/>
        <v>167.1274142799152</v>
      </c>
      <c r="CE9" s="511">
        <f t="shared" si="11"/>
        <v>167.1274142799152</v>
      </c>
      <c r="CF9" s="511">
        <f t="shared" si="11"/>
        <v>167.1274142799152</v>
      </c>
      <c r="CG9" s="511">
        <f t="shared" si="11"/>
        <v>167.1274142799152</v>
      </c>
      <c r="CH9" s="511">
        <f t="shared" si="12"/>
        <v>167.1274142799152</v>
      </c>
      <c r="CI9" s="511">
        <f t="shared" si="12"/>
        <v>167.1274142799152</v>
      </c>
      <c r="CJ9" s="723">
        <f t="shared" si="12"/>
        <v>167.1274142799152</v>
      </c>
      <c r="CK9" s="722">
        <f t="shared" si="13"/>
        <v>3.8547530882739774E-2</v>
      </c>
      <c r="CL9" s="511">
        <f t="shared" si="14"/>
        <v>3.8547530882739774E-2</v>
      </c>
      <c r="CM9" s="511">
        <f t="shared" si="14"/>
        <v>3.8547530882739774E-2</v>
      </c>
      <c r="CN9" s="511">
        <f t="shared" si="14"/>
        <v>3.8547530882739774E-2</v>
      </c>
      <c r="CO9" s="511">
        <f t="shared" si="15"/>
        <v>3.8547530882739774E-2</v>
      </c>
      <c r="CP9" s="511">
        <f t="shared" si="15"/>
        <v>3.8547530882739774E-2</v>
      </c>
      <c r="CQ9" s="723">
        <f t="shared" si="15"/>
        <v>3.8547530882739774E-2</v>
      </c>
      <c r="CR9" s="511">
        <f t="shared" si="16"/>
        <v>0</v>
      </c>
      <c r="CS9" s="511">
        <f t="shared" si="17"/>
        <v>0</v>
      </c>
      <c r="CT9" s="511">
        <f t="shared" si="17"/>
        <v>0</v>
      </c>
      <c r="CU9" s="511">
        <f t="shared" si="17"/>
        <v>0</v>
      </c>
      <c r="CV9" s="511">
        <f t="shared" si="18"/>
        <v>0</v>
      </c>
      <c r="CW9" s="511">
        <f t="shared" si="18"/>
        <v>0</v>
      </c>
      <c r="CX9" s="539">
        <f t="shared" si="18"/>
        <v>0</v>
      </c>
      <c r="CY9" s="774">
        <f t="shared" si="32"/>
        <v>0</v>
      </c>
      <c r="CZ9" s="503">
        <f t="shared" si="32"/>
        <v>0</v>
      </c>
      <c r="DA9" s="503">
        <f t="shared" si="32"/>
        <v>509103.35999999999</v>
      </c>
      <c r="DB9" s="503">
        <f t="shared" si="32"/>
        <v>763655.04</v>
      </c>
      <c r="DC9" s="503">
        <f t="shared" si="32"/>
        <v>763655.04</v>
      </c>
      <c r="DD9" s="503">
        <f t="shared" si="32"/>
        <v>610924.03200000001</v>
      </c>
      <c r="DE9" s="776">
        <f t="shared" si="32"/>
        <v>488739.22560000006</v>
      </c>
      <c r="DF9" s="774">
        <f t="shared" si="33"/>
        <v>0</v>
      </c>
      <c r="DG9" s="503">
        <f t="shared" si="33"/>
        <v>0</v>
      </c>
      <c r="DH9" s="503">
        <f t="shared" si="33"/>
        <v>0</v>
      </c>
      <c r="DI9" s="503">
        <f t="shared" si="33"/>
        <v>0</v>
      </c>
      <c r="DJ9" s="503">
        <f t="shared" si="33"/>
        <v>0</v>
      </c>
      <c r="DK9" s="503">
        <f t="shared" si="33"/>
        <v>0</v>
      </c>
      <c r="DL9" s="776">
        <f t="shared" si="33"/>
        <v>0</v>
      </c>
      <c r="DM9" s="774">
        <f t="shared" si="34"/>
        <v>0</v>
      </c>
      <c r="DN9" s="503">
        <f t="shared" si="34"/>
        <v>0</v>
      </c>
      <c r="DO9" s="503">
        <f t="shared" si="34"/>
        <v>70708.800000000003</v>
      </c>
      <c r="DP9" s="503">
        <f t="shared" si="34"/>
        <v>106063.2</v>
      </c>
      <c r="DQ9" s="503">
        <f t="shared" si="34"/>
        <v>106063.2</v>
      </c>
      <c r="DR9" s="503">
        <f t="shared" si="34"/>
        <v>84850.559999999998</v>
      </c>
      <c r="DS9" s="776">
        <f t="shared" si="34"/>
        <v>67880.448000000004</v>
      </c>
      <c r="DT9" s="774">
        <f t="shared" si="35"/>
        <v>0</v>
      </c>
      <c r="DU9" s="503">
        <f t="shared" si="35"/>
        <v>0</v>
      </c>
      <c r="DV9" s="503">
        <f t="shared" si="35"/>
        <v>0</v>
      </c>
      <c r="DW9" s="503">
        <f t="shared" si="35"/>
        <v>0</v>
      </c>
      <c r="DX9" s="503">
        <f t="shared" si="35"/>
        <v>0</v>
      </c>
      <c r="DY9" s="503">
        <f t="shared" si="35"/>
        <v>0</v>
      </c>
      <c r="DZ9" s="776">
        <f t="shared" si="35"/>
        <v>0</v>
      </c>
      <c r="EA9" s="511">
        <f t="shared" si="36"/>
        <v>0</v>
      </c>
      <c r="EB9" s="511">
        <f t="shared" si="36"/>
        <v>0</v>
      </c>
      <c r="EC9" s="511">
        <f t="shared" si="36"/>
        <v>2363475.7821671334</v>
      </c>
      <c r="ED9" s="511">
        <f t="shared" si="36"/>
        <v>3545213.6732507003</v>
      </c>
      <c r="EE9" s="511">
        <f t="shared" si="36"/>
        <v>3545213.6732507003</v>
      </c>
      <c r="EF9" s="511">
        <f t="shared" si="36"/>
        <v>2836170.9386005607</v>
      </c>
      <c r="EG9" s="539">
        <f t="shared" si="36"/>
        <v>2268936.7508804486</v>
      </c>
      <c r="EH9" s="722">
        <f t="shared" si="37"/>
        <v>0</v>
      </c>
      <c r="EI9" s="511">
        <f t="shared" si="37"/>
        <v>0</v>
      </c>
      <c r="EJ9" s="511">
        <f t="shared" si="37"/>
        <v>545.12993033629402</v>
      </c>
      <c r="EK9" s="511">
        <f t="shared" si="37"/>
        <v>817.69489550444098</v>
      </c>
      <c r="EL9" s="511">
        <f t="shared" si="37"/>
        <v>817.69489550444098</v>
      </c>
      <c r="EM9" s="511">
        <f t="shared" si="37"/>
        <v>654.15591640355285</v>
      </c>
      <c r="EN9" s="723">
        <f t="shared" si="37"/>
        <v>523.3247331228423</v>
      </c>
      <c r="EO9" s="722">
        <f t="shared" si="38"/>
        <v>0</v>
      </c>
      <c r="EP9" s="511">
        <f t="shared" si="38"/>
        <v>0</v>
      </c>
      <c r="EQ9" s="511">
        <f t="shared" si="38"/>
        <v>0</v>
      </c>
      <c r="ER9" s="511">
        <f t="shared" si="38"/>
        <v>0</v>
      </c>
      <c r="ES9" s="511">
        <f t="shared" si="38"/>
        <v>0</v>
      </c>
      <c r="ET9" s="511">
        <f t="shared" si="38"/>
        <v>0</v>
      </c>
      <c r="EU9" s="723">
        <f t="shared" si="38"/>
        <v>0</v>
      </c>
      <c r="EV9" s="722">
        <f t="shared" si="39"/>
        <v>87113.241600000008</v>
      </c>
      <c r="EW9" s="503">
        <f t="shared" si="40"/>
        <v>3136076.6976000001</v>
      </c>
      <c r="EX9" s="503">
        <f t="shared" si="41"/>
        <v>0</v>
      </c>
      <c r="EY9" s="503">
        <f t="shared" si="42"/>
        <v>435566.20799999998</v>
      </c>
      <c r="EZ9" s="503">
        <f t="shared" si="43"/>
        <v>0</v>
      </c>
      <c r="FA9" s="511">
        <f t="shared" si="44"/>
        <v>14559010.818149544</v>
      </c>
      <c r="FB9" s="511">
        <f t="shared" si="45"/>
        <v>3358.0003708715712</v>
      </c>
      <c r="FC9" s="511">
        <f t="shared" si="46"/>
        <v>0</v>
      </c>
      <c r="FE9" s="10" t="b">
        <f t="shared" si="47"/>
        <v>1</v>
      </c>
      <c r="FF9" s="10" t="b">
        <f t="shared" si="48"/>
        <v>1</v>
      </c>
      <c r="FG9" s="10" t="b">
        <f t="shared" si="49"/>
        <v>1</v>
      </c>
      <c r="FH9" s="10" t="b">
        <f t="shared" si="50"/>
        <v>1</v>
      </c>
      <c r="FI9" s="10" t="b">
        <f t="shared" si="51"/>
        <v>1</v>
      </c>
      <c r="FJ9" s="10" t="b">
        <f t="shared" si="52"/>
        <v>1</v>
      </c>
      <c r="FK9" s="10" t="b">
        <f t="shared" si="53"/>
        <v>1</v>
      </c>
      <c r="FL9" s="10" t="b">
        <f t="shared" si="54"/>
        <v>1</v>
      </c>
    </row>
    <row r="10" spans="1:168" s="10" customFormat="1" ht="12.75" customHeight="1">
      <c r="A10" s="662">
        <v>5</v>
      </c>
      <c r="B10" s="703" t="s">
        <v>1333</v>
      </c>
      <c r="C10" s="703" t="s">
        <v>1318</v>
      </c>
      <c r="D10" s="703" t="s">
        <v>1334</v>
      </c>
      <c r="E10" s="703" t="s">
        <v>331</v>
      </c>
      <c r="F10" s="704" t="s">
        <v>402</v>
      </c>
      <c r="G10" s="1090">
        <v>36.285714285714285</v>
      </c>
      <c r="H10" s="707">
        <v>0</v>
      </c>
      <c r="I10" s="779">
        <v>36.285714285714285</v>
      </c>
      <c r="J10" s="707">
        <v>0</v>
      </c>
      <c r="K10" s="779">
        <v>18.142857142857142</v>
      </c>
      <c r="L10" s="1085" t="s">
        <v>1332</v>
      </c>
      <c r="M10" s="707">
        <v>5</v>
      </c>
      <c r="N10" s="708">
        <v>5</v>
      </c>
      <c r="O10" s="707">
        <v>0</v>
      </c>
      <c r="P10" s="708">
        <v>0</v>
      </c>
      <c r="Q10" s="1086">
        <f>AVERAGE(LGE_KU_ComReb_Report_Data!$G$3:$G$30)</f>
        <v>129.12008590645323</v>
      </c>
      <c r="R10" s="1087">
        <f>AVERAGE(LGE_KU_ComReb_Report_Data!$H$3:$H$30)</f>
        <v>6.2447295814748824E-2</v>
      </c>
      <c r="S10" s="1088">
        <v>0</v>
      </c>
      <c r="T10" s="1089" t="s">
        <v>1212</v>
      </c>
      <c r="U10" s="712">
        <v>0.2</v>
      </c>
      <c r="V10" s="713">
        <v>1</v>
      </c>
      <c r="W10" s="661"/>
      <c r="X10" s="661"/>
      <c r="Y10" s="661"/>
      <c r="Z10" s="661"/>
      <c r="AA10" s="714"/>
      <c r="AB10" s="714"/>
      <c r="AC10" s="714"/>
      <c r="AD10" s="1034">
        <v>0</v>
      </c>
      <c r="AE10" s="1034">
        <v>0</v>
      </c>
      <c r="AF10" s="1034">
        <f>('Business Rebates'!AE54*0.8)*(1+U$6)</f>
        <v>188605.44</v>
      </c>
      <c r="AG10" s="1034">
        <f>(AF10+'Business Rebates'!AF54)*(1+$U10)</f>
        <v>282908.15999999997</v>
      </c>
      <c r="AH10" s="1034">
        <f t="shared" ref="AH10" si="59">AG10</f>
        <v>282908.15999999997</v>
      </c>
      <c r="AI10" s="1034">
        <f t="shared" ref="AI10" si="60">AH10*0.8</f>
        <v>226326.52799999999</v>
      </c>
      <c r="AJ10" s="1034">
        <f t="shared" si="2"/>
        <v>181061.2224</v>
      </c>
      <c r="AK10" s="711" t="s">
        <v>384</v>
      </c>
      <c r="AL10" s="711" t="s">
        <v>742</v>
      </c>
      <c r="AM10" s="711" t="s">
        <v>1186</v>
      </c>
      <c r="AN10" s="711" t="s">
        <v>1152</v>
      </c>
      <c r="AO10" s="711" t="s">
        <v>1</v>
      </c>
      <c r="AP10" s="711"/>
      <c r="AQ10" s="711"/>
      <c r="AR10" s="711"/>
      <c r="AS10" s="715" t="s">
        <v>1153</v>
      </c>
      <c r="AT10" s="711" t="s">
        <v>1147</v>
      </c>
      <c r="AU10" s="715" t="s">
        <v>746</v>
      </c>
      <c r="AV10" s="661">
        <v>12</v>
      </c>
      <c r="AW10" s="661">
        <v>3</v>
      </c>
      <c r="AX10" s="711" t="s">
        <v>1485</v>
      </c>
      <c r="AY10" s="716">
        <v>1</v>
      </c>
      <c r="AZ10" s="716">
        <v>1</v>
      </c>
      <c r="BA10" s="717">
        <v>0</v>
      </c>
      <c r="BB10" s="774">
        <f t="shared" si="29"/>
        <v>36.285714285714285</v>
      </c>
      <c r="BC10" s="503">
        <f t="shared" si="3"/>
        <v>36.285714285714285</v>
      </c>
      <c r="BD10" s="503">
        <f t="shared" si="3"/>
        <v>36.285714285714285</v>
      </c>
      <c r="BE10" s="503">
        <f t="shared" si="4"/>
        <v>36.285714285714285</v>
      </c>
      <c r="BF10" s="503">
        <f t="shared" si="4"/>
        <v>36.285714285714285</v>
      </c>
      <c r="BG10" s="503">
        <f t="shared" si="4"/>
        <v>36.285714285714285</v>
      </c>
      <c r="BH10" s="776">
        <f t="shared" si="4"/>
        <v>36.285714285714285</v>
      </c>
      <c r="BI10" s="503">
        <f t="shared" si="30"/>
        <v>0</v>
      </c>
      <c r="BJ10" s="503">
        <f t="shared" si="5"/>
        <v>0</v>
      </c>
      <c r="BK10" s="503">
        <f t="shared" si="5"/>
        <v>0</v>
      </c>
      <c r="BL10" s="503">
        <f t="shared" si="5"/>
        <v>0</v>
      </c>
      <c r="BM10" s="503">
        <f t="shared" si="6"/>
        <v>0</v>
      </c>
      <c r="BN10" s="503">
        <f t="shared" si="6"/>
        <v>0</v>
      </c>
      <c r="BO10" s="645">
        <f t="shared" si="6"/>
        <v>0</v>
      </c>
      <c r="BP10" s="774">
        <f t="shared" si="7"/>
        <v>5</v>
      </c>
      <c r="BQ10" s="503">
        <f t="shared" si="8"/>
        <v>5</v>
      </c>
      <c r="BR10" s="503">
        <f t="shared" si="8"/>
        <v>5</v>
      </c>
      <c r="BS10" s="503">
        <f t="shared" si="8"/>
        <v>5</v>
      </c>
      <c r="BT10" s="503">
        <f t="shared" si="9"/>
        <v>5</v>
      </c>
      <c r="BU10" s="503">
        <f t="shared" si="9"/>
        <v>5</v>
      </c>
      <c r="BV10" s="776">
        <f t="shared" si="9"/>
        <v>5</v>
      </c>
      <c r="BW10" s="503"/>
      <c r="BX10" s="503"/>
      <c r="BY10" s="503"/>
      <c r="BZ10" s="503"/>
      <c r="CA10" s="503"/>
      <c r="CB10" s="503"/>
      <c r="CC10" s="645"/>
      <c r="CD10" s="722">
        <f t="shared" si="31"/>
        <v>129.12008590645323</v>
      </c>
      <c r="CE10" s="511">
        <f t="shared" si="11"/>
        <v>129.12008590645323</v>
      </c>
      <c r="CF10" s="511">
        <f t="shared" si="11"/>
        <v>129.12008590645323</v>
      </c>
      <c r="CG10" s="511">
        <f t="shared" si="11"/>
        <v>129.12008590645323</v>
      </c>
      <c r="CH10" s="511">
        <f t="shared" si="12"/>
        <v>129.12008590645323</v>
      </c>
      <c r="CI10" s="511">
        <f t="shared" si="12"/>
        <v>129.12008590645323</v>
      </c>
      <c r="CJ10" s="723">
        <f t="shared" si="12"/>
        <v>129.12008590645323</v>
      </c>
      <c r="CK10" s="722">
        <f t="shared" si="13"/>
        <v>6.2447295814748824E-2</v>
      </c>
      <c r="CL10" s="511">
        <f t="shared" si="14"/>
        <v>6.2447295814748824E-2</v>
      </c>
      <c r="CM10" s="511">
        <f t="shared" si="14"/>
        <v>6.2447295814748824E-2</v>
      </c>
      <c r="CN10" s="511">
        <f t="shared" si="14"/>
        <v>6.2447295814748824E-2</v>
      </c>
      <c r="CO10" s="511">
        <f t="shared" si="15"/>
        <v>6.2447295814748824E-2</v>
      </c>
      <c r="CP10" s="511">
        <f t="shared" si="15"/>
        <v>6.2447295814748824E-2</v>
      </c>
      <c r="CQ10" s="723">
        <f t="shared" si="15"/>
        <v>6.2447295814748824E-2</v>
      </c>
      <c r="CR10" s="511">
        <f t="shared" si="16"/>
        <v>0</v>
      </c>
      <c r="CS10" s="511">
        <f t="shared" si="17"/>
        <v>0</v>
      </c>
      <c r="CT10" s="511">
        <f t="shared" si="17"/>
        <v>0</v>
      </c>
      <c r="CU10" s="511">
        <f t="shared" si="17"/>
        <v>0</v>
      </c>
      <c r="CV10" s="511">
        <f t="shared" si="18"/>
        <v>0</v>
      </c>
      <c r="CW10" s="511">
        <f t="shared" si="18"/>
        <v>0</v>
      </c>
      <c r="CX10" s="539">
        <f t="shared" si="18"/>
        <v>0</v>
      </c>
      <c r="CY10" s="774">
        <f t="shared" si="32"/>
        <v>0</v>
      </c>
      <c r="CZ10" s="503">
        <f t="shared" si="32"/>
        <v>0</v>
      </c>
      <c r="DA10" s="503">
        <f t="shared" si="32"/>
        <v>6843683.1085714288</v>
      </c>
      <c r="DB10" s="503">
        <f t="shared" si="32"/>
        <v>10265524.662857141</v>
      </c>
      <c r="DC10" s="503">
        <f t="shared" si="32"/>
        <v>10265524.662857141</v>
      </c>
      <c r="DD10" s="503">
        <f t="shared" si="32"/>
        <v>8212419.7302857134</v>
      </c>
      <c r="DE10" s="776">
        <f t="shared" si="32"/>
        <v>6569935.7842285708</v>
      </c>
      <c r="DF10" s="774">
        <f t="shared" si="33"/>
        <v>0</v>
      </c>
      <c r="DG10" s="503">
        <f t="shared" si="33"/>
        <v>0</v>
      </c>
      <c r="DH10" s="503">
        <f t="shared" si="33"/>
        <v>0</v>
      </c>
      <c r="DI10" s="503">
        <f t="shared" si="33"/>
        <v>0</v>
      </c>
      <c r="DJ10" s="503">
        <f t="shared" si="33"/>
        <v>0</v>
      </c>
      <c r="DK10" s="503">
        <f t="shared" si="33"/>
        <v>0</v>
      </c>
      <c r="DL10" s="776">
        <f t="shared" si="33"/>
        <v>0</v>
      </c>
      <c r="DM10" s="774">
        <f t="shared" si="34"/>
        <v>0</v>
      </c>
      <c r="DN10" s="503">
        <f t="shared" si="34"/>
        <v>0</v>
      </c>
      <c r="DO10" s="503">
        <f t="shared" si="34"/>
        <v>943027.19999999995</v>
      </c>
      <c r="DP10" s="503">
        <f t="shared" si="34"/>
        <v>1414540.7999999998</v>
      </c>
      <c r="DQ10" s="503">
        <f t="shared" si="34"/>
        <v>1414540.7999999998</v>
      </c>
      <c r="DR10" s="503">
        <f t="shared" si="34"/>
        <v>1131632.6399999999</v>
      </c>
      <c r="DS10" s="776">
        <f t="shared" si="34"/>
        <v>905306.11199999996</v>
      </c>
      <c r="DT10" s="774">
        <f t="shared" si="35"/>
        <v>0</v>
      </c>
      <c r="DU10" s="503">
        <f t="shared" si="35"/>
        <v>0</v>
      </c>
      <c r="DV10" s="503">
        <f t="shared" si="35"/>
        <v>0</v>
      </c>
      <c r="DW10" s="503">
        <f t="shared" si="35"/>
        <v>0</v>
      </c>
      <c r="DX10" s="503">
        <f t="shared" si="35"/>
        <v>0</v>
      </c>
      <c r="DY10" s="503">
        <f t="shared" si="35"/>
        <v>0</v>
      </c>
      <c r="DZ10" s="776">
        <f t="shared" si="35"/>
        <v>0</v>
      </c>
      <c r="EA10" s="511">
        <f t="shared" si="36"/>
        <v>0</v>
      </c>
      <c r="EB10" s="511">
        <f t="shared" si="36"/>
        <v>0</v>
      </c>
      <c r="EC10" s="511">
        <f t="shared" si="36"/>
        <v>24352750.61522441</v>
      </c>
      <c r="ED10" s="511">
        <f t="shared" si="36"/>
        <v>36529125.922836609</v>
      </c>
      <c r="EE10" s="511">
        <f t="shared" si="36"/>
        <v>36529125.922836609</v>
      </c>
      <c r="EF10" s="511">
        <f t="shared" si="36"/>
        <v>29223300.738269292</v>
      </c>
      <c r="EG10" s="539">
        <f t="shared" si="36"/>
        <v>23378640.590615433</v>
      </c>
      <c r="EH10" s="722">
        <f t="shared" si="37"/>
        <v>0</v>
      </c>
      <c r="EI10" s="511">
        <f t="shared" si="37"/>
        <v>0</v>
      </c>
      <c r="EJ10" s="511">
        <f t="shared" si="37"/>
        <v>11777.899703950861</v>
      </c>
      <c r="EK10" s="511">
        <f t="shared" si="37"/>
        <v>17666.849555926288</v>
      </c>
      <c r="EL10" s="511">
        <f t="shared" si="37"/>
        <v>17666.849555926288</v>
      </c>
      <c r="EM10" s="511">
        <f t="shared" si="37"/>
        <v>14133.479644741032</v>
      </c>
      <c r="EN10" s="723">
        <f t="shared" si="37"/>
        <v>11306.783715792826</v>
      </c>
      <c r="EO10" s="722">
        <f t="shared" si="38"/>
        <v>0</v>
      </c>
      <c r="EP10" s="511">
        <f t="shared" si="38"/>
        <v>0</v>
      </c>
      <c r="EQ10" s="511">
        <f t="shared" si="38"/>
        <v>0</v>
      </c>
      <c r="ER10" s="511">
        <f t="shared" si="38"/>
        <v>0</v>
      </c>
      <c r="ES10" s="511">
        <f t="shared" si="38"/>
        <v>0</v>
      </c>
      <c r="ET10" s="511">
        <f t="shared" si="38"/>
        <v>0</v>
      </c>
      <c r="EU10" s="723">
        <f t="shared" si="38"/>
        <v>0</v>
      </c>
      <c r="EV10" s="722">
        <f t="shared" si="39"/>
        <v>1161809.5104</v>
      </c>
      <c r="EW10" s="503">
        <f t="shared" si="40"/>
        <v>42157087.948799998</v>
      </c>
      <c r="EX10" s="503">
        <f t="shared" si="41"/>
        <v>0</v>
      </c>
      <c r="EY10" s="503">
        <f t="shared" si="42"/>
        <v>5809047.5519999992</v>
      </c>
      <c r="EZ10" s="503">
        <f t="shared" si="43"/>
        <v>0</v>
      </c>
      <c r="FA10" s="511">
        <f t="shared" si="44"/>
        <v>150012943.78978235</v>
      </c>
      <c r="FB10" s="511">
        <f t="shared" si="45"/>
        <v>72551.862176337294</v>
      </c>
      <c r="FC10" s="511">
        <f t="shared" si="46"/>
        <v>0</v>
      </c>
      <c r="FE10" s="10" t="b">
        <f t="shared" si="47"/>
        <v>1</v>
      </c>
      <c r="FF10" s="10" t="b">
        <f t="shared" si="48"/>
        <v>1</v>
      </c>
      <c r="FG10" s="10" t="b">
        <f t="shared" si="49"/>
        <v>1</v>
      </c>
      <c r="FH10" s="10" t="b">
        <f t="shared" si="50"/>
        <v>1</v>
      </c>
      <c r="FI10" s="10" t="b">
        <f t="shared" si="51"/>
        <v>1</v>
      </c>
      <c r="FJ10" s="10" t="b">
        <f t="shared" si="52"/>
        <v>1</v>
      </c>
      <c r="FK10" s="10" t="b">
        <f t="shared" si="53"/>
        <v>1</v>
      </c>
      <c r="FL10" s="10" t="b">
        <f t="shared" si="54"/>
        <v>1</v>
      </c>
    </row>
    <row r="11" spans="1:168" s="10" customFormat="1" ht="12.75" customHeight="1">
      <c r="A11" s="662">
        <v>6</v>
      </c>
      <c r="B11" s="703" t="s">
        <v>1335</v>
      </c>
      <c r="C11" s="703" t="s">
        <v>1318</v>
      </c>
      <c r="D11" s="703" t="s">
        <v>1336</v>
      </c>
      <c r="E11" s="703" t="s">
        <v>331</v>
      </c>
      <c r="F11" s="704" t="s">
        <v>402</v>
      </c>
      <c r="G11" s="1090">
        <v>152</v>
      </c>
      <c r="H11" s="707">
        <v>0</v>
      </c>
      <c r="I11" s="779">
        <v>152</v>
      </c>
      <c r="J11" s="707">
        <v>0</v>
      </c>
      <c r="K11" s="779">
        <v>76</v>
      </c>
      <c r="L11" s="1085" t="s">
        <v>1332</v>
      </c>
      <c r="M11" s="707">
        <v>6</v>
      </c>
      <c r="N11" s="708">
        <v>6</v>
      </c>
      <c r="O11" s="707">
        <v>0</v>
      </c>
      <c r="P11" s="708">
        <v>0</v>
      </c>
      <c r="Q11" s="1086">
        <f>AVERAGE(LGE_KU_ComReb_Report_Data!$G$69:$G$72)</f>
        <v>208.35125523884722</v>
      </c>
      <c r="R11" s="1087">
        <f>AVERAGE(LGE_KU_ComReb_Report_Data!$H$69:$H$72)</f>
        <v>4.4388573704168037E-2</v>
      </c>
      <c r="S11" s="1088">
        <v>0</v>
      </c>
      <c r="T11" s="1089" t="s">
        <v>1212</v>
      </c>
      <c r="U11" s="712">
        <v>0.2</v>
      </c>
      <c r="V11" s="713">
        <v>1</v>
      </c>
      <c r="W11" s="661"/>
      <c r="X11" s="661"/>
      <c r="Y11" s="661"/>
      <c r="Z11" s="661"/>
      <c r="AA11" s="714"/>
      <c r="AB11" s="714"/>
      <c r="AC11" s="714"/>
      <c r="AD11" s="1034">
        <v>0</v>
      </c>
      <c r="AE11" s="1034">
        <v>0</v>
      </c>
      <c r="AF11" s="1034">
        <f>('Business Rebates'!AE55*0.8)*(1+U$6)</f>
        <v>23395.200000000001</v>
      </c>
      <c r="AG11" s="1034">
        <f>(AF11+'Business Rebates'!AF55)*(1+$U11)</f>
        <v>35092.799999999996</v>
      </c>
      <c r="AH11" s="1034">
        <f t="shared" ref="AH11" si="61">AG11</f>
        <v>35092.799999999996</v>
      </c>
      <c r="AI11" s="1034">
        <f t="shared" ref="AI11" si="62">AH11*0.8</f>
        <v>28074.239999999998</v>
      </c>
      <c r="AJ11" s="1034">
        <f t="shared" si="2"/>
        <v>22459.392</v>
      </c>
      <c r="AK11" s="711" t="s">
        <v>384</v>
      </c>
      <c r="AL11" s="711" t="s">
        <v>742</v>
      </c>
      <c r="AM11" s="711" t="s">
        <v>1186</v>
      </c>
      <c r="AN11" s="711" t="s">
        <v>1152</v>
      </c>
      <c r="AO11" s="711" t="s">
        <v>1</v>
      </c>
      <c r="AP11" s="711"/>
      <c r="AQ11" s="711"/>
      <c r="AR11" s="711"/>
      <c r="AS11" s="715" t="s">
        <v>1153</v>
      </c>
      <c r="AT11" s="711" t="s">
        <v>1147</v>
      </c>
      <c r="AU11" s="715" t="s">
        <v>746</v>
      </c>
      <c r="AV11" s="661">
        <v>12</v>
      </c>
      <c r="AW11" s="661">
        <v>3</v>
      </c>
      <c r="AX11" s="711" t="s">
        <v>1485</v>
      </c>
      <c r="AY11" s="716">
        <v>1</v>
      </c>
      <c r="AZ11" s="716">
        <v>1</v>
      </c>
      <c r="BA11" s="717">
        <v>0</v>
      </c>
      <c r="BB11" s="774">
        <f t="shared" si="29"/>
        <v>152</v>
      </c>
      <c r="BC11" s="503">
        <f t="shared" si="3"/>
        <v>152</v>
      </c>
      <c r="BD11" s="503">
        <f t="shared" si="3"/>
        <v>152</v>
      </c>
      <c r="BE11" s="503">
        <f t="shared" si="4"/>
        <v>152</v>
      </c>
      <c r="BF11" s="503">
        <f t="shared" si="4"/>
        <v>152</v>
      </c>
      <c r="BG11" s="503">
        <f t="shared" si="4"/>
        <v>152</v>
      </c>
      <c r="BH11" s="776">
        <f t="shared" si="4"/>
        <v>152</v>
      </c>
      <c r="BI11" s="503">
        <f t="shared" si="30"/>
        <v>0</v>
      </c>
      <c r="BJ11" s="503">
        <f t="shared" si="5"/>
        <v>0</v>
      </c>
      <c r="BK11" s="503">
        <f t="shared" si="5"/>
        <v>0</v>
      </c>
      <c r="BL11" s="503">
        <f t="shared" si="5"/>
        <v>0</v>
      </c>
      <c r="BM11" s="503">
        <f t="shared" si="6"/>
        <v>0</v>
      </c>
      <c r="BN11" s="503">
        <f t="shared" si="6"/>
        <v>0</v>
      </c>
      <c r="BO11" s="645">
        <f t="shared" si="6"/>
        <v>0</v>
      </c>
      <c r="BP11" s="774">
        <f t="shared" si="7"/>
        <v>6</v>
      </c>
      <c r="BQ11" s="503">
        <f t="shared" si="8"/>
        <v>6</v>
      </c>
      <c r="BR11" s="503">
        <f t="shared" si="8"/>
        <v>6</v>
      </c>
      <c r="BS11" s="503">
        <f t="shared" si="8"/>
        <v>6</v>
      </c>
      <c r="BT11" s="503">
        <f t="shared" si="9"/>
        <v>6</v>
      </c>
      <c r="BU11" s="503">
        <f t="shared" si="9"/>
        <v>6</v>
      </c>
      <c r="BV11" s="776">
        <f t="shared" si="9"/>
        <v>6</v>
      </c>
      <c r="BW11" s="503"/>
      <c r="BX11" s="503"/>
      <c r="BY11" s="503"/>
      <c r="BZ11" s="503"/>
      <c r="CA11" s="503"/>
      <c r="CB11" s="503"/>
      <c r="CC11" s="645"/>
      <c r="CD11" s="722">
        <f t="shared" si="31"/>
        <v>208.35125523884722</v>
      </c>
      <c r="CE11" s="511">
        <f t="shared" si="11"/>
        <v>208.35125523884722</v>
      </c>
      <c r="CF11" s="511">
        <f t="shared" si="11"/>
        <v>208.35125523884722</v>
      </c>
      <c r="CG11" s="511">
        <f t="shared" si="11"/>
        <v>208.35125523884722</v>
      </c>
      <c r="CH11" s="511">
        <f t="shared" si="12"/>
        <v>208.35125523884722</v>
      </c>
      <c r="CI11" s="511">
        <f t="shared" si="12"/>
        <v>208.35125523884722</v>
      </c>
      <c r="CJ11" s="723">
        <f t="shared" si="12"/>
        <v>208.35125523884722</v>
      </c>
      <c r="CK11" s="722">
        <f t="shared" si="13"/>
        <v>4.4388573704168037E-2</v>
      </c>
      <c r="CL11" s="511">
        <f t="shared" si="14"/>
        <v>4.4388573704168037E-2</v>
      </c>
      <c r="CM11" s="511">
        <f t="shared" si="14"/>
        <v>4.4388573704168037E-2</v>
      </c>
      <c r="CN11" s="511">
        <f t="shared" si="14"/>
        <v>4.4388573704168037E-2</v>
      </c>
      <c r="CO11" s="511">
        <f t="shared" si="15"/>
        <v>4.4388573704168037E-2</v>
      </c>
      <c r="CP11" s="511">
        <f t="shared" si="15"/>
        <v>4.4388573704168037E-2</v>
      </c>
      <c r="CQ11" s="723">
        <f t="shared" si="15"/>
        <v>4.4388573704168037E-2</v>
      </c>
      <c r="CR11" s="511">
        <f t="shared" si="16"/>
        <v>0</v>
      </c>
      <c r="CS11" s="511">
        <f t="shared" si="17"/>
        <v>0</v>
      </c>
      <c r="CT11" s="511">
        <f t="shared" si="17"/>
        <v>0</v>
      </c>
      <c r="CU11" s="511">
        <f t="shared" si="17"/>
        <v>0</v>
      </c>
      <c r="CV11" s="511">
        <f t="shared" si="18"/>
        <v>0</v>
      </c>
      <c r="CW11" s="511">
        <f t="shared" si="18"/>
        <v>0</v>
      </c>
      <c r="CX11" s="539">
        <f t="shared" si="18"/>
        <v>0</v>
      </c>
      <c r="CY11" s="774">
        <f t="shared" si="32"/>
        <v>0</v>
      </c>
      <c r="CZ11" s="503">
        <f t="shared" si="32"/>
        <v>0</v>
      </c>
      <c r="DA11" s="503">
        <f t="shared" si="32"/>
        <v>3556070.4</v>
      </c>
      <c r="DB11" s="503">
        <f t="shared" si="32"/>
        <v>5334105.5999999996</v>
      </c>
      <c r="DC11" s="503">
        <f t="shared" si="32"/>
        <v>5334105.5999999996</v>
      </c>
      <c r="DD11" s="503">
        <f t="shared" si="32"/>
        <v>4267284.4799999995</v>
      </c>
      <c r="DE11" s="776">
        <f t="shared" si="32"/>
        <v>3413827.5839999998</v>
      </c>
      <c r="DF11" s="774">
        <f t="shared" si="33"/>
        <v>0</v>
      </c>
      <c r="DG11" s="503">
        <f t="shared" si="33"/>
        <v>0</v>
      </c>
      <c r="DH11" s="503">
        <f t="shared" si="33"/>
        <v>0</v>
      </c>
      <c r="DI11" s="503">
        <f t="shared" si="33"/>
        <v>0</v>
      </c>
      <c r="DJ11" s="503">
        <f t="shared" si="33"/>
        <v>0</v>
      </c>
      <c r="DK11" s="503">
        <f t="shared" si="33"/>
        <v>0</v>
      </c>
      <c r="DL11" s="776">
        <f t="shared" si="33"/>
        <v>0</v>
      </c>
      <c r="DM11" s="774">
        <f t="shared" si="34"/>
        <v>0</v>
      </c>
      <c r="DN11" s="503">
        <f t="shared" si="34"/>
        <v>0</v>
      </c>
      <c r="DO11" s="503">
        <f t="shared" si="34"/>
        <v>140371.20000000001</v>
      </c>
      <c r="DP11" s="503">
        <f t="shared" si="34"/>
        <v>210556.79999999999</v>
      </c>
      <c r="DQ11" s="503">
        <f t="shared" si="34"/>
        <v>210556.79999999999</v>
      </c>
      <c r="DR11" s="503">
        <f t="shared" si="34"/>
        <v>168445.44</v>
      </c>
      <c r="DS11" s="776">
        <f t="shared" si="34"/>
        <v>134756.35200000001</v>
      </c>
      <c r="DT11" s="774">
        <f t="shared" si="35"/>
        <v>0</v>
      </c>
      <c r="DU11" s="503">
        <f t="shared" si="35"/>
        <v>0</v>
      </c>
      <c r="DV11" s="503">
        <f t="shared" si="35"/>
        <v>0</v>
      </c>
      <c r="DW11" s="503">
        <f t="shared" si="35"/>
        <v>0</v>
      </c>
      <c r="DX11" s="503">
        <f t="shared" si="35"/>
        <v>0</v>
      </c>
      <c r="DY11" s="503">
        <f t="shared" si="35"/>
        <v>0</v>
      </c>
      <c r="DZ11" s="776">
        <f t="shared" si="35"/>
        <v>0</v>
      </c>
      <c r="EA11" s="511">
        <f t="shared" si="36"/>
        <v>0</v>
      </c>
      <c r="EB11" s="511">
        <f t="shared" si="36"/>
        <v>0</v>
      </c>
      <c r="EC11" s="511">
        <f t="shared" si="36"/>
        <v>4874419.2865638789</v>
      </c>
      <c r="ED11" s="511">
        <f t="shared" si="36"/>
        <v>7311628.9298458165</v>
      </c>
      <c r="EE11" s="511">
        <f t="shared" si="36"/>
        <v>7311628.9298458165</v>
      </c>
      <c r="EF11" s="511">
        <f t="shared" si="36"/>
        <v>5849303.1438766541</v>
      </c>
      <c r="EG11" s="539">
        <f t="shared" si="36"/>
        <v>4679442.5151013229</v>
      </c>
      <c r="EH11" s="722">
        <f t="shared" si="37"/>
        <v>0</v>
      </c>
      <c r="EI11" s="511">
        <f t="shared" si="37"/>
        <v>0</v>
      </c>
      <c r="EJ11" s="511">
        <f t="shared" si="37"/>
        <v>1038.4795595237522</v>
      </c>
      <c r="EK11" s="511">
        <f t="shared" si="37"/>
        <v>1557.7193392856279</v>
      </c>
      <c r="EL11" s="511">
        <f t="shared" si="37"/>
        <v>1557.7193392856279</v>
      </c>
      <c r="EM11" s="511">
        <f t="shared" si="37"/>
        <v>1246.1754714285023</v>
      </c>
      <c r="EN11" s="723">
        <f t="shared" si="37"/>
        <v>996.94037714280194</v>
      </c>
      <c r="EO11" s="722">
        <f t="shared" si="38"/>
        <v>0</v>
      </c>
      <c r="EP11" s="511">
        <f t="shared" si="38"/>
        <v>0</v>
      </c>
      <c r="EQ11" s="511">
        <f t="shared" si="38"/>
        <v>0</v>
      </c>
      <c r="ER11" s="511">
        <f t="shared" si="38"/>
        <v>0</v>
      </c>
      <c r="ES11" s="511">
        <f t="shared" si="38"/>
        <v>0</v>
      </c>
      <c r="ET11" s="511">
        <f t="shared" si="38"/>
        <v>0</v>
      </c>
      <c r="EU11" s="723">
        <f t="shared" si="38"/>
        <v>0</v>
      </c>
      <c r="EV11" s="722">
        <f t="shared" si="39"/>
        <v>144114.43199999997</v>
      </c>
      <c r="EW11" s="503">
        <f t="shared" si="40"/>
        <v>21905393.663999997</v>
      </c>
      <c r="EX11" s="503">
        <f t="shared" si="41"/>
        <v>0</v>
      </c>
      <c r="EY11" s="503">
        <f t="shared" si="42"/>
        <v>864686.59199999995</v>
      </c>
      <c r="EZ11" s="503">
        <f t="shared" si="43"/>
        <v>0</v>
      </c>
      <c r="FA11" s="511">
        <f t="shared" si="44"/>
        <v>30026422.805233486</v>
      </c>
      <c r="FB11" s="511">
        <f t="shared" si="45"/>
        <v>6397.0340866663119</v>
      </c>
      <c r="FC11" s="511">
        <f t="shared" si="46"/>
        <v>0</v>
      </c>
      <c r="FE11" s="10" t="b">
        <f t="shared" si="47"/>
        <v>1</v>
      </c>
      <c r="FF11" s="10" t="b">
        <f t="shared" si="48"/>
        <v>1</v>
      </c>
      <c r="FG11" s="10" t="b">
        <f t="shared" si="49"/>
        <v>1</v>
      </c>
      <c r="FH11" s="10" t="b">
        <f t="shared" si="50"/>
        <v>1</v>
      </c>
      <c r="FI11" s="10" t="b">
        <f t="shared" si="51"/>
        <v>1</v>
      </c>
      <c r="FJ11" s="10" t="b">
        <f t="shared" si="52"/>
        <v>1</v>
      </c>
      <c r="FK11" s="10" t="b">
        <f t="shared" si="53"/>
        <v>1</v>
      </c>
      <c r="FL11" s="10" t="b">
        <f t="shared" si="54"/>
        <v>1</v>
      </c>
    </row>
    <row r="12" spans="1:168" s="10" customFormat="1" ht="12.75" customHeight="1">
      <c r="A12" s="662">
        <v>7</v>
      </c>
      <c r="B12" s="703" t="s">
        <v>1337</v>
      </c>
      <c r="C12" s="703" t="s">
        <v>1318</v>
      </c>
      <c r="D12" s="703" t="s">
        <v>1338</v>
      </c>
      <c r="E12" s="703" t="s">
        <v>331</v>
      </c>
      <c r="F12" s="704" t="s">
        <v>402</v>
      </c>
      <c r="G12" s="1090">
        <v>18.5</v>
      </c>
      <c r="H12" s="707">
        <v>0</v>
      </c>
      <c r="I12" s="779">
        <v>18.5</v>
      </c>
      <c r="J12" s="707">
        <v>0</v>
      </c>
      <c r="K12" s="779">
        <v>9.25</v>
      </c>
      <c r="L12" s="1085" t="s">
        <v>1339</v>
      </c>
      <c r="M12" s="707">
        <v>13</v>
      </c>
      <c r="N12" s="708">
        <v>13</v>
      </c>
      <c r="O12" s="707">
        <v>0</v>
      </c>
      <c r="P12" s="708">
        <v>0</v>
      </c>
      <c r="Q12" s="1086">
        <f>AVERAGE(LGE_KU_ComReb_Report_Data!$G$57:$G$68,LGE_KU_ComReb_Report_Data!$G$73:$G$81)</f>
        <v>634.50473031189699</v>
      </c>
      <c r="R12" s="1087">
        <f>AVERAGE(LGE_KU_ComReb_Report_Data!$H$57:$H$68,LGE_KU_ComReb_Report_Data!$H$73:$H$81)</f>
        <v>0</v>
      </c>
      <c r="S12" s="1088">
        <v>0</v>
      </c>
      <c r="T12" s="1089" t="s">
        <v>1212</v>
      </c>
      <c r="U12" s="712">
        <v>0.2</v>
      </c>
      <c r="V12" s="713">
        <v>1</v>
      </c>
      <c r="W12" s="661"/>
      <c r="X12" s="661"/>
      <c r="Y12" s="661"/>
      <c r="Z12" s="661"/>
      <c r="AA12" s="714"/>
      <c r="AB12" s="714"/>
      <c r="AC12" s="714"/>
      <c r="AD12" s="1034">
        <v>0</v>
      </c>
      <c r="AE12" s="1034">
        <v>0</v>
      </c>
      <c r="AF12" s="1034">
        <f>('Business Rebates'!AE56*0.8)*(1+U$6)</f>
        <v>54618.240000000005</v>
      </c>
      <c r="AG12" s="1034">
        <f>(AF12+'Business Rebates'!AF56)*(1+$U12)</f>
        <v>81927.360000000001</v>
      </c>
      <c r="AH12" s="1034">
        <f t="shared" ref="AH12" si="63">AG12</f>
        <v>81927.360000000001</v>
      </c>
      <c r="AI12" s="1034">
        <f t="shared" ref="AI12" si="64">AH12*0.8</f>
        <v>65541.888000000006</v>
      </c>
      <c r="AJ12" s="1034">
        <f t="shared" si="2"/>
        <v>52433.510400000006</v>
      </c>
      <c r="AK12" s="711" t="s">
        <v>384</v>
      </c>
      <c r="AL12" s="711" t="s">
        <v>742</v>
      </c>
      <c r="AM12" s="711" t="s">
        <v>1186</v>
      </c>
      <c r="AN12" s="711" t="s">
        <v>1152</v>
      </c>
      <c r="AO12" s="711" t="s">
        <v>1</v>
      </c>
      <c r="AP12" s="711"/>
      <c r="AQ12" s="711"/>
      <c r="AR12" s="711"/>
      <c r="AS12" s="715" t="s">
        <v>1153</v>
      </c>
      <c r="AT12" s="711" t="s">
        <v>1147</v>
      </c>
      <c r="AU12" s="715" t="s">
        <v>746</v>
      </c>
      <c r="AV12" s="661">
        <v>20</v>
      </c>
      <c r="AW12" s="661">
        <v>15</v>
      </c>
      <c r="AX12" s="711" t="s">
        <v>1486</v>
      </c>
      <c r="AY12" s="716">
        <v>1</v>
      </c>
      <c r="AZ12" s="716">
        <v>1</v>
      </c>
      <c r="BA12" s="717">
        <v>0</v>
      </c>
      <c r="BB12" s="774">
        <f t="shared" si="29"/>
        <v>18.5</v>
      </c>
      <c r="BC12" s="503">
        <f t="shared" si="3"/>
        <v>18.5</v>
      </c>
      <c r="BD12" s="503">
        <f t="shared" si="3"/>
        <v>18.5</v>
      </c>
      <c r="BE12" s="503">
        <f t="shared" si="4"/>
        <v>18.5</v>
      </c>
      <c r="BF12" s="503">
        <f t="shared" si="4"/>
        <v>18.5</v>
      </c>
      <c r="BG12" s="503">
        <f t="shared" si="4"/>
        <v>18.5</v>
      </c>
      <c r="BH12" s="776">
        <f t="shared" si="4"/>
        <v>18.5</v>
      </c>
      <c r="BI12" s="503">
        <f t="shared" si="30"/>
        <v>0</v>
      </c>
      <c r="BJ12" s="503">
        <f t="shared" si="5"/>
        <v>0</v>
      </c>
      <c r="BK12" s="503">
        <f t="shared" si="5"/>
        <v>0</v>
      </c>
      <c r="BL12" s="503">
        <f t="shared" si="5"/>
        <v>0</v>
      </c>
      <c r="BM12" s="503">
        <f t="shared" si="6"/>
        <v>0</v>
      </c>
      <c r="BN12" s="503">
        <f t="shared" si="6"/>
        <v>0</v>
      </c>
      <c r="BO12" s="645">
        <f t="shared" si="6"/>
        <v>0</v>
      </c>
      <c r="BP12" s="774">
        <f t="shared" si="7"/>
        <v>13</v>
      </c>
      <c r="BQ12" s="503">
        <f t="shared" si="8"/>
        <v>13</v>
      </c>
      <c r="BR12" s="503">
        <f t="shared" si="8"/>
        <v>13</v>
      </c>
      <c r="BS12" s="503">
        <f t="shared" si="8"/>
        <v>13</v>
      </c>
      <c r="BT12" s="503">
        <f t="shared" si="9"/>
        <v>13</v>
      </c>
      <c r="BU12" s="503">
        <f t="shared" si="9"/>
        <v>13</v>
      </c>
      <c r="BV12" s="776">
        <f t="shared" si="9"/>
        <v>13</v>
      </c>
      <c r="BW12" s="503"/>
      <c r="BX12" s="503"/>
      <c r="BY12" s="503"/>
      <c r="BZ12" s="503"/>
      <c r="CA12" s="503"/>
      <c r="CB12" s="503"/>
      <c r="CC12" s="645"/>
      <c r="CD12" s="722">
        <f t="shared" si="31"/>
        <v>634.50473031189699</v>
      </c>
      <c r="CE12" s="511">
        <f t="shared" si="11"/>
        <v>634.50473031189699</v>
      </c>
      <c r="CF12" s="511">
        <f t="shared" si="11"/>
        <v>634.50473031189699</v>
      </c>
      <c r="CG12" s="511">
        <f>CF12</f>
        <v>634.50473031189699</v>
      </c>
      <c r="CH12" s="511">
        <f t="shared" si="12"/>
        <v>634.50473031189699</v>
      </c>
      <c r="CI12" s="511">
        <f t="shared" si="12"/>
        <v>634.50473031189699</v>
      </c>
      <c r="CJ12" s="723">
        <f t="shared" si="12"/>
        <v>634.50473031189699</v>
      </c>
      <c r="CK12" s="722">
        <f t="shared" si="13"/>
        <v>0</v>
      </c>
      <c r="CL12" s="511">
        <f t="shared" si="14"/>
        <v>0</v>
      </c>
      <c r="CM12" s="511">
        <f t="shared" si="14"/>
        <v>0</v>
      </c>
      <c r="CN12" s="511">
        <f t="shared" si="14"/>
        <v>0</v>
      </c>
      <c r="CO12" s="511">
        <f t="shared" si="15"/>
        <v>0</v>
      </c>
      <c r="CP12" s="511">
        <f t="shared" si="15"/>
        <v>0</v>
      </c>
      <c r="CQ12" s="723">
        <f t="shared" si="15"/>
        <v>0</v>
      </c>
      <c r="CR12" s="511">
        <f t="shared" si="16"/>
        <v>0</v>
      </c>
      <c r="CS12" s="511">
        <f t="shared" si="17"/>
        <v>0</v>
      </c>
      <c r="CT12" s="511">
        <f t="shared" si="17"/>
        <v>0</v>
      </c>
      <c r="CU12" s="511">
        <f t="shared" si="17"/>
        <v>0</v>
      </c>
      <c r="CV12" s="511">
        <f t="shared" si="18"/>
        <v>0</v>
      </c>
      <c r="CW12" s="511">
        <f t="shared" si="18"/>
        <v>0</v>
      </c>
      <c r="CX12" s="539">
        <f t="shared" si="18"/>
        <v>0</v>
      </c>
      <c r="CY12" s="774">
        <f t="shared" si="32"/>
        <v>0</v>
      </c>
      <c r="CZ12" s="503">
        <f t="shared" si="32"/>
        <v>0</v>
      </c>
      <c r="DA12" s="503">
        <f t="shared" si="32"/>
        <v>1010437.4400000001</v>
      </c>
      <c r="DB12" s="503">
        <f t="shared" si="32"/>
        <v>1515656.16</v>
      </c>
      <c r="DC12" s="503">
        <f t="shared" si="32"/>
        <v>1515656.16</v>
      </c>
      <c r="DD12" s="503">
        <f t="shared" si="32"/>
        <v>1212524.9280000001</v>
      </c>
      <c r="DE12" s="776">
        <f t="shared" si="32"/>
        <v>970019.94240000017</v>
      </c>
      <c r="DF12" s="774">
        <f t="shared" si="33"/>
        <v>0</v>
      </c>
      <c r="DG12" s="503">
        <f t="shared" si="33"/>
        <v>0</v>
      </c>
      <c r="DH12" s="503">
        <f t="shared" si="33"/>
        <v>0</v>
      </c>
      <c r="DI12" s="503">
        <f t="shared" si="33"/>
        <v>0</v>
      </c>
      <c r="DJ12" s="503">
        <f t="shared" si="33"/>
        <v>0</v>
      </c>
      <c r="DK12" s="503">
        <f t="shared" si="33"/>
        <v>0</v>
      </c>
      <c r="DL12" s="776">
        <f t="shared" si="33"/>
        <v>0</v>
      </c>
      <c r="DM12" s="774">
        <f t="shared" si="34"/>
        <v>0</v>
      </c>
      <c r="DN12" s="503">
        <f t="shared" si="34"/>
        <v>0</v>
      </c>
      <c r="DO12" s="503">
        <f t="shared" si="34"/>
        <v>710037.12000000011</v>
      </c>
      <c r="DP12" s="503">
        <f t="shared" si="34"/>
        <v>1065055.68</v>
      </c>
      <c r="DQ12" s="503">
        <f t="shared" si="34"/>
        <v>1065055.68</v>
      </c>
      <c r="DR12" s="503">
        <f t="shared" si="34"/>
        <v>852044.54400000011</v>
      </c>
      <c r="DS12" s="776">
        <f t="shared" si="34"/>
        <v>681635.63520000014</v>
      </c>
      <c r="DT12" s="774">
        <f t="shared" si="35"/>
        <v>0</v>
      </c>
      <c r="DU12" s="503">
        <f t="shared" si="35"/>
        <v>0</v>
      </c>
      <c r="DV12" s="503">
        <f t="shared" si="35"/>
        <v>0</v>
      </c>
      <c r="DW12" s="503">
        <f t="shared" si="35"/>
        <v>0</v>
      </c>
      <c r="DX12" s="503">
        <f t="shared" si="35"/>
        <v>0</v>
      </c>
      <c r="DY12" s="503">
        <f t="shared" si="35"/>
        <v>0</v>
      </c>
      <c r="DZ12" s="776">
        <f t="shared" si="35"/>
        <v>0</v>
      </c>
      <c r="EA12" s="511">
        <f t="shared" si="36"/>
        <v>0</v>
      </c>
      <c r="EB12" s="511">
        <f t="shared" si="36"/>
        <v>0</v>
      </c>
      <c r="EC12" s="511">
        <f t="shared" si="36"/>
        <v>34655531.641310468</v>
      </c>
      <c r="ED12" s="511">
        <f t="shared" si="36"/>
        <v>51983297.461965695</v>
      </c>
      <c r="EE12" s="511">
        <f t="shared" si="36"/>
        <v>51983297.461965695</v>
      </c>
      <c r="EF12" s="511">
        <f t="shared" si="36"/>
        <v>41586637.969572559</v>
      </c>
      <c r="EG12" s="539">
        <f t="shared" si="36"/>
        <v>33269310.37565805</v>
      </c>
      <c r="EH12" s="722">
        <f t="shared" si="37"/>
        <v>0</v>
      </c>
      <c r="EI12" s="511">
        <f t="shared" si="37"/>
        <v>0</v>
      </c>
      <c r="EJ12" s="511">
        <f t="shared" si="37"/>
        <v>0</v>
      </c>
      <c r="EK12" s="511">
        <f t="shared" si="37"/>
        <v>0</v>
      </c>
      <c r="EL12" s="511">
        <f t="shared" si="37"/>
        <v>0</v>
      </c>
      <c r="EM12" s="511">
        <f t="shared" si="37"/>
        <v>0</v>
      </c>
      <c r="EN12" s="723">
        <f t="shared" si="37"/>
        <v>0</v>
      </c>
      <c r="EO12" s="722">
        <f t="shared" si="38"/>
        <v>0</v>
      </c>
      <c r="EP12" s="511">
        <f t="shared" si="38"/>
        <v>0</v>
      </c>
      <c r="EQ12" s="511">
        <f t="shared" si="38"/>
        <v>0</v>
      </c>
      <c r="ER12" s="511">
        <f t="shared" si="38"/>
        <v>0</v>
      </c>
      <c r="ES12" s="511">
        <f t="shared" si="38"/>
        <v>0</v>
      </c>
      <c r="ET12" s="511">
        <f t="shared" si="38"/>
        <v>0</v>
      </c>
      <c r="EU12" s="723">
        <f t="shared" si="38"/>
        <v>0</v>
      </c>
      <c r="EV12" s="722">
        <f t="shared" si="39"/>
        <v>336448.35840000003</v>
      </c>
      <c r="EW12" s="503">
        <f t="shared" si="40"/>
        <v>6224294.6304000001</v>
      </c>
      <c r="EX12" s="503">
        <f t="shared" si="41"/>
        <v>0</v>
      </c>
      <c r="EY12" s="503">
        <f t="shared" si="42"/>
        <v>4373828.6592000006</v>
      </c>
      <c r="EZ12" s="503">
        <f t="shared" si="43"/>
        <v>0</v>
      </c>
      <c r="FA12" s="511">
        <f t="shared" si="44"/>
        <v>213478074.91047245</v>
      </c>
      <c r="FB12" s="511">
        <f t="shared" si="45"/>
        <v>0</v>
      </c>
      <c r="FC12" s="511">
        <f t="shared" si="46"/>
        <v>0</v>
      </c>
      <c r="FE12" s="10" t="b">
        <f t="shared" si="47"/>
        <v>1</v>
      </c>
      <c r="FF12" s="10" t="b">
        <f t="shared" si="48"/>
        <v>1</v>
      </c>
      <c r="FG12" s="10" t="b">
        <f t="shared" si="49"/>
        <v>1</v>
      </c>
      <c r="FH12" s="10" t="b">
        <f t="shared" si="50"/>
        <v>1</v>
      </c>
      <c r="FI12" s="10" t="b">
        <f t="shared" si="51"/>
        <v>1</v>
      </c>
      <c r="FJ12" s="10" t="b">
        <f t="shared" si="52"/>
        <v>1</v>
      </c>
      <c r="FK12" s="10" t="b">
        <f t="shared" si="53"/>
        <v>1</v>
      </c>
      <c r="FL12" s="10" t="b">
        <f t="shared" si="54"/>
        <v>1</v>
      </c>
    </row>
    <row r="13" spans="1:168" s="10" customFormat="1" ht="12.75" customHeight="1">
      <c r="A13" s="662">
        <v>8</v>
      </c>
      <c r="B13" s="703" t="s">
        <v>1340</v>
      </c>
      <c r="C13" s="703" t="s">
        <v>1318</v>
      </c>
      <c r="D13" s="703" t="s">
        <v>1341</v>
      </c>
      <c r="E13" s="703" t="s">
        <v>331</v>
      </c>
      <c r="F13" s="704" t="s">
        <v>402</v>
      </c>
      <c r="G13" s="1090">
        <v>631</v>
      </c>
      <c r="H13" s="707">
        <v>0</v>
      </c>
      <c r="I13" s="779">
        <v>631</v>
      </c>
      <c r="J13" s="707">
        <v>-2.8653333333333331</v>
      </c>
      <c r="K13" s="779">
        <v>315.5</v>
      </c>
      <c r="L13" s="1085" t="s">
        <v>1342</v>
      </c>
      <c r="M13" s="707">
        <v>20</v>
      </c>
      <c r="N13" s="708">
        <v>20</v>
      </c>
      <c r="O13" s="707">
        <v>0</v>
      </c>
      <c r="P13" s="708">
        <v>0</v>
      </c>
      <c r="Q13" s="1086">
        <f>((171-94)/1000)*6049*1</f>
        <v>465.77299999999997</v>
      </c>
      <c r="R13" s="1087">
        <f>((171-94)/1000)*1*0.5</f>
        <v>3.85E-2</v>
      </c>
      <c r="S13" s="1088">
        <v>0</v>
      </c>
      <c r="T13" s="1089" t="s">
        <v>1343</v>
      </c>
      <c r="U13" s="712">
        <v>0.2</v>
      </c>
      <c r="V13" s="713">
        <v>1</v>
      </c>
      <c r="W13" s="661"/>
      <c r="X13" s="661"/>
      <c r="Y13" s="661"/>
      <c r="Z13" s="661"/>
      <c r="AA13" s="714"/>
      <c r="AB13" s="714"/>
      <c r="AC13" s="714"/>
      <c r="AD13" s="1034">
        <v>0</v>
      </c>
      <c r="AE13" s="1034">
        <v>0</v>
      </c>
      <c r="AF13" s="1034">
        <f>('Business Rebates'!AE57*0.8)*(1+U$6)</f>
        <v>8695.68</v>
      </c>
      <c r="AG13" s="1034">
        <f>(AF13+'Business Rebates'!AF57)*(1+$U13)</f>
        <v>13043.52</v>
      </c>
      <c r="AH13" s="1034">
        <f t="shared" ref="AH13" si="65">AG13</f>
        <v>13043.52</v>
      </c>
      <c r="AI13" s="1034">
        <f t="shared" ref="AI13" si="66">AH13*0.8</f>
        <v>10434.816000000001</v>
      </c>
      <c r="AJ13" s="1034">
        <f t="shared" si="2"/>
        <v>8347.8528000000006</v>
      </c>
      <c r="AK13" s="711" t="s">
        <v>384</v>
      </c>
      <c r="AL13" s="711" t="s">
        <v>742</v>
      </c>
      <c r="AM13" s="711" t="s">
        <v>1186</v>
      </c>
      <c r="AN13" s="711" t="s">
        <v>1152</v>
      </c>
      <c r="AO13" s="711" t="s">
        <v>1</v>
      </c>
      <c r="AP13" s="711"/>
      <c r="AQ13" s="711"/>
      <c r="AR13" s="711"/>
      <c r="AS13" s="715" t="s">
        <v>1153</v>
      </c>
      <c r="AT13" s="711" t="s">
        <v>1147</v>
      </c>
      <c r="AU13" s="715" t="s">
        <v>746</v>
      </c>
      <c r="AV13" s="661">
        <v>8</v>
      </c>
      <c r="AW13" s="661">
        <v>15</v>
      </c>
      <c r="AX13" s="711" t="s">
        <v>1487</v>
      </c>
      <c r="AY13" s="716">
        <v>1</v>
      </c>
      <c r="AZ13" s="716">
        <v>1</v>
      </c>
      <c r="BA13" s="717">
        <v>0</v>
      </c>
      <c r="BB13" s="774">
        <f t="shared" si="29"/>
        <v>631</v>
      </c>
      <c r="BC13" s="503">
        <f t="shared" si="3"/>
        <v>631</v>
      </c>
      <c r="BD13" s="503">
        <f t="shared" si="3"/>
        <v>631</v>
      </c>
      <c r="BE13" s="503">
        <f t="shared" si="4"/>
        <v>631</v>
      </c>
      <c r="BF13" s="503">
        <f t="shared" si="4"/>
        <v>631</v>
      </c>
      <c r="BG13" s="503">
        <f t="shared" si="4"/>
        <v>631</v>
      </c>
      <c r="BH13" s="776">
        <f t="shared" si="4"/>
        <v>631</v>
      </c>
      <c r="BI13" s="503">
        <f t="shared" si="30"/>
        <v>-2.8653333333333331</v>
      </c>
      <c r="BJ13" s="503">
        <f t="shared" si="5"/>
        <v>-2.8653333333333331</v>
      </c>
      <c r="BK13" s="503">
        <f t="shared" si="5"/>
        <v>-2.8653333333333331</v>
      </c>
      <c r="BL13" s="503">
        <f t="shared" si="5"/>
        <v>-2.8653333333333331</v>
      </c>
      <c r="BM13" s="503">
        <f t="shared" si="6"/>
        <v>-2.8653333333333331</v>
      </c>
      <c r="BN13" s="503">
        <f t="shared" si="6"/>
        <v>-2.8653333333333331</v>
      </c>
      <c r="BO13" s="645">
        <f t="shared" si="6"/>
        <v>-2.8653333333333331</v>
      </c>
      <c r="BP13" s="774">
        <f t="shared" si="7"/>
        <v>20</v>
      </c>
      <c r="BQ13" s="503">
        <f t="shared" si="8"/>
        <v>20</v>
      </c>
      <c r="BR13" s="503">
        <f t="shared" si="8"/>
        <v>20</v>
      </c>
      <c r="BS13" s="503">
        <f t="shared" si="8"/>
        <v>20</v>
      </c>
      <c r="BT13" s="503">
        <f t="shared" si="9"/>
        <v>20</v>
      </c>
      <c r="BU13" s="503">
        <f t="shared" si="9"/>
        <v>20</v>
      </c>
      <c r="BV13" s="776">
        <f t="shared" si="9"/>
        <v>20</v>
      </c>
      <c r="BW13" s="503"/>
      <c r="BX13" s="503"/>
      <c r="BY13" s="503"/>
      <c r="BZ13" s="503"/>
      <c r="CA13" s="503"/>
      <c r="CB13" s="503"/>
      <c r="CC13" s="645"/>
      <c r="CD13" s="722">
        <f t="shared" si="31"/>
        <v>465.77299999999997</v>
      </c>
      <c r="CE13" s="511">
        <f t="shared" si="11"/>
        <v>465.77299999999997</v>
      </c>
      <c r="CF13" s="511">
        <f t="shared" si="11"/>
        <v>465.77299999999997</v>
      </c>
      <c r="CG13" s="511">
        <f t="shared" si="11"/>
        <v>465.77299999999997</v>
      </c>
      <c r="CH13" s="511">
        <f t="shared" si="12"/>
        <v>465.77299999999997</v>
      </c>
      <c r="CI13" s="511">
        <f t="shared" si="12"/>
        <v>465.77299999999997</v>
      </c>
      <c r="CJ13" s="723">
        <f t="shared" si="12"/>
        <v>465.77299999999997</v>
      </c>
      <c r="CK13" s="722">
        <f t="shared" si="13"/>
        <v>3.85E-2</v>
      </c>
      <c r="CL13" s="511">
        <f t="shared" si="14"/>
        <v>3.85E-2</v>
      </c>
      <c r="CM13" s="511">
        <f t="shared" si="14"/>
        <v>3.85E-2</v>
      </c>
      <c r="CN13" s="511">
        <f t="shared" si="14"/>
        <v>3.85E-2</v>
      </c>
      <c r="CO13" s="511">
        <f t="shared" si="15"/>
        <v>3.85E-2</v>
      </c>
      <c r="CP13" s="511">
        <f t="shared" si="15"/>
        <v>3.85E-2</v>
      </c>
      <c r="CQ13" s="723">
        <f t="shared" si="15"/>
        <v>3.85E-2</v>
      </c>
      <c r="CR13" s="511">
        <f t="shared" si="16"/>
        <v>0</v>
      </c>
      <c r="CS13" s="511">
        <f t="shared" si="17"/>
        <v>0</v>
      </c>
      <c r="CT13" s="511">
        <f t="shared" si="17"/>
        <v>0</v>
      </c>
      <c r="CU13" s="511">
        <f t="shared" si="17"/>
        <v>0</v>
      </c>
      <c r="CV13" s="511">
        <f t="shared" si="18"/>
        <v>0</v>
      </c>
      <c r="CW13" s="511">
        <f t="shared" si="18"/>
        <v>0</v>
      </c>
      <c r="CX13" s="539">
        <f t="shared" si="18"/>
        <v>0</v>
      </c>
      <c r="CY13" s="774">
        <f t="shared" si="32"/>
        <v>0</v>
      </c>
      <c r="CZ13" s="503">
        <f t="shared" si="32"/>
        <v>0</v>
      </c>
      <c r="DA13" s="503">
        <f t="shared" si="32"/>
        <v>5486974.0800000001</v>
      </c>
      <c r="DB13" s="503">
        <f t="shared" si="32"/>
        <v>8230461.1200000001</v>
      </c>
      <c r="DC13" s="503">
        <f t="shared" si="32"/>
        <v>8230461.1200000001</v>
      </c>
      <c r="DD13" s="503">
        <f t="shared" si="32"/>
        <v>6584368.8960000006</v>
      </c>
      <c r="DE13" s="776">
        <f t="shared" si="32"/>
        <v>5267495.1168</v>
      </c>
      <c r="DF13" s="774">
        <f t="shared" si="33"/>
        <v>0</v>
      </c>
      <c r="DG13" s="503">
        <f t="shared" si="33"/>
        <v>0</v>
      </c>
      <c r="DH13" s="503">
        <f t="shared" si="33"/>
        <v>-24916.02176</v>
      </c>
      <c r="DI13" s="503">
        <f t="shared" si="33"/>
        <v>-37374.032639999998</v>
      </c>
      <c r="DJ13" s="503">
        <f t="shared" si="33"/>
        <v>-37374.032639999998</v>
      </c>
      <c r="DK13" s="503">
        <f t="shared" si="33"/>
        <v>-29899.226112</v>
      </c>
      <c r="DL13" s="776">
        <f t="shared" si="33"/>
        <v>-23919.380889600001</v>
      </c>
      <c r="DM13" s="774">
        <f t="shared" si="34"/>
        <v>0</v>
      </c>
      <c r="DN13" s="503">
        <f t="shared" si="34"/>
        <v>0</v>
      </c>
      <c r="DO13" s="503">
        <f t="shared" si="34"/>
        <v>173913.60000000001</v>
      </c>
      <c r="DP13" s="503">
        <f t="shared" si="34"/>
        <v>260870.40000000002</v>
      </c>
      <c r="DQ13" s="503">
        <f t="shared" si="34"/>
        <v>260870.40000000002</v>
      </c>
      <c r="DR13" s="503">
        <f t="shared" si="34"/>
        <v>208696.32000000001</v>
      </c>
      <c r="DS13" s="776">
        <f t="shared" si="34"/>
        <v>166957.05600000001</v>
      </c>
      <c r="DT13" s="774">
        <f t="shared" si="35"/>
        <v>0</v>
      </c>
      <c r="DU13" s="503">
        <f t="shared" si="35"/>
        <v>0</v>
      </c>
      <c r="DV13" s="503">
        <f t="shared" si="35"/>
        <v>0</v>
      </c>
      <c r="DW13" s="503">
        <f t="shared" si="35"/>
        <v>0</v>
      </c>
      <c r="DX13" s="503">
        <f t="shared" si="35"/>
        <v>0</v>
      </c>
      <c r="DY13" s="503">
        <f t="shared" si="35"/>
        <v>0</v>
      </c>
      <c r="DZ13" s="776">
        <f t="shared" si="35"/>
        <v>0</v>
      </c>
      <c r="EA13" s="511">
        <f t="shared" si="36"/>
        <v>0</v>
      </c>
      <c r="EB13" s="511">
        <f t="shared" si="36"/>
        <v>0</v>
      </c>
      <c r="EC13" s="511">
        <f t="shared" si="36"/>
        <v>4050212.9606399997</v>
      </c>
      <c r="ED13" s="511">
        <f t="shared" si="36"/>
        <v>6075319.4409599993</v>
      </c>
      <c r="EE13" s="511">
        <f t="shared" si="36"/>
        <v>6075319.4409599993</v>
      </c>
      <c r="EF13" s="511">
        <f t="shared" si="36"/>
        <v>4860255.5527680004</v>
      </c>
      <c r="EG13" s="539">
        <f t="shared" si="36"/>
        <v>3888204.4422144</v>
      </c>
      <c r="EH13" s="722">
        <f t="shared" si="37"/>
        <v>0</v>
      </c>
      <c r="EI13" s="511">
        <f t="shared" si="37"/>
        <v>0</v>
      </c>
      <c r="EJ13" s="511">
        <f t="shared" si="37"/>
        <v>334.78368</v>
      </c>
      <c r="EK13" s="511">
        <f t="shared" si="37"/>
        <v>502.17552000000001</v>
      </c>
      <c r="EL13" s="511">
        <f t="shared" si="37"/>
        <v>502.17552000000001</v>
      </c>
      <c r="EM13" s="511">
        <f t="shared" si="37"/>
        <v>401.74041600000004</v>
      </c>
      <c r="EN13" s="723">
        <f t="shared" si="37"/>
        <v>321.39233280000002</v>
      </c>
      <c r="EO13" s="722">
        <f t="shared" si="38"/>
        <v>0</v>
      </c>
      <c r="EP13" s="511">
        <f t="shared" si="38"/>
        <v>0</v>
      </c>
      <c r="EQ13" s="511">
        <f t="shared" si="38"/>
        <v>0</v>
      </c>
      <c r="ER13" s="511">
        <f t="shared" si="38"/>
        <v>0</v>
      </c>
      <c r="ES13" s="511">
        <f t="shared" si="38"/>
        <v>0</v>
      </c>
      <c r="ET13" s="511">
        <f t="shared" si="38"/>
        <v>0</v>
      </c>
      <c r="EU13" s="723">
        <f t="shared" si="38"/>
        <v>0</v>
      </c>
      <c r="EV13" s="722">
        <f t="shared" si="39"/>
        <v>53565.388800000001</v>
      </c>
      <c r="EW13" s="503">
        <f t="shared" si="40"/>
        <v>33799760.332800001</v>
      </c>
      <c r="EX13" s="503">
        <f t="shared" si="41"/>
        <v>-153482.69404159999</v>
      </c>
      <c r="EY13" s="503">
        <f t="shared" si="42"/>
        <v>1071307.7760000001</v>
      </c>
      <c r="EZ13" s="503">
        <f t="shared" si="43"/>
        <v>0</v>
      </c>
      <c r="FA13" s="511">
        <f t="shared" si="44"/>
        <v>24949311.8375424</v>
      </c>
      <c r="FB13" s="511">
        <f t="shared" si="45"/>
        <v>2062.2674688000002</v>
      </c>
      <c r="FC13" s="511">
        <f t="shared" si="46"/>
        <v>0</v>
      </c>
      <c r="FE13" s="10" t="b">
        <f t="shared" si="47"/>
        <v>1</v>
      </c>
      <c r="FF13" s="10" t="b">
        <f t="shared" si="48"/>
        <v>1</v>
      </c>
      <c r="FG13" s="10" t="b">
        <f t="shared" si="49"/>
        <v>1</v>
      </c>
      <c r="FH13" s="10" t="b">
        <f t="shared" si="50"/>
        <v>1</v>
      </c>
      <c r="FI13" s="10" t="b">
        <f t="shared" si="51"/>
        <v>1</v>
      </c>
      <c r="FJ13" s="10" t="b">
        <f t="shared" si="52"/>
        <v>1</v>
      </c>
      <c r="FK13" s="10" t="b">
        <f t="shared" si="53"/>
        <v>1</v>
      </c>
      <c r="FL13" s="10" t="b">
        <f t="shared" si="54"/>
        <v>1</v>
      </c>
    </row>
    <row r="14" spans="1:168" s="10" customFormat="1" ht="12.75" customHeight="1">
      <c r="A14" s="662">
        <v>9</v>
      </c>
      <c r="B14" s="703" t="s">
        <v>1344</v>
      </c>
      <c r="C14" s="703" t="s">
        <v>1318</v>
      </c>
      <c r="D14" s="703" t="s">
        <v>1341</v>
      </c>
      <c r="E14" s="703" t="s">
        <v>331</v>
      </c>
      <c r="F14" s="704" t="s">
        <v>402</v>
      </c>
      <c r="G14" s="1090">
        <v>1846</v>
      </c>
      <c r="H14" s="707">
        <v>0</v>
      </c>
      <c r="I14" s="779">
        <v>1846</v>
      </c>
      <c r="J14" s="707">
        <v>-2.8653333333333331</v>
      </c>
      <c r="K14" s="779">
        <v>923</v>
      </c>
      <c r="L14" s="1085" t="s">
        <v>1345</v>
      </c>
      <c r="M14" s="707">
        <v>30</v>
      </c>
      <c r="N14" s="708">
        <v>30</v>
      </c>
      <c r="O14" s="707">
        <v>0</v>
      </c>
      <c r="P14" s="708">
        <v>0</v>
      </c>
      <c r="Q14" s="1086">
        <f>((370-205)/1000)*6049*1</f>
        <v>998.08500000000004</v>
      </c>
      <c r="R14" s="1087">
        <f>((370-205)/1000)*1*0.5</f>
        <v>8.2500000000000004E-2</v>
      </c>
      <c r="S14" s="1088">
        <v>0</v>
      </c>
      <c r="T14" s="1089" t="s">
        <v>1343</v>
      </c>
      <c r="U14" s="712">
        <v>0.2</v>
      </c>
      <c r="V14" s="713">
        <v>1</v>
      </c>
      <c r="W14" s="661"/>
      <c r="X14" s="661"/>
      <c r="Y14" s="661"/>
      <c r="Z14" s="661"/>
      <c r="AA14" s="714"/>
      <c r="AB14" s="714"/>
      <c r="AC14" s="714"/>
      <c r="AD14" s="1034">
        <v>0</v>
      </c>
      <c r="AE14" s="1034">
        <v>0</v>
      </c>
      <c r="AF14" s="1034">
        <f>('Business Rebates'!AE58*0.8)*(1+U$6)</f>
        <v>0.96</v>
      </c>
      <c r="AG14" s="1034">
        <f>(AF14+'Business Rebates'!AF58)*(1+$U14)</f>
        <v>1.44</v>
      </c>
      <c r="AH14" s="1034">
        <f t="shared" ref="AH14" si="67">AG14</f>
        <v>1.44</v>
      </c>
      <c r="AI14" s="1034">
        <f t="shared" ref="AI14" si="68">AH14*0.8</f>
        <v>1.1519999999999999</v>
      </c>
      <c r="AJ14" s="1034">
        <f t="shared" si="2"/>
        <v>0.92159999999999997</v>
      </c>
      <c r="AK14" s="711" t="s">
        <v>384</v>
      </c>
      <c r="AL14" s="711" t="s">
        <v>742</v>
      </c>
      <c r="AM14" s="711" t="s">
        <v>1186</v>
      </c>
      <c r="AN14" s="711" t="s">
        <v>1152</v>
      </c>
      <c r="AO14" s="711" t="s">
        <v>1</v>
      </c>
      <c r="AP14" s="711"/>
      <c r="AQ14" s="711"/>
      <c r="AR14" s="711"/>
      <c r="AS14" s="715" t="s">
        <v>1153</v>
      </c>
      <c r="AT14" s="711" t="s">
        <v>1147</v>
      </c>
      <c r="AU14" s="715" t="s">
        <v>746</v>
      </c>
      <c r="AV14" s="661">
        <v>8</v>
      </c>
      <c r="AW14" s="661">
        <v>15</v>
      </c>
      <c r="AX14" s="711" t="s">
        <v>1487</v>
      </c>
      <c r="AY14" s="716">
        <v>1</v>
      </c>
      <c r="AZ14" s="716">
        <v>1</v>
      </c>
      <c r="BA14" s="717">
        <v>0</v>
      </c>
      <c r="BB14" s="774">
        <f t="shared" si="29"/>
        <v>1846</v>
      </c>
      <c r="BC14" s="503">
        <f t="shared" si="3"/>
        <v>1846</v>
      </c>
      <c r="BD14" s="503">
        <f t="shared" si="3"/>
        <v>1846</v>
      </c>
      <c r="BE14" s="503">
        <f t="shared" si="4"/>
        <v>1846</v>
      </c>
      <c r="BF14" s="503">
        <f t="shared" si="4"/>
        <v>1846</v>
      </c>
      <c r="BG14" s="503">
        <f t="shared" si="4"/>
        <v>1846</v>
      </c>
      <c r="BH14" s="776">
        <f t="shared" si="4"/>
        <v>1846</v>
      </c>
      <c r="BI14" s="503">
        <f t="shared" si="30"/>
        <v>-2.8653333333333331</v>
      </c>
      <c r="BJ14" s="503">
        <f t="shared" si="5"/>
        <v>-2.8653333333333331</v>
      </c>
      <c r="BK14" s="503">
        <f t="shared" si="5"/>
        <v>-2.8653333333333331</v>
      </c>
      <c r="BL14" s="503">
        <f t="shared" si="5"/>
        <v>-2.8653333333333331</v>
      </c>
      <c r="BM14" s="503">
        <f t="shared" si="6"/>
        <v>-2.8653333333333331</v>
      </c>
      <c r="BN14" s="503">
        <f t="shared" si="6"/>
        <v>-2.8653333333333331</v>
      </c>
      <c r="BO14" s="645">
        <f t="shared" si="6"/>
        <v>-2.8653333333333331</v>
      </c>
      <c r="BP14" s="774">
        <f t="shared" si="7"/>
        <v>30</v>
      </c>
      <c r="BQ14" s="503">
        <f t="shared" si="8"/>
        <v>30</v>
      </c>
      <c r="BR14" s="503">
        <f t="shared" si="8"/>
        <v>30</v>
      </c>
      <c r="BS14" s="503">
        <f t="shared" si="8"/>
        <v>30</v>
      </c>
      <c r="BT14" s="503">
        <f t="shared" si="9"/>
        <v>30</v>
      </c>
      <c r="BU14" s="503">
        <f t="shared" si="9"/>
        <v>30</v>
      </c>
      <c r="BV14" s="776">
        <f t="shared" si="9"/>
        <v>30</v>
      </c>
      <c r="BW14" s="503"/>
      <c r="BX14" s="503"/>
      <c r="BY14" s="503"/>
      <c r="BZ14" s="503"/>
      <c r="CA14" s="503"/>
      <c r="CB14" s="503"/>
      <c r="CC14" s="645"/>
      <c r="CD14" s="722">
        <f t="shared" si="31"/>
        <v>998.08500000000004</v>
      </c>
      <c r="CE14" s="511">
        <f t="shared" si="11"/>
        <v>998.08500000000004</v>
      </c>
      <c r="CF14" s="511">
        <f t="shared" si="11"/>
        <v>998.08500000000004</v>
      </c>
      <c r="CG14" s="511">
        <f t="shared" si="11"/>
        <v>998.08500000000004</v>
      </c>
      <c r="CH14" s="511">
        <f t="shared" si="12"/>
        <v>998.08500000000004</v>
      </c>
      <c r="CI14" s="511">
        <f t="shared" si="12"/>
        <v>998.08500000000004</v>
      </c>
      <c r="CJ14" s="723">
        <f t="shared" si="12"/>
        <v>998.08500000000004</v>
      </c>
      <c r="CK14" s="722">
        <f t="shared" si="13"/>
        <v>8.2500000000000004E-2</v>
      </c>
      <c r="CL14" s="511">
        <f t="shared" si="14"/>
        <v>8.2500000000000004E-2</v>
      </c>
      <c r="CM14" s="511">
        <f t="shared" si="14"/>
        <v>8.2500000000000004E-2</v>
      </c>
      <c r="CN14" s="511">
        <f t="shared" si="14"/>
        <v>8.2500000000000004E-2</v>
      </c>
      <c r="CO14" s="511">
        <f t="shared" si="15"/>
        <v>8.2500000000000004E-2</v>
      </c>
      <c r="CP14" s="511">
        <f t="shared" si="15"/>
        <v>8.2500000000000004E-2</v>
      </c>
      <c r="CQ14" s="723">
        <f t="shared" si="15"/>
        <v>8.2500000000000004E-2</v>
      </c>
      <c r="CR14" s="511">
        <f t="shared" si="16"/>
        <v>0</v>
      </c>
      <c r="CS14" s="511">
        <f t="shared" si="17"/>
        <v>0</v>
      </c>
      <c r="CT14" s="511">
        <f t="shared" si="17"/>
        <v>0</v>
      </c>
      <c r="CU14" s="511">
        <f t="shared" si="17"/>
        <v>0</v>
      </c>
      <c r="CV14" s="511">
        <f t="shared" si="18"/>
        <v>0</v>
      </c>
      <c r="CW14" s="511">
        <f t="shared" si="18"/>
        <v>0</v>
      </c>
      <c r="CX14" s="539">
        <f t="shared" si="18"/>
        <v>0</v>
      </c>
      <c r="CY14" s="774">
        <f t="shared" si="32"/>
        <v>0</v>
      </c>
      <c r="CZ14" s="503">
        <f t="shared" si="32"/>
        <v>0</v>
      </c>
      <c r="DA14" s="503">
        <f t="shared" si="32"/>
        <v>1772.1599999999999</v>
      </c>
      <c r="DB14" s="503">
        <f t="shared" si="32"/>
        <v>2658.24</v>
      </c>
      <c r="DC14" s="503">
        <f t="shared" si="32"/>
        <v>2658.24</v>
      </c>
      <c r="DD14" s="503">
        <f t="shared" si="32"/>
        <v>2126.5919999999996</v>
      </c>
      <c r="DE14" s="776">
        <f t="shared" si="32"/>
        <v>1701.2736</v>
      </c>
      <c r="DF14" s="774">
        <f t="shared" si="33"/>
        <v>0</v>
      </c>
      <c r="DG14" s="503">
        <f t="shared" si="33"/>
        <v>0</v>
      </c>
      <c r="DH14" s="503">
        <f t="shared" si="33"/>
        <v>-2.7507199999999998</v>
      </c>
      <c r="DI14" s="503">
        <f t="shared" si="33"/>
        <v>-4.1260799999999991</v>
      </c>
      <c r="DJ14" s="503">
        <f t="shared" si="33"/>
        <v>-4.1260799999999991</v>
      </c>
      <c r="DK14" s="503">
        <f t="shared" si="33"/>
        <v>-3.3008639999999994</v>
      </c>
      <c r="DL14" s="776">
        <f t="shared" si="33"/>
        <v>-2.6406911999999996</v>
      </c>
      <c r="DM14" s="774">
        <f t="shared" si="34"/>
        <v>0</v>
      </c>
      <c r="DN14" s="503">
        <f t="shared" si="34"/>
        <v>0</v>
      </c>
      <c r="DO14" s="503">
        <f t="shared" si="34"/>
        <v>28.799999999999997</v>
      </c>
      <c r="DP14" s="503">
        <f t="shared" si="34"/>
        <v>43.199999999999996</v>
      </c>
      <c r="DQ14" s="503">
        <f t="shared" si="34"/>
        <v>43.199999999999996</v>
      </c>
      <c r="DR14" s="503">
        <f t="shared" si="34"/>
        <v>34.559999999999995</v>
      </c>
      <c r="DS14" s="776">
        <f t="shared" si="34"/>
        <v>27.648</v>
      </c>
      <c r="DT14" s="774">
        <f t="shared" si="35"/>
        <v>0</v>
      </c>
      <c r="DU14" s="503">
        <f t="shared" si="35"/>
        <v>0</v>
      </c>
      <c r="DV14" s="503">
        <f t="shared" si="35"/>
        <v>0</v>
      </c>
      <c r="DW14" s="503">
        <f t="shared" si="35"/>
        <v>0</v>
      </c>
      <c r="DX14" s="503">
        <f t="shared" si="35"/>
        <v>0</v>
      </c>
      <c r="DY14" s="503">
        <f t="shared" si="35"/>
        <v>0</v>
      </c>
      <c r="DZ14" s="776">
        <f t="shared" si="35"/>
        <v>0</v>
      </c>
      <c r="EA14" s="511">
        <f t="shared" si="36"/>
        <v>0</v>
      </c>
      <c r="EB14" s="511">
        <f t="shared" si="36"/>
        <v>0</v>
      </c>
      <c r="EC14" s="511">
        <f t="shared" si="36"/>
        <v>958.16160000000002</v>
      </c>
      <c r="ED14" s="511">
        <f t="shared" si="36"/>
        <v>1437.2424000000001</v>
      </c>
      <c r="EE14" s="511">
        <f t="shared" si="36"/>
        <v>1437.2424000000001</v>
      </c>
      <c r="EF14" s="511">
        <f t="shared" si="36"/>
        <v>1149.7939199999998</v>
      </c>
      <c r="EG14" s="539">
        <f t="shared" si="36"/>
        <v>919.83513600000003</v>
      </c>
      <c r="EH14" s="722">
        <f t="shared" si="37"/>
        <v>0</v>
      </c>
      <c r="EI14" s="511">
        <f t="shared" si="37"/>
        <v>0</v>
      </c>
      <c r="EJ14" s="511">
        <f t="shared" si="37"/>
        <v>7.9200000000000007E-2</v>
      </c>
      <c r="EK14" s="511">
        <f t="shared" si="37"/>
        <v>0.1188</v>
      </c>
      <c r="EL14" s="511">
        <f t="shared" si="37"/>
        <v>0.1188</v>
      </c>
      <c r="EM14" s="511">
        <f t="shared" si="37"/>
        <v>9.5039999999999999E-2</v>
      </c>
      <c r="EN14" s="723">
        <f t="shared" si="37"/>
        <v>7.6032000000000002E-2</v>
      </c>
      <c r="EO14" s="722">
        <f t="shared" si="38"/>
        <v>0</v>
      </c>
      <c r="EP14" s="511">
        <f t="shared" si="38"/>
        <v>0</v>
      </c>
      <c r="EQ14" s="511">
        <f t="shared" si="38"/>
        <v>0</v>
      </c>
      <c r="ER14" s="511">
        <f t="shared" si="38"/>
        <v>0</v>
      </c>
      <c r="ES14" s="511">
        <f t="shared" si="38"/>
        <v>0</v>
      </c>
      <c r="ET14" s="511">
        <f t="shared" si="38"/>
        <v>0</v>
      </c>
      <c r="EU14" s="723">
        <f t="shared" si="38"/>
        <v>0</v>
      </c>
      <c r="EV14" s="722">
        <f t="shared" si="39"/>
        <v>5.9135999999999997</v>
      </c>
      <c r="EW14" s="503">
        <f t="shared" si="40"/>
        <v>10916.5056</v>
      </c>
      <c r="EX14" s="503">
        <f t="shared" si="41"/>
        <v>-16.944435199999997</v>
      </c>
      <c r="EY14" s="503">
        <f t="shared" si="42"/>
        <v>177.40799999999999</v>
      </c>
      <c r="EZ14" s="503">
        <f t="shared" si="43"/>
        <v>0</v>
      </c>
      <c r="FA14" s="511">
        <f t="shared" si="44"/>
        <v>5902.2754559999994</v>
      </c>
      <c r="FB14" s="511">
        <f t="shared" si="45"/>
        <v>0.48787200000000003</v>
      </c>
      <c r="FC14" s="511">
        <f t="shared" si="46"/>
        <v>0</v>
      </c>
      <c r="FE14" s="10" t="b">
        <f t="shared" si="47"/>
        <v>1</v>
      </c>
      <c r="FF14" s="10" t="b">
        <f t="shared" si="48"/>
        <v>1</v>
      </c>
      <c r="FG14" s="10" t="b">
        <f t="shared" si="49"/>
        <v>1</v>
      </c>
      <c r="FH14" s="10" t="b">
        <f t="shared" si="50"/>
        <v>1</v>
      </c>
      <c r="FI14" s="10" t="b">
        <f t="shared" si="51"/>
        <v>1</v>
      </c>
      <c r="FJ14" s="10" t="b">
        <f t="shared" si="52"/>
        <v>1</v>
      </c>
      <c r="FK14" s="10" t="b">
        <f t="shared" si="53"/>
        <v>1</v>
      </c>
      <c r="FL14" s="10" t="b">
        <f t="shared" si="54"/>
        <v>1</v>
      </c>
    </row>
    <row r="15" spans="1:168" s="10" customFormat="1" ht="12.75" customHeight="1">
      <c r="A15" s="729"/>
      <c r="B15" s="730"/>
      <c r="C15" s="730"/>
      <c r="D15" s="730"/>
      <c r="E15" s="730"/>
      <c r="F15" s="731"/>
      <c r="G15" s="731"/>
      <c r="H15" s="731"/>
      <c r="I15" s="732"/>
      <c r="J15" s="731"/>
      <c r="K15" s="732"/>
      <c r="L15" s="733"/>
      <c r="M15" s="734"/>
      <c r="N15" s="734"/>
      <c r="O15" s="734"/>
      <c r="P15" s="735"/>
      <c r="Q15" s="736"/>
      <c r="R15" s="737"/>
      <c r="S15" s="737"/>
      <c r="T15" s="733"/>
      <c r="U15" s="738"/>
      <c r="V15" s="739"/>
      <c r="W15" s="740"/>
      <c r="X15" s="740"/>
      <c r="Y15" s="740"/>
      <c r="Z15" s="740"/>
      <c r="AA15" s="741"/>
      <c r="AB15" s="741"/>
      <c r="AC15" s="742"/>
      <c r="AD15" s="742"/>
      <c r="AE15" s="742"/>
      <c r="AF15" s="742"/>
      <c r="AG15" s="742"/>
      <c r="AH15" s="742"/>
      <c r="AI15" s="742"/>
      <c r="AJ15" s="742"/>
      <c r="AK15" s="733"/>
      <c r="AL15" s="733"/>
      <c r="AM15" s="733"/>
      <c r="AN15" s="733"/>
      <c r="AO15" s="733"/>
      <c r="AP15" s="733"/>
      <c r="AQ15" s="733"/>
      <c r="AR15" s="733"/>
      <c r="AS15" s="743"/>
      <c r="AT15" s="743"/>
      <c r="AU15" s="743"/>
      <c r="AV15" s="740"/>
      <c r="AW15" s="740"/>
      <c r="AX15" s="733"/>
      <c r="AY15" s="733"/>
      <c r="AZ15" s="733"/>
      <c r="BA15" s="744"/>
      <c r="BB15" s="745"/>
      <c r="BC15" s="746"/>
      <c r="BD15" s="746"/>
      <c r="BE15" s="746"/>
      <c r="BF15" s="746"/>
      <c r="BG15" s="746"/>
      <c r="BH15" s="747"/>
      <c r="BI15" s="746"/>
      <c r="BJ15" s="746"/>
      <c r="BK15" s="746"/>
      <c r="BL15" s="746"/>
      <c r="BM15" s="746"/>
      <c r="BN15" s="746"/>
      <c r="BO15" s="749"/>
      <c r="BP15" s="745"/>
      <c r="BQ15" s="746"/>
      <c r="BR15" s="746"/>
      <c r="BS15" s="746"/>
      <c r="BT15" s="746"/>
      <c r="BU15" s="746"/>
      <c r="BV15" s="747"/>
      <c r="BW15" s="746"/>
      <c r="BX15" s="746"/>
      <c r="BY15" s="746"/>
      <c r="BZ15" s="746"/>
      <c r="CA15" s="746"/>
      <c r="CB15" s="746"/>
      <c r="CC15" s="749"/>
      <c r="CD15" s="750"/>
      <c r="CE15" s="487"/>
      <c r="CF15" s="487"/>
      <c r="CG15" s="487"/>
      <c r="CH15" s="487"/>
      <c r="CI15" s="487"/>
      <c r="CJ15" s="751"/>
      <c r="CK15" s="750"/>
      <c r="CL15" s="487"/>
      <c r="CM15" s="487"/>
      <c r="CN15" s="487"/>
      <c r="CO15" s="487"/>
      <c r="CP15" s="487"/>
      <c r="CQ15" s="751"/>
      <c r="CR15" s="487"/>
      <c r="CS15" s="487"/>
      <c r="CT15" s="487"/>
      <c r="CU15" s="487"/>
      <c r="CV15" s="487"/>
      <c r="CW15" s="487"/>
      <c r="CX15" s="513"/>
      <c r="CY15" s="752"/>
      <c r="CZ15" s="492"/>
      <c r="DA15" s="492"/>
      <c r="DB15" s="492"/>
      <c r="DC15" s="492"/>
      <c r="DD15" s="492"/>
      <c r="DE15" s="753"/>
      <c r="DF15" s="752"/>
      <c r="DG15" s="492"/>
      <c r="DH15" s="492"/>
      <c r="DI15" s="492"/>
      <c r="DJ15" s="492"/>
      <c r="DK15" s="492"/>
      <c r="DL15" s="753"/>
      <c r="DM15" s="752"/>
      <c r="DN15" s="492"/>
      <c r="DO15" s="492"/>
      <c r="DP15" s="492"/>
      <c r="DQ15" s="492"/>
      <c r="DR15" s="492"/>
      <c r="DS15" s="753"/>
      <c r="DT15" s="752"/>
      <c r="DU15" s="492"/>
      <c r="DV15" s="492"/>
      <c r="DW15" s="492"/>
      <c r="DX15" s="492"/>
      <c r="DY15" s="492"/>
      <c r="DZ15" s="753"/>
      <c r="EA15" s="487"/>
      <c r="EB15" s="487"/>
      <c r="EC15" s="487"/>
      <c r="ED15" s="487"/>
      <c r="EE15" s="487"/>
      <c r="EF15" s="487"/>
      <c r="EG15" s="513"/>
      <c r="EH15" s="750"/>
      <c r="EI15" s="487"/>
      <c r="EJ15" s="487"/>
      <c r="EK15" s="487"/>
      <c r="EL15" s="487"/>
      <c r="EM15" s="487"/>
      <c r="EN15" s="751"/>
      <c r="EO15" s="750"/>
      <c r="EP15" s="487"/>
      <c r="EQ15" s="487"/>
      <c r="ER15" s="487"/>
      <c r="ES15" s="487"/>
      <c r="ET15" s="487"/>
      <c r="EU15" s="751"/>
      <c r="EV15" s="515"/>
      <c r="EW15" s="755"/>
      <c r="EX15" s="755"/>
      <c r="EY15" s="755"/>
      <c r="EZ15" s="755"/>
      <c r="FA15" s="756"/>
      <c r="FB15" s="756"/>
      <c r="FC15" s="757"/>
    </row>
    <row r="16" spans="1:168" s="10" customFormat="1" ht="12.75" customHeight="1">
      <c r="A16" s="661" t="s">
        <v>171</v>
      </c>
      <c r="B16" s="703" t="s">
        <v>1488</v>
      </c>
      <c r="C16" s="703" t="s">
        <v>1318</v>
      </c>
      <c r="D16" s="703" t="s">
        <v>1319</v>
      </c>
      <c r="E16" s="703" t="s">
        <v>331</v>
      </c>
      <c r="F16" s="704" t="s">
        <v>402</v>
      </c>
      <c r="G16" s="1091">
        <v>67.125</v>
      </c>
      <c r="H16" s="1091">
        <v>0</v>
      </c>
      <c r="I16" s="1092">
        <v>67.125</v>
      </c>
      <c r="J16" s="1091">
        <v>0</v>
      </c>
      <c r="K16" s="1092">
        <v>33.5625</v>
      </c>
      <c r="L16" s="1093" t="s">
        <v>1320</v>
      </c>
      <c r="M16" s="1091">
        <v>10</v>
      </c>
      <c r="N16" s="1094">
        <v>10</v>
      </c>
      <c r="O16" s="1091">
        <v>0</v>
      </c>
      <c r="P16" s="1094">
        <v>0</v>
      </c>
      <c r="Q16" s="710">
        <f t="shared" ref="Q16:T24" si="69">Q6</f>
        <v>114.589377864</v>
      </c>
      <c r="R16" s="710">
        <f t="shared" si="69"/>
        <v>2.7349574200000001E-2</v>
      </c>
      <c r="S16" s="710">
        <f t="shared" si="69"/>
        <v>-1.5915191369999997</v>
      </c>
      <c r="T16" s="710" t="str">
        <f t="shared" si="69"/>
        <v>Per unit savings estimate from IL TRM v10.0 "4.5.4 LED Bulbs and Fixtures" - use-specific input assumptions are for "Unknown" building/space type and Energy Star Fixtures</v>
      </c>
      <c r="U16" s="712">
        <v>0.2</v>
      </c>
      <c r="V16" s="713">
        <v>1</v>
      </c>
      <c r="W16" s="714"/>
      <c r="X16" s="714"/>
      <c r="Y16" s="714"/>
      <c r="Z16" s="714"/>
      <c r="AA16" s="714"/>
      <c r="AB16" s="714"/>
      <c r="AC16" s="714"/>
      <c r="AD16" s="1034">
        <f t="shared" ref="AD16:AJ24" si="70">AD6*0.5</f>
        <v>0</v>
      </c>
      <c r="AE16" s="1034">
        <f t="shared" si="70"/>
        <v>0</v>
      </c>
      <c r="AF16" s="1034">
        <f t="shared" si="70"/>
        <v>0.48</v>
      </c>
      <c r="AG16" s="1034">
        <f t="shared" si="70"/>
        <v>0.69599999999999995</v>
      </c>
      <c r="AH16" s="1034">
        <f t="shared" si="70"/>
        <v>0.69599999999999995</v>
      </c>
      <c r="AI16" s="1034">
        <f t="shared" si="70"/>
        <v>0.55679999999999996</v>
      </c>
      <c r="AJ16" s="1034">
        <f t="shared" si="70"/>
        <v>0.44544</v>
      </c>
      <c r="AK16" s="711" t="s">
        <v>384</v>
      </c>
      <c r="AL16" s="711" t="s">
        <v>742</v>
      </c>
      <c r="AM16" s="711" t="s">
        <v>1186</v>
      </c>
      <c r="AN16" s="711" t="s">
        <v>1152</v>
      </c>
      <c r="AO16" s="711" t="s">
        <v>1</v>
      </c>
      <c r="AP16" s="711"/>
      <c r="AQ16" s="711"/>
      <c r="AR16" s="711"/>
      <c r="AS16" s="715" t="s">
        <v>1153</v>
      </c>
      <c r="AT16" s="711" t="s">
        <v>1147</v>
      </c>
      <c r="AU16" s="715" t="s">
        <v>771</v>
      </c>
      <c r="AV16" s="661">
        <v>20</v>
      </c>
      <c r="AW16" s="661">
        <v>15</v>
      </c>
      <c r="AX16" s="711" t="s">
        <v>1483</v>
      </c>
      <c r="AY16" s="716">
        <v>1</v>
      </c>
      <c r="AZ16" s="716">
        <v>1</v>
      </c>
      <c r="BA16" s="717">
        <v>0</v>
      </c>
      <c r="BB16" s="774">
        <f>I16</f>
        <v>67.125</v>
      </c>
      <c r="BC16" s="503">
        <f t="shared" ref="BC16:BD24" si="71">BB16</f>
        <v>67.125</v>
      </c>
      <c r="BD16" s="503">
        <f t="shared" si="71"/>
        <v>67.125</v>
      </c>
      <c r="BE16" s="503">
        <f t="shared" ref="BE16:BH24" si="72">BB16</f>
        <v>67.125</v>
      </c>
      <c r="BF16" s="503">
        <f t="shared" si="72"/>
        <v>67.125</v>
      </c>
      <c r="BG16" s="503">
        <f t="shared" si="72"/>
        <v>67.125</v>
      </c>
      <c r="BH16" s="776">
        <f t="shared" si="72"/>
        <v>67.125</v>
      </c>
      <c r="BI16" s="503">
        <f>J16</f>
        <v>0</v>
      </c>
      <c r="BJ16" s="503">
        <f t="shared" ref="BJ16:BL24" si="73">BI16</f>
        <v>0</v>
      </c>
      <c r="BK16" s="503">
        <f t="shared" si="73"/>
        <v>0</v>
      </c>
      <c r="BL16" s="503">
        <f>BK16</f>
        <v>0</v>
      </c>
      <c r="BM16" s="503">
        <f t="shared" ref="BM16:BO24" si="74">BL16</f>
        <v>0</v>
      </c>
      <c r="BN16" s="503">
        <f>BM16</f>
        <v>0</v>
      </c>
      <c r="BO16" s="645">
        <f>BN16</f>
        <v>0</v>
      </c>
      <c r="BP16" s="774">
        <f t="shared" ref="BP16:BP24" si="75">N16+O16</f>
        <v>10</v>
      </c>
      <c r="BQ16" s="503">
        <f t="shared" ref="BQ16:BS24" si="76">BP16</f>
        <v>10</v>
      </c>
      <c r="BR16" s="503">
        <f t="shared" si="76"/>
        <v>10</v>
      </c>
      <c r="BS16" s="503">
        <f>BR16</f>
        <v>10</v>
      </c>
      <c r="BT16" s="503">
        <f t="shared" ref="BT16:BV24" si="77">BS16</f>
        <v>10</v>
      </c>
      <c r="BU16" s="503">
        <f t="shared" si="77"/>
        <v>10</v>
      </c>
      <c r="BV16" s="776">
        <f t="shared" si="77"/>
        <v>10</v>
      </c>
      <c r="BW16" s="503">
        <f t="shared" si="10"/>
        <v>0</v>
      </c>
      <c r="BX16" s="503">
        <f t="shared" si="10"/>
        <v>0</v>
      </c>
      <c r="BY16" s="503">
        <f t="shared" si="10"/>
        <v>0</v>
      </c>
      <c r="BZ16" s="503">
        <f t="shared" si="10"/>
        <v>0</v>
      </c>
      <c r="CA16" s="503">
        <f t="shared" si="10"/>
        <v>0</v>
      </c>
      <c r="CB16" s="503">
        <f t="shared" si="10"/>
        <v>0</v>
      </c>
      <c r="CC16" s="645">
        <f t="shared" si="10"/>
        <v>0</v>
      </c>
      <c r="CD16" s="722">
        <f t="shared" ref="CD16:CD24" si="78">Q16*AZ16</f>
        <v>114.589377864</v>
      </c>
      <c r="CE16" s="511">
        <f t="shared" ref="CE16:CG24" si="79">CD16</f>
        <v>114.589377864</v>
      </c>
      <c r="CF16" s="511">
        <f t="shared" si="79"/>
        <v>114.589377864</v>
      </c>
      <c r="CG16" s="511">
        <f>CF16</f>
        <v>114.589377864</v>
      </c>
      <c r="CH16" s="511">
        <f t="shared" ref="CH16:CJ24" si="80">CG16</f>
        <v>114.589377864</v>
      </c>
      <c r="CI16" s="511">
        <f t="shared" si="80"/>
        <v>114.589377864</v>
      </c>
      <c r="CJ16" s="723">
        <f t="shared" si="80"/>
        <v>114.589377864</v>
      </c>
      <c r="CK16" s="722">
        <f t="shared" ref="CK16:CK24" si="81">R16*AZ16</f>
        <v>2.7349574200000001E-2</v>
      </c>
      <c r="CL16" s="511">
        <f t="shared" ref="CL16:CN24" si="82">CK16</f>
        <v>2.7349574200000001E-2</v>
      </c>
      <c r="CM16" s="511">
        <f t="shared" si="82"/>
        <v>2.7349574200000001E-2</v>
      </c>
      <c r="CN16" s="511">
        <f>CM16</f>
        <v>2.7349574200000001E-2</v>
      </c>
      <c r="CO16" s="511">
        <f t="shared" ref="CO16:CQ24" si="83">CN16</f>
        <v>2.7349574200000001E-2</v>
      </c>
      <c r="CP16" s="511">
        <f t="shared" si="83"/>
        <v>2.7349574200000001E-2</v>
      </c>
      <c r="CQ16" s="723">
        <f t="shared" si="83"/>
        <v>2.7349574200000001E-2</v>
      </c>
      <c r="CR16" s="511">
        <f t="shared" ref="CR16:CR24" si="84">S16*BA16</f>
        <v>0</v>
      </c>
      <c r="CS16" s="511">
        <f t="shared" ref="CS16:CU24" si="85">CR16</f>
        <v>0</v>
      </c>
      <c r="CT16" s="511">
        <f t="shared" si="85"/>
        <v>0</v>
      </c>
      <c r="CU16" s="511">
        <f>CT16</f>
        <v>0</v>
      </c>
      <c r="CV16" s="511">
        <f t="shared" ref="CV16:CX24" si="86">CU16</f>
        <v>0</v>
      </c>
      <c r="CW16" s="511">
        <f t="shared" si="86"/>
        <v>0</v>
      </c>
      <c r="CX16" s="539">
        <f t="shared" si="86"/>
        <v>0</v>
      </c>
      <c r="CY16" s="774">
        <f t="shared" ref="CY16:DE16" si="87">AD16*BB16</f>
        <v>0</v>
      </c>
      <c r="CZ16" s="503">
        <f t="shared" si="87"/>
        <v>0</v>
      </c>
      <c r="DA16" s="503">
        <f t="shared" si="87"/>
        <v>32.22</v>
      </c>
      <c r="DB16" s="503">
        <f t="shared" si="87"/>
        <v>46.718999999999994</v>
      </c>
      <c r="DC16" s="503">
        <f t="shared" si="87"/>
        <v>46.718999999999994</v>
      </c>
      <c r="DD16" s="503">
        <f t="shared" si="87"/>
        <v>37.3752</v>
      </c>
      <c r="DE16" s="776">
        <f t="shared" si="87"/>
        <v>29.90016</v>
      </c>
      <c r="DF16" s="774">
        <f t="shared" ref="DF16:DL16" si="88">AD16*BI16</f>
        <v>0</v>
      </c>
      <c r="DG16" s="503">
        <f t="shared" si="88"/>
        <v>0</v>
      </c>
      <c r="DH16" s="503">
        <f t="shared" si="88"/>
        <v>0</v>
      </c>
      <c r="DI16" s="503">
        <f t="shared" si="88"/>
        <v>0</v>
      </c>
      <c r="DJ16" s="503">
        <f t="shared" si="88"/>
        <v>0</v>
      </c>
      <c r="DK16" s="503">
        <f t="shared" si="88"/>
        <v>0</v>
      </c>
      <c r="DL16" s="776">
        <f t="shared" si="88"/>
        <v>0</v>
      </c>
      <c r="DM16" s="774">
        <f t="shared" ref="DM16:DS16" si="89">AD16*BP16</f>
        <v>0</v>
      </c>
      <c r="DN16" s="503">
        <f t="shared" si="89"/>
        <v>0</v>
      </c>
      <c r="DO16" s="503">
        <f t="shared" si="89"/>
        <v>4.8</v>
      </c>
      <c r="DP16" s="503">
        <f t="shared" si="89"/>
        <v>6.9599999999999991</v>
      </c>
      <c r="DQ16" s="503">
        <f t="shared" si="89"/>
        <v>6.9599999999999991</v>
      </c>
      <c r="DR16" s="503">
        <f t="shared" si="89"/>
        <v>5.5679999999999996</v>
      </c>
      <c r="DS16" s="776">
        <f t="shared" si="89"/>
        <v>4.4543999999999997</v>
      </c>
      <c r="DT16" s="774">
        <f t="shared" ref="DT16:DZ16" si="90">BW16*AD16</f>
        <v>0</v>
      </c>
      <c r="DU16" s="503">
        <f t="shared" si="90"/>
        <v>0</v>
      </c>
      <c r="DV16" s="503">
        <f t="shared" si="90"/>
        <v>0</v>
      </c>
      <c r="DW16" s="503">
        <f t="shared" si="90"/>
        <v>0</v>
      </c>
      <c r="DX16" s="503">
        <f t="shared" si="90"/>
        <v>0</v>
      </c>
      <c r="DY16" s="503">
        <f t="shared" si="90"/>
        <v>0</v>
      </c>
      <c r="DZ16" s="776">
        <f t="shared" si="90"/>
        <v>0</v>
      </c>
      <c r="EA16" s="511">
        <f t="shared" ref="EA16:EG16" si="91">AD16*CD16</f>
        <v>0</v>
      </c>
      <c r="EB16" s="511">
        <f t="shared" si="91"/>
        <v>0</v>
      </c>
      <c r="EC16" s="511">
        <f t="shared" si="91"/>
        <v>55.002901374719997</v>
      </c>
      <c r="ED16" s="511">
        <f t="shared" si="91"/>
        <v>79.754206993343999</v>
      </c>
      <c r="EE16" s="511">
        <f t="shared" si="91"/>
        <v>79.754206993343999</v>
      </c>
      <c r="EF16" s="511">
        <f t="shared" si="91"/>
        <v>63.803365594675192</v>
      </c>
      <c r="EG16" s="539">
        <f t="shared" si="91"/>
        <v>51.042692475740161</v>
      </c>
      <c r="EH16" s="722">
        <f t="shared" ref="EH16:EN16" si="92">AD16*CK16</f>
        <v>0</v>
      </c>
      <c r="EI16" s="511">
        <f t="shared" si="92"/>
        <v>0</v>
      </c>
      <c r="EJ16" s="511">
        <f t="shared" si="92"/>
        <v>1.3127795616E-2</v>
      </c>
      <c r="EK16" s="511">
        <f t="shared" si="92"/>
        <v>1.90353036432E-2</v>
      </c>
      <c r="EL16" s="511">
        <f t="shared" si="92"/>
        <v>1.90353036432E-2</v>
      </c>
      <c r="EM16" s="511">
        <f t="shared" si="92"/>
        <v>1.522824291456E-2</v>
      </c>
      <c r="EN16" s="723">
        <f t="shared" si="92"/>
        <v>1.2182594331648E-2</v>
      </c>
      <c r="EO16" s="722">
        <f t="shared" ref="EO16:EU16" si="93">AD16*CR16</f>
        <v>0</v>
      </c>
      <c r="EP16" s="511">
        <f t="shared" si="93"/>
        <v>0</v>
      </c>
      <c r="EQ16" s="511">
        <f t="shared" si="93"/>
        <v>0</v>
      </c>
      <c r="ER16" s="511">
        <f t="shared" si="93"/>
        <v>0</v>
      </c>
      <c r="ES16" s="511">
        <f t="shared" si="93"/>
        <v>0</v>
      </c>
      <c r="ET16" s="511">
        <f t="shared" si="93"/>
        <v>0</v>
      </c>
      <c r="EU16" s="723">
        <f t="shared" si="93"/>
        <v>0</v>
      </c>
      <c r="EV16" s="722">
        <f>SUM(AD16:AJ16)</f>
        <v>2.8742399999999999</v>
      </c>
      <c r="EW16" s="503">
        <f>SUM(CY16:DE16)</f>
        <v>192.93335999999999</v>
      </c>
      <c r="EX16" s="503">
        <f>SUM(DF16:DL16)</f>
        <v>0</v>
      </c>
      <c r="EY16" s="503">
        <f>SUM(DM16:DS16)</f>
        <v>28.742399999999996</v>
      </c>
      <c r="EZ16" s="503">
        <f>SUM(DT16:DZ16)</f>
        <v>0</v>
      </c>
      <c r="FA16" s="511">
        <f>SUM(EA16:EG16)</f>
        <v>329.35737343182336</v>
      </c>
      <c r="FB16" s="511">
        <f>SUM(EH16:EN16)</f>
        <v>7.8609240148608012E-2</v>
      </c>
      <c r="FC16" s="511">
        <f>SUM(EO16:EU16)</f>
        <v>0</v>
      </c>
    </row>
    <row r="17" spans="1:159" s="10" customFormat="1" ht="12.75" customHeight="1">
      <c r="A17" s="661" t="s">
        <v>173</v>
      </c>
      <c r="B17" s="703" t="s">
        <v>1489</v>
      </c>
      <c r="C17" s="703" t="s">
        <v>1318</v>
      </c>
      <c r="D17" s="703" t="s">
        <v>1323</v>
      </c>
      <c r="E17" s="703" t="s">
        <v>331</v>
      </c>
      <c r="F17" s="704" t="s">
        <v>402</v>
      </c>
      <c r="G17" s="1094">
        <v>326.08199999999999</v>
      </c>
      <c r="H17" s="1091">
        <v>0</v>
      </c>
      <c r="I17" s="1092">
        <v>326.08199999999999</v>
      </c>
      <c r="J17" s="1091">
        <v>-2.17</v>
      </c>
      <c r="K17" s="1092">
        <v>163.041</v>
      </c>
      <c r="L17" s="1093" t="s">
        <v>1324</v>
      </c>
      <c r="M17" s="1091">
        <v>25</v>
      </c>
      <c r="N17" s="1094">
        <v>25</v>
      </c>
      <c r="O17" s="1091">
        <v>0</v>
      </c>
      <c r="P17" s="1094">
        <v>0</v>
      </c>
      <c r="Q17" s="710">
        <f t="shared" si="69"/>
        <v>2111.8968</v>
      </c>
      <c r="R17" s="710">
        <f t="shared" si="69"/>
        <v>0.32590999999999998</v>
      </c>
      <c r="S17" s="710">
        <f t="shared" si="69"/>
        <v>-15.416846639999999</v>
      </c>
      <c r="T17" s="710" t="str">
        <f t="shared" si="69"/>
        <v>Per unit savings estimate from Mid-Atlantic TRM v9 "LED LED High-Bay Luminaires and Retrofit Kits" - use-specific input assumptions are average of all building types from Table D-3; Base and EE Wattage assumptions are average from IL TRM 4.5.4 LED Bulbs and Fixtures "LED Fixture Wattage, TOS Baseline and Incremental Cost Assumptions" Table</v>
      </c>
      <c r="U17" s="712">
        <v>0.2</v>
      </c>
      <c r="V17" s="713">
        <v>1</v>
      </c>
      <c r="W17" s="661"/>
      <c r="X17" s="661"/>
      <c r="Y17" s="661"/>
      <c r="Z17" s="661"/>
      <c r="AA17" s="714"/>
      <c r="AB17" s="714"/>
      <c r="AC17" s="714"/>
      <c r="AD17" s="1034">
        <f t="shared" si="70"/>
        <v>0</v>
      </c>
      <c r="AE17" s="1034">
        <f t="shared" si="70"/>
        <v>0</v>
      </c>
      <c r="AF17" s="1034">
        <f t="shared" si="70"/>
        <v>0</v>
      </c>
      <c r="AG17" s="1034">
        <f t="shared" si="70"/>
        <v>0</v>
      </c>
      <c r="AH17" s="1034">
        <f t="shared" si="70"/>
        <v>0</v>
      </c>
      <c r="AI17" s="1034">
        <f t="shared" si="70"/>
        <v>0</v>
      </c>
      <c r="AJ17" s="1034">
        <f t="shared" si="70"/>
        <v>0</v>
      </c>
      <c r="AK17" s="711" t="s">
        <v>384</v>
      </c>
      <c r="AL17" s="711" t="s">
        <v>742</v>
      </c>
      <c r="AM17" s="711" t="s">
        <v>1186</v>
      </c>
      <c r="AN17" s="711" t="s">
        <v>1152</v>
      </c>
      <c r="AO17" s="711" t="s">
        <v>1</v>
      </c>
      <c r="AP17" s="711"/>
      <c r="AQ17" s="711"/>
      <c r="AR17" s="711"/>
      <c r="AS17" s="715" t="s">
        <v>1153</v>
      </c>
      <c r="AT17" s="711" t="s">
        <v>1147</v>
      </c>
      <c r="AU17" s="715" t="s">
        <v>771</v>
      </c>
      <c r="AV17" s="661">
        <v>20</v>
      </c>
      <c r="AW17" s="661">
        <v>15</v>
      </c>
      <c r="AX17" s="711" t="s">
        <v>1484</v>
      </c>
      <c r="AY17" s="716">
        <v>1</v>
      </c>
      <c r="AZ17" s="716">
        <v>1</v>
      </c>
      <c r="BA17" s="717">
        <v>0</v>
      </c>
      <c r="BB17" s="774">
        <f t="shared" ref="BB17:BB24" si="94">I17</f>
        <v>326.08199999999999</v>
      </c>
      <c r="BC17" s="503">
        <f t="shared" si="71"/>
        <v>326.08199999999999</v>
      </c>
      <c r="BD17" s="503">
        <f t="shared" si="71"/>
        <v>326.08199999999999</v>
      </c>
      <c r="BE17" s="503">
        <f t="shared" si="72"/>
        <v>326.08199999999999</v>
      </c>
      <c r="BF17" s="503">
        <f t="shared" si="72"/>
        <v>326.08199999999999</v>
      </c>
      <c r="BG17" s="503">
        <f t="shared" si="72"/>
        <v>326.08199999999999</v>
      </c>
      <c r="BH17" s="776">
        <f t="shared" si="72"/>
        <v>326.08199999999999</v>
      </c>
      <c r="BI17" s="503">
        <f t="shared" ref="BI17:BI24" si="95">J17</f>
        <v>-2.17</v>
      </c>
      <c r="BJ17" s="503">
        <f t="shared" si="73"/>
        <v>-2.17</v>
      </c>
      <c r="BK17" s="503">
        <f t="shared" si="73"/>
        <v>-2.17</v>
      </c>
      <c r="BL17" s="503">
        <f t="shared" si="73"/>
        <v>-2.17</v>
      </c>
      <c r="BM17" s="503">
        <f t="shared" si="74"/>
        <v>-2.17</v>
      </c>
      <c r="BN17" s="503">
        <f t="shared" si="74"/>
        <v>-2.17</v>
      </c>
      <c r="BO17" s="645">
        <f t="shared" si="74"/>
        <v>-2.17</v>
      </c>
      <c r="BP17" s="774">
        <f t="shared" si="75"/>
        <v>25</v>
      </c>
      <c r="BQ17" s="503">
        <f t="shared" si="76"/>
        <v>25</v>
      </c>
      <c r="BR17" s="503">
        <f t="shared" si="76"/>
        <v>25</v>
      </c>
      <c r="BS17" s="503">
        <f t="shared" si="76"/>
        <v>25</v>
      </c>
      <c r="BT17" s="503">
        <f t="shared" si="77"/>
        <v>25</v>
      </c>
      <c r="BU17" s="503">
        <f t="shared" si="77"/>
        <v>25</v>
      </c>
      <c r="BV17" s="776">
        <f t="shared" si="77"/>
        <v>25</v>
      </c>
      <c r="BW17" s="503"/>
      <c r="BX17" s="503"/>
      <c r="BY17" s="503"/>
      <c r="BZ17" s="503"/>
      <c r="CA17" s="503"/>
      <c r="CB17" s="503"/>
      <c r="CC17" s="645"/>
      <c r="CD17" s="722">
        <f t="shared" si="78"/>
        <v>2111.8968</v>
      </c>
      <c r="CE17" s="511">
        <f t="shared" si="79"/>
        <v>2111.8968</v>
      </c>
      <c r="CF17" s="511">
        <f t="shared" si="79"/>
        <v>2111.8968</v>
      </c>
      <c r="CG17" s="511">
        <f t="shared" si="79"/>
        <v>2111.8968</v>
      </c>
      <c r="CH17" s="511">
        <f t="shared" si="80"/>
        <v>2111.8968</v>
      </c>
      <c r="CI17" s="511">
        <f t="shared" si="80"/>
        <v>2111.8968</v>
      </c>
      <c r="CJ17" s="723">
        <f t="shared" si="80"/>
        <v>2111.8968</v>
      </c>
      <c r="CK17" s="722">
        <f t="shared" si="81"/>
        <v>0.32590999999999998</v>
      </c>
      <c r="CL17" s="511">
        <f t="shared" si="82"/>
        <v>0.32590999999999998</v>
      </c>
      <c r="CM17" s="511">
        <f t="shared" si="82"/>
        <v>0.32590999999999998</v>
      </c>
      <c r="CN17" s="511">
        <f t="shared" si="82"/>
        <v>0.32590999999999998</v>
      </c>
      <c r="CO17" s="511">
        <f t="shared" si="83"/>
        <v>0.32590999999999998</v>
      </c>
      <c r="CP17" s="511">
        <f t="shared" si="83"/>
        <v>0.32590999999999998</v>
      </c>
      <c r="CQ17" s="723">
        <f t="shared" si="83"/>
        <v>0.32590999999999998</v>
      </c>
      <c r="CR17" s="511">
        <f t="shared" si="84"/>
        <v>0</v>
      </c>
      <c r="CS17" s="511">
        <f t="shared" si="85"/>
        <v>0</v>
      </c>
      <c r="CT17" s="511">
        <f t="shared" si="85"/>
        <v>0</v>
      </c>
      <c r="CU17" s="511">
        <f t="shared" si="85"/>
        <v>0</v>
      </c>
      <c r="CV17" s="511">
        <f t="shared" si="86"/>
        <v>0</v>
      </c>
      <c r="CW17" s="511">
        <f t="shared" si="86"/>
        <v>0</v>
      </c>
      <c r="CX17" s="539">
        <f t="shared" si="86"/>
        <v>0</v>
      </c>
      <c r="CY17" s="774">
        <f t="shared" ref="CY17:DE24" si="96">AD17*BB17</f>
        <v>0</v>
      </c>
      <c r="CZ17" s="503">
        <f t="shared" si="96"/>
        <v>0</v>
      </c>
      <c r="DA17" s="503">
        <f t="shared" si="96"/>
        <v>0</v>
      </c>
      <c r="DB17" s="503">
        <f t="shared" si="96"/>
        <v>0</v>
      </c>
      <c r="DC17" s="503">
        <f t="shared" si="96"/>
        <v>0</v>
      </c>
      <c r="DD17" s="503">
        <f t="shared" si="96"/>
        <v>0</v>
      </c>
      <c r="DE17" s="776">
        <f t="shared" si="96"/>
        <v>0</v>
      </c>
      <c r="DF17" s="774">
        <f t="shared" ref="DF17:DL24" si="97">AD17*BI17</f>
        <v>0</v>
      </c>
      <c r="DG17" s="503">
        <f t="shared" si="97"/>
        <v>0</v>
      </c>
      <c r="DH17" s="503">
        <f t="shared" si="97"/>
        <v>0</v>
      </c>
      <c r="DI17" s="503">
        <f t="shared" si="97"/>
        <v>0</v>
      </c>
      <c r="DJ17" s="503">
        <f t="shared" si="97"/>
        <v>0</v>
      </c>
      <c r="DK17" s="503">
        <f t="shared" si="97"/>
        <v>0</v>
      </c>
      <c r="DL17" s="776">
        <f t="shared" si="97"/>
        <v>0</v>
      </c>
      <c r="DM17" s="774">
        <f t="shared" ref="DM17:DS24" si="98">AD17*BP17</f>
        <v>0</v>
      </c>
      <c r="DN17" s="503">
        <f t="shared" si="98"/>
        <v>0</v>
      </c>
      <c r="DO17" s="503">
        <f t="shared" si="98"/>
        <v>0</v>
      </c>
      <c r="DP17" s="503">
        <f t="shared" si="98"/>
        <v>0</v>
      </c>
      <c r="DQ17" s="503">
        <f t="shared" si="98"/>
        <v>0</v>
      </c>
      <c r="DR17" s="503">
        <f t="shared" si="98"/>
        <v>0</v>
      </c>
      <c r="DS17" s="776">
        <f t="shared" si="98"/>
        <v>0</v>
      </c>
      <c r="DT17" s="774">
        <f t="shared" ref="DT17:DZ24" si="99">BW17*AD17</f>
        <v>0</v>
      </c>
      <c r="DU17" s="503">
        <f t="shared" si="99"/>
        <v>0</v>
      </c>
      <c r="DV17" s="503">
        <f t="shared" si="99"/>
        <v>0</v>
      </c>
      <c r="DW17" s="503">
        <f t="shared" si="99"/>
        <v>0</v>
      </c>
      <c r="DX17" s="503">
        <f t="shared" si="99"/>
        <v>0</v>
      </c>
      <c r="DY17" s="503">
        <f t="shared" si="99"/>
        <v>0</v>
      </c>
      <c r="DZ17" s="776">
        <f t="shared" si="99"/>
        <v>0</v>
      </c>
      <c r="EA17" s="511">
        <f t="shared" ref="EA17:EG24" si="100">AD17*CD17</f>
        <v>0</v>
      </c>
      <c r="EB17" s="511">
        <f t="shared" si="100"/>
        <v>0</v>
      </c>
      <c r="EC17" s="511">
        <f t="shared" si="100"/>
        <v>0</v>
      </c>
      <c r="ED17" s="511">
        <f t="shared" si="100"/>
        <v>0</v>
      </c>
      <c r="EE17" s="511">
        <f t="shared" si="100"/>
        <v>0</v>
      </c>
      <c r="EF17" s="511">
        <f t="shared" si="100"/>
        <v>0</v>
      </c>
      <c r="EG17" s="539">
        <f t="shared" si="100"/>
        <v>0</v>
      </c>
      <c r="EH17" s="722">
        <f t="shared" ref="EH17:EN24" si="101">AD17*CK17</f>
        <v>0</v>
      </c>
      <c r="EI17" s="511">
        <f t="shared" si="101"/>
        <v>0</v>
      </c>
      <c r="EJ17" s="511">
        <f t="shared" si="101"/>
        <v>0</v>
      </c>
      <c r="EK17" s="511">
        <f t="shared" si="101"/>
        <v>0</v>
      </c>
      <c r="EL17" s="511">
        <f t="shared" si="101"/>
        <v>0</v>
      </c>
      <c r="EM17" s="511">
        <f t="shared" si="101"/>
        <v>0</v>
      </c>
      <c r="EN17" s="723">
        <f t="shared" si="101"/>
        <v>0</v>
      </c>
      <c r="EO17" s="722">
        <f t="shared" ref="EO17:EU24" si="102">AD17*CR17</f>
        <v>0</v>
      </c>
      <c r="EP17" s="511">
        <f t="shared" si="102"/>
        <v>0</v>
      </c>
      <c r="EQ17" s="511">
        <f t="shared" si="102"/>
        <v>0</v>
      </c>
      <c r="ER17" s="511">
        <f t="shared" si="102"/>
        <v>0</v>
      </c>
      <c r="ES17" s="511">
        <f t="shared" si="102"/>
        <v>0</v>
      </c>
      <c r="ET17" s="511">
        <f t="shared" si="102"/>
        <v>0</v>
      </c>
      <c r="EU17" s="723">
        <f t="shared" si="102"/>
        <v>0</v>
      </c>
      <c r="EV17" s="722">
        <f t="shared" ref="EV17:EV24" si="103">SUM(AD17:AJ17)</f>
        <v>0</v>
      </c>
      <c r="EW17" s="503">
        <f t="shared" ref="EW17:EW24" si="104">SUM(CY17:DE17)</f>
        <v>0</v>
      </c>
      <c r="EX17" s="503">
        <f t="shared" ref="EX17:EX24" si="105">SUM(DF17:DL17)</f>
        <v>0</v>
      </c>
      <c r="EY17" s="503">
        <f t="shared" ref="EY17:EY24" si="106">SUM(DM17:DS17)</f>
        <v>0</v>
      </c>
      <c r="EZ17" s="503">
        <f t="shared" ref="EZ17:EZ24" si="107">SUM(DT17:DZ17)</f>
        <v>0</v>
      </c>
      <c r="FA17" s="511">
        <f t="shared" ref="FA17:FA24" si="108">SUM(EA17:EG17)</f>
        <v>0</v>
      </c>
      <c r="FB17" s="511">
        <f t="shared" ref="FB17:FB24" si="109">SUM(EH17:EN17)</f>
        <v>0</v>
      </c>
      <c r="FC17" s="511">
        <f t="shared" ref="FC17:FC24" si="110">SUM(EO17:EU17)</f>
        <v>0</v>
      </c>
    </row>
    <row r="18" spans="1:159" s="10" customFormat="1" ht="12.75" customHeight="1">
      <c r="A18" s="661" t="s">
        <v>175</v>
      </c>
      <c r="B18" s="703" t="s">
        <v>1490</v>
      </c>
      <c r="C18" s="703" t="s">
        <v>1318</v>
      </c>
      <c r="D18" s="703" t="s">
        <v>1327</v>
      </c>
      <c r="E18" s="703" t="s">
        <v>331</v>
      </c>
      <c r="F18" s="704" t="s">
        <v>402</v>
      </c>
      <c r="G18" s="1094">
        <v>30.205000000000002</v>
      </c>
      <c r="H18" s="1091">
        <v>0</v>
      </c>
      <c r="I18" s="1092">
        <v>30.205000000000002</v>
      </c>
      <c r="J18" s="1091">
        <v>0</v>
      </c>
      <c r="K18" s="1092">
        <v>15.102500000000001</v>
      </c>
      <c r="L18" s="1093" t="s">
        <v>1328</v>
      </c>
      <c r="M18" s="1091">
        <v>3</v>
      </c>
      <c r="N18" s="1094">
        <v>3</v>
      </c>
      <c r="O18" s="1091">
        <v>0</v>
      </c>
      <c r="P18" s="1094">
        <v>0</v>
      </c>
      <c r="Q18" s="710">
        <f t="shared" si="69"/>
        <v>39.487499999999997</v>
      </c>
      <c r="R18" s="710">
        <f t="shared" si="69"/>
        <v>6.0937500000000002E-3</v>
      </c>
      <c r="S18" s="710">
        <f t="shared" si="69"/>
        <v>-0.28825874999999995</v>
      </c>
      <c r="T18" s="710" t="str">
        <f t="shared" si="69"/>
        <v>Per unit savings estimate from Mid-Atlantic TRM v9 "LED LED High-Bay Luminaires and Retrofit Kits" - use-specific input assumptions are average of all building types from Table D-3</v>
      </c>
      <c r="U18" s="712">
        <v>0.2</v>
      </c>
      <c r="V18" s="713">
        <v>1</v>
      </c>
      <c r="W18" s="661"/>
      <c r="X18" s="661"/>
      <c r="Y18" s="661"/>
      <c r="Z18" s="661"/>
      <c r="AA18" s="714"/>
      <c r="AB18" s="714"/>
      <c r="AC18" s="714"/>
      <c r="AD18" s="1034">
        <f t="shared" si="70"/>
        <v>0</v>
      </c>
      <c r="AE18" s="1034">
        <f t="shared" si="70"/>
        <v>0</v>
      </c>
      <c r="AF18" s="1034">
        <f t="shared" si="70"/>
        <v>2914.08</v>
      </c>
      <c r="AG18" s="1034">
        <f t="shared" si="70"/>
        <v>4371.12</v>
      </c>
      <c r="AH18" s="1034">
        <f t="shared" si="70"/>
        <v>4371.12</v>
      </c>
      <c r="AI18" s="1034">
        <f t="shared" si="70"/>
        <v>3496.8960000000002</v>
      </c>
      <c r="AJ18" s="1034">
        <f t="shared" si="70"/>
        <v>2797.5168000000003</v>
      </c>
      <c r="AK18" s="711" t="s">
        <v>384</v>
      </c>
      <c r="AL18" s="711" t="s">
        <v>742</v>
      </c>
      <c r="AM18" s="711" t="s">
        <v>1186</v>
      </c>
      <c r="AN18" s="711" t="s">
        <v>1152</v>
      </c>
      <c r="AO18" s="711" t="s">
        <v>1</v>
      </c>
      <c r="AP18" s="711"/>
      <c r="AQ18" s="711"/>
      <c r="AR18" s="711"/>
      <c r="AS18" s="715" t="s">
        <v>1153</v>
      </c>
      <c r="AT18" s="711" t="s">
        <v>1147</v>
      </c>
      <c r="AU18" s="715" t="s">
        <v>771</v>
      </c>
      <c r="AV18" s="661">
        <v>20</v>
      </c>
      <c r="AW18" s="661">
        <v>15</v>
      </c>
      <c r="AX18" s="711" t="s">
        <v>1483</v>
      </c>
      <c r="AY18" s="716">
        <v>1</v>
      </c>
      <c r="AZ18" s="716">
        <v>1</v>
      </c>
      <c r="BA18" s="717">
        <v>0</v>
      </c>
      <c r="BB18" s="774">
        <f t="shared" si="94"/>
        <v>30.205000000000002</v>
      </c>
      <c r="BC18" s="503">
        <f t="shared" si="71"/>
        <v>30.205000000000002</v>
      </c>
      <c r="BD18" s="503">
        <f t="shared" si="71"/>
        <v>30.205000000000002</v>
      </c>
      <c r="BE18" s="503">
        <f t="shared" si="72"/>
        <v>30.205000000000002</v>
      </c>
      <c r="BF18" s="503">
        <f t="shared" si="72"/>
        <v>30.205000000000002</v>
      </c>
      <c r="BG18" s="503">
        <f t="shared" si="72"/>
        <v>30.205000000000002</v>
      </c>
      <c r="BH18" s="776">
        <f t="shared" si="72"/>
        <v>30.205000000000002</v>
      </c>
      <c r="BI18" s="503">
        <f t="shared" si="95"/>
        <v>0</v>
      </c>
      <c r="BJ18" s="503">
        <f t="shared" si="73"/>
        <v>0</v>
      </c>
      <c r="BK18" s="503">
        <f t="shared" si="73"/>
        <v>0</v>
      </c>
      <c r="BL18" s="503">
        <f t="shared" si="73"/>
        <v>0</v>
      </c>
      <c r="BM18" s="503">
        <f t="shared" si="74"/>
        <v>0</v>
      </c>
      <c r="BN18" s="503">
        <f t="shared" si="74"/>
        <v>0</v>
      </c>
      <c r="BO18" s="645">
        <f t="shared" si="74"/>
        <v>0</v>
      </c>
      <c r="BP18" s="774">
        <f t="shared" si="75"/>
        <v>3</v>
      </c>
      <c r="BQ18" s="503">
        <f t="shared" si="76"/>
        <v>3</v>
      </c>
      <c r="BR18" s="503">
        <f t="shared" si="76"/>
        <v>3</v>
      </c>
      <c r="BS18" s="503">
        <f t="shared" si="76"/>
        <v>3</v>
      </c>
      <c r="BT18" s="503">
        <f t="shared" si="77"/>
        <v>3</v>
      </c>
      <c r="BU18" s="503">
        <f t="shared" si="77"/>
        <v>3</v>
      </c>
      <c r="BV18" s="776">
        <f t="shared" si="77"/>
        <v>3</v>
      </c>
      <c r="BW18" s="503"/>
      <c r="BX18" s="503"/>
      <c r="BY18" s="503"/>
      <c r="BZ18" s="503"/>
      <c r="CA18" s="503"/>
      <c r="CB18" s="503"/>
      <c r="CC18" s="645"/>
      <c r="CD18" s="722">
        <f t="shared" si="78"/>
        <v>39.487499999999997</v>
      </c>
      <c r="CE18" s="511">
        <f t="shared" si="79"/>
        <v>39.487499999999997</v>
      </c>
      <c r="CF18" s="511">
        <f t="shared" si="79"/>
        <v>39.487499999999997</v>
      </c>
      <c r="CG18" s="511">
        <f t="shared" si="79"/>
        <v>39.487499999999997</v>
      </c>
      <c r="CH18" s="511">
        <f t="shared" si="80"/>
        <v>39.487499999999997</v>
      </c>
      <c r="CI18" s="511">
        <f t="shared" si="80"/>
        <v>39.487499999999997</v>
      </c>
      <c r="CJ18" s="723">
        <f t="shared" si="80"/>
        <v>39.487499999999997</v>
      </c>
      <c r="CK18" s="722">
        <f t="shared" si="81"/>
        <v>6.0937500000000002E-3</v>
      </c>
      <c r="CL18" s="511">
        <f t="shared" si="82"/>
        <v>6.0937500000000002E-3</v>
      </c>
      <c r="CM18" s="511">
        <f t="shared" si="82"/>
        <v>6.0937500000000002E-3</v>
      </c>
      <c r="CN18" s="511">
        <f t="shared" si="82"/>
        <v>6.0937500000000002E-3</v>
      </c>
      <c r="CO18" s="511">
        <f t="shared" si="83"/>
        <v>6.0937500000000002E-3</v>
      </c>
      <c r="CP18" s="511">
        <f t="shared" si="83"/>
        <v>6.0937500000000002E-3</v>
      </c>
      <c r="CQ18" s="723">
        <f t="shared" si="83"/>
        <v>6.0937500000000002E-3</v>
      </c>
      <c r="CR18" s="511">
        <f t="shared" si="84"/>
        <v>0</v>
      </c>
      <c r="CS18" s="511">
        <f t="shared" si="85"/>
        <v>0</v>
      </c>
      <c r="CT18" s="511">
        <f t="shared" si="85"/>
        <v>0</v>
      </c>
      <c r="CU18" s="511">
        <f t="shared" si="85"/>
        <v>0</v>
      </c>
      <c r="CV18" s="511">
        <f t="shared" si="86"/>
        <v>0</v>
      </c>
      <c r="CW18" s="511">
        <f t="shared" si="86"/>
        <v>0</v>
      </c>
      <c r="CX18" s="539">
        <f t="shared" si="86"/>
        <v>0</v>
      </c>
      <c r="CY18" s="774">
        <f t="shared" si="96"/>
        <v>0</v>
      </c>
      <c r="CZ18" s="503">
        <f t="shared" si="96"/>
        <v>0</v>
      </c>
      <c r="DA18" s="503">
        <f t="shared" si="96"/>
        <v>88019.786399999997</v>
      </c>
      <c r="DB18" s="503">
        <f t="shared" si="96"/>
        <v>132029.6796</v>
      </c>
      <c r="DC18" s="503">
        <f t="shared" si="96"/>
        <v>132029.6796</v>
      </c>
      <c r="DD18" s="503">
        <f t="shared" si="96"/>
        <v>105623.74368000001</v>
      </c>
      <c r="DE18" s="776">
        <f t="shared" si="96"/>
        <v>84498.99494400002</v>
      </c>
      <c r="DF18" s="774">
        <f t="shared" si="97"/>
        <v>0</v>
      </c>
      <c r="DG18" s="503">
        <f t="shared" si="97"/>
        <v>0</v>
      </c>
      <c r="DH18" s="503">
        <f t="shared" si="97"/>
        <v>0</v>
      </c>
      <c r="DI18" s="503">
        <f t="shared" si="97"/>
        <v>0</v>
      </c>
      <c r="DJ18" s="503">
        <f t="shared" si="97"/>
        <v>0</v>
      </c>
      <c r="DK18" s="503">
        <f t="shared" si="97"/>
        <v>0</v>
      </c>
      <c r="DL18" s="776">
        <f t="shared" si="97"/>
        <v>0</v>
      </c>
      <c r="DM18" s="774">
        <f t="shared" si="98"/>
        <v>0</v>
      </c>
      <c r="DN18" s="503">
        <f t="shared" si="98"/>
        <v>0</v>
      </c>
      <c r="DO18" s="503">
        <f t="shared" si="98"/>
        <v>8742.24</v>
      </c>
      <c r="DP18" s="503">
        <f t="shared" si="98"/>
        <v>13113.36</v>
      </c>
      <c r="DQ18" s="503">
        <f t="shared" si="98"/>
        <v>13113.36</v>
      </c>
      <c r="DR18" s="503">
        <f t="shared" si="98"/>
        <v>10490.688</v>
      </c>
      <c r="DS18" s="776">
        <f t="shared" si="98"/>
        <v>8392.5504000000001</v>
      </c>
      <c r="DT18" s="774">
        <f t="shared" si="99"/>
        <v>0</v>
      </c>
      <c r="DU18" s="503">
        <f t="shared" si="99"/>
        <v>0</v>
      </c>
      <c r="DV18" s="503">
        <f t="shared" si="99"/>
        <v>0</v>
      </c>
      <c r="DW18" s="503">
        <f t="shared" si="99"/>
        <v>0</v>
      </c>
      <c r="DX18" s="503">
        <f t="shared" si="99"/>
        <v>0</v>
      </c>
      <c r="DY18" s="503">
        <f t="shared" si="99"/>
        <v>0</v>
      </c>
      <c r="DZ18" s="776">
        <f t="shared" si="99"/>
        <v>0</v>
      </c>
      <c r="EA18" s="511">
        <f t="shared" si="100"/>
        <v>0</v>
      </c>
      <c r="EB18" s="511">
        <f t="shared" si="100"/>
        <v>0</v>
      </c>
      <c r="EC18" s="511">
        <f t="shared" si="100"/>
        <v>115069.73399999998</v>
      </c>
      <c r="ED18" s="511">
        <f t="shared" si="100"/>
        <v>172604.601</v>
      </c>
      <c r="EE18" s="511">
        <f t="shared" si="100"/>
        <v>172604.601</v>
      </c>
      <c r="EF18" s="511">
        <f t="shared" si="100"/>
        <v>138083.6808</v>
      </c>
      <c r="EG18" s="539">
        <f t="shared" si="100"/>
        <v>110466.94464</v>
      </c>
      <c r="EH18" s="722">
        <f t="shared" si="101"/>
        <v>0</v>
      </c>
      <c r="EI18" s="511">
        <f t="shared" si="101"/>
        <v>0</v>
      </c>
      <c r="EJ18" s="511">
        <f t="shared" si="101"/>
        <v>17.757674999999999</v>
      </c>
      <c r="EK18" s="511">
        <f t="shared" si="101"/>
        <v>26.636512499999998</v>
      </c>
      <c r="EL18" s="511">
        <f t="shared" si="101"/>
        <v>26.636512499999998</v>
      </c>
      <c r="EM18" s="511">
        <f t="shared" si="101"/>
        <v>21.30921</v>
      </c>
      <c r="EN18" s="723">
        <f t="shared" si="101"/>
        <v>17.047368000000002</v>
      </c>
      <c r="EO18" s="722">
        <f t="shared" si="102"/>
        <v>0</v>
      </c>
      <c r="EP18" s="511">
        <f t="shared" si="102"/>
        <v>0</v>
      </c>
      <c r="EQ18" s="511">
        <f t="shared" si="102"/>
        <v>0</v>
      </c>
      <c r="ER18" s="511">
        <f t="shared" si="102"/>
        <v>0</v>
      </c>
      <c r="ES18" s="511">
        <f t="shared" si="102"/>
        <v>0</v>
      </c>
      <c r="ET18" s="511">
        <f t="shared" si="102"/>
        <v>0</v>
      </c>
      <c r="EU18" s="723">
        <f t="shared" si="102"/>
        <v>0</v>
      </c>
      <c r="EV18" s="722">
        <f t="shared" si="103"/>
        <v>17950.732800000002</v>
      </c>
      <c r="EW18" s="503">
        <f t="shared" si="104"/>
        <v>542201.88422400004</v>
      </c>
      <c r="EX18" s="503">
        <f t="shared" si="105"/>
        <v>0</v>
      </c>
      <c r="EY18" s="503">
        <f t="shared" si="106"/>
        <v>53852.198400000001</v>
      </c>
      <c r="EZ18" s="503">
        <f t="shared" si="107"/>
        <v>0</v>
      </c>
      <c r="FA18" s="511">
        <f t="shared" si="108"/>
        <v>708829.56143999996</v>
      </c>
      <c r="FB18" s="511">
        <f t="shared" si="109"/>
        <v>109.38727800000001</v>
      </c>
      <c r="FC18" s="511">
        <f t="shared" si="110"/>
        <v>0</v>
      </c>
    </row>
    <row r="19" spans="1:159" s="10" customFormat="1" ht="12.75" customHeight="1">
      <c r="A19" s="661" t="s">
        <v>176</v>
      </c>
      <c r="B19" s="703" t="s">
        <v>1491</v>
      </c>
      <c r="C19" s="703" t="s">
        <v>1318</v>
      </c>
      <c r="D19" s="703" t="s">
        <v>1331</v>
      </c>
      <c r="E19" s="703" t="s">
        <v>331</v>
      </c>
      <c r="F19" s="704" t="s">
        <v>402</v>
      </c>
      <c r="G19" s="1094">
        <v>36</v>
      </c>
      <c r="H19" s="1091">
        <v>0</v>
      </c>
      <c r="I19" s="1092">
        <v>36</v>
      </c>
      <c r="J19" s="1091">
        <v>0</v>
      </c>
      <c r="K19" s="1092">
        <v>18</v>
      </c>
      <c r="L19" s="1093" t="s">
        <v>1332</v>
      </c>
      <c r="M19" s="1091">
        <v>5</v>
      </c>
      <c r="N19" s="1094">
        <v>5</v>
      </c>
      <c r="O19" s="1091">
        <v>0</v>
      </c>
      <c r="P19" s="1094">
        <v>0</v>
      </c>
      <c r="Q19" s="710">
        <f t="shared" si="69"/>
        <v>167.1274142799152</v>
      </c>
      <c r="R19" s="710">
        <f t="shared" si="69"/>
        <v>3.8547530882739774E-2</v>
      </c>
      <c r="S19" s="710">
        <f t="shared" si="69"/>
        <v>0</v>
      </c>
      <c r="T19" s="710" t="str">
        <f t="shared" si="69"/>
        <v>LG&amp;E/KU Commercial Rebates Report - Appendix A</v>
      </c>
      <c r="U19" s="712">
        <v>0.2</v>
      </c>
      <c r="V19" s="713">
        <v>1</v>
      </c>
      <c r="W19" s="661"/>
      <c r="X19" s="661"/>
      <c r="Y19" s="661"/>
      <c r="Z19" s="661"/>
      <c r="AA19" s="714"/>
      <c r="AB19" s="714"/>
      <c r="AC19" s="714"/>
      <c r="AD19" s="1034">
        <f t="shared" si="70"/>
        <v>0</v>
      </c>
      <c r="AE19" s="1034">
        <f t="shared" si="70"/>
        <v>0</v>
      </c>
      <c r="AF19" s="1034">
        <f t="shared" si="70"/>
        <v>7070.88</v>
      </c>
      <c r="AG19" s="1034">
        <f t="shared" si="70"/>
        <v>10606.32</v>
      </c>
      <c r="AH19" s="1034">
        <f t="shared" si="70"/>
        <v>10606.32</v>
      </c>
      <c r="AI19" s="1034">
        <f t="shared" si="70"/>
        <v>8485.0560000000005</v>
      </c>
      <c r="AJ19" s="1034">
        <f t="shared" si="70"/>
        <v>6788.0448000000006</v>
      </c>
      <c r="AK19" s="711" t="s">
        <v>384</v>
      </c>
      <c r="AL19" s="711" t="s">
        <v>742</v>
      </c>
      <c r="AM19" s="711" t="s">
        <v>1186</v>
      </c>
      <c r="AN19" s="711" t="s">
        <v>1152</v>
      </c>
      <c r="AO19" s="711" t="s">
        <v>1</v>
      </c>
      <c r="AP19" s="711"/>
      <c r="AQ19" s="711"/>
      <c r="AR19" s="711"/>
      <c r="AS19" s="715" t="s">
        <v>1153</v>
      </c>
      <c r="AT19" s="711" t="s">
        <v>1147</v>
      </c>
      <c r="AU19" s="715" t="s">
        <v>771</v>
      </c>
      <c r="AV19" s="661">
        <v>12</v>
      </c>
      <c r="AW19" s="661">
        <v>3</v>
      </c>
      <c r="AX19" s="711" t="s">
        <v>1485</v>
      </c>
      <c r="AY19" s="716">
        <v>1</v>
      </c>
      <c r="AZ19" s="716">
        <v>1</v>
      </c>
      <c r="BA19" s="717">
        <v>0</v>
      </c>
      <c r="BB19" s="774">
        <f t="shared" si="94"/>
        <v>36</v>
      </c>
      <c r="BC19" s="503">
        <f t="shared" si="71"/>
        <v>36</v>
      </c>
      <c r="BD19" s="503">
        <f t="shared" si="71"/>
        <v>36</v>
      </c>
      <c r="BE19" s="503">
        <f t="shared" si="72"/>
        <v>36</v>
      </c>
      <c r="BF19" s="503">
        <f t="shared" si="72"/>
        <v>36</v>
      </c>
      <c r="BG19" s="503">
        <f t="shared" si="72"/>
        <v>36</v>
      </c>
      <c r="BH19" s="776">
        <f t="shared" si="72"/>
        <v>36</v>
      </c>
      <c r="BI19" s="503">
        <f t="shared" si="95"/>
        <v>0</v>
      </c>
      <c r="BJ19" s="503">
        <f t="shared" si="73"/>
        <v>0</v>
      </c>
      <c r="BK19" s="503">
        <f t="shared" si="73"/>
        <v>0</v>
      </c>
      <c r="BL19" s="503">
        <f t="shared" si="73"/>
        <v>0</v>
      </c>
      <c r="BM19" s="503">
        <f t="shared" si="74"/>
        <v>0</v>
      </c>
      <c r="BN19" s="503">
        <f t="shared" si="74"/>
        <v>0</v>
      </c>
      <c r="BO19" s="645">
        <f t="shared" si="74"/>
        <v>0</v>
      </c>
      <c r="BP19" s="774">
        <f t="shared" si="75"/>
        <v>5</v>
      </c>
      <c r="BQ19" s="503">
        <f t="shared" si="76"/>
        <v>5</v>
      </c>
      <c r="BR19" s="503">
        <f t="shared" si="76"/>
        <v>5</v>
      </c>
      <c r="BS19" s="503">
        <f t="shared" si="76"/>
        <v>5</v>
      </c>
      <c r="BT19" s="503">
        <f t="shared" si="77"/>
        <v>5</v>
      </c>
      <c r="BU19" s="503">
        <f t="shared" si="77"/>
        <v>5</v>
      </c>
      <c r="BV19" s="776">
        <f t="shared" si="77"/>
        <v>5</v>
      </c>
      <c r="BW19" s="503"/>
      <c r="BX19" s="503"/>
      <c r="BY19" s="503"/>
      <c r="BZ19" s="503"/>
      <c r="CA19" s="503"/>
      <c r="CB19" s="503"/>
      <c r="CC19" s="645"/>
      <c r="CD19" s="722">
        <f t="shared" si="78"/>
        <v>167.1274142799152</v>
      </c>
      <c r="CE19" s="511">
        <f t="shared" si="79"/>
        <v>167.1274142799152</v>
      </c>
      <c r="CF19" s="511">
        <f t="shared" si="79"/>
        <v>167.1274142799152</v>
      </c>
      <c r="CG19" s="511">
        <f t="shared" si="79"/>
        <v>167.1274142799152</v>
      </c>
      <c r="CH19" s="511">
        <f t="shared" si="80"/>
        <v>167.1274142799152</v>
      </c>
      <c r="CI19" s="511">
        <f t="shared" si="80"/>
        <v>167.1274142799152</v>
      </c>
      <c r="CJ19" s="723">
        <f t="shared" si="80"/>
        <v>167.1274142799152</v>
      </c>
      <c r="CK19" s="722">
        <f t="shared" si="81"/>
        <v>3.8547530882739774E-2</v>
      </c>
      <c r="CL19" s="511">
        <f t="shared" si="82"/>
        <v>3.8547530882739774E-2</v>
      </c>
      <c r="CM19" s="511">
        <f t="shared" si="82"/>
        <v>3.8547530882739774E-2</v>
      </c>
      <c r="CN19" s="511">
        <f t="shared" si="82"/>
        <v>3.8547530882739774E-2</v>
      </c>
      <c r="CO19" s="511">
        <f t="shared" si="83"/>
        <v>3.8547530882739774E-2</v>
      </c>
      <c r="CP19" s="511">
        <f t="shared" si="83"/>
        <v>3.8547530882739774E-2</v>
      </c>
      <c r="CQ19" s="723">
        <f t="shared" si="83"/>
        <v>3.8547530882739774E-2</v>
      </c>
      <c r="CR19" s="511">
        <f t="shared" si="84"/>
        <v>0</v>
      </c>
      <c r="CS19" s="511">
        <f t="shared" si="85"/>
        <v>0</v>
      </c>
      <c r="CT19" s="511">
        <f t="shared" si="85"/>
        <v>0</v>
      </c>
      <c r="CU19" s="511">
        <f t="shared" si="85"/>
        <v>0</v>
      </c>
      <c r="CV19" s="511">
        <f t="shared" si="86"/>
        <v>0</v>
      </c>
      <c r="CW19" s="511">
        <f t="shared" si="86"/>
        <v>0</v>
      </c>
      <c r="CX19" s="539">
        <f t="shared" si="86"/>
        <v>0</v>
      </c>
      <c r="CY19" s="774">
        <f t="shared" si="96"/>
        <v>0</v>
      </c>
      <c r="CZ19" s="503">
        <f t="shared" si="96"/>
        <v>0</v>
      </c>
      <c r="DA19" s="503">
        <f t="shared" si="96"/>
        <v>254551.67999999999</v>
      </c>
      <c r="DB19" s="503">
        <f t="shared" si="96"/>
        <v>381827.52</v>
      </c>
      <c r="DC19" s="503">
        <f t="shared" si="96"/>
        <v>381827.52</v>
      </c>
      <c r="DD19" s="503">
        <f t="shared" si="96"/>
        <v>305462.016</v>
      </c>
      <c r="DE19" s="776">
        <f t="shared" si="96"/>
        <v>244369.61280000003</v>
      </c>
      <c r="DF19" s="774">
        <f t="shared" si="97"/>
        <v>0</v>
      </c>
      <c r="DG19" s="503">
        <f t="shared" si="97"/>
        <v>0</v>
      </c>
      <c r="DH19" s="503">
        <f t="shared" si="97"/>
        <v>0</v>
      </c>
      <c r="DI19" s="503">
        <f t="shared" si="97"/>
        <v>0</v>
      </c>
      <c r="DJ19" s="503">
        <f t="shared" si="97"/>
        <v>0</v>
      </c>
      <c r="DK19" s="503">
        <f t="shared" si="97"/>
        <v>0</v>
      </c>
      <c r="DL19" s="776">
        <f t="shared" si="97"/>
        <v>0</v>
      </c>
      <c r="DM19" s="774">
        <f t="shared" si="98"/>
        <v>0</v>
      </c>
      <c r="DN19" s="503">
        <f t="shared" si="98"/>
        <v>0</v>
      </c>
      <c r="DO19" s="503">
        <f t="shared" si="98"/>
        <v>35354.400000000001</v>
      </c>
      <c r="DP19" s="503">
        <f t="shared" si="98"/>
        <v>53031.6</v>
      </c>
      <c r="DQ19" s="503">
        <f t="shared" si="98"/>
        <v>53031.6</v>
      </c>
      <c r="DR19" s="503">
        <f t="shared" si="98"/>
        <v>42425.279999999999</v>
      </c>
      <c r="DS19" s="776">
        <f t="shared" si="98"/>
        <v>33940.224000000002</v>
      </c>
      <c r="DT19" s="774">
        <f t="shared" si="99"/>
        <v>0</v>
      </c>
      <c r="DU19" s="503">
        <f t="shared" si="99"/>
        <v>0</v>
      </c>
      <c r="DV19" s="503">
        <f t="shared" si="99"/>
        <v>0</v>
      </c>
      <c r="DW19" s="503">
        <f t="shared" si="99"/>
        <v>0</v>
      </c>
      <c r="DX19" s="503">
        <f t="shared" si="99"/>
        <v>0</v>
      </c>
      <c r="DY19" s="503">
        <f t="shared" si="99"/>
        <v>0</v>
      </c>
      <c r="DZ19" s="776">
        <f t="shared" si="99"/>
        <v>0</v>
      </c>
      <c r="EA19" s="511">
        <f t="shared" si="100"/>
        <v>0</v>
      </c>
      <c r="EB19" s="511">
        <f t="shared" si="100"/>
        <v>0</v>
      </c>
      <c r="EC19" s="511">
        <f t="shared" si="100"/>
        <v>1181737.8910835667</v>
      </c>
      <c r="ED19" s="511">
        <f t="shared" si="100"/>
        <v>1772606.8366253502</v>
      </c>
      <c r="EE19" s="511">
        <f t="shared" si="100"/>
        <v>1772606.8366253502</v>
      </c>
      <c r="EF19" s="511">
        <f t="shared" si="100"/>
        <v>1418085.4693002803</v>
      </c>
      <c r="EG19" s="539">
        <f t="shared" si="100"/>
        <v>1134468.3754402243</v>
      </c>
      <c r="EH19" s="722">
        <f t="shared" si="101"/>
        <v>0</v>
      </c>
      <c r="EI19" s="511">
        <f t="shared" si="101"/>
        <v>0</v>
      </c>
      <c r="EJ19" s="511">
        <f t="shared" si="101"/>
        <v>272.56496516814701</v>
      </c>
      <c r="EK19" s="511">
        <f t="shared" si="101"/>
        <v>408.84744775222049</v>
      </c>
      <c r="EL19" s="511">
        <f t="shared" si="101"/>
        <v>408.84744775222049</v>
      </c>
      <c r="EM19" s="511">
        <f t="shared" si="101"/>
        <v>327.07795820177643</v>
      </c>
      <c r="EN19" s="723">
        <f t="shared" si="101"/>
        <v>261.66236656142115</v>
      </c>
      <c r="EO19" s="722">
        <f t="shared" si="102"/>
        <v>0</v>
      </c>
      <c r="EP19" s="511">
        <f t="shared" si="102"/>
        <v>0</v>
      </c>
      <c r="EQ19" s="511">
        <f t="shared" si="102"/>
        <v>0</v>
      </c>
      <c r="ER19" s="511">
        <f t="shared" si="102"/>
        <v>0</v>
      </c>
      <c r="ES19" s="511">
        <f t="shared" si="102"/>
        <v>0</v>
      </c>
      <c r="ET19" s="511">
        <f t="shared" si="102"/>
        <v>0</v>
      </c>
      <c r="EU19" s="723">
        <f t="shared" si="102"/>
        <v>0</v>
      </c>
      <c r="EV19" s="722">
        <f t="shared" si="103"/>
        <v>43556.620800000004</v>
      </c>
      <c r="EW19" s="503">
        <f t="shared" si="104"/>
        <v>1568038.3488</v>
      </c>
      <c r="EX19" s="503">
        <f t="shared" si="105"/>
        <v>0</v>
      </c>
      <c r="EY19" s="503">
        <f t="shared" si="106"/>
        <v>217783.10399999999</v>
      </c>
      <c r="EZ19" s="503">
        <f t="shared" si="107"/>
        <v>0</v>
      </c>
      <c r="FA19" s="511">
        <f t="shared" si="108"/>
        <v>7279505.4090747721</v>
      </c>
      <c r="FB19" s="511">
        <f t="shared" si="109"/>
        <v>1679.0001854357856</v>
      </c>
      <c r="FC19" s="511">
        <f t="shared" si="110"/>
        <v>0</v>
      </c>
    </row>
    <row r="20" spans="1:159" s="10" customFormat="1" ht="12.75" customHeight="1">
      <c r="A20" s="661" t="s">
        <v>177</v>
      </c>
      <c r="B20" s="703" t="s">
        <v>1492</v>
      </c>
      <c r="C20" s="703" t="s">
        <v>1318</v>
      </c>
      <c r="D20" s="703" t="s">
        <v>1334</v>
      </c>
      <c r="E20" s="703" t="s">
        <v>331</v>
      </c>
      <c r="F20" s="704" t="s">
        <v>402</v>
      </c>
      <c r="G20" s="1094">
        <v>36.285714285714285</v>
      </c>
      <c r="H20" s="1091">
        <v>0</v>
      </c>
      <c r="I20" s="1092">
        <v>36.285714285714285</v>
      </c>
      <c r="J20" s="1091">
        <v>0</v>
      </c>
      <c r="K20" s="1092">
        <v>18.142857142857142</v>
      </c>
      <c r="L20" s="1093" t="s">
        <v>1332</v>
      </c>
      <c r="M20" s="1091">
        <v>5</v>
      </c>
      <c r="N20" s="1094">
        <v>5</v>
      </c>
      <c r="O20" s="1091">
        <v>0</v>
      </c>
      <c r="P20" s="1094">
        <v>0</v>
      </c>
      <c r="Q20" s="710">
        <f t="shared" si="69"/>
        <v>129.12008590645323</v>
      </c>
      <c r="R20" s="710">
        <f t="shared" si="69"/>
        <v>6.2447295814748824E-2</v>
      </c>
      <c r="S20" s="710">
        <f t="shared" si="69"/>
        <v>0</v>
      </c>
      <c r="T20" s="710" t="str">
        <f t="shared" si="69"/>
        <v>LG&amp;E/KU Commercial Rebates Report - Appendix A</v>
      </c>
      <c r="U20" s="712">
        <v>0.2</v>
      </c>
      <c r="V20" s="713">
        <v>1</v>
      </c>
      <c r="W20" s="661"/>
      <c r="X20" s="661"/>
      <c r="Y20" s="661"/>
      <c r="Z20" s="661"/>
      <c r="AA20" s="714"/>
      <c r="AB20" s="714"/>
      <c r="AC20" s="714"/>
      <c r="AD20" s="1034">
        <f t="shared" si="70"/>
        <v>0</v>
      </c>
      <c r="AE20" s="1034">
        <f t="shared" si="70"/>
        <v>0</v>
      </c>
      <c r="AF20" s="1034">
        <f t="shared" si="70"/>
        <v>94302.720000000001</v>
      </c>
      <c r="AG20" s="1034">
        <f t="shared" si="70"/>
        <v>141454.07999999999</v>
      </c>
      <c r="AH20" s="1034">
        <f t="shared" si="70"/>
        <v>141454.07999999999</v>
      </c>
      <c r="AI20" s="1034">
        <f t="shared" si="70"/>
        <v>113163.264</v>
      </c>
      <c r="AJ20" s="1034">
        <f t="shared" si="70"/>
        <v>90530.611199999999</v>
      </c>
      <c r="AK20" s="711" t="s">
        <v>384</v>
      </c>
      <c r="AL20" s="711" t="s">
        <v>742</v>
      </c>
      <c r="AM20" s="711" t="s">
        <v>1186</v>
      </c>
      <c r="AN20" s="711" t="s">
        <v>1152</v>
      </c>
      <c r="AO20" s="711" t="s">
        <v>1</v>
      </c>
      <c r="AP20" s="711"/>
      <c r="AQ20" s="711"/>
      <c r="AR20" s="711"/>
      <c r="AS20" s="715" t="s">
        <v>1153</v>
      </c>
      <c r="AT20" s="711" t="s">
        <v>1147</v>
      </c>
      <c r="AU20" s="715" t="s">
        <v>771</v>
      </c>
      <c r="AV20" s="661">
        <v>12</v>
      </c>
      <c r="AW20" s="661">
        <v>3</v>
      </c>
      <c r="AX20" s="711" t="s">
        <v>1485</v>
      </c>
      <c r="AY20" s="716">
        <v>1</v>
      </c>
      <c r="AZ20" s="716">
        <v>1</v>
      </c>
      <c r="BA20" s="717">
        <v>0</v>
      </c>
      <c r="BB20" s="774">
        <f t="shared" si="94"/>
        <v>36.285714285714285</v>
      </c>
      <c r="BC20" s="503">
        <f t="shared" si="71"/>
        <v>36.285714285714285</v>
      </c>
      <c r="BD20" s="503">
        <f t="shared" si="71"/>
        <v>36.285714285714285</v>
      </c>
      <c r="BE20" s="503">
        <f t="shared" si="72"/>
        <v>36.285714285714285</v>
      </c>
      <c r="BF20" s="503">
        <f t="shared" si="72"/>
        <v>36.285714285714285</v>
      </c>
      <c r="BG20" s="503">
        <f t="shared" si="72"/>
        <v>36.285714285714285</v>
      </c>
      <c r="BH20" s="776">
        <f t="shared" si="72"/>
        <v>36.285714285714285</v>
      </c>
      <c r="BI20" s="503">
        <f t="shared" si="95"/>
        <v>0</v>
      </c>
      <c r="BJ20" s="503">
        <f t="shared" si="73"/>
        <v>0</v>
      </c>
      <c r="BK20" s="503">
        <f t="shared" si="73"/>
        <v>0</v>
      </c>
      <c r="BL20" s="503">
        <f t="shared" si="73"/>
        <v>0</v>
      </c>
      <c r="BM20" s="503">
        <f t="shared" si="74"/>
        <v>0</v>
      </c>
      <c r="BN20" s="503">
        <f t="shared" si="74"/>
        <v>0</v>
      </c>
      <c r="BO20" s="645">
        <f t="shared" si="74"/>
        <v>0</v>
      </c>
      <c r="BP20" s="774">
        <f t="shared" si="75"/>
        <v>5</v>
      </c>
      <c r="BQ20" s="503">
        <f t="shared" si="76"/>
        <v>5</v>
      </c>
      <c r="BR20" s="503">
        <f t="shared" si="76"/>
        <v>5</v>
      </c>
      <c r="BS20" s="503">
        <f t="shared" si="76"/>
        <v>5</v>
      </c>
      <c r="BT20" s="503">
        <f t="shared" si="77"/>
        <v>5</v>
      </c>
      <c r="BU20" s="503">
        <f t="shared" si="77"/>
        <v>5</v>
      </c>
      <c r="BV20" s="776">
        <f t="shared" si="77"/>
        <v>5</v>
      </c>
      <c r="BW20" s="503"/>
      <c r="BX20" s="503"/>
      <c r="BY20" s="503"/>
      <c r="BZ20" s="503"/>
      <c r="CA20" s="503"/>
      <c r="CB20" s="503"/>
      <c r="CC20" s="645"/>
      <c r="CD20" s="722">
        <f t="shared" si="78"/>
        <v>129.12008590645323</v>
      </c>
      <c r="CE20" s="511">
        <f t="shared" si="79"/>
        <v>129.12008590645323</v>
      </c>
      <c r="CF20" s="511">
        <f t="shared" si="79"/>
        <v>129.12008590645323</v>
      </c>
      <c r="CG20" s="511">
        <f t="shared" si="79"/>
        <v>129.12008590645323</v>
      </c>
      <c r="CH20" s="511">
        <f t="shared" si="80"/>
        <v>129.12008590645323</v>
      </c>
      <c r="CI20" s="511">
        <f t="shared" si="80"/>
        <v>129.12008590645323</v>
      </c>
      <c r="CJ20" s="723">
        <f t="shared" si="80"/>
        <v>129.12008590645323</v>
      </c>
      <c r="CK20" s="722">
        <f t="shared" si="81"/>
        <v>6.2447295814748824E-2</v>
      </c>
      <c r="CL20" s="511">
        <f t="shared" si="82"/>
        <v>6.2447295814748824E-2</v>
      </c>
      <c r="CM20" s="511">
        <f t="shared" si="82"/>
        <v>6.2447295814748824E-2</v>
      </c>
      <c r="CN20" s="511">
        <f t="shared" si="82"/>
        <v>6.2447295814748824E-2</v>
      </c>
      <c r="CO20" s="511">
        <f t="shared" si="83"/>
        <v>6.2447295814748824E-2</v>
      </c>
      <c r="CP20" s="511">
        <f t="shared" si="83"/>
        <v>6.2447295814748824E-2</v>
      </c>
      <c r="CQ20" s="723">
        <f t="shared" si="83"/>
        <v>6.2447295814748824E-2</v>
      </c>
      <c r="CR20" s="511">
        <f t="shared" si="84"/>
        <v>0</v>
      </c>
      <c r="CS20" s="511">
        <f t="shared" si="85"/>
        <v>0</v>
      </c>
      <c r="CT20" s="511">
        <f t="shared" si="85"/>
        <v>0</v>
      </c>
      <c r="CU20" s="511">
        <f t="shared" si="85"/>
        <v>0</v>
      </c>
      <c r="CV20" s="511">
        <f t="shared" si="86"/>
        <v>0</v>
      </c>
      <c r="CW20" s="511">
        <f t="shared" si="86"/>
        <v>0</v>
      </c>
      <c r="CX20" s="539">
        <f t="shared" si="86"/>
        <v>0</v>
      </c>
      <c r="CY20" s="774">
        <f t="shared" si="96"/>
        <v>0</v>
      </c>
      <c r="CZ20" s="503">
        <f t="shared" si="96"/>
        <v>0</v>
      </c>
      <c r="DA20" s="503">
        <f t="shared" si="96"/>
        <v>3421841.5542857144</v>
      </c>
      <c r="DB20" s="503">
        <f t="shared" si="96"/>
        <v>5132762.3314285707</v>
      </c>
      <c r="DC20" s="503">
        <f t="shared" si="96"/>
        <v>5132762.3314285707</v>
      </c>
      <c r="DD20" s="503">
        <f t="shared" si="96"/>
        <v>4106209.8651428567</v>
      </c>
      <c r="DE20" s="776">
        <f t="shared" si="96"/>
        <v>3284967.8921142854</v>
      </c>
      <c r="DF20" s="774">
        <f t="shared" si="97"/>
        <v>0</v>
      </c>
      <c r="DG20" s="503">
        <f t="shared" si="97"/>
        <v>0</v>
      </c>
      <c r="DH20" s="503">
        <f t="shared" si="97"/>
        <v>0</v>
      </c>
      <c r="DI20" s="503">
        <f t="shared" si="97"/>
        <v>0</v>
      </c>
      <c r="DJ20" s="503">
        <f t="shared" si="97"/>
        <v>0</v>
      </c>
      <c r="DK20" s="503">
        <f t="shared" si="97"/>
        <v>0</v>
      </c>
      <c r="DL20" s="776">
        <f t="shared" si="97"/>
        <v>0</v>
      </c>
      <c r="DM20" s="774">
        <f t="shared" si="98"/>
        <v>0</v>
      </c>
      <c r="DN20" s="503">
        <f t="shared" si="98"/>
        <v>0</v>
      </c>
      <c r="DO20" s="503">
        <f t="shared" si="98"/>
        <v>471513.59999999998</v>
      </c>
      <c r="DP20" s="503">
        <f t="shared" si="98"/>
        <v>707270.39999999991</v>
      </c>
      <c r="DQ20" s="503">
        <f t="shared" si="98"/>
        <v>707270.39999999991</v>
      </c>
      <c r="DR20" s="503">
        <f t="shared" si="98"/>
        <v>565816.31999999995</v>
      </c>
      <c r="DS20" s="776">
        <f t="shared" si="98"/>
        <v>452653.05599999998</v>
      </c>
      <c r="DT20" s="774">
        <f t="shared" si="99"/>
        <v>0</v>
      </c>
      <c r="DU20" s="503">
        <f t="shared" si="99"/>
        <v>0</v>
      </c>
      <c r="DV20" s="503">
        <f t="shared" si="99"/>
        <v>0</v>
      </c>
      <c r="DW20" s="503">
        <f t="shared" si="99"/>
        <v>0</v>
      </c>
      <c r="DX20" s="503">
        <f t="shared" si="99"/>
        <v>0</v>
      </c>
      <c r="DY20" s="503">
        <f t="shared" si="99"/>
        <v>0</v>
      </c>
      <c r="DZ20" s="776">
        <f t="shared" si="99"/>
        <v>0</v>
      </c>
      <c r="EA20" s="511">
        <f t="shared" si="100"/>
        <v>0</v>
      </c>
      <c r="EB20" s="511">
        <f t="shared" si="100"/>
        <v>0</v>
      </c>
      <c r="EC20" s="511">
        <f t="shared" si="100"/>
        <v>12176375.307612205</v>
      </c>
      <c r="ED20" s="511">
        <f t="shared" si="100"/>
        <v>18264562.961418305</v>
      </c>
      <c r="EE20" s="511">
        <f t="shared" si="100"/>
        <v>18264562.961418305</v>
      </c>
      <c r="EF20" s="511">
        <f t="shared" si="100"/>
        <v>14611650.369134646</v>
      </c>
      <c r="EG20" s="539">
        <f t="shared" si="100"/>
        <v>11689320.295307716</v>
      </c>
      <c r="EH20" s="722">
        <f t="shared" si="101"/>
        <v>0</v>
      </c>
      <c r="EI20" s="511">
        <f t="shared" si="101"/>
        <v>0</v>
      </c>
      <c r="EJ20" s="511">
        <f t="shared" si="101"/>
        <v>5888.9498519754306</v>
      </c>
      <c r="EK20" s="511">
        <f t="shared" si="101"/>
        <v>8833.4247779631442</v>
      </c>
      <c r="EL20" s="511">
        <f t="shared" si="101"/>
        <v>8833.4247779631442</v>
      </c>
      <c r="EM20" s="511">
        <f t="shared" si="101"/>
        <v>7066.7398223705159</v>
      </c>
      <c r="EN20" s="723">
        <f t="shared" si="101"/>
        <v>5653.3918578964131</v>
      </c>
      <c r="EO20" s="722">
        <f t="shared" si="102"/>
        <v>0</v>
      </c>
      <c r="EP20" s="511">
        <f t="shared" si="102"/>
        <v>0</v>
      </c>
      <c r="EQ20" s="511">
        <f t="shared" si="102"/>
        <v>0</v>
      </c>
      <c r="ER20" s="511">
        <f t="shared" si="102"/>
        <v>0</v>
      </c>
      <c r="ES20" s="511">
        <f t="shared" si="102"/>
        <v>0</v>
      </c>
      <c r="ET20" s="511">
        <f t="shared" si="102"/>
        <v>0</v>
      </c>
      <c r="EU20" s="723">
        <f t="shared" si="102"/>
        <v>0</v>
      </c>
      <c r="EV20" s="722">
        <f t="shared" si="103"/>
        <v>580904.75520000001</v>
      </c>
      <c r="EW20" s="503">
        <f t="shared" si="104"/>
        <v>21078543.974399999</v>
      </c>
      <c r="EX20" s="503">
        <f t="shared" si="105"/>
        <v>0</v>
      </c>
      <c r="EY20" s="503">
        <f t="shared" si="106"/>
        <v>2904523.7759999996</v>
      </c>
      <c r="EZ20" s="503">
        <f t="shared" si="107"/>
        <v>0</v>
      </c>
      <c r="FA20" s="511">
        <f t="shared" si="108"/>
        <v>75006471.894891173</v>
      </c>
      <c r="FB20" s="511">
        <f t="shared" si="109"/>
        <v>36275.931088168647</v>
      </c>
      <c r="FC20" s="511">
        <f t="shared" si="110"/>
        <v>0</v>
      </c>
    </row>
    <row r="21" spans="1:159" s="10" customFormat="1" ht="12.75" customHeight="1">
      <c r="A21" s="661" t="s">
        <v>178</v>
      </c>
      <c r="B21" s="703" t="s">
        <v>1493</v>
      </c>
      <c r="C21" s="703" t="s">
        <v>1318</v>
      </c>
      <c r="D21" s="703" t="s">
        <v>1336</v>
      </c>
      <c r="E21" s="703" t="s">
        <v>331</v>
      </c>
      <c r="F21" s="704" t="s">
        <v>402</v>
      </c>
      <c r="G21" s="1094">
        <v>152</v>
      </c>
      <c r="H21" s="1091">
        <v>0</v>
      </c>
      <c r="I21" s="1092">
        <v>152</v>
      </c>
      <c r="J21" s="1091">
        <v>0</v>
      </c>
      <c r="K21" s="1092">
        <v>76</v>
      </c>
      <c r="L21" s="1093" t="s">
        <v>1332</v>
      </c>
      <c r="M21" s="1091">
        <v>6</v>
      </c>
      <c r="N21" s="1094">
        <v>6</v>
      </c>
      <c r="O21" s="1091">
        <v>0</v>
      </c>
      <c r="P21" s="1094">
        <v>0</v>
      </c>
      <c r="Q21" s="710">
        <f t="shared" si="69"/>
        <v>208.35125523884722</v>
      </c>
      <c r="R21" s="710">
        <f t="shared" si="69"/>
        <v>4.4388573704168037E-2</v>
      </c>
      <c r="S21" s="710">
        <f t="shared" si="69"/>
        <v>0</v>
      </c>
      <c r="T21" s="710" t="str">
        <f t="shared" si="69"/>
        <v>LG&amp;E/KU Commercial Rebates Report - Appendix A</v>
      </c>
      <c r="U21" s="712">
        <v>0.2</v>
      </c>
      <c r="V21" s="713">
        <v>1</v>
      </c>
      <c r="W21" s="661"/>
      <c r="X21" s="661"/>
      <c r="Y21" s="661"/>
      <c r="Z21" s="661"/>
      <c r="AA21" s="714"/>
      <c r="AB21" s="714"/>
      <c r="AC21" s="714"/>
      <c r="AD21" s="1034">
        <f t="shared" si="70"/>
        <v>0</v>
      </c>
      <c r="AE21" s="1034">
        <f t="shared" si="70"/>
        <v>0</v>
      </c>
      <c r="AF21" s="1034">
        <f t="shared" si="70"/>
        <v>11697.6</v>
      </c>
      <c r="AG21" s="1034">
        <f t="shared" si="70"/>
        <v>17546.399999999998</v>
      </c>
      <c r="AH21" s="1034">
        <f t="shared" si="70"/>
        <v>17546.399999999998</v>
      </c>
      <c r="AI21" s="1034">
        <f t="shared" si="70"/>
        <v>14037.119999999999</v>
      </c>
      <c r="AJ21" s="1034">
        <f t="shared" si="70"/>
        <v>11229.696</v>
      </c>
      <c r="AK21" s="711" t="s">
        <v>384</v>
      </c>
      <c r="AL21" s="711" t="s">
        <v>742</v>
      </c>
      <c r="AM21" s="711" t="s">
        <v>1186</v>
      </c>
      <c r="AN21" s="711" t="s">
        <v>1152</v>
      </c>
      <c r="AO21" s="711" t="s">
        <v>1</v>
      </c>
      <c r="AP21" s="711"/>
      <c r="AQ21" s="711"/>
      <c r="AR21" s="711"/>
      <c r="AS21" s="715" t="s">
        <v>1153</v>
      </c>
      <c r="AT21" s="711" t="s">
        <v>1147</v>
      </c>
      <c r="AU21" s="715" t="s">
        <v>771</v>
      </c>
      <c r="AV21" s="661">
        <v>12</v>
      </c>
      <c r="AW21" s="661">
        <v>3</v>
      </c>
      <c r="AX21" s="711" t="s">
        <v>1485</v>
      </c>
      <c r="AY21" s="716">
        <v>1</v>
      </c>
      <c r="AZ21" s="716">
        <v>1</v>
      </c>
      <c r="BA21" s="717">
        <v>0</v>
      </c>
      <c r="BB21" s="774">
        <f>I21</f>
        <v>152</v>
      </c>
      <c r="BC21" s="503">
        <f t="shared" si="71"/>
        <v>152</v>
      </c>
      <c r="BD21" s="503">
        <f t="shared" si="71"/>
        <v>152</v>
      </c>
      <c r="BE21" s="503">
        <f t="shared" si="72"/>
        <v>152</v>
      </c>
      <c r="BF21" s="503">
        <f t="shared" si="72"/>
        <v>152</v>
      </c>
      <c r="BG21" s="503">
        <f t="shared" si="72"/>
        <v>152</v>
      </c>
      <c r="BH21" s="776">
        <f t="shared" si="72"/>
        <v>152</v>
      </c>
      <c r="BI21" s="503">
        <f t="shared" si="95"/>
        <v>0</v>
      </c>
      <c r="BJ21" s="503">
        <f t="shared" si="73"/>
        <v>0</v>
      </c>
      <c r="BK21" s="503">
        <f t="shared" si="73"/>
        <v>0</v>
      </c>
      <c r="BL21" s="503">
        <f t="shared" si="73"/>
        <v>0</v>
      </c>
      <c r="BM21" s="503">
        <f t="shared" si="74"/>
        <v>0</v>
      </c>
      <c r="BN21" s="503">
        <f t="shared" si="74"/>
        <v>0</v>
      </c>
      <c r="BO21" s="645">
        <f t="shared" si="74"/>
        <v>0</v>
      </c>
      <c r="BP21" s="774">
        <f t="shared" si="75"/>
        <v>6</v>
      </c>
      <c r="BQ21" s="503">
        <f t="shared" si="76"/>
        <v>6</v>
      </c>
      <c r="BR21" s="503">
        <f t="shared" si="76"/>
        <v>6</v>
      </c>
      <c r="BS21" s="503">
        <f t="shared" si="76"/>
        <v>6</v>
      </c>
      <c r="BT21" s="503">
        <f t="shared" si="77"/>
        <v>6</v>
      </c>
      <c r="BU21" s="503">
        <f t="shared" si="77"/>
        <v>6</v>
      </c>
      <c r="BV21" s="776">
        <f t="shared" si="77"/>
        <v>6</v>
      </c>
      <c r="BW21" s="503"/>
      <c r="BX21" s="503"/>
      <c r="BY21" s="503"/>
      <c r="BZ21" s="503"/>
      <c r="CA21" s="503"/>
      <c r="CB21" s="503"/>
      <c r="CC21" s="645"/>
      <c r="CD21" s="722">
        <f t="shared" si="78"/>
        <v>208.35125523884722</v>
      </c>
      <c r="CE21" s="511">
        <f t="shared" si="79"/>
        <v>208.35125523884722</v>
      </c>
      <c r="CF21" s="511">
        <f t="shared" si="79"/>
        <v>208.35125523884722</v>
      </c>
      <c r="CG21" s="511">
        <f t="shared" si="79"/>
        <v>208.35125523884722</v>
      </c>
      <c r="CH21" s="511">
        <f t="shared" si="80"/>
        <v>208.35125523884722</v>
      </c>
      <c r="CI21" s="511">
        <f t="shared" si="80"/>
        <v>208.35125523884722</v>
      </c>
      <c r="CJ21" s="723">
        <f t="shared" si="80"/>
        <v>208.35125523884722</v>
      </c>
      <c r="CK21" s="722">
        <f t="shared" si="81"/>
        <v>4.4388573704168037E-2</v>
      </c>
      <c r="CL21" s="511">
        <f t="shared" si="82"/>
        <v>4.4388573704168037E-2</v>
      </c>
      <c r="CM21" s="511">
        <f t="shared" si="82"/>
        <v>4.4388573704168037E-2</v>
      </c>
      <c r="CN21" s="511">
        <f t="shared" si="82"/>
        <v>4.4388573704168037E-2</v>
      </c>
      <c r="CO21" s="511">
        <f t="shared" si="83"/>
        <v>4.4388573704168037E-2</v>
      </c>
      <c r="CP21" s="511">
        <f t="shared" si="83"/>
        <v>4.4388573704168037E-2</v>
      </c>
      <c r="CQ21" s="723">
        <f t="shared" si="83"/>
        <v>4.4388573704168037E-2</v>
      </c>
      <c r="CR21" s="511">
        <f t="shared" si="84"/>
        <v>0</v>
      </c>
      <c r="CS21" s="511">
        <f t="shared" si="85"/>
        <v>0</v>
      </c>
      <c r="CT21" s="511">
        <f t="shared" si="85"/>
        <v>0</v>
      </c>
      <c r="CU21" s="511">
        <f t="shared" si="85"/>
        <v>0</v>
      </c>
      <c r="CV21" s="511">
        <f t="shared" si="86"/>
        <v>0</v>
      </c>
      <c r="CW21" s="511">
        <f t="shared" si="86"/>
        <v>0</v>
      </c>
      <c r="CX21" s="539">
        <f t="shared" si="86"/>
        <v>0</v>
      </c>
      <c r="CY21" s="774">
        <f t="shared" si="96"/>
        <v>0</v>
      </c>
      <c r="CZ21" s="503">
        <f t="shared" si="96"/>
        <v>0</v>
      </c>
      <c r="DA21" s="503">
        <f t="shared" si="96"/>
        <v>1778035.2</v>
      </c>
      <c r="DB21" s="503">
        <f t="shared" si="96"/>
        <v>2667052.7999999998</v>
      </c>
      <c r="DC21" s="503">
        <f t="shared" si="96"/>
        <v>2667052.7999999998</v>
      </c>
      <c r="DD21" s="503">
        <f t="shared" si="96"/>
        <v>2133642.2399999998</v>
      </c>
      <c r="DE21" s="776">
        <f t="shared" si="96"/>
        <v>1706913.7919999999</v>
      </c>
      <c r="DF21" s="774">
        <f t="shared" si="97"/>
        <v>0</v>
      </c>
      <c r="DG21" s="503">
        <f t="shared" si="97"/>
        <v>0</v>
      </c>
      <c r="DH21" s="503">
        <f t="shared" si="97"/>
        <v>0</v>
      </c>
      <c r="DI21" s="503">
        <f t="shared" si="97"/>
        <v>0</v>
      </c>
      <c r="DJ21" s="503">
        <f t="shared" si="97"/>
        <v>0</v>
      </c>
      <c r="DK21" s="503">
        <f t="shared" si="97"/>
        <v>0</v>
      </c>
      <c r="DL21" s="776">
        <f t="shared" si="97"/>
        <v>0</v>
      </c>
      <c r="DM21" s="774">
        <f t="shared" si="98"/>
        <v>0</v>
      </c>
      <c r="DN21" s="503">
        <f t="shared" si="98"/>
        <v>0</v>
      </c>
      <c r="DO21" s="503">
        <f t="shared" si="98"/>
        <v>70185.600000000006</v>
      </c>
      <c r="DP21" s="503">
        <f t="shared" si="98"/>
        <v>105278.39999999999</v>
      </c>
      <c r="DQ21" s="503">
        <f t="shared" si="98"/>
        <v>105278.39999999999</v>
      </c>
      <c r="DR21" s="503">
        <f t="shared" si="98"/>
        <v>84222.720000000001</v>
      </c>
      <c r="DS21" s="776">
        <f t="shared" si="98"/>
        <v>67378.176000000007</v>
      </c>
      <c r="DT21" s="774">
        <f t="shared" si="99"/>
        <v>0</v>
      </c>
      <c r="DU21" s="503">
        <f t="shared" si="99"/>
        <v>0</v>
      </c>
      <c r="DV21" s="503">
        <f t="shared" si="99"/>
        <v>0</v>
      </c>
      <c r="DW21" s="503">
        <f t="shared" si="99"/>
        <v>0</v>
      </c>
      <c r="DX21" s="503">
        <f t="shared" si="99"/>
        <v>0</v>
      </c>
      <c r="DY21" s="503">
        <f t="shared" si="99"/>
        <v>0</v>
      </c>
      <c r="DZ21" s="776">
        <f t="shared" si="99"/>
        <v>0</v>
      </c>
      <c r="EA21" s="511">
        <f t="shared" si="100"/>
        <v>0</v>
      </c>
      <c r="EB21" s="511">
        <f t="shared" si="100"/>
        <v>0</v>
      </c>
      <c r="EC21" s="511">
        <f t="shared" si="100"/>
        <v>2437209.6432819394</v>
      </c>
      <c r="ED21" s="511">
        <f t="shared" si="100"/>
        <v>3655814.4649229082</v>
      </c>
      <c r="EE21" s="511">
        <f t="shared" si="100"/>
        <v>3655814.4649229082</v>
      </c>
      <c r="EF21" s="511">
        <f t="shared" si="100"/>
        <v>2924651.571938327</v>
      </c>
      <c r="EG21" s="539">
        <f t="shared" si="100"/>
        <v>2339721.2575506615</v>
      </c>
      <c r="EH21" s="722">
        <f t="shared" si="101"/>
        <v>0</v>
      </c>
      <c r="EI21" s="511">
        <f t="shared" si="101"/>
        <v>0</v>
      </c>
      <c r="EJ21" s="511">
        <f t="shared" si="101"/>
        <v>519.23977976187609</v>
      </c>
      <c r="EK21" s="511">
        <f t="shared" si="101"/>
        <v>778.85966964281397</v>
      </c>
      <c r="EL21" s="511">
        <f t="shared" si="101"/>
        <v>778.85966964281397</v>
      </c>
      <c r="EM21" s="511">
        <f t="shared" si="101"/>
        <v>623.08773571425115</v>
      </c>
      <c r="EN21" s="723">
        <f t="shared" si="101"/>
        <v>498.47018857140097</v>
      </c>
      <c r="EO21" s="722">
        <f t="shared" si="102"/>
        <v>0</v>
      </c>
      <c r="EP21" s="511">
        <f t="shared" si="102"/>
        <v>0</v>
      </c>
      <c r="EQ21" s="511">
        <f t="shared" si="102"/>
        <v>0</v>
      </c>
      <c r="ER21" s="511">
        <f t="shared" si="102"/>
        <v>0</v>
      </c>
      <c r="ES21" s="511">
        <f t="shared" si="102"/>
        <v>0</v>
      </c>
      <c r="ET21" s="511">
        <f t="shared" si="102"/>
        <v>0</v>
      </c>
      <c r="EU21" s="723">
        <f t="shared" si="102"/>
        <v>0</v>
      </c>
      <c r="EV21" s="722">
        <f t="shared" si="103"/>
        <v>72057.215999999986</v>
      </c>
      <c r="EW21" s="503">
        <f t="shared" si="104"/>
        <v>10952696.831999999</v>
      </c>
      <c r="EX21" s="503">
        <f t="shared" si="105"/>
        <v>0</v>
      </c>
      <c r="EY21" s="503">
        <f t="shared" si="106"/>
        <v>432343.29599999997</v>
      </c>
      <c r="EZ21" s="503">
        <f t="shared" si="107"/>
        <v>0</v>
      </c>
      <c r="FA21" s="511">
        <f t="shared" si="108"/>
        <v>15013211.402616743</v>
      </c>
      <c r="FB21" s="511">
        <f t="shared" si="109"/>
        <v>3198.5170433331559</v>
      </c>
      <c r="FC21" s="511">
        <f t="shared" si="110"/>
        <v>0</v>
      </c>
    </row>
    <row r="22" spans="1:159" s="10" customFormat="1" ht="12.75" customHeight="1">
      <c r="A22" s="661" t="s">
        <v>183</v>
      </c>
      <c r="B22" s="703" t="s">
        <v>1494</v>
      </c>
      <c r="C22" s="703" t="s">
        <v>1318</v>
      </c>
      <c r="D22" s="703" t="s">
        <v>1338</v>
      </c>
      <c r="E22" s="703" t="s">
        <v>331</v>
      </c>
      <c r="F22" s="704" t="s">
        <v>402</v>
      </c>
      <c r="G22" s="1094">
        <v>18.5</v>
      </c>
      <c r="H22" s="1091">
        <v>0</v>
      </c>
      <c r="I22" s="1092">
        <v>18.5</v>
      </c>
      <c r="J22" s="1091">
        <v>0</v>
      </c>
      <c r="K22" s="1092">
        <v>9.25</v>
      </c>
      <c r="L22" s="1093" t="s">
        <v>1339</v>
      </c>
      <c r="M22" s="1091">
        <v>13</v>
      </c>
      <c r="N22" s="1094">
        <v>13</v>
      </c>
      <c r="O22" s="1091">
        <v>0</v>
      </c>
      <c r="P22" s="1094">
        <v>0</v>
      </c>
      <c r="Q22" s="710">
        <f t="shared" si="69"/>
        <v>634.50473031189699</v>
      </c>
      <c r="R22" s="710">
        <f t="shared" si="69"/>
        <v>0</v>
      </c>
      <c r="S22" s="710">
        <f t="shared" si="69"/>
        <v>0</v>
      </c>
      <c r="T22" s="710" t="str">
        <f t="shared" si="69"/>
        <v>LG&amp;E/KU Commercial Rebates Report - Appendix A</v>
      </c>
      <c r="U22" s="712">
        <v>0.2</v>
      </c>
      <c r="V22" s="713">
        <v>1</v>
      </c>
      <c r="W22" s="661"/>
      <c r="X22" s="661"/>
      <c r="Y22" s="661"/>
      <c r="Z22" s="661"/>
      <c r="AA22" s="714"/>
      <c r="AB22" s="714"/>
      <c r="AC22" s="714"/>
      <c r="AD22" s="1034">
        <f t="shared" si="70"/>
        <v>0</v>
      </c>
      <c r="AE22" s="1034">
        <f t="shared" si="70"/>
        <v>0</v>
      </c>
      <c r="AF22" s="1034">
        <f t="shared" si="70"/>
        <v>27309.120000000003</v>
      </c>
      <c r="AG22" s="1034">
        <f t="shared" si="70"/>
        <v>40963.68</v>
      </c>
      <c r="AH22" s="1034">
        <f t="shared" si="70"/>
        <v>40963.68</v>
      </c>
      <c r="AI22" s="1034">
        <f t="shared" si="70"/>
        <v>32770.944000000003</v>
      </c>
      <c r="AJ22" s="1034">
        <f t="shared" si="70"/>
        <v>26216.755200000003</v>
      </c>
      <c r="AK22" s="711" t="s">
        <v>384</v>
      </c>
      <c r="AL22" s="711" t="s">
        <v>742</v>
      </c>
      <c r="AM22" s="711" t="s">
        <v>1186</v>
      </c>
      <c r="AN22" s="711" t="s">
        <v>1152</v>
      </c>
      <c r="AO22" s="711" t="s">
        <v>1</v>
      </c>
      <c r="AP22" s="711"/>
      <c r="AQ22" s="711"/>
      <c r="AR22" s="711"/>
      <c r="AS22" s="715" t="s">
        <v>1153</v>
      </c>
      <c r="AT22" s="711" t="s">
        <v>1147</v>
      </c>
      <c r="AU22" s="715" t="s">
        <v>771</v>
      </c>
      <c r="AV22" s="661">
        <v>20</v>
      </c>
      <c r="AW22" s="661">
        <v>15</v>
      </c>
      <c r="AX22" s="711" t="s">
        <v>1486</v>
      </c>
      <c r="AY22" s="716">
        <v>1</v>
      </c>
      <c r="AZ22" s="716">
        <v>1</v>
      </c>
      <c r="BA22" s="717">
        <v>0</v>
      </c>
      <c r="BB22" s="774">
        <f t="shared" si="94"/>
        <v>18.5</v>
      </c>
      <c r="BC22" s="503">
        <f t="shared" si="71"/>
        <v>18.5</v>
      </c>
      <c r="BD22" s="503">
        <f t="shared" si="71"/>
        <v>18.5</v>
      </c>
      <c r="BE22" s="503">
        <f t="shared" si="72"/>
        <v>18.5</v>
      </c>
      <c r="BF22" s="503">
        <f t="shared" si="72"/>
        <v>18.5</v>
      </c>
      <c r="BG22" s="503">
        <f t="shared" si="72"/>
        <v>18.5</v>
      </c>
      <c r="BH22" s="776">
        <f t="shared" si="72"/>
        <v>18.5</v>
      </c>
      <c r="BI22" s="503">
        <f t="shared" si="95"/>
        <v>0</v>
      </c>
      <c r="BJ22" s="503">
        <f t="shared" si="73"/>
        <v>0</v>
      </c>
      <c r="BK22" s="503">
        <f t="shared" si="73"/>
        <v>0</v>
      </c>
      <c r="BL22" s="503">
        <f t="shared" si="73"/>
        <v>0</v>
      </c>
      <c r="BM22" s="503">
        <f t="shared" si="74"/>
        <v>0</v>
      </c>
      <c r="BN22" s="503">
        <f t="shared" si="74"/>
        <v>0</v>
      </c>
      <c r="BO22" s="645">
        <f t="shared" si="74"/>
        <v>0</v>
      </c>
      <c r="BP22" s="774">
        <f t="shared" si="75"/>
        <v>13</v>
      </c>
      <c r="BQ22" s="503">
        <f t="shared" si="76"/>
        <v>13</v>
      </c>
      <c r="BR22" s="503">
        <f t="shared" si="76"/>
        <v>13</v>
      </c>
      <c r="BS22" s="503">
        <f t="shared" si="76"/>
        <v>13</v>
      </c>
      <c r="BT22" s="503">
        <f t="shared" si="77"/>
        <v>13</v>
      </c>
      <c r="BU22" s="503">
        <f t="shared" si="77"/>
        <v>13</v>
      </c>
      <c r="BV22" s="776">
        <f t="shared" si="77"/>
        <v>13</v>
      </c>
      <c r="BW22" s="503"/>
      <c r="BX22" s="503"/>
      <c r="BY22" s="503"/>
      <c r="BZ22" s="503"/>
      <c r="CA22" s="503"/>
      <c r="CB22" s="503"/>
      <c r="CC22" s="645"/>
      <c r="CD22" s="722">
        <f t="shared" si="78"/>
        <v>634.50473031189699</v>
      </c>
      <c r="CE22" s="511">
        <f t="shared" si="79"/>
        <v>634.50473031189699</v>
      </c>
      <c r="CF22" s="511">
        <f t="shared" si="79"/>
        <v>634.50473031189699</v>
      </c>
      <c r="CG22" s="511">
        <f t="shared" si="79"/>
        <v>634.50473031189699</v>
      </c>
      <c r="CH22" s="511">
        <f t="shared" si="80"/>
        <v>634.50473031189699</v>
      </c>
      <c r="CI22" s="511">
        <f t="shared" si="80"/>
        <v>634.50473031189699</v>
      </c>
      <c r="CJ22" s="723">
        <f t="shared" si="80"/>
        <v>634.50473031189699</v>
      </c>
      <c r="CK22" s="722">
        <f t="shared" si="81"/>
        <v>0</v>
      </c>
      <c r="CL22" s="511">
        <f t="shared" si="82"/>
        <v>0</v>
      </c>
      <c r="CM22" s="511">
        <f t="shared" si="82"/>
        <v>0</v>
      </c>
      <c r="CN22" s="511">
        <f t="shared" si="82"/>
        <v>0</v>
      </c>
      <c r="CO22" s="511">
        <f t="shared" si="83"/>
        <v>0</v>
      </c>
      <c r="CP22" s="511">
        <f t="shared" si="83"/>
        <v>0</v>
      </c>
      <c r="CQ22" s="723">
        <f t="shared" si="83"/>
        <v>0</v>
      </c>
      <c r="CR22" s="511">
        <f t="shared" si="84"/>
        <v>0</v>
      </c>
      <c r="CS22" s="511">
        <f t="shared" si="85"/>
        <v>0</v>
      </c>
      <c r="CT22" s="511">
        <f t="shared" si="85"/>
        <v>0</v>
      </c>
      <c r="CU22" s="511">
        <f t="shared" si="85"/>
        <v>0</v>
      </c>
      <c r="CV22" s="511">
        <f t="shared" si="86"/>
        <v>0</v>
      </c>
      <c r="CW22" s="511">
        <f t="shared" si="86"/>
        <v>0</v>
      </c>
      <c r="CX22" s="539">
        <f t="shared" si="86"/>
        <v>0</v>
      </c>
      <c r="CY22" s="774">
        <f t="shared" si="96"/>
        <v>0</v>
      </c>
      <c r="CZ22" s="503">
        <f t="shared" si="96"/>
        <v>0</v>
      </c>
      <c r="DA22" s="503">
        <f t="shared" si="96"/>
        <v>505218.72000000003</v>
      </c>
      <c r="DB22" s="503">
        <f t="shared" si="96"/>
        <v>757828.08</v>
      </c>
      <c r="DC22" s="503">
        <f t="shared" si="96"/>
        <v>757828.08</v>
      </c>
      <c r="DD22" s="503">
        <f t="shared" si="96"/>
        <v>606262.46400000004</v>
      </c>
      <c r="DE22" s="776">
        <f t="shared" si="96"/>
        <v>485009.97120000009</v>
      </c>
      <c r="DF22" s="774">
        <f t="shared" si="97"/>
        <v>0</v>
      </c>
      <c r="DG22" s="503">
        <f t="shared" si="97"/>
        <v>0</v>
      </c>
      <c r="DH22" s="503">
        <f t="shared" si="97"/>
        <v>0</v>
      </c>
      <c r="DI22" s="503">
        <f t="shared" si="97"/>
        <v>0</v>
      </c>
      <c r="DJ22" s="503">
        <f t="shared" si="97"/>
        <v>0</v>
      </c>
      <c r="DK22" s="503">
        <f t="shared" si="97"/>
        <v>0</v>
      </c>
      <c r="DL22" s="776">
        <f t="shared" si="97"/>
        <v>0</v>
      </c>
      <c r="DM22" s="774">
        <f t="shared" si="98"/>
        <v>0</v>
      </c>
      <c r="DN22" s="503">
        <f t="shared" si="98"/>
        <v>0</v>
      </c>
      <c r="DO22" s="503">
        <f t="shared" si="98"/>
        <v>355018.56000000006</v>
      </c>
      <c r="DP22" s="503">
        <f t="shared" si="98"/>
        <v>532527.84</v>
      </c>
      <c r="DQ22" s="503">
        <f t="shared" si="98"/>
        <v>532527.84</v>
      </c>
      <c r="DR22" s="503">
        <f t="shared" si="98"/>
        <v>426022.27200000006</v>
      </c>
      <c r="DS22" s="776">
        <f t="shared" si="98"/>
        <v>340817.81760000007</v>
      </c>
      <c r="DT22" s="774">
        <f t="shared" si="99"/>
        <v>0</v>
      </c>
      <c r="DU22" s="503">
        <f t="shared" si="99"/>
        <v>0</v>
      </c>
      <c r="DV22" s="503">
        <f t="shared" si="99"/>
        <v>0</v>
      </c>
      <c r="DW22" s="503">
        <f t="shared" si="99"/>
        <v>0</v>
      </c>
      <c r="DX22" s="503">
        <f t="shared" si="99"/>
        <v>0</v>
      </c>
      <c r="DY22" s="503">
        <f t="shared" si="99"/>
        <v>0</v>
      </c>
      <c r="DZ22" s="776">
        <f t="shared" si="99"/>
        <v>0</v>
      </c>
      <c r="EA22" s="511">
        <f t="shared" si="100"/>
        <v>0</v>
      </c>
      <c r="EB22" s="511">
        <f t="shared" si="100"/>
        <v>0</v>
      </c>
      <c r="EC22" s="511">
        <f t="shared" si="100"/>
        <v>17327765.820655234</v>
      </c>
      <c r="ED22" s="511">
        <f t="shared" si="100"/>
        <v>25991648.730982848</v>
      </c>
      <c r="EE22" s="511">
        <f t="shared" si="100"/>
        <v>25991648.730982848</v>
      </c>
      <c r="EF22" s="511">
        <f t="shared" si="100"/>
        <v>20793318.984786279</v>
      </c>
      <c r="EG22" s="539">
        <f t="shared" si="100"/>
        <v>16634655.187829025</v>
      </c>
      <c r="EH22" s="722">
        <f t="shared" si="101"/>
        <v>0</v>
      </c>
      <c r="EI22" s="511">
        <f t="shared" si="101"/>
        <v>0</v>
      </c>
      <c r="EJ22" s="511">
        <f t="shared" si="101"/>
        <v>0</v>
      </c>
      <c r="EK22" s="511">
        <f t="shared" si="101"/>
        <v>0</v>
      </c>
      <c r="EL22" s="511">
        <f t="shared" si="101"/>
        <v>0</v>
      </c>
      <c r="EM22" s="511">
        <f t="shared" si="101"/>
        <v>0</v>
      </c>
      <c r="EN22" s="723">
        <f t="shared" si="101"/>
        <v>0</v>
      </c>
      <c r="EO22" s="722">
        <f t="shared" si="102"/>
        <v>0</v>
      </c>
      <c r="EP22" s="511">
        <f t="shared" si="102"/>
        <v>0</v>
      </c>
      <c r="EQ22" s="511">
        <f t="shared" si="102"/>
        <v>0</v>
      </c>
      <c r="ER22" s="511">
        <f t="shared" si="102"/>
        <v>0</v>
      </c>
      <c r="ES22" s="511">
        <f t="shared" si="102"/>
        <v>0</v>
      </c>
      <c r="ET22" s="511">
        <f t="shared" si="102"/>
        <v>0</v>
      </c>
      <c r="EU22" s="723">
        <f t="shared" si="102"/>
        <v>0</v>
      </c>
      <c r="EV22" s="722">
        <f t="shared" si="103"/>
        <v>168224.17920000001</v>
      </c>
      <c r="EW22" s="503">
        <f t="shared" si="104"/>
        <v>3112147.3152000001</v>
      </c>
      <c r="EX22" s="503">
        <f t="shared" si="105"/>
        <v>0</v>
      </c>
      <c r="EY22" s="503">
        <f t="shared" si="106"/>
        <v>2186914.3296000003</v>
      </c>
      <c r="EZ22" s="503">
        <f t="shared" si="107"/>
        <v>0</v>
      </c>
      <c r="FA22" s="511">
        <f t="shared" si="108"/>
        <v>106739037.45523623</v>
      </c>
      <c r="FB22" s="511">
        <f t="shared" si="109"/>
        <v>0</v>
      </c>
      <c r="FC22" s="511">
        <f t="shared" si="110"/>
        <v>0</v>
      </c>
    </row>
    <row r="23" spans="1:159" s="10" customFormat="1" ht="12.75" customHeight="1">
      <c r="A23" s="661" t="s">
        <v>184</v>
      </c>
      <c r="B23" s="703" t="s">
        <v>1495</v>
      </c>
      <c r="C23" s="703" t="s">
        <v>1318</v>
      </c>
      <c r="D23" s="703" t="s">
        <v>1341</v>
      </c>
      <c r="E23" s="703" t="s">
        <v>331</v>
      </c>
      <c r="F23" s="704" t="s">
        <v>402</v>
      </c>
      <c r="G23" s="1094">
        <v>631</v>
      </c>
      <c r="H23" s="1091">
        <v>0</v>
      </c>
      <c r="I23" s="1092">
        <v>631</v>
      </c>
      <c r="J23" s="1091">
        <v>-2.8653333333333331</v>
      </c>
      <c r="K23" s="1092">
        <v>315.5</v>
      </c>
      <c r="L23" s="1093" t="s">
        <v>1342</v>
      </c>
      <c r="M23" s="1091">
        <v>20</v>
      </c>
      <c r="N23" s="1094">
        <v>20</v>
      </c>
      <c r="O23" s="1091">
        <v>0</v>
      </c>
      <c r="P23" s="1094">
        <v>0</v>
      </c>
      <c r="Q23" s="710">
        <f t="shared" si="69"/>
        <v>465.77299999999997</v>
      </c>
      <c r="R23" s="710">
        <f t="shared" si="69"/>
        <v>3.85E-2</v>
      </c>
      <c r="S23" s="710">
        <f t="shared" si="69"/>
        <v>0</v>
      </c>
      <c r="T23" s="710" t="str">
        <f t="shared" si="69"/>
        <v>Per unit savings estimate from Mid-Atlantic TRM v9 "LED Parking Garage/Canopy Luminaires and Retrofit Kits"</v>
      </c>
      <c r="U23" s="712">
        <v>0.2</v>
      </c>
      <c r="V23" s="713">
        <v>1</v>
      </c>
      <c r="W23" s="661"/>
      <c r="X23" s="661"/>
      <c r="Y23" s="661"/>
      <c r="Z23" s="661"/>
      <c r="AA23" s="714"/>
      <c r="AB23" s="714"/>
      <c r="AC23" s="714"/>
      <c r="AD23" s="1034">
        <f t="shared" si="70"/>
        <v>0</v>
      </c>
      <c r="AE23" s="1034">
        <f t="shared" si="70"/>
        <v>0</v>
      </c>
      <c r="AF23" s="1034">
        <f t="shared" si="70"/>
        <v>4347.84</v>
      </c>
      <c r="AG23" s="1034">
        <f t="shared" si="70"/>
        <v>6521.76</v>
      </c>
      <c r="AH23" s="1034">
        <f t="shared" si="70"/>
        <v>6521.76</v>
      </c>
      <c r="AI23" s="1034">
        <f t="shared" si="70"/>
        <v>5217.4080000000004</v>
      </c>
      <c r="AJ23" s="1034">
        <f t="shared" si="70"/>
        <v>4173.9264000000003</v>
      </c>
      <c r="AK23" s="711" t="s">
        <v>384</v>
      </c>
      <c r="AL23" s="711" t="s">
        <v>742</v>
      </c>
      <c r="AM23" s="711" t="s">
        <v>1186</v>
      </c>
      <c r="AN23" s="711" t="s">
        <v>1152</v>
      </c>
      <c r="AO23" s="711" t="s">
        <v>1</v>
      </c>
      <c r="AP23" s="711"/>
      <c r="AQ23" s="711"/>
      <c r="AR23" s="711"/>
      <c r="AS23" s="715" t="s">
        <v>1153</v>
      </c>
      <c r="AT23" s="711" t="s">
        <v>1147</v>
      </c>
      <c r="AU23" s="715" t="s">
        <v>771</v>
      </c>
      <c r="AV23" s="661">
        <v>8</v>
      </c>
      <c r="AW23" s="661">
        <v>15</v>
      </c>
      <c r="AX23" s="711" t="s">
        <v>1487</v>
      </c>
      <c r="AY23" s="716">
        <v>1</v>
      </c>
      <c r="AZ23" s="716">
        <v>1</v>
      </c>
      <c r="BA23" s="717">
        <v>0</v>
      </c>
      <c r="BB23" s="774">
        <f t="shared" si="94"/>
        <v>631</v>
      </c>
      <c r="BC23" s="503">
        <f t="shared" si="71"/>
        <v>631</v>
      </c>
      <c r="BD23" s="503">
        <f t="shared" si="71"/>
        <v>631</v>
      </c>
      <c r="BE23" s="503">
        <f t="shared" si="72"/>
        <v>631</v>
      </c>
      <c r="BF23" s="503">
        <f t="shared" si="72"/>
        <v>631</v>
      </c>
      <c r="BG23" s="503">
        <f t="shared" si="72"/>
        <v>631</v>
      </c>
      <c r="BH23" s="776">
        <f t="shared" si="72"/>
        <v>631</v>
      </c>
      <c r="BI23" s="503">
        <f t="shared" si="95"/>
        <v>-2.8653333333333331</v>
      </c>
      <c r="BJ23" s="503">
        <f t="shared" si="73"/>
        <v>-2.8653333333333331</v>
      </c>
      <c r="BK23" s="503">
        <f t="shared" si="73"/>
        <v>-2.8653333333333331</v>
      </c>
      <c r="BL23" s="503">
        <f t="shared" si="73"/>
        <v>-2.8653333333333331</v>
      </c>
      <c r="BM23" s="503">
        <f t="shared" si="74"/>
        <v>-2.8653333333333331</v>
      </c>
      <c r="BN23" s="503">
        <f t="shared" si="74"/>
        <v>-2.8653333333333331</v>
      </c>
      <c r="BO23" s="645">
        <f t="shared" si="74"/>
        <v>-2.8653333333333331</v>
      </c>
      <c r="BP23" s="774">
        <f t="shared" si="75"/>
        <v>20</v>
      </c>
      <c r="BQ23" s="503">
        <f t="shared" si="76"/>
        <v>20</v>
      </c>
      <c r="BR23" s="503">
        <f t="shared" si="76"/>
        <v>20</v>
      </c>
      <c r="BS23" s="503">
        <f t="shared" si="76"/>
        <v>20</v>
      </c>
      <c r="BT23" s="503">
        <f t="shared" si="77"/>
        <v>20</v>
      </c>
      <c r="BU23" s="503">
        <f t="shared" si="77"/>
        <v>20</v>
      </c>
      <c r="BV23" s="776">
        <f t="shared" si="77"/>
        <v>20</v>
      </c>
      <c r="BW23" s="503"/>
      <c r="BX23" s="503"/>
      <c r="BY23" s="503"/>
      <c r="BZ23" s="503"/>
      <c r="CA23" s="503"/>
      <c r="CB23" s="503"/>
      <c r="CC23" s="645"/>
      <c r="CD23" s="722">
        <f t="shared" si="78"/>
        <v>465.77299999999997</v>
      </c>
      <c r="CE23" s="511">
        <f t="shared" si="79"/>
        <v>465.77299999999997</v>
      </c>
      <c r="CF23" s="511">
        <f t="shared" si="79"/>
        <v>465.77299999999997</v>
      </c>
      <c r="CG23" s="511">
        <f t="shared" si="79"/>
        <v>465.77299999999997</v>
      </c>
      <c r="CH23" s="511">
        <f t="shared" si="80"/>
        <v>465.77299999999997</v>
      </c>
      <c r="CI23" s="511">
        <f t="shared" si="80"/>
        <v>465.77299999999997</v>
      </c>
      <c r="CJ23" s="723">
        <f t="shared" si="80"/>
        <v>465.77299999999997</v>
      </c>
      <c r="CK23" s="722">
        <f t="shared" si="81"/>
        <v>3.85E-2</v>
      </c>
      <c r="CL23" s="511">
        <f t="shared" si="82"/>
        <v>3.85E-2</v>
      </c>
      <c r="CM23" s="511">
        <f t="shared" si="82"/>
        <v>3.85E-2</v>
      </c>
      <c r="CN23" s="511">
        <f t="shared" si="82"/>
        <v>3.85E-2</v>
      </c>
      <c r="CO23" s="511">
        <f t="shared" si="83"/>
        <v>3.85E-2</v>
      </c>
      <c r="CP23" s="511">
        <f t="shared" si="83"/>
        <v>3.85E-2</v>
      </c>
      <c r="CQ23" s="723">
        <f t="shared" si="83"/>
        <v>3.85E-2</v>
      </c>
      <c r="CR23" s="511">
        <f t="shared" si="84"/>
        <v>0</v>
      </c>
      <c r="CS23" s="511">
        <f t="shared" si="85"/>
        <v>0</v>
      </c>
      <c r="CT23" s="511">
        <f t="shared" si="85"/>
        <v>0</v>
      </c>
      <c r="CU23" s="511">
        <f t="shared" si="85"/>
        <v>0</v>
      </c>
      <c r="CV23" s="511">
        <f t="shared" si="86"/>
        <v>0</v>
      </c>
      <c r="CW23" s="511">
        <f t="shared" si="86"/>
        <v>0</v>
      </c>
      <c r="CX23" s="539">
        <f t="shared" si="86"/>
        <v>0</v>
      </c>
      <c r="CY23" s="774">
        <f t="shared" si="96"/>
        <v>0</v>
      </c>
      <c r="CZ23" s="503">
        <f t="shared" si="96"/>
        <v>0</v>
      </c>
      <c r="DA23" s="503">
        <f t="shared" si="96"/>
        <v>2743487.04</v>
      </c>
      <c r="DB23" s="503">
        <f t="shared" si="96"/>
        <v>4115230.56</v>
      </c>
      <c r="DC23" s="503">
        <f t="shared" si="96"/>
        <v>4115230.56</v>
      </c>
      <c r="DD23" s="503">
        <f t="shared" si="96"/>
        <v>3292184.4480000003</v>
      </c>
      <c r="DE23" s="776">
        <f t="shared" si="96"/>
        <v>2633747.5584</v>
      </c>
      <c r="DF23" s="774">
        <f t="shared" si="97"/>
        <v>0</v>
      </c>
      <c r="DG23" s="503">
        <f t="shared" si="97"/>
        <v>0</v>
      </c>
      <c r="DH23" s="503">
        <f t="shared" si="97"/>
        <v>-12458.01088</v>
      </c>
      <c r="DI23" s="503">
        <f t="shared" si="97"/>
        <v>-18687.016319999999</v>
      </c>
      <c r="DJ23" s="503">
        <f t="shared" si="97"/>
        <v>-18687.016319999999</v>
      </c>
      <c r="DK23" s="503">
        <f t="shared" si="97"/>
        <v>-14949.613056</v>
      </c>
      <c r="DL23" s="776">
        <f t="shared" si="97"/>
        <v>-11959.6904448</v>
      </c>
      <c r="DM23" s="774">
        <f t="shared" si="98"/>
        <v>0</v>
      </c>
      <c r="DN23" s="503">
        <f t="shared" si="98"/>
        <v>0</v>
      </c>
      <c r="DO23" s="503">
        <f t="shared" si="98"/>
        <v>86956.800000000003</v>
      </c>
      <c r="DP23" s="503">
        <f t="shared" si="98"/>
        <v>130435.20000000001</v>
      </c>
      <c r="DQ23" s="503">
        <f t="shared" si="98"/>
        <v>130435.20000000001</v>
      </c>
      <c r="DR23" s="503">
        <f t="shared" si="98"/>
        <v>104348.16</v>
      </c>
      <c r="DS23" s="776">
        <f t="shared" si="98"/>
        <v>83478.528000000006</v>
      </c>
      <c r="DT23" s="774">
        <f t="shared" si="99"/>
        <v>0</v>
      </c>
      <c r="DU23" s="503">
        <f t="shared" si="99"/>
        <v>0</v>
      </c>
      <c r="DV23" s="503">
        <f t="shared" si="99"/>
        <v>0</v>
      </c>
      <c r="DW23" s="503">
        <f t="shared" si="99"/>
        <v>0</v>
      </c>
      <c r="DX23" s="503">
        <f t="shared" si="99"/>
        <v>0</v>
      </c>
      <c r="DY23" s="503">
        <f t="shared" si="99"/>
        <v>0</v>
      </c>
      <c r="DZ23" s="776">
        <f t="shared" si="99"/>
        <v>0</v>
      </c>
      <c r="EA23" s="511">
        <f t="shared" si="100"/>
        <v>0</v>
      </c>
      <c r="EB23" s="511">
        <f t="shared" si="100"/>
        <v>0</v>
      </c>
      <c r="EC23" s="511">
        <f t="shared" si="100"/>
        <v>2025106.4803199999</v>
      </c>
      <c r="ED23" s="511">
        <f t="shared" si="100"/>
        <v>3037659.7204799997</v>
      </c>
      <c r="EE23" s="511">
        <f t="shared" si="100"/>
        <v>3037659.7204799997</v>
      </c>
      <c r="EF23" s="511">
        <f t="shared" si="100"/>
        <v>2430127.7763840002</v>
      </c>
      <c r="EG23" s="539">
        <f t="shared" si="100"/>
        <v>1944102.2211072</v>
      </c>
      <c r="EH23" s="722">
        <f t="shared" si="101"/>
        <v>0</v>
      </c>
      <c r="EI23" s="511">
        <f t="shared" si="101"/>
        <v>0</v>
      </c>
      <c r="EJ23" s="511">
        <f t="shared" si="101"/>
        <v>167.39184</v>
      </c>
      <c r="EK23" s="511">
        <f t="shared" si="101"/>
        <v>251.08776</v>
      </c>
      <c r="EL23" s="511">
        <f t="shared" si="101"/>
        <v>251.08776</v>
      </c>
      <c r="EM23" s="511">
        <f t="shared" si="101"/>
        <v>200.87020800000002</v>
      </c>
      <c r="EN23" s="723">
        <f t="shared" si="101"/>
        <v>160.69616640000001</v>
      </c>
      <c r="EO23" s="722">
        <f t="shared" si="102"/>
        <v>0</v>
      </c>
      <c r="EP23" s="511">
        <f t="shared" si="102"/>
        <v>0</v>
      </c>
      <c r="EQ23" s="511">
        <f t="shared" si="102"/>
        <v>0</v>
      </c>
      <c r="ER23" s="511">
        <f t="shared" si="102"/>
        <v>0</v>
      </c>
      <c r="ES23" s="511">
        <f t="shared" si="102"/>
        <v>0</v>
      </c>
      <c r="ET23" s="511">
        <f t="shared" si="102"/>
        <v>0</v>
      </c>
      <c r="EU23" s="723">
        <f t="shared" si="102"/>
        <v>0</v>
      </c>
      <c r="EV23" s="722">
        <f t="shared" si="103"/>
        <v>26782.6944</v>
      </c>
      <c r="EW23" s="503">
        <f t="shared" si="104"/>
        <v>16899880.1664</v>
      </c>
      <c r="EX23" s="503">
        <f t="shared" si="105"/>
        <v>-76741.347020799993</v>
      </c>
      <c r="EY23" s="503">
        <f t="shared" si="106"/>
        <v>535653.88800000004</v>
      </c>
      <c r="EZ23" s="503">
        <f t="shared" si="107"/>
        <v>0</v>
      </c>
      <c r="FA23" s="511">
        <f t="shared" si="108"/>
        <v>12474655.9187712</v>
      </c>
      <c r="FB23" s="511">
        <f t="shared" si="109"/>
        <v>1031.1337344000001</v>
      </c>
      <c r="FC23" s="511">
        <f t="shared" si="110"/>
        <v>0</v>
      </c>
    </row>
    <row r="24" spans="1:159" s="10" customFormat="1" ht="12.75" customHeight="1">
      <c r="A24" s="661" t="s">
        <v>185</v>
      </c>
      <c r="B24" s="703" t="s">
        <v>1496</v>
      </c>
      <c r="C24" s="703" t="s">
        <v>1318</v>
      </c>
      <c r="D24" s="703" t="s">
        <v>1341</v>
      </c>
      <c r="E24" s="703" t="s">
        <v>331</v>
      </c>
      <c r="F24" s="704" t="s">
        <v>402</v>
      </c>
      <c r="G24" s="1094">
        <v>1846</v>
      </c>
      <c r="H24" s="1091">
        <v>0</v>
      </c>
      <c r="I24" s="1092">
        <v>1846</v>
      </c>
      <c r="J24" s="1091">
        <v>-2.8653333333333331</v>
      </c>
      <c r="K24" s="1092">
        <v>923</v>
      </c>
      <c r="L24" s="1093" t="s">
        <v>1345</v>
      </c>
      <c r="M24" s="1091">
        <v>30</v>
      </c>
      <c r="N24" s="1094">
        <v>30</v>
      </c>
      <c r="O24" s="1091">
        <v>0</v>
      </c>
      <c r="P24" s="1094">
        <v>0</v>
      </c>
      <c r="Q24" s="710">
        <f t="shared" si="69"/>
        <v>998.08500000000004</v>
      </c>
      <c r="R24" s="710">
        <f t="shared" si="69"/>
        <v>8.2500000000000004E-2</v>
      </c>
      <c r="S24" s="710">
        <f t="shared" si="69"/>
        <v>0</v>
      </c>
      <c r="T24" s="710" t="str">
        <f t="shared" si="69"/>
        <v>Per unit savings estimate from Mid-Atlantic TRM v9 "LED Parking Garage/Canopy Luminaires and Retrofit Kits"</v>
      </c>
      <c r="U24" s="712">
        <v>0.2</v>
      </c>
      <c r="V24" s="713">
        <v>1</v>
      </c>
      <c r="W24" s="661"/>
      <c r="X24" s="661"/>
      <c r="Y24" s="661"/>
      <c r="Z24" s="661"/>
      <c r="AA24" s="714"/>
      <c r="AB24" s="714"/>
      <c r="AC24" s="714"/>
      <c r="AD24" s="1034">
        <f t="shared" si="70"/>
        <v>0</v>
      </c>
      <c r="AE24" s="1034">
        <f t="shared" si="70"/>
        <v>0</v>
      </c>
      <c r="AF24" s="1034">
        <f t="shared" si="70"/>
        <v>0.48</v>
      </c>
      <c r="AG24" s="1034">
        <f t="shared" si="70"/>
        <v>0.72</v>
      </c>
      <c r="AH24" s="1034">
        <f t="shared" si="70"/>
        <v>0.72</v>
      </c>
      <c r="AI24" s="1034">
        <f t="shared" si="70"/>
        <v>0.57599999999999996</v>
      </c>
      <c r="AJ24" s="1034">
        <f t="shared" si="70"/>
        <v>0.46079999999999999</v>
      </c>
      <c r="AK24" s="711" t="s">
        <v>384</v>
      </c>
      <c r="AL24" s="711" t="s">
        <v>742</v>
      </c>
      <c r="AM24" s="711" t="s">
        <v>1186</v>
      </c>
      <c r="AN24" s="711" t="s">
        <v>1152</v>
      </c>
      <c r="AO24" s="711" t="s">
        <v>1</v>
      </c>
      <c r="AP24" s="711"/>
      <c r="AQ24" s="711"/>
      <c r="AR24" s="711"/>
      <c r="AS24" s="715" t="s">
        <v>1153</v>
      </c>
      <c r="AT24" s="711" t="s">
        <v>1147</v>
      </c>
      <c r="AU24" s="715" t="s">
        <v>771</v>
      </c>
      <c r="AV24" s="661">
        <v>8</v>
      </c>
      <c r="AW24" s="661">
        <v>15</v>
      </c>
      <c r="AX24" s="711" t="s">
        <v>1487</v>
      </c>
      <c r="AY24" s="716">
        <v>1</v>
      </c>
      <c r="AZ24" s="716">
        <v>1</v>
      </c>
      <c r="BA24" s="717">
        <v>0</v>
      </c>
      <c r="BB24" s="774">
        <f t="shared" si="94"/>
        <v>1846</v>
      </c>
      <c r="BC24" s="503">
        <f t="shared" si="71"/>
        <v>1846</v>
      </c>
      <c r="BD24" s="503">
        <f t="shared" si="71"/>
        <v>1846</v>
      </c>
      <c r="BE24" s="503">
        <f t="shared" si="72"/>
        <v>1846</v>
      </c>
      <c r="BF24" s="503">
        <f t="shared" si="72"/>
        <v>1846</v>
      </c>
      <c r="BG24" s="503">
        <f t="shared" si="72"/>
        <v>1846</v>
      </c>
      <c r="BH24" s="776">
        <f t="shared" si="72"/>
        <v>1846</v>
      </c>
      <c r="BI24" s="503">
        <f t="shared" si="95"/>
        <v>-2.8653333333333331</v>
      </c>
      <c r="BJ24" s="503">
        <f t="shared" si="73"/>
        <v>-2.8653333333333331</v>
      </c>
      <c r="BK24" s="503">
        <f t="shared" si="73"/>
        <v>-2.8653333333333331</v>
      </c>
      <c r="BL24" s="503">
        <f t="shared" si="73"/>
        <v>-2.8653333333333331</v>
      </c>
      <c r="BM24" s="503">
        <f t="shared" si="74"/>
        <v>-2.8653333333333331</v>
      </c>
      <c r="BN24" s="503">
        <f t="shared" si="74"/>
        <v>-2.8653333333333331</v>
      </c>
      <c r="BO24" s="645">
        <f t="shared" si="74"/>
        <v>-2.8653333333333331</v>
      </c>
      <c r="BP24" s="774">
        <f t="shared" si="75"/>
        <v>30</v>
      </c>
      <c r="BQ24" s="503">
        <f t="shared" si="76"/>
        <v>30</v>
      </c>
      <c r="BR24" s="503">
        <f t="shared" si="76"/>
        <v>30</v>
      </c>
      <c r="BS24" s="503">
        <f t="shared" si="76"/>
        <v>30</v>
      </c>
      <c r="BT24" s="503">
        <f t="shared" si="77"/>
        <v>30</v>
      </c>
      <c r="BU24" s="503">
        <f t="shared" si="77"/>
        <v>30</v>
      </c>
      <c r="BV24" s="776">
        <f t="shared" si="77"/>
        <v>30</v>
      </c>
      <c r="BW24" s="503"/>
      <c r="BX24" s="503"/>
      <c r="BY24" s="503"/>
      <c r="BZ24" s="503"/>
      <c r="CA24" s="503"/>
      <c r="CB24" s="503"/>
      <c r="CC24" s="645"/>
      <c r="CD24" s="722">
        <f t="shared" si="78"/>
        <v>998.08500000000004</v>
      </c>
      <c r="CE24" s="511">
        <f t="shared" si="79"/>
        <v>998.08500000000004</v>
      </c>
      <c r="CF24" s="511">
        <f t="shared" si="79"/>
        <v>998.08500000000004</v>
      </c>
      <c r="CG24" s="511">
        <f t="shared" si="79"/>
        <v>998.08500000000004</v>
      </c>
      <c r="CH24" s="511">
        <f t="shared" si="80"/>
        <v>998.08500000000004</v>
      </c>
      <c r="CI24" s="511">
        <f t="shared" si="80"/>
        <v>998.08500000000004</v>
      </c>
      <c r="CJ24" s="723">
        <f t="shared" si="80"/>
        <v>998.08500000000004</v>
      </c>
      <c r="CK24" s="722">
        <f t="shared" si="81"/>
        <v>8.2500000000000004E-2</v>
      </c>
      <c r="CL24" s="511">
        <f t="shared" si="82"/>
        <v>8.2500000000000004E-2</v>
      </c>
      <c r="CM24" s="511">
        <f t="shared" si="82"/>
        <v>8.2500000000000004E-2</v>
      </c>
      <c r="CN24" s="511">
        <f t="shared" si="82"/>
        <v>8.2500000000000004E-2</v>
      </c>
      <c r="CO24" s="511">
        <f t="shared" si="83"/>
        <v>8.2500000000000004E-2</v>
      </c>
      <c r="CP24" s="511">
        <f t="shared" si="83"/>
        <v>8.2500000000000004E-2</v>
      </c>
      <c r="CQ24" s="723">
        <f t="shared" si="83"/>
        <v>8.2500000000000004E-2</v>
      </c>
      <c r="CR24" s="511">
        <f t="shared" si="84"/>
        <v>0</v>
      </c>
      <c r="CS24" s="511">
        <f t="shared" si="85"/>
        <v>0</v>
      </c>
      <c r="CT24" s="511">
        <f t="shared" si="85"/>
        <v>0</v>
      </c>
      <c r="CU24" s="511">
        <f t="shared" si="85"/>
        <v>0</v>
      </c>
      <c r="CV24" s="511">
        <f t="shared" si="86"/>
        <v>0</v>
      </c>
      <c r="CW24" s="511">
        <f t="shared" si="86"/>
        <v>0</v>
      </c>
      <c r="CX24" s="539">
        <f t="shared" si="86"/>
        <v>0</v>
      </c>
      <c r="CY24" s="774">
        <f t="shared" si="96"/>
        <v>0</v>
      </c>
      <c r="CZ24" s="503">
        <f t="shared" si="96"/>
        <v>0</v>
      </c>
      <c r="DA24" s="503">
        <f t="shared" si="96"/>
        <v>886.07999999999993</v>
      </c>
      <c r="DB24" s="503">
        <f t="shared" si="96"/>
        <v>1329.12</v>
      </c>
      <c r="DC24" s="503">
        <f t="shared" si="96"/>
        <v>1329.12</v>
      </c>
      <c r="DD24" s="503">
        <f t="shared" si="96"/>
        <v>1063.2959999999998</v>
      </c>
      <c r="DE24" s="776">
        <f t="shared" si="96"/>
        <v>850.63679999999999</v>
      </c>
      <c r="DF24" s="774">
        <f t="shared" si="97"/>
        <v>0</v>
      </c>
      <c r="DG24" s="503">
        <f t="shared" si="97"/>
        <v>0</v>
      </c>
      <c r="DH24" s="503">
        <f t="shared" si="97"/>
        <v>-1.3753599999999999</v>
      </c>
      <c r="DI24" s="503">
        <f t="shared" si="97"/>
        <v>-2.0630399999999995</v>
      </c>
      <c r="DJ24" s="503">
        <f t="shared" si="97"/>
        <v>-2.0630399999999995</v>
      </c>
      <c r="DK24" s="503">
        <f t="shared" si="97"/>
        <v>-1.6504319999999997</v>
      </c>
      <c r="DL24" s="776">
        <f t="shared" si="97"/>
        <v>-1.3203455999999998</v>
      </c>
      <c r="DM24" s="774">
        <f t="shared" si="98"/>
        <v>0</v>
      </c>
      <c r="DN24" s="503">
        <f t="shared" si="98"/>
        <v>0</v>
      </c>
      <c r="DO24" s="503">
        <f t="shared" si="98"/>
        <v>14.399999999999999</v>
      </c>
      <c r="DP24" s="503">
        <f t="shared" si="98"/>
        <v>21.599999999999998</v>
      </c>
      <c r="DQ24" s="503">
        <f t="shared" si="98"/>
        <v>21.599999999999998</v>
      </c>
      <c r="DR24" s="503">
        <f t="shared" si="98"/>
        <v>17.279999999999998</v>
      </c>
      <c r="DS24" s="776">
        <f t="shared" si="98"/>
        <v>13.824</v>
      </c>
      <c r="DT24" s="774">
        <f t="shared" si="99"/>
        <v>0</v>
      </c>
      <c r="DU24" s="503">
        <f t="shared" si="99"/>
        <v>0</v>
      </c>
      <c r="DV24" s="503">
        <f t="shared" si="99"/>
        <v>0</v>
      </c>
      <c r="DW24" s="503">
        <f t="shared" si="99"/>
        <v>0</v>
      </c>
      <c r="DX24" s="503">
        <f t="shared" si="99"/>
        <v>0</v>
      </c>
      <c r="DY24" s="503">
        <f t="shared" si="99"/>
        <v>0</v>
      </c>
      <c r="DZ24" s="776">
        <f t="shared" si="99"/>
        <v>0</v>
      </c>
      <c r="EA24" s="511">
        <f t="shared" si="100"/>
        <v>0</v>
      </c>
      <c r="EB24" s="511">
        <f t="shared" si="100"/>
        <v>0</v>
      </c>
      <c r="EC24" s="511">
        <f t="shared" si="100"/>
        <v>479.08080000000001</v>
      </c>
      <c r="ED24" s="511">
        <f t="shared" si="100"/>
        <v>718.62120000000004</v>
      </c>
      <c r="EE24" s="511">
        <f t="shared" si="100"/>
        <v>718.62120000000004</v>
      </c>
      <c r="EF24" s="511">
        <f t="shared" si="100"/>
        <v>574.89695999999992</v>
      </c>
      <c r="EG24" s="539">
        <f t="shared" si="100"/>
        <v>459.91756800000002</v>
      </c>
      <c r="EH24" s="722">
        <f t="shared" si="101"/>
        <v>0</v>
      </c>
      <c r="EI24" s="511">
        <f t="shared" si="101"/>
        <v>0</v>
      </c>
      <c r="EJ24" s="511">
        <f t="shared" si="101"/>
        <v>3.9600000000000003E-2</v>
      </c>
      <c r="EK24" s="511">
        <f t="shared" si="101"/>
        <v>5.9400000000000001E-2</v>
      </c>
      <c r="EL24" s="511">
        <f t="shared" si="101"/>
        <v>5.9400000000000001E-2</v>
      </c>
      <c r="EM24" s="511">
        <f t="shared" si="101"/>
        <v>4.752E-2</v>
      </c>
      <c r="EN24" s="723">
        <f t="shared" si="101"/>
        <v>3.8016000000000001E-2</v>
      </c>
      <c r="EO24" s="722">
        <f t="shared" si="102"/>
        <v>0</v>
      </c>
      <c r="EP24" s="511">
        <f t="shared" si="102"/>
        <v>0</v>
      </c>
      <c r="EQ24" s="511">
        <f t="shared" si="102"/>
        <v>0</v>
      </c>
      <c r="ER24" s="511">
        <f t="shared" si="102"/>
        <v>0</v>
      </c>
      <c r="ES24" s="511">
        <f t="shared" si="102"/>
        <v>0</v>
      </c>
      <c r="ET24" s="511">
        <f t="shared" si="102"/>
        <v>0</v>
      </c>
      <c r="EU24" s="723">
        <f t="shared" si="102"/>
        <v>0</v>
      </c>
      <c r="EV24" s="722">
        <f t="shared" si="103"/>
        <v>2.9567999999999999</v>
      </c>
      <c r="EW24" s="503">
        <f t="shared" si="104"/>
        <v>5458.2528000000002</v>
      </c>
      <c r="EX24" s="503">
        <f t="shared" si="105"/>
        <v>-8.4722175999999987</v>
      </c>
      <c r="EY24" s="503">
        <f t="shared" si="106"/>
        <v>88.703999999999994</v>
      </c>
      <c r="EZ24" s="503">
        <f t="shared" si="107"/>
        <v>0</v>
      </c>
      <c r="FA24" s="511">
        <f t="shared" si="108"/>
        <v>2951.1377279999997</v>
      </c>
      <c r="FB24" s="511">
        <f t="shared" si="109"/>
        <v>0.24393600000000001</v>
      </c>
      <c r="FC24" s="511">
        <f t="shared" si="110"/>
        <v>0</v>
      </c>
    </row>
    <row r="25" spans="1:159" s="10" customFormat="1" ht="12.75" customHeight="1">
      <c r="A25" s="740"/>
      <c r="B25" s="730"/>
      <c r="C25" s="730"/>
      <c r="D25" s="730"/>
      <c r="E25" s="730"/>
      <c r="F25" s="731"/>
      <c r="G25" s="1095"/>
      <c r="H25" s="1095"/>
      <c r="I25" s="1096"/>
      <c r="J25" s="1095"/>
      <c r="K25" s="1096"/>
      <c r="L25" s="1097"/>
      <c r="M25" s="1095"/>
      <c r="N25" s="1095"/>
      <c r="O25" s="1095"/>
      <c r="P25" s="1095"/>
      <c r="Q25" s="736"/>
      <c r="R25" s="758"/>
      <c r="S25" s="737"/>
      <c r="T25" s="733"/>
      <c r="U25" s="738"/>
      <c r="V25" s="739"/>
      <c r="W25" s="740"/>
      <c r="X25" s="740"/>
      <c r="Y25" s="740"/>
      <c r="Z25" s="740"/>
      <c r="AA25" s="741"/>
      <c r="AB25" s="741"/>
      <c r="AC25" s="742"/>
      <c r="AD25" s="742"/>
      <c r="AE25" s="742"/>
      <c r="AF25" s="742"/>
      <c r="AG25" s="742"/>
      <c r="AH25" s="742"/>
      <c r="AI25" s="742"/>
      <c r="AJ25" s="742"/>
      <c r="AK25" s="733"/>
      <c r="AL25" s="733"/>
      <c r="AM25" s="733"/>
      <c r="AN25" s="733"/>
      <c r="AO25" s="733"/>
      <c r="AP25" s="733"/>
      <c r="AQ25" s="733"/>
      <c r="AR25" s="733"/>
      <c r="AS25" s="743"/>
      <c r="AT25" s="743"/>
      <c r="AU25" s="743"/>
      <c r="AV25" s="733"/>
      <c r="AW25" s="733"/>
      <c r="AX25" s="733"/>
      <c r="AY25" s="733"/>
      <c r="AZ25" s="733"/>
      <c r="BA25" s="744"/>
      <c r="BB25" s="745"/>
      <c r="BC25" s="746"/>
      <c r="BD25" s="746"/>
      <c r="BE25" s="746"/>
      <c r="BF25" s="746"/>
      <c r="BG25" s="746"/>
      <c r="BH25" s="747"/>
      <c r="BI25" s="746"/>
      <c r="BJ25" s="746"/>
      <c r="BK25" s="746"/>
      <c r="BL25" s="746"/>
      <c r="BM25" s="746"/>
      <c r="BN25" s="746"/>
      <c r="BO25" s="749"/>
      <c r="BP25" s="745"/>
      <c r="BQ25" s="746"/>
      <c r="BR25" s="746"/>
      <c r="BS25" s="746"/>
      <c r="BT25" s="746"/>
      <c r="BU25" s="746"/>
      <c r="BV25" s="747"/>
      <c r="BW25" s="746"/>
      <c r="BX25" s="746"/>
      <c r="BY25" s="746"/>
      <c r="BZ25" s="746"/>
      <c r="CA25" s="746"/>
      <c r="CB25" s="746"/>
      <c r="CC25" s="749"/>
      <c r="CD25" s="750"/>
      <c r="CE25" s="487"/>
      <c r="CF25" s="487"/>
      <c r="CG25" s="487"/>
      <c r="CH25" s="487"/>
      <c r="CI25" s="487"/>
      <c r="CJ25" s="751"/>
      <c r="CK25" s="750"/>
      <c r="CL25" s="487"/>
      <c r="CM25" s="487"/>
      <c r="CN25" s="487"/>
      <c r="CO25" s="487"/>
      <c r="CP25" s="487"/>
      <c r="CQ25" s="751"/>
      <c r="CR25" s="487"/>
      <c r="CS25" s="487"/>
      <c r="CT25" s="487"/>
      <c r="CU25" s="487"/>
      <c r="CV25" s="487"/>
      <c r="CW25" s="487"/>
      <c r="CX25" s="513"/>
      <c r="CY25" s="752"/>
      <c r="CZ25" s="492"/>
      <c r="DA25" s="492"/>
      <c r="DB25" s="492"/>
      <c r="DC25" s="492"/>
      <c r="DD25" s="492"/>
      <c r="DE25" s="753"/>
      <c r="DF25" s="752"/>
      <c r="DG25" s="492"/>
      <c r="DH25" s="492"/>
      <c r="DI25" s="492"/>
      <c r="DJ25" s="492"/>
      <c r="DK25" s="492"/>
      <c r="DL25" s="753"/>
      <c r="DM25" s="752"/>
      <c r="DN25" s="492"/>
      <c r="DO25" s="492"/>
      <c r="DP25" s="492"/>
      <c r="DQ25" s="492"/>
      <c r="DR25" s="492"/>
      <c r="DS25" s="753"/>
      <c r="DT25" s="752"/>
      <c r="DU25" s="492"/>
      <c r="DV25" s="492"/>
      <c r="DW25" s="492"/>
      <c r="DX25" s="492"/>
      <c r="DY25" s="492"/>
      <c r="DZ25" s="753"/>
      <c r="EA25" s="487"/>
      <c r="EB25" s="487"/>
      <c r="EC25" s="487"/>
      <c r="ED25" s="487"/>
      <c r="EE25" s="487"/>
      <c r="EF25" s="487"/>
      <c r="EG25" s="513"/>
      <c r="EH25" s="750"/>
      <c r="EI25" s="487"/>
      <c r="EJ25" s="487"/>
      <c r="EK25" s="487"/>
      <c r="EL25" s="487"/>
      <c r="EM25" s="487"/>
      <c r="EN25" s="751"/>
      <c r="EO25" s="750"/>
      <c r="EP25" s="487"/>
      <c r="EQ25" s="487"/>
      <c r="ER25" s="487"/>
      <c r="ES25" s="487"/>
      <c r="ET25" s="487"/>
      <c r="EU25" s="751"/>
      <c r="EV25" s="515"/>
      <c r="EW25" s="755"/>
      <c r="EX25" s="755"/>
      <c r="EY25" s="755"/>
      <c r="EZ25" s="755"/>
      <c r="FA25" s="756"/>
      <c r="FB25" s="756"/>
      <c r="FC25" s="757"/>
    </row>
    <row r="26" spans="1:159" s="10" customFormat="1" ht="12.75" customHeight="1">
      <c r="A26" s="661" t="s">
        <v>172</v>
      </c>
      <c r="B26" s="703" t="s">
        <v>1497</v>
      </c>
      <c r="C26" s="703" t="s">
        <v>1318</v>
      </c>
      <c r="D26" s="703" t="s">
        <v>1319</v>
      </c>
      <c r="E26" s="703" t="s">
        <v>331</v>
      </c>
      <c r="F26" s="704" t="s">
        <v>402</v>
      </c>
      <c r="G26" s="1091">
        <v>67.125</v>
      </c>
      <c r="H26" s="1091">
        <v>0</v>
      </c>
      <c r="I26" s="1092">
        <v>67.125</v>
      </c>
      <c r="J26" s="1091">
        <v>0</v>
      </c>
      <c r="K26" s="1092">
        <v>33.5625</v>
      </c>
      <c r="L26" s="1093" t="s">
        <v>1320</v>
      </c>
      <c r="M26" s="1091">
        <v>10</v>
      </c>
      <c r="N26" s="1094">
        <v>10</v>
      </c>
      <c r="O26" s="1091">
        <v>0</v>
      </c>
      <c r="P26" s="1094">
        <v>0</v>
      </c>
      <c r="Q26" s="710">
        <f t="shared" ref="Q26:T34" si="111">Q6</f>
        <v>114.589377864</v>
      </c>
      <c r="R26" s="710">
        <f t="shared" si="111"/>
        <v>2.7349574200000001E-2</v>
      </c>
      <c r="S26" s="710">
        <f t="shared" si="111"/>
        <v>-1.5915191369999997</v>
      </c>
      <c r="T26" s="710" t="str">
        <f t="shared" si="111"/>
        <v>Per unit savings estimate from IL TRM v10.0 "4.5.4 LED Bulbs and Fixtures" - use-specific input assumptions are for "Unknown" building/space type and Energy Star Fixtures</v>
      </c>
      <c r="U26" s="712">
        <v>0.2</v>
      </c>
      <c r="V26" s="996">
        <v>1</v>
      </c>
      <c r="W26" s="714"/>
      <c r="X26" s="714"/>
      <c r="Y26" s="714"/>
      <c r="Z26" s="714"/>
      <c r="AA26" s="714"/>
      <c r="AB26" s="714"/>
      <c r="AC26" s="714"/>
      <c r="AD26" s="1034">
        <f t="shared" ref="AD26:AJ34" si="112">AD6*0.5</f>
        <v>0</v>
      </c>
      <c r="AE26" s="1034">
        <f t="shared" si="112"/>
        <v>0</v>
      </c>
      <c r="AF26" s="1034">
        <f t="shared" si="112"/>
        <v>0.48</v>
      </c>
      <c r="AG26" s="1034">
        <f t="shared" si="112"/>
        <v>0.69599999999999995</v>
      </c>
      <c r="AH26" s="1034">
        <f t="shared" si="112"/>
        <v>0.69599999999999995</v>
      </c>
      <c r="AI26" s="1034">
        <f t="shared" si="112"/>
        <v>0.55679999999999996</v>
      </c>
      <c r="AJ26" s="1034">
        <f t="shared" si="112"/>
        <v>0.44544</v>
      </c>
      <c r="AK26" s="711" t="s">
        <v>384</v>
      </c>
      <c r="AL26" s="711" t="s">
        <v>742</v>
      </c>
      <c r="AM26" s="711" t="s">
        <v>1186</v>
      </c>
      <c r="AN26" s="711" t="s">
        <v>1152</v>
      </c>
      <c r="AO26" s="711" t="s">
        <v>1</v>
      </c>
      <c r="AP26" s="711"/>
      <c r="AQ26" s="711"/>
      <c r="AR26" s="711"/>
      <c r="AS26" s="715" t="s">
        <v>1153</v>
      </c>
      <c r="AT26" s="711" t="s">
        <v>1147</v>
      </c>
      <c r="AU26" s="715" t="s">
        <v>746</v>
      </c>
      <c r="AV26" s="661">
        <v>20</v>
      </c>
      <c r="AW26" s="661">
        <v>15</v>
      </c>
      <c r="AX26" s="711" t="s">
        <v>1483</v>
      </c>
      <c r="AY26" s="716">
        <v>1</v>
      </c>
      <c r="AZ26" s="716">
        <v>1</v>
      </c>
      <c r="BA26" s="717">
        <v>0</v>
      </c>
      <c r="BB26" s="774">
        <f>I26</f>
        <v>67.125</v>
      </c>
      <c r="BC26" s="503">
        <f t="shared" ref="BC26:BD34" si="113">BB26</f>
        <v>67.125</v>
      </c>
      <c r="BD26" s="503">
        <f t="shared" si="113"/>
        <v>67.125</v>
      </c>
      <c r="BE26" s="503">
        <f t="shared" ref="BE26:BH34" si="114">BB26</f>
        <v>67.125</v>
      </c>
      <c r="BF26" s="503">
        <f t="shared" si="114"/>
        <v>67.125</v>
      </c>
      <c r="BG26" s="503">
        <f t="shared" si="114"/>
        <v>67.125</v>
      </c>
      <c r="BH26" s="776">
        <f t="shared" si="114"/>
        <v>67.125</v>
      </c>
      <c r="BI26" s="503">
        <f>J26</f>
        <v>0</v>
      </c>
      <c r="BJ26" s="503">
        <f t="shared" ref="BJ26:BL34" si="115">BI26</f>
        <v>0</v>
      </c>
      <c r="BK26" s="503">
        <f t="shared" si="115"/>
        <v>0</v>
      </c>
      <c r="BL26" s="503">
        <f>BK26</f>
        <v>0</v>
      </c>
      <c r="BM26" s="503">
        <f t="shared" ref="BM26:BO34" si="116">BL26</f>
        <v>0</v>
      </c>
      <c r="BN26" s="503">
        <f>BM26</f>
        <v>0</v>
      </c>
      <c r="BO26" s="645">
        <f>BN26</f>
        <v>0</v>
      </c>
      <c r="BP26" s="774">
        <f t="shared" ref="BP26:BP34" si="117">N26+O26</f>
        <v>10</v>
      </c>
      <c r="BQ26" s="503">
        <f t="shared" ref="BQ26:BS34" si="118">BP26</f>
        <v>10</v>
      </c>
      <c r="BR26" s="503">
        <f t="shared" si="118"/>
        <v>10</v>
      </c>
      <c r="BS26" s="503">
        <f>BR26</f>
        <v>10</v>
      </c>
      <c r="BT26" s="503">
        <f t="shared" ref="BT26:BV34" si="119">BS26</f>
        <v>10</v>
      </c>
      <c r="BU26" s="503">
        <f t="shared" si="119"/>
        <v>10</v>
      </c>
      <c r="BV26" s="776">
        <f t="shared" si="119"/>
        <v>10</v>
      </c>
      <c r="BW26" s="503">
        <f t="shared" si="10"/>
        <v>0</v>
      </c>
      <c r="BX26" s="503">
        <f t="shared" si="10"/>
        <v>0</v>
      </c>
      <c r="BY26" s="503">
        <f t="shared" si="10"/>
        <v>0</v>
      </c>
      <c r="BZ26" s="503">
        <f t="shared" si="10"/>
        <v>0</v>
      </c>
      <c r="CA26" s="503">
        <f t="shared" si="10"/>
        <v>0</v>
      </c>
      <c r="CB26" s="503">
        <f t="shared" si="10"/>
        <v>0</v>
      </c>
      <c r="CC26" s="645">
        <f t="shared" si="10"/>
        <v>0</v>
      </c>
      <c r="CD26" s="722">
        <f t="shared" ref="CD26:CD34" si="120">Q26*AZ26</f>
        <v>114.589377864</v>
      </c>
      <c r="CE26" s="511">
        <f t="shared" ref="CE26:CG34" si="121">CD26</f>
        <v>114.589377864</v>
      </c>
      <c r="CF26" s="511">
        <f t="shared" si="121"/>
        <v>114.589377864</v>
      </c>
      <c r="CG26" s="511">
        <f>CF26</f>
        <v>114.589377864</v>
      </c>
      <c r="CH26" s="511">
        <f t="shared" ref="CH26:CJ34" si="122">CG26</f>
        <v>114.589377864</v>
      </c>
      <c r="CI26" s="511">
        <f t="shared" si="122"/>
        <v>114.589377864</v>
      </c>
      <c r="CJ26" s="723">
        <f t="shared" si="122"/>
        <v>114.589377864</v>
      </c>
      <c r="CK26" s="722">
        <f t="shared" ref="CK26:CK34" si="123">R26*AZ26</f>
        <v>2.7349574200000001E-2</v>
      </c>
      <c r="CL26" s="511">
        <f t="shared" ref="CL26:CN34" si="124">CK26</f>
        <v>2.7349574200000001E-2</v>
      </c>
      <c r="CM26" s="511">
        <f t="shared" si="124"/>
        <v>2.7349574200000001E-2</v>
      </c>
      <c r="CN26" s="511">
        <f>CM26</f>
        <v>2.7349574200000001E-2</v>
      </c>
      <c r="CO26" s="511">
        <f t="shared" ref="CO26:CQ34" si="125">CN26</f>
        <v>2.7349574200000001E-2</v>
      </c>
      <c r="CP26" s="511">
        <f t="shared" si="125"/>
        <v>2.7349574200000001E-2</v>
      </c>
      <c r="CQ26" s="723">
        <f t="shared" si="125"/>
        <v>2.7349574200000001E-2</v>
      </c>
      <c r="CR26" s="511">
        <f t="shared" ref="CR26:CR34" si="126">S26*BA26</f>
        <v>0</v>
      </c>
      <c r="CS26" s="511">
        <f t="shared" ref="CS26:CU34" si="127">CR26</f>
        <v>0</v>
      </c>
      <c r="CT26" s="511">
        <f t="shared" si="127"/>
        <v>0</v>
      </c>
      <c r="CU26" s="511">
        <f>CT26</f>
        <v>0</v>
      </c>
      <c r="CV26" s="511">
        <f t="shared" ref="CV26:CX34" si="128">CU26</f>
        <v>0</v>
      </c>
      <c r="CW26" s="511">
        <f t="shared" si="128"/>
        <v>0</v>
      </c>
      <c r="CX26" s="539">
        <f t="shared" si="128"/>
        <v>0</v>
      </c>
      <c r="CY26" s="774">
        <f t="shared" ref="CY26:DE26" si="129">AD26*BB26</f>
        <v>0</v>
      </c>
      <c r="CZ26" s="503">
        <f t="shared" si="129"/>
        <v>0</v>
      </c>
      <c r="DA26" s="503">
        <f t="shared" si="129"/>
        <v>32.22</v>
      </c>
      <c r="DB26" s="503">
        <f t="shared" si="129"/>
        <v>46.718999999999994</v>
      </c>
      <c r="DC26" s="503">
        <f t="shared" si="129"/>
        <v>46.718999999999994</v>
      </c>
      <c r="DD26" s="503">
        <f t="shared" si="129"/>
        <v>37.3752</v>
      </c>
      <c r="DE26" s="776">
        <f t="shared" si="129"/>
        <v>29.90016</v>
      </c>
      <c r="DF26" s="774">
        <f t="shared" ref="DF26:DL26" si="130">AD26*BI26</f>
        <v>0</v>
      </c>
      <c r="DG26" s="503">
        <f t="shared" si="130"/>
        <v>0</v>
      </c>
      <c r="DH26" s="503">
        <f t="shared" si="130"/>
        <v>0</v>
      </c>
      <c r="DI26" s="503">
        <f t="shared" si="130"/>
        <v>0</v>
      </c>
      <c r="DJ26" s="503">
        <f t="shared" si="130"/>
        <v>0</v>
      </c>
      <c r="DK26" s="503">
        <f t="shared" si="130"/>
        <v>0</v>
      </c>
      <c r="DL26" s="776">
        <f t="shared" si="130"/>
        <v>0</v>
      </c>
      <c r="DM26" s="774">
        <f t="shared" ref="DM26:DS26" si="131">AD26*BP26</f>
        <v>0</v>
      </c>
      <c r="DN26" s="503">
        <f t="shared" si="131"/>
        <v>0</v>
      </c>
      <c r="DO26" s="503">
        <f t="shared" si="131"/>
        <v>4.8</v>
      </c>
      <c r="DP26" s="503">
        <f t="shared" si="131"/>
        <v>6.9599999999999991</v>
      </c>
      <c r="DQ26" s="503">
        <f t="shared" si="131"/>
        <v>6.9599999999999991</v>
      </c>
      <c r="DR26" s="503">
        <f t="shared" si="131"/>
        <v>5.5679999999999996</v>
      </c>
      <c r="DS26" s="776">
        <f t="shared" si="131"/>
        <v>4.4543999999999997</v>
      </c>
      <c r="DT26" s="774">
        <f t="shared" ref="DT26:DZ26" si="132">BW26*AD26</f>
        <v>0</v>
      </c>
      <c r="DU26" s="503">
        <f t="shared" si="132"/>
        <v>0</v>
      </c>
      <c r="DV26" s="503">
        <f t="shared" si="132"/>
        <v>0</v>
      </c>
      <c r="DW26" s="503">
        <f t="shared" si="132"/>
        <v>0</v>
      </c>
      <c r="DX26" s="503">
        <f t="shared" si="132"/>
        <v>0</v>
      </c>
      <c r="DY26" s="503">
        <f t="shared" si="132"/>
        <v>0</v>
      </c>
      <c r="DZ26" s="776">
        <f t="shared" si="132"/>
        <v>0</v>
      </c>
      <c r="EA26" s="511">
        <f t="shared" ref="EA26:EG26" si="133">AD26*CD26</f>
        <v>0</v>
      </c>
      <c r="EB26" s="511">
        <f t="shared" si="133"/>
        <v>0</v>
      </c>
      <c r="EC26" s="511">
        <f t="shared" si="133"/>
        <v>55.002901374719997</v>
      </c>
      <c r="ED26" s="511">
        <f t="shared" si="133"/>
        <v>79.754206993343999</v>
      </c>
      <c r="EE26" s="511">
        <f t="shared" si="133"/>
        <v>79.754206993343999</v>
      </c>
      <c r="EF26" s="511">
        <f t="shared" si="133"/>
        <v>63.803365594675192</v>
      </c>
      <c r="EG26" s="539">
        <f t="shared" si="133"/>
        <v>51.042692475740161</v>
      </c>
      <c r="EH26" s="722">
        <f t="shared" ref="EH26:EN26" si="134">AD26*CK26</f>
        <v>0</v>
      </c>
      <c r="EI26" s="511">
        <f t="shared" si="134"/>
        <v>0</v>
      </c>
      <c r="EJ26" s="511">
        <f t="shared" si="134"/>
        <v>1.3127795616E-2</v>
      </c>
      <c r="EK26" s="511">
        <f t="shared" si="134"/>
        <v>1.90353036432E-2</v>
      </c>
      <c r="EL26" s="511">
        <f t="shared" si="134"/>
        <v>1.90353036432E-2</v>
      </c>
      <c r="EM26" s="511">
        <f t="shared" si="134"/>
        <v>1.522824291456E-2</v>
      </c>
      <c r="EN26" s="723">
        <f t="shared" si="134"/>
        <v>1.2182594331648E-2</v>
      </c>
      <c r="EO26" s="722">
        <f t="shared" ref="EO26:EU26" si="135">AD26*CR26</f>
        <v>0</v>
      </c>
      <c r="EP26" s="511">
        <f t="shared" si="135"/>
        <v>0</v>
      </c>
      <c r="EQ26" s="511">
        <f t="shared" si="135"/>
        <v>0</v>
      </c>
      <c r="ER26" s="511">
        <f t="shared" si="135"/>
        <v>0</v>
      </c>
      <c r="ES26" s="511">
        <f t="shared" si="135"/>
        <v>0</v>
      </c>
      <c r="ET26" s="511">
        <f t="shared" si="135"/>
        <v>0</v>
      </c>
      <c r="EU26" s="723">
        <f t="shared" si="135"/>
        <v>0</v>
      </c>
      <c r="EV26" s="722">
        <f>SUM(AD26:AJ26)</f>
        <v>2.8742399999999999</v>
      </c>
      <c r="EW26" s="503">
        <f>SUM(CY26:DE26)</f>
        <v>192.93335999999999</v>
      </c>
      <c r="EX26" s="503">
        <f>SUM(DF26:DL26)</f>
        <v>0</v>
      </c>
      <c r="EY26" s="503">
        <f>SUM(DM26:DS26)</f>
        <v>28.742399999999996</v>
      </c>
      <c r="EZ26" s="503">
        <f>SUM(DT26:DZ26)</f>
        <v>0</v>
      </c>
      <c r="FA26" s="511">
        <f>SUM(EA26:EG26)</f>
        <v>329.35737343182336</v>
      </c>
      <c r="FB26" s="511">
        <f>SUM(EH26:EN26)</f>
        <v>7.8609240148608012E-2</v>
      </c>
      <c r="FC26" s="511">
        <f>SUM(EO26:EU26)</f>
        <v>0</v>
      </c>
    </row>
    <row r="27" spans="1:159" s="10" customFormat="1" ht="12.75" customHeight="1">
      <c r="A27" s="661" t="s">
        <v>174</v>
      </c>
      <c r="B27" s="703" t="s">
        <v>1498</v>
      </c>
      <c r="C27" s="703" t="s">
        <v>1318</v>
      </c>
      <c r="D27" s="703" t="s">
        <v>1323</v>
      </c>
      <c r="E27" s="703" t="s">
        <v>331</v>
      </c>
      <c r="F27" s="704" t="s">
        <v>402</v>
      </c>
      <c r="G27" s="1094">
        <v>326.08199999999999</v>
      </c>
      <c r="H27" s="1091">
        <v>0</v>
      </c>
      <c r="I27" s="1092">
        <v>326.08199999999999</v>
      </c>
      <c r="J27" s="1091">
        <v>-2.17</v>
      </c>
      <c r="K27" s="1092">
        <v>163.041</v>
      </c>
      <c r="L27" s="1093" t="s">
        <v>1324</v>
      </c>
      <c r="M27" s="1091">
        <v>25</v>
      </c>
      <c r="N27" s="1094">
        <v>25</v>
      </c>
      <c r="O27" s="1091">
        <v>0</v>
      </c>
      <c r="P27" s="1094">
        <v>0</v>
      </c>
      <c r="Q27" s="710">
        <f t="shared" si="111"/>
        <v>2111.8968</v>
      </c>
      <c r="R27" s="710">
        <f t="shared" si="111"/>
        <v>0.32590999999999998</v>
      </c>
      <c r="S27" s="710">
        <f t="shared" si="111"/>
        <v>-15.416846639999999</v>
      </c>
      <c r="T27" s="710" t="str">
        <f t="shared" si="111"/>
        <v>Per unit savings estimate from Mid-Atlantic TRM v9 "LED LED High-Bay Luminaires and Retrofit Kits" - use-specific input assumptions are average of all building types from Table D-3; Base and EE Wattage assumptions are average from IL TRM 4.5.4 LED Bulbs and Fixtures "LED Fixture Wattage, TOS Baseline and Incremental Cost Assumptions" Table</v>
      </c>
      <c r="U27" s="712">
        <v>0.2</v>
      </c>
      <c r="V27" s="996">
        <v>1</v>
      </c>
      <c r="W27" s="661"/>
      <c r="X27" s="661"/>
      <c r="Y27" s="661"/>
      <c r="Z27" s="661"/>
      <c r="AA27" s="714"/>
      <c r="AB27" s="714"/>
      <c r="AC27" s="714"/>
      <c r="AD27" s="1034">
        <f t="shared" si="112"/>
        <v>0</v>
      </c>
      <c r="AE27" s="1034">
        <f t="shared" si="112"/>
        <v>0</v>
      </c>
      <c r="AF27" s="1034">
        <f t="shared" si="112"/>
        <v>0</v>
      </c>
      <c r="AG27" s="1034">
        <f t="shared" si="112"/>
        <v>0</v>
      </c>
      <c r="AH27" s="1034">
        <f t="shared" si="112"/>
        <v>0</v>
      </c>
      <c r="AI27" s="1034">
        <f t="shared" si="112"/>
        <v>0</v>
      </c>
      <c r="AJ27" s="1034">
        <f t="shared" si="112"/>
        <v>0</v>
      </c>
      <c r="AK27" s="711" t="s">
        <v>384</v>
      </c>
      <c r="AL27" s="711" t="s">
        <v>742</v>
      </c>
      <c r="AM27" s="711" t="s">
        <v>1186</v>
      </c>
      <c r="AN27" s="711" t="s">
        <v>1152</v>
      </c>
      <c r="AO27" s="711" t="s">
        <v>1</v>
      </c>
      <c r="AP27" s="711"/>
      <c r="AQ27" s="711"/>
      <c r="AR27" s="711"/>
      <c r="AS27" s="715" t="s">
        <v>1153</v>
      </c>
      <c r="AT27" s="711" t="s">
        <v>1147</v>
      </c>
      <c r="AU27" s="715" t="s">
        <v>746</v>
      </c>
      <c r="AV27" s="661">
        <v>20</v>
      </c>
      <c r="AW27" s="661">
        <v>15</v>
      </c>
      <c r="AX27" s="711" t="s">
        <v>1484</v>
      </c>
      <c r="AY27" s="716">
        <v>1</v>
      </c>
      <c r="AZ27" s="716">
        <v>1</v>
      </c>
      <c r="BA27" s="717">
        <v>0</v>
      </c>
      <c r="BB27" s="774">
        <f t="shared" ref="BB27:BB34" si="136">I27</f>
        <v>326.08199999999999</v>
      </c>
      <c r="BC27" s="503">
        <f t="shared" si="113"/>
        <v>326.08199999999999</v>
      </c>
      <c r="BD27" s="503">
        <f t="shared" si="113"/>
        <v>326.08199999999999</v>
      </c>
      <c r="BE27" s="503">
        <f t="shared" si="114"/>
        <v>326.08199999999999</v>
      </c>
      <c r="BF27" s="503">
        <f t="shared" si="114"/>
        <v>326.08199999999999</v>
      </c>
      <c r="BG27" s="503">
        <f t="shared" si="114"/>
        <v>326.08199999999999</v>
      </c>
      <c r="BH27" s="776">
        <f t="shared" si="114"/>
        <v>326.08199999999999</v>
      </c>
      <c r="BI27" s="503">
        <f t="shared" ref="BI27:BI34" si="137">J27</f>
        <v>-2.17</v>
      </c>
      <c r="BJ27" s="503">
        <f t="shared" si="115"/>
        <v>-2.17</v>
      </c>
      <c r="BK27" s="503">
        <f t="shared" si="115"/>
        <v>-2.17</v>
      </c>
      <c r="BL27" s="503">
        <f t="shared" si="115"/>
        <v>-2.17</v>
      </c>
      <c r="BM27" s="503">
        <f t="shared" si="116"/>
        <v>-2.17</v>
      </c>
      <c r="BN27" s="503">
        <f t="shared" si="116"/>
        <v>-2.17</v>
      </c>
      <c r="BO27" s="645">
        <f t="shared" si="116"/>
        <v>-2.17</v>
      </c>
      <c r="BP27" s="774">
        <f t="shared" si="117"/>
        <v>25</v>
      </c>
      <c r="BQ27" s="503">
        <f t="shared" si="118"/>
        <v>25</v>
      </c>
      <c r="BR27" s="503">
        <f t="shared" si="118"/>
        <v>25</v>
      </c>
      <c r="BS27" s="503">
        <f t="shared" si="118"/>
        <v>25</v>
      </c>
      <c r="BT27" s="503">
        <f t="shared" si="119"/>
        <v>25</v>
      </c>
      <c r="BU27" s="503">
        <f t="shared" si="119"/>
        <v>25</v>
      </c>
      <c r="BV27" s="776">
        <f t="shared" si="119"/>
        <v>25</v>
      </c>
      <c r="BW27" s="313"/>
      <c r="BX27" s="313"/>
      <c r="BY27" s="313"/>
      <c r="BZ27" s="313"/>
      <c r="CA27" s="313"/>
      <c r="CB27" s="313"/>
      <c r="CC27" s="314"/>
      <c r="CD27" s="722">
        <f t="shared" si="120"/>
        <v>2111.8968</v>
      </c>
      <c r="CE27" s="511">
        <f t="shared" si="121"/>
        <v>2111.8968</v>
      </c>
      <c r="CF27" s="511">
        <f t="shared" si="121"/>
        <v>2111.8968</v>
      </c>
      <c r="CG27" s="511">
        <f t="shared" si="121"/>
        <v>2111.8968</v>
      </c>
      <c r="CH27" s="511">
        <f t="shared" si="122"/>
        <v>2111.8968</v>
      </c>
      <c r="CI27" s="511">
        <f t="shared" si="122"/>
        <v>2111.8968</v>
      </c>
      <c r="CJ27" s="723">
        <f t="shared" si="122"/>
        <v>2111.8968</v>
      </c>
      <c r="CK27" s="722">
        <f t="shared" si="123"/>
        <v>0.32590999999999998</v>
      </c>
      <c r="CL27" s="511">
        <f t="shared" si="124"/>
        <v>0.32590999999999998</v>
      </c>
      <c r="CM27" s="511">
        <f t="shared" si="124"/>
        <v>0.32590999999999998</v>
      </c>
      <c r="CN27" s="511">
        <f t="shared" si="124"/>
        <v>0.32590999999999998</v>
      </c>
      <c r="CO27" s="511">
        <f t="shared" si="125"/>
        <v>0.32590999999999998</v>
      </c>
      <c r="CP27" s="511">
        <f t="shared" si="125"/>
        <v>0.32590999999999998</v>
      </c>
      <c r="CQ27" s="723">
        <f t="shared" si="125"/>
        <v>0.32590999999999998</v>
      </c>
      <c r="CR27" s="511">
        <f t="shared" si="126"/>
        <v>0</v>
      </c>
      <c r="CS27" s="511">
        <f t="shared" si="127"/>
        <v>0</v>
      </c>
      <c r="CT27" s="511">
        <f t="shared" si="127"/>
        <v>0</v>
      </c>
      <c r="CU27" s="511">
        <f t="shared" si="127"/>
        <v>0</v>
      </c>
      <c r="CV27" s="511">
        <f t="shared" si="128"/>
        <v>0</v>
      </c>
      <c r="CW27" s="511">
        <f t="shared" si="128"/>
        <v>0</v>
      </c>
      <c r="CX27" s="539">
        <f t="shared" si="128"/>
        <v>0</v>
      </c>
      <c r="CY27" s="774">
        <f t="shared" ref="CY27:DE34" si="138">AD27*BB27</f>
        <v>0</v>
      </c>
      <c r="CZ27" s="503">
        <f t="shared" si="138"/>
        <v>0</v>
      </c>
      <c r="DA27" s="503">
        <f t="shared" si="138"/>
        <v>0</v>
      </c>
      <c r="DB27" s="503">
        <f t="shared" si="138"/>
        <v>0</v>
      </c>
      <c r="DC27" s="503">
        <f t="shared" si="138"/>
        <v>0</v>
      </c>
      <c r="DD27" s="503">
        <f t="shared" si="138"/>
        <v>0</v>
      </c>
      <c r="DE27" s="776">
        <f t="shared" si="138"/>
        <v>0</v>
      </c>
      <c r="DF27" s="774">
        <f t="shared" ref="DF27:DL34" si="139">AD27*BI27</f>
        <v>0</v>
      </c>
      <c r="DG27" s="503">
        <f t="shared" si="139"/>
        <v>0</v>
      </c>
      <c r="DH27" s="503">
        <f t="shared" si="139"/>
        <v>0</v>
      </c>
      <c r="DI27" s="503">
        <f t="shared" si="139"/>
        <v>0</v>
      </c>
      <c r="DJ27" s="503">
        <f t="shared" si="139"/>
        <v>0</v>
      </c>
      <c r="DK27" s="503">
        <f t="shared" si="139"/>
        <v>0</v>
      </c>
      <c r="DL27" s="776">
        <f t="shared" si="139"/>
        <v>0</v>
      </c>
      <c r="DM27" s="774">
        <f t="shared" ref="DM27:DS34" si="140">AD27*BP27</f>
        <v>0</v>
      </c>
      <c r="DN27" s="503">
        <f t="shared" si="140"/>
        <v>0</v>
      </c>
      <c r="DO27" s="503">
        <f t="shared" si="140"/>
        <v>0</v>
      </c>
      <c r="DP27" s="503">
        <f t="shared" si="140"/>
        <v>0</v>
      </c>
      <c r="DQ27" s="503">
        <f t="shared" si="140"/>
        <v>0</v>
      </c>
      <c r="DR27" s="503">
        <f t="shared" si="140"/>
        <v>0</v>
      </c>
      <c r="DS27" s="776">
        <f t="shared" si="140"/>
        <v>0</v>
      </c>
      <c r="DT27" s="774">
        <f t="shared" ref="DT27:DZ34" si="141">BW27*AD27</f>
        <v>0</v>
      </c>
      <c r="DU27" s="503">
        <f t="shared" si="141"/>
        <v>0</v>
      </c>
      <c r="DV27" s="503">
        <f t="shared" si="141"/>
        <v>0</v>
      </c>
      <c r="DW27" s="503">
        <f t="shared" si="141"/>
        <v>0</v>
      </c>
      <c r="DX27" s="503">
        <f t="shared" si="141"/>
        <v>0</v>
      </c>
      <c r="DY27" s="503">
        <f t="shared" si="141"/>
        <v>0</v>
      </c>
      <c r="DZ27" s="776">
        <f t="shared" si="141"/>
        <v>0</v>
      </c>
      <c r="EA27" s="511">
        <f t="shared" ref="EA27:EG34" si="142">AD27*CD27</f>
        <v>0</v>
      </c>
      <c r="EB27" s="511">
        <f t="shared" si="142"/>
        <v>0</v>
      </c>
      <c r="EC27" s="511">
        <f t="shared" si="142"/>
        <v>0</v>
      </c>
      <c r="ED27" s="511">
        <f t="shared" si="142"/>
        <v>0</v>
      </c>
      <c r="EE27" s="511">
        <f t="shared" si="142"/>
        <v>0</v>
      </c>
      <c r="EF27" s="511">
        <f t="shared" si="142"/>
        <v>0</v>
      </c>
      <c r="EG27" s="539">
        <f t="shared" si="142"/>
        <v>0</v>
      </c>
      <c r="EH27" s="722">
        <f t="shared" ref="EH27:EN34" si="143">AD27*CK27</f>
        <v>0</v>
      </c>
      <c r="EI27" s="511">
        <f t="shared" si="143"/>
        <v>0</v>
      </c>
      <c r="EJ27" s="511">
        <f t="shared" si="143"/>
        <v>0</v>
      </c>
      <c r="EK27" s="511">
        <f t="shared" si="143"/>
        <v>0</v>
      </c>
      <c r="EL27" s="511">
        <f t="shared" si="143"/>
        <v>0</v>
      </c>
      <c r="EM27" s="511">
        <f t="shared" si="143"/>
        <v>0</v>
      </c>
      <c r="EN27" s="723">
        <f t="shared" si="143"/>
        <v>0</v>
      </c>
      <c r="EO27" s="722">
        <f t="shared" ref="EO27:EU34" si="144">AD27*CR27</f>
        <v>0</v>
      </c>
      <c r="EP27" s="511">
        <f t="shared" si="144"/>
        <v>0</v>
      </c>
      <c r="EQ27" s="511">
        <f t="shared" si="144"/>
        <v>0</v>
      </c>
      <c r="ER27" s="511">
        <f t="shared" si="144"/>
        <v>0</v>
      </c>
      <c r="ES27" s="511">
        <f t="shared" si="144"/>
        <v>0</v>
      </c>
      <c r="ET27" s="511">
        <f t="shared" si="144"/>
        <v>0</v>
      </c>
      <c r="EU27" s="723">
        <f t="shared" si="144"/>
        <v>0</v>
      </c>
      <c r="EV27" s="722">
        <f t="shared" ref="EV27:EV34" si="145">SUM(AD27:AJ27)</f>
        <v>0</v>
      </c>
      <c r="EW27" s="503">
        <f t="shared" ref="EW27:EW34" si="146">SUM(CY27:DE27)</f>
        <v>0</v>
      </c>
      <c r="EX27" s="503">
        <f t="shared" ref="EX27:EX34" si="147">SUM(DF27:DL27)</f>
        <v>0</v>
      </c>
      <c r="EY27" s="503">
        <f t="shared" ref="EY27:EY34" si="148">SUM(DM27:DS27)</f>
        <v>0</v>
      </c>
      <c r="EZ27" s="503">
        <f t="shared" ref="EZ27:EZ34" si="149">SUM(DT27:DZ27)</f>
        <v>0</v>
      </c>
      <c r="FA27" s="511">
        <f t="shared" ref="FA27:FA34" si="150">SUM(EA27:EG27)</f>
        <v>0</v>
      </c>
      <c r="FB27" s="511">
        <f t="shared" ref="FB27:FB34" si="151">SUM(EH27:EN27)</f>
        <v>0</v>
      </c>
      <c r="FC27" s="511">
        <f t="shared" ref="FC27:FC34" si="152">SUM(EO27:EU27)</f>
        <v>0</v>
      </c>
    </row>
    <row r="28" spans="1:159" s="10" customFormat="1" ht="12.75" customHeight="1">
      <c r="A28" s="661" t="s">
        <v>179</v>
      </c>
      <c r="B28" s="703" t="s">
        <v>1499</v>
      </c>
      <c r="C28" s="703" t="s">
        <v>1318</v>
      </c>
      <c r="D28" s="703" t="s">
        <v>1327</v>
      </c>
      <c r="E28" s="703" t="s">
        <v>331</v>
      </c>
      <c r="F28" s="704" t="s">
        <v>402</v>
      </c>
      <c r="G28" s="1094">
        <v>30.205000000000002</v>
      </c>
      <c r="H28" s="1091">
        <v>0</v>
      </c>
      <c r="I28" s="1092">
        <v>30.205000000000002</v>
      </c>
      <c r="J28" s="1091">
        <v>0</v>
      </c>
      <c r="K28" s="1092">
        <v>15.102500000000001</v>
      </c>
      <c r="L28" s="1093" t="s">
        <v>1328</v>
      </c>
      <c r="M28" s="1091">
        <v>3</v>
      </c>
      <c r="N28" s="1094">
        <v>3</v>
      </c>
      <c r="O28" s="1091">
        <v>0</v>
      </c>
      <c r="P28" s="1094">
        <v>0</v>
      </c>
      <c r="Q28" s="710">
        <f t="shared" si="111"/>
        <v>39.487499999999997</v>
      </c>
      <c r="R28" s="710">
        <f t="shared" si="111"/>
        <v>6.0937500000000002E-3</v>
      </c>
      <c r="S28" s="710">
        <f t="shared" si="111"/>
        <v>-0.28825874999999995</v>
      </c>
      <c r="T28" s="710" t="str">
        <f t="shared" si="111"/>
        <v>Per unit savings estimate from Mid-Atlantic TRM v9 "LED LED High-Bay Luminaires and Retrofit Kits" - use-specific input assumptions are average of all building types from Table D-3</v>
      </c>
      <c r="U28" s="712">
        <v>0.2</v>
      </c>
      <c r="V28" s="996">
        <v>1</v>
      </c>
      <c r="W28" s="661"/>
      <c r="X28" s="661"/>
      <c r="Y28" s="661"/>
      <c r="Z28" s="661"/>
      <c r="AA28" s="714"/>
      <c r="AB28" s="714"/>
      <c r="AC28" s="714"/>
      <c r="AD28" s="1034">
        <f t="shared" si="112"/>
        <v>0</v>
      </c>
      <c r="AE28" s="1034">
        <f t="shared" si="112"/>
        <v>0</v>
      </c>
      <c r="AF28" s="1034">
        <f t="shared" si="112"/>
        <v>2914.08</v>
      </c>
      <c r="AG28" s="1034">
        <f t="shared" si="112"/>
        <v>4371.12</v>
      </c>
      <c r="AH28" s="1034">
        <f t="shared" si="112"/>
        <v>4371.12</v>
      </c>
      <c r="AI28" s="1034">
        <f t="shared" si="112"/>
        <v>3496.8960000000002</v>
      </c>
      <c r="AJ28" s="1034">
        <f t="shared" si="112"/>
        <v>2797.5168000000003</v>
      </c>
      <c r="AK28" s="711" t="s">
        <v>384</v>
      </c>
      <c r="AL28" s="711" t="s">
        <v>742</v>
      </c>
      <c r="AM28" s="711" t="s">
        <v>1186</v>
      </c>
      <c r="AN28" s="711" t="s">
        <v>1152</v>
      </c>
      <c r="AO28" s="711" t="s">
        <v>1</v>
      </c>
      <c r="AP28" s="711"/>
      <c r="AQ28" s="711"/>
      <c r="AR28" s="711"/>
      <c r="AS28" s="715" t="s">
        <v>1153</v>
      </c>
      <c r="AT28" s="711" t="s">
        <v>1147</v>
      </c>
      <c r="AU28" s="715" t="s">
        <v>746</v>
      </c>
      <c r="AV28" s="661">
        <v>20</v>
      </c>
      <c r="AW28" s="661">
        <v>15</v>
      </c>
      <c r="AX28" s="711" t="s">
        <v>1483</v>
      </c>
      <c r="AY28" s="716">
        <v>1</v>
      </c>
      <c r="AZ28" s="716">
        <v>1</v>
      </c>
      <c r="BA28" s="717">
        <v>0</v>
      </c>
      <c r="BB28" s="774">
        <f t="shared" si="136"/>
        <v>30.205000000000002</v>
      </c>
      <c r="BC28" s="503">
        <f t="shared" si="113"/>
        <v>30.205000000000002</v>
      </c>
      <c r="BD28" s="503">
        <f t="shared" si="113"/>
        <v>30.205000000000002</v>
      </c>
      <c r="BE28" s="503">
        <f t="shared" si="114"/>
        <v>30.205000000000002</v>
      </c>
      <c r="BF28" s="503">
        <f t="shared" si="114"/>
        <v>30.205000000000002</v>
      </c>
      <c r="BG28" s="503">
        <f t="shared" si="114"/>
        <v>30.205000000000002</v>
      </c>
      <c r="BH28" s="776">
        <f t="shared" si="114"/>
        <v>30.205000000000002</v>
      </c>
      <c r="BI28" s="503">
        <f t="shared" si="137"/>
        <v>0</v>
      </c>
      <c r="BJ28" s="503">
        <f t="shared" si="115"/>
        <v>0</v>
      </c>
      <c r="BK28" s="503">
        <f t="shared" si="115"/>
        <v>0</v>
      </c>
      <c r="BL28" s="503">
        <f t="shared" si="115"/>
        <v>0</v>
      </c>
      <c r="BM28" s="503">
        <f t="shared" si="116"/>
        <v>0</v>
      </c>
      <c r="BN28" s="503">
        <f t="shared" si="116"/>
        <v>0</v>
      </c>
      <c r="BO28" s="645">
        <f t="shared" si="116"/>
        <v>0</v>
      </c>
      <c r="BP28" s="774">
        <f t="shared" si="117"/>
        <v>3</v>
      </c>
      <c r="BQ28" s="503">
        <f t="shared" si="118"/>
        <v>3</v>
      </c>
      <c r="BR28" s="503">
        <f t="shared" si="118"/>
        <v>3</v>
      </c>
      <c r="BS28" s="503">
        <f t="shared" si="118"/>
        <v>3</v>
      </c>
      <c r="BT28" s="503">
        <f t="shared" si="119"/>
        <v>3</v>
      </c>
      <c r="BU28" s="503">
        <f t="shared" si="119"/>
        <v>3</v>
      </c>
      <c r="BV28" s="776">
        <f t="shared" si="119"/>
        <v>3</v>
      </c>
      <c r="BW28" s="313"/>
      <c r="BX28" s="313"/>
      <c r="BY28" s="313"/>
      <c r="BZ28" s="313"/>
      <c r="CA28" s="313"/>
      <c r="CB28" s="313"/>
      <c r="CC28" s="314"/>
      <c r="CD28" s="722">
        <f t="shared" si="120"/>
        <v>39.487499999999997</v>
      </c>
      <c r="CE28" s="511">
        <f t="shared" si="121"/>
        <v>39.487499999999997</v>
      </c>
      <c r="CF28" s="511">
        <f t="shared" si="121"/>
        <v>39.487499999999997</v>
      </c>
      <c r="CG28" s="511">
        <f t="shared" si="121"/>
        <v>39.487499999999997</v>
      </c>
      <c r="CH28" s="511">
        <f t="shared" si="122"/>
        <v>39.487499999999997</v>
      </c>
      <c r="CI28" s="511">
        <f t="shared" si="122"/>
        <v>39.487499999999997</v>
      </c>
      <c r="CJ28" s="723">
        <f t="shared" si="122"/>
        <v>39.487499999999997</v>
      </c>
      <c r="CK28" s="722">
        <f t="shared" si="123"/>
        <v>6.0937500000000002E-3</v>
      </c>
      <c r="CL28" s="511">
        <f t="shared" si="124"/>
        <v>6.0937500000000002E-3</v>
      </c>
      <c r="CM28" s="511">
        <f t="shared" si="124"/>
        <v>6.0937500000000002E-3</v>
      </c>
      <c r="CN28" s="511">
        <f t="shared" si="124"/>
        <v>6.0937500000000002E-3</v>
      </c>
      <c r="CO28" s="511">
        <f t="shared" si="125"/>
        <v>6.0937500000000002E-3</v>
      </c>
      <c r="CP28" s="511">
        <f t="shared" si="125"/>
        <v>6.0937500000000002E-3</v>
      </c>
      <c r="CQ28" s="723">
        <f t="shared" si="125"/>
        <v>6.0937500000000002E-3</v>
      </c>
      <c r="CR28" s="511">
        <f t="shared" si="126"/>
        <v>0</v>
      </c>
      <c r="CS28" s="511">
        <f t="shared" si="127"/>
        <v>0</v>
      </c>
      <c r="CT28" s="511">
        <f t="shared" si="127"/>
        <v>0</v>
      </c>
      <c r="CU28" s="511">
        <f t="shared" si="127"/>
        <v>0</v>
      </c>
      <c r="CV28" s="511">
        <f t="shared" si="128"/>
        <v>0</v>
      </c>
      <c r="CW28" s="511">
        <f t="shared" si="128"/>
        <v>0</v>
      </c>
      <c r="CX28" s="539">
        <f t="shared" si="128"/>
        <v>0</v>
      </c>
      <c r="CY28" s="774">
        <f t="shared" si="138"/>
        <v>0</v>
      </c>
      <c r="CZ28" s="503">
        <f t="shared" si="138"/>
        <v>0</v>
      </c>
      <c r="DA28" s="503">
        <f t="shared" si="138"/>
        <v>88019.786399999997</v>
      </c>
      <c r="DB28" s="503">
        <f t="shared" si="138"/>
        <v>132029.6796</v>
      </c>
      <c r="DC28" s="503">
        <f t="shared" si="138"/>
        <v>132029.6796</v>
      </c>
      <c r="DD28" s="503">
        <f t="shared" si="138"/>
        <v>105623.74368000001</v>
      </c>
      <c r="DE28" s="776">
        <f t="shared" si="138"/>
        <v>84498.99494400002</v>
      </c>
      <c r="DF28" s="774">
        <f t="shared" si="139"/>
        <v>0</v>
      </c>
      <c r="DG28" s="503">
        <f t="shared" si="139"/>
        <v>0</v>
      </c>
      <c r="DH28" s="503">
        <f t="shared" si="139"/>
        <v>0</v>
      </c>
      <c r="DI28" s="503">
        <f t="shared" si="139"/>
        <v>0</v>
      </c>
      <c r="DJ28" s="503">
        <f t="shared" si="139"/>
        <v>0</v>
      </c>
      <c r="DK28" s="503">
        <f t="shared" si="139"/>
        <v>0</v>
      </c>
      <c r="DL28" s="776">
        <f t="shared" si="139"/>
        <v>0</v>
      </c>
      <c r="DM28" s="774">
        <f t="shared" si="140"/>
        <v>0</v>
      </c>
      <c r="DN28" s="503">
        <f t="shared" si="140"/>
        <v>0</v>
      </c>
      <c r="DO28" s="503">
        <f t="shared" si="140"/>
        <v>8742.24</v>
      </c>
      <c r="DP28" s="503">
        <f t="shared" si="140"/>
        <v>13113.36</v>
      </c>
      <c r="DQ28" s="503">
        <f t="shared" si="140"/>
        <v>13113.36</v>
      </c>
      <c r="DR28" s="503">
        <f t="shared" si="140"/>
        <v>10490.688</v>
      </c>
      <c r="DS28" s="776">
        <f t="shared" si="140"/>
        <v>8392.5504000000001</v>
      </c>
      <c r="DT28" s="774">
        <f t="shared" si="141"/>
        <v>0</v>
      </c>
      <c r="DU28" s="503">
        <f t="shared" si="141"/>
        <v>0</v>
      </c>
      <c r="DV28" s="503">
        <f t="shared" si="141"/>
        <v>0</v>
      </c>
      <c r="DW28" s="503">
        <f t="shared" si="141"/>
        <v>0</v>
      </c>
      <c r="DX28" s="503">
        <f t="shared" si="141"/>
        <v>0</v>
      </c>
      <c r="DY28" s="503">
        <f t="shared" si="141"/>
        <v>0</v>
      </c>
      <c r="DZ28" s="776">
        <f t="shared" si="141"/>
        <v>0</v>
      </c>
      <c r="EA28" s="511">
        <f t="shared" si="142"/>
        <v>0</v>
      </c>
      <c r="EB28" s="511">
        <f t="shared" si="142"/>
        <v>0</v>
      </c>
      <c r="EC28" s="511">
        <f t="shared" si="142"/>
        <v>115069.73399999998</v>
      </c>
      <c r="ED28" s="511">
        <f t="shared" si="142"/>
        <v>172604.601</v>
      </c>
      <c r="EE28" s="511">
        <f t="shared" si="142"/>
        <v>172604.601</v>
      </c>
      <c r="EF28" s="511">
        <f t="shared" si="142"/>
        <v>138083.6808</v>
      </c>
      <c r="EG28" s="539">
        <f t="shared" si="142"/>
        <v>110466.94464</v>
      </c>
      <c r="EH28" s="722">
        <f t="shared" si="143"/>
        <v>0</v>
      </c>
      <c r="EI28" s="511">
        <f t="shared" si="143"/>
        <v>0</v>
      </c>
      <c r="EJ28" s="511">
        <f t="shared" si="143"/>
        <v>17.757674999999999</v>
      </c>
      <c r="EK28" s="511">
        <f t="shared" si="143"/>
        <v>26.636512499999998</v>
      </c>
      <c r="EL28" s="511">
        <f t="shared" si="143"/>
        <v>26.636512499999998</v>
      </c>
      <c r="EM28" s="511">
        <f t="shared" si="143"/>
        <v>21.30921</v>
      </c>
      <c r="EN28" s="723">
        <f t="shared" si="143"/>
        <v>17.047368000000002</v>
      </c>
      <c r="EO28" s="722">
        <f t="shared" si="144"/>
        <v>0</v>
      </c>
      <c r="EP28" s="511">
        <f t="shared" si="144"/>
        <v>0</v>
      </c>
      <c r="EQ28" s="511">
        <f t="shared" si="144"/>
        <v>0</v>
      </c>
      <c r="ER28" s="511">
        <f t="shared" si="144"/>
        <v>0</v>
      </c>
      <c r="ES28" s="511">
        <f t="shared" si="144"/>
        <v>0</v>
      </c>
      <c r="ET28" s="511">
        <f t="shared" si="144"/>
        <v>0</v>
      </c>
      <c r="EU28" s="723">
        <f t="shared" si="144"/>
        <v>0</v>
      </c>
      <c r="EV28" s="722">
        <f t="shared" si="145"/>
        <v>17950.732800000002</v>
      </c>
      <c r="EW28" s="503">
        <f t="shared" si="146"/>
        <v>542201.88422400004</v>
      </c>
      <c r="EX28" s="503">
        <f t="shared" si="147"/>
        <v>0</v>
      </c>
      <c r="EY28" s="503">
        <f t="shared" si="148"/>
        <v>53852.198400000001</v>
      </c>
      <c r="EZ28" s="503">
        <f t="shared" si="149"/>
        <v>0</v>
      </c>
      <c r="FA28" s="511">
        <f t="shared" si="150"/>
        <v>708829.56143999996</v>
      </c>
      <c r="FB28" s="511">
        <f t="shared" si="151"/>
        <v>109.38727800000001</v>
      </c>
      <c r="FC28" s="511">
        <f t="shared" si="152"/>
        <v>0</v>
      </c>
    </row>
    <row r="29" spans="1:159" s="10" customFormat="1" ht="12.75" customHeight="1">
      <c r="A29" s="661" t="s">
        <v>180</v>
      </c>
      <c r="B29" s="703" t="s">
        <v>1500</v>
      </c>
      <c r="C29" s="703" t="s">
        <v>1318</v>
      </c>
      <c r="D29" s="703" t="s">
        <v>1331</v>
      </c>
      <c r="E29" s="703" t="s">
        <v>331</v>
      </c>
      <c r="F29" s="704" t="s">
        <v>402</v>
      </c>
      <c r="G29" s="1094">
        <v>36</v>
      </c>
      <c r="H29" s="1091">
        <v>0</v>
      </c>
      <c r="I29" s="1092">
        <v>36</v>
      </c>
      <c r="J29" s="1091">
        <v>0</v>
      </c>
      <c r="K29" s="1092">
        <v>18</v>
      </c>
      <c r="L29" s="1093" t="s">
        <v>1332</v>
      </c>
      <c r="M29" s="1091">
        <v>5</v>
      </c>
      <c r="N29" s="1094">
        <v>5</v>
      </c>
      <c r="O29" s="1091">
        <v>0</v>
      </c>
      <c r="P29" s="1094">
        <v>0</v>
      </c>
      <c r="Q29" s="710">
        <f t="shared" si="111"/>
        <v>167.1274142799152</v>
      </c>
      <c r="R29" s="710">
        <f t="shared" si="111"/>
        <v>3.8547530882739774E-2</v>
      </c>
      <c r="S29" s="710">
        <f t="shared" si="111"/>
        <v>0</v>
      </c>
      <c r="T29" s="710" t="str">
        <f t="shared" si="111"/>
        <v>LG&amp;E/KU Commercial Rebates Report - Appendix A</v>
      </c>
      <c r="U29" s="712">
        <v>0.2</v>
      </c>
      <c r="V29" s="996">
        <v>1</v>
      </c>
      <c r="W29" s="661"/>
      <c r="X29" s="661"/>
      <c r="Y29" s="661"/>
      <c r="Z29" s="661"/>
      <c r="AA29" s="714"/>
      <c r="AB29" s="714"/>
      <c r="AC29" s="714"/>
      <c r="AD29" s="1034">
        <f t="shared" si="112"/>
        <v>0</v>
      </c>
      <c r="AE29" s="1034">
        <f t="shared" si="112"/>
        <v>0</v>
      </c>
      <c r="AF29" s="1034">
        <f t="shared" si="112"/>
        <v>7070.88</v>
      </c>
      <c r="AG29" s="1034">
        <f t="shared" si="112"/>
        <v>10606.32</v>
      </c>
      <c r="AH29" s="1034">
        <f t="shared" si="112"/>
        <v>10606.32</v>
      </c>
      <c r="AI29" s="1034">
        <f t="shared" si="112"/>
        <v>8485.0560000000005</v>
      </c>
      <c r="AJ29" s="1034">
        <f t="shared" si="112"/>
        <v>6788.0448000000006</v>
      </c>
      <c r="AK29" s="711" t="s">
        <v>384</v>
      </c>
      <c r="AL29" s="711" t="s">
        <v>742</v>
      </c>
      <c r="AM29" s="711" t="s">
        <v>1186</v>
      </c>
      <c r="AN29" s="711" t="s">
        <v>1152</v>
      </c>
      <c r="AO29" s="711" t="s">
        <v>1</v>
      </c>
      <c r="AP29" s="711"/>
      <c r="AQ29" s="711"/>
      <c r="AR29" s="711"/>
      <c r="AS29" s="715" t="s">
        <v>1153</v>
      </c>
      <c r="AT29" s="711" t="s">
        <v>1147</v>
      </c>
      <c r="AU29" s="715" t="s">
        <v>746</v>
      </c>
      <c r="AV29" s="661">
        <v>12</v>
      </c>
      <c r="AW29" s="661">
        <v>3</v>
      </c>
      <c r="AX29" s="711" t="s">
        <v>1485</v>
      </c>
      <c r="AY29" s="716">
        <v>1</v>
      </c>
      <c r="AZ29" s="716">
        <v>1</v>
      </c>
      <c r="BA29" s="717">
        <v>0</v>
      </c>
      <c r="BB29" s="774">
        <f t="shared" si="136"/>
        <v>36</v>
      </c>
      <c r="BC29" s="503">
        <f t="shared" si="113"/>
        <v>36</v>
      </c>
      <c r="BD29" s="503">
        <f t="shared" si="113"/>
        <v>36</v>
      </c>
      <c r="BE29" s="503">
        <f t="shared" si="114"/>
        <v>36</v>
      </c>
      <c r="BF29" s="503">
        <f t="shared" si="114"/>
        <v>36</v>
      </c>
      <c r="BG29" s="503">
        <f t="shared" si="114"/>
        <v>36</v>
      </c>
      <c r="BH29" s="776">
        <f t="shared" si="114"/>
        <v>36</v>
      </c>
      <c r="BI29" s="503">
        <f t="shared" si="137"/>
        <v>0</v>
      </c>
      <c r="BJ29" s="503">
        <f t="shared" si="115"/>
        <v>0</v>
      </c>
      <c r="BK29" s="503">
        <f t="shared" si="115"/>
        <v>0</v>
      </c>
      <c r="BL29" s="503">
        <f t="shared" si="115"/>
        <v>0</v>
      </c>
      <c r="BM29" s="503">
        <f t="shared" si="116"/>
        <v>0</v>
      </c>
      <c r="BN29" s="503">
        <f t="shared" si="116"/>
        <v>0</v>
      </c>
      <c r="BO29" s="645">
        <f t="shared" si="116"/>
        <v>0</v>
      </c>
      <c r="BP29" s="774">
        <f t="shared" si="117"/>
        <v>5</v>
      </c>
      <c r="BQ29" s="503">
        <f t="shared" si="118"/>
        <v>5</v>
      </c>
      <c r="BR29" s="503">
        <f t="shared" si="118"/>
        <v>5</v>
      </c>
      <c r="BS29" s="503">
        <f t="shared" si="118"/>
        <v>5</v>
      </c>
      <c r="BT29" s="503">
        <f t="shared" si="119"/>
        <v>5</v>
      </c>
      <c r="BU29" s="503">
        <f t="shared" si="119"/>
        <v>5</v>
      </c>
      <c r="BV29" s="776">
        <f t="shared" si="119"/>
        <v>5</v>
      </c>
      <c r="BW29" s="313"/>
      <c r="BX29" s="313"/>
      <c r="BY29" s="313"/>
      <c r="BZ29" s="313"/>
      <c r="CA29" s="313"/>
      <c r="CB29" s="313"/>
      <c r="CC29" s="314"/>
      <c r="CD29" s="722">
        <f t="shared" si="120"/>
        <v>167.1274142799152</v>
      </c>
      <c r="CE29" s="511">
        <f t="shared" si="121"/>
        <v>167.1274142799152</v>
      </c>
      <c r="CF29" s="511">
        <f t="shared" si="121"/>
        <v>167.1274142799152</v>
      </c>
      <c r="CG29" s="511">
        <f t="shared" si="121"/>
        <v>167.1274142799152</v>
      </c>
      <c r="CH29" s="511">
        <f t="shared" si="122"/>
        <v>167.1274142799152</v>
      </c>
      <c r="CI29" s="511">
        <f t="shared" si="122"/>
        <v>167.1274142799152</v>
      </c>
      <c r="CJ29" s="723">
        <f t="shared" si="122"/>
        <v>167.1274142799152</v>
      </c>
      <c r="CK29" s="722">
        <f t="shared" si="123"/>
        <v>3.8547530882739774E-2</v>
      </c>
      <c r="CL29" s="511">
        <f t="shared" si="124"/>
        <v>3.8547530882739774E-2</v>
      </c>
      <c r="CM29" s="511">
        <f t="shared" si="124"/>
        <v>3.8547530882739774E-2</v>
      </c>
      <c r="CN29" s="511">
        <f t="shared" si="124"/>
        <v>3.8547530882739774E-2</v>
      </c>
      <c r="CO29" s="511">
        <f t="shared" si="125"/>
        <v>3.8547530882739774E-2</v>
      </c>
      <c r="CP29" s="511">
        <f t="shared" si="125"/>
        <v>3.8547530882739774E-2</v>
      </c>
      <c r="CQ29" s="723">
        <f t="shared" si="125"/>
        <v>3.8547530882739774E-2</v>
      </c>
      <c r="CR29" s="511">
        <f t="shared" si="126"/>
        <v>0</v>
      </c>
      <c r="CS29" s="511">
        <f t="shared" si="127"/>
        <v>0</v>
      </c>
      <c r="CT29" s="511">
        <f t="shared" si="127"/>
        <v>0</v>
      </c>
      <c r="CU29" s="511">
        <f t="shared" si="127"/>
        <v>0</v>
      </c>
      <c r="CV29" s="511">
        <f t="shared" si="128"/>
        <v>0</v>
      </c>
      <c r="CW29" s="511">
        <f t="shared" si="128"/>
        <v>0</v>
      </c>
      <c r="CX29" s="539">
        <f t="shared" si="128"/>
        <v>0</v>
      </c>
      <c r="CY29" s="774">
        <f t="shared" si="138"/>
        <v>0</v>
      </c>
      <c r="CZ29" s="503">
        <f t="shared" si="138"/>
        <v>0</v>
      </c>
      <c r="DA29" s="503">
        <f t="shared" si="138"/>
        <v>254551.67999999999</v>
      </c>
      <c r="DB29" s="503">
        <f t="shared" si="138"/>
        <v>381827.52</v>
      </c>
      <c r="DC29" s="503">
        <f t="shared" si="138"/>
        <v>381827.52</v>
      </c>
      <c r="DD29" s="503">
        <f t="shared" si="138"/>
        <v>305462.016</v>
      </c>
      <c r="DE29" s="776">
        <f t="shared" si="138"/>
        <v>244369.61280000003</v>
      </c>
      <c r="DF29" s="774">
        <f t="shared" si="139"/>
        <v>0</v>
      </c>
      <c r="DG29" s="503">
        <f t="shared" si="139"/>
        <v>0</v>
      </c>
      <c r="DH29" s="503">
        <f t="shared" si="139"/>
        <v>0</v>
      </c>
      <c r="DI29" s="503">
        <f t="shared" si="139"/>
        <v>0</v>
      </c>
      <c r="DJ29" s="503">
        <f t="shared" si="139"/>
        <v>0</v>
      </c>
      <c r="DK29" s="503">
        <f t="shared" si="139"/>
        <v>0</v>
      </c>
      <c r="DL29" s="776">
        <f t="shared" si="139"/>
        <v>0</v>
      </c>
      <c r="DM29" s="774">
        <f t="shared" si="140"/>
        <v>0</v>
      </c>
      <c r="DN29" s="503">
        <f t="shared" si="140"/>
        <v>0</v>
      </c>
      <c r="DO29" s="503">
        <f t="shared" si="140"/>
        <v>35354.400000000001</v>
      </c>
      <c r="DP29" s="503">
        <f t="shared" si="140"/>
        <v>53031.6</v>
      </c>
      <c r="DQ29" s="503">
        <f t="shared" si="140"/>
        <v>53031.6</v>
      </c>
      <c r="DR29" s="503">
        <f t="shared" si="140"/>
        <v>42425.279999999999</v>
      </c>
      <c r="DS29" s="776">
        <f t="shared" si="140"/>
        <v>33940.224000000002</v>
      </c>
      <c r="DT29" s="774">
        <f t="shared" si="141"/>
        <v>0</v>
      </c>
      <c r="DU29" s="503">
        <f t="shared" si="141"/>
        <v>0</v>
      </c>
      <c r="DV29" s="503">
        <f t="shared" si="141"/>
        <v>0</v>
      </c>
      <c r="DW29" s="503">
        <f t="shared" si="141"/>
        <v>0</v>
      </c>
      <c r="DX29" s="503">
        <f t="shared" si="141"/>
        <v>0</v>
      </c>
      <c r="DY29" s="503">
        <f t="shared" si="141"/>
        <v>0</v>
      </c>
      <c r="DZ29" s="776">
        <f t="shared" si="141"/>
        <v>0</v>
      </c>
      <c r="EA29" s="511">
        <f t="shared" si="142"/>
        <v>0</v>
      </c>
      <c r="EB29" s="511">
        <f t="shared" si="142"/>
        <v>0</v>
      </c>
      <c r="EC29" s="511">
        <f t="shared" si="142"/>
        <v>1181737.8910835667</v>
      </c>
      <c r="ED29" s="511">
        <f t="shared" si="142"/>
        <v>1772606.8366253502</v>
      </c>
      <c r="EE29" s="511">
        <f t="shared" si="142"/>
        <v>1772606.8366253502</v>
      </c>
      <c r="EF29" s="511">
        <f t="shared" si="142"/>
        <v>1418085.4693002803</v>
      </c>
      <c r="EG29" s="539">
        <f t="shared" si="142"/>
        <v>1134468.3754402243</v>
      </c>
      <c r="EH29" s="722">
        <f t="shared" si="143"/>
        <v>0</v>
      </c>
      <c r="EI29" s="511">
        <f t="shared" si="143"/>
        <v>0</v>
      </c>
      <c r="EJ29" s="511">
        <f t="shared" si="143"/>
        <v>272.56496516814701</v>
      </c>
      <c r="EK29" s="511">
        <f t="shared" si="143"/>
        <v>408.84744775222049</v>
      </c>
      <c r="EL29" s="511">
        <f t="shared" si="143"/>
        <v>408.84744775222049</v>
      </c>
      <c r="EM29" s="511">
        <f t="shared" si="143"/>
        <v>327.07795820177643</v>
      </c>
      <c r="EN29" s="723">
        <f t="shared" si="143"/>
        <v>261.66236656142115</v>
      </c>
      <c r="EO29" s="722">
        <f t="shared" si="144"/>
        <v>0</v>
      </c>
      <c r="EP29" s="511">
        <f t="shared" si="144"/>
        <v>0</v>
      </c>
      <c r="EQ29" s="511">
        <f t="shared" si="144"/>
        <v>0</v>
      </c>
      <c r="ER29" s="511">
        <f t="shared" si="144"/>
        <v>0</v>
      </c>
      <c r="ES29" s="511">
        <f t="shared" si="144"/>
        <v>0</v>
      </c>
      <c r="ET29" s="511">
        <f t="shared" si="144"/>
        <v>0</v>
      </c>
      <c r="EU29" s="723">
        <f t="shared" si="144"/>
        <v>0</v>
      </c>
      <c r="EV29" s="722">
        <f t="shared" si="145"/>
        <v>43556.620800000004</v>
      </c>
      <c r="EW29" s="503">
        <f t="shared" si="146"/>
        <v>1568038.3488</v>
      </c>
      <c r="EX29" s="503">
        <f t="shared" si="147"/>
        <v>0</v>
      </c>
      <c r="EY29" s="503">
        <f t="shared" si="148"/>
        <v>217783.10399999999</v>
      </c>
      <c r="EZ29" s="503">
        <f t="shared" si="149"/>
        <v>0</v>
      </c>
      <c r="FA29" s="511">
        <f t="shared" si="150"/>
        <v>7279505.4090747721</v>
      </c>
      <c r="FB29" s="511">
        <f t="shared" si="151"/>
        <v>1679.0001854357856</v>
      </c>
      <c r="FC29" s="511">
        <f t="shared" si="152"/>
        <v>0</v>
      </c>
    </row>
    <row r="30" spans="1:159" s="10" customFormat="1" ht="12.75" customHeight="1">
      <c r="A30" s="661" t="s">
        <v>181</v>
      </c>
      <c r="B30" s="703" t="s">
        <v>1501</v>
      </c>
      <c r="C30" s="703" t="s">
        <v>1318</v>
      </c>
      <c r="D30" s="703" t="s">
        <v>1334</v>
      </c>
      <c r="E30" s="703" t="s">
        <v>331</v>
      </c>
      <c r="F30" s="704" t="s">
        <v>402</v>
      </c>
      <c r="G30" s="1094">
        <v>36.285714285714285</v>
      </c>
      <c r="H30" s="1091">
        <v>0</v>
      </c>
      <c r="I30" s="1092">
        <v>36.285714285714285</v>
      </c>
      <c r="J30" s="1091">
        <v>0</v>
      </c>
      <c r="K30" s="1092">
        <v>18.142857142857142</v>
      </c>
      <c r="L30" s="1093" t="s">
        <v>1332</v>
      </c>
      <c r="M30" s="1091">
        <v>5</v>
      </c>
      <c r="N30" s="1094">
        <v>5</v>
      </c>
      <c r="O30" s="1091">
        <v>0</v>
      </c>
      <c r="P30" s="1094">
        <v>0</v>
      </c>
      <c r="Q30" s="710">
        <f t="shared" si="111"/>
        <v>129.12008590645323</v>
      </c>
      <c r="R30" s="710">
        <f t="shared" si="111"/>
        <v>6.2447295814748824E-2</v>
      </c>
      <c r="S30" s="710">
        <f t="shared" si="111"/>
        <v>0</v>
      </c>
      <c r="T30" s="710" t="str">
        <f t="shared" si="111"/>
        <v>LG&amp;E/KU Commercial Rebates Report - Appendix A</v>
      </c>
      <c r="U30" s="712">
        <v>0.2</v>
      </c>
      <c r="V30" s="996">
        <v>1</v>
      </c>
      <c r="W30" s="661"/>
      <c r="X30" s="661"/>
      <c r="Y30" s="661"/>
      <c r="Z30" s="661"/>
      <c r="AA30" s="714"/>
      <c r="AB30" s="714"/>
      <c r="AC30" s="714"/>
      <c r="AD30" s="1034">
        <f t="shared" si="112"/>
        <v>0</v>
      </c>
      <c r="AE30" s="1034">
        <f t="shared" si="112"/>
        <v>0</v>
      </c>
      <c r="AF30" s="1034">
        <f t="shared" si="112"/>
        <v>94302.720000000001</v>
      </c>
      <c r="AG30" s="1034">
        <f t="shared" si="112"/>
        <v>141454.07999999999</v>
      </c>
      <c r="AH30" s="1034">
        <f t="shared" si="112"/>
        <v>141454.07999999999</v>
      </c>
      <c r="AI30" s="1034">
        <f t="shared" si="112"/>
        <v>113163.264</v>
      </c>
      <c r="AJ30" s="1034">
        <f t="shared" si="112"/>
        <v>90530.611199999999</v>
      </c>
      <c r="AK30" s="711" t="s">
        <v>384</v>
      </c>
      <c r="AL30" s="711" t="s">
        <v>742</v>
      </c>
      <c r="AM30" s="711" t="s">
        <v>1186</v>
      </c>
      <c r="AN30" s="711" t="s">
        <v>1152</v>
      </c>
      <c r="AO30" s="711" t="s">
        <v>1</v>
      </c>
      <c r="AP30" s="711"/>
      <c r="AQ30" s="711"/>
      <c r="AR30" s="711"/>
      <c r="AS30" s="715" t="s">
        <v>1153</v>
      </c>
      <c r="AT30" s="711" t="s">
        <v>1147</v>
      </c>
      <c r="AU30" s="715" t="s">
        <v>746</v>
      </c>
      <c r="AV30" s="661">
        <v>12</v>
      </c>
      <c r="AW30" s="661">
        <v>3</v>
      </c>
      <c r="AX30" s="711" t="s">
        <v>1485</v>
      </c>
      <c r="AY30" s="716">
        <v>1</v>
      </c>
      <c r="AZ30" s="716">
        <v>1</v>
      </c>
      <c r="BA30" s="717">
        <v>0</v>
      </c>
      <c r="BB30" s="774">
        <f t="shared" si="136"/>
        <v>36.285714285714285</v>
      </c>
      <c r="BC30" s="503">
        <f t="shared" si="113"/>
        <v>36.285714285714285</v>
      </c>
      <c r="BD30" s="503">
        <f t="shared" si="113"/>
        <v>36.285714285714285</v>
      </c>
      <c r="BE30" s="503">
        <f t="shared" si="114"/>
        <v>36.285714285714285</v>
      </c>
      <c r="BF30" s="503">
        <f t="shared" si="114"/>
        <v>36.285714285714285</v>
      </c>
      <c r="BG30" s="503">
        <f t="shared" si="114"/>
        <v>36.285714285714285</v>
      </c>
      <c r="BH30" s="776">
        <f t="shared" si="114"/>
        <v>36.285714285714285</v>
      </c>
      <c r="BI30" s="503">
        <f t="shared" si="137"/>
        <v>0</v>
      </c>
      <c r="BJ30" s="503">
        <f t="shared" si="115"/>
        <v>0</v>
      </c>
      <c r="BK30" s="503">
        <f t="shared" si="115"/>
        <v>0</v>
      </c>
      <c r="BL30" s="503">
        <f t="shared" si="115"/>
        <v>0</v>
      </c>
      <c r="BM30" s="503">
        <f t="shared" si="116"/>
        <v>0</v>
      </c>
      <c r="BN30" s="503">
        <f t="shared" si="116"/>
        <v>0</v>
      </c>
      <c r="BO30" s="645">
        <f t="shared" si="116"/>
        <v>0</v>
      </c>
      <c r="BP30" s="774">
        <f t="shared" si="117"/>
        <v>5</v>
      </c>
      <c r="BQ30" s="503">
        <f t="shared" si="118"/>
        <v>5</v>
      </c>
      <c r="BR30" s="503">
        <f t="shared" si="118"/>
        <v>5</v>
      </c>
      <c r="BS30" s="503">
        <f t="shared" si="118"/>
        <v>5</v>
      </c>
      <c r="BT30" s="503">
        <f t="shared" si="119"/>
        <v>5</v>
      </c>
      <c r="BU30" s="503">
        <f t="shared" si="119"/>
        <v>5</v>
      </c>
      <c r="BV30" s="776">
        <f t="shared" si="119"/>
        <v>5</v>
      </c>
      <c r="BW30" s="313"/>
      <c r="BX30" s="313"/>
      <c r="BY30" s="313"/>
      <c r="BZ30" s="313"/>
      <c r="CA30" s="313"/>
      <c r="CB30" s="313"/>
      <c r="CC30" s="314"/>
      <c r="CD30" s="722">
        <f t="shared" si="120"/>
        <v>129.12008590645323</v>
      </c>
      <c r="CE30" s="511">
        <f t="shared" si="121"/>
        <v>129.12008590645323</v>
      </c>
      <c r="CF30" s="511">
        <f t="shared" si="121"/>
        <v>129.12008590645323</v>
      </c>
      <c r="CG30" s="511">
        <f t="shared" si="121"/>
        <v>129.12008590645323</v>
      </c>
      <c r="CH30" s="511">
        <f t="shared" si="122"/>
        <v>129.12008590645323</v>
      </c>
      <c r="CI30" s="511">
        <f t="shared" si="122"/>
        <v>129.12008590645323</v>
      </c>
      <c r="CJ30" s="723">
        <f t="shared" si="122"/>
        <v>129.12008590645323</v>
      </c>
      <c r="CK30" s="722">
        <f t="shared" si="123"/>
        <v>6.2447295814748824E-2</v>
      </c>
      <c r="CL30" s="511">
        <f t="shared" si="124"/>
        <v>6.2447295814748824E-2</v>
      </c>
      <c r="CM30" s="511">
        <f t="shared" si="124"/>
        <v>6.2447295814748824E-2</v>
      </c>
      <c r="CN30" s="511">
        <f t="shared" si="124"/>
        <v>6.2447295814748824E-2</v>
      </c>
      <c r="CO30" s="511">
        <f t="shared" si="125"/>
        <v>6.2447295814748824E-2</v>
      </c>
      <c r="CP30" s="511">
        <f t="shared" si="125"/>
        <v>6.2447295814748824E-2</v>
      </c>
      <c r="CQ30" s="723">
        <f t="shared" si="125"/>
        <v>6.2447295814748824E-2</v>
      </c>
      <c r="CR30" s="511">
        <f t="shared" si="126"/>
        <v>0</v>
      </c>
      <c r="CS30" s="511">
        <f t="shared" si="127"/>
        <v>0</v>
      </c>
      <c r="CT30" s="511">
        <f t="shared" si="127"/>
        <v>0</v>
      </c>
      <c r="CU30" s="511">
        <f t="shared" si="127"/>
        <v>0</v>
      </c>
      <c r="CV30" s="511">
        <f t="shared" si="128"/>
        <v>0</v>
      </c>
      <c r="CW30" s="511">
        <f t="shared" si="128"/>
        <v>0</v>
      </c>
      <c r="CX30" s="539">
        <f t="shared" si="128"/>
        <v>0</v>
      </c>
      <c r="CY30" s="774">
        <f t="shared" si="138"/>
        <v>0</v>
      </c>
      <c r="CZ30" s="503">
        <f t="shared" si="138"/>
        <v>0</v>
      </c>
      <c r="DA30" s="503">
        <f t="shared" si="138"/>
        <v>3421841.5542857144</v>
      </c>
      <c r="DB30" s="503">
        <f t="shared" si="138"/>
        <v>5132762.3314285707</v>
      </c>
      <c r="DC30" s="503">
        <f t="shared" si="138"/>
        <v>5132762.3314285707</v>
      </c>
      <c r="DD30" s="503">
        <f t="shared" si="138"/>
        <v>4106209.8651428567</v>
      </c>
      <c r="DE30" s="776">
        <f t="shared" si="138"/>
        <v>3284967.8921142854</v>
      </c>
      <c r="DF30" s="774">
        <f t="shared" si="139"/>
        <v>0</v>
      </c>
      <c r="DG30" s="503">
        <f t="shared" si="139"/>
        <v>0</v>
      </c>
      <c r="DH30" s="503">
        <f t="shared" si="139"/>
        <v>0</v>
      </c>
      <c r="DI30" s="503">
        <f t="shared" si="139"/>
        <v>0</v>
      </c>
      <c r="DJ30" s="503">
        <f t="shared" si="139"/>
        <v>0</v>
      </c>
      <c r="DK30" s="503">
        <f t="shared" si="139"/>
        <v>0</v>
      </c>
      <c r="DL30" s="776">
        <f t="shared" si="139"/>
        <v>0</v>
      </c>
      <c r="DM30" s="774">
        <f t="shared" si="140"/>
        <v>0</v>
      </c>
      <c r="DN30" s="503">
        <f t="shared" si="140"/>
        <v>0</v>
      </c>
      <c r="DO30" s="503">
        <f t="shared" si="140"/>
        <v>471513.59999999998</v>
      </c>
      <c r="DP30" s="503">
        <f t="shared" si="140"/>
        <v>707270.39999999991</v>
      </c>
      <c r="DQ30" s="503">
        <f t="shared" si="140"/>
        <v>707270.39999999991</v>
      </c>
      <c r="DR30" s="503">
        <f t="shared" si="140"/>
        <v>565816.31999999995</v>
      </c>
      <c r="DS30" s="776">
        <f t="shared" si="140"/>
        <v>452653.05599999998</v>
      </c>
      <c r="DT30" s="774">
        <f t="shared" si="141"/>
        <v>0</v>
      </c>
      <c r="DU30" s="503">
        <f t="shared" si="141"/>
        <v>0</v>
      </c>
      <c r="DV30" s="503">
        <f t="shared" si="141"/>
        <v>0</v>
      </c>
      <c r="DW30" s="503">
        <f t="shared" si="141"/>
        <v>0</v>
      </c>
      <c r="DX30" s="503">
        <f t="shared" si="141"/>
        <v>0</v>
      </c>
      <c r="DY30" s="503">
        <f t="shared" si="141"/>
        <v>0</v>
      </c>
      <c r="DZ30" s="776">
        <f t="shared" si="141"/>
        <v>0</v>
      </c>
      <c r="EA30" s="511">
        <f t="shared" si="142"/>
        <v>0</v>
      </c>
      <c r="EB30" s="511">
        <f t="shared" si="142"/>
        <v>0</v>
      </c>
      <c r="EC30" s="511">
        <f t="shared" si="142"/>
        <v>12176375.307612205</v>
      </c>
      <c r="ED30" s="511">
        <f t="shared" si="142"/>
        <v>18264562.961418305</v>
      </c>
      <c r="EE30" s="511">
        <f t="shared" si="142"/>
        <v>18264562.961418305</v>
      </c>
      <c r="EF30" s="511">
        <f t="shared" si="142"/>
        <v>14611650.369134646</v>
      </c>
      <c r="EG30" s="539">
        <f t="shared" si="142"/>
        <v>11689320.295307716</v>
      </c>
      <c r="EH30" s="722">
        <f t="shared" si="143"/>
        <v>0</v>
      </c>
      <c r="EI30" s="511">
        <f t="shared" si="143"/>
        <v>0</v>
      </c>
      <c r="EJ30" s="511">
        <f t="shared" si="143"/>
        <v>5888.9498519754306</v>
      </c>
      <c r="EK30" s="511">
        <f t="shared" si="143"/>
        <v>8833.4247779631442</v>
      </c>
      <c r="EL30" s="511">
        <f t="shared" si="143"/>
        <v>8833.4247779631442</v>
      </c>
      <c r="EM30" s="511">
        <f t="shared" si="143"/>
        <v>7066.7398223705159</v>
      </c>
      <c r="EN30" s="723">
        <f t="shared" si="143"/>
        <v>5653.3918578964131</v>
      </c>
      <c r="EO30" s="722">
        <f t="shared" si="144"/>
        <v>0</v>
      </c>
      <c r="EP30" s="511">
        <f t="shared" si="144"/>
        <v>0</v>
      </c>
      <c r="EQ30" s="511">
        <f t="shared" si="144"/>
        <v>0</v>
      </c>
      <c r="ER30" s="511">
        <f t="shared" si="144"/>
        <v>0</v>
      </c>
      <c r="ES30" s="511">
        <f t="shared" si="144"/>
        <v>0</v>
      </c>
      <c r="ET30" s="511">
        <f t="shared" si="144"/>
        <v>0</v>
      </c>
      <c r="EU30" s="723">
        <f t="shared" si="144"/>
        <v>0</v>
      </c>
      <c r="EV30" s="722">
        <f t="shared" si="145"/>
        <v>580904.75520000001</v>
      </c>
      <c r="EW30" s="503">
        <f t="shared" si="146"/>
        <v>21078543.974399999</v>
      </c>
      <c r="EX30" s="503">
        <f t="shared" si="147"/>
        <v>0</v>
      </c>
      <c r="EY30" s="503">
        <f t="shared" si="148"/>
        <v>2904523.7759999996</v>
      </c>
      <c r="EZ30" s="503">
        <f t="shared" si="149"/>
        <v>0</v>
      </c>
      <c r="FA30" s="511">
        <f t="shared" si="150"/>
        <v>75006471.894891173</v>
      </c>
      <c r="FB30" s="511">
        <f t="shared" si="151"/>
        <v>36275.931088168647</v>
      </c>
      <c r="FC30" s="511">
        <f t="shared" si="152"/>
        <v>0</v>
      </c>
    </row>
    <row r="31" spans="1:159" s="10" customFormat="1" ht="12.75" customHeight="1">
      <c r="A31" s="661" t="s">
        <v>182</v>
      </c>
      <c r="B31" s="703" t="s">
        <v>1502</v>
      </c>
      <c r="C31" s="703" t="s">
        <v>1318</v>
      </c>
      <c r="D31" s="703" t="s">
        <v>1336</v>
      </c>
      <c r="E31" s="703" t="s">
        <v>331</v>
      </c>
      <c r="F31" s="704" t="s">
        <v>402</v>
      </c>
      <c r="G31" s="1094">
        <v>152</v>
      </c>
      <c r="H31" s="1091">
        <v>0</v>
      </c>
      <c r="I31" s="1092">
        <v>152</v>
      </c>
      <c r="J31" s="1091">
        <v>0</v>
      </c>
      <c r="K31" s="1092">
        <v>76</v>
      </c>
      <c r="L31" s="1093" t="s">
        <v>1332</v>
      </c>
      <c r="M31" s="1091">
        <v>6</v>
      </c>
      <c r="N31" s="1094">
        <v>6</v>
      </c>
      <c r="O31" s="1091">
        <v>0</v>
      </c>
      <c r="P31" s="1094">
        <v>0</v>
      </c>
      <c r="Q31" s="710">
        <f t="shared" si="111"/>
        <v>208.35125523884722</v>
      </c>
      <c r="R31" s="710">
        <f t="shared" si="111"/>
        <v>4.4388573704168037E-2</v>
      </c>
      <c r="S31" s="710">
        <f t="shared" si="111"/>
        <v>0</v>
      </c>
      <c r="T31" s="710" t="str">
        <f t="shared" si="111"/>
        <v>LG&amp;E/KU Commercial Rebates Report - Appendix A</v>
      </c>
      <c r="U31" s="712">
        <v>0.2</v>
      </c>
      <c r="V31" s="996">
        <v>1</v>
      </c>
      <c r="W31" s="661"/>
      <c r="X31" s="661"/>
      <c r="Y31" s="661"/>
      <c r="Z31" s="661"/>
      <c r="AA31" s="714"/>
      <c r="AB31" s="714"/>
      <c r="AC31" s="714"/>
      <c r="AD31" s="1034">
        <f t="shared" si="112"/>
        <v>0</v>
      </c>
      <c r="AE31" s="1034">
        <f t="shared" si="112"/>
        <v>0</v>
      </c>
      <c r="AF31" s="1034">
        <f t="shared" si="112"/>
        <v>11697.6</v>
      </c>
      <c r="AG31" s="1034">
        <f t="shared" si="112"/>
        <v>17546.399999999998</v>
      </c>
      <c r="AH31" s="1034">
        <f t="shared" si="112"/>
        <v>17546.399999999998</v>
      </c>
      <c r="AI31" s="1034">
        <f t="shared" si="112"/>
        <v>14037.119999999999</v>
      </c>
      <c r="AJ31" s="1034">
        <f t="shared" si="112"/>
        <v>11229.696</v>
      </c>
      <c r="AK31" s="711" t="s">
        <v>384</v>
      </c>
      <c r="AL31" s="711" t="s">
        <v>742</v>
      </c>
      <c r="AM31" s="711" t="s">
        <v>1186</v>
      </c>
      <c r="AN31" s="711" t="s">
        <v>1152</v>
      </c>
      <c r="AO31" s="711" t="s">
        <v>1</v>
      </c>
      <c r="AP31" s="711"/>
      <c r="AQ31" s="711"/>
      <c r="AR31" s="711"/>
      <c r="AS31" s="715" t="s">
        <v>1153</v>
      </c>
      <c r="AT31" s="711" t="s">
        <v>1147</v>
      </c>
      <c r="AU31" s="715" t="s">
        <v>746</v>
      </c>
      <c r="AV31" s="661">
        <v>12</v>
      </c>
      <c r="AW31" s="661">
        <v>3</v>
      </c>
      <c r="AX31" s="711" t="s">
        <v>1485</v>
      </c>
      <c r="AY31" s="716">
        <v>1</v>
      </c>
      <c r="AZ31" s="716">
        <v>1</v>
      </c>
      <c r="BA31" s="717">
        <v>0</v>
      </c>
      <c r="BB31" s="774">
        <f t="shared" si="136"/>
        <v>152</v>
      </c>
      <c r="BC31" s="503">
        <f t="shared" si="113"/>
        <v>152</v>
      </c>
      <c r="BD31" s="503">
        <f t="shared" si="113"/>
        <v>152</v>
      </c>
      <c r="BE31" s="503">
        <f t="shared" si="114"/>
        <v>152</v>
      </c>
      <c r="BF31" s="503">
        <f t="shared" si="114"/>
        <v>152</v>
      </c>
      <c r="BG31" s="503">
        <f t="shared" si="114"/>
        <v>152</v>
      </c>
      <c r="BH31" s="776">
        <f t="shared" si="114"/>
        <v>152</v>
      </c>
      <c r="BI31" s="503">
        <f t="shared" si="137"/>
        <v>0</v>
      </c>
      <c r="BJ31" s="503">
        <f t="shared" si="115"/>
        <v>0</v>
      </c>
      <c r="BK31" s="503">
        <f t="shared" si="115"/>
        <v>0</v>
      </c>
      <c r="BL31" s="503">
        <f t="shared" si="115"/>
        <v>0</v>
      </c>
      <c r="BM31" s="503">
        <f t="shared" si="116"/>
        <v>0</v>
      </c>
      <c r="BN31" s="503">
        <f t="shared" si="116"/>
        <v>0</v>
      </c>
      <c r="BO31" s="645">
        <f t="shared" si="116"/>
        <v>0</v>
      </c>
      <c r="BP31" s="774">
        <f t="shared" si="117"/>
        <v>6</v>
      </c>
      <c r="BQ31" s="503">
        <f t="shared" si="118"/>
        <v>6</v>
      </c>
      <c r="BR31" s="503">
        <f t="shared" si="118"/>
        <v>6</v>
      </c>
      <c r="BS31" s="503">
        <f t="shared" si="118"/>
        <v>6</v>
      </c>
      <c r="BT31" s="503">
        <f t="shared" si="119"/>
        <v>6</v>
      </c>
      <c r="BU31" s="503">
        <f t="shared" si="119"/>
        <v>6</v>
      </c>
      <c r="BV31" s="776">
        <f t="shared" si="119"/>
        <v>6</v>
      </c>
      <c r="BW31" s="313"/>
      <c r="BX31" s="313"/>
      <c r="BY31" s="313"/>
      <c r="BZ31" s="313"/>
      <c r="CA31" s="313"/>
      <c r="CB31" s="313"/>
      <c r="CC31" s="314"/>
      <c r="CD31" s="722">
        <f t="shared" si="120"/>
        <v>208.35125523884722</v>
      </c>
      <c r="CE31" s="511">
        <f t="shared" si="121"/>
        <v>208.35125523884722</v>
      </c>
      <c r="CF31" s="511">
        <f t="shared" si="121"/>
        <v>208.35125523884722</v>
      </c>
      <c r="CG31" s="511">
        <f t="shared" si="121"/>
        <v>208.35125523884722</v>
      </c>
      <c r="CH31" s="511">
        <f t="shared" si="122"/>
        <v>208.35125523884722</v>
      </c>
      <c r="CI31" s="511">
        <f t="shared" si="122"/>
        <v>208.35125523884722</v>
      </c>
      <c r="CJ31" s="723">
        <f t="shared" si="122"/>
        <v>208.35125523884722</v>
      </c>
      <c r="CK31" s="722">
        <f t="shared" si="123"/>
        <v>4.4388573704168037E-2</v>
      </c>
      <c r="CL31" s="511">
        <f t="shared" si="124"/>
        <v>4.4388573704168037E-2</v>
      </c>
      <c r="CM31" s="511">
        <f t="shared" si="124"/>
        <v>4.4388573704168037E-2</v>
      </c>
      <c r="CN31" s="511">
        <f t="shared" si="124"/>
        <v>4.4388573704168037E-2</v>
      </c>
      <c r="CO31" s="511">
        <f t="shared" si="125"/>
        <v>4.4388573704168037E-2</v>
      </c>
      <c r="CP31" s="511">
        <f t="shared" si="125"/>
        <v>4.4388573704168037E-2</v>
      </c>
      <c r="CQ31" s="723">
        <f t="shared" si="125"/>
        <v>4.4388573704168037E-2</v>
      </c>
      <c r="CR31" s="511">
        <f t="shared" si="126"/>
        <v>0</v>
      </c>
      <c r="CS31" s="511">
        <f t="shared" si="127"/>
        <v>0</v>
      </c>
      <c r="CT31" s="511">
        <f t="shared" si="127"/>
        <v>0</v>
      </c>
      <c r="CU31" s="511">
        <f t="shared" si="127"/>
        <v>0</v>
      </c>
      <c r="CV31" s="511">
        <f t="shared" si="128"/>
        <v>0</v>
      </c>
      <c r="CW31" s="511">
        <f t="shared" si="128"/>
        <v>0</v>
      </c>
      <c r="CX31" s="539">
        <f t="shared" si="128"/>
        <v>0</v>
      </c>
      <c r="CY31" s="774">
        <f t="shared" si="138"/>
        <v>0</v>
      </c>
      <c r="CZ31" s="503">
        <f t="shared" si="138"/>
        <v>0</v>
      </c>
      <c r="DA31" s="503">
        <f t="shared" si="138"/>
        <v>1778035.2</v>
      </c>
      <c r="DB31" s="503">
        <f t="shared" si="138"/>
        <v>2667052.7999999998</v>
      </c>
      <c r="DC31" s="503">
        <f t="shared" si="138"/>
        <v>2667052.7999999998</v>
      </c>
      <c r="DD31" s="503">
        <f t="shared" si="138"/>
        <v>2133642.2399999998</v>
      </c>
      <c r="DE31" s="776">
        <f t="shared" si="138"/>
        <v>1706913.7919999999</v>
      </c>
      <c r="DF31" s="774">
        <f t="shared" si="139"/>
        <v>0</v>
      </c>
      <c r="DG31" s="503">
        <f t="shared" si="139"/>
        <v>0</v>
      </c>
      <c r="DH31" s="503">
        <f t="shared" si="139"/>
        <v>0</v>
      </c>
      <c r="DI31" s="503">
        <f t="shared" si="139"/>
        <v>0</v>
      </c>
      <c r="DJ31" s="503">
        <f t="shared" si="139"/>
        <v>0</v>
      </c>
      <c r="DK31" s="503">
        <f t="shared" si="139"/>
        <v>0</v>
      </c>
      <c r="DL31" s="776">
        <f t="shared" si="139"/>
        <v>0</v>
      </c>
      <c r="DM31" s="774">
        <f t="shared" si="140"/>
        <v>0</v>
      </c>
      <c r="DN31" s="503">
        <f t="shared" si="140"/>
        <v>0</v>
      </c>
      <c r="DO31" s="503">
        <f t="shared" si="140"/>
        <v>70185.600000000006</v>
      </c>
      <c r="DP31" s="503">
        <f t="shared" si="140"/>
        <v>105278.39999999999</v>
      </c>
      <c r="DQ31" s="503">
        <f t="shared" si="140"/>
        <v>105278.39999999999</v>
      </c>
      <c r="DR31" s="503">
        <f t="shared" si="140"/>
        <v>84222.720000000001</v>
      </c>
      <c r="DS31" s="776">
        <f t="shared" si="140"/>
        <v>67378.176000000007</v>
      </c>
      <c r="DT31" s="774">
        <f t="shared" si="141"/>
        <v>0</v>
      </c>
      <c r="DU31" s="503">
        <f t="shared" si="141"/>
        <v>0</v>
      </c>
      <c r="DV31" s="503">
        <f t="shared" si="141"/>
        <v>0</v>
      </c>
      <c r="DW31" s="503">
        <f t="shared" si="141"/>
        <v>0</v>
      </c>
      <c r="DX31" s="503">
        <f t="shared" si="141"/>
        <v>0</v>
      </c>
      <c r="DY31" s="503">
        <f t="shared" si="141"/>
        <v>0</v>
      </c>
      <c r="DZ31" s="776">
        <f t="shared" si="141"/>
        <v>0</v>
      </c>
      <c r="EA31" s="511">
        <f t="shared" si="142"/>
        <v>0</v>
      </c>
      <c r="EB31" s="511">
        <f t="shared" si="142"/>
        <v>0</v>
      </c>
      <c r="EC31" s="511">
        <f t="shared" si="142"/>
        <v>2437209.6432819394</v>
      </c>
      <c r="ED31" s="511">
        <f t="shared" si="142"/>
        <v>3655814.4649229082</v>
      </c>
      <c r="EE31" s="511">
        <f t="shared" si="142"/>
        <v>3655814.4649229082</v>
      </c>
      <c r="EF31" s="511">
        <f t="shared" si="142"/>
        <v>2924651.571938327</v>
      </c>
      <c r="EG31" s="539">
        <f t="shared" si="142"/>
        <v>2339721.2575506615</v>
      </c>
      <c r="EH31" s="722">
        <f t="shared" si="143"/>
        <v>0</v>
      </c>
      <c r="EI31" s="511">
        <f t="shared" si="143"/>
        <v>0</v>
      </c>
      <c r="EJ31" s="511">
        <f t="shared" si="143"/>
        <v>519.23977976187609</v>
      </c>
      <c r="EK31" s="511">
        <f t="shared" si="143"/>
        <v>778.85966964281397</v>
      </c>
      <c r="EL31" s="511">
        <f t="shared" si="143"/>
        <v>778.85966964281397</v>
      </c>
      <c r="EM31" s="511">
        <f t="shared" si="143"/>
        <v>623.08773571425115</v>
      </c>
      <c r="EN31" s="723">
        <f t="shared" si="143"/>
        <v>498.47018857140097</v>
      </c>
      <c r="EO31" s="722">
        <f t="shared" si="144"/>
        <v>0</v>
      </c>
      <c r="EP31" s="511">
        <f t="shared" si="144"/>
        <v>0</v>
      </c>
      <c r="EQ31" s="511">
        <f t="shared" si="144"/>
        <v>0</v>
      </c>
      <c r="ER31" s="511">
        <f t="shared" si="144"/>
        <v>0</v>
      </c>
      <c r="ES31" s="511">
        <f t="shared" si="144"/>
        <v>0</v>
      </c>
      <c r="ET31" s="511">
        <f t="shared" si="144"/>
        <v>0</v>
      </c>
      <c r="EU31" s="723">
        <f t="shared" si="144"/>
        <v>0</v>
      </c>
      <c r="EV31" s="722">
        <f t="shared" si="145"/>
        <v>72057.215999999986</v>
      </c>
      <c r="EW31" s="503">
        <f t="shared" si="146"/>
        <v>10952696.831999999</v>
      </c>
      <c r="EX31" s="503">
        <f t="shared" si="147"/>
        <v>0</v>
      </c>
      <c r="EY31" s="503">
        <f t="shared" si="148"/>
        <v>432343.29599999997</v>
      </c>
      <c r="EZ31" s="503">
        <f t="shared" si="149"/>
        <v>0</v>
      </c>
      <c r="FA31" s="511">
        <f t="shared" si="150"/>
        <v>15013211.402616743</v>
      </c>
      <c r="FB31" s="511">
        <f t="shared" si="151"/>
        <v>3198.5170433331559</v>
      </c>
      <c r="FC31" s="511">
        <f t="shared" si="152"/>
        <v>0</v>
      </c>
    </row>
    <row r="32" spans="1:159" s="10" customFormat="1" ht="12.75" customHeight="1">
      <c r="A32" s="661" t="s">
        <v>191</v>
      </c>
      <c r="B32" s="703" t="s">
        <v>1503</v>
      </c>
      <c r="C32" s="703" t="s">
        <v>1318</v>
      </c>
      <c r="D32" s="703" t="s">
        <v>1338</v>
      </c>
      <c r="E32" s="703" t="s">
        <v>331</v>
      </c>
      <c r="F32" s="704" t="s">
        <v>402</v>
      </c>
      <c r="G32" s="1094">
        <v>18.5</v>
      </c>
      <c r="H32" s="1091">
        <v>0</v>
      </c>
      <c r="I32" s="1092">
        <v>18.5</v>
      </c>
      <c r="J32" s="1091">
        <v>0</v>
      </c>
      <c r="K32" s="1092">
        <v>9.25</v>
      </c>
      <c r="L32" s="1093" t="s">
        <v>1339</v>
      </c>
      <c r="M32" s="1091">
        <v>13</v>
      </c>
      <c r="N32" s="1094">
        <v>13</v>
      </c>
      <c r="O32" s="1091">
        <v>0</v>
      </c>
      <c r="P32" s="1094">
        <v>0</v>
      </c>
      <c r="Q32" s="710">
        <f t="shared" si="111"/>
        <v>634.50473031189699</v>
      </c>
      <c r="R32" s="710">
        <f t="shared" si="111"/>
        <v>0</v>
      </c>
      <c r="S32" s="710">
        <f t="shared" si="111"/>
        <v>0</v>
      </c>
      <c r="T32" s="710" t="str">
        <f t="shared" si="111"/>
        <v>LG&amp;E/KU Commercial Rebates Report - Appendix A</v>
      </c>
      <c r="U32" s="712">
        <v>0.2</v>
      </c>
      <c r="V32" s="996">
        <v>1</v>
      </c>
      <c r="W32" s="661"/>
      <c r="X32" s="661"/>
      <c r="Y32" s="661"/>
      <c r="Z32" s="661"/>
      <c r="AA32" s="714"/>
      <c r="AB32" s="714"/>
      <c r="AC32" s="714"/>
      <c r="AD32" s="1034">
        <f t="shared" si="112"/>
        <v>0</v>
      </c>
      <c r="AE32" s="1034">
        <f t="shared" si="112"/>
        <v>0</v>
      </c>
      <c r="AF32" s="1034">
        <f t="shared" si="112"/>
        <v>27309.120000000003</v>
      </c>
      <c r="AG32" s="1034">
        <f t="shared" si="112"/>
        <v>40963.68</v>
      </c>
      <c r="AH32" s="1034">
        <f t="shared" si="112"/>
        <v>40963.68</v>
      </c>
      <c r="AI32" s="1034">
        <f t="shared" si="112"/>
        <v>32770.944000000003</v>
      </c>
      <c r="AJ32" s="1034">
        <f t="shared" si="112"/>
        <v>26216.755200000003</v>
      </c>
      <c r="AK32" s="711" t="s">
        <v>384</v>
      </c>
      <c r="AL32" s="711" t="s">
        <v>742</v>
      </c>
      <c r="AM32" s="711" t="s">
        <v>1186</v>
      </c>
      <c r="AN32" s="711" t="s">
        <v>1152</v>
      </c>
      <c r="AO32" s="711" t="s">
        <v>1</v>
      </c>
      <c r="AP32" s="711"/>
      <c r="AQ32" s="711"/>
      <c r="AR32" s="711"/>
      <c r="AS32" s="715" t="s">
        <v>1153</v>
      </c>
      <c r="AT32" s="711" t="s">
        <v>1147</v>
      </c>
      <c r="AU32" s="715" t="s">
        <v>746</v>
      </c>
      <c r="AV32" s="661">
        <v>20</v>
      </c>
      <c r="AW32" s="661">
        <v>15</v>
      </c>
      <c r="AX32" s="711" t="s">
        <v>1486</v>
      </c>
      <c r="AY32" s="716">
        <v>1</v>
      </c>
      <c r="AZ32" s="716">
        <v>1</v>
      </c>
      <c r="BA32" s="717">
        <v>0</v>
      </c>
      <c r="BB32" s="774">
        <f t="shared" si="136"/>
        <v>18.5</v>
      </c>
      <c r="BC32" s="503">
        <f t="shared" si="113"/>
        <v>18.5</v>
      </c>
      <c r="BD32" s="503">
        <f t="shared" si="113"/>
        <v>18.5</v>
      </c>
      <c r="BE32" s="503">
        <f t="shared" si="114"/>
        <v>18.5</v>
      </c>
      <c r="BF32" s="503">
        <f t="shared" si="114"/>
        <v>18.5</v>
      </c>
      <c r="BG32" s="503">
        <f t="shared" si="114"/>
        <v>18.5</v>
      </c>
      <c r="BH32" s="776">
        <f t="shared" si="114"/>
        <v>18.5</v>
      </c>
      <c r="BI32" s="503">
        <f t="shared" si="137"/>
        <v>0</v>
      </c>
      <c r="BJ32" s="503">
        <f t="shared" si="115"/>
        <v>0</v>
      </c>
      <c r="BK32" s="503">
        <f t="shared" si="115"/>
        <v>0</v>
      </c>
      <c r="BL32" s="503">
        <f t="shared" si="115"/>
        <v>0</v>
      </c>
      <c r="BM32" s="503">
        <f t="shared" si="116"/>
        <v>0</v>
      </c>
      <c r="BN32" s="503">
        <f t="shared" si="116"/>
        <v>0</v>
      </c>
      <c r="BO32" s="645">
        <f t="shared" si="116"/>
        <v>0</v>
      </c>
      <c r="BP32" s="774">
        <f t="shared" si="117"/>
        <v>13</v>
      </c>
      <c r="BQ32" s="503">
        <f t="shared" si="118"/>
        <v>13</v>
      </c>
      <c r="BR32" s="503">
        <f t="shared" si="118"/>
        <v>13</v>
      </c>
      <c r="BS32" s="503">
        <f t="shared" si="118"/>
        <v>13</v>
      </c>
      <c r="BT32" s="503">
        <f t="shared" si="119"/>
        <v>13</v>
      </c>
      <c r="BU32" s="503">
        <f t="shared" si="119"/>
        <v>13</v>
      </c>
      <c r="BV32" s="776">
        <f t="shared" si="119"/>
        <v>13</v>
      </c>
      <c r="BW32" s="313"/>
      <c r="BX32" s="313"/>
      <c r="BY32" s="313"/>
      <c r="BZ32" s="313"/>
      <c r="CA32" s="313"/>
      <c r="CB32" s="313"/>
      <c r="CC32" s="314"/>
      <c r="CD32" s="722">
        <f t="shared" si="120"/>
        <v>634.50473031189699</v>
      </c>
      <c r="CE32" s="511">
        <f t="shared" si="121"/>
        <v>634.50473031189699</v>
      </c>
      <c r="CF32" s="511">
        <f t="shared" si="121"/>
        <v>634.50473031189699</v>
      </c>
      <c r="CG32" s="511">
        <f t="shared" si="121"/>
        <v>634.50473031189699</v>
      </c>
      <c r="CH32" s="511">
        <f t="shared" si="122"/>
        <v>634.50473031189699</v>
      </c>
      <c r="CI32" s="511">
        <f t="shared" si="122"/>
        <v>634.50473031189699</v>
      </c>
      <c r="CJ32" s="723">
        <f t="shared" si="122"/>
        <v>634.50473031189699</v>
      </c>
      <c r="CK32" s="722">
        <f t="shared" si="123"/>
        <v>0</v>
      </c>
      <c r="CL32" s="511">
        <f t="shared" si="124"/>
        <v>0</v>
      </c>
      <c r="CM32" s="511">
        <f t="shared" si="124"/>
        <v>0</v>
      </c>
      <c r="CN32" s="511">
        <f t="shared" si="124"/>
        <v>0</v>
      </c>
      <c r="CO32" s="511">
        <f t="shared" si="125"/>
        <v>0</v>
      </c>
      <c r="CP32" s="511">
        <f t="shared" si="125"/>
        <v>0</v>
      </c>
      <c r="CQ32" s="723">
        <f t="shared" si="125"/>
        <v>0</v>
      </c>
      <c r="CR32" s="511">
        <f t="shared" si="126"/>
        <v>0</v>
      </c>
      <c r="CS32" s="511">
        <f t="shared" si="127"/>
        <v>0</v>
      </c>
      <c r="CT32" s="511">
        <f t="shared" si="127"/>
        <v>0</v>
      </c>
      <c r="CU32" s="511">
        <f t="shared" si="127"/>
        <v>0</v>
      </c>
      <c r="CV32" s="511">
        <f t="shared" si="128"/>
        <v>0</v>
      </c>
      <c r="CW32" s="511">
        <f t="shared" si="128"/>
        <v>0</v>
      </c>
      <c r="CX32" s="539">
        <f t="shared" si="128"/>
        <v>0</v>
      </c>
      <c r="CY32" s="774">
        <f t="shared" si="138"/>
        <v>0</v>
      </c>
      <c r="CZ32" s="503">
        <f t="shared" si="138"/>
        <v>0</v>
      </c>
      <c r="DA32" s="503">
        <f t="shared" si="138"/>
        <v>505218.72000000003</v>
      </c>
      <c r="DB32" s="503">
        <f t="shared" si="138"/>
        <v>757828.08</v>
      </c>
      <c r="DC32" s="503">
        <f t="shared" si="138"/>
        <v>757828.08</v>
      </c>
      <c r="DD32" s="503">
        <f t="shared" si="138"/>
        <v>606262.46400000004</v>
      </c>
      <c r="DE32" s="776">
        <f t="shared" si="138"/>
        <v>485009.97120000009</v>
      </c>
      <c r="DF32" s="774">
        <f t="shared" si="139"/>
        <v>0</v>
      </c>
      <c r="DG32" s="503">
        <f t="shared" si="139"/>
        <v>0</v>
      </c>
      <c r="DH32" s="503">
        <f t="shared" si="139"/>
        <v>0</v>
      </c>
      <c r="DI32" s="503">
        <f t="shared" si="139"/>
        <v>0</v>
      </c>
      <c r="DJ32" s="503">
        <f t="shared" si="139"/>
        <v>0</v>
      </c>
      <c r="DK32" s="503">
        <f t="shared" si="139"/>
        <v>0</v>
      </c>
      <c r="DL32" s="776">
        <f t="shared" si="139"/>
        <v>0</v>
      </c>
      <c r="DM32" s="774">
        <f t="shared" si="140"/>
        <v>0</v>
      </c>
      <c r="DN32" s="503">
        <f t="shared" si="140"/>
        <v>0</v>
      </c>
      <c r="DO32" s="503">
        <f t="shared" si="140"/>
        <v>355018.56000000006</v>
      </c>
      <c r="DP32" s="503">
        <f t="shared" si="140"/>
        <v>532527.84</v>
      </c>
      <c r="DQ32" s="503">
        <f t="shared" si="140"/>
        <v>532527.84</v>
      </c>
      <c r="DR32" s="503">
        <f t="shared" si="140"/>
        <v>426022.27200000006</v>
      </c>
      <c r="DS32" s="776">
        <f t="shared" si="140"/>
        <v>340817.81760000007</v>
      </c>
      <c r="DT32" s="774">
        <f t="shared" si="141"/>
        <v>0</v>
      </c>
      <c r="DU32" s="503">
        <f t="shared" si="141"/>
        <v>0</v>
      </c>
      <c r="DV32" s="503">
        <f t="shared" si="141"/>
        <v>0</v>
      </c>
      <c r="DW32" s="503">
        <f t="shared" si="141"/>
        <v>0</v>
      </c>
      <c r="DX32" s="503">
        <f t="shared" si="141"/>
        <v>0</v>
      </c>
      <c r="DY32" s="503">
        <f t="shared" si="141"/>
        <v>0</v>
      </c>
      <c r="DZ32" s="776">
        <f t="shared" si="141"/>
        <v>0</v>
      </c>
      <c r="EA32" s="511">
        <f t="shared" si="142"/>
        <v>0</v>
      </c>
      <c r="EB32" s="511">
        <f t="shared" si="142"/>
        <v>0</v>
      </c>
      <c r="EC32" s="511">
        <f t="shared" si="142"/>
        <v>17327765.820655234</v>
      </c>
      <c r="ED32" s="511">
        <f t="shared" si="142"/>
        <v>25991648.730982848</v>
      </c>
      <c r="EE32" s="511">
        <f t="shared" si="142"/>
        <v>25991648.730982848</v>
      </c>
      <c r="EF32" s="511">
        <f t="shared" si="142"/>
        <v>20793318.984786279</v>
      </c>
      <c r="EG32" s="539">
        <f t="shared" si="142"/>
        <v>16634655.187829025</v>
      </c>
      <c r="EH32" s="722">
        <f t="shared" si="143"/>
        <v>0</v>
      </c>
      <c r="EI32" s="511">
        <f t="shared" si="143"/>
        <v>0</v>
      </c>
      <c r="EJ32" s="511">
        <f t="shared" si="143"/>
        <v>0</v>
      </c>
      <c r="EK32" s="511">
        <f t="shared" si="143"/>
        <v>0</v>
      </c>
      <c r="EL32" s="511">
        <f t="shared" si="143"/>
        <v>0</v>
      </c>
      <c r="EM32" s="511">
        <f t="shared" si="143"/>
        <v>0</v>
      </c>
      <c r="EN32" s="723">
        <f t="shared" si="143"/>
        <v>0</v>
      </c>
      <c r="EO32" s="722">
        <f t="shared" si="144"/>
        <v>0</v>
      </c>
      <c r="EP32" s="511">
        <f t="shared" si="144"/>
        <v>0</v>
      </c>
      <c r="EQ32" s="511">
        <f t="shared" si="144"/>
        <v>0</v>
      </c>
      <c r="ER32" s="511">
        <f t="shared" si="144"/>
        <v>0</v>
      </c>
      <c r="ES32" s="511">
        <f t="shared" si="144"/>
        <v>0</v>
      </c>
      <c r="ET32" s="511">
        <f t="shared" si="144"/>
        <v>0</v>
      </c>
      <c r="EU32" s="723">
        <f t="shared" si="144"/>
        <v>0</v>
      </c>
      <c r="EV32" s="722">
        <f t="shared" si="145"/>
        <v>168224.17920000001</v>
      </c>
      <c r="EW32" s="503">
        <f t="shared" si="146"/>
        <v>3112147.3152000001</v>
      </c>
      <c r="EX32" s="503">
        <f t="shared" si="147"/>
        <v>0</v>
      </c>
      <c r="EY32" s="503">
        <f t="shared" si="148"/>
        <v>2186914.3296000003</v>
      </c>
      <c r="EZ32" s="503">
        <f t="shared" si="149"/>
        <v>0</v>
      </c>
      <c r="FA32" s="511">
        <f t="shared" si="150"/>
        <v>106739037.45523623</v>
      </c>
      <c r="FB32" s="511">
        <f t="shared" si="151"/>
        <v>0</v>
      </c>
      <c r="FC32" s="511">
        <f t="shared" si="152"/>
        <v>0</v>
      </c>
    </row>
    <row r="33" spans="1:159" s="10" customFormat="1" ht="12.75" customHeight="1">
      <c r="A33" s="661" t="s">
        <v>192</v>
      </c>
      <c r="B33" s="703" t="s">
        <v>1504</v>
      </c>
      <c r="C33" s="703" t="s">
        <v>1318</v>
      </c>
      <c r="D33" s="703" t="s">
        <v>1341</v>
      </c>
      <c r="E33" s="703" t="s">
        <v>331</v>
      </c>
      <c r="F33" s="704" t="s">
        <v>402</v>
      </c>
      <c r="G33" s="1094">
        <v>631</v>
      </c>
      <c r="H33" s="1091">
        <v>0</v>
      </c>
      <c r="I33" s="1092">
        <v>631</v>
      </c>
      <c r="J33" s="1091">
        <v>-2.8653333333333331</v>
      </c>
      <c r="K33" s="1092">
        <v>315.5</v>
      </c>
      <c r="L33" s="1093" t="s">
        <v>1342</v>
      </c>
      <c r="M33" s="1091">
        <v>20</v>
      </c>
      <c r="N33" s="1094">
        <v>20</v>
      </c>
      <c r="O33" s="1091">
        <v>0</v>
      </c>
      <c r="P33" s="1094">
        <v>0</v>
      </c>
      <c r="Q33" s="710">
        <f t="shared" si="111"/>
        <v>465.77299999999997</v>
      </c>
      <c r="R33" s="710">
        <f t="shared" si="111"/>
        <v>3.85E-2</v>
      </c>
      <c r="S33" s="710">
        <f t="shared" si="111"/>
        <v>0</v>
      </c>
      <c r="T33" s="710" t="str">
        <f t="shared" si="111"/>
        <v>Per unit savings estimate from Mid-Atlantic TRM v9 "LED Parking Garage/Canopy Luminaires and Retrofit Kits"</v>
      </c>
      <c r="U33" s="712">
        <v>0.2</v>
      </c>
      <c r="V33" s="996">
        <v>1</v>
      </c>
      <c r="W33" s="661"/>
      <c r="X33" s="661"/>
      <c r="Y33" s="661"/>
      <c r="Z33" s="661"/>
      <c r="AA33" s="714"/>
      <c r="AB33" s="714"/>
      <c r="AC33" s="714"/>
      <c r="AD33" s="1034">
        <f t="shared" si="112"/>
        <v>0</v>
      </c>
      <c r="AE33" s="1034">
        <f t="shared" si="112"/>
        <v>0</v>
      </c>
      <c r="AF33" s="1034">
        <f t="shared" si="112"/>
        <v>4347.84</v>
      </c>
      <c r="AG33" s="1034">
        <f t="shared" si="112"/>
        <v>6521.76</v>
      </c>
      <c r="AH33" s="1034">
        <f t="shared" si="112"/>
        <v>6521.76</v>
      </c>
      <c r="AI33" s="1034">
        <f t="shared" si="112"/>
        <v>5217.4080000000004</v>
      </c>
      <c r="AJ33" s="1034">
        <f t="shared" si="112"/>
        <v>4173.9264000000003</v>
      </c>
      <c r="AK33" s="711" t="s">
        <v>384</v>
      </c>
      <c r="AL33" s="711" t="s">
        <v>742</v>
      </c>
      <c r="AM33" s="711" t="s">
        <v>1186</v>
      </c>
      <c r="AN33" s="711" t="s">
        <v>1152</v>
      </c>
      <c r="AO33" s="711" t="s">
        <v>1</v>
      </c>
      <c r="AP33" s="711"/>
      <c r="AQ33" s="711"/>
      <c r="AR33" s="711"/>
      <c r="AS33" s="715" t="s">
        <v>1153</v>
      </c>
      <c r="AT33" s="711" t="s">
        <v>1147</v>
      </c>
      <c r="AU33" s="715" t="s">
        <v>746</v>
      </c>
      <c r="AV33" s="661">
        <v>8</v>
      </c>
      <c r="AW33" s="661">
        <v>15</v>
      </c>
      <c r="AX33" s="711" t="s">
        <v>1487</v>
      </c>
      <c r="AY33" s="716">
        <v>1</v>
      </c>
      <c r="AZ33" s="716">
        <v>1</v>
      </c>
      <c r="BA33" s="717">
        <v>0</v>
      </c>
      <c r="BB33" s="774">
        <f t="shared" si="136"/>
        <v>631</v>
      </c>
      <c r="BC33" s="503">
        <f t="shared" si="113"/>
        <v>631</v>
      </c>
      <c r="BD33" s="503">
        <f t="shared" si="113"/>
        <v>631</v>
      </c>
      <c r="BE33" s="503">
        <f t="shared" si="114"/>
        <v>631</v>
      </c>
      <c r="BF33" s="503">
        <f t="shared" si="114"/>
        <v>631</v>
      </c>
      <c r="BG33" s="503">
        <f t="shared" si="114"/>
        <v>631</v>
      </c>
      <c r="BH33" s="776">
        <f t="shared" si="114"/>
        <v>631</v>
      </c>
      <c r="BI33" s="503">
        <f t="shared" si="137"/>
        <v>-2.8653333333333331</v>
      </c>
      <c r="BJ33" s="503">
        <f t="shared" si="115"/>
        <v>-2.8653333333333331</v>
      </c>
      <c r="BK33" s="503">
        <f t="shared" si="115"/>
        <v>-2.8653333333333331</v>
      </c>
      <c r="BL33" s="503">
        <f t="shared" si="115"/>
        <v>-2.8653333333333331</v>
      </c>
      <c r="BM33" s="503">
        <f t="shared" si="116"/>
        <v>-2.8653333333333331</v>
      </c>
      <c r="BN33" s="503">
        <f t="shared" si="116"/>
        <v>-2.8653333333333331</v>
      </c>
      <c r="BO33" s="645">
        <f t="shared" si="116"/>
        <v>-2.8653333333333331</v>
      </c>
      <c r="BP33" s="774">
        <f t="shared" si="117"/>
        <v>20</v>
      </c>
      <c r="BQ33" s="503">
        <f t="shared" si="118"/>
        <v>20</v>
      </c>
      <c r="BR33" s="503">
        <f t="shared" si="118"/>
        <v>20</v>
      </c>
      <c r="BS33" s="503">
        <f t="shared" si="118"/>
        <v>20</v>
      </c>
      <c r="BT33" s="503">
        <f t="shared" si="119"/>
        <v>20</v>
      </c>
      <c r="BU33" s="503">
        <f t="shared" si="119"/>
        <v>20</v>
      </c>
      <c r="BV33" s="776">
        <f t="shared" si="119"/>
        <v>20</v>
      </c>
      <c r="BW33" s="313"/>
      <c r="BX33" s="313"/>
      <c r="BY33" s="313"/>
      <c r="BZ33" s="313"/>
      <c r="CA33" s="313"/>
      <c r="CB33" s="313"/>
      <c r="CC33" s="314"/>
      <c r="CD33" s="722">
        <f t="shared" si="120"/>
        <v>465.77299999999997</v>
      </c>
      <c r="CE33" s="511">
        <f t="shared" si="121"/>
        <v>465.77299999999997</v>
      </c>
      <c r="CF33" s="511">
        <f t="shared" si="121"/>
        <v>465.77299999999997</v>
      </c>
      <c r="CG33" s="511">
        <f t="shared" si="121"/>
        <v>465.77299999999997</v>
      </c>
      <c r="CH33" s="511">
        <f t="shared" si="122"/>
        <v>465.77299999999997</v>
      </c>
      <c r="CI33" s="511">
        <f t="shared" si="122"/>
        <v>465.77299999999997</v>
      </c>
      <c r="CJ33" s="723">
        <f t="shared" si="122"/>
        <v>465.77299999999997</v>
      </c>
      <c r="CK33" s="722">
        <f t="shared" si="123"/>
        <v>3.85E-2</v>
      </c>
      <c r="CL33" s="511">
        <f t="shared" si="124"/>
        <v>3.85E-2</v>
      </c>
      <c r="CM33" s="511">
        <f t="shared" si="124"/>
        <v>3.85E-2</v>
      </c>
      <c r="CN33" s="511">
        <f t="shared" si="124"/>
        <v>3.85E-2</v>
      </c>
      <c r="CO33" s="511">
        <f t="shared" si="125"/>
        <v>3.85E-2</v>
      </c>
      <c r="CP33" s="511">
        <f t="shared" si="125"/>
        <v>3.85E-2</v>
      </c>
      <c r="CQ33" s="723">
        <f t="shared" si="125"/>
        <v>3.85E-2</v>
      </c>
      <c r="CR33" s="511">
        <f t="shared" si="126"/>
        <v>0</v>
      </c>
      <c r="CS33" s="511">
        <f t="shared" si="127"/>
        <v>0</v>
      </c>
      <c r="CT33" s="511">
        <f t="shared" si="127"/>
        <v>0</v>
      </c>
      <c r="CU33" s="511">
        <f t="shared" si="127"/>
        <v>0</v>
      </c>
      <c r="CV33" s="511">
        <f t="shared" si="128"/>
        <v>0</v>
      </c>
      <c r="CW33" s="511">
        <f t="shared" si="128"/>
        <v>0</v>
      </c>
      <c r="CX33" s="539">
        <f t="shared" si="128"/>
        <v>0</v>
      </c>
      <c r="CY33" s="774">
        <f t="shared" si="138"/>
        <v>0</v>
      </c>
      <c r="CZ33" s="503">
        <f t="shared" si="138"/>
        <v>0</v>
      </c>
      <c r="DA33" s="503">
        <f t="shared" si="138"/>
        <v>2743487.04</v>
      </c>
      <c r="DB33" s="503">
        <f t="shared" si="138"/>
        <v>4115230.56</v>
      </c>
      <c r="DC33" s="503">
        <f t="shared" si="138"/>
        <v>4115230.56</v>
      </c>
      <c r="DD33" s="503">
        <f t="shared" si="138"/>
        <v>3292184.4480000003</v>
      </c>
      <c r="DE33" s="776">
        <f t="shared" si="138"/>
        <v>2633747.5584</v>
      </c>
      <c r="DF33" s="774">
        <f t="shared" si="139"/>
        <v>0</v>
      </c>
      <c r="DG33" s="503">
        <f t="shared" si="139"/>
        <v>0</v>
      </c>
      <c r="DH33" s="503">
        <f t="shared" si="139"/>
        <v>-12458.01088</v>
      </c>
      <c r="DI33" s="503">
        <f t="shared" si="139"/>
        <v>-18687.016319999999</v>
      </c>
      <c r="DJ33" s="503">
        <f t="shared" si="139"/>
        <v>-18687.016319999999</v>
      </c>
      <c r="DK33" s="503">
        <f t="shared" si="139"/>
        <v>-14949.613056</v>
      </c>
      <c r="DL33" s="776">
        <f t="shared" si="139"/>
        <v>-11959.6904448</v>
      </c>
      <c r="DM33" s="774">
        <f t="shared" si="140"/>
        <v>0</v>
      </c>
      <c r="DN33" s="503">
        <f t="shared" si="140"/>
        <v>0</v>
      </c>
      <c r="DO33" s="503">
        <f t="shared" si="140"/>
        <v>86956.800000000003</v>
      </c>
      <c r="DP33" s="503">
        <f t="shared" si="140"/>
        <v>130435.20000000001</v>
      </c>
      <c r="DQ33" s="503">
        <f t="shared" si="140"/>
        <v>130435.20000000001</v>
      </c>
      <c r="DR33" s="503">
        <f t="shared" si="140"/>
        <v>104348.16</v>
      </c>
      <c r="DS33" s="776">
        <f t="shared" si="140"/>
        <v>83478.528000000006</v>
      </c>
      <c r="DT33" s="774">
        <f t="shared" si="141"/>
        <v>0</v>
      </c>
      <c r="DU33" s="503">
        <f t="shared" si="141"/>
        <v>0</v>
      </c>
      <c r="DV33" s="503">
        <f t="shared" si="141"/>
        <v>0</v>
      </c>
      <c r="DW33" s="503">
        <f t="shared" si="141"/>
        <v>0</v>
      </c>
      <c r="DX33" s="503">
        <f t="shared" si="141"/>
        <v>0</v>
      </c>
      <c r="DY33" s="503">
        <f t="shared" si="141"/>
        <v>0</v>
      </c>
      <c r="DZ33" s="776">
        <f t="shared" si="141"/>
        <v>0</v>
      </c>
      <c r="EA33" s="511">
        <f t="shared" si="142"/>
        <v>0</v>
      </c>
      <c r="EB33" s="511">
        <f t="shared" si="142"/>
        <v>0</v>
      </c>
      <c r="EC33" s="511">
        <f t="shared" si="142"/>
        <v>2025106.4803199999</v>
      </c>
      <c r="ED33" s="511">
        <f t="shared" si="142"/>
        <v>3037659.7204799997</v>
      </c>
      <c r="EE33" s="511">
        <f t="shared" si="142"/>
        <v>3037659.7204799997</v>
      </c>
      <c r="EF33" s="511">
        <f t="shared" si="142"/>
        <v>2430127.7763840002</v>
      </c>
      <c r="EG33" s="539">
        <f t="shared" si="142"/>
        <v>1944102.2211072</v>
      </c>
      <c r="EH33" s="722">
        <f t="shared" si="143"/>
        <v>0</v>
      </c>
      <c r="EI33" s="511">
        <f t="shared" si="143"/>
        <v>0</v>
      </c>
      <c r="EJ33" s="511">
        <f t="shared" si="143"/>
        <v>167.39184</v>
      </c>
      <c r="EK33" s="511">
        <f t="shared" si="143"/>
        <v>251.08776</v>
      </c>
      <c r="EL33" s="511">
        <f t="shared" si="143"/>
        <v>251.08776</v>
      </c>
      <c r="EM33" s="511">
        <f t="shared" si="143"/>
        <v>200.87020800000002</v>
      </c>
      <c r="EN33" s="723">
        <f t="shared" si="143"/>
        <v>160.69616640000001</v>
      </c>
      <c r="EO33" s="722">
        <f t="shared" si="144"/>
        <v>0</v>
      </c>
      <c r="EP33" s="511">
        <f t="shared" si="144"/>
        <v>0</v>
      </c>
      <c r="EQ33" s="511">
        <f t="shared" si="144"/>
        <v>0</v>
      </c>
      <c r="ER33" s="511">
        <f t="shared" si="144"/>
        <v>0</v>
      </c>
      <c r="ES33" s="511">
        <f t="shared" si="144"/>
        <v>0</v>
      </c>
      <c r="ET33" s="511">
        <f t="shared" si="144"/>
        <v>0</v>
      </c>
      <c r="EU33" s="723">
        <f t="shared" si="144"/>
        <v>0</v>
      </c>
      <c r="EV33" s="722">
        <f t="shared" si="145"/>
        <v>26782.6944</v>
      </c>
      <c r="EW33" s="503">
        <f t="shared" si="146"/>
        <v>16899880.1664</v>
      </c>
      <c r="EX33" s="503">
        <f t="shared" si="147"/>
        <v>-76741.347020799993</v>
      </c>
      <c r="EY33" s="503">
        <f t="shared" si="148"/>
        <v>535653.88800000004</v>
      </c>
      <c r="EZ33" s="503">
        <f t="shared" si="149"/>
        <v>0</v>
      </c>
      <c r="FA33" s="511">
        <f t="shared" si="150"/>
        <v>12474655.9187712</v>
      </c>
      <c r="FB33" s="511">
        <f t="shared" si="151"/>
        <v>1031.1337344000001</v>
      </c>
      <c r="FC33" s="511">
        <f t="shared" si="152"/>
        <v>0</v>
      </c>
    </row>
    <row r="34" spans="1:159" s="10" customFormat="1" ht="12.75" customHeight="1">
      <c r="A34" s="661" t="s">
        <v>193</v>
      </c>
      <c r="B34" s="703" t="s">
        <v>1505</v>
      </c>
      <c r="C34" s="703" t="s">
        <v>1318</v>
      </c>
      <c r="D34" s="703" t="s">
        <v>1341</v>
      </c>
      <c r="E34" s="703" t="s">
        <v>331</v>
      </c>
      <c r="F34" s="704" t="s">
        <v>402</v>
      </c>
      <c r="G34" s="1094">
        <v>1846</v>
      </c>
      <c r="H34" s="1091">
        <v>0</v>
      </c>
      <c r="I34" s="1092">
        <v>1846</v>
      </c>
      <c r="J34" s="1091">
        <v>-2.8653333333333331</v>
      </c>
      <c r="K34" s="1092">
        <v>923</v>
      </c>
      <c r="L34" s="1093" t="s">
        <v>1345</v>
      </c>
      <c r="M34" s="1091">
        <v>30</v>
      </c>
      <c r="N34" s="1094">
        <v>30</v>
      </c>
      <c r="O34" s="1091">
        <v>0</v>
      </c>
      <c r="P34" s="1094">
        <v>0</v>
      </c>
      <c r="Q34" s="710">
        <f t="shared" si="111"/>
        <v>998.08500000000004</v>
      </c>
      <c r="R34" s="710">
        <f t="shared" si="111"/>
        <v>8.2500000000000004E-2</v>
      </c>
      <c r="S34" s="710">
        <f t="shared" si="111"/>
        <v>0</v>
      </c>
      <c r="T34" s="710" t="str">
        <f t="shared" si="111"/>
        <v>Per unit savings estimate from Mid-Atlantic TRM v9 "LED Parking Garage/Canopy Luminaires and Retrofit Kits"</v>
      </c>
      <c r="U34" s="712">
        <v>0.2</v>
      </c>
      <c r="V34" s="996">
        <v>1</v>
      </c>
      <c r="W34" s="661"/>
      <c r="X34" s="661"/>
      <c r="Y34" s="661"/>
      <c r="Z34" s="661"/>
      <c r="AA34" s="714"/>
      <c r="AB34" s="714"/>
      <c r="AC34" s="714"/>
      <c r="AD34" s="1034">
        <f t="shared" si="112"/>
        <v>0</v>
      </c>
      <c r="AE34" s="1034">
        <f t="shared" si="112"/>
        <v>0</v>
      </c>
      <c r="AF34" s="1034">
        <f t="shared" si="112"/>
        <v>0.48</v>
      </c>
      <c r="AG34" s="1034">
        <f t="shared" si="112"/>
        <v>0.72</v>
      </c>
      <c r="AH34" s="1034">
        <f t="shared" si="112"/>
        <v>0.72</v>
      </c>
      <c r="AI34" s="1034">
        <f t="shared" si="112"/>
        <v>0.57599999999999996</v>
      </c>
      <c r="AJ34" s="1034">
        <f t="shared" si="112"/>
        <v>0.46079999999999999</v>
      </c>
      <c r="AK34" s="711" t="s">
        <v>384</v>
      </c>
      <c r="AL34" s="711" t="s">
        <v>742</v>
      </c>
      <c r="AM34" s="711" t="s">
        <v>1186</v>
      </c>
      <c r="AN34" s="711" t="s">
        <v>1152</v>
      </c>
      <c r="AO34" s="711" t="s">
        <v>1</v>
      </c>
      <c r="AP34" s="711"/>
      <c r="AQ34" s="711"/>
      <c r="AR34" s="711"/>
      <c r="AS34" s="715" t="s">
        <v>1153</v>
      </c>
      <c r="AT34" s="711" t="s">
        <v>1147</v>
      </c>
      <c r="AU34" s="715" t="s">
        <v>746</v>
      </c>
      <c r="AV34" s="661">
        <v>8</v>
      </c>
      <c r="AW34" s="661">
        <v>15</v>
      </c>
      <c r="AX34" s="711" t="s">
        <v>1487</v>
      </c>
      <c r="AY34" s="716">
        <v>1</v>
      </c>
      <c r="AZ34" s="716">
        <v>1</v>
      </c>
      <c r="BA34" s="717">
        <v>0</v>
      </c>
      <c r="BB34" s="774">
        <f t="shared" si="136"/>
        <v>1846</v>
      </c>
      <c r="BC34" s="503">
        <f t="shared" si="113"/>
        <v>1846</v>
      </c>
      <c r="BD34" s="503">
        <f t="shared" si="113"/>
        <v>1846</v>
      </c>
      <c r="BE34" s="503">
        <f t="shared" si="114"/>
        <v>1846</v>
      </c>
      <c r="BF34" s="503">
        <f t="shared" si="114"/>
        <v>1846</v>
      </c>
      <c r="BG34" s="503">
        <f t="shared" si="114"/>
        <v>1846</v>
      </c>
      <c r="BH34" s="776">
        <f t="shared" si="114"/>
        <v>1846</v>
      </c>
      <c r="BI34" s="503">
        <f t="shared" si="137"/>
        <v>-2.8653333333333331</v>
      </c>
      <c r="BJ34" s="503">
        <f t="shared" si="115"/>
        <v>-2.8653333333333331</v>
      </c>
      <c r="BK34" s="503">
        <f t="shared" si="115"/>
        <v>-2.8653333333333331</v>
      </c>
      <c r="BL34" s="503">
        <f t="shared" si="115"/>
        <v>-2.8653333333333331</v>
      </c>
      <c r="BM34" s="503">
        <f t="shared" si="116"/>
        <v>-2.8653333333333331</v>
      </c>
      <c r="BN34" s="503">
        <f t="shared" si="116"/>
        <v>-2.8653333333333331</v>
      </c>
      <c r="BO34" s="645">
        <f t="shared" si="116"/>
        <v>-2.8653333333333331</v>
      </c>
      <c r="BP34" s="774">
        <f t="shared" si="117"/>
        <v>30</v>
      </c>
      <c r="BQ34" s="503">
        <f t="shared" si="118"/>
        <v>30</v>
      </c>
      <c r="BR34" s="503">
        <f t="shared" si="118"/>
        <v>30</v>
      </c>
      <c r="BS34" s="503">
        <f t="shared" si="118"/>
        <v>30</v>
      </c>
      <c r="BT34" s="503">
        <f t="shared" si="119"/>
        <v>30</v>
      </c>
      <c r="BU34" s="503">
        <f t="shared" si="119"/>
        <v>30</v>
      </c>
      <c r="BV34" s="776">
        <f t="shared" si="119"/>
        <v>30</v>
      </c>
      <c r="BW34" s="313"/>
      <c r="BX34" s="313"/>
      <c r="BY34" s="313"/>
      <c r="BZ34" s="313"/>
      <c r="CA34" s="313"/>
      <c r="CB34" s="313"/>
      <c r="CC34" s="314"/>
      <c r="CD34" s="722">
        <f t="shared" si="120"/>
        <v>998.08500000000004</v>
      </c>
      <c r="CE34" s="511">
        <f t="shared" si="121"/>
        <v>998.08500000000004</v>
      </c>
      <c r="CF34" s="511">
        <f t="shared" si="121"/>
        <v>998.08500000000004</v>
      </c>
      <c r="CG34" s="511">
        <f t="shared" si="121"/>
        <v>998.08500000000004</v>
      </c>
      <c r="CH34" s="511">
        <f t="shared" si="122"/>
        <v>998.08500000000004</v>
      </c>
      <c r="CI34" s="511">
        <f t="shared" si="122"/>
        <v>998.08500000000004</v>
      </c>
      <c r="CJ34" s="723">
        <f t="shared" si="122"/>
        <v>998.08500000000004</v>
      </c>
      <c r="CK34" s="722">
        <f t="shared" si="123"/>
        <v>8.2500000000000004E-2</v>
      </c>
      <c r="CL34" s="511">
        <f t="shared" si="124"/>
        <v>8.2500000000000004E-2</v>
      </c>
      <c r="CM34" s="511">
        <f t="shared" si="124"/>
        <v>8.2500000000000004E-2</v>
      </c>
      <c r="CN34" s="511">
        <f t="shared" si="124"/>
        <v>8.2500000000000004E-2</v>
      </c>
      <c r="CO34" s="511">
        <f t="shared" si="125"/>
        <v>8.2500000000000004E-2</v>
      </c>
      <c r="CP34" s="511">
        <f t="shared" si="125"/>
        <v>8.2500000000000004E-2</v>
      </c>
      <c r="CQ34" s="723">
        <f t="shared" si="125"/>
        <v>8.2500000000000004E-2</v>
      </c>
      <c r="CR34" s="511">
        <f t="shared" si="126"/>
        <v>0</v>
      </c>
      <c r="CS34" s="511">
        <f t="shared" si="127"/>
        <v>0</v>
      </c>
      <c r="CT34" s="511">
        <f t="shared" si="127"/>
        <v>0</v>
      </c>
      <c r="CU34" s="511">
        <f t="shared" si="127"/>
        <v>0</v>
      </c>
      <c r="CV34" s="511">
        <f t="shared" si="128"/>
        <v>0</v>
      </c>
      <c r="CW34" s="511">
        <f t="shared" si="128"/>
        <v>0</v>
      </c>
      <c r="CX34" s="539">
        <f t="shared" si="128"/>
        <v>0</v>
      </c>
      <c r="CY34" s="774">
        <f t="shared" si="138"/>
        <v>0</v>
      </c>
      <c r="CZ34" s="503">
        <f t="shared" si="138"/>
        <v>0</v>
      </c>
      <c r="DA34" s="503">
        <f t="shared" si="138"/>
        <v>886.07999999999993</v>
      </c>
      <c r="DB34" s="503">
        <f t="shared" si="138"/>
        <v>1329.12</v>
      </c>
      <c r="DC34" s="503">
        <f t="shared" si="138"/>
        <v>1329.12</v>
      </c>
      <c r="DD34" s="503">
        <f t="shared" si="138"/>
        <v>1063.2959999999998</v>
      </c>
      <c r="DE34" s="776">
        <f t="shared" si="138"/>
        <v>850.63679999999999</v>
      </c>
      <c r="DF34" s="774">
        <f t="shared" si="139"/>
        <v>0</v>
      </c>
      <c r="DG34" s="503">
        <f t="shared" si="139"/>
        <v>0</v>
      </c>
      <c r="DH34" s="503">
        <f t="shared" si="139"/>
        <v>-1.3753599999999999</v>
      </c>
      <c r="DI34" s="503">
        <f t="shared" si="139"/>
        <v>-2.0630399999999995</v>
      </c>
      <c r="DJ34" s="503">
        <f t="shared" si="139"/>
        <v>-2.0630399999999995</v>
      </c>
      <c r="DK34" s="503">
        <f t="shared" si="139"/>
        <v>-1.6504319999999997</v>
      </c>
      <c r="DL34" s="776">
        <f t="shared" si="139"/>
        <v>-1.3203455999999998</v>
      </c>
      <c r="DM34" s="774">
        <f t="shared" si="140"/>
        <v>0</v>
      </c>
      <c r="DN34" s="503">
        <f t="shared" si="140"/>
        <v>0</v>
      </c>
      <c r="DO34" s="503">
        <f t="shared" si="140"/>
        <v>14.399999999999999</v>
      </c>
      <c r="DP34" s="503">
        <f t="shared" si="140"/>
        <v>21.599999999999998</v>
      </c>
      <c r="DQ34" s="503">
        <f t="shared" si="140"/>
        <v>21.599999999999998</v>
      </c>
      <c r="DR34" s="503">
        <f t="shared" si="140"/>
        <v>17.279999999999998</v>
      </c>
      <c r="DS34" s="776">
        <f t="shared" si="140"/>
        <v>13.824</v>
      </c>
      <c r="DT34" s="774">
        <f t="shared" si="141"/>
        <v>0</v>
      </c>
      <c r="DU34" s="503">
        <f t="shared" si="141"/>
        <v>0</v>
      </c>
      <c r="DV34" s="503">
        <f t="shared" si="141"/>
        <v>0</v>
      </c>
      <c r="DW34" s="503">
        <f t="shared" si="141"/>
        <v>0</v>
      </c>
      <c r="DX34" s="503">
        <f t="shared" si="141"/>
        <v>0</v>
      </c>
      <c r="DY34" s="503">
        <f t="shared" si="141"/>
        <v>0</v>
      </c>
      <c r="DZ34" s="776">
        <f t="shared" si="141"/>
        <v>0</v>
      </c>
      <c r="EA34" s="511">
        <f t="shared" si="142"/>
        <v>0</v>
      </c>
      <c r="EB34" s="511">
        <f t="shared" si="142"/>
        <v>0</v>
      </c>
      <c r="EC34" s="511">
        <f t="shared" si="142"/>
        <v>479.08080000000001</v>
      </c>
      <c r="ED34" s="511">
        <f t="shared" si="142"/>
        <v>718.62120000000004</v>
      </c>
      <c r="EE34" s="511">
        <f t="shared" si="142"/>
        <v>718.62120000000004</v>
      </c>
      <c r="EF34" s="511">
        <f t="shared" si="142"/>
        <v>574.89695999999992</v>
      </c>
      <c r="EG34" s="539">
        <f t="shared" si="142"/>
        <v>459.91756800000002</v>
      </c>
      <c r="EH34" s="722">
        <f t="shared" si="143"/>
        <v>0</v>
      </c>
      <c r="EI34" s="511">
        <f t="shared" si="143"/>
        <v>0</v>
      </c>
      <c r="EJ34" s="511">
        <f t="shared" si="143"/>
        <v>3.9600000000000003E-2</v>
      </c>
      <c r="EK34" s="511">
        <f t="shared" si="143"/>
        <v>5.9400000000000001E-2</v>
      </c>
      <c r="EL34" s="511">
        <f t="shared" si="143"/>
        <v>5.9400000000000001E-2</v>
      </c>
      <c r="EM34" s="511">
        <f t="shared" si="143"/>
        <v>4.752E-2</v>
      </c>
      <c r="EN34" s="723">
        <f t="shared" si="143"/>
        <v>3.8016000000000001E-2</v>
      </c>
      <c r="EO34" s="722">
        <f t="shared" si="144"/>
        <v>0</v>
      </c>
      <c r="EP34" s="511">
        <f t="shared" si="144"/>
        <v>0</v>
      </c>
      <c r="EQ34" s="511">
        <f t="shared" si="144"/>
        <v>0</v>
      </c>
      <c r="ER34" s="511">
        <f t="shared" si="144"/>
        <v>0</v>
      </c>
      <c r="ES34" s="511">
        <f t="shared" si="144"/>
        <v>0</v>
      </c>
      <c r="ET34" s="511">
        <f t="shared" si="144"/>
        <v>0</v>
      </c>
      <c r="EU34" s="723">
        <f t="shared" si="144"/>
        <v>0</v>
      </c>
      <c r="EV34" s="722">
        <f t="shared" si="145"/>
        <v>2.9567999999999999</v>
      </c>
      <c r="EW34" s="503">
        <f t="shared" si="146"/>
        <v>5458.2528000000002</v>
      </c>
      <c r="EX34" s="503">
        <f t="shared" si="147"/>
        <v>-8.4722175999999987</v>
      </c>
      <c r="EY34" s="503">
        <f t="shared" si="148"/>
        <v>88.703999999999994</v>
      </c>
      <c r="EZ34" s="503">
        <f t="shared" si="149"/>
        <v>0</v>
      </c>
      <c r="FA34" s="511">
        <f t="shared" si="150"/>
        <v>2951.1377279999997</v>
      </c>
      <c r="FB34" s="511">
        <f t="shared" si="151"/>
        <v>0.24393600000000001</v>
      </c>
      <c r="FC34" s="511">
        <f t="shared" si="152"/>
        <v>0</v>
      </c>
    </row>
    <row r="35" spans="1:159" s="10" customFormat="1" ht="12.75" customHeight="1" thickBot="1">
      <c r="A35" s="729"/>
      <c r="B35" s="759"/>
      <c r="C35" s="759"/>
      <c r="D35" s="759"/>
      <c r="E35" s="759"/>
      <c r="F35" s="731"/>
      <c r="G35" s="731"/>
      <c r="H35" s="731"/>
      <c r="I35" s="731"/>
      <c r="J35" s="731"/>
      <c r="K35" s="731"/>
      <c r="L35" s="733"/>
      <c r="M35" s="734"/>
      <c r="N35" s="734"/>
      <c r="O35" s="734"/>
      <c r="P35" s="734"/>
      <c r="Q35" s="736"/>
      <c r="R35" s="758"/>
      <c r="S35" s="737"/>
      <c r="T35" s="733"/>
      <c r="U35" s="738"/>
      <c r="V35" s="739"/>
      <c r="W35" s="740"/>
      <c r="X35" s="740"/>
      <c r="Y35" s="740"/>
      <c r="Z35" s="740"/>
      <c r="AA35" s="741"/>
      <c r="AB35" s="741"/>
      <c r="AC35" s="742"/>
      <c r="AD35" s="742"/>
      <c r="AE35" s="742"/>
      <c r="AF35" s="742"/>
      <c r="AG35" s="742"/>
      <c r="AH35" s="742"/>
      <c r="AI35" s="742"/>
      <c r="AJ35" s="742"/>
      <c r="AK35" s="733"/>
      <c r="AL35" s="733"/>
      <c r="AM35" s="733"/>
      <c r="AN35" s="733"/>
      <c r="AO35" s="733"/>
      <c r="AP35" s="733"/>
      <c r="AQ35" s="733"/>
      <c r="AR35" s="733"/>
      <c r="AS35" s="760"/>
      <c r="AT35" s="760"/>
      <c r="AU35" s="760"/>
      <c r="AV35" s="733"/>
      <c r="AW35" s="733"/>
      <c r="AX35" s="733"/>
      <c r="AY35" s="733"/>
      <c r="AZ35" s="733"/>
      <c r="BA35" s="744"/>
      <c r="BB35" s="761"/>
      <c r="BC35" s="762"/>
      <c r="BD35" s="762"/>
      <c r="BE35" s="762"/>
      <c r="BF35" s="762"/>
      <c r="BG35" s="762"/>
      <c r="BH35" s="763"/>
      <c r="BI35" s="762"/>
      <c r="BJ35" s="762"/>
      <c r="BK35" s="762"/>
      <c r="BL35" s="762"/>
      <c r="BM35" s="762"/>
      <c r="BN35" s="762"/>
      <c r="BO35" s="765"/>
      <c r="BP35" s="761"/>
      <c r="BQ35" s="762"/>
      <c r="BR35" s="762"/>
      <c r="BS35" s="762"/>
      <c r="BT35" s="762"/>
      <c r="BU35" s="762"/>
      <c r="BV35" s="763"/>
      <c r="BW35" s="762"/>
      <c r="BX35" s="762"/>
      <c r="BY35" s="762"/>
      <c r="BZ35" s="762"/>
      <c r="CA35" s="762"/>
      <c r="CB35" s="762"/>
      <c r="CC35" s="765"/>
      <c r="CD35" s="488"/>
      <c r="CE35" s="766"/>
      <c r="CF35" s="766"/>
      <c r="CG35" s="766"/>
      <c r="CH35" s="766"/>
      <c r="CI35" s="766"/>
      <c r="CJ35" s="489"/>
      <c r="CK35" s="488"/>
      <c r="CL35" s="766"/>
      <c r="CM35" s="766"/>
      <c r="CN35" s="766"/>
      <c r="CO35" s="766"/>
      <c r="CP35" s="766"/>
      <c r="CQ35" s="489"/>
      <c r="CR35" s="766"/>
      <c r="CS35" s="766"/>
      <c r="CT35" s="766"/>
      <c r="CU35" s="766"/>
      <c r="CV35" s="766"/>
      <c r="CW35" s="766"/>
      <c r="CX35" s="768"/>
      <c r="CY35" s="493"/>
      <c r="CZ35" s="769"/>
      <c r="DA35" s="769"/>
      <c r="DB35" s="769"/>
      <c r="DC35" s="769"/>
      <c r="DD35" s="769"/>
      <c r="DE35" s="494"/>
      <c r="DF35" s="493"/>
      <c r="DG35" s="769"/>
      <c r="DH35" s="769"/>
      <c r="DI35" s="769"/>
      <c r="DJ35" s="769"/>
      <c r="DK35" s="769"/>
      <c r="DL35" s="494"/>
      <c r="DM35" s="493"/>
      <c r="DN35" s="769"/>
      <c r="DO35" s="769"/>
      <c r="DP35" s="769"/>
      <c r="DQ35" s="769"/>
      <c r="DR35" s="769"/>
      <c r="DS35" s="494"/>
      <c r="DT35" s="493"/>
      <c r="DU35" s="769"/>
      <c r="DV35" s="769"/>
      <c r="DW35" s="769"/>
      <c r="DX35" s="769"/>
      <c r="DY35" s="769"/>
      <c r="DZ35" s="494"/>
      <c r="EA35" s="766"/>
      <c r="EB35" s="766"/>
      <c r="EC35" s="766"/>
      <c r="ED35" s="766"/>
      <c r="EE35" s="766"/>
      <c r="EF35" s="766"/>
      <c r="EG35" s="768"/>
      <c r="EH35" s="488"/>
      <c r="EI35" s="766"/>
      <c r="EJ35" s="766"/>
      <c r="EK35" s="766"/>
      <c r="EL35" s="766"/>
      <c r="EM35" s="766"/>
      <c r="EN35" s="489"/>
      <c r="EO35" s="488"/>
      <c r="EP35" s="766"/>
      <c r="EQ35" s="766"/>
      <c r="ER35" s="766"/>
      <c r="ES35" s="766"/>
      <c r="ET35" s="766"/>
      <c r="EU35" s="489"/>
      <c r="EV35" s="515"/>
      <c r="EW35" s="755"/>
      <c r="EX35" s="755"/>
      <c r="EY35" s="755"/>
      <c r="EZ35" s="755"/>
      <c r="FA35" s="756"/>
      <c r="FB35" s="756"/>
      <c r="FC35" s="487"/>
    </row>
    <row r="36" spans="1:159">
      <c r="Z36" s="2"/>
      <c r="AA36" s="2"/>
      <c r="AK36" s="3"/>
    </row>
    <row r="37" spans="1:159" ht="14.5">
      <c r="A37"/>
      <c r="V37" s="315"/>
      <c r="AD37" s="495" t="s">
        <v>1506</v>
      </c>
      <c r="AE37" s="495" t="s">
        <v>1507</v>
      </c>
      <c r="AF37" s="496" t="s">
        <v>1508</v>
      </c>
      <c r="AG37" s="495" t="s">
        <v>1509</v>
      </c>
      <c r="AK37" s="3"/>
    </row>
    <row r="38" spans="1:159">
      <c r="AK38" s="3"/>
    </row>
    <row r="39" spans="1:159" ht="14.5">
      <c r="A39"/>
      <c r="B39" t="s">
        <v>1510</v>
      </c>
      <c r="C39"/>
      <c r="D39"/>
      <c r="AK39" s="3"/>
    </row>
    <row r="40" spans="1:159" ht="14.5">
      <c r="A40"/>
      <c r="B40"/>
      <c r="C40"/>
      <c r="D40"/>
    </row>
    <row r="41" spans="1:159" ht="14.5">
      <c r="A41" s="123"/>
      <c r="B41" s="123"/>
      <c r="C41"/>
      <c r="D41"/>
    </row>
    <row r="42" spans="1:159" ht="14.5">
      <c r="A42" s="123"/>
      <c r="B42" s="123"/>
      <c r="C42"/>
      <c r="D42"/>
    </row>
    <row r="43" spans="1:159" ht="14.5">
      <c r="A43"/>
      <c r="B43"/>
      <c r="C43"/>
      <c r="D43"/>
    </row>
    <row r="44" spans="1:159" ht="14.5">
      <c r="A44"/>
      <c r="B44"/>
      <c r="C44"/>
      <c r="D44"/>
    </row>
    <row r="45" spans="1:159" ht="14.5">
      <c r="A45"/>
      <c r="B45"/>
      <c r="C45"/>
      <c r="D45"/>
    </row>
    <row r="46" spans="1:159" ht="14.5">
      <c r="A46"/>
      <c r="B46"/>
      <c r="C46"/>
      <c r="D46"/>
    </row>
    <row r="47" spans="1:159" ht="14.5">
      <c r="A47"/>
      <c r="B47"/>
      <c r="C47"/>
      <c r="D47"/>
    </row>
    <row r="48" spans="1:159" ht="14.5">
      <c r="A48"/>
      <c r="B48"/>
      <c r="C48"/>
      <c r="D48"/>
    </row>
    <row r="49" spans="1:4" ht="14.5">
      <c r="A49"/>
      <c r="B49"/>
      <c r="C49"/>
      <c r="D49"/>
    </row>
    <row r="50" spans="1:4" ht="14.5">
      <c r="A50"/>
      <c r="B50"/>
      <c r="C50"/>
      <c r="D50"/>
    </row>
    <row r="51" spans="1:4" ht="14.5">
      <c r="A51"/>
      <c r="B51"/>
      <c r="C51"/>
      <c r="D51"/>
    </row>
    <row r="52" spans="1:4" ht="14.5">
      <c r="A52"/>
      <c r="B52"/>
      <c r="C52"/>
      <c r="D52"/>
    </row>
    <row r="53" spans="1:4" ht="14.5">
      <c r="A53"/>
      <c r="B53"/>
      <c r="C53"/>
      <c r="D53"/>
    </row>
  </sheetData>
  <autoFilter ref="A5:ER5" xr:uid="{00000000-0009-0000-0000-000008000000}"/>
  <mergeCells count="14">
    <mergeCell ref="EV4:FC4"/>
    <mergeCell ref="EH2:EN2"/>
    <mergeCell ref="EO2:EU2"/>
    <mergeCell ref="F4:P4"/>
    <mergeCell ref="Q4:T4"/>
    <mergeCell ref="U4:AG4"/>
    <mergeCell ref="AK4:AX4"/>
    <mergeCell ref="AZ4:BA4"/>
    <mergeCell ref="BB2:CC2"/>
    <mergeCell ref="CD2:CJ2"/>
    <mergeCell ref="CK2:CQ2"/>
    <mergeCell ref="CR2:CX2"/>
    <mergeCell ref="CY2:DZ2"/>
    <mergeCell ref="EA2:EG2"/>
  </mergeCells>
  <dataValidations count="1">
    <dataValidation type="list" allowBlank="1" showInputMessage="1" showErrorMessage="1" sqref="AS6:AS14 AS16:AS24 AS26:AS34 AU6:AU14 AU26:AU34 AU16:AU24" xr:uid="{9E49A6FF-FA41-4DE3-AFAC-76F8F4205016}">
      <formula1>#REF!</formula1>
    </dataValidation>
  </dataValidations>
  <hyperlinks>
    <hyperlink ref="T10" r:id="rId1" xr:uid="{D7EE2BC0-FC8B-4112-89AA-DA80CDD19B47}"/>
    <hyperlink ref="T9" r:id="rId2" xr:uid="{372054B0-2447-410D-ACBD-2DC3755C68FE}"/>
    <hyperlink ref="T11" r:id="rId3" xr:uid="{66F8045A-4C36-4B3E-9238-AC057514AC7B}"/>
    <hyperlink ref="T12" r:id="rId4" xr:uid="{62F0D3B9-BD1A-476E-8AAB-C204C5C9D579}"/>
    <hyperlink ref="T6" r:id="rId5" xr:uid="{6187DC11-B0E8-4044-91EA-B7EAF5E89F3F}"/>
    <hyperlink ref="T7" r:id="rId6"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C7D76E33-F38E-4DB1-9E93-DB62E636D4E0}"/>
    <hyperlink ref="T8" r:id="rId7"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BD63089D-B047-42C0-ACA1-A7A9F6A2C0B7}"/>
    <hyperlink ref="T13" r:id="rId8"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657C54C9-5979-4414-8407-0C255A2C6B18}"/>
    <hyperlink ref="T14" r:id="rId9" display="Per unit savings estimate from Mid-Atlantic TRM v9 &quot;LED LED High-Bay Luminaires and Retrofit Kits&quot; - use-specific input assumptions are average of all building types from Table D-3; Base and EE Wattage assumptions are average from IL TRM 4.5.4 LED Bulbs and Fixtures &quot;LED Fixture Wattage, TOS Baseline and Incremental Cost Assumptions&quot; Table" xr:uid="{63635D02-1CFC-47AA-85C6-C8A199D13337}"/>
  </hyperlinks>
  <pageMargins left="0.7" right="0.7" top="0.75" bottom="0.75" header="0.3" footer="0.3"/>
  <pageSetup orientation="portrait" r:id="rId10"/>
  <headerFooter>
    <oddFooter>&amp;L&amp;1#&amp;"Calibri"&amp;14&amp;K000000Business Use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sheetPr>
  <dimension ref="A1:FD47"/>
  <sheetViews>
    <sheetView topLeftCell="K5" zoomScaleNormal="100" workbookViewId="0">
      <selection activeCell="O38" sqref="O38"/>
    </sheetView>
  </sheetViews>
  <sheetFormatPr defaultColWidth="9.1796875" defaultRowHeight="13"/>
  <cols>
    <col min="1" max="1" width="9.1796875" style="2"/>
    <col min="2" max="2" width="51.26953125" style="2" customWidth="1"/>
    <col min="3" max="3" width="84.54296875" style="120" customWidth="1"/>
    <col min="4" max="4" width="29.54296875" style="2" customWidth="1"/>
    <col min="5" max="5" width="20.26953125" style="2" customWidth="1"/>
    <col min="6" max="7" width="17.26953125" style="2" customWidth="1"/>
    <col min="8" max="8" width="14.54296875" style="2" customWidth="1"/>
    <col min="9" max="9" width="13" style="2" customWidth="1"/>
    <col min="10" max="10" width="14.54296875" style="2" customWidth="1"/>
    <col min="11" max="11" width="15.453125" style="2" customWidth="1"/>
    <col min="12" max="12" width="29.54296875" style="2" customWidth="1"/>
    <col min="13" max="13" width="15.26953125" style="2" customWidth="1"/>
    <col min="14" max="14" width="15" style="2" customWidth="1"/>
    <col min="15" max="15" width="10.7265625" style="2" customWidth="1"/>
    <col min="16" max="16" width="35.453125" style="2" customWidth="1"/>
    <col min="17" max="17" width="13.453125" style="2" customWidth="1"/>
    <col min="18" max="19" width="12.1796875" style="2" customWidth="1"/>
    <col min="20" max="20" width="43.81640625" style="3" customWidth="1"/>
    <col min="21" max="22" width="10.81640625" style="3" customWidth="1"/>
    <col min="23" max="29" width="10.1796875" style="3" customWidth="1"/>
    <col min="30" max="37" width="14.453125" style="2" customWidth="1"/>
    <col min="38" max="38" width="20" style="2" bestFit="1" customWidth="1"/>
    <col min="39" max="39" width="14.453125" style="2" customWidth="1"/>
    <col min="40" max="40" width="16.453125" style="2" customWidth="1"/>
    <col min="41" max="46" width="12" style="2" customWidth="1"/>
    <col min="47" max="49" width="17.81640625" style="2" customWidth="1"/>
    <col min="50" max="53" width="15.7265625" style="2" customWidth="1"/>
    <col min="54" max="60" width="12" style="2" customWidth="1"/>
    <col min="61" max="74" width="11.7265625" style="2" customWidth="1"/>
    <col min="75" max="152" width="15.54296875" style="2" customWidth="1"/>
    <col min="153" max="158" width="9.1796875" style="2"/>
    <col min="159" max="159" width="11.26953125" style="2" bestFit="1" customWidth="1"/>
    <col min="160" max="16384" width="9.1796875" style="2"/>
  </cols>
  <sheetData>
    <row r="1" spans="1:160" ht="15" thickBot="1">
      <c r="A1" t="str">
        <f>A3&amp;"_"&amp;A4&amp;"_"&amp;A5</f>
        <v>_Measure Details_Measure ID</v>
      </c>
      <c r="B1" t="str">
        <f t="shared" ref="B1:BU1" si="0">B3&amp;"_"&amp;B4&amp;"_"&amp;B5</f>
        <v>__Measure Name</v>
      </c>
      <c r="C1" s="65"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t="str">
        <f t="shared" si="0"/>
        <v>__Number of Unit Per Participant</v>
      </c>
      <c r="W1" t="str">
        <f t="shared" si="0"/>
        <v>__Participation 2024</v>
      </c>
      <c r="X1" t="str">
        <f t="shared" si="0"/>
        <v>__Participation 2025</v>
      </c>
      <c r="Y1" t="str">
        <f t="shared" si="0"/>
        <v>__Participation 2026</v>
      </c>
      <c r="Z1" t="str">
        <f t="shared" si="0"/>
        <v>__Participation 2027</v>
      </c>
      <c r="AA1" t="str">
        <f t="shared" si="0"/>
        <v>__Participation 2028</v>
      </c>
      <c r="AB1" t="str">
        <f t="shared" si="0"/>
        <v>__Participation 2029</v>
      </c>
      <c r="AC1" t="str">
        <f t="shared" ref="AC1" si="1">AC3&amp;"_"&amp;AC4&amp;"_"&amp;AC5</f>
        <v>__Participation 2030</v>
      </c>
      <c r="AD1" t="str">
        <f t="shared" si="0"/>
        <v>_Modeling Measure-level Inputs_Fuel Type</v>
      </c>
      <c r="AE1" t="str">
        <f t="shared" si="0"/>
        <v>__Sector</v>
      </c>
      <c r="AF1" t="str">
        <f t="shared" si="0"/>
        <v>__Segment</v>
      </c>
      <c r="AG1" t="str">
        <f t="shared" si="0"/>
        <v>__Enduse</v>
      </c>
      <c r="AH1" t="str">
        <f t="shared" si="0"/>
        <v>__Construction Type</v>
      </c>
      <c r="AI1" t="str">
        <f t="shared" si="0"/>
        <v>__Potential Study Measure Name</v>
      </c>
      <c r="AJ1" t="str">
        <f t="shared" si="0"/>
        <v>__Potential Study Measure Description</v>
      </c>
      <c r="AK1" t="str">
        <f t="shared" si="0"/>
        <v>__Potential Study Baseline Description</v>
      </c>
      <c r="AL1" t="str">
        <f t="shared" si="0"/>
        <v>__Electric Load Shape</v>
      </c>
      <c r="AM1" t="str">
        <f t="shared" si="0"/>
        <v>__Natural Gas Load Shape</v>
      </c>
      <c r="AN1" t="str">
        <f t="shared" si="0"/>
        <v>__Customer Rate Class</v>
      </c>
      <c r="AO1" t="str">
        <f t="shared" si="0"/>
        <v>__Measure Life</v>
      </c>
      <c r="AP1" t="str">
        <f t="shared" si="0"/>
        <v>__Baseline Life</v>
      </c>
      <c r="AQ1" t="str">
        <f t="shared" si="0"/>
        <v>__Life Source</v>
      </c>
      <c r="AR1" t="str">
        <f t="shared" si="0"/>
        <v>_Measure Tier Share_Tier Share</v>
      </c>
      <c r="AS1" t="str">
        <f t="shared" si="0"/>
        <v>_Measure Fuel Weights_Electric Share</v>
      </c>
      <c r="AT1" t="str">
        <f t="shared" si="0"/>
        <v>__Natural Gas Share</v>
      </c>
      <c r="AU1" t="str">
        <f t="shared" si="0"/>
        <v>Per Unit_Incremental Costs_2024</v>
      </c>
      <c r="AV1" t="str">
        <f t="shared" si="0"/>
        <v>Per Unit_Incremental Costs_2025</v>
      </c>
      <c r="AW1" t="str">
        <f t="shared" si="0"/>
        <v>Per Unit_Incremental Costs_2026</v>
      </c>
      <c r="AX1" t="str">
        <f t="shared" si="0"/>
        <v>Per Unit_Incremental Costs_2027</v>
      </c>
      <c r="AY1" t="str">
        <f t="shared" si="0"/>
        <v>Per Unit_Incremental Costs_2028</v>
      </c>
      <c r="AZ1" t="str">
        <f t="shared" si="0"/>
        <v>Per Unit_Incremental Costs_2029</v>
      </c>
      <c r="BA1" t="str">
        <f t="shared" ref="BA1" si="2">BA3&amp;"_"&amp;BA4&amp;"_"&amp;BA5</f>
        <v>Per Unit_Incremental Costs_2030</v>
      </c>
      <c r="BB1" t="str">
        <f t="shared" si="0"/>
        <v>Per Unit_Incremental Annual O&amp;M_2024</v>
      </c>
      <c r="BC1" t="str">
        <f t="shared" si="0"/>
        <v>Per Unit_Incremental Annual O&amp;M_2025</v>
      </c>
      <c r="BD1" t="str">
        <f t="shared" si="0"/>
        <v>Per Unit_Incremental Annual O&amp;M_2026</v>
      </c>
      <c r="BE1" t="str">
        <f t="shared" si="0"/>
        <v>Per Unit_Incremental Annual O&amp;M_2027</v>
      </c>
      <c r="BF1" t="str">
        <f t="shared" si="0"/>
        <v>Per Unit_Incremental Annual O&amp;M_2028</v>
      </c>
      <c r="BG1" t="str">
        <f t="shared" si="0"/>
        <v>Per Unit_Incremental Annual O&amp;M_2029</v>
      </c>
      <c r="BH1" t="str">
        <f t="shared" ref="BH1" si="3">BH3&amp;"_"&amp;BH4&amp;"_"&amp;BH5</f>
        <v>Per Unit_Incremental Annual O&amp;M_2030</v>
      </c>
      <c r="BI1" t="str">
        <f t="shared" si="0"/>
        <v>Per Unit_Customer &amp; Dealer Incentives_2024</v>
      </c>
      <c r="BJ1" t="str">
        <f t="shared" si="0"/>
        <v>Per Unit_Customer &amp; Dealer Incentives_2025</v>
      </c>
      <c r="BK1" t="str">
        <f t="shared" si="0"/>
        <v>Per Unit_Customer &amp; Dealer Incentives_2026</v>
      </c>
      <c r="BL1" t="str">
        <f t="shared" si="0"/>
        <v>Per Unit_Customer &amp; Dealer Incentives_2027</v>
      </c>
      <c r="BM1" t="str">
        <f t="shared" si="0"/>
        <v>Per Unit_Customer &amp; Dealer Incentives_2028</v>
      </c>
      <c r="BN1" t="str">
        <f t="shared" si="0"/>
        <v>Per Unit_Customer &amp; Dealer Incentives_2029</v>
      </c>
      <c r="BO1" t="str">
        <f t="shared" ref="BO1" si="4">BO3&amp;"_"&amp;BO4&amp;"_"&amp;BO5</f>
        <v>Per Unit_Customer &amp; Dealer Incentives_2030</v>
      </c>
      <c r="BP1" t="str">
        <f t="shared" si="0"/>
        <v>Per Unit_Implementation Cost_2024</v>
      </c>
      <c r="BQ1" t="str">
        <f t="shared" si="0"/>
        <v>Per Unit_Implementation Cost_2025</v>
      </c>
      <c r="BR1" t="str">
        <f t="shared" si="0"/>
        <v>Per Unit_Implementation Cost_2026</v>
      </c>
      <c r="BS1" t="str">
        <f t="shared" si="0"/>
        <v>Per Unit_Implementation Cost_2027</v>
      </c>
      <c r="BT1" t="str">
        <f t="shared" si="0"/>
        <v>Per Unit_Implementation Cost_2028</v>
      </c>
      <c r="BU1" t="str">
        <f t="shared" si="0"/>
        <v>Per Unit_Implementation Cost_2029</v>
      </c>
      <c r="BV1" t="str">
        <f t="shared" ref="BV1" si="5">BV3&amp;"_"&amp;BV4&amp;"_"&amp;BV5</f>
        <v>Per Unit_Implementation Cost_2030</v>
      </c>
      <c r="BW1" t="str">
        <f t="shared" ref="BW1:EV1" si="6">BW3&amp;"_"&amp;BW4&amp;"_"&amp;BW5</f>
        <v>Per Unit_kWh _2024</v>
      </c>
      <c r="BX1" t="str">
        <f t="shared" si="6"/>
        <v>Per Unit_kWh _2025</v>
      </c>
      <c r="BY1" t="str">
        <f t="shared" si="6"/>
        <v>Per Unit_kWh _2026</v>
      </c>
      <c r="BZ1" t="str">
        <f t="shared" si="6"/>
        <v>Per Unit_kWh _2027</v>
      </c>
      <c r="CA1" t="str">
        <f t="shared" si="6"/>
        <v>Per Unit_kWh _2028</v>
      </c>
      <c r="CB1" t="str">
        <f t="shared" si="6"/>
        <v>Per Unit_kWh _2029</v>
      </c>
      <c r="CC1" t="str">
        <f t="shared" ref="CC1" si="7">CC3&amp;"_"&amp;CC4&amp;"_"&amp;CC5</f>
        <v>Per Unit_kWh _2030</v>
      </c>
      <c r="CD1" t="str">
        <f t="shared" si="6"/>
        <v>Per Unit_kW_2024</v>
      </c>
      <c r="CE1" t="str">
        <f t="shared" si="6"/>
        <v>Per Unit_kW_2025</v>
      </c>
      <c r="CF1" t="str">
        <f t="shared" si="6"/>
        <v>Per Unit_kW_2026</v>
      </c>
      <c r="CG1" t="str">
        <f t="shared" si="6"/>
        <v>Per Unit_kW_2027</v>
      </c>
      <c r="CH1" t="str">
        <f t="shared" si="6"/>
        <v>Per Unit_kW_2028</v>
      </c>
      <c r="CI1" t="str">
        <f t="shared" si="6"/>
        <v>Per Unit_kW_2029</v>
      </c>
      <c r="CJ1" t="str">
        <f t="shared" ref="CJ1" si="8">CJ3&amp;"_"&amp;CJ4&amp;"_"&amp;CJ5</f>
        <v>Per Unit_kW_2030</v>
      </c>
      <c r="CK1" t="str">
        <f t="shared" si="6"/>
        <v>Per Unit_Therms_2024</v>
      </c>
      <c r="CL1" t="str">
        <f t="shared" si="6"/>
        <v>Per Unit_Therms_2025</v>
      </c>
      <c r="CM1" t="str">
        <f t="shared" si="6"/>
        <v>Per Unit_Therms_2026</v>
      </c>
      <c r="CN1" t="str">
        <f t="shared" si="6"/>
        <v>Per Unit_Therms_2027</v>
      </c>
      <c r="CO1" t="str">
        <f t="shared" si="6"/>
        <v>Per Unit_Therms_2028</v>
      </c>
      <c r="CP1" t="str">
        <f t="shared" si="6"/>
        <v>Per Unit_Therms_2029</v>
      </c>
      <c r="CQ1" t="str">
        <f t="shared" ref="CQ1" si="9">CQ3&amp;"_"&amp;CQ4&amp;"_"&amp;CQ5</f>
        <v>Per Unit_Therms_2030</v>
      </c>
      <c r="CR1" t="str">
        <f t="shared" si="6"/>
        <v>Program_Incremental Costs_2024</v>
      </c>
      <c r="CS1" t="str">
        <f t="shared" si="6"/>
        <v>Program_Incremental Costs_2025</v>
      </c>
      <c r="CT1" t="str">
        <f t="shared" si="6"/>
        <v>Program_Incremental Costs_2026</v>
      </c>
      <c r="CU1" t="str">
        <f t="shared" si="6"/>
        <v>Program_Incremental Costs_2027</v>
      </c>
      <c r="CV1" t="str">
        <f t="shared" si="6"/>
        <v>Program_Incremental Costs_2028</v>
      </c>
      <c r="CW1" t="str">
        <f t="shared" si="6"/>
        <v>Program_Incremental Costs_2029</v>
      </c>
      <c r="CX1" t="str">
        <f t="shared" ref="CX1" si="10">CX3&amp;"_"&amp;CX4&amp;"_"&amp;CX5</f>
        <v>Program_Incremental Costs_2030</v>
      </c>
      <c r="CY1" t="str">
        <f t="shared" si="6"/>
        <v>Program_Incremental Annual O&amp;M_2024</v>
      </c>
      <c r="CZ1" t="str">
        <f t="shared" si="6"/>
        <v>Program_Incremental Annual O&amp;M_2025</v>
      </c>
      <c r="DA1" t="str">
        <f t="shared" si="6"/>
        <v>Program_Incremental Annual O&amp;M_2026</v>
      </c>
      <c r="DB1" t="str">
        <f t="shared" si="6"/>
        <v>Program_Incremental Annual O&amp;M_2027</v>
      </c>
      <c r="DC1" t="str">
        <f t="shared" si="6"/>
        <v>Program_Incremental Annual O&amp;M_2028</v>
      </c>
      <c r="DD1" t="str">
        <f t="shared" si="6"/>
        <v>Program_Incremental Annual O&amp;M_2029</v>
      </c>
      <c r="DE1" t="str">
        <f t="shared" ref="DE1" si="11">DE3&amp;"_"&amp;DE4&amp;"_"&amp;DE5</f>
        <v>Program_Incremental Annual O&amp;M_2030</v>
      </c>
      <c r="DF1" t="str">
        <f t="shared" si="6"/>
        <v>Program_Customer &amp; Dealer Incentives_2024</v>
      </c>
      <c r="DG1" t="str">
        <f t="shared" si="6"/>
        <v>Program_Customer &amp; Dealer Incentives_2025</v>
      </c>
      <c r="DH1" t="str">
        <f t="shared" si="6"/>
        <v>Program_Customer &amp; Dealer Incentives_2026</v>
      </c>
      <c r="DI1" t="str">
        <f t="shared" si="6"/>
        <v>Program_Customer &amp; Dealer Incentives_2027</v>
      </c>
      <c r="DJ1" t="str">
        <f t="shared" si="6"/>
        <v>Program_Customer &amp; Dealer Incentives_2028</v>
      </c>
      <c r="DK1" t="str">
        <f t="shared" si="6"/>
        <v>Program_Customer &amp; Dealer Incentives_2029</v>
      </c>
      <c r="DL1" t="str">
        <f t="shared" ref="DL1" si="12">DL3&amp;"_"&amp;DL4&amp;"_"&amp;DL5</f>
        <v>Program_Customer &amp; Dealer Incentives_2030</v>
      </c>
      <c r="DM1" t="str">
        <f t="shared" si="6"/>
        <v>Program_Implementation Costs_2024</v>
      </c>
      <c r="DN1" t="str">
        <f t="shared" si="6"/>
        <v>Program_Implementation Costs_2025</v>
      </c>
      <c r="DO1" t="str">
        <f t="shared" si="6"/>
        <v>Program_Implementation Costs_2026</v>
      </c>
      <c r="DP1" t="str">
        <f t="shared" si="6"/>
        <v>Program_Implementation Costs_2027</v>
      </c>
      <c r="DQ1" t="str">
        <f t="shared" si="6"/>
        <v>Program_Implementation Costs_2028</v>
      </c>
      <c r="DR1" t="str">
        <f t="shared" si="6"/>
        <v>Program_Implementation Costs_2029</v>
      </c>
      <c r="DS1" t="str">
        <f t="shared" ref="DS1" si="13">DS3&amp;"_"&amp;DS4&amp;"_"&amp;DS5</f>
        <v>Program_Implementation Costs_2030</v>
      </c>
      <c r="DT1" t="str">
        <f t="shared" si="6"/>
        <v>Program_kWh _2024</v>
      </c>
      <c r="DU1" t="str">
        <f t="shared" si="6"/>
        <v>Program_kWh _2025</v>
      </c>
      <c r="DV1" t="str">
        <f t="shared" si="6"/>
        <v>Program_kWh _2026</v>
      </c>
      <c r="DW1" t="str">
        <f t="shared" si="6"/>
        <v>Program_kWh _2027</v>
      </c>
      <c r="DX1" t="str">
        <f t="shared" si="6"/>
        <v>Program_kWh _2028</v>
      </c>
      <c r="DY1" t="str">
        <f t="shared" si="6"/>
        <v>Program_kWh _2029</v>
      </c>
      <c r="DZ1" t="str">
        <f t="shared" ref="DZ1" si="14">DZ3&amp;"_"&amp;DZ4&amp;"_"&amp;DZ5</f>
        <v>Program_kWh _2030</v>
      </c>
      <c r="EA1" t="str">
        <f t="shared" si="6"/>
        <v>Program_kW_2024</v>
      </c>
      <c r="EB1" t="str">
        <f t="shared" si="6"/>
        <v>Program_kW_2025</v>
      </c>
      <c r="EC1" t="str">
        <f t="shared" si="6"/>
        <v>Program_kW_2026</v>
      </c>
      <c r="ED1" t="str">
        <f t="shared" si="6"/>
        <v>Program_kW_2027</v>
      </c>
      <c r="EE1" t="str">
        <f t="shared" si="6"/>
        <v>Program_kW_2028</v>
      </c>
      <c r="EF1" t="str">
        <f t="shared" si="6"/>
        <v>Program_kW_2029</v>
      </c>
      <c r="EG1" t="str">
        <f t="shared" ref="EG1" si="15">EG3&amp;"_"&amp;EG4&amp;"_"&amp;EG5</f>
        <v>Program_kW_2030</v>
      </c>
      <c r="EH1" t="str">
        <f t="shared" si="6"/>
        <v>Program_Therms_2024</v>
      </c>
      <c r="EI1" t="str">
        <f t="shared" si="6"/>
        <v>Program_Therms_2025</v>
      </c>
      <c r="EJ1" t="str">
        <f t="shared" si="6"/>
        <v>Program_Therms_2026</v>
      </c>
      <c r="EK1" t="str">
        <f t="shared" si="6"/>
        <v>Program_Therms_2027</v>
      </c>
      <c r="EL1" t="str">
        <f t="shared" si="6"/>
        <v>Program_Therms_2028</v>
      </c>
      <c r="EM1" t="str">
        <f t="shared" si="6"/>
        <v>Program_Therms_2029</v>
      </c>
      <c r="EN1" t="str">
        <f t="shared" ref="EN1" si="16">EN3&amp;"_"&amp;EN4&amp;"_"&amp;EN5</f>
        <v>Program_Therms_2030</v>
      </c>
      <c r="EO1" t="str">
        <f t="shared" si="6"/>
        <v>_Total Plan Summary 2024-2030_Participation</v>
      </c>
      <c r="EP1" t="str">
        <f t="shared" si="6"/>
        <v>__Incremental Costs ($)</v>
      </c>
      <c r="EQ1" t="str">
        <f t="shared" si="6"/>
        <v>__Incremental Annual O&amp;M ($)</v>
      </c>
      <c r="ER1" t="str">
        <f t="shared" si="6"/>
        <v>__Customer &amp; Dealer Incentives ($)</v>
      </c>
      <c r="ES1" t="str">
        <f t="shared" si="6"/>
        <v>__Implementation Costs ($)</v>
      </c>
      <c r="ET1" t="str">
        <f t="shared" si="6"/>
        <v>__Electric kWh  Benefits</v>
      </c>
      <c r="EU1" t="str">
        <f t="shared" si="6"/>
        <v>__Electric kW Peak Demand Benefits</v>
      </c>
      <c r="EV1" t="str">
        <f t="shared" si="6"/>
        <v>__Natural Gas Therms Benefits</v>
      </c>
    </row>
    <row r="2" spans="1:160" s="5" customFormat="1" ht="16.5" customHeight="1" thickBot="1">
      <c r="A2" s="1" t="s">
        <v>1511</v>
      </c>
      <c r="B2" s="4"/>
      <c r="C2" s="118"/>
      <c r="N2" s="484"/>
      <c r="U2" s="7"/>
      <c r="V2" s="7"/>
      <c r="W2" s="7"/>
      <c r="X2" s="7"/>
      <c r="Y2" s="7"/>
      <c r="Z2" s="7"/>
      <c r="AA2" s="7"/>
      <c r="AB2" s="7"/>
      <c r="AC2" s="7"/>
      <c r="AD2" s="7"/>
      <c r="AE2" s="7"/>
      <c r="AF2" s="7"/>
      <c r="AG2" s="7"/>
      <c r="AH2" s="7"/>
      <c r="AI2" s="7"/>
      <c r="AJ2" s="7"/>
      <c r="AK2" s="7"/>
      <c r="AL2" s="7"/>
      <c r="AM2" s="7"/>
      <c r="AN2" s="7"/>
      <c r="AU2" s="1411" t="s">
        <v>327</v>
      </c>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3"/>
      <c r="BW2" s="1381" t="s">
        <v>328</v>
      </c>
      <c r="BX2" s="1382"/>
      <c r="BY2" s="1382"/>
      <c r="BZ2" s="1382"/>
      <c r="CA2" s="1382"/>
      <c r="CB2" s="1382"/>
      <c r="CC2" s="1383"/>
      <c r="CD2" s="1381" t="s">
        <v>329</v>
      </c>
      <c r="CE2" s="1382"/>
      <c r="CF2" s="1382"/>
      <c r="CG2" s="1382"/>
      <c r="CH2" s="1382"/>
      <c r="CI2" s="1382"/>
      <c r="CJ2" s="1383"/>
      <c r="CK2" s="1381" t="s">
        <v>330</v>
      </c>
      <c r="CL2" s="1382"/>
      <c r="CM2" s="1382"/>
      <c r="CN2" s="1382"/>
      <c r="CO2" s="1382"/>
      <c r="CP2" s="1382"/>
      <c r="CQ2" s="1383"/>
      <c r="CR2" s="1411" t="s">
        <v>327</v>
      </c>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3"/>
      <c r="DT2" s="1381" t="s">
        <v>328</v>
      </c>
      <c r="DU2" s="1382"/>
      <c r="DV2" s="1382"/>
      <c r="DW2" s="1382"/>
      <c r="DX2" s="1382"/>
      <c r="DY2" s="1382"/>
      <c r="DZ2" s="1383"/>
      <c r="EA2" s="1381" t="s">
        <v>329</v>
      </c>
      <c r="EB2" s="1382"/>
      <c r="EC2" s="1382"/>
      <c r="ED2" s="1382"/>
      <c r="EE2" s="1382"/>
      <c r="EF2" s="1382"/>
      <c r="EG2" s="1383"/>
      <c r="EH2" s="1381" t="s">
        <v>330</v>
      </c>
      <c r="EI2" s="1382"/>
      <c r="EJ2" s="1382"/>
      <c r="EK2" s="1382"/>
      <c r="EL2" s="1382"/>
      <c r="EM2" s="1382"/>
      <c r="EN2" s="1383"/>
    </row>
    <row r="3" spans="1:160">
      <c r="B3" s="8"/>
      <c r="C3" s="119"/>
      <c r="T3" s="2"/>
      <c r="U3" s="9"/>
      <c r="V3" s="9"/>
      <c r="W3" s="9"/>
      <c r="X3" s="9"/>
      <c r="Y3" s="9"/>
      <c r="Z3" s="9"/>
      <c r="AA3" s="9"/>
      <c r="AB3" s="9"/>
      <c r="AC3" s="9"/>
      <c r="AD3" s="9"/>
      <c r="AE3" s="9"/>
      <c r="AF3" s="9"/>
      <c r="AG3" s="9"/>
      <c r="AH3" s="9"/>
      <c r="AI3" s="9"/>
      <c r="AJ3" s="9"/>
      <c r="AK3" s="9"/>
      <c r="AL3" s="9"/>
      <c r="AM3" s="9"/>
      <c r="AN3" s="9"/>
      <c r="AU3" s="121" t="s">
        <v>331</v>
      </c>
      <c r="AV3" s="122" t="s">
        <v>331</v>
      </c>
      <c r="AW3" s="122" t="s">
        <v>331</v>
      </c>
      <c r="AX3" s="122" t="s">
        <v>331</v>
      </c>
      <c r="AY3" s="122" t="s">
        <v>331</v>
      </c>
      <c r="AZ3" s="122" t="s">
        <v>331</v>
      </c>
      <c r="BA3" s="330" t="s">
        <v>331</v>
      </c>
      <c r="BB3" s="121" t="s">
        <v>331</v>
      </c>
      <c r="BC3" s="122" t="s">
        <v>331</v>
      </c>
      <c r="BD3" s="122" t="s">
        <v>331</v>
      </c>
      <c r="BE3" s="122" t="s">
        <v>331</v>
      </c>
      <c r="BF3" s="122" t="s">
        <v>331</v>
      </c>
      <c r="BG3" s="122" t="s">
        <v>331</v>
      </c>
      <c r="BH3" s="330" t="s">
        <v>331</v>
      </c>
      <c r="BI3" s="329" t="s">
        <v>331</v>
      </c>
      <c r="BJ3" s="122" t="s">
        <v>331</v>
      </c>
      <c r="BK3" s="122" t="s">
        <v>331</v>
      </c>
      <c r="BL3" s="122" t="s">
        <v>331</v>
      </c>
      <c r="BM3" s="122" t="s">
        <v>331</v>
      </c>
      <c r="BN3" s="122" t="s">
        <v>331</v>
      </c>
      <c r="BO3" s="309" t="s">
        <v>331</v>
      </c>
      <c r="BP3" s="121" t="s">
        <v>331</v>
      </c>
      <c r="BQ3" s="122" t="s">
        <v>331</v>
      </c>
      <c r="BR3" s="122" t="s">
        <v>331</v>
      </c>
      <c r="BS3" s="122" t="s">
        <v>331</v>
      </c>
      <c r="BT3" s="122" t="s">
        <v>331</v>
      </c>
      <c r="BU3" s="122" t="s">
        <v>331</v>
      </c>
      <c r="BV3" s="330" t="s">
        <v>331</v>
      </c>
      <c r="BW3" s="112" t="s">
        <v>331</v>
      </c>
      <c r="BX3" s="113" t="s">
        <v>331</v>
      </c>
      <c r="BY3" s="113" t="s">
        <v>331</v>
      </c>
      <c r="BZ3" s="113" t="s">
        <v>331</v>
      </c>
      <c r="CA3" s="113" t="s">
        <v>331</v>
      </c>
      <c r="CB3" s="113" t="s">
        <v>331</v>
      </c>
      <c r="CC3" s="114" t="s">
        <v>331</v>
      </c>
      <c r="CD3" s="112" t="s">
        <v>331</v>
      </c>
      <c r="CE3" s="113" t="s">
        <v>331</v>
      </c>
      <c r="CF3" s="113" t="s">
        <v>331</v>
      </c>
      <c r="CG3" s="113" t="s">
        <v>331</v>
      </c>
      <c r="CH3" s="113" t="s">
        <v>331</v>
      </c>
      <c r="CI3" s="113" t="s">
        <v>331</v>
      </c>
      <c r="CJ3" s="114" t="s">
        <v>331</v>
      </c>
      <c r="CK3" s="113" t="s">
        <v>331</v>
      </c>
      <c r="CL3" s="113" t="s">
        <v>331</v>
      </c>
      <c r="CM3" s="113" t="s">
        <v>331</v>
      </c>
      <c r="CN3" s="113" t="s">
        <v>331</v>
      </c>
      <c r="CO3" s="113" t="s">
        <v>331</v>
      </c>
      <c r="CP3" s="113" t="s">
        <v>331</v>
      </c>
      <c r="CQ3" s="283" t="s">
        <v>331</v>
      </c>
      <c r="CR3" s="121" t="s">
        <v>0</v>
      </c>
      <c r="CS3" s="122" t="s">
        <v>0</v>
      </c>
      <c r="CT3" s="122" t="s">
        <v>0</v>
      </c>
      <c r="CU3" s="122" t="s">
        <v>0</v>
      </c>
      <c r="CV3" s="122" t="s">
        <v>0</v>
      </c>
      <c r="CW3" s="122" t="s">
        <v>0</v>
      </c>
      <c r="CX3" s="330" t="s">
        <v>0</v>
      </c>
      <c r="CY3" s="121" t="s">
        <v>0</v>
      </c>
      <c r="CZ3" s="122" t="s">
        <v>0</v>
      </c>
      <c r="DA3" s="122" t="s">
        <v>0</v>
      </c>
      <c r="DB3" s="122" t="s">
        <v>0</v>
      </c>
      <c r="DC3" s="122" t="s">
        <v>0</v>
      </c>
      <c r="DD3" s="122" t="s">
        <v>0</v>
      </c>
      <c r="DE3" s="330" t="s">
        <v>0</v>
      </c>
      <c r="DF3" s="329" t="s">
        <v>0</v>
      </c>
      <c r="DG3" s="122" t="s">
        <v>0</v>
      </c>
      <c r="DH3" s="122" t="s">
        <v>0</v>
      </c>
      <c r="DI3" s="122" t="s">
        <v>0</v>
      </c>
      <c r="DJ3" s="122" t="s">
        <v>0</v>
      </c>
      <c r="DK3" s="122" t="s">
        <v>0</v>
      </c>
      <c r="DL3" s="309" t="s">
        <v>0</v>
      </c>
      <c r="DM3" s="121" t="s">
        <v>0</v>
      </c>
      <c r="DN3" s="122" t="s">
        <v>0</v>
      </c>
      <c r="DO3" s="122" t="s">
        <v>0</v>
      </c>
      <c r="DP3" s="122" t="s">
        <v>0</v>
      </c>
      <c r="DQ3" s="122" t="s">
        <v>0</v>
      </c>
      <c r="DR3" s="122" t="s">
        <v>0</v>
      </c>
      <c r="DS3" s="330" t="s">
        <v>0</v>
      </c>
      <c r="DT3" s="115" t="s">
        <v>0</v>
      </c>
      <c r="DU3" s="116" t="s">
        <v>0</v>
      </c>
      <c r="DV3" s="116" t="s">
        <v>0</v>
      </c>
      <c r="DW3" s="116" t="s">
        <v>0</v>
      </c>
      <c r="DX3" s="116" t="s">
        <v>0</v>
      </c>
      <c r="DY3" s="116" t="s">
        <v>0</v>
      </c>
      <c r="DZ3" s="117" t="s">
        <v>0</v>
      </c>
      <c r="EA3" s="115" t="s">
        <v>0</v>
      </c>
      <c r="EB3" s="116" t="s">
        <v>0</v>
      </c>
      <c r="EC3" s="116" t="s">
        <v>0</v>
      </c>
      <c r="ED3" s="116" t="s">
        <v>0</v>
      </c>
      <c r="EE3" s="116" t="s">
        <v>0</v>
      </c>
      <c r="EF3" s="116" t="s">
        <v>0</v>
      </c>
      <c r="EG3" s="117" t="s">
        <v>0</v>
      </c>
      <c r="EH3" s="321" t="s">
        <v>0</v>
      </c>
      <c r="EI3" s="116" t="s">
        <v>0</v>
      </c>
      <c r="EJ3" s="116" t="s">
        <v>0</v>
      </c>
      <c r="EK3" s="116" t="s">
        <v>0</v>
      </c>
      <c r="EL3" s="116" t="s">
        <v>0</v>
      </c>
      <c r="EM3" s="116" t="s">
        <v>0</v>
      </c>
      <c r="EN3" s="117" t="s">
        <v>0</v>
      </c>
    </row>
    <row r="4" spans="1:160" ht="40.5">
      <c r="A4" s="1098" t="s">
        <v>127</v>
      </c>
      <c r="B4" s="1098"/>
      <c r="C4" s="1099"/>
      <c r="D4" s="1098"/>
      <c r="E4" s="1098"/>
      <c r="F4" s="1414" t="s">
        <v>332</v>
      </c>
      <c r="G4" s="1414"/>
      <c r="H4" s="1414"/>
      <c r="I4" s="1414"/>
      <c r="J4" s="1414"/>
      <c r="K4" s="1414"/>
      <c r="L4" s="1414"/>
      <c r="M4" s="1414"/>
      <c r="N4" s="1414"/>
      <c r="O4" s="1414"/>
      <c r="P4" s="1414"/>
      <c r="Q4" s="1415" t="s">
        <v>333</v>
      </c>
      <c r="R4" s="1415"/>
      <c r="S4" s="1415"/>
      <c r="T4" s="1415"/>
      <c r="U4" s="1416" t="s">
        <v>334</v>
      </c>
      <c r="V4" s="1416"/>
      <c r="W4" s="1416"/>
      <c r="X4" s="1416"/>
      <c r="Y4" s="1416"/>
      <c r="Z4" s="1416"/>
      <c r="AA4" s="458"/>
      <c r="AB4" s="458"/>
      <c r="AC4" s="458"/>
      <c r="AD4" s="1417" t="s">
        <v>335</v>
      </c>
      <c r="AE4" s="1418"/>
      <c r="AF4" s="1418"/>
      <c r="AG4" s="1418"/>
      <c r="AH4" s="1418"/>
      <c r="AI4" s="1418"/>
      <c r="AJ4" s="1418"/>
      <c r="AK4" s="1418"/>
      <c r="AL4" s="1418"/>
      <c r="AM4" s="1418"/>
      <c r="AN4" s="1418"/>
      <c r="AO4" s="1418"/>
      <c r="AP4" s="1418"/>
      <c r="AQ4" s="1419"/>
      <c r="AR4" s="1100" t="s">
        <v>336</v>
      </c>
      <c r="AS4" s="1417" t="s">
        <v>337</v>
      </c>
      <c r="AT4" s="1418"/>
      <c r="AU4" s="1101" t="s">
        <v>128</v>
      </c>
      <c r="AV4" s="1102" t="s">
        <v>128</v>
      </c>
      <c r="AW4" s="1102" t="s">
        <v>128</v>
      </c>
      <c r="AX4" s="1102" t="s">
        <v>128</v>
      </c>
      <c r="AY4" s="1102" t="s">
        <v>128</v>
      </c>
      <c r="AZ4" s="1102" t="s">
        <v>128</v>
      </c>
      <c r="BA4" s="1103" t="s">
        <v>128</v>
      </c>
      <c r="BB4" s="1101" t="s">
        <v>129</v>
      </c>
      <c r="BC4" s="1102" t="s">
        <v>129</v>
      </c>
      <c r="BD4" s="1102" t="s">
        <v>129</v>
      </c>
      <c r="BE4" s="1102" t="s">
        <v>129</v>
      </c>
      <c r="BF4" s="1102" t="s">
        <v>129</v>
      </c>
      <c r="BG4" s="1102" t="s">
        <v>129</v>
      </c>
      <c r="BH4" s="1103" t="s">
        <v>129</v>
      </c>
      <c r="BI4" s="1104" t="s">
        <v>130</v>
      </c>
      <c r="BJ4" s="1102" t="s">
        <v>130</v>
      </c>
      <c r="BK4" s="1102" t="s">
        <v>130</v>
      </c>
      <c r="BL4" s="1102" t="s">
        <v>130</v>
      </c>
      <c r="BM4" s="1102" t="s">
        <v>130</v>
      </c>
      <c r="BN4" s="1102" t="s">
        <v>130</v>
      </c>
      <c r="BO4" s="1105" t="s">
        <v>130</v>
      </c>
      <c r="BP4" s="1101" t="s">
        <v>338</v>
      </c>
      <c r="BQ4" s="1102" t="s">
        <v>338</v>
      </c>
      <c r="BR4" s="1102" t="s">
        <v>338</v>
      </c>
      <c r="BS4" s="1102" t="s">
        <v>338</v>
      </c>
      <c r="BT4" s="1102" t="s">
        <v>338</v>
      </c>
      <c r="BU4" s="1102" t="s">
        <v>338</v>
      </c>
      <c r="BV4" s="1103" t="s">
        <v>338</v>
      </c>
      <c r="BW4" s="690" t="s">
        <v>131</v>
      </c>
      <c r="BX4" s="477" t="s">
        <v>131</v>
      </c>
      <c r="BY4" s="477" t="s">
        <v>131</v>
      </c>
      <c r="BZ4" s="477" t="s">
        <v>131</v>
      </c>
      <c r="CA4" s="477" t="s">
        <v>131</v>
      </c>
      <c r="CB4" s="477" t="s">
        <v>131</v>
      </c>
      <c r="CC4" s="691" t="s">
        <v>131</v>
      </c>
      <c r="CD4" s="690" t="s">
        <v>132</v>
      </c>
      <c r="CE4" s="477" t="s">
        <v>132</v>
      </c>
      <c r="CF4" s="477" t="s">
        <v>132</v>
      </c>
      <c r="CG4" s="477" t="s">
        <v>132</v>
      </c>
      <c r="CH4" s="477" t="s">
        <v>132</v>
      </c>
      <c r="CI4" s="477" t="s">
        <v>132</v>
      </c>
      <c r="CJ4" s="691" t="s">
        <v>132</v>
      </c>
      <c r="CK4" s="477" t="s">
        <v>133</v>
      </c>
      <c r="CL4" s="477" t="s">
        <v>133</v>
      </c>
      <c r="CM4" s="477" t="s">
        <v>133</v>
      </c>
      <c r="CN4" s="477" t="s">
        <v>133</v>
      </c>
      <c r="CO4" s="477" t="s">
        <v>133</v>
      </c>
      <c r="CP4" s="477" t="s">
        <v>133</v>
      </c>
      <c r="CQ4" s="512" t="s">
        <v>133</v>
      </c>
      <c r="CR4" s="1101" t="s">
        <v>128</v>
      </c>
      <c r="CS4" s="1102" t="s">
        <v>128</v>
      </c>
      <c r="CT4" s="1102" t="s">
        <v>128</v>
      </c>
      <c r="CU4" s="1102" t="s">
        <v>128</v>
      </c>
      <c r="CV4" s="1102" t="s">
        <v>128</v>
      </c>
      <c r="CW4" s="1102" t="s">
        <v>128</v>
      </c>
      <c r="CX4" s="1103" t="s">
        <v>128</v>
      </c>
      <c r="CY4" s="1101" t="s">
        <v>129</v>
      </c>
      <c r="CZ4" s="1102" t="s">
        <v>129</v>
      </c>
      <c r="DA4" s="1102" t="s">
        <v>129</v>
      </c>
      <c r="DB4" s="1102" t="s">
        <v>129</v>
      </c>
      <c r="DC4" s="1102" t="s">
        <v>129</v>
      </c>
      <c r="DD4" s="1102" t="s">
        <v>129</v>
      </c>
      <c r="DE4" s="1103" t="s">
        <v>129</v>
      </c>
      <c r="DF4" s="1104" t="s">
        <v>130</v>
      </c>
      <c r="DG4" s="1102" t="s">
        <v>130</v>
      </c>
      <c r="DH4" s="1102" t="s">
        <v>130</v>
      </c>
      <c r="DI4" s="1102" t="s">
        <v>130</v>
      </c>
      <c r="DJ4" s="1102" t="s">
        <v>130</v>
      </c>
      <c r="DK4" s="1102" t="s">
        <v>130</v>
      </c>
      <c r="DL4" s="1105" t="s">
        <v>130</v>
      </c>
      <c r="DM4" s="1101" t="s">
        <v>165</v>
      </c>
      <c r="DN4" s="1102" t="s">
        <v>165</v>
      </c>
      <c r="DO4" s="1102" t="s">
        <v>165</v>
      </c>
      <c r="DP4" s="1102" t="s">
        <v>165</v>
      </c>
      <c r="DQ4" s="1102" t="s">
        <v>165</v>
      </c>
      <c r="DR4" s="1102" t="s">
        <v>165</v>
      </c>
      <c r="DS4" s="1103" t="s">
        <v>165</v>
      </c>
      <c r="DT4" s="690" t="s">
        <v>131</v>
      </c>
      <c r="DU4" s="477" t="s">
        <v>131</v>
      </c>
      <c r="DV4" s="477" t="s">
        <v>131</v>
      </c>
      <c r="DW4" s="477" t="s">
        <v>131</v>
      </c>
      <c r="DX4" s="477" t="s">
        <v>131</v>
      </c>
      <c r="DY4" s="477" t="s">
        <v>131</v>
      </c>
      <c r="DZ4" s="691" t="s">
        <v>131</v>
      </c>
      <c r="EA4" s="690" t="s">
        <v>132</v>
      </c>
      <c r="EB4" s="477" t="s">
        <v>132</v>
      </c>
      <c r="EC4" s="477" t="s">
        <v>132</v>
      </c>
      <c r="ED4" s="477" t="s">
        <v>132</v>
      </c>
      <c r="EE4" s="477" t="s">
        <v>132</v>
      </c>
      <c r="EF4" s="477" t="s">
        <v>132</v>
      </c>
      <c r="EG4" s="691" t="s">
        <v>132</v>
      </c>
      <c r="EH4" s="505" t="s">
        <v>133</v>
      </c>
      <c r="EI4" s="477" t="s">
        <v>133</v>
      </c>
      <c r="EJ4" s="477" t="s">
        <v>133</v>
      </c>
      <c r="EK4" s="477" t="s">
        <v>133</v>
      </c>
      <c r="EL4" s="477" t="s">
        <v>133</v>
      </c>
      <c r="EM4" s="477" t="s">
        <v>133</v>
      </c>
      <c r="EN4" s="691" t="s">
        <v>133</v>
      </c>
      <c r="EO4" s="1345" t="s">
        <v>134</v>
      </c>
      <c r="EP4" s="1342"/>
      <c r="EQ4" s="1342"/>
      <c r="ER4" s="1342"/>
      <c r="ES4" s="1342"/>
      <c r="ET4" s="1342"/>
      <c r="EU4" s="1342"/>
      <c r="EV4" s="1342"/>
    </row>
    <row r="5" spans="1:160"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95" t="s">
        <v>354</v>
      </c>
      <c r="V5" s="695" t="s">
        <v>355</v>
      </c>
      <c r="W5" s="695" t="s">
        <v>15</v>
      </c>
      <c r="X5" s="695" t="s">
        <v>16</v>
      </c>
      <c r="Y5" s="695" t="s">
        <v>17</v>
      </c>
      <c r="Z5" s="695" t="s">
        <v>18</v>
      </c>
      <c r="AA5" s="695" t="s">
        <v>19</v>
      </c>
      <c r="AB5" s="695" t="s">
        <v>20</v>
      </c>
      <c r="AC5" s="695" t="s">
        <v>21</v>
      </c>
      <c r="AD5" s="1106" t="s">
        <v>359</v>
      </c>
      <c r="AE5" s="1106" t="s">
        <v>166</v>
      </c>
      <c r="AF5" s="1106" t="s">
        <v>360</v>
      </c>
      <c r="AG5" s="1106" t="s">
        <v>361</v>
      </c>
      <c r="AH5" s="1106" t="s">
        <v>362</v>
      </c>
      <c r="AI5" s="1106" t="s">
        <v>363</v>
      </c>
      <c r="AJ5" s="1106" t="s">
        <v>364</v>
      </c>
      <c r="AK5" s="1106" t="s">
        <v>365</v>
      </c>
      <c r="AL5" s="1107" t="s">
        <v>167</v>
      </c>
      <c r="AM5" s="1107" t="s">
        <v>168</v>
      </c>
      <c r="AN5" s="1107" t="s">
        <v>169</v>
      </c>
      <c r="AO5" s="1106" t="s">
        <v>170</v>
      </c>
      <c r="AP5" s="1106" t="s">
        <v>366</v>
      </c>
      <c r="AQ5" s="1108" t="s">
        <v>367</v>
      </c>
      <c r="AR5" s="1108" t="s">
        <v>368</v>
      </c>
      <c r="AS5" s="1108" t="s">
        <v>369</v>
      </c>
      <c r="AT5" s="1108" t="s">
        <v>370</v>
      </c>
      <c r="AU5" s="1109">
        <v>2024</v>
      </c>
      <c r="AV5" s="1110">
        <v>2025</v>
      </c>
      <c r="AW5" s="1110">
        <v>2026</v>
      </c>
      <c r="AX5" s="1110">
        <v>2027</v>
      </c>
      <c r="AY5" s="1110">
        <v>2028</v>
      </c>
      <c r="AZ5" s="1110">
        <v>2029</v>
      </c>
      <c r="BA5" s="1111">
        <v>2030</v>
      </c>
      <c r="BB5" s="1109">
        <v>2024</v>
      </c>
      <c r="BC5" s="1110">
        <v>2025</v>
      </c>
      <c r="BD5" s="1110">
        <v>2026</v>
      </c>
      <c r="BE5" s="1110">
        <v>2027</v>
      </c>
      <c r="BF5" s="1110">
        <v>2028</v>
      </c>
      <c r="BG5" s="1110">
        <v>2029</v>
      </c>
      <c r="BH5" s="1111">
        <v>2030</v>
      </c>
      <c r="BI5" s="1112">
        <v>2024</v>
      </c>
      <c r="BJ5" s="1110">
        <v>2025</v>
      </c>
      <c r="BK5" s="1110">
        <v>2026</v>
      </c>
      <c r="BL5" s="1110">
        <v>2027</v>
      </c>
      <c r="BM5" s="1110">
        <v>2028</v>
      </c>
      <c r="BN5" s="1110">
        <v>2029</v>
      </c>
      <c r="BO5" s="1113">
        <v>2030</v>
      </c>
      <c r="BP5" s="1109">
        <v>2024</v>
      </c>
      <c r="BQ5" s="1110">
        <v>2025</v>
      </c>
      <c r="BR5" s="1110">
        <v>2026</v>
      </c>
      <c r="BS5" s="1110">
        <v>2027</v>
      </c>
      <c r="BT5" s="1110">
        <v>2028</v>
      </c>
      <c r="BU5" s="1110">
        <v>2029</v>
      </c>
      <c r="BV5" s="1111">
        <v>2030</v>
      </c>
      <c r="BW5" s="1114">
        <v>2024</v>
      </c>
      <c r="BX5" s="1115">
        <v>2025</v>
      </c>
      <c r="BY5" s="1115">
        <v>2026</v>
      </c>
      <c r="BZ5" s="1115">
        <v>2027</v>
      </c>
      <c r="CA5" s="1115">
        <v>2028</v>
      </c>
      <c r="CB5" s="1115">
        <v>2029</v>
      </c>
      <c r="CC5" s="1116">
        <v>2030</v>
      </c>
      <c r="CD5" s="1114">
        <v>2024</v>
      </c>
      <c r="CE5" s="1115">
        <v>2025</v>
      </c>
      <c r="CF5" s="1115">
        <v>2026</v>
      </c>
      <c r="CG5" s="1115">
        <v>2027</v>
      </c>
      <c r="CH5" s="1115">
        <v>2028</v>
      </c>
      <c r="CI5" s="1115">
        <v>2029</v>
      </c>
      <c r="CJ5" s="1116">
        <v>2030</v>
      </c>
      <c r="CK5" s="1115">
        <v>2024</v>
      </c>
      <c r="CL5" s="1115">
        <v>2025</v>
      </c>
      <c r="CM5" s="1115">
        <v>2026</v>
      </c>
      <c r="CN5" s="1115">
        <v>2027</v>
      </c>
      <c r="CO5" s="1115">
        <v>2028</v>
      </c>
      <c r="CP5" s="1115">
        <v>2029</v>
      </c>
      <c r="CQ5" s="1117">
        <v>2030</v>
      </c>
      <c r="CR5" s="1109">
        <v>2024</v>
      </c>
      <c r="CS5" s="1110">
        <v>2025</v>
      </c>
      <c r="CT5" s="1110">
        <v>2026</v>
      </c>
      <c r="CU5" s="1110">
        <v>2027</v>
      </c>
      <c r="CV5" s="1110">
        <v>2028</v>
      </c>
      <c r="CW5" s="1110">
        <v>2029</v>
      </c>
      <c r="CX5" s="1111">
        <v>2030</v>
      </c>
      <c r="CY5" s="1109">
        <v>2024</v>
      </c>
      <c r="CZ5" s="1110">
        <v>2025</v>
      </c>
      <c r="DA5" s="1110">
        <v>2026</v>
      </c>
      <c r="DB5" s="1110">
        <v>2027</v>
      </c>
      <c r="DC5" s="1110">
        <v>2028</v>
      </c>
      <c r="DD5" s="1110">
        <v>2029</v>
      </c>
      <c r="DE5" s="1111">
        <v>2030</v>
      </c>
      <c r="DF5" s="1112">
        <v>2024</v>
      </c>
      <c r="DG5" s="1110">
        <v>2025</v>
      </c>
      <c r="DH5" s="1110">
        <v>2026</v>
      </c>
      <c r="DI5" s="1110">
        <v>2027</v>
      </c>
      <c r="DJ5" s="1110">
        <v>2028</v>
      </c>
      <c r="DK5" s="1110">
        <v>2029</v>
      </c>
      <c r="DL5" s="1113">
        <v>2030</v>
      </c>
      <c r="DM5" s="1109">
        <v>2024</v>
      </c>
      <c r="DN5" s="1110">
        <v>2025</v>
      </c>
      <c r="DO5" s="1110">
        <v>2026</v>
      </c>
      <c r="DP5" s="1110">
        <v>2027</v>
      </c>
      <c r="DQ5" s="1110">
        <v>2028</v>
      </c>
      <c r="DR5" s="1110">
        <v>2029</v>
      </c>
      <c r="DS5" s="1111">
        <v>2030</v>
      </c>
      <c r="DT5" s="1114">
        <v>2024</v>
      </c>
      <c r="DU5" s="1115">
        <v>2025</v>
      </c>
      <c r="DV5" s="1115">
        <v>2026</v>
      </c>
      <c r="DW5" s="1115">
        <v>2027</v>
      </c>
      <c r="DX5" s="1115">
        <v>2028</v>
      </c>
      <c r="DY5" s="1115">
        <v>2029</v>
      </c>
      <c r="DZ5" s="1116">
        <v>2030</v>
      </c>
      <c r="EA5" s="1114">
        <v>2024</v>
      </c>
      <c r="EB5" s="1115">
        <v>2025</v>
      </c>
      <c r="EC5" s="1115">
        <v>2026</v>
      </c>
      <c r="ED5" s="1115">
        <v>2027</v>
      </c>
      <c r="EE5" s="1115">
        <v>2028</v>
      </c>
      <c r="EF5" s="1115">
        <v>2029</v>
      </c>
      <c r="EG5" s="1116">
        <v>2030</v>
      </c>
      <c r="EH5" s="1118">
        <v>2024</v>
      </c>
      <c r="EI5" s="1115">
        <v>2025</v>
      </c>
      <c r="EJ5" s="1115">
        <v>2026</v>
      </c>
      <c r="EK5" s="1115">
        <v>2027</v>
      </c>
      <c r="EL5" s="1115">
        <v>2028</v>
      </c>
      <c r="EM5" s="1115">
        <v>2029</v>
      </c>
      <c r="EN5" s="1116">
        <v>2030</v>
      </c>
      <c r="EO5" s="514" t="s">
        <v>9</v>
      </c>
      <c r="EP5" s="659" t="s">
        <v>139</v>
      </c>
      <c r="EQ5" s="659" t="s">
        <v>140</v>
      </c>
      <c r="ER5" s="659" t="s">
        <v>141</v>
      </c>
      <c r="ES5" s="659" t="s">
        <v>142</v>
      </c>
      <c r="ET5" s="659" t="s">
        <v>12</v>
      </c>
      <c r="EU5" s="659" t="s">
        <v>13</v>
      </c>
      <c r="EV5" s="659" t="s">
        <v>14</v>
      </c>
    </row>
    <row r="6" spans="1:160" s="10" customFormat="1" ht="12.5">
      <c r="A6" s="662">
        <v>1</v>
      </c>
      <c r="B6" s="789" t="s">
        <v>1512</v>
      </c>
      <c r="C6" s="662" t="s">
        <v>1513</v>
      </c>
      <c r="D6" s="715" t="s">
        <v>1514</v>
      </c>
      <c r="E6" s="1119" t="s">
        <v>1515</v>
      </c>
      <c r="F6" s="1120" t="s">
        <v>402</v>
      </c>
      <c r="G6" s="1120">
        <v>0</v>
      </c>
      <c r="H6" s="1121">
        <v>0</v>
      </c>
      <c r="I6" s="1121">
        <f>G6+H6</f>
        <v>0</v>
      </c>
      <c r="J6" s="1121">
        <v>0</v>
      </c>
      <c r="K6" s="1121" t="s">
        <v>378</v>
      </c>
      <c r="L6" s="1121" t="s">
        <v>378</v>
      </c>
      <c r="M6" s="1122">
        <v>20</v>
      </c>
      <c r="N6" s="1122"/>
      <c r="O6" s="707">
        <v>0</v>
      </c>
      <c r="P6" s="707">
        <v>0</v>
      </c>
      <c r="Q6" s="715">
        <v>0</v>
      </c>
      <c r="R6" s="1123">
        <v>0.7</v>
      </c>
      <c r="S6" s="715">
        <v>0</v>
      </c>
      <c r="T6" s="711" t="s">
        <v>1516</v>
      </c>
      <c r="U6" s="1124">
        <v>-0.1</v>
      </c>
      <c r="V6" s="1125">
        <v>1</v>
      </c>
      <c r="W6" s="781">
        <v>139200</v>
      </c>
      <c r="X6" s="781">
        <f t="shared" ref="X6:AC6" si="17">ROUNDDOWN((W6+($U6*W6)),-2)</f>
        <v>125200</v>
      </c>
      <c r="Y6" s="781">
        <f t="shared" si="17"/>
        <v>112600</v>
      </c>
      <c r="Z6" s="781">
        <f t="shared" si="17"/>
        <v>101300</v>
      </c>
      <c r="AA6" s="781">
        <f t="shared" si="17"/>
        <v>91100</v>
      </c>
      <c r="AB6" s="781">
        <f t="shared" si="17"/>
        <v>81900</v>
      </c>
      <c r="AC6" s="781">
        <f t="shared" si="17"/>
        <v>73700</v>
      </c>
      <c r="AD6" s="1126" t="s">
        <v>384</v>
      </c>
      <c r="AE6" s="1126" t="s">
        <v>375</v>
      </c>
      <c r="AF6" s="1126" t="s">
        <v>376</v>
      </c>
      <c r="AG6" s="1126" t="s">
        <v>454</v>
      </c>
      <c r="AH6" s="1126" t="s">
        <v>1</v>
      </c>
      <c r="AI6" s="1126" t="s">
        <v>378</v>
      </c>
      <c r="AJ6" s="1126" t="s">
        <v>378</v>
      </c>
      <c r="AK6" s="1126" t="s">
        <v>378</v>
      </c>
      <c r="AL6" s="715" t="s">
        <v>406</v>
      </c>
      <c r="AM6" s="715" t="s">
        <v>380</v>
      </c>
      <c r="AN6" s="715" t="s">
        <v>381</v>
      </c>
      <c r="AO6" s="1126">
        <v>1</v>
      </c>
      <c r="AP6" s="1126">
        <v>1</v>
      </c>
      <c r="AQ6" s="1126" t="s">
        <v>1517</v>
      </c>
      <c r="AR6" s="1127">
        <v>1</v>
      </c>
      <c r="AS6" s="1127">
        <v>1</v>
      </c>
      <c r="AT6" s="1128">
        <v>0</v>
      </c>
      <c r="AU6" s="1129">
        <f>I6</f>
        <v>0</v>
      </c>
      <c r="AV6" s="1130">
        <f t="shared" ref="AV6:AW6" si="18">AU6</f>
        <v>0</v>
      </c>
      <c r="AW6" s="1130">
        <f t="shared" si="18"/>
        <v>0</v>
      </c>
      <c r="AX6" s="1130">
        <f t="shared" ref="AX6" si="19">AU6</f>
        <v>0</v>
      </c>
      <c r="AY6" s="1130">
        <f t="shared" ref="AY6:AY13" si="20">AV6</f>
        <v>0</v>
      </c>
      <c r="AZ6" s="1130">
        <f t="shared" ref="AZ6:BA13" si="21">AW6</f>
        <v>0</v>
      </c>
      <c r="BA6" s="1131">
        <f t="shared" si="21"/>
        <v>0</v>
      </c>
      <c r="BB6" s="1129">
        <f>J6</f>
        <v>0</v>
      </c>
      <c r="BC6" s="1130">
        <f t="shared" ref="BC6:BE6" si="22">BB6</f>
        <v>0</v>
      </c>
      <c r="BD6" s="1130">
        <f t="shared" si="22"/>
        <v>0</v>
      </c>
      <c r="BE6" s="1130">
        <f t="shared" si="22"/>
        <v>0</v>
      </c>
      <c r="BF6" s="1130">
        <f t="shared" ref="BF6:BF13" si="23">BE6</f>
        <v>0</v>
      </c>
      <c r="BG6" s="1130">
        <f t="shared" ref="BG6:BH13" si="24">BF6</f>
        <v>0</v>
      </c>
      <c r="BH6" s="1131">
        <f t="shared" si="24"/>
        <v>0</v>
      </c>
      <c r="BI6" s="1132">
        <f>5*2</f>
        <v>10</v>
      </c>
      <c r="BJ6" s="1130">
        <f>5*2</f>
        <v>10</v>
      </c>
      <c r="BK6" s="1130">
        <f>5*2</f>
        <v>10</v>
      </c>
      <c r="BL6" s="1130">
        <f>5*5</f>
        <v>25</v>
      </c>
      <c r="BM6" s="1130">
        <f>5*20</f>
        <v>100</v>
      </c>
      <c r="BN6" s="1130">
        <f>5*20</f>
        <v>100</v>
      </c>
      <c r="BO6" s="1130">
        <f>5*20</f>
        <v>100</v>
      </c>
      <c r="BP6" s="1129">
        <f t="shared" ref="BP6:BV20" si="25">$P6</f>
        <v>0</v>
      </c>
      <c r="BQ6" s="1032">
        <f t="shared" si="25"/>
        <v>0</v>
      </c>
      <c r="BR6" s="1032">
        <f t="shared" si="25"/>
        <v>0</v>
      </c>
      <c r="BS6" s="1032">
        <f t="shared" si="25"/>
        <v>0</v>
      </c>
      <c r="BT6" s="1032">
        <f t="shared" si="25"/>
        <v>0</v>
      </c>
      <c r="BU6" s="1032">
        <f t="shared" si="25"/>
        <v>0</v>
      </c>
      <c r="BV6" s="1133">
        <f t="shared" si="25"/>
        <v>0</v>
      </c>
      <c r="BW6" s="722">
        <f>Q6*AS6</f>
        <v>0</v>
      </c>
      <c r="BX6" s="511">
        <f t="shared" ref="BX6:BZ11" si="26">BW6</f>
        <v>0</v>
      </c>
      <c r="BY6" s="511">
        <f t="shared" si="26"/>
        <v>0</v>
      </c>
      <c r="BZ6" s="511">
        <f t="shared" si="26"/>
        <v>0</v>
      </c>
      <c r="CA6" s="511">
        <f t="shared" ref="CA6:CA13" si="27">BZ6</f>
        <v>0</v>
      </c>
      <c r="CB6" s="511">
        <f>CA6</f>
        <v>0</v>
      </c>
      <c r="CC6" s="723">
        <f>CB6</f>
        <v>0</v>
      </c>
      <c r="CD6" s="722">
        <f>R6*AS6</f>
        <v>0.7</v>
      </c>
      <c r="CE6" s="511">
        <f t="shared" ref="CE6:CG11" si="28">CD6</f>
        <v>0.7</v>
      </c>
      <c r="CF6" s="511">
        <f t="shared" si="28"/>
        <v>0.7</v>
      </c>
      <c r="CG6" s="511">
        <f t="shared" si="28"/>
        <v>0.7</v>
      </c>
      <c r="CH6" s="511">
        <f t="shared" ref="CH6:CH13" si="29">CG6</f>
        <v>0.7</v>
      </c>
      <c r="CI6" s="511">
        <f t="shared" ref="CI6:CJ13" si="30">CH6</f>
        <v>0.7</v>
      </c>
      <c r="CJ6" s="723">
        <f t="shared" si="30"/>
        <v>0.7</v>
      </c>
      <c r="CK6" s="511">
        <f>S6*AT6</f>
        <v>0</v>
      </c>
      <c r="CL6" s="511">
        <f t="shared" ref="CL6:CN11" si="31">CK6</f>
        <v>0</v>
      </c>
      <c r="CM6" s="511">
        <f t="shared" si="31"/>
        <v>0</v>
      </c>
      <c r="CN6" s="511">
        <f t="shared" si="31"/>
        <v>0</v>
      </c>
      <c r="CO6" s="511">
        <f t="shared" ref="CO6:CO13" si="32">CN6</f>
        <v>0</v>
      </c>
      <c r="CP6" s="511">
        <f t="shared" ref="CP6:CQ13" si="33">CO6</f>
        <v>0</v>
      </c>
      <c r="CQ6" s="539">
        <f t="shared" si="33"/>
        <v>0</v>
      </c>
      <c r="CR6" s="724">
        <f t="shared" ref="CR6:CR13" si="34">W6*AU6</f>
        <v>0</v>
      </c>
      <c r="CS6" s="508">
        <f>X6*AV6</f>
        <v>0</v>
      </c>
      <c r="CT6" s="508">
        <f t="shared" ref="CT6:CT13" si="35">Y6*AW6</f>
        <v>0</v>
      </c>
      <c r="CU6" s="508">
        <f t="shared" ref="CU6:CU13" si="36">Z6*AX6</f>
        <v>0</v>
      </c>
      <c r="CV6" s="508">
        <f t="shared" ref="CV6:CV13" si="37">AA6*AY6</f>
        <v>0</v>
      </c>
      <c r="CW6" s="508">
        <f t="shared" ref="CW6:CW13" si="38">AB6*AZ6</f>
        <v>0</v>
      </c>
      <c r="CX6" s="725">
        <f t="shared" ref="CX6:CX13" si="39">AC6*BA6</f>
        <v>0</v>
      </c>
      <c r="CY6" s="724">
        <f t="shared" ref="CY6:CY13" si="40">W6*BB6</f>
        <v>0</v>
      </c>
      <c r="CZ6" s="508">
        <f>X6*BC6</f>
        <v>0</v>
      </c>
      <c r="DA6" s="508">
        <f t="shared" ref="DA6:DA13" si="41">Y6*BD6</f>
        <v>0</v>
      </c>
      <c r="DB6" s="508">
        <f t="shared" ref="DB6:DB13" si="42">Z6*BE6</f>
        <v>0</v>
      </c>
      <c r="DC6" s="508">
        <f t="shared" ref="DC6:DC13" si="43">AA6*BF6</f>
        <v>0</v>
      </c>
      <c r="DD6" s="508">
        <f t="shared" ref="DD6:DD13" si="44">AB6*BG6</f>
        <v>0</v>
      </c>
      <c r="DE6" s="725">
        <f t="shared" ref="DE6:DE13" si="45">AC6*BH6</f>
        <v>0</v>
      </c>
      <c r="DF6" s="509">
        <f>W6*BI6</f>
        <v>1392000</v>
      </c>
      <c r="DG6" s="508">
        <f>X6*BJ6</f>
        <v>1252000</v>
      </c>
      <c r="DH6" s="508">
        <f t="shared" ref="DH6:DH13" si="46">Y6*BK6</f>
        <v>1126000</v>
      </c>
      <c r="DI6" s="508">
        <f t="shared" ref="DI6:DI13" si="47">Z6*BL6</f>
        <v>2532500</v>
      </c>
      <c r="DJ6" s="508">
        <f t="shared" ref="DJ6:DJ13" si="48">AA6*BM6</f>
        <v>9110000</v>
      </c>
      <c r="DK6" s="508">
        <f t="shared" ref="DK6:DK13" si="49">AB6*BN6</f>
        <v>8190000</v>
      </c>
      <c r="DL6" s="726">
        <f t="shared" ref="DL6:DL13" si="50">AC6*BO6</f>
        <v>7370000</v>
      </c>
      <c r="DM6" s="724">
        <f t="shared" ref="DM6:DM13" si="51">BP6*W6</f>
        <v>0</v>
      </c>
      <c r="DN6" s="508">
        <f>BQ6*X6</f>
        <v>0</v>
      </c>
      <c r="DO6" s="508">
        <f t="shared" ref="DO6:DO13" si="52">BR6*Y6</f>
        <v>0</v>
      </c>
      <c r="DP6" s="508">
        <f t="shared" ref="DP6:DP13" si="53">BS6*Z6</f>
        <v>0</v>
      </c>
      <c r="DQ6" s="508">
        <f t="shared" ref="DQ6:DQ13" si="54">BT6*AA6</f>
        <v>0</v>
      </c>
      <c r="DR6" s="508">
        <f t="shared" ref="DR6:DR13" si="55">BU6*AB6</f>
        <v>0</v>
      </c>
      <c r="DS6" s="725">
        <f t="shared" ref="DS6:DS13" si="56">BV6*AC6</f>
        <v>0</v>
      </c>
      <c r="DT6" s="722">
        <f t="shared" ref="DT6:DT13" si="57">W6*BW6</f>
        <v>0</v>
      </c>
      <c r="DU6" s="511">
        <f>X6*BX6</f>
        <v>0</v>
      </c>
      <c r="DV6" s="511">
        <f t="shared" ref="DV6:DV13" si="58">Y6*BY6</f>
        <v>0</v>
      </c>
      <c r="DW6" s="511">
        <f t="shared" ref="DW6:DW13" si="59">Z6*BZ6</f>
        <v>0</v>
      </c>
      <c r="DX6" s="511">
        <f t="shared" ref="DX6:DX13" si="60">AA6*CA6</f>
        <v>0</v>
      </c>
      <c r="DY6" s="511">
        <f t="shared" ref="DY6:DY13" si="61">AB6*CB6</f>
        <v>0</v>
      </c>
      <c r="DZ6" s="723">
        <f t="shared" ref="DZ6:DZ13" si="62">AC6*CC6</f>
        <v>0</v>
      </c>
      <c r="EA6" s="722">
        <f t="shared" ref="EA6:EA13" si="63">W6*CD6</f>
        <v>97440</v>
      </c>
      <c r="EB6" s="511">
        <f>X6*CE6</f>
        <v>87640</v>
      </c>
      <c r="EC6" s="511">
        <f t="shared" ref="EC6:EC13" si="64">Y6*CF6</f>
        <v>78820</v>
      </c>
      <c r="ED6" s="511">
        <f t="shared" ref="ED6:ED13" si="65">Z6*CG6</f>
        <v>70910</v>
      </c>
      <c r="EE6" s="511">
        <f t="shared" ref="EE6:EE13" si="66">AA6*CH6</f>
        <v>63769.999999999993</v>
      </c>
      <c r="EF6" s="511">
        <f t="shared" ref="EF6:EF13" si="67">AB6*CI6</f>
        <v>57330</v>
      </c>
      <c r="EG6" s="723">
        <f t="shared" ref="EG6:EG13" si="68">AC6*CJ6</f>
        <v>51590</v>
      </c>
      <c r="EH6" s="507">
        <f t="shared" ref="EH6:EH13" si="69">W6*CK6</f>
        <v>0</v>
      </c>
      <c r="EI6" s="511">
        <f>X6*CL6</f>
        <v>0</v>
      </c>
      <c r="EJ6" s="511">
        <f t="shared" ref="EJ6:EJ13" si="70">Y6*CM6</f>
        <v>0</v>
      </c>
      <c r="EK6" s="511">
        <f t="shared" ref="EK6:EK13" si="71">Z6*CN6</f>
        <v>0</v>
      </c>
      <c r="EL6" s="511">
        <f t="shared" ref="EL6:EL13" si="72">AA6*CO6</f>
        <v>0</v>
      </c>
      <c r="EM6" s="511">
        <f t="shared" ref="EM6:EM13" si="73">AB6*CP6</f>
        <v>0</v>
      </c>
      <c r="EN6" s="723">
        <f t="shared" ref="EN6:EN13" si="74">AC6*CQ6</f>
        <v>0</v>
      </c>
      <c r="EO6" s="977">
        <f>AVERAGE(W6:AC6)</f>
        <v>103571.42857142857</v>
      </c>
      <c r="EP6" s="728">
        <f>SUM(CR6:CX6)</f>
        <v>0</v>
      </c>
      <c r="EQ6" s="728">
        <f>SUM(CY6:DE6)</f>
        <v>0</v>
      </c>
      <c r="ER6" s="728">
        <f>SUM(DF6:DL6)</f>
        <v>30972500</v>
      </c>
      <c r="ES6" s="728">
        <f>SUM(DM6:DS6)</f>
        <v>0</v>
      </c>
      <c r="ET6" s="978">
        <f>DZ6</f>
        <v>0</v>
      </c>
      <c r="EU6" s="978">
        <f>MAX(EA6:EG6)</f>
        <v>97440</v>
      </c>
      <c r="EV6" s="778">
        <f>SUM(EH6:EN6)</f>
        <v>0</v>
      </c>
      <c r="EX6" s="10" t="b">
        <f t="shared" ref="EX6:FD13" si="75">EO6=SUM(EO15,EO24)</f>
        <v>1</v>
      </c>
      <c r="EY6" s="10" t="b">
        <f t="shared" si="75"/>
        <v>1</v>
      </c>
      <c r="EZ6" s="10" t="b">
        <f t="shared" si="75"/>
        <v>1</v>
      </c>
      <c r="FA6" s="10" t="b">
        <f t="shared" si="75"/>
        <v>1</v>
      </c>
      <c r="FB6" s="10" t="b">
        <f t="shared" si="75"/>
        <v>1</v>
      </c>
      <c r="FC6" s="10" t="b">
        <f t="shared" si="75"/>
        <v>1</v>
      </c>
      <c r="FD6" s="10" t="b">
        <f t="shared" si="75"/>
        <v>1</v>
      </c>
    </row>
    <row r="7" spans="1:160" s="10" customFormat="1" ht="12.5">
      <c r="A7" s="662">
        <v>2</v>
      </c>
      <c r="B7" s="789" t="s">
        <v>1518</v>
      </c>
      <c r="C7" s="662" t="s">
        <v>1519</v>
      </c>
      <c r="D7" s="715" t="s">
        <v>1514</v>
      </c>
      <c r="E7" s="1119" t="s">
        <v>1515</v>
      </c>
      <c r="F7" s="1120" t="s">
        <v>402</v>
      </c>
      <c r="G7" s="1120">
        <v>0</v>
      </c>
      <c r="H7" s="1120">
        <v>0</v>
      </c>
      <c r="I7" s="1121">
        <f t="shared" ref="I7:I11" si="76">G7+H7</f>
        <v>0</v>
      </c>
      <c r="J7" s="1121">
        <v>0</v>
      </c>
      <c r="K7" s="1121" t="s">
        <v>378</v>
      </c>
      <c r="L7" s="1121" t="s">
        <v>378</v>
      </c>
      <c r="M7" s="1122">
        <v>8</v>
      </c>
      <c r="N7" s="1122">
        <f>4*20</f>
        <v>80</v>
      </c>
      <c r="O7" s="1134">
        <v>0</v>
      </c>
      <c r="P7" s="1134">
        <v>0</v>
      </c>
      <c r="Q7" s="715">
        <v>0</v>
      </c>
      <c r="R7" s="1135">
        <v>0.4</v>
      </c>
      <c r="S7" s="715">
        <v>0</v>
      </c>
      <c r="T7" s="711" t="s">
        <v>1516</v>
      </c>
      <c r="U7" s="1124">
        <v>-0.1</v>
      </c>
      <c r="V7" s="1125">
        <v>1</v>
      </c>
      <c r="W7" s="781">
        <v>7600</v>
      </c>
      <c r="X7" s="781">
        <f>ROUNDDOWN((W7+($U7*W7)),-2)</f>
        <v>6800</v>
      </c>
      <c r="Y7" s="781">
        <f>ROUNDDOWN((X7+($U7*X7)),-2)</f>
        <v>6100</v>
      </c>
      <c r="Z7" s="781">
        <f t="shared" ref="Z7:AC7" si="77">ROUNDDOWN((Y7+($U7*Y7)),-2)</f>
        <v>5400</v>
      </c>
      <c r="AA7" s="781">
        <f t="shared" si="77"/>
        <v>4800</v>
      </c>
      <c r="AB7" s="781">
        <f t="shared" si="77"/>
        <v>4300</v>
      </c>
      <c r="AC7" s="781">
        <f t="shared" si="77"/>
        <v>3800</v>
      </c>
      <c r="AD7" s="1126" t="s">
        <v>384</v>
      </c>
      <c r="AE7" s="1126" t="s">
        <v>375</v>
      </c>
      <c r="AF7" s="1126" t="s">
        <v>376</v>
      </c>
      <c r="AG7" s="1126" t="s">
        <v>753</v>
      </c>
      <c r="AH7" s="1126" t="s">
        <v>1</v>
      </c>
      <c r="AI7" s="1126" t="s">
        <v>378</v>
      </c>
      <c r="AJ7" s="1126" t="s">
        <v>378</v>
      </c>
      <c r="AK7" s="1126" t="s">
        <v>378</v>
      </c>
      <c r="AL7" s="715" t="s">
        <v>943</v>
      </c>
      <c r="AM7" s="715" t="s">
        <v>380</v>
      </c>
      <c r="AN7" s="715" t="s">
        <v>381</v>
      </c>
      <c r="AO7" s="1126">
        <v>1</v>
      </c>
      <c r="AP7" s="1126">
        <v>1</v>
      </c>
      <c r="AQ7" s="1126" t="s">
        <v>1517</v>
      </c>
      <c r="AR7" s="1127">
        <v>1</v>
      </c>
      <c r="AS7" s="1127">
        <v>1</v>
      </c>
      <c r="AT7" s="1128">
        <v>0</v>
      </c>
      <c r="AU7" s="1129">
        <f t="shared" ref="AU7:AU13" si="78">I7</f>
        <v>0</v>
      </c>
      <c r="AV7" s="1130">
        <f t="shared" ref="AV7:AV15" si="79">AU7</f>
        <v>0</v>
      </c>
      <c r="AW7" s="1130">
        <f t="shared" ref="AW7:AW15" si="80">AV7</f>
        <v>0</v>
      </c>
      <c r="AX7" s="1130">
        <f t="shared" ref="AX7:AX15" si="81">AU7</f>
        <v>0</v>
      </c>
      <c r="AY7" s="1130">
        <f t="shared" si="20"/>
        <v>0</v>
      </c>
      <c r="AZ7" s="1130">
        <f t="shared" si="21"/>
        <v>0</v>
      </c>
      <c r="BA7" s="1131">
        <f t="shared" si="21"/>
        <v>0</v>
      </c>
      <c r="BB7" s="1129">
        <f t="shared" ref="BB7:BB13" si="82">J7</f>
        <v>0</v>
      </c>
      <c r="BC7" s="1130">
        <f t="shared" ref="BC7:BC15" si="83">BB7</f>
        <v>0</v>
      </c>
      <c r="BD7" s="1130">
        <f t="shared" ref="BD7:BD15" si="84">BC7</f>
        <v>0</v>
      </c>
      <c r="BE7" s="1130">
        <f t="shared" ref="BE7:BE15" si="85">BD7</f>
        <v>0</v>
      </c>
      <c r="BF7" s="1130">
        <f t="shared" si="23"/>
        <v>0</v>
      </c>
      <c r="BG7" s="1130">
        <f t="shared" si="24"/>
        <v>0</v>
      </c>
      <c r="BH7" s="1131">
        <f t="shared" si="24"/>
        <v>0</v>
      </c>
      <c r="BI7" s="1132">
        <f t="shared" ref="BI7:BI13" si="86">N7+O7</f>
        <v>80</v>
      </c>
      <c r="BJ7" s="1130">
        <f t="shared" ref="BJ7:BJ11" si="87">BI7</f>
        <v>80</v>
      </c>
      <c r="BK7" s="1130">
        <f t="shared" ref="BK7:BK11" si="88">BJ7</f>
        <v>80</v>
      </c>
      <c r="BL7" s="1130">
        <f t="shared" ref="BL7:BL11" si="89">BK7</f>
        <v>80</v>
      </c>
      <c r="BM7" s="1130">
        <f t="shared" ref="BM7:BM13" si="90">BL7</f>
        <v>80</v>
      </c>
      <c r="BN7" s="1130">
        <f t="shared" ref="BN7:BO13" si="91">BM7</f>
        <v>80</v>
      </c>
      <c r="BO7" s="1136">
        <f t="shared" si="91"/>
        <v>80</v>
      </c>
      <c r="BP7" s="1129">
        <f t="shared" si="25"/>
        <v>0</v>
      </c>
      <c r="BQ7" s="1032">
        <f t="shared" si="25"/>
        <v>0</v>
      </c>
      <c r="BR7" s="1032">
        <f t="shared" si="25"/>
        <v>0</v>
      </c>
      <c r="BS7" s="1032">
        <f t="shared" si="25"/>
        <v>0</v>
      </c>
      <c r="BT7" s="1032">
        <f t="shared" si="25"/>
        <v>0</v>
      </c>
      <c r="BU7" s="1032">
        <f t="shared" si="25"/>
        <v>0</v>
      </c>
      <c r="BV7" s="1133">
        <f t="shared" si="25"/>
        <v>0</v>
      </c>
      <c r="BW7" s="722">
        <f t="shared" ref="BW7:BW13" si="92">Q7*AS7</f>
        <v>0</v>
      </c>
      <c r="BX7" s="511">
        <f t="shared" si="26"/>
        <v>0</v>
      </c>
      <c r="BY7" s="511">
        <f t="shared" si="26"/>
        <v>0</v>
      </c>
      <c r="BZ7" s="511">
        <f t="shared" si="26"/>
        <v>0</v>
      </c>
      <c r="CA7" s="511">
        <f t="shared" si="27"/>
        <v>0</v>
      </c>
      <c r="CB7" s="511">
        <f t="shared" ref="CB7:CC13" si="93">CA7</f>
        <v>0</v>
      </c>
      <c r="CC7" s="723">
        <f t="shared" si="93"/>
        <v>0</v>
      </c>
      <c r="CD7" s="722">
        <f t="shared" ref="CD7:CD13" si="94">R7*AS7</f>
        <v>0.4</v>
      </c>
      <c r="CE7" s="511">
        <f t="shared" si="28"/>
        <v>0.4</v>
      </c>
      <c r="CF7" s="511">
        <f t="shared" si="28"/>
        <v>0.4</v>
      </c>
      <c r="CG7" s="511">
        <f t="shared" si="28"/>
        <v>0.4</v>
      </c>
      <c r="CH7" s="511">
        <f t="shared" si="29"/>
        <v>0.4</v>
      </c>
      <c r="CI7" s="511">
        <f t="shared" si="30"/>
        <v>0.4</v>
      </c>
      <c r="CJ7" s="723">
        <f t="shared" si="30"/>
        <v>0.4</v>
      </c>
      <c r="CK7" s="511">
        <f t="shared" ref="CK7:CK13" si="95">S7*AT7</f>
        <v>0</v>
      </c>
      <c r="CL7" s="511">
        <f t="shared" si="31"/>
        <v>0</v>
      </c>
      <c r="CM7" s="511">
        <f t="shared" si="31"/>
        <v>0</v>
      </c>
      <c r="CN7" s="511">
        <f t="shared" si="31"/>
        <v>0</v>
      </c>
      <c r="CO7" s="511">
        <f t="shared" si="32"/>
        <v>0</v>
      </c>
      <c r="CP7" s="511">
        <f t="shared" si="33"/>
        <v>0</v>
      </c>
      <c r="CQ7" s="539">
        <f t="shared" si="33"/>
        <v>0</v>
      </c>
      <c r="CR7" s="724">
        <f t="shared" si="34"/>
        <v>0</v>
      </c>
      <c r="CS7" s="508">
        <f>X7*AV7</f>
        <v>0</v>
      </c>
      <c r="CT7" s="508">
        <f t="shared" si="35"/>
        <v>0</v>
      </c>
      <c r="CU7" s="508">
        <f t="shared" si="36"/>
        <v>0</v>
      </c>
      <c r="CV7" s="508">
        <f t="shared" si="37"/>
        <v>0</v>
      </c>
      <c r="CW7" s="508">
        <f t="shared" si="38"/>
        <v>0</v>
      </c>
      <c r="CX7" s="725">
        <f t="shared" si="39"/>
        <v>0</v>
      </c>
      <c r="CY7" s="724">
        <f t="shared" si="40"/>
        <v>0</v>
      </c>
      <c r="CZ7" s="508">
        <f>X7*BC7</f>
        <v>0</v>
      </c>
      <c r="DA7" s="508">
        <f t="shared" si="41"/>
        <v>0</v>
      </c>
      <c r="DB7" s="508">
        <f t="shared" si="42"/>
        <v>0</v>
      </c>
      <c r="DC7" s="508">
        <f t="shared" si="43"/>
        <v>0</v>
      </c>
      <c r="DD7" s="508">
        <f t="shared" si="44"/>
        <v>0</v>
      </c>
      <c r="DE7" s="725">
        <f t="shared" si="45"/>
        <v>0</v>
      </c>
      <c r="DF7" s="509">
        <f t="shared" ref="DF7:DF13" si="96">W7*BI7</f>
        <v>608000</v>
      </c>
      <c r="DG7" s="508">
        <f>X7*BJ7</f>
        <v>544000</v>
      </c>
      <c r="DH7" s="508">
        <f t="shared" si="46"/>
        <v>488000</v>
      </c>
      <c r="DI7" s="508">
        <f t="shared" si="47"/>
        <v>432000</v>
      </c>
      <c r="DJ7" s="508">
        <f t="shared" si="48"/>
        <v>384000</v>
      </c>
      <c r="DK7" s="508">
        <f t="shared" si="49"/>
        <v>344000</v>
      </c>
      <c r="DL7" s="726">
        <f t="shared" si="50"/>
        <v>304000</v>
      </c>
      <c r="DM7" s="724">
        <f t="shared" si="51"/>
        <v>0</v>
      </c>
      <c r="DN7" s="508">
        <f>BQ7*X7</f>
        <v>0</v>
      </c>
      <c r="DO7" s="508">
        <f t="shared" si="52"/>
        <v>0</v>
      </c>
      <c r="DP7" s="508">
        <f t="shared" si="53"/>
        <v>0</v>
      </c>
      <c r="DQ7" s="508">
        <f t="shared" si="54"/>
        <v>0</v>
      </c>
      <c r="DR7" s="508">
        <f t="shared" si="55"/>
        <v>0</v>
      </c>
      <c r="DS7" s="725">
        <f t="shared" si="56"/>
        <v>0</v>
      </c>
      <c r="DT7" s="722">
        <f t="shared" si="57"/>
        <v>0</v>
      </c>
      <c r="DU7" s="511">
        <f>X7*BX7</f>
        <v>0</v>
      </c>
      <c r="DV7" s="511">
        <f t="shared" si="58"/>
        <v>0</v>
      </c>
      <c r="DW7" s="511">
        <f t="shared" si="59"/>
        <v>0</v>
      </c>
      <c r="DX7" s="511">
        <f t="shared" si="60"/>
        <v>0</v>
      </c>
      <c r="DY7" s="511">
        <f t="shared" si="61"/>
        <v>0</v>
      </c>
      <c r="DZ7" s="723">
        <f t="shared" si="62"/>
        <v>0</v>
      </c>
      <c r="EA7" s="722">
        <f t="shared" si="63"/>
        <v>3040</v>
      </c>
      <c r="EB7" s="511">
        <f>X7*CE7</f>
        <v>2720</v>
      </c>
      <c r="EC7" s="511">
        <f t="shared" si="64"/>
        <v>2440</v>
      </c>
      <c r="ED7" s="511">
        <f t="shared" si="65"/>
        <v>2160</v>
      </c>
      <c r="EE7" s="511">
        <f t="shared" si="66"/>
        <v>1920</v>
      </c>
      <c r="EF7" s="511">
        <f t="shared" si="67"/>
        <v>1720</v>
      </c>
      <c r="EG7" s="723">
        <f t="shared" si="68"/>
        <v>1520</v>
      </c>
      <c r="EH7" s="507">
        <f t="shared" si="69"/>
        <v>0</v>
      </c>
      <c r="EI7" s="511">
        <f>X7*CL7</f>
        <v>0</v>
      </c>
      <c r="EJ7" s="511">
        <f t="shared" si="70"/>
        <v>0</v>
      </c>
      <c r="EK7" s="511">
        <f t="shared" si="71"/>
        <v>0</v>
      </c>
      <c r="EL7" s="511">
        <f t="shared" si="72"/>
        <v>0</v>
      </c>
      <c r="EM7" s="511">
        <f t="shared" si="73"/>
        <v>0</v>
      </c>
      <c r="EN7" s="723">
        <f t="shared" si="74"/>
        <v>0</v>
      </c>
      <c r="EO7" s="977">
        <f t="shared" ref="EO7:EO13" si="97">AVERAGE(W7:AC7)</f>
        <v>5542.8571428571431</v>
      </c>
      <c r="EP7" s="728">
        <f t="shared" ref="EP7:EP13" si="98">SUM(CR7:CX7)</f>
        <v>0</v>
      </c>
      <c r="EQ7" s="728">
        <f t="shared" ref="EQ7:EQ13" si="99">SUM(CY7:DE7)</f>
        <v>0</v>
      </c>
      <c r="ER7" s="728">
        <f t="shared" ref="ER7:ER13" si="100">SUM(DF7:DL7)</f>
        <v>3104000</v>
      </c>
      <c r="ES7" s="728">
        <f t="shared" ref="ES7:ES13" si="101">SUM(DM7:DS7)</f>
        <v>0</v>
      </c>
      <c r="ET7" s="978">
        <f t="shared" ref="ET7:ET13" si="102">DZ7</f>
        <v>0</v>
      </c>
      <c r="EU7" s="978">
        <f t="shared" ref="EU7:EU13" si="103">MAX(EA7:EG7)</f>
        <v>3040</v>
      </c>
      <c r="EV7" s="778">
        <f t="shared" ref="EV7:EV13" si="104">SUM(EH7:EN7)</f>
        <v>0</v>
      </c>
      <c r="EX7" s="10" t="b">
        <f t="shared" si="75"/>
        <v>1</v>
      </c>
      <c r="EY7" s="10" t="b">
        <f t="shared" si="75"/>
        <v>1</v>
      </c>
      <c r="EZ7" s="10" t="b">
        <f t="shared" si="75"/>
        <v>1</v>
      </c>
      <c r="FA7" s="10" t="b">
        <f t="shared" si="75"/>
        <v>1</v>
      </c>
      <c r="FB7" s="10" t="b">
        <f t="shared" si="75"/>
        <v>1</v>
      </c>
      <c r="FC7" s="10" t="b">
        <f t="shared" si="75"/>
        <v>1</v>
      </c>
      <c r="FD7" s="10" t="b">
        <f t="shared" si="75"/>
        <v>1</v>
      </c>
    </row>
    <row r="8" spans="1:160" s="10" customFormat="1" ht="12.5">
      <c r="A8" s="662">
        <v>3</v>
      </c>
      <c r="B8" s="789" t="s">
        <v>1520</v>
      </c>
      <c r="C8" s="662" t="s">
        <v>1521</v>
      </c>
      <c r="D8" s="715" t="s">
        <v>1514</v>
      </c>
      <c r="E8" s="1119" t="s">
        <v>1515</v>
      </c>
      <c r="F8" s="1120" t="s">
        <v>402</v>
      </c>
      <c r="G8" s="1120">
        <v>0</v>
      </c>
      <c r="H8" s="1120">
        <v>0</v>
      </c>
      <c r="I8" s="1121">
        <f t="shared" si="76"/>
        <v>0</v>
      </c>
      <c r="J8" s="1121">
        <v>0</v>
      </c>
      <c r="K8" s="1121" t="s">
        <v>378</v>
      </c>
      <c r="L8" s="1121" t="s">
        <v>378</v>
      </c>
      <c r="M8" s="1122">
        <v>8</v>
      </c>
      <c r="N8" s="1122">
        <f>4*20</f>
        <v>80</v>
      </c>
      <c r="O8" s="1134">
        <v>0</v>
      </c>
      <c r="P8" s="1134">
        <v>0</v>
      </c>
      <c r="Q8" s="715">
        <v>0</v>
      </c>
      <c r="R8" s="1137">
        <v>0.4</v>
      </c>
      <c r="S8" s="715">
        <v>0</v>
      </c>
      <c r="T8" s="711" t="s">
        <v>1516</v>
      </c>
      <c r="U8" s="1124">
        <v>-0.1</v>
      </c>
      <c r="V8" s="1125">
        <v>1</v>
      </c>
      <c r="W8" s="781">
        <v>20</v>
      </c>
      <c r="X8" s="781">
        <f>W8</f>
        <v>20</v>
      </c>
      <c r="Y8" s="781">
        <f t="shared" ref="Y8:AC8" si="105">ROUNDDOWN((X8+($U8*X8)),-2)</f>
        <v>0</v>
      </c>
      <c r="Z8" s="781">
        <f t="shared" si="105"/>
        <v>0</v>
      </c>
      <c r="AA8" s="781">
        <f t="shared" si="105"/>
        <v>0</v>
      </c>
      <c r="AB8" s="781">
        <f t="shared" si="105"/>
        <v>0</v>
      </c>
      <c r="AC8" s="781">
        <f t="shared" si="105"/>
        <v>0</v>
      </c>
      <c r="AD8" s="1126" t="s">
        <v>384</v>
      </c>
      <c r="AE8" s="1126" t="s">
        <v>375</v>
      </c>
      <c r="AF8" s="1126" t="s">
        <v>376</v>
      </c>
      <c r="AG8" s="1126" t="s">
        <v>1522</v>
      </c>
      <c r="AH8" s="1126" t="s">
        <v>1</v>
      </c>
      <c r="AI8" s="1126" t="s">
        <v>378</v>
      </c>
      <c r="AJ8" s="1126" t="s">
        <v>378</v>
      </c>
      <c r="AK8" s="1126" t="s">
        <v>378</v>
      </c>
      <c r="AL8" s="715" t="s">
        <v>1523</v>
      </c>
      <c r="AM8" s="715" t="s">
        <v>380</v>
      </c>
      <c r="AN8" s="715" t="s">
        <v>381</v>
      </c>
      <c r="AO8" s="1126">
        <v>1</v>
      </c>
      <c r="AP8" s="1126">
        <v>1</v>
      </c>
      <c r="AQ8" s="1126" t="s">
        <v>1517</v>
      </c>
      <c r="AR8" s="1127">
        <v>1</v>
      </c>
      <c r="AS8" s="1127">
        <v>1</v>
      </c>
      <c r="AT8" s="1128">
        <v>0</v>
      </c>
      <c r="AU8" s="1129">
        <f t="shared" si="78"/>
        <v>0</v>
      </c>
      <c r="AV8" s="1130">
        <f t="shared" si="79"/>
        <v>0</v>
      </c>
      <c r="AW8" s="1130">
        <f t="shared" si="80"/>
        <v>0</v>
      </c>
      <c r="AX8" s="1130">
        <f t="shared" si="81"/>
        <v>0</v>
      </c>
      <c r="AY8" s="1130">
        <f t="shared" si="20"/>
        <v>0</v>
      </c>
      <c r="AZ8" s="1130">
        <f t="shared" si="21"/>
        <v>0</v>
      </c>
      <c r="BA8" s="1131">
        <f t="shared" si="21"/>
        <v>0</v>
      </c>
      <c r="BB8" s="1129">
        <f t="shared" si="82"/>
        <v>0</v>
      </c>
      <c r="BC8" s="1130">
        <f t="shared" si="83"/>
        <v>0</v>
      </c>
      <c r="BD8" s="1130">
        <f t="shared" si="84"/>
        <v>0</v>
      </c>
      <c r="BE8" s="1130">
        <f t="shared" si="85"/>
        <v>0</v>
      </c>
      <c r="BF8" s="1130">
        <f t="shared" si="23"/>
        <v>0</v>
      </c>
      <c r="BG8" s="1130">
        <f t="shared" si="24"/>
        <v>0</v>
      </c>
      <c r="BH8" s="1131">
        <f t="shared" si="24"/>
        <v>0</v>
      </c>
      <c r="BI8" s="1132">
        <f t="shared" si="86"/>
        <v>80</v>
      </c>
      <c r="BJ8" s="1130">
        <f t="shared" si="87"/>
        <v>80</v>
      </c>
      <c r="BK8" s="1130">
        <f t="shared" si="88"/>
        <v>80</v>
      </c>
      <c r="BL8" s="1130">
        <f t="shared" si="89"/>
        <v>80</v>
      </c>
      <c r="BM8" s="1130">
        <f t="shared" si="90"/>
        <v>80</v>
      </c>
      <c r="BN8" s="1130">
        <f t="shared" si="91"/>
        <v>80</v>
      </c>
      <c r="BO8" s="1136">
        <f t="shared" si="91"/>
        <v>80</v>
      </c>
      <c r="BP8" s="1129">
        <f t="shared" si="25"/>
        <v>0</v>
      </c>
      <c r="BQ8" s="1032">
        <f t="shared" si="25"/>
        <v>0</v>
      </c>
      <c r="BR8" s="1032">
        <f t="shared" si="25"/>
        <v>0</v>
      </c>
      <c r="BS8" s="1032">
        <f t="shared" si="25"/>
        <v>0</v>
      </c>
      <c r="BT8" s="1032">
        <f t="shared" si="25"/>
        <v>0</v>
      </c>
      <c r="BU8" s="1032">
        <f t="shared" si="25"/>
        <v>0</v>
      </c>
      <c r="BV8" s="1133">
        <f t="shared" si="25"/>
        <v>0</v>
      </c>
      <c r="BW8" s="722">
        <f t="shared" si="92"/>
        <v>0</v>
      </c>
      <c r="BX8" s="511">
        <f t="shared" si="26"/>
        <v>0</v>
      </c>
      <c r="BY8" s="511">
        <f t="shared" si="26"/>
        <v>0</v>
      </c>
      <c r="BZ8" s="511">
        <f t="shared" si="26"/>
        <v>0</v>
      </c>
      <c r="CA8" s="511">
        <f t="shared" si="27"/>
        <v>0</v>
      </c>
      <c r="CB8" s="511">
        <f t="shared" si="93"/>
        <v>0</v>
      </c>
      <c r="CC8" s="723">
        <f t="shared" si="93"/>
        <v>0</v>
      </c>
      <c r="CD8" s="722">
        <f t="shared" si="94"/>
        <v>0.4</v>
      </c>
      <c r="CE8" s="511">
        <f t="shared" si="28"/>
        <v>0.4</v>
      </c>
      <c r="CF8" s="511">
        <f t="shared" si="28"/>
        <v>0.4</v>
      </c>
      <c r="CG8" s="511">
        <f t="shared" si="28"/>
        <v>0.4</v>
      </c>
      <c r="CH8" s="511">
        <f t="shared" si="29"/>
        <v>0.4</v>
      </c>
      <c r="CI8" s="511">
        <f t="shared" si="30"/>
        <v>0.4</v>
      </c>
      <c r="CJ8" s="723">
        <f t="shared" si="30"/>
        <v>0.4</v>
      </c>
      <c r="CK8" s="511">
        <f t="shared" si="95"/>
        <v>0</v>
      </c>
      <c r="CL8" s="511">
        <f t="shared" si="31"/>
        <v>0</v>
      </c>
      <c r="CM8" s="511">
        <f t="shared" si="31"/>
        <v>0</v>
      </c>
      <c r="CN8" s="511">
        <f t="shared" si="31"/>
        <v>0</v>
      </c>
      <c r="CO8" s="511">
        <f t="shared" si="32"/>
        <v>0</v>
      </c>
      <c r="CP8" s="511">
        <f t="shared" si="33"/>
        <v>0</v>
      </c>
      <c r="CQ8" s="539">
        <f t="shared" si="33"/>
        <v>0</v>
      </c>
      <c r="CR8" s="724">
        <f t="shared" si="34"/>
        <v>0</v>
      </c>
      <c r="CS8" s="508">
        <f t="shared" ref="CS8:CS13" si="106">X8*AV8</f>
        <v>0</v>
      </c>
      <c r="CT8" s="508">
        <f t="shared" si="35"/>
        <v>0</v>
      </c>
      <c r="CU8" s="508">
        <f t="shared" si="36"/>
        <v>0</v>
      </c>
      <c r="CV8" s="508">
        <f t="shared" si="37"/>
        <v>0</v>
      </c>
      <c r="CW8" s="508">
        <f t="shared" si="38"/>
        <v>0</v>
      </c>
      <c r="CX8" s="725">
        <f t="shared" si="39"/>
        <v>0</v>
      </c>
      <c r="CY8" s="724">
        <f t="shared" si="40"/>
        <v>0</v>
      </c>
      <c r="CZ8" s="508">
        <f t="shared" ref="CZ8:CZ13" si="107">X8*BC8</f>
        <v>0</v>
      </c>
      <c r="DA8" s="508">
        <f t="shared" si="41"/>
        <v>0</v>
      </c>
      <c r="DB8" s="508">
        <f t="shared" si="42"/>
        <v>0</v>
      </c>
      <c r="DC8" s="508">
        <f t="shared" si="43"/>
        <v>0</v>
      </c>
      <c r="DD8" s="508">
        <f t="shared" si="44"/>
        <v>0</v>
      </c>
      <c r="DE8" s="725">
        <f t="shared" si="45"/>
        <v>0</v>
      </c>
      <c r="DF8" s="509">
        <f t="shared" si="96"/>
        <v>1600</v>
      </c>
      <c r="DG8" s="508">
        <f t="shared" ref="DG8:DG13" si="108">X8*BJ8</f>
        <v>1600</v>
      </c>
      <c r="DH8" s="508">
        <f t="shared" si="46"/>
        <v>0</v>
      </c>
      <c r="DI8" s="508">
        <f t="shared" si="47"/>
        <v>0</v>
      </c>
      <c r="DJ8" s="508">
        <f t="shared" si="48"/>
        <v>0</v>
      </c>
      <c r="DK8" s="508">
        <f t="shared" si="49"/>
        <v>0</v>
      </c>
      <c r="DL8" s="726">
        <f t="shared" si="50"/>
        <v>0</v>
      </c>
      <c r="DM8" s="724">
        <f t="shared" si="51"/>
        <v>0</v>
      </c>
      <c r="DN8" s="508">
        <f t="shared" ref="DN8:DN13" si="109">BQ8*X8</f>
        <v>0</v>
      </c>
      <c r="DO8" s="508">
        <f t="shared" si="52"/>
        <v>0</v>
      </c>
      <c r="DP8" s="508">
        <f t="shared" si="53"/>
        <v>0</v>
      </c>
      <c r="DQ8" s="508">
        <f t="shared" si="54"/>
        <v>0</v>
      </c>
      <c r="DR8" s="508">
        <f t="shared" si="55"/>
        <v>0</v>
      </c>
      <c r="DS8" s="725">
        <f t="shared" si="56"/>
        <v>0</v>
      </c>
      <c r="DT8" s="722">
        <f t="shared" si="57"/>
        <v>0</v>
      </c>
      <c r="DU8" s="511">
        <f t="shared" ref="DU8:DU13" si="110">X8*BX8</f>
        <v>0</v>
      </c>
      <c r="DV8" s="511">
        <f t="shared" si="58"/>
        <v>0</v>
      </c>
      <c r="DW8" s="511">
        <f t="shared" si="59"/>
        <v>0</v>
      </c>
      <c r="DX8" s="511">
        <f t="shared" si="60"/>
        <v>0</v>
      </c>
      <c r="DY8" s="511">
        <f t="shared" si="61"/>
        <v>0</v>
      </c>
      <c r="DZ8" s="723">
        <f t="shared" si="62"/>
        <v>0</v>
      </c>
      <c r="EA8" s="722">
        <f t="shared" si="63"/>
        <v>8</v>
      </c>
      <c r="EB8" s="511">
        <f t="shared" ref="EB8:EB13" si="111">X8*CE8</f>
        <v>8</v>
      </c>
      <c r="EC8" s="511">
        <f t="shared" si="64"/>
        <v>0</v>
      </c>
      <c r="ED8" s="511">
        <f t="shared" si="65"/>
        <v>0</v>
      </c>
      <c r="EE8" s="511">
        <f t="shared" si="66"/>
        <v>0</v>
      </c>
      <c r="EF8" s="511">
        <f t="shared" si="67"/>
        <v>0</v>
      </c>
      <c r="EG8" s="723">
        <f t="shared" si="68"/>
        <v>0</v>
      </c>
      <c r="EH8" s="507">
        <f t="shared" si="69"/>
        <v>0</v>
      </c>
      <c r="EI8" s="511">
        <f t="shared" ref="EI8:EI13" si="112">X8*CL8</f>
        <v>0</v>
      </c>
      <c r="EJ8" s="511">
        <f t="shared" si="70"/>
        <v>0</v>
      </c>
      <c r="EK8" s="511">
        <f t="shared" si="71"/>
        <v>0</v>
      </c>
      <c r="EL8" s="511">
        <f t="shared" si="72"/>
        <v>0</v>
      </c>
      <c r="EM8" s="511">
        <f t="shared" si="73"/>
        <v>0</v>
      </c>
      <c r="EN8" s="723">
        <f t="shared" si="74"/>
        <v>0</v>
      </c>
      <c r="EO8" s="977">
        <f t="shared" si="97"/>
        <v>5.7142857142857144</v>
      </c>
      <c r="EP8" s="728">
        <f t="shared" si="98"/>
        <v>0</v>
      </c>
      <c r="EQ8" s="728">
        <f t="shared" si="99"/>
        <v>0</v>
      </c>
      <c r="ER8" s="728">
        <f t="shared" si="100"/>
        <v>3200</v>
      </c>
      <c r="ES8" s="728">
        <f t="shared" si="101"/>
        <v>0</v>
      </c>
      <c r="ET8" s="978">
        <f t="shared" si="102"/>
        <v>0</v>
      </c>
      <c r="EU8" s="978">
        <f t="shared" si="103"/>
        <v>8</v>
      </c>
      <c r="EV8" s="778">
        <f t="shared" si="104"/>
        <v>0</v>
      </c>
      <c r="EX8" s="10" t="b">
        <f t="shared" si="75"/>
        <v>1</v>
      </c>
      <c r="EY8" s="10" t="b">
        <f t="shared" si="75"/>
        <v>1</v>
      </c>
      <c r="EZ8" s="10" t="b">
        <f t="shared" si="75"/>
        <v>1</v>
      </c>
      <c r="FA8" s="10" t="b">
        <f t="shared" si="75"/>
        <v>1</v>
      </c>
      <c r="FB8" s="10" t="b">
        <f t="shared" si="75"/>
        <v>1</v>
      </c>
      <c r="FC8" s="10" t="b">
        <f t="shared" si="75"/>
        <v>1</v>
      </c>
      <c r="FD8" s="10" t="b">
        <f t="shared" si="75"/>
        <v>1</v>
      </c>
    </row>
    <row r="9" spans="1:160" s="10" customFormat="1" ht="12.5">
      <c r="A9" s="662">
        <v>4</v>
      </c>
      <c r="B9" s="789" t="s">
        <v>1524</v>
      </c>
      <c r="C9" s="662" t="s">
        <v>1525</v>
      </c>
      <c r="D9" s="715" t="s">
        <v>1514</v>
      </c>
      <c r="E9" s="1119" t="s">
        <v>1515</v>
      </c>
      <c r="F9" s="1120" t="s">
        <v>402</v>
      </c>
      <c r="G9" s="1120">
        <v>0</v>
      </c>
      <c r="H9" s="1120">
        <v>0</v>
      </c>
      <c r="I9" s="1121">
        <f t="shared" si="76"/>
        <v>0</v>
      </c>
      <c r="J9" s="1121">
        <v>0</v>
      </c>
      <c r="K9" s="1121" t="s">
        <v>378</v>
      </c>
      <c r="L9" s="1121" t="s">
        <v>378</v>
      </c>
      <c r="M9" s="1122">
        <f t="shared" ref="M9:M11" si="113">8+8</f>
        <v>16</v>
      </c>
      <c r="N9" s="1122"/>
      <c r="O9" s="1138">
        <v>0</v>
      </c>
      <c r="P9" s="1138">
        <v>0</v>
      </c>
      <c r="Q9" s="715">
        <v>0</v>
      </c>
      <c r="R9" s="1123">
        <v>0.7</v>
      </c>
      <c r="S9" s="715">
        <v>0</v>
      </c>
      <c r="T9" s="711" t="s">
        <v>1516</v>
      </c>
      <c r="U9" s="1124">
        <v>-0.1</v>
      </c>
      <c r="V9" s="1125">
        <v>1</v>
      </c>
      <c r="W9" s="781">
        <v>27000</v>
      </c>
      <c r="X9" s="781">
        <f>ROUNDDOWN((W9+($U9*W9)),-2)</f>
        <v>24300</v>
      </c>
      <c r="Y9" s="781">
        <f t="shared" ref="Y9:AC9" si="114">ROUNDDOWN((X9+($U9*X9)),-2)</f>
        <v>21800</v>
      </c>
      <c r="Z9" s="781">
        <f t="shared" si="114"/>
        <v>19600</v>
      </c>
      <c r="AA9" s="781">
        <f t="shared" si="114"/>
        <v>17600</v>
      </c>
      <c r="AB9" s="781">
        <f t="shared" si="114"/>
        <v>15800</v>
      </c>
      <c r="AC9" s="781">
        <f t="shared" si="114"/>
        <v>14200</v>
      </c>
      <c r="AD9" s="1126" t="s">
        <v>384</v>
      </c>
      <c r="AE9" s="1126" t="s">
        <v>375</v>
      </c>
      <c r="AF9" s="1126" t="s">
        <v>322</v>
      </c>
      <c r="AG9" s="1126" t="s">
        <v>454</v>
      </c>
      <c r="AH9" s="1126" t="s">
        <v>1</v>
      </c>
      <c r="AI9" s="1126" t="s">
        <v>378</v>
      </c>
      <c r="AJ9" s="1126" t="s">
        <v>378</v>
      </c>
      <c r="AK9" s="1126" t="s">
        <v>378</v>
      </c>
      <c r="AL9" s="715" t="s">
        <v>1526</v>
      </c>
      <c r="AM9" s="715" t="s">
        <v>380</v>
      </c>
      <c r="AN9" s="715" t="s">
        <v>381</v>
      </c>
      <c r="AO9" s="1126">
        <v>1</v>
      </c>
      <c r="AP9" s="1126">
        <v>1</v>
      </c>
      <c r="AQ9" s="1126" t="s">
        <v>1517</v>
      </c>
      <c r="AR9" s="1127">
        <v>1</v>
      </c>
      <c r="AS9" s="1127">
        <v>1</v>
      </c>
      <c r="AT9" s="1128">
        <v>0</v>
      </c>
      <c r="AU9" s="1129">
        <f t="shared" si="78"/>
        <v>0</v>
      </c>
      <c r="AV9" s="1130">
        <f t="shared" si="79"/>
        <v>0</v>
      </c>
      <c r="AW9" s="1130">
        <f t="shared" si="80"/>
        <v>0</v>
      </c>
      <c r="AX9" s="1130">
        <f t="shared" si="81"/>
        <v>0</v>
      </c>
      <c r="AY9" s="1130">
        <f t="shared" si="20"/>
        <v>0</v>
      </c>
      <c r="AZ9" s="1130">
        <f t="shared" si="21"/>
        <v>0</v>
      </c>
      <c r="BA9" s="1131">
        <f t="shared" si="21"/>
        <v>0</v>
      </c>
      <c r="BB9" s="1129">
        <f t="shared" si="82"/>
        <v>0</v>
      </c>
      <c r="BC9" s="1130">
        <f t="shared" si="83"/>
        <v>0</v>
      </c>
      <c r="BD9" s="1130">
        <f t="shared" si="84"/>
        <v>0</v>
      </c>
      <c r="BE9" s="1130">
        <f t="shared" si="85"/>
        <v>0</v>
      </c>
      <c r="BF9" s="1130">
        <f t="shared" si="23"/>
        <v>0</v>
      </c>
      <c r="BG9" s="1130">
        <f t="shared" si="24"/>
        <v>0</v>
      </c>
      <c r="BH9" s="1131">
        <f t="shared" si="24"/>
        <v>0</v>
      </c>
      <c r="BI9" s="1132">
        <f>4*2</f>
        <v>8</v>
      </c>
      <c r="BJ9" s="1130">
        <f>4*2</f>
        <v>8</v>
      </c>
      <c r="BK9" s="1130">
        <f>4*2</f>
        <v>8</v>
      </c>
      <c r="BL9" s="1130">
        <f>4*5</f>
        <v>20</v>
      </c>
      <c r="BM9" s="1130">
        <f>4*20</f>
        <v>80</v>
      </c>
      <c r="BN9" s="1130">
        <f>4*20</f>
        <v>80</v>
      </c>
      <c r="BO9" s="1130">
        <f>4*20</f>
        <v>80</v>
      </c>
      <c r="BP9" s="1129">
        <f t="shared" si="25"/>
        <v>0</v>
      </c>
      <c r="BQ9" s="1032">
        <f t="shared" si="25"/>
        <v>0</v>
      </c>
      <c r="BR9" s="1032">
        <f t="shared" si="25"/>
        <v>0</v>
      </c>
      <c r="BS9" s="1032">
        <f t="shared" si="25"/>
        <v>0</v>
      </c>
      <c r="BT9" s="1032">
        <f t="shared" si="25"/>
        <v>0</v>
      </c>
      <c r="BU9" s="1032">
        <f t="shared" si="25"/>
        <v>0</v>
      </c>
      <c r="BV9" s="1133">
        <f t="shared" si="25"/>
        <v>0</v>
      </c>
      <c r="BW9" s="722">
        <f t="shared" si="92"/>
        <v>0</v>
      </c>
      <c r="BX9" s="511">
        <f t="shared" si="26"/>
        <v>0</v>
      </c>
      <c r="BY9" s="511">
        <f t="shared" si="26"/>
        <v>0</v>
      </c>
      <c r="BZ9" s="511">
        <f t="shared" si="26"/>
        <v>0</v>
      </c>
      <c r="CA9" s="511">
        <f t="shared" si="27"/>
        <v>0</v>
      </c>
      <c r="CB9" s="511">
        <f t="shared" si="93"/>
        <v>0</v>
      </c>
      <c r="CC9" s="723">
        <f t="shared" si="93"/>
        <v>0</v>
      </c>
      <c r="CD9" s="722">
        <f t="shared" si="94"/>
        <v>0.7</v>
      </c>
      <c r="CE9" s="511">
        <f t="shared" si="28"/>
        <v>0.7</v>
      </c>
      <c r="CF9" s="511">
        <f t="shared" si="28"/>
        <v>0.7</v>
      </c>
      <c r="CG9" s="511">
        <f t="shared" si="28"/>
        <v>0.7</v>
      </c>
      <c r="CH9" s="511">
        <f t="shared" si="29"/>
        <v>0.7</v>
      </c>
      <c r="CI9" s="511">
        <f t="shared" si="30"/>
        <v>0.7</v>
      </c>
      <c r="CJ9" s="723">
        <f t="shared" si="30"/>
        <v>0.7</v>
      </c>
      <c r="CK9" s="511">
        <f t="shared" si="95"/>
        <v>0</v>
      </c>
      <c r="CL9" s="511">
        <f t="shared" si="31"/>
        <v>0</v>
      </c>
      <c r="CM9" s="511">
        <f t="shared" si="31"/>
        <v>0</v>
      </c>
      <c r="CN9" s="511">
        <f t="shared" si="31"/>
        <v>0</v>
      </c>
      <c r="CO9" s="511">
        <f t="shared" si="32"/>
        <v>0</v>
      </c>
      <c r="CP9" s="511">
        <f t="shared" si="33"/>
        <v>0</v>
      </c>
      <c r="CQ9" s="539">
        <f t="shared" si="33"/>
        <v>0</v>
      </c>
      <c r="CR9" s="724">
        <f t="shared" si="34"/>
        <v>0</v>
      </c>
      <c r="CS9" s="508">
        <f t="shared" si="106"/>
        <v>0</v>
      </c>
      <c r="CT9" s="508">
        <f t="shared" si="35"/>
        <v>0</v>
      </c>
      <c r="CU9" s="508">
        <f t="shared" si="36"/>
        <v>0</v>
      </c>
      <c r="CV9" s="508">
        <f t="shared" si="37"/>
        <v>0</v>
      </c>
      <c r="CW9" s="508">
        <f t="shared" si="38"/>
        <v>0</v>
      </c>
      <c r="CX9" s="725">
        <f t="shared" si="39"/>
        <v>0</v>
      </c>
      <c r="CY9" s="724">
        <f t="shared" si="40"/>
        <v>0</v>
      </c>
      <c r="CZ9" s="508">
        <f t="shared" si="107"/>
        <v>0</v>
      </c>
      <c r="DA9" s="508">
        <f t="shared" si="41"/>
        <v>0</v>
      </c>
      <c r="DB9" s="508">
        <f t="shared" si="42"/>
        <v>0</v>
      </c>
      <c r="DC9" s="508">
        <f t="shared" si="43"/>
        <v>0</v>
      </c>
      <c r="DD9" s="508">
        <f t="shared" si="44"/>
        <v>0</v>
      </c>
      <c r="DE9" s="725">
        <f t="shared" si="45"/>
        <v>0</v>
      </c>
      <c r="DF9" s="509">
        <f t="shared" si="96"/>
        <v>216000</v>
      </c>
      <c r="DG9" s="508">
        <f t="shared" si="108"/>
        <v>194400</v>
      </c>
      <c r="DH9" s="508">
        <f t="shared" si="46"/>
        <v>174400</v>
      </c>
      <c r="DI9" s="508">
        <f t="shared" si="47"/>
        <v>392000</v>
      </c>
      <c r="DJ9" s="508">
        <f t="shared" si="48"/>
        <v>1408000</v>
      </c>
      <c r="DK9" s="508">
        <f t="shared" si="49"/>
        <v>1264000</v>
      </c>
      <c r="DL9" s="726">
        <f t="shared" si="50"/>
        <v>1136000</v>
      </c>
      <c r="DM9" s="724">
        <f t="shared" si="51"/>
        <v>0</v>
      </c>
      <c r="DN9" s="508">
        <f t="shared" si="109"/>
        <v>0</v>
      </c>
      <c r="DO9" s="508">
        <f t="shared" si="52"/>
        <v>0</v>
      </c>
      <c r="DP9" s="508">
        <f t="shared" si="53"/>
        <v>0</v>
      </c>
      <c r="DQ9" s="508">
        <f t="shared" si="54"/>
        <v>0</v>
      </c>
      <c r="DR9" s="508">
        <f t="shared" si="55"/>
        <v>0</v>
      </c>
      <c r="DS9" s="725">
        <f t="shared" si="56"/>
        <v>0</v>
      </c>
      <c r="DT9" s="722">
        <f t="shared" si="57"/>
        <v>0</v>
      </c>
      <c r="DU9" s="511">
        <f t="shared" si="110"/>
        <v>0</v>
      </c>
      <c r="DV9" s="511">
        <f t="shared" si="58"/>
        <v>0</v>
      </c>
      <c r="DW9" s="511">
        <f t="shared" si="59"/>
        <v>0</v>
      </c>
      <c r="DX9" s="511">
        <f t="shared" si="60"/>
        <v>0</v>
      </c>
      <c r="DY9" s="511">
        <f t="shared" si="61"/>
        <v>0</v>
      </c>
      <c r="DZ9" s="723">
        <f t="shared" si="62"/>
        <v>0</v>
      </c>
      <c r="EA9" s="722">
        <f t="shared" si="63"/>
        <v>18900</v>
      </c>
      <c r="EB9" s="511">
        <f t="shared" si="111"/>
        <v>17010</v>
      </c>
      <c r="EC9" s="511">
        <f t="shared" si="64"/>
        <v>15259.999999999998</v>
      </c>
      <c r="ED9" s="511">
        <f t="shared" si="65"/>
        <v>13720</v>
      </c>
      <c r="EE9" s="511">
        <f t="shared" si="66"/>
        <v>12320</v>
      </c>
      <c r="EF9" s="511">
        <f t="shared" si="67"/>
        <v>11060</v>
      </c>
      <c r="EG9" s="723">
        <f t="shared" si="68"/>
        <v>9940</v>
      </c>
      <c r="EH9" s="507">
        <f t="shared" si="69"/>
        <v>0</v>
      </c>
      <c r="EI9" s="511">
        <f t="shared" si="112"/>
        <v>0</v>
      </c>
      <c r="EJ9" s="511">
        <f t="shared" si="70"/>
        <v>0</v>
      </c>
      <c r="EK9" s="511">
        <f t="shared" si="71"/>
        <v>0</v>
      </c>
      <c r="EL9" s="511">
        <f t="shared" si="72"/>
        <v>0</v>
      </c>
      <c r="EM9" s="511">
        <f t="shared" si="73"/>
        <v>0</v>
      </c>
      <c r="EN9" s="723">
        <f t="shared" si="74"/>
        <v>0</v>
      </c>
      <c r="EO9" s="977">
        <f t="shared" si="97"/>
        <v>20042.857142857141</v>
      </c>
      <c r="EP9" s="728">
        <f t="shared" si="98"/>
        <v>0</v>
      </c>
      <c r="EQ9" s="728">
        <f t="shared" si="99"/>
        <v>0</v>
      </c>
      <c r="ER9" s="728">
        <f t="shared" si="100"/>
        <v>4784800</v>
      </c>
      <c r="ES9" s="728">
        <f t="shared" si="101"/>
        <v>0</v>
      </c>
      <c r="ET9" s="978">
        <f t="shared" si="102"/>
        <v>0</v>
      </c>
      <c r="EU9" s="978">
        <f t="shared" si="103"/>
        <v>18900</v>
      </c>
      <c r="EV9" s="778">
        <f t="shared" si="104"/>
        <v>0</v>
      </c>
      <c r="EX9" s="10" t="b">
        <f t="shared" si="75"/>
        <v>1</v>
      </c>
      <c r="EY9" s="10" t="b">
        <f t="shared" si="75"/>
        <v>1</v>
      </c>
      <c r="EZ9" s="10" t="b">
        <f t="shared" si="75"/>
        <v>1</v>
      </c>
      <c r="FA9" s="10" t="b">
        <f t="shared" si="75"/>
        <v>1</v>
      </c>
      <c r="FB9" s="10" t="b">
        <f t="shared" si="75"/>
        <v>1</v>
      </c>
      <c r="FC9" s="10" t="b">
        <f t="shared" si="75"/>
        <v>1</v>
      </c>
      <c r="FD9" s="10" t="b">
        <f t="shared" si="75"/>
        <v>1</v>
      </c>
    </row>
    <row r="10" spans="1:160" s="10" customFormat="1" ht="12.5">
      <c r="A10" s="662">
        <v>5</v>
      </c>
      <c r="B10" s="789" t="s">
        <v>1527</v>
      </c>
      <c r="C10" s="662" t="s">
        <v>1528</v>
      </c>
      <c r="D10" s="715" t="s">
        <v>1514</v>
      </c>
      <c r="E10" s="1119" t="s">
        <v>1515</v>
      </c>
      <c r="F10" s="1120" t="s">
        <v>402</v>
      </c>
      <c r="G10" s="1120">
        <v>0</v>
      </c>
      <c r="H10" s="1120">
        <v>0</v>
      </c>
      <c r="I10" s="1121">
        <f t="shared" si="76"/>
        <v>0</v>
      </c>
      <c r="J10" s="1121">
        <v>0</v>
      </c>
      <c r="K10" s="1121" t="s">
        <v>378</v>
      </c>
      <c r="L10" s="1121" t="s">
        <v>378</v>
      </c>
      <c r="M10" s="1122">
        <f t="shared" si="113"/>
        <v>16</v>
      </c>
      <c r="N10" s="1122">
        <f>(4+4)*20</f>
        <v>160</v>
      </c>
      <c r="O10" s="1138">
        <v>0</v>
      </c>
      <c r="P10" s="1138">
        <v>0</v>
      </c>
      <c r="Q10" s="715">
        <v>0</v>
      </c>
      <c r="R10" s="1135">
        <v>0.4</v>
      </c>
      <c r="S10" s="715">
        <v>0</v>
      </c>
      <c r="T10" s="711" t="s">
        <v>1516</v>
      </c>
      <c r="U10" s="1124">
        <v>-0.1</v>
      </c>
      <c r="V10" s="1125">
        <v>1</v>
      </c>
      <c r="W10" s="781">
        <v>40</v>
      </c>
      <c r="X10" s="781">
        <v>38</v>
      </c>
      <c r="Y10" s="781">
        <f t="shared" ref="Y10:AC10" si="115">ROUNDDOWN((X10+($U10*X10)),-2)</f>
        <v>0</v>
      </c>
      <c r="Z10" s="781">
        <f t="shared" si="115"/>
        <v>0</v>
      </c>
      <c r="AA10" s="781">
        <f t="shared" si="115"/>
        <v>0</v>
      </c>
      <c r="AB10" s="781">
        <f t="shared" si="115"/>
        <v>0</v>
      </c>
      <c r="AC10" s="781">
        <f t="shared" si="115"/>
        <v>0</v>
      </c>
      <c r="AD10" s="1126" t="s">
        <v>384</v>
      </c>
      <c r="AE10" s="1126" t="s">
        <v>375</v>
      </c>
      <c r="AF10" s="1126" t="s">
        <v>322</v>
      </c>
      <c r="AG10" s="1126" t="s">
        <v>753</v>
      </c>
      <c r="AH10" s="1126" t="s">
        <v>1</v>
      </c>
      <c r="AI10" s="1126" t="s">
        <v>378</v>
      </c>
      <c r="AJ10" s="1126" t="s">
        <v>378</v>
      </c>
      <c r="AK10" s="1126" t="s">
        <v>378</v>
      </c>
      <c r="AL10" s="715" t="s">
        <v>754</v>
      </c>
      <c r="AM10" s="715" t="s">
        <v>380</v>
      </c>
      <c r="AN10" s="715" t="s">
        <v>381</v>
      </c>
      <c r="AO10" s="1126">
        <v>1</v>
      </c>
      <c r="AP10" s="1126">
        <v>1</v>
      </c>
      <c r="AQ10" s="1126" t="s">
        <v>1517</v>
      </c>
      <c r="AR10" s="1127">
        <v>1</v>
      </c>
      <c r="AS10" s="1127">
        <v>1</v>
      </c>
      <c r="AT10" s="1128">
        <v>0</v>
      </c>
      <c r="AU10" s="1129">
        <f t="shared" si="78"/>
        <v>0</v>
      </c>
      <c r="AV10" s="1130">
        <f t="shared" si="79"/>
        <v>0</v>
      </c>
      <c r="AW10" s="1130">
        <f t="shared" si="80"/>
        <v>0</v>
      </c>
      <c r="AX10" s="1130">
        <f t="shared" si="81"/>
        <v>0</v>
      </c>
      <c r="AY10" s="1130">
        <f t="shared" si="20"/>
        <v>0</v>
      </c>
      <c r="AZ10" s="1130">
        <f t="shared" si="21"/>
        <v>0</v>
      </c>
      <c r="BA10" s="1131">
        <f t="shared" si="21"/>
        <v>0</v>
      </c>
      <c r="BB10" s="1129">
        <f t="shared" si="82"/>
        <v>0</v>
      </c>
      <c r="BC10" s="1130">
        <f t="shared" si="83"/>
        <v>0</v>
      </c>
      <c r="BD10" s="1130">
        <f t="shared" si="84"/>
        <v>0</v>
      </c>
      <c r="BE10" s="1130">
        <f t="shared" si="85"/>
        <v>0</v>
      </c>
      <c r="BF10" s="1130">
        <f t="shared" si="23"/>
        <v>0</v>
      </c>
      <c r="BG10" s="1130">
        <f t="shared" si="24"/>
        <v>0</v>
      </c>
      <c r="BH10" s="1131">
        <f t="shared" si="24"/>
        <v>0</v>
      </c>
      <c r="BI10" s="1132">
        <f t="shared" si="86"/>
        <v>160</v>
      </c>
      <c r="BJ10" s="1130">
        <f t="shared" si="87"/>
        <v>160</v>
      </c>
      <c r="BK10" s="1130">
        <f t="shared" si="88"/>
        <v>160</v>
      </c>
      <c r="BL10" s="1130">
        <f t="shared" si="89"/>
        <v>160</v>
      </c>
      <c r="BM10" s="1130">
        <f t="shared" si="90"/>
        <v>160</v>
      </c>
      <c r="BN10" s="1130">
        <f t="shared" si="91"/>
        <v>160</v>
      </c>
      <c r="BO10" s="1136">
        <f t="shared" si="91"/>
        <v>160</v>
      </c>
      <c r="BP10" s="1129">
        <f t="shared" si="25"/>
        <v>0</v>
      </c>
      <c r="BQ10" s="1032">
        <f t="shared" si="25"/>
        <v>0</v>
      </c>
      <c r="BR10" s="1032">
        <f t="shared" si="25"/>
        <v>0</v>
      </c>
      <c r="BS10" s="1032">
        <f t="shared" si="25"/>
        <v>0</v>
      </c>
      <c r="BT10" s="1032">
        <f t="shared" si="25"/>
        <v>0</v>
      </c>
      <c r="BU10" s="1032">
        <f t="shared" si="25"/>
        <v>0</v>
      </c>
      <c r="BV10" s="1133">
        <f t="shared" si="25"/>
        <v>0</v>
      </c>
      <c r="BW10" s="722">
        <f t="shared" si="92"/>
        <v>0</v>
      </c>
      <c r="BX10" s="511">
        <f t="shared" si="26"/>
        <v>0</v>
      </c>
      <c r="BY10" s="511">
        <f t="shared" si="26"/>
        <v>0</v>
      </c>
      <c r="BZ10" s="511">
        <f t="shared" si="26"/>
        <v>0</v>
      </c>
      <c r="CA10" s="511">
        <f t="shared" si="27"/>
        <v>0</v>
      </c>
      <c r="CB10" s="511">
        <f t="shared" si="93"/>
        <v>0</v>
      </c>
      <c r="CC10" s="723">
        <f t="shared" si="93"/>
        <v>0</v>
      </c>
      <c r="CD10" s="722">
        <f t="shared" si="94"/>
        <v>0.4</v>
      </c>
      <c r="CE10" s="511">
        <f t="shared" si="28"/>
        <v>0.4</v>
      </c>
      <c r="CF10" s="511">
        <f t="shared" si="28"/>
        <v>0.4</v>
      </c>
      <c r="CG10" s="511">
        <f t="shared" si="28"/>
        <v>0.4</v>
      </c>
      <c r="CH10" s="511">
        <f t="shared" si="29"/>
        <v>0.4</v>
      </c>
      <c r="CI10" s="511">
        <f t="shared" si="30"/>
        <v>0.4</v>
      </c>
      <c r="CJ10" s="723">
        <f t="shared" si="30"/>
        <v>0.4</v>
      </c>
      <c r="CK10" s="511">
        <f t="shared" si="95"/>
        <v>0</v>
      </c>
      <c r="CL10" s="511">
        <f t="shared" si="31"/>
        <v>0</v>
      </c>
      <c r="CM10" s="511">
        <f t="shared" si="31"/>
        <v>0</v>
      </c>
      <c r="CN10" s="511">
        <f t="shared" si="31"/>
        <v>0</v>
      </c>
      <c r="CO10" s="511">
        <f t="shared" si="32"/>
        <v>0</v>
      </c>
      <c r="CP10" s="511">
        <f t="shared" si="33"/>
        <v>0</v>
      </c>
      <c r="CQ10" s="539">
        <f t="shared" si="33"/>
        <v>0</v>
      </c>
      <c r="CR10" s="724">
        <f t="shared" si="34"/>
        <v>0</v>
      </c>
      <c r="CS10" s="508">
        <f t="shared" si="106"/>
        <v>0</v>
      </c>
      <c r="CT10" s="508">
        <f t="shared" si="35"/>
        <v>0</v>
      </c>
      <c r="CU10" s="508">
        <f t="shared" si="36"/>
        <v>0</v>
      </c>
      <c r="CV10" s="508">
        <f t="shared" si="37"/>
        <v>0</v>
      </c>
      <c r="CW10" s="508">
        <f t="shared" si="38"/>
        <v>0</v>
      </c>
      <c r="CX10" s="725">
        <f t="shared" si="39"/>
        <v>0</v>
      </c>
      <c r="CY10" s="724">
        <f t="shared" si="40"/>
        <v>0</v>
      </c>
      <c r="CZ10" s="508">
        <f t="shared" si="107"/>
        <v>0</v>
      </c>
      <c r="DA10" s="508">
        <f t="shared" si="41"/>
        <v>0</v>
      </c>
      <c r="DB10" s="508">
        <f t="shared" si="42"/>
        <v>0</v>
      </c>
      <c r="DC10" s="508">
        <f t="shared" si="43"/>
        <v>0</v>
      </c>
      <c r="DD10" s="508">
        <f t="shared" si="44"/>
        <v>0</v>
      </c>
      <c r="DE10" s="725">
        <f t="shared" si="45"/>
        <v>0</v>
      </c>
      <c r="DF10" s="509">
        <f t="shared" si="96"/>
        <v>6400</v>
      </c>
      <c r="DG10" s="508">
        <f t="shared" si="108"/>
        <v>6080</v>
      </c>
      <c r="DH10" s="508">
        <f t="shared" si="46"/>
        <v>0</v>
      </c>
      <c r="DI10" s="508">
        <f t="shared" si="47"/>
        <v>0</v>
      </c>
      <c r="DJ10" s="508">
        <f t="shared" si="48"/>
        <v>0</v>
      </c>
      <c r="DK10" s="508">
        <f t="shared" si="49"/>
        <v>0</v>
      </c>
      <c r="DL10" s="726">
        <f t="shared" si="50"/>
        <v>0</v>
      </c>
      <c r="DM10" s="724">
        <f t="shared" si="51"/>
        <v>0</v>
      </c>
      <c r="DN10" s="508">
        <f t="shared" si="109"/>
        <v>0</v>
      </c>
      <c r="DO10" s="508">
        <f t="shared" si="52"/>
        <v>0</v>
      </c>
      <c r="DP10" s="508">
        <f t="shared" si="53"/>
        <v>0</v>
      </c>
      <c r="DQ10" s="508">
        <f t="shared" si="54"/>
        <v>0</v>
      </c>
      <c r="DR10" s="508">
        <f t="shared" si="55"/>
        <v>0</v>
      </c>
      <c r="DS10" s="725">
        <f t="shared" si="56"/>
        <v>0</v>
      </c>
      <c r="DT10" s="722">
        <f t="shared" si="57"/>
        <v>0</v>
      </c>
      <c r="DU10" s="511">
        <f t="shared" si="110"/>
        <v>0</v>
      </c>
      <c r="DV10" s="511">
        <f t="shared" si="58"/>
        <v>0</v>
      </c>
      <c r="DW10" s="511">
        <f t="shared" si="59"/>
        <v>0</v>
      </c>
      <c r="DX10" s="511">
        <f t="shared" si="60"/>
        <v>0</v>
      </c>
      <c r="DY10" s="511">
        <f t="shared" si="61"/>
        <v>0</v>
      </c>
      <c r="DZ10" s="723">
        <f t="shared" si="62"/>
        <v>0</v>
      </c>
      <c r="EA10" s="722">
        <f t="shared" si="63"/>
        <v>16</v>
      </c>
      <c r="EB10" s="511">
        <f t="shared" si="111"/>
        <v>15.200000000000001</v>
      </c>
      <c r="EC10" s="511">
        <f t="shared" si="64"/>
        <v>0</v>
      </c>
      <c r="ED10" s="511">
        <f t="shared" si="65"/>
        <v>0</v>
      </c>
      <c r="EE10" s="511">
        <f t="shared" si="66"/>
        <v>0</v>
      </c>
      <c r="EF10" s="511">
        <f t="shared" si="67"/>
        <v>0</v>
      </c>
      <c r="EG10" s="723">
        <f t="shared" si="68"/>
        <v>0</v>
      </c>
      <c r="EH10" s="507">
        <f t="shared" si="69"/>
        <v>0</v>
      </c>
      <c r="EI10" s="511">
        <f t="shared" si="112"/>
        <v>0</v>
      </c>
      <c r="EJ10" s="511">
        <f t="shared" si="70"/>
        <v>0</v>
      </c>
      <c r="EK10" s="511">
        <f t="shared" si="71"/>
        <v>0</v>
      </c>
      <c r="EL10" s="511">
        <f t="shared" si="72"/>
        <v>0</v>
      </c>
      <c r="EM10" s="511">
        <f t="shared" si="73"/>
        <v>0</v>
      </c>
      <c r="EN10" s="723">
        <f t="shared" si="74"/>
        <v>0</v>
      </c>
      <c r="EO10" s="977">
        <f t="shared" si="97"/>
        <v>11.142857142857142</v>
      </c>
      <c r="EP10" s="728">
        <f t="shared" si="98"/>
        <v>0</v>
      </c>
      <c r="EQ10" s="728">
        <f t="shared" si="99"/>
        <v>0</v>
      </c>
      <c r="ER10" s="728">
        <f t="shared" si="100"/>
        <v>12480</v>
      </c>
      <c r="ES10" s="728">
        <f t="shared" si="101"/>
        <v>0</v>
      </c>
      <c r="ET10" s="978">
        <f t="shared" si="102"/>
        <v>0</v>
      </c>
      <c r="EU10" s="978">
        <f t="shared" si="103"/>
        <v>16</v>
      </c>
      <c r="EV10" s="778">
        <f t="shared" si="104"/>
        <v>0</v>
      </c>
      <c r="EX10" s="10" t="b">
        <f t="shared" si="75"/>
        <v>1</v>
      </c>
      <c r="EY10" s="10" t="b">
        <f t="shared" si="75"/>
        <v>1</v>
      </c>
      <c r="EZ10" s="10" t="b">
        <f t="shared" si="75"/>
        <v>1</v>
      </c>
      <c r="FA10" s="10" t="b">
        <f t="shared" si="75"/>
        <v>1</v>
      </c>
      <c r="FB10" s="10" t="b">
        <f t="shared" si="75"/>
        <v>1</v>
      </c>
      <c r="FC10" s="10" t="b">
        <f t="shared" si="75"/>
        <v>1</v>
      </c>
      <c r="FD10" s="10" t="b">
        <f t="shared" si="75"/>
        <v>1</v>
      </c>
    </row>
    <row r="11" spans="1:160" s="10" customFormat="1" ht="12.5">
      <c r="A11" s="662">
        <v>6</v>
      </c>
      <c r="B11" s="789" t="s">
        <v>1529</v>
      </c>
      <c r="C11" s="662" t="s">
        <v>1530</v>
      </c>
      <c r="D11" s="715" t="s">
        <v>1514</v>
      </c>
      <c r="E11" s="1119" t="s">
        <v>1515</v>
      </c>
      <c r="F11" s="1120" t="s">
        <v>402</v>
      </c>
      <c r="G11" s="1120">
        <v>0</v>
      </c>
      <c r="H11" s="1120">
        <v>0</v>
      </c>
      <c r="I11" s="1121">
        <f t="shared" si="76"/>
        <v>0</v>
      </c>
      <c r="J11" s="1121">
        <v>0</v>
      </c>
      <c r="K11" s="1121" t="s">
        <v>378</v>
      </c>
      <c r="L11" s="1121" t="s">
        <v>378</v>
      </c>
      <c r="M11" s="1122">
        <f t="shared" si="113"/>
        <v>16</v>
      </c>
      <c r="N11" s="1122">
        <f>(4+4)*20</f>
        <v>160</v>
      </c>
      <c r="O11" s="1138">
        <v>0</v>
      </c>
      <c r="P11" s="1138">
        <v>0</v>
      </c>
      <c r="Q11" s="715">
        <v>0</v>
      </c>
      <c r="R11" s="1137">
        <v>0.4</v>
      </c>
      <c r="S11" s="715">
        <v>0</v>
      </c>
      <c r="T11" s="711" t="s">
        <v>1516</v>
      </c>
      <c r="U11" s="1124">
        <v>-0.1</v>
      </c>
      <c r="V11" s="1125">
        <v>1</v>
      </c>
      <c r="W11" s="781">
        <v>0</v>
      </c>
      <c r="X11" s="781">
        <v>0</v>
      </c>
      <c r="Y11" s="781">
        <f t="shared" ref="Y11:AC11" si="116">ROUNDDOWN((X11+($U11*X11)),-2)</f>
        <v>0</v>
      </c>
      <c r="Z11" s="781">
        <f t="shared" si="116"/>
        <v>0</v>
      </c>
      <c r="AA11" s="781">
        <f t="shared" si="116"/>
        <v>0</v>
      </c>
      <c r="AB11" s="781">
        <f t="shared" si="116"/>
        <v>0</v>
      </c>
      <c r="AC11" s="781">
        <f t="shared" si="116"/>
        <v>0</v>
      </c>
      <c r="AD11" s="1126" t="s">
        <v>384</v>
      </c>
      <c r="AE11" s="1126" t="s">
        <v>375</v>
      </c>
      <c r="AF11" s="1126" t="s">
        <v>322</v>
      </c>
      <c r="AG11" s="1126" t="s">
        <v>1522</v>
      </c>
      <c r="AH11" s="1126" t="s">
        <v>1</v>
      </c>
      <c r="AI11" s="1126" t="s">
        <v>378</v>
      </c>
      <c r="AJ11" s="1126" t="s">
        <v>378</v>
      </c>
      <c r="AK11" s="1126" t="s">
        <v>378</v>
      </c>
      <c r="AL11" s="715" t="s">
        <v>1531</v>
      </c>
      <c r="AM11" s="715" t="s">
        <v>380</v>
      </c>
      <c r="AN11" s="715" t="s">
        <v>381</v>
      </c>
      <c r="AO11" s="1126">
        <v>1</v>
      </c>
      <c r="AP11" s="1126">
        <v>1</v>
      </c>
      <c r="AQ11" s="1126" t="s">
        <v>1517</v>
      </c>
      <c r="AR11" s="1127">
        <v>1</v>
      </c>
      <c r="AS11" s="1127">
        <v>1</v>
      </c>
      <c r="AT11" s="1128">
        <v>0</v>
      </c>
      <c r="AU11" s="1129">
        <f t="shared" si="78"/>
        <v>0</v>
      </c>
      <c r="AV11" s="1130">
        <f t="shared" si="79"/>
        <v>0</v>
      </c>
      <c r="AW11" s="1130">
        <f t="shared" si="80"/>
        <v>0</v>
      </c>
      <c r="AX11" s="1130">
        <f t="shared" si="81"/>
        <v>0</v>
      </c>
      <c r="AY11" s="1130">
        <f t="shared" si="20"/>
        <v>0</v>
      </c>
      <c r="AZ11" s="1130">
        <f t="shared" si="21"/>
        <v>0</v>
      </c>
      <c r="BA11" s="1131">
        <f t="shared" si="21"/>
        <v>0</v>
      </c>
      <c r="BB11" s="1129">
        <f t="shared" si="82"/>
        <v>0</v>
      </c>
      <c r="BC11" s="1130">
        <f t="shared" si="83"/>
        <v>0</v>
      </c>
      <c r="BD11" s="1130">
        <f t="shared" si="84"/>
        <v>0</v>
      </c>
      <c r="BE11" s="1130">
        <f t="shared" si="85"/>
        <v>0</v>
      </c>
      <c r="BF11" s="1130">
        <f t="shared" si="23"/>
        <v>0</v>
      </c>
      <c r="BG11" s="1130">
        <f t="shared" si="24"/>
        <v>0</v>
      </c>
      <c r="BH11" s="1131">
        <f t="shared" si="24"/>
        <v>0</v>
      </c>
      <c r="BI11" s="1132">
        <f t="shared" si="86"/>
        <v>160</v>
      </c>
      <c r="BJ11" s="1130">
        <f t="shared" si="87"/>
        <v>160</v>
      </c>
      <c r="BK11" s="1130">
        <f t="shared" si="88"/>
        <v>160</v>
      </c>
      <c r="BL11" s="1130">
        <f t="shared" si="89"/>
        <v>160</v>
      </c>
      <c r="BM11" s="1130">
        <f t="shared" si="90"/>
        <v>160</v>
      </c>
      <c r="BN11" s="1130">
        <f t="shared" si="91"/>
        <v>160</v>
      </c>
      <c r="BO11" s="1136">
        <f t="shared" si="91"/>
        <v>160</v>
      </c>
      <c r="BP11" s="1129">
        <f t="shared" si="25"/>
        <v>0</v>
      </c>
      <c r="BQ11" s="1032">
        <f t="shared" si="25"/>
        <v>0</v>
      </c>
      <c r="BR11" s="1032">
        <f t="shared" si="25"/>
        <v>0</v>
      </c>
      <c r="BS11" s="1032">
        <f t="shared" si="25"/>
        <v>0</v>
      </c>
      <c r="BT11" s="1032">
        <f t="shared" si="25"/>
        <v>0</v>
      </c>
      <c r="BU11" s="1032">
        <f t="shared" si="25"/>
        <v>0</v>
      </c>
      <c r="BV11" s="1133">
        <f t="shared" si="25"/>
        <v>0</v>
      </c>
      <c r="BW11" s="722">
        <f t="shared" si="92"/>
        <v>0</v>
      </c>
      <c r="BX11" s="511">
        <f t="shared" si="26"/>
        <v>0</v>
      </c>
      <c r="BY11" s="511">
        <f t="shared" si="26"/>
        <v>0</v>
      </c>
      <c r="BZ11" s="511">
        <f t="shared" si="26"/>
        <v>0</v>
      </c>
      <c r="CA11" s="511">
        <f t="shared" si="27"/>
        <v>0</v>
      </c>
      <c r="CB11" s="511">
        <f t="shared" si="93"/>
        <v>0</v>
      </c>
      <c r="CC11" s="723">
        <f t="shared" si="93"/>
        <v>0</v>
      </c>
      <c r="CD11" s="722">
        <f t="shared" si="94"/>
        <v>0.4</v>
      </c>
      <c r="CE11" s="511">
        <f t="shared" si="28"/>
        <v>0.4</v>
      </c>
      <c r="CF11" s="511">
        <f t="shared" si="28"/>
        <v>0.4</v>
      </c>
      <c r="CG11" s="511">
        <f t="shared" si="28"/>
        <v>0.4</v>
      </c>
      <c r="CH11" s="511">
        <f t="shared" si="29"/>
        <v>0.4</v>
      </c>
      <c r="CI11" s="511">
        <f t="shared" si="30"/>
        <v>0.4</v>
      </c>
      <c r="CJ11" s="723">
        <f t="shared" si="30"/>
        <v>0.4</v>
      </c>
      <c r="CK11" s="511">
        <f t="shared" si="95"/>
        <v>0</v>
      </c>
      <c r="CL11" s="511">
        <f t="shared" si="31"/>
        <v>0</v>
      </c>
      <c r="CM11" s="511">
        <f t="shared" si="31"/>
        <v>0</v>
      </c>
      <c r="CN11" s="511">
        <f t="shared" si="31"/>
        <v>0</v>
      </c>
      <c r="CO11" s="511">
        <f t="shared" si="32"/>
        <v>0</v>
      </c>
      <c r="CP11" s="511">
        <f t="shared" si="33"/>
        <v>0</v>
      </c>
      <c r="CQ11" s="539">
        <f t="shared" si="33"/>
        <v>0</v>
      </c>
      <c r="CR11" s="724">
        <f t="shared" si="34"/>
        <v>0</v>
      </c>
      <c r="CS11" s="508">
        <f t="shared" si="106"/>
        <v>0</v>
      </c>
      <c r="CT11" s="508">
        <f t="shared" si="35"/>
        <v>0</v>
      </c>
      <c r="CU11" s="508">
        <f t="shared" si="36"/>
        <v>0</v>
      </c>
      <c r="CV11" s="508">
        <f t="shared" si="37"/>
        <v>0</v>
      </c>
      <c r="CW11" s="508">
        <f t="shared" si="38"/>
        <v>0</v>
      </c>
      <c r="CX11" s="725">
        <f t="shared" si="39"/>
        <v>0</v>
      </c>
      <c r="CY11" s="724">
        <f t="shared" si="40"/>
        <v>0</v>
      </c>
      <c r="CZ11" s="508">
        <f t="shared" si="107"/>
        <v>0</v>
      </c>
      <c r="DA11" s="508">
        <f t="shared" si="41"/>
        <v>0</v>
      </c>
      <c r="DB11" s="508">
        <f t="shared" si="42"/>
        <v>0</v>
      </c>
      <c r="DC11" s="508">
        <f t="shared" si="43"/>
        <v>0</v>
      </c>
      <c r="DD11" s="508">
        <f t="shared" si="44"/>
        <v>0</v>
      </c>
      <c r="DE11" s="725">
        <f t="shared" si="45"/>
        <v>0</v>
      </c>
      <c r="DF11" s="509">
        <f t="shared" si="96"/>
        <v>0</v>
      </c>
      <c r="DG11" s="508">
        <f t="shared" si="108"/>
        <v>0</v>
      </c>
      <c r="DH11" s="508">
        <f t="shared" si="46"/>
        <v>0</v>
      </c>
      <c r="DI11" s="508">
        <f t="shared" si="47"/>
        <v>0</v>
      </c>
      <c r="DJ11" s="508">
        <f t="shared" si="48"/>
        <v>0</v>
      </c>
      <c r="DK11" s="508">
        <f t="shared" si="49"/>
        <v>0</v>
      </c>
      <c r="DL11" s="726">
        <f t="shared" si="50"/>
        <v>0</v>
      </c>
      <c r="DM11" s="724">
        <f t="shared" si="51"/>
        <v>0</v>
      </c>
      <c r="DN11" s="508">
        <f t="shared" si="109"/>
        <v>0</v>
      </c>
      <c r="DO11" s="508">
        <f t="shared" si="52"/>
        <v>0</v>
      </c>
      <c r="DP11" s="508">
        <f t="shared" si="53"/>
        <v>0</v>
      </c>
      <c r="DQ11" s="508">
        <f t="shared" si="54"/>
        <v>0</v>
      </c>
      <c r="DR11" s="508">
        <f t="shared" si="55"/>
        <v>0</v>
      </c>
      <c r="DS11" s="725">
        <f t="shared" si="56"/>
        <v>0</v>
      </c>
      <c r="DT11" s="722">
        <f t="shared" si="57"/>
        <v>0</v>
      </c>
      <c r="DU11" s="511">
        <f t="shared" si="110"/>
        <v>0</v>
      </c>
      <c r="DV11" s="511">
        <f t="shared" si="58"/>
        <v>0</v>
      </c>
      <c r="DW11" s="511">
        <f t="shared" si="59"/>
        <v>0</v>
      </c>
      <c r="DX11" s="511">
        <f t="shared" si="60"/>
        <v>0</v>
      </c>
      <c r="DY11" s="511">
        <f t="shared" si="61"/>
        <v>0</v>
      </c>
      <c r="DZ11" s="723">
        <f t="shared" si="62"/>
        <v>0</v>
      </c>
      <c r="EA11" s="722">
        <f t="shared" si="63"/>
        <v>0</v>
      </c>
      <c r="EB11" s="511">
        <f t="shared" si="111"/>
        <v>0</v>
      </c>
      <c r="EC11" s="511">
        <f t="shared" si="64"/>
        <v>0</v>
      </c>
      <c r="ED11" s="511">
        <f t="shared" si="65"/>
        <v>0</v>
      </c>
      <c r="EE11" s="511">
        <f t="shared" si="66"/>
        <v>0</v>
      </c>
      <c r="EF11" s="511">
        <f t="shared" si="67"/>
        <v>0</v>
      </c>
      <c r="EG11" s="723">
        <f t="shared" si="68"/>
        <v>0</v>
      </c>
      <c r="EH11" s="507">
        <f t="shared" si="69"/>
        <v>0</v>
      </c>
      <c r="EI11" s="511">
        <f t="shared" si="112"/>
        <v>0</v>
      </c>
      <c r="EJ11" s="511">
        <f t="shared" si="70"/>
        <v>0</v>
      </c>
      <c r="EK11" s="511">
        <f t="shared" si="71"/>
        <v>0</v>
      </c>
      <c r="EL11" s="511">
        <f t="shared" si="72"/>
        <v>0</v>
      </c>
      <c r="EM11" s="511">
        <f t="shared" si="73"/>
        <v>0</v>
      </c>
      <c r="EN11" s="723">
        <f t="shared" si="74"/>
        <v>0</v>
      </c>
      <c r="EO11" s="977">
        <f t="shared" si="97"/>
        <v>0</v>
      </c>
      <c r="EP11" s="728">
        <f t="shared" si="98"/>
        <v>0</v>
      </c>
      <c r="EQ11" s="728">
        <f t="shared" si="99"/>
        <v>0</v>
      </c>
      <c r="ER11" s="728">
        <f t="shared" si="100"/>
        <v>0</v>
      </c>
      <c r="ES11" s="728">
        <f t="shared" si="101"/>
        <v>0</v>
      </c>
      <c r="ET11" s="978">
        <f t="shared" si="102"/>
        <v>0</v>
      </c>
      <c r="EU11" s="978">
        <f t="shared" si="103"/>
        <v>0</v>
      </c>
      <c r="EV11" s="778">
        <f t="shared" si="104"/>
        <v>0</v>
      </c>
      <c r="EX11" s="10" t="b">
        <f t="shared" si="75"/>
        <v>1</v>
      </c>
      <c r="EY11" s="10" t="b">
        <f t="shared" si="75"/>
        <v>1</v>
      </c>
      <c r="EZ11" s="10" t="b">
        <f t="shared" si="75"/>
        <v>1</v>
      </c>
      <c r="FA11" s="10" t="b">
        <f t="shared" si="75"/>
        <v>1</v>
      </c>
      <c r="FB11" s="10" t="b">
        <f t="shared" si="75"/>
        <v>1</v>
      </c>
      <c r="FC11" s="10" t="b">
        <f t="shared" si="75"/>
        <v>1</v>
      </c>
      <c r="FD11" s="10" t="b">
        <f t="shared" si="75"/>
        <v>1</v>
      </c>
    </row>
    <row r="12" spans="1:160" s="10" customFormat="1" ht="12.5">
      <c r="A12" s="662">
        <v>7</v>
      </c>
      <c r="B12" s="789" t="s">
        <v>442</v>
      </c>
      <c r="C12" s="662" t="s">
        <v>1532</v>
      </c>
      <c r="D12" s="715" t="s">
        <v>1514</v>
      </c>
      <c r="E12" s="1119" t="s">
        <v>1515</v>
      </c>
      <c r="F12" s="1120" t="s">
        <v>402</v>
      </c>
      <c r="G12" s="1120">
        <v>0</v>
      </c>
      <c r="H12" s="1121">
        <v>0</v>
      </c>
      <c r="I12" s="1121">
        <f>G12+H12</f>
        <v>0</v>
      </c>
      <c r="J12" s="1121">
        <v>0</v>
      </c>
      <c r="K12" s="1121" t="s">
        <v>378</v>
      </c>
      <c r="L12" s="1121" t="s">
        <v>378</v>
      </c>
      <c r="M12" s="1122">
        <v>36.787962138985513</v>
      </c>
      <c r="N12" s="1122">
        <f>M12</f>
        <v>36.787962138985513</v>
      </c>
      <c r="O12" s="707">
        <v>0</v>
      </c>
      <c r="P12" s="707">
        <v>0</v>
      </c>
      <c r="Q12" s="715">
        <v>0</v>
      </c>
      <c r="R12" s="1123">
        <v>1.59</v>
      </c>
      <c r="S12" s="715">
        <v>0</v>
      </c>
      <c r="T12" s="711" t="s">
        <v>1516</v>
      </c>
      <c r="U12" s="1124">
        <v>-0.1</v>
      </c>
      <c r="V12" s="1125">
        <v>1</v>
      </c>
      <c r="W12" s="781">
        <v>2900</v>
      </c>
      <c r="X12" s="781">
        <f>ROUNDDOWN((W12+($U12*W12)),-2)</f>
        <v>2600</v>
      </c>
      <c r="Y12" s="781">
        <f t="shared" ref="Y12:AC12" si="117">ROUNDDOWN((X12+($U12*X12)),-2)</f>
        <v>2300</v>
      </c>
      <c r="Z12" s="781">
        <f t="shared" si="117"/>
        <v>2000</v>
      </c>
      <c r="AA12" s="781">
        <f t="shared" si="117"/>
        <v>1800</v>
      </c>
      <c r="AB12" s="781">
        <f t="shared" si="117"/>
        <v>1600</v>
      </c>
      <c r="AC12" s="781">
        <f t="shared" si="117"/>
        <v>1400</v>
      </c>
      <c r="AD12" s="1126" t="s">
        <v>384</v>
      </c>
      <c r="AE12" s="1126" t="s">
        <v>742</v>
      </c>
      <c r="AF12" s="1126" t="s">
        <v>1146</v>
      </c>
      <c r="AG12" s="1126" t="s">
        <v>1533</v>
      </c>
      <c r="AH12" s="1126" t="s">
        <v>1</v>
      </c>
      <c r="AI12" s="1126" t="s">
        <v>378</v>
      </c>
      <c r="AJ12" s="1126" t="s">
        <v>378</v>
      </c>
      <c r="AK12" s="1126" t="s">
        <v>378</v>
      </c>
      <c r="AL12" s="715" t="s">
        <v>1187</v>
      </c>
      <c r="AM12" s="715" t="s">
        <v>380</v>
      </c>
      <c r="AN12" s="715" t="s">
        <v>746</v>
      </c>
      <c r="AO12" s="1126">
        <v>1</v>
      </c>
      <c r="AP12" s="1126">
        <v>1</v>
      </c>
      <c r="AQ12" s="1126" t="s">
        <v>1534</v>
      </c>
      <c r="AR12" s="1127">
        <v>1</v>
      </c>
      <c r="AS12" s="1127">
        <v>1</v>
      </c>
      <c r="AT12" s="1128">
        <v>0</v>
      </c>
      <c r="AU12" s="1129">
        <f t="shared" si="78"/>
        <v>0</v>
      </c>
      <c r="AV12" s="1130">
        <f t="shared" ref="AV12:AW13" si="118">AU12</f>
        <v>0</v>
      </c>
      <c r="AW12" s="1130">
        <f t="shared" si="118"/>
        <v>0</v>
      </c>
      <c r="AX12" s="1130">
        <f>AU12</f>
        <v>0</v>
      </c>
      <c r="AY12" s="1130">
        <f t="shared" si="20"/>
        <v>0</v>
      </c>
      <c r="AZ12" s="1130">
        <f t="shared" si="21"/>
        <v>0</v>
      </c>
      <c r="BA12" s="1131">
        <f t="shared" si="21"/>
        <v>0</v>
      </c>
      <c r="BB12" s="1129">
        <f t="shared" si="82"/>
        <v>0</v>
      </c>
      <c r="BC12" s="1130">
        <f t="shared" ref="BC12:BE13" si="119">BB12</f>
        <v>0</v>
      </c>
      <c r="BD12" s="1130">
        <f t="shared" si="119"/>
        <v>0</v>
      </c>
      <c r="BE12" s="1130">
        <f t="shared" si="119"/>
        <v>0</v>
      </c>
      <c r="BF12" s="1130">
        <f t="shared" si="23"/>
        <v>0</v>
      </c>
      <c r="BG12" s="1130">
        <f t="shared" si="24"/>
        <v>0</v>
      </c>
      <c r="BH12" s="1131">
        <f t="shared" si="24"/>
        <v>0</v>
      </c>
      <c r="BI12" s="1132">
        <f t="shared" si="86"/>
        <v>36.787962138985513</v>
      </c>
      <c r="BJ12" s="1130">
        <f t="shared" ref="BJ12:BL13" si="120">BI12</f>
        <v>36.787962138985513</v>
      </c>
      <c r="BK12" s="1130">
        <f t="shared" si="120"/>
        <v>36.787962138985513</v>
      </c>
      <c r="BL12" s="1130">
        <f t="shared" si="120"/>
        <v>36.787962138985513</v>
      </c>
      <c r="BM12" s="1130">
        <f t="shared" si="90"/>
        <v>36.787962138985513</v>
      </c>
      <c r="BN12" s="1130">
        <f t="shared" si="91"/>
        <v>36.787962138985513</v>
      </c>
      <c r="BO12" s="1136">
        <f t="shared" si="91"/>
        <v>36.787962138985513</v>
      </c>
      <c r="BP12" s="1129">
        <f t="shared" si="25"/>
        <v>0</v>
      </c>
      <c r="BQ12" s="1032">
        <f t="shared" si="25"/>
        <v>0</v>
      </c>
      <c r="BR12" s="1032">
        <f t="shared" si="25"/>
        <v>0</v>
      </c>
      <c r="BS12" s="1032">
        <f t="shared" si="25"/>
        <v>0</v>
      </c>
      <c r="BT12" s="1032">
        <f t="shared" si="25"/>
        <v>0</v>
      </c>
      <c r="BU12" s="1032">
        <f t="shared" si="25"/>
        <v>0</v>
      </c>
      <c r="BV12" s="1133">
        <f t="shared" si="25"/>
        <v>0</v>
      </c>
      <c r="BW12" s="722">
        <f t="shared" si="92"/>
        <v>0</v>
      </c>
      <c r="BX12" s="511">
        <f t="shared" ref="BX12:BZ13" si="121">BW12</f>
        <v>0</v>
      </c>
      <c r="BY12" s="511">
        <f t="shared" si="121"/>
        <v>0</v>
      </c>
      <c r="BZ12" s="511">
        <f t="shared" si="121"/>
        <v>0</v>
      </c>
      <c r="CA12" s="511">
        <f t="shared" si="27"/>
        <v>0</v>
      </c>
      <c r="CB12" s="511">
        <f t="shared" si="93"/>
        <v>0</v>
      </c>
      <c r="CC12" s="723">
        <f t="shared" si="93"/>
        <v>0</v>
      </c>
      <c r="CD12" s="722">
        <f t="shared" si="94"/>
        <v>1.59</v>
      </c>
      <c r="CE12" s="511">
        <f t="shared" ref="CE12:CG13" si="122">CD12</f>
        <v>1.59</v>
      </c>
      <c r="CF12" s="511">
        <f t="shared" si="122"/>
        <v>1.59</v>
      </c>
      <c r="CG12" s="511">
        <f t="shared" si="122"/>
        <v>1.59</v>
      </c>
      <c r="CH12" s="511">
        <f t="shared" si="29"/>
        <v>1.59</v>
      </c>
      <c r="CI12" s="511">
        <f t="shared" si="30"/>
        <v>1.59</v>
      </c>
      <c r="CJ12" s="723">
        <f t="shared" si="30"/>
        <v>1.59</v>
      </c>
      <c r="CK12" s="511">
        <f t="shared" si="95"/>
        <v>0</v>
      </c>
      <c r="CL12" s="511">
        <f t="shared" ref="CL12:CN13" si="123">CK12</f>
        <v>0</v>
      </c>
      <c r="CM12" s="511">
        <f t="shared" si="123"/>
        <v>0</v>
      </c>
      <c r="CN12" s="511">
        <f t="shared" si="123"/>
        <v>0</v>
      </c>
      <c r="CO12" s="511">
        <f t="shared" si="32"/>
        <v>0</v>
      </c>
      <c r="CP12" s="511">
        <f t="shared" si="33"/>
        <v>0</v>
      </c>
      <c r="CQ12" s="539">
        <f t="shared" si="33"/>
        <v>0</v>
      </c>
      <c r="CR12" s="724">
        <f t="shared" si="34"/>
        <v>0</v>
      </c>
      <c r="CS12" s="508">
        <f t="shared" si="106"/>
        <v>0</v>
      </c>
      <c r="CT12" s="508">
        <f t="shared" si="35"/>
        <v>0</v>
      </c>
      <c r="CU12" s="508">
        <f t="shared" si="36"/>
        <v>0</v>
      </c>
      <c r="CV12" s="508">
        <f t="shared" si="37"/>
        <v>0</v>
      </c>
      <c r="CW12" s="508">
        <f t="shared" si="38"/>
        <v>0</v>
      </c>
      <c r="CX12" s="725">
        <f t="shared" si="39"/>
        <v>0</v>
      </c>
      <c r="CY12" s="724">
        <f t="shared" si="40"/>
        <v>0</v>
      </c>
      <c r="CZ12" s="508">
        <f t="shared" si="107"/>
        <v>0</v>
      </c>
      <c r="DA12" s="508">
        <f t="shared" si="41"/>
        <v>0</v>
      </c>
      <c r="DB12" s="508">
        <f t="shared" si="42"/>
        <v>0</v>
      </c>
      <c r="DC12" s="508">
        <f t="shared" si="43"/>
        <v>0</v>
      </c>
      <c r="DD12" s="508">
        <f t="shared" si="44"/>
        <v>0</v>
      </c>
      <c r="DE12" s="725">
        <f t="shared" si="45"/>
        <v>0</v>
      </c>
      <c r="DF12" s="509">
        <f t="shared" si="96"/>
        <v>106685.09020305799</v>
      </c>
      <c r="DG12" s="508">
        <f t="shared" si="108"/>
        <v>95648.701561362337</v>
      </c>
      <c r="DH12" s="508">
        <f t="shared" si="46"/>
        <v>84612.312919666685</v>
      </c>
      <c r="DI12" s="508">
        <f t="shared" si="47"/>
        <v>73575.924277971033</v>
      </c>
      <c r="DJ12" s="508">
        <f t="shared" si="48"/>
        <v>66218.331850173927</v>
      </c>
      <c r="DK12" s="508">
        <f t="shared" si="49"/>
        <v>58860.739422376821</v>
      </c>
      <c r="DL12" s="726">
        <f t="shared" si="50"/>
        <v>51503.146994579722</v>
      </c>
      <c r="DM12" s="724">
        <f t="shared" si="51"/>
        <v>0</v>
      </c>
      <c r="DN12" s="508">
        <f t="shared" si="109"/>
        <v>0</v>
      </c>
      <c r="DO12" s="508">
        <f t="shared" si="52"/>
        <v>0</v>
      </c>
      <c r="DP12" s="508">
        <f t="shared" si="53"/>
        <v>0</v>
      </c>
      <c r="DQ12" s="508">
        <f t="shared" si="54"/>
        <v>0</v>
      </c>
      <c r="DR12" s="508">
        <f t="shared" si="55"/>
        <v>0</v>
      </c>
      <c r="DS12" s="725">
        <f t="shared" si="56"/>
        <v>0</v>
      </c>
      <c r="DT12" s="722">
        <f t="shared" si="57"/>
        <v>0</v>
      </c>
      <c r="DU12" s="511">
        <f t="shared" si="110"/>
        <v>0</v>
      </c>
      <c r="DV12" s="511">
        <f t="shared" si="58"/>
        <v>0</v>
      </c>
      <c r="DW12" s="511">
        <f t="shared" si="59"/>
        <v>0</v>
      </c>
      <c r="DX12" s="511">
        <f t="shared" si="60"/>
        <v>0</v>
      </c>
      <c r="DY12" s="511">
        <f t="shared" si="61"/>
        <v>0</v>
      </c>
      <c r="DZ12" s="723">
        <f t="shared" si="62"/>
        <v>0</v>
      </c>
      <c r="EA12" s="722">
        <f t="shared" si="63"/>
        <v>4611</v>
      </c>
      <c r="EB12" s="511">
        <f t="shared" si="111"/>
        <v>4134</v>
      </c>
      <c r="EC12" s="511">
        <f t="shared" si="64"/>
        <v>3657</v>
      </c>
      <c r="ED12" s="511">
        <f t="shared" si="65"/>
        <v>3180</v>
      </c>
      <c r="EE12" s="511">
        <f t="shared" si="66"/>
        <v>2862</v>
      </c>
      <c r="EF12" s="511">
        <f t="shared" si="67"/>
        <v>2544</v>
      </c>
      <c r="EG12" s="723">
        <f t="shared" si="68"/>
        <v>2226</v>
      </c>
      <c r="EH12" s="507">
        <f t="shared" si="69"/>
        <v>0</v>
      </c>
      <c r="EI12" s="511">
        <f t="shared" si="112"/>
        <v>0</v>
      </c>
      <c r="EJ12" s="511">
        <f t="shared" si="70"/>
        <v>0</v>
      </c>
      <c r="EK12" s="511">
        <f t="shared" si="71"/>
        <v>0</v>
      </c>
      <c r="EL12" s="511">
        <f t="shared" si="72"/>
        <v>0</v>
      </c>
      <c r="EM12" s="511">
        <f t="shared" si="73"/>
        <v>0</v>
      </c>
      <c r="EN12" s="723">
        <f t="shared" si="74"/>
        <v>0</v>
      </c>
      <c r="EO12" s="727">
        <f t="shared" si="97"/>
        <v>2085.7142857142858</v>
      </c>
      <c r="EP12" s="728">
        <f t="shared" si="98"/>
        <v>0</v>
      </c>
      <c r="EQ12" s="728">
        <f t="shared" si="99"/>
        <v>0</v>
      </c>
      <c r="ER12" s="728">
        <f t="shared" si="100"/>
        <v>537104.24722918856</v>
      </c>
      <c r="ES12" s="728">
        <f t="shared" si="101"/>
        <v>0</v>
      </c>
      <c r="ET12" s="777">
        <f t="shared" si="102"/>
        <v>0</v>
      </c>
      <c r="EU12" s="777">
        <f t="shared" si="103"/>
        <v>4611</v>
      </c>
      <c r="EV12" s="778">
        <f t="shared" si="104"/>
        <v>0</v>
      </c>
      <c r="EX12" s="10" t="b">
        <f t="shared" si="75"/>
        <v>1</v>
      </c>
      <c r="EY12" s="10" t="b">
        <f t="shared" si="75"/>
        <v>1</v>
      </c>
      <c r="EZ12" s="10" t="b">
        <f t="shared" si="75"/>
        <v>1</v>
      </c>
      <c r="FA12" s="10" t="b">
        <f t="shared" si="75"/>
        <v>1</v>
      </c>
      <c r="FB12" s="10" t="b">
        <f t="shared" si="75"/>
        <v>1</v>
      </c>
      <c r="FC12" s="10" t="b">
        <f t="shared" si="75"/>
        <v>1</v>
      </c>
      <c r="FD12" s="10" t="b">
        <f t="shared" si="75"/>
        <v>1</v>
      </c>
    </row>
    <row r="13" spans="1:160" s="10" customFormat="1" ht="12.5">
      <c r="A13" s="662">
        <v>8</v>
      </c>
      <c r="B13" s="789" t="s">
        <v>443</v>
      </c>
      <c r="C13" s="662" t="s">
        <v>1535</v>
      </c>
      <c r="D13" s="715" t="s">
        <v>1514</v>
      </c>
      <c r="E13" s="1119" t="s">
        <v>1515</v>
      </c>
      <c r="F13" s="1120" t="s">
        <v>402</v>
      </c>
      <c r="G13" s="1120">
        <v>0</v>
      </c>
      <c r="H13" s="1121">
        <v>0</v>
      </c>
      <c r="I13" s="1121">
        <f>G13+H13</f>
        <v>0</v>
      </c>
      <c r="J13" s="1121">
        <v>0</v>
      </c>
      <c r="K13" s="1121" t="s">
        <v>378</v>
      </c>
      <c r="L13" s="1121" t="s">
        <v>378</v>
      </c>
      <c r="M13" s="1122">
        <v>8</v>
      </c>
      <c r="N13" s="1122">
        <v>16</v>
      </c>
      <c r="O13" s="707">
        <v>0</v>
      </c>
      <c r="P13" s="707">
        <v>0</v>
      </c>
      <c r="Q13" s="715">
        <v>0</v>
      </c>
      <c r="R13" s="1135">
        <v>0.4</v>
      </c>
      <c r="S13" s="715">
        <v>0</v>
      </c>
      <c r="T13" s="711" t="s">
        <v>1516</v>
      </c>
      <c r="U13" s="1124">
        <v>-0.1</v>
      </c>
      <c r="V13" s="1125">
        <v>1</v>
      </c>
      <c r="W13" s="781">
        <v>300</v>
      </c>
      <c r="X13" s="781">
        <f>ROUNDDOWN((W13+($U13*W13)),-1)</f>
        <v>270</v>
      </c>
      <c r="Y13" s="781">
        <f t="shared" ref="Y13:AC13" si="124">ROUNDDOWN((X13+($U13*X13)),-2)</f>
        <v>200</v>
      </c>
      <c r="Z13" s="781">
        <f t="shared" si="124"/>
        <v>100</v>
      </c>
      <c r="AA13" s="781">
        <f t="shared" si="124"/>
        <v>0</v>
      </c>
      <c r="AB13" s="781">
        <f t="shared" si="124"/>
        <v>0</v>
      </c>
      <c r="AC13" s="781">
        <f t="shared" si="124"/>
        <v>0</v>
      </c>
      <c r="AD13" s="1126" t="s">
        <v>384</v>
      </c>
      <c r="AE13" s="1126" t="s">
        <v>742</v>
      </c>
      <c r="AF13" s="1126" t="s">
        <v>1146</v>
      </c>
      <c r="AG13" s="1126" t="s">
        <v>753</v>
      </c>
      <c r="AH13" s="1126" t="s">
        <v>1</v>
      </c>
      <c r="AI13" s="1126" t="s">
        <v>378</v>
      </c>
      <c r="AJ13" s="1126" t="s">
        <v>378</v>
      </c>
      <c r="AK13" s="1126" t="s">
        <v>378</v>
      </c>
      <c r="AL13" s="715" t="s">
        <v>1158</v>
      </c>
      <c r="AM13" s="715" t="s">
        <v>380</v>
      </c>
      <c r="AN13" s="715" t="s">
        <v>746</v>
      </c>
      <c r="AO13" s="1126">
        <v>1</v>
      </c>
      <c r="AP13" s="1126">
        <v>1</v>
      </c>
      <c r="AQ13" s="1126" t="s">
        <v>1534</v>
      </c>
      <c r="AR13" s="1127">
        <v>1</v>
      </c>
      <c r="AS13" s="1127">
        <v>1</v>
      </c>
      <c r="AT13" s="1128">
        <v>0</v>
      </c>
      <c r="AU13" s="1129">
        <f t="shared" si="78"/>
        <v>0</v>
      </c>
      <c r="AV13" s="1130">
        <f t="shared" si="118"/>
        <v>0</v>
      </c>
      <c r="AW13" s="1130">
        <f t="shared" si="118"/>
        <v>0</v>
      </c>
      <c r="AX13" s="1130">
        <f>AU13</f>
        <v>0</v>
      </c>
      <c r="AY13" s="1130">
        <f t="shared" si="20"/>
        <v>0</v>
      </c>
      <c r="AZ13" s="1130">
        <f t="shared" si="21"/>
        <v>0</v>
      </c>
      <c r="BA13" s="1131">
        <f t="shared" si="21"/>
        <v>0</v>
      </c>
      <c r="BB13" s="1129">
        <f t="shared" si="82"/>
        <v>0</v>
      </c>
      <c r="BC13" s="1130">
        <f t="shared" si="119"/>
        <v>0</v>
      </c>
      <c r="BD13" s="1130">
        <f t="shared" si="119"/>
        <v>0</v>
      </c>
      <c r="BE13" s="1130">
        <f t="shared" si="119"/>
        <v>0</v>
      </c>
      <c r="BF13" s="1130">
        <f t="shared" si="23"/>
        <v>0</v>
      </c>
      <c r="BG13" s="1130">
        <f t="shared" si="24"/>
        <v>0</v>
      </c>
      <c r="BH13" s="1131">
        <f t="shared" si="24"/>
        <v>0</v>
      </c>
      <c r="BI13" s="1132">
        <f t="shared" si="86"/>
        <v>16</v>
      </c>
      <c r="BJ13" s="1130">
        <f t="shared" si="120"/>
        <v>16</v>
      </c>
      <c r="BK13" s="1130">
        <f t="shared" si="120"/>
        <v>16</v>
      </c>
      <c r="BL13" s="1130">
        <f t="shared" si="120"/>
        <v>16</v>
      </c>
      <c r="BM13" s="1130">
        <f t="shared" si="90"/>
        <v>16</v>
      </c>
      <c r="BN13" s="1130">
        <f t="shared" si="91"/>
        <v>16</v>
      </c>
      <c r="BO13" s="1136">
        <f t="shared" si="91"/>
        <v>16</v>
      </c>
      <c r="BP13" s="1129">
        <f t="shared" si="25"/>
        <v>0</v>
      </c>
      <c r="BQ13" s="1032">
        <f t="shared" si="25"/>
        <v>0</v>
      </c>
      <c r="BR13" s="1032">
        <f t="shared" si="25"/>
        <v>0</v>
      </c>
      <c r="BS13" s="1032">
        <f t="shared" si="25"/>
        <v>0</v>
      </c>
      <c r="BT13" s="1032">
        <f t="shared" si="25"/>
        <v>0</v>
      </c>
      <c r="BU13" s="1032">
        <f t="shared" si="25"/>
        <v>0</v>
      </c>
      <c r="BV13" s="1133">
        <f t="shared" si="25"/>
        <v>0</v>
      </c>
      <c r="BW13" s="722">
        <f t="shared" si="92"/>
        <v>0</v>
      </c>
      <c r="BX13" s="511">
        <f t="shared" si="121"/>
        <v>0</v>
      </c>
      <c r="BY13" s="511">
        <f t="shared" si="121"/>
        <v>0</v>
      </c>
      <c r="BZ13" s="511">
        <f t="shared" si="121"/>
        <v>0</v>
      </c>
      <c r="CA13" s="511">
        <f t="shared" si="27"/>
        <v>0</v>
      </c>
      <c r="CB13" s="511">
        <f t="shared" si="93"/>
        <v>0</v>
      </c>
      <c r="CC13" s="723">
        <f t="shared" si="93"/>
        <v>0</v>
      </c>
      <c r="CD13" s="722">
        <f t="shared" si="94"/>
        <v>0.4</v>
      </c>
      <c r="CE13" s="511">
        <f t="shared" si="122"/>
        <v>0.4</v>
      </c>
      <c r="CF13" s="511">
        <f t="shared" si="122"/>
        <v>0.4</v>
      </c>
      <c r="CG13" s="511">
        <f t="shared" si="122"/>
        <v>0.4</v>
      </c>
      <c r="CH13" s="511">
        <f t="shared" si="29"/>
        <v>0.4</v>
      </c>
      <c r="CI13" s="511">
        <f t="shared" si="30"/>
        <v>0.4</v>
      </c>
      <c r="CJ13" s="723">
        <f t="shared" si="30"/>
        <v>0.4</v>
      </c>
      <c r="CK13" s="511">
        <f t="shared" si="95"/>
        <v>0</v>
      </c>
      <c r="CL13" s="511">
        <f t="shared" si="123"/>
        <v>0</v>
      </c>
      <c r="CM13" s="511">
        <f t="shared" si="123"/>
        <v>0</v>
      </c>
      <c r="CN13" s="511">
        <f t="shared" si="123"/>
        <v>0</v>
      </c>
      <c r="CO13" s="511">
        <f t="shared" si="32"/>
        <v>0</v>
      </c>
      <c r="CP13" s="511">
        <f t="shared" si="33"/>
        <v>0</v>
      </c>
      <c r="CQ13" s="539">
        <f t="shared" si="33"/>
        <v>0</v>
      </c>
      <c r="CR13" s="724">
        <f t="shared" si="34"/>
        <v>0</v>
      </c>
      <c r="CS13" s="508">
        <f t="shared" si="106"/>
        <v>0</v>
      </c>
      <c r="CT13" s="508">
        <f t="shared" si="35"/>
        <v>0</v>
      </c>
      <c r="CU13" s="508">
        <f t="shared" si="36"/>
        <v>0</v>
      </c>
      <c r="CV13" s="508">
        <f t="shared" si="37"/>
        <v>0</v>
      </c>
      <c r="CW13" s="508">
        <f t="shared" si="38"/>
        <v>0</v>
      </c>
      <c r="CX13" s="725">
        <f t="shared" si="39"/>
        <v>0</v>
      </c>
      <c r="CY13" s="724">
        <f t="shared" si="40"/>
        <v>0</v>
      </c>
      <c r="CZ13" s="508">
        <f t="shared" si="107"/>
        <v>0</v>
      </c>
      <c r="DA13" s="508">
        <f t="shared" si="41"/>
        <v>0</v>
      </c>
      <c r="DB13" s="508">
        <f t="shared" si="42"/>
        <v>0</v>
      </c>
      <c r="DC13" s="508">
        <f t="shared" si="43"/>
        <v>0</v>
      </c>
      <c r="DD13" s="508">
        <f t="shared" si="44"/>
        <v>0</v>
      </c>
      <c r="DE13" s="725">
        <f t="shared" si="45"/>
        <v>0</v>
      </c>
      <c r="DF13" s="509">
        <f t="shared" si="96"/>
        <v>4800</v>
      </c>
      <c r="DG13" s="508">
        <f t="shared" si="108"/>
        <v>4320</v>
      </c>
      <c r="DH13" s="508">
        <f t="shared" si="46"/>
        <v>3200</v>
      </c>
      <c r="DI13" s="508">
        <f t="shared" si="47"/>
        <v>1600</v>
      </c>
      <c r="DJ13" s="508">
        <f t="shared" si="48"/>
        <v>0</v>
      </c>
      <c r="DK13" s="508">
        <f t="shared" si="49"/>
        <v>0</v>
      </c>
      <c r="DL13" s="726">
        <f t="shared" si="50"/>
        <v>0</v>
      </c>
      <c r="DM13" s="724">
        <f t="shared" si="51"/>
        <v>0</v>
      </c>
      <c r="DN13" s="508">
        <f t="shared" si="109"/>
        <v>0</v>
      </c>
      <c r="DO13" s="508">
        <f t="shared" si="52"/>
        <v>0</v>
      </c>
      <c r="DP13" s="508">
        <f t="shared" si="53"/>
        <v>0</v>
      </c>
      <c r="DQ13" s="508">
        <f t="shared" si="54"/>
        <v>0</v>
      </c>
      <c r="DR13" s="508">
        <f t="shared" si="55"/>
        <v>0</v>
      </c>
      <c r="DS13" s="725">
        <f t="shared" si="56"/>
        <v>0</v>
      </c>
      <c r="DT13" s="722">
        <f t="shared" si="57"/>
        <v>0</v>
      </c>
      <c r="DU13" s="511">
        <f t="shared" si="110"/>
        <v>0</v>
      </c>
      <c r="DV13" s="511">
        <f t="shared" si="58"/>
        <v>0</v>
      </c>
      <c r="DW13" s="511">
        <f t="shared" si="59"/>
        <v>0</v>
      </c>
      <c r="DX13" s="511">
        <f t="shared" si="60"/>
        <v>0</v>
      </c>
      <c r="DY13" s="511">
        <f t="shared" si="61"/>
        <v>0</v>
      </c>
      <c r="DZ13" s="723">
        <f t="shared" si="62"/>
        <v>0</v>
      </c>
      <c r="EA13" s="722">
        <f t="shared" si="63"/>
        <v>120</v>
      </c>
      <c r="EB13" s="511">
        <f t="shared" si="111"/>
        <v>108</v>
      </c>
      <c r="EC13" s="511">
        <f t="shared" si="64"/>
        <v>80</v>
      </c>
      <c r="ED13" s="511">
        <f t="shared" si="65"/>
        <v>40</v>
      </c>
      <c r="EE13" s="511">
        <f t="shared" si="66"/>
        <v>0</v>
      </c>
      <c r="EF13" s="511">
        <f t="shared" si="67"/>
        <v>0</v>
      </c>
      <c r="EG13" s="723">
        <f t="shared" si="68"/>
        <v>0</v>
      </c>
      <c r="EH13" s="507">
        <f t="shared" si="69"/>
        <v>0</v>
      </c>
      <c r="EI13" s="511">
        <f t="shared" si="112"/>
        <v>0</v>
      </c>
      <c r="EJ13" s="511">
        <f t="shared" si="70"/>
        <v>0</v>
      </c>
      <c r="EK13" s="511">
        <f t="shared" si="71"/>
        <v>0</v>
      </c>
      <c r="EL13" s="511">
        <f t="shared" si="72"/>
        <v>0</v>
      </c>
      <c r="EM13" s="511">
        <f t="shared" si="73"/>
        <v>0</v>
      </c>
      <c r="EN13" s="723">
        <f t="shared" si="74"/>
        <v>0</v>
      </c>
      <c r="EO13" s="727">
        <f t="shared" si="97"/>
        <v>124.28571428571429</v>
      </c>
      <c r="EP13" s="728">
        <f t="shared" si="98"/>
        <v>0</v>
      </c>
      <c r="EQ13" s="728">
        <f t="shared" si="99"/>
        <v>0</v>
      </c>
      <c r="ER13" s="728">
        <f t="shared" si="100"/>
        <v>13920</v>
      </c>
      <c r="ES13" s="728">
        <f t="shared" si="101"/>
        <v>0</v>
      </c>
      <c r="ET13" s="777">
        <f t="shared" si="102"/>
        <v>0</v>
      </c>
      <c r="EU13" s="777">
        <f t="shared" si="103"/>
        <v>120</v>
      </c>
      <c r="EV13" s="778">
        <f t="shared" si="104"/>
        <v>0</v>
      </c>
      <c r="EX13" s="10" t="b">
        <f t="shared" si="75"/>
        <v>1</v>
      </c>
      <c r="EY13" s="10" t="b">
        <f t="shared" si="75"/>
        <v>1</v>
      </c>
      <c r="EZ13" s="10" t="b">
        <f t="shared" si="75"/>
        <v>1</v>
      </c>
      <c r="FA13" s="10" t="b">
        <f t="shared" si="75"/>
        <v>1</v>
      </c>
      <c r="FB13" s="10" t="b">
        <f t="shared" si="75"/>
        <v>1</v>
      </c>
      <c r="FC13" s="10" t="b">
        <f t="shared" si="75"/>
        <v>1</v>
      </c>
      <c r="FD13" s="10" t="b">
        <f t="shared" si="75"/>
        <v>1</v>
      </c>
    </row>
    <row r="14" spans="1:160" s="10" customFormat="1" ht="12.5">
      <c r="A14" s="1036"/>
      <c r="B14" s="1139"/>
      <c r="C14" s="1151"/>
      <c r="D14" s="1038"/>
      <c r="E14" s="1139"/>
      <c r="F14" s="1039"/>
      <c r="G14" s="1039"/>
      <c r="H14" s="1039"/>
      <c r="I14" s="1041"/>
      <c r="J14" s="1041"/>
      <c r="K14" s="1041"/>
      <c r="L14" s="1048"/>
      <c r="M14" s="1140"/>
      <c r="N14" s="1140"/>
      <c r="O14" s="1141"/>
      <c r="P14" s="1141"/>
      <c r="Q14" s="1038"/>
      <c r="R14" s="1142"/>
      <c r="S14" s="1038"/>
      <c r="T14" s="1048"/>
      <c r="U14" s="1046"/>
      <c r="V14" s="1143"/>
      <c r="W14" s="1047"/>
      <c r="X14" s="1047"/>
      <c r="Y14" s="1047"/>
      <c r="Z14" s="1047"/>
      <c r="AA14" s="1047"/>
      <c r="AB14" s="1047"/>
      <c r="AC14" s="1047"/>
      <c r="AD14" s="1048"/>
      <c r="AE14" s="1048"/>
      <c r="AF14" s="1048"/>
      <c r="AG14" s="1048"/>
      <c r="AH14" s="1048"/>
      <c r="AI14" s="1048"/>
      <c r="AJ14" s="1048"/>
      <c r="AK14" s="1048"/>
      <c r="AL14" s="1038"/>
      <c r="AM14" s="1038"/>
      <c r="AN14" s="1038"/>
      <c r="AO14" s="1048"/>
      <c r="AP14" s="1048"/>
      <c r="AQ14" s="1048"/>
      <c r="AR14" s="1049"/>
      <c r="AS14" s="1049"/>
      <c r="AT14" s="1050"/>
      <c r="AU14" s="1051"/>
      <c r="AV14" s="1052"/>
      <c r="AW14" s="1052"/>
      <c r="AX14" s="1052"/>
      <c r="AY14" s="1052"/>
      <c r="AZ14" s="1052"/>
      <c r="BA14" s="1144"/>
      <c r="BB14" s="1051"/>
      <c r="BC14" s="1052"/>
      <c r="BD14" s="1052"/>
      <c r="BE14" s="1052"/>
      <c r="BF14" s="1052"/>
      <c r="BG14" s="1052"/>
      <c r="BH14" s="1144"/>
      <c r="BI14" s="1145"/>
      <c r="BJ14" s="1052"/>
      <c r="BK14" s="1052"/>
      <c r="BL14" s="1052"/>
      <c r="BM14" s="1052"/>
      <c r="BN14" s="1052"/>
      <c r="BO14" s="1146"/>
      <c r="BP14" s="1051"/>
      <c r="BQ14" s="1052"/>
      <c r="BR14" s="1052"/>
      <c r="BS14" s="1052"/>
      <c r="BT14" s="1052"/>
      <c r="BU14" s="1052"/>
      <c r="BV14" s="1144"/>
      <c r="BW14" s="1053"/>
      <c r="BX14" s="1054"/>
      <c r="BY14" s="1054"/>
      <c r="BZ14" s="1054"/>
      <c r="CA14" s="1054"/>
      <c r="CB14" s="1054"/>
      <c r="CC14" s="1060"/>
      <c r="CD14" s="1053"/>
      <c r="CE14" s="1054"/>
      <c r="CF14" s="1054"/>
      <c r="CG14" s="1054"/>
      <c r="CH14" s="1054"/>
      <c r="CI14" s="1054"/>
      <c r="CJ14" s="1060"/>
      <c r="CK14" s="1054"/>
      <c r="CL14" s="1054"/>
      <c r="CM14" s="1054"/>
      <c r="CN14" s="1054"/>
      <c r="CO14" s="1054"/>
      <c r="CP14" s="1054"/>
      <c r="CQ14" s="1055"/>
      <c r="CR14" s="1056"/>
      <c r="CS14" s="1057"/>
      <c r="CT14" s="1057"/>
      <c r="CU14" s="1057"/>
      <c r="CV14" s="1057"/>
      <c r="CW14" s="1057"/>
      <c r="CX14" s="1147"/>
      <c r="CY14" s="1056"/>
      <c r="CZ14" s="1057"/>
      <c r="DA14" s="1057"/>
      <c r="DB14" s="1057"/>
      <c r="DC14" s="1057"/>
      <c r="DD14" s="1057"/>
      <c r="DE14" s="1147"/>
      <c r="DF14" s="1059"/>
      <c r="DG14" s="1057"/>
      <c r="DH14" s="1057"/>
      <c r="DI14" s="1057"/>
      <c r="DJ14" s="1057"/>
      <c r="DK14" s="1057"/>
      <c r="DL14" s="1058"/>
      <c r="DM14" s="1056"/>
      <c r="DN14" s="1057"/>
      <c r="DO14" s="1057"/>
      <c r="DP14" s="1057"/>
      <c r="DQ14" s="1057"/>
      <c r="DR14" s="1057"/>
      <c r="DS14" s="1147"/>
      <c r="DT14" s="1053"/>
      <c r="DU14" s="1054"/>
      <c r="DV14" s="1054"/>
      <c r="DW14" s="1054"/>
      <c r="DX14" s="1054"/>
      <c r="DY14" s="1054"/>
      <c r="DZ14" s="1060"/>
      <c r="EA14" s="1053"/>
      <c r="EB14" s="1054"/>
      <c r="EC14" s="1054"/>
      <c r="ED14" s="1054"/>
      <c r="EE14" s="1054"/>
      <c r="EF14" s="1054"/>
      <c r="EG14" s="1060"/>
      <c r="EH14" s="1148"/>
      <c r="EI14" s="1054"/>
      <c r="EJ14" s="1054"/>
      <c r="EK14" s="1054"/>
      <c r="EL14" s="1054"/>
      <c r="EM14" s="1054"/>
      <c r="EN14" s="1060"/>
      <c r="EO14" s="1061"/>
      <c r="EP14" s="1062"/>
      <c r="EQ14" s="1062"/>
      <c r="ER14" s="1062"/>
      <c r="ES14" s="1062"/>
      <c r="ET14" s="1063"/>
      <c r="EU14" s="1063"/>
      <c r="EV14" s="1054"/>
    </row>
    <row r="15" spans="1:160" s="10" customFormat="1" ht="12.5">
      <c r="A15" s="661" t="s">
        <v>171</v>
      </c>
      <c r="B15" s="789" t="s">
        <v>1536</v>
      </c>
      <c r="C15" s="662" t="s">
        <v>1513</v>
      </c>
      <c r="D15" s="715" t="s">
        <v>1514</v>
      </c>
      <c r="E15" s="703" t="s">
        <v>1515</v>
      </c>
      <c r="F15" s="1134" t="s">
        <v>402</v>
      </c>
      <c r="G15" s="1134">
        <v>0</v>
      </c>
      <c r="H15" s="704">
        <v>0</v>
      </c>
      <c r="I15" s="704">
        <f>G15+H15</f>
        <v>0</v>
      </c>
      <c r="J15" s="1121">
        <v>0</v>
      </c>
      <c r="K15" s="704" t="s">
        <v>378</v>
      </c>
      <c r="L15" s="1121" t="s">
        <v>378</v>
      </c>
      <c r="M15" s="1122">
        <v>20</v>
      </c>
      <c r="N15" s="1122">
        <f>N6</f>
        <v>0</v>
      </c>
      <c r="O15" s="707">
        <v>0</v>
      </c>
      <c r="P15" s="707">
        <v>0</v>
      </c>
      <c r="Q15" s="715">
        <v>0</v>
      </c>
      <c r="R15" s="1123">
        <v>0.7</v>
      </c>
      <c r="S15" s="715">
        <v>0</v>
      </c>
      <c r="T15" s="711" t="s">
        <v>1516</v>
      </c>
      <c r="U15" s="1124">
        <v>-0.1</v>
      </c>
      <c r="V15" s="1149">
        <v>1</v>
      </c>
      <c r="W15" s="781">
        <f t="shared" ref="W15:AC22" si="125">W6*0.5</f>
        <v>69600</v>
      </c>
      <c r="X15" s="781">
        <f>X6*0.5</f>
        <v>62600</v>
      </c>
      <c r="Y15" s="781">
        <f t="shared" si="125"/>
        <v>56300</v>
      </c>
      <c r="Z15" s="781">
        <f t="shared" si="125"/>
        <v>50650</v>
      </c>
      <c r="AA15" s="781">
        <f t="shared" si="125"/>
        <v>45550</v>
      </c>
      <c r="AB15" s="781">
        <f t="shared" si="125"/>
        <v>40950</v>
      </c>
      <c r="AC15" s="781">
        <f t="shared" si="125"/>
        <v>36850</v>
      </c>
      <c r="AD15" s="711" t="s">
        <v>384</v>
      </c>
      <c r="AE15" s="1126" t="s">
        <v>375</v>
      </c>
      <c r="AF15" s="711" t="s">
        <v>376</v>
      </c>
      <c r="AG15" s="711" t="s">
        <v>454</v>
      </c>
      <c r="AH15" s="711" t="s">
        <v>1</v>
      </c>
      <c r="AI15" s="711" t="s">
        <v>378</v>
      </c>
      <c r="AJ15" s="711" t="s">
        <v>378</v>
      </c>
      <c r="AK15" s="711" t="s">
        <v>378</v>
      </c>
      <c r="AL15" s="715" t="s">
        <v>406</v>
      </c>
      <c r="AM15" s="715" t="s">
        <v>380</v>
      </c>
      <c r="AN15" s="715" t="s">
        <v>385</v>
      </c>
      <c r="AO15" s="711">
        <v>1</v>
      </c>
      <c r="AP15" s="711">
        <v>1</v>
      </c>
      <c r="AQ15" s="711" t="s">
        <v>1517</v>
      </c>
      <c r="AR15" s="716">
        <v>1</v>
      </c>
      <c r="AS15" s="716">
        <v>1</v>
      </c>
      <c r="AT15" s="717">
        <v>0</v>
      </c>
      <c r="AU15" s="1129">
        <f>I15</f>
        <v>0</v>
      </c>
      <c r="AV15" s="499">
        <f t="shared" si="79"/>
        <v>0</v>
      </c>
      <c r="AW15" s="499">
        <f t="shared" si="80"/>
        <v>0</v>
      </c>
      <c r="AX15" s="499">
        <f t="shared" si="81"/>
        <v>0</v>
      </c>
      <c r="AY15" s="499">
        <f t="shared" ref="AY15:AY22" si="126">AV15</f>
        <v>0</v>
      </c>
      <c r="AZ15" s="499">
        <f t="shared" ref="AZ15:BA22" si="127">AW15</f>
        <v>0</v>
      </c>
      <c r="BA15" s="719">
        <f t="shared" si="127"/>
        <v>0</v>
      </c>
      <c r="BB15" s="1129">
        <f>J15</f>
        <v>0</v>
      </c>
      <c r="BC15" s="499">
        <f t="shared" si="83"/>
        <v>0</v>
      </c>
      <c r="BD15" s="499">
        <f t="shared" si="84"/>
        <v>0</v>
      </c>
      <c r="BE15" s="499">
        <f t="shared" si="85"/>
        <v>0</v>
      </c>
      <c r="BF15" s="499">
        <f t="shared" ref="BF15:BF22" si="128">BE15</f>
        <v>0</v>
      </c>
      <c r="BG15" s="499">
        <f t="shared" ref="BG15:BH22" si="129">BF15</f>
        <v>0</v>
      </c>
      <c r="BH15" s="719">
        <f t="shared" si="129"/>
        <v>0</v>
      </c>
      <c r="BI15" s="1132">
        <f>5*2</f>
        <v>10</v>
      </c>
      <c r="BJ15" s="1130">
        <f>5*2</f>
        <v>10</v>
      </c>
      <c r="BK15" s="1130">
        <f>5*2</f>
        <v>10</v>
      </c>
      <c r="BL15" s="1130">
        <f>5*5</f>
        <v>25</v>
      </c>
      <c r="BM15" s="1130">
        <f>5*20</f>
        <v>100</v>
      </c>
      <c r="BN15" s="1130">
        <f>5*20</f>
        <v>100</v>
      </c>
      <c r="BO15" s="1130">
        <f>5*20</f>
        <v>100</v>
      </c>
      <c r="BP15" s="774">
        <f t="shared" si="25"/>
        <v>0</v>
      </c>
      <c r="BQ15" s="503">
        <f t="shared" si="25"/>
        <v>0</v>
      </c>
      <c r="BR15" s="503">
        <f t="shared" si="25"/>
        <v>0</v>
      </c>
      <c r="BS15" s="503">
        <f t="shared" si="25"/>
        <v>0</v>
      </c>
      <c r="BT15" s="503">
        <f t="shared" si="25"/>
        <v>0</v>
      </c>
      <c r="BU15" s="503">
        <f t="shared" si="25"/>
        <v>0</v>
      </c>
      <c r="BV15" s="776">
        <f t="shared" si="25"/>
        <v>0</v>
      </c>
      <c r="BW15" s="722">
        <f>Q15*AS15</f>
        <v>0</v>
      </c>
      <c r="BX15" s="511">
        <f t="shared" ref="BX15:BX20" si="130">BW15</f>
        <v>0</v>
      </c>
      <c r="BY15" s="511">
        <f t="shared" ref="BY15:BY20" si="131">BX15</f>
        <v>0</v>
      </c>
      <c r="BZ15" s="511">
        <f t="shared" ref="BZ15:BZ20" si="132">BY15</f>
        <v>0</v>
      </c>
      <c r="CA15" s="511">
        <f t="shared" ref="CA15:CA22" si="133">BZ15</f>
        <v>0</v>
      </c>
      <c r="CB15" s="511">
        <f t="shared" ref="CB15:CC22" si="134">CA15</f>
        <v>0</v>
      </c>
      <c r="CC15" s="723">
        <f t="shared" si="134"/>
        <v>0</v>
      </c>
      <c r="CD15" s="722">
        <f>R15*AS15</f>
        <v>0.7</v>
      </c>
      <c r="CE15" s="511">
        <f t="shared" ref="CE15:CE20" si="135">CD15</f>
        <v>0.7</v>
      </c>
      <c r="CF15" s="511">
        <f t="shared" ref="CF15:CF20" si="136">CE15</f>
        <v>0.7</v>
      </c>
      <c r="CG15" s="511">
        <f t="shared" ref="CG15:CG20" si="137">CF15</f>
        <v>0.7</v>
      </c>
      <c r="CH15" s="511">
        <f t="shared" ref="CH15:CH22" si="138">CG15</f>
        <v>0.7</v>
      </c>
      <c r="CI15" s="511">
        <f t="shared" ref="CI15:CJ22" si="139">CH15</f>
        <v>0.7</v>
      </c>
      <c r="CJ15" s="723">
        <f t="shared" si="139"/>
        <v>0.7</v>
      </c>
      <c r="CK15" s="511">
        <f>S15*AT15</f>
        <v>0</v>
      </c>
      <c r="CL15" s="511">
        <f t="shared" ref="CL15:CL20" si="140">CK15</f>
        <v>0</v>
      </c>
      <c r="CM15" s="511">
        <f t="shared" ref="CM15:CM20" si="141">CL15</f>
        <v>0</v>
      </c>
      <c r="CN15" s="511">
        <f t="shared" ref="CN15:CN20" si="142">CM15</f>
        <v>0</v>
      </c>
      <c r="CO15" s="511">
        <f t="shared" ref="CO15:CO22" si="143">CN15</f>
        <v>0</v>
      </c>
      <c r="CP15" s="511">
        <f t="shared" ref="CP15:CQ22" si="144">CO15</f>
        <v>0</v>
      </c>
      <c r="CQ15" s="539">
        <f t="shared" si="144"/>
        <v>0</v>
      </c>
      <c r="CR15" s="724">
        <f t="shared" ref="CR15:CR22" si="145">W15*AU15</f>
        <v>0</v>
      </c>
      <c r="CS15" s="508">
        <f t="shared" ref="CS15:CS22" si="146">X15*AV15</f>
        <v>0</v>
      </c>
      <c r="CT15" s="508">
        <f t="shared" ref="CT15:CT22" si="147">Y15*AW15</f>
        <v>0</v>
      </c>
      <c r="CU15" s="508">
        <f t="shared" ref="CU15:CU22" si="148">Z15*AX15</f>
        <v>0</v>
      </c>
      <c r="CV15" s="508">
        <f t="shared" ref="CV15:CV22" si="149">AA15*AY15</f>
        <v>0</v>
      </c>
      <c r="CW15" s="508">
        <f t="shared" ref="CW15:CW22" si="150">AB15*AZ15</f>
        <v>0</v>
      </c>
      <c r="CX15" s="725">
        <f t="shared" ref="CX15:CX22" si="151">AC15*BA15</f>
        <v>0</v>
      </c>
      <c r="CY15" s="724">
        <f t="shared" ref="CY15:CY22" si="152">W15*BB15</f>
        <v>0</v>
      </c>
      <c r="CZ15" s="508">
        <f t="shared" ref="CZ15:CZ22" si="153">X15*BC15</f>
        <v>0</v>
      </c>
      <c r="DA15" s="508">
        <f t="shared" ref="DA15:DA22" si="154">Y15*BD15</f>
        <v>0</v>
      </c>
      <c r="DB15" s="508">
        <f t="shared" ref="DB15:DB22" si="155">Z15*BE15</f>
        <v>0</v>
      </c>
      <c r="DC15" s="508">
        <f t="shared" ref="DC15:DC22" si="156">AA15*BF15</f>
        <v>0</v>
      </c>
      <c r="DD15" s="508">
        <f t="shared" ref="DD15:DD22" si="157">AB15*BG15</f>
        <v>0</v>
      </c>
      <c r="DE15" s="725">
        <f t="shared" ref="DE15:DE22" si="158">AC15*BH15</f>
        <v>0</v>
      </c>
      <c r="DF15" s="509">
        <f>W15*BI15</f>
        <v>696000</v>
      </c>
      <c r="DG15" s="508">
        <f t="shared" ref="DG15:DG22" si="159">X15*BJ15</f>
        <v>626000</v>
      </c>
      <c r="DH15" s="508">
        <f t="shared" ref="DH15:DH22" si="160">Y15*BK15</f>
        <v>563000</v>
      </c>
      <c r="DI15" s="508">
        <f t="shared" ref="DI15:DI22" si="161">Z15*BL15</f>
        <v>1266250</v>
      </c>
      <c r="DJ15" s="508">
        <f t="shared" ref="DJ15:DJ22" si="162">AA15*BM15</f>
        <v>4555000</v>
      </c>
      <c r="DK15" s="508">
        <f t="shared" ref="DK15:DK22" si="163">AB15*BN15</f>
        <v>4095000</v>
      </c>
      <c r="DL15" s="726">
        <f t="shared" ref="DL15:DL22" si="164">AC15*BO15</f>
        <v>3685000</v>
      </c>
      <c r="DM15" s="724">
        <f t="shared" ref="DM15:DM22" si="165">BP15*W15</f>
        <v>0</v>
      </c>
      <c r="DN15" s="508">
        <f t="shared" ref="DN15:DN22" si="166">BQ15*X15</f>
        <v>0</v>
      </c>
      <c r="DO15" s="508">
        <f t="shared" ref="DO15:DO22" si="167">BR15*Y15</f>
        <v>0</v>
      </c>
      <c r="DP15" s="508">
        <f t="shared" ref="DP15:DP22" si="168">BS15*Z15</f>
        <v>0</v>
      </c>
      <c r="DQ15" s="508">
        <f t="shared" ref="DQ15:DQ22" si="169">BT15*AA15</f>
        <v>0</v>
      </c>
      <c r="DR15" s="508">
        <f t="shared" ref="DR15:DR22" si="170">BU15*AB15</f>
        <v>0</v>
      </c>
      <c r="DS15" s="725">
        <f t="shared" ref="DS15:DS22" si="171">BV15*AC15</f>
        <v>0</v>
      </c>
      <c r="DT15" s="722">
        <f t="shared" ref="DT15:DT22" si="172">W15*BW15</f>
        <v>0</v>
      </c>
      <c r="DU15" s="511">
        <f t="shared" ref="DU15:DU22" si="173">X15*BX15</f>
        <v>0</v>
      </c>
      <c r="DV15" s="511">
        <f t="shared" ref="DV15:DV22" si="174">Y15*BY15</f>
        <v>0</v>
      </c>
      <c r="DW15" s="511">
        <f t="shared" ref="DW15:DW22" si="175">Z15*BZ15</f>
        <v>0</v>
      </c>
      <c r="DX15" s="511">
        <f t="shared" ref="DX15:DX22" si="176">AA15*CA15</f>
        <v>0</v>
      </c>
      <c r="DY15" s="511">
        <f t="shared" ref="DY15:DY22" si="177">AB15*CB15</f>
        <v>0</v>
      </c>
      <c r="DZ15" s="723">
        <f t="shared" ref="DZ15:DZ22" si="178">AC15*CC15</f>
        <v>0</v>
      </c>
      <c r="EA15" s="722">
        <f t="shared" ref="EA15:EA22" si="179">W15*CD15</f>
        <v>48720</v>
      </c>
      <c r="EB15" s="511">
        <f t="shared" ref="EB15:EB22" si="180">X15*CE15</f>
        <v>43820</v>
      </c>
      <c r="EC15" s="511">
        <f t="shared" ref="EC15:EC22" si="181">Y15*CF15</f>
        <v>39410</v>
      </c>
      <c r="ED15" s="511">
        <f t="shared" ref="ED15:ED22" si="182">Z15*CG15</f>
        <v>35455</v>
      </c>
      <c r="EE15" s="511">
        <f t="shared" ref="EE15:EE22" si="183">AA15*CH15</f>
        <v>31884.999999999996</v>
      </c>
      <c r="EF15" s="511">
        <f t="shared" ref="EF15:EF22" si="184">AB15*CI15</f>
        <v>28665</v>
      </c>
      <c r="EG15" s="723">
        <f t="shared" ref="EG15:EG22" si="185">AC15*CJ15</f>
        <v>25795</v>
      </c>
      <c r="EH15" s="507">
        <f t="shared" ref="EH15:EH22" si="186">W15*CK15</f>
        <v>0</v>
      </c>
      <c r="EI15" s="511">
        <f t="shared" ref="EI15:EI22" si="187">X15*CL15</f>
        <v>0</v>
      </c>
      <c r="EJ15" s="511">
        <f t="shared" ref="EJ15:EJ22" si="188">Y15*CM15</f>
        <v>0</v>
      </c>
      <c r="EK15" s="511">
        <f t="shared" ref="EK15:EK22" si="189">Z15*CN15</f>
        <v>0</v>
      </c>
      <c r="EL15" s="511">
        <f t="shared" ref="EL15:EL22" si="190">AA15*CO15</f>
        <v>0</v>
      </c>
      <c r="EM15" s="511">
        <f t="shared" ref="EM15:EM22" si="191">AB15*CP15</f>
        <v>0</v>
      </c>
      <c r="EN15" s="723">
        <f t="shared" ref="EN15:EN22" si="192">AC15*CQ15</f>
        <v>0</v>
      </c>
      <c r="EO15" s="727">
        <f>AVERAGE(W15:AC15)</f>
        <v>51785.714285714283</v>
      </c>
      <c r="EP15" s="728">
        <f>SUM(CR15:CX15)</f>
        <v>0</v>
      </c>
      <c r="EQ15" s="728">
        <f>SUM(CY15:DE15)</f>
        <v>0</v>
      </c>
      <c r="ER15" s="728">
        <f>SUM(DF15:DL15)</f>
        <v>15486250</v>
      </c>
      <c r="ES15" s="728">
        <f>SUM(DM15:DS15)</f>
        <v>0</v>
      </c>
      <c r="ET15" s="777">
        <f>DZ15</f>
        <v>0</v>
      </c>
      <c r="EU15" s="777">
        <f>MAX(EA15:EG15)</f>
        <v>48720</v>
      </c>
      <c r="EV15" s="778">
        <f>SUM(EH15:EN15)</f>
        <v>0</v>
      </c>
      <c r="FB15" s="135"/>
      <c r="FC15" s="135"/>
      <c r="FD15" s="135"/>
    </row>
    <row r="16" spans="1:160" s="10" customFormat="1" ht="12.5">
      <c r="A16" s="661" t="s">
        <v>173</v>
      </c>
      <c r="B16" s="789" t="s">
        <v>1537</v>
      </c>
      <c r="C16" s="662" t="s">
        <v>1519</v>
      </c>
      <c r="D16" s="715" t="s">
        <v>1514</v>
      </c>
      <c r="E16" s="703" t="s">
        <v>1515</v>
      </c>
      <c r="F16" s="1134" t="s">
        <v>402</v>
      </c>
      <c r="G16" s="1134">
        <v>0</v>
      </c>
      <c r="H16" s="1134">
        <v>0</v>
      </c>
      <c r="I16" s="704">
        <f t="shared" ref="I16:I20" si="193">G16+H16</f>
        <v>0</v>
      </c>
      <c r="J16" s="1121">
        <v>0</v>
      </c>
      <c r="K16" s="704" t="s">
        <v>378</v>
      </c>
      <c r="L16" s="1121" t="s">
        <v>378</v>
      </c>
      <c r="M16" s="1122">
        <v>8</v>
      </c>
      <c r="N16" s="1122">
        <f>N7</f>
        <v>80</v>
      </c>
      <c r="O16" s="1134">
        <v>0</v>
      </c>
      <c r="P16" s="1134">
        <v>0</v>
      </c>
      <c r="Q16" s="715">
        <v>0</v>
      </c>
      <c r="R16" s="1135">
        <v>0.4</v>
      </c>
      <c r="S16" s="715">
        <v>0</v>
      </c>
      <c r="T16" s="711" t="s">
        <v>1516</v>
      </c>
      <c r="U16" s="1124">
        <v>-0.1</v>
      </c>
      <c r="V16" s="1149">
        <v>1</v>
      </c>
      <c r="W16" s="781">
        <f t="shared" si="125"/>
        <v>3800</v>
      </c>
      <c r="X16" s="781">
        <f>X7*0.5</f>
        <v>3400</v>
      </c>
      <c r="Y16" s="781">
        <f t="shared" si="125"/>
        <v>3050</v>
      </c>
      <c r="Z16" s="781">
        <f t="shared" si="125"/>
        <v>2700</v>
      </c>
      <c r="AA16" s="781">
        <f t="shared" si="125"/>
        <v>2400</v>
      </c>
      <c r="AB16" s="781">
        <f t="shared" si="125"/>
        <v>2150</v>
      </c>
      <c r="AC16" s="781">
        <f t="shared" si="125"/>
        <v>1900</v>
      </c>
      <c r="AD16" s="711" t="s">
        <v>384</v>
      </c>
      <c r="AE16" s="1126" t="s">
        <v>375</v>
      </c>
      <c r="AF16" s="711" t="s">
        <v>376</v>
      </c>
      <c r="AG16" s="711" t="s">
        <v>753</v>
      </c>
      <c r="AH16" s="711" t="s">
        <v>1</v>
      </c>
      <c r="AI16" s="711" t="s">
        <v>378</v>
      </c>
      <c r="AJ16" s="711" t="s">
        <v>378</v>
      </c>
      <c r="AK16" s="711" t="s">
        <v>378</v>
      </c>
      <c r="AL16" s="715" t="s">
        <v>943</v>
      </c>
      <c r="AM16" s="715" t="s">
        <v>380</v>
      </c>
      <c r="AN16" s="715" t="s">
        <v>385</v>
      </c>
      <c r="AO16" s="711">
        <v>1</v>
      </c>
      <c r="AP16" s="711">
        <v>1</v>
      </c>
      <c r="AQ16" s="711" t="s">
        <v>1517</v>
      </c>
      <c r="AR16" s="716">
        <v>1</v>
      </c>
      <c r="AS16" s="716">
        <v>1</v>
      </c>
      <c r="AT16" s="717">
        <v>0</v>
      </c>
      <c r="AU16" s="1129">
        <f t="shared" ref="AU16:AU22" si="194">I16</f>
        <v>0</v>
      </c>
      <c r="AV16" s="499">
        <f t="shared" ref="AV16:AV24" si="195">AU16</f>
        <v>0</v>
      </c>
      <c r="AW16" s="499">
        <f t="shared" ref="AW16:AW24" si="196">AV16</f>
        <v>0</v>
      </c>
      <c r="AX16" s="499">
        <f t="shared" ref="AX16:AX24" si="197">AU16</f>
        <v>0</v>
      </c>
      <c r="AY16" s="499">
        <f t="shared" si="126"/>
        <v>0</v>
      </c>
      <c r="AZ16" s="499">
        <f t="shared" si="127"/>
        <v>0</v>
      </c>
      <c r="BA16" s="719">
        <f t="shared" si="127"/>
        <v>0</v>
      </c>
      <c r="BB16" s="1129">
        <f t="shared" ref="BB16:BB22" si="198">J16</f>
        <v>0</v>
      </c>
      <c r="BC16" s="499">
        <f t="shared" ref="BC16:BC24" si="199">BB16</f>
        <v>0</v>
      </c>
      <c r="BD16" s="499">
        <f t="shared" ref="BD16:BD24" si="200">BC16</f>
        <v>0</v>
      </c>
      <c r="BE16" s="499">
        <f t="shared" ref="BE16:BE24" si="201">BD16</f>
        <v>0</v>
      </c>
      <c r="BF16" s="499">
        <f t="shared" si="128"/>
        <v>0</v>
      </c>
      <c r="BG16" s="499">
        <f t="shared" si="129"/>
        <v>0</v>
      </c>
      <c r="BH16" s="719">
        <f t="shared" si="129"/>
        <v>0</v>
      </c>
      <c r="BI16" s="1132">
        <f t="shared" ref="BI16:BI22" si="202">N16+O16</f>
        <v>80</v>
      </c>
      <c r="BJ16" s="499">
        <f t="shared" ref="BJ16:BJ20" si="203">BI16</f>
        <v>80</v>
      </c>
      <c r="BK16" s="499">
        <f t="shared" ref="BK16:BK20" si="204">BJ16</f>
        <v>80</v>
      </c>
      <c r="BL16" s="499">
        <f t="shared" ref="BL16:BL20" si="205">BK16</f>
        <v>80</v>
      </c>
      <c r="BM16" s="499">
        <f t="shared" ref="BM16:BM22" si="206">BL16</f>
        <v>80</v>
      </c>
      <c r="BN16" s="499">
        <f t="shared" ref="BN16:BO22" si="207">BM16</f>
        <v>80</v>
      </c>
      <c r="BO16" s="720">
        <f t="shared" si="207"/>
        <v>80</v>
      </c>
      <c r="BP16" s="774">
        <f t="shared" si="25"/>
        <v>0</v>
      </c>
      <c r="BQ16" s="503">
        <f t="shared" si="25"/>
        <v>0</v>
      </c>
      <c r="BR16" s="503">
        <f t="shared" si="25"/>
        <v>0</v>
      </c>
      <c r="BS16" s="503">
        <f t="shared" si="25"/>
        <v>0</v>
      </c>
      <c r="BT16" s="503">
        <f t="shared" si="25"/>
        <v>0</v>
      </c>
      <c r="BU16" s="503">
        <f t="shared" si="25"/>
        <v>0</v>
      </c>
      <c r="BV16" s="776">
        <f t="shared" si="25"/>
        <v>0</v>
      </c>
      <c r="BW16" s="722">
        <f t="shared" ref="BW16:BW22" si="208">Q16*AS16</f>
        <v>0</v>
      </c>
      <c r="BX16" s="511">
        <f t="shared" si="130"/>
        <v>0</v>
      </c>
      <c r="BY16" s="511">
        <f t="shared" si="131"/>
        <v>0</v>
      </c>
      <c r="BZ16" s="511">
        <f t="shared" si="132"/>
        <v>0</v>
      </c>
      <c r="CA16" s="511">
        <f t="shared" si="133"/>
        <v>0</v>
      </c>
      <c r="CB16" s="511">
        <f t="shared" si="134"/>
        <v>0</v>
      </c>
      <c r="CC16" s="723">
        <f t="shared" si="134"/>
        <v>0</v>
      </c>
      <c r="CD16" s="722">
        <f t="shared" ref="CD16:CD22" si="209">R16*AS16</f>
        <v>0.4</v>
      </c>
      <c r="CE16" s="511">
        <f t="shared" si="135"/>
        <v>0.4</v>
      </c>
      <c r="CF16" s="511">
        <f t="shared" si="136"/>
        <v>0.4</v>
      </c>
      <c r="CG16" s="511">
        <f t="shared" si="137"/>
        <v>0.4</v>
      </c>
      <c r="CH16" s="511">
        <f t="shared" si="138"/>
        <v>0.4</v>
      </c>
      <c r="CI16" s="511">
        <f t="shared" si="139"/>
        <v>0.4</v>
      </c>
      <c r="CJ16" s="723">
        <f t="shared" si="139"/>
        <v>0.4</v>
      </c>
      <c r="CK16" s="511">
        <f t="shared" ref="CK16:CK22" si="210">S16*AT16</f>
        <v>0</v>
      </c>
      <c r="CL16" s="511">
        <f t="shared" si="140"/>
        <v>0</v>
      </c>
      <c r="CM16" s="511">
        <f t="shared" si="141"/>
        <v>0</v>
      </c>
      <c r="CN16" s="511">
        <f t="shared" si="142"/>
        <v>0</v>
      </c>
      <c r="CO16" s="511">
        <f t="shared" si="143"/>
        <v>0</v>
      </c>
      <c r="CP16" s="511">
        <f t="shared" si="144"/>
        <v>0</v>
      </c>
      <c r="CQ16" s="539">
        <f t="shared" si="144"/>
        <v>0</v>
      </c>
      <c r="CR16" s="724">
        <f t="shared" si="145"/>
        <v>0</v>
      </c>
      <c r="CS16" s="508">
        <f t="shared" si="146"/>
        <v>0</v>
      </c>
      <c r="CT16" s="508">
        <f t="shared" si="147"/>
        <v>0</v>
      </c>
      <c r="CU16" s="508">
        <f t="shared" si="148"/>
        <v>0</v>
      </c>
      <c r="CV16" s="508">
        <f t="shared" si="149"/>
        <v>0</v>
      </c>
      <c r="CW16" s="508">
        <f t="shared" si="150"/>
        <v>0</v>
      </c>
      <c r="CX16" s="725">
        <f t="shared" si="151"/>
        <v>0</v>
      </c>
      <c r="CY16" s="724">
        <f t="shared" si="152"/>
        <v>0</v>
      </c>
      <c r="CZ16" s="508">
        <f t="shared" si="153"/>
        <v>0</v>
      </c>
      <c r="DA16" s="508">
        <f t="shared" si="154"/>
        <v>0</v>
      </c>
      <c r="DB16" s="508">
        <f t="shared" si="155"/>
        <v>0</v>
      </c>
      <c r="DC16" s="508">
        <f t="shared" si="156"/>
        <v>0</v>
      </c>
      <c r="DD16" s="508">
        <f t="shared" si="157"/>
        <v>0</v>
      </c>
      <c r="DE16" s="725">
        <f t="shared" si="158"/>
        <v>0</v>
      </c>
      <c r="DF16" s="509">
        <f t="shared" ref="DF16:DF22" si="211">W16*BI16</f>
        <v>304000</v>
      </c>
      <c r="DG16" s="508">
        <f t="shared" si="159"/>
        <v>272000</v>
      </c>
      <c r="DH16" s="508">
        <f t="shared" si="160"/>
        <v>244000</v>
      </c>
      <c r="DI16" s="508">
        <f t="shared" si="161"/>
        <v>216000</v>
      </c>
      <c r="DJ16" s="508">
        <f t="shared" si="162"/>
        <v>192000</v>
      </c>
      <c r="DK16" s="508">
        <f t="shared" si="163"/>
        <v>172000</v>
      </c>
      <c r="DL16" s="726">
        <f t="shared" si="164"/>
        <v>152000</v>
      </c>
      <c r="DM16" s="724">
        <f t="shared" si="165"/>
        <v>0</v>
      </c>
      <c r="DN16" s="508">
        <f t="shared" si="166"/>
        <v>0</v>
      </c>
      <c r="DO16" s="508">
        <f t="shared" si="167"/>
        <v>0</v>
      </c>
      <c r="DP16" s="508">
        <f t="shared" si="168"/>
        <v>0</v>
      </c>
      <c r="DQ16" s="508">
        <f t="shared" si="169"/>
        <v>0</v>
      </c>
      <c r="DR16" s="508">
        <f t="shared" si="170"/>
        <v>0</v>
      </c>
      <c r="DS16" s="725">
        <f t="shared" si="171"/>
        <v>0</v>
      </c>
      <c r="DT16" s="722">
        <f t="shared" si="172"/>
        <v>0</v>
      </c>
      <c r="DU16" s="511">
        <f t="shared" si="173"/>
        <v>0</v>
      </c>
      <c r="DV16" s="511">
        <f t="shared" si="174"/>
        <v>0</v>
      </c>
      <c r="DW16" s="511">
        <f t="shared" si="175"/>
        <v>0</v>
      </c>
      <c r="DX16" s="511">
        <f t="shared" si="176"/>
        <v>0</v>
      </c>
      <c r="DY16" s="511">
        <f t="shared" si="177"/>
        <v>0</v>
      </c>
      <c r="DZ16" s="723">
        <f t="shared" si="178"/>
        <v>0</v>
      </c>
      <c r="EA16" s="722">
        <f t="shared" si="179"/>
        <v>1520</v>
      </c>
      <c r="EB16" s="511">
        <f t="shared" si="180"/>
        <v>1360</v>
      </c>
      <c r="EC16" s="511">
        <f t="shared" si="181"/>
        <v>1220</v>
      </c>
      <c r="ED16" s="511">
        <f t="shared" si="182"/>
        <v>1080</v>
      </c>
      <c r="EE16" s="511">
        <f t="shared" si="183"/>
        <v>960</v>
      </c>
      <c r="EF16" s="511">
        <f t="shared" si="184"/>
        <v>860</v>
      </c>
      <c r="EG16" s="723">
        <f t="shared" si="185"/>
        <v>760</v>
      </c>
      <c r="EH16" s="507">
        <f t="shared" si="186"/>
        <v>0</v>
      </c>
      <c r="EI16" s="511">
        <f t="shared" si="187"/>
        <v>0</v>
      </c>
      <c r="EJ16" s="511">
        <f t="shared" si="188"/>
        <v>0</v>
      </c>
      <c r="EK16" s="511">
        <f t="shared" si="189"/>
        <v>0</v>
      </c>
      <c r="EL16" s="511">
        <f t="shared" si="190"/>
        <v>0</v>
      </c>
      <c r="EM16" s="511">
        <f t="shared" si="191"/>
        <v>0</v>
      </c>
      <c r="EN16" s="723">
        <f t="shared" si="192"/>
        <v>0</v>
      </c>
      <c r="EO16" s="727">
        <f t="shared" ref="EO16:EO22" si="212">AVERAGE(W16:AC16)</f>
        <v>2771.4285714285716</v>
      </c>
      <c r="EP16" s="728">
        <f t="shared" ref="EP16:EP22" si="213">SUM(CR16:CX16)</f>
        <v>0</v>
      </c>
      <c r="EQ16" s="728">
        <f t="shared" ref="EQ16:EQ22" si="214">SUM(CY16:DE16)</f>
        <v>0</v>
      </c>
      <c r="ER16" s="728">
        <f t="shared" ref="ER16:ER22" si="215">SUM(DF16:DL16)</f>
        <v>1552000</v>
      </c>
      <c r="ES16" s="728">
        <f t="shared" ref="ES16:ES22" si="216">SUM(DM16:DS16)</f>
        <v>0</v>
      </c>
      <c r="ET16" s="777">
        <f t="shared" ref="ET16:ET22" si="217">DZ16</f>
        <v>0</v>
      </c>
      <c r="EU16" s="777">
        <f t="shared" ref="EU16:EU22" si="218">MAX(EA16:EG16)</f>
        <v>1520</v>
      </c>
      <c r="EV16" s="778">
        <f t="shared" ref="EV16:EV22" si="219">SUM(EH16:EN16)</f>
        <v>0</v>
      </c>
      <c r="FB16" s="135"/>
      <c r="FC16" s="135"/>
      <c r="FD16" s="135"/>
    </row>
    <row r="17" spans="1:160" s="10" customFormat="1" ht="12.5">
      <c r="A17" s="661" t="s">
        <v>175</v>
      </c>
      <c r="B17" s="789" t="s">
        <v>1538</v>
      </c>
      <c r="C17" s="662" t="s">
        <v>1521</v>
      </c>
      <c r="D17" s="715" t="s">
        <v>1514</v>
      </c>
      <c r="E17" s="703" t="s">
        <v>1515</v>
      </c>
      <c r="F17" s="1134" t="s">
        <v>402</v>
      </c>
      <c r="G17" s="1134">
        <v>0</v>
      </c>
      <c r="H17" s="1134">
        <v>0</v>
      </c>
      <c r="I17" s="704">
        <f t="shared" si="193"/>
        <v>0</v>
      </c>
      <c r="J17" s="1121">
        <v>0</v>
      </c>
      <c r="K17" s="704" t="s">
        <v>378</v>
      </c>
      <c r="L17" s="1121" t="s">
        <v>378</v>
      </c>
      <c r="M17" s="1122">
        <v>8</v>
      </c>
      <c r="N17" s="1122">
        <f>N8</f>
        <v>80</v>
      </c>
      <c r="O17" s="1134">
        <v>0</v>
      </c>
      <c r="P17" s="1134">
        <v>0</v>
      </c>
      <c r="Q17" s="715">
        <v>0</v>
      </c>
      <c r="R17" s="1137">
        <v>0.4</v>
      </c>
      <c r="S17" s="715">
        <v>0</v>
      </c>
      <c r="T17" s="711" t="s">
        <v>1516</v>
      </c>
      <c r="U17" s="1124">
        <v>-0.1</v>
      </c>
      <c r="V17" s="1149">
        <v>1</v>
      </c>
      <c r="W17" s="781">
        <f t="shared" si="125"/>
        <v>10</v>
      </c>
      <c r="X17" s="781">
        <f t="shared" si="125"/>
        <v>10</v>
      </c>
      <c r="Y17" s="781">
        <f t="shared" si="125"/>
        <v>0</v>
      </c>
      <c r="Z17" s="781">
        <f t="shared" si="125"/>
        <v>0</v>
      </c>
      <c r="AA17" s="781">
        <f t="shared" si="125"/>
        <v>0</v>
      </c>
      <c r="AB17" s="781">
        <f t="shared" si="125"/>
        <v>0</v>
      </c>
      <c r="AC17" s="781">
        <f t="shared" si="125"/>
        <v>0</v>
      </c>
      <c r="AD17" s="711" t="s">
        <v>384</v>
      </c>
      <c r="AE17" s="1126" t="s">
        <v>375</v>
      </c>
      <c r="AF17" s="711" t="s">
        <v>376</v>
      </c>
      <c r="AG17" s="711" t="s">
        <v>1522</v>
      </c>
      <c r="AH17" s="711" t="s">
        <v>1</v>
      </c>
      <c r="AI17" s="711" t="s">
        <v>378</v>
      </c>
      <c r="AJ17" s="711" t="s">
        <v>378</v>
      </c>
      <c r="AK17" s="711" t="s">
        <v>378</v>
      </c>
      <c r="AL17" s="715" t="s">
        <v>1523</v>
      </c>
      <c r="AM17" s="715" t="s">
        <v>380</v>
      </c>
      <c r="AN17" s="715" t="s">
        <v>385</v>
      </c>
      <c r="AO17" s="711">
        <v>1</v>
      </c>
      <c r="AP17" s="711">
        <v>1</v>
      </c>
      <c r="AQ17" s="711" t="s">
        <v>1517</v>
      </c>
      <c r="AR17" s="716">
        <v>1</v>
      </c>
      <c r="AS17" s="716">
        <v>1</v>
      </c>
      <c r="AT17" s="717">
        <v>0</v>
      </c>
      <c r="AU17" s="1129">
        <f t="shared" si="194"/>
        <v>0</v>
      </c>
      <c r="AV17" s="499">
        <f t="shared" si="195"/>
        <v>0</v>
      </c>
      <c r="AW17" s="499">
        <f t="shared" si="196"/>
        <v>0</v>
      </c>
      <c r="AX17" s="499">
        <f t="shared" si="197"/>
        <v>0</v>
      </c>
      <c r="AY17" s="499">
        <f t="shared" si="126"/>
        <v>0</v>
      </c>
      <c r="AZ17" s="499">
        <f t="shared" si="127"/>
        <v>0</v>
      </c>
      <c r="BA17" s="719">
        <f t="shared" si="127"/>
        <v>0</v>
      </c>
      <c r="BB17" s="1129">
        <f t="shared" si="198"/>
        <v>0</v>
      </c>
      <c r="BC17" s="499">
        <f t="shared" si="199"/>
        <v>0</v>
      </c>
      <c r="BD17" s="499">
        <f t="shared" si="200"/>
        <v>0</v>
      </c>
      <c r="BE17" s="499">
        <f t="shared" si="201"/>
        <v>0</v>
      </c>
      <c r="BF17" s="499">
        <f t="shared" si="128"/>
        <v>0</v>
      </c>
      <c r="BG17" s="499">
        <f t="shared" si="129"/>
        <v>0</v>
      </c>
      <c r="BH17" s="719">
        <f t="shared" si="129"/>
        <v>0</v>
      </c>
      <c r="BI17" s="1132">
        <f t="shared" si="202"/>
        <v>80</v>
      </c>
      <c r="BJ17" s="499">
        <f t="shared" si="203"/>
        <v>80</v>
      </c>
      <c r="BK17" s="499">
        <f t="shared" si="204"/>
        <v>80</v>
      </c>
      <c r="BL17" s="499">
        <f t="shared" si="205"/>
        <v>80</v>
      </c>
      <c r="BM17" s="499">
        <f t="shared" si="206"/>
        <v>80</v>
      </c>
      <c r="BN17" s="499">
        <f t="shared" si="207"/>
        <v>80</v>
      </c>
      <c r="BO17" s="720">
        <f t="shared" si="207"/>
        <v>80</v>
      </c>
      <c r="BP17" s="774">
        <f t="shared" si="25"/>
        <v>0</v>
      </c>
      <c r="BQ17" s="503">
        <f t="shared" si="25"/>
        <v>0</v>
      </c>
      <c r="BR17" s="503">
        <f t="shared" si="25"/>
        <v>0</v>
      </c>
      <c r="BS17" s="503">
        <f t="shared" si="25"/>
        <v>0</v>
      </c>
      <c r="BT17" s="503">
        <f t="shared" si="25"/>
        <v>0</v>
      </c>
      <c r="BU17" s="503">
        <f t="shared" si="25"/>
        <v>0</v>
      </c>
      <c r="BV17" s="776">
        <f t="shared" si="25"/>
        <v>0</v>
      </c>
      <c r="BW17" s="722">
        <f t="shared" si="208"/>
        <v>0</v>
      </c>
      <c r="BX17" s="511">
        <f t="shared" si="130"/>
        <v>0</v>
      </c>
      <c r="BY17" s="511">
        <f t="shared" si="131"/>
        <v>0</v>
      </c>
      <c r="BZ17" s="511">
        <f t="shared" si="132"/>
        <v>0</v>
      </c>
      <c r="CA17" s="511">
        <f t="shared" si="133"/>
        <v>0</v>
      </c>
      <c r="CB17" s="511">
        <f t="shared" si="134"/>
        <v>0</v>
      </c>
      <c r="CC17" s="723">
        <f t="shared" si="134"/>
        <v>0</v>
      </c>
      <c r="CD17" s="722">
        <f t="shared" si="209"/>
        <v>0.4</v>
      </c>
      <c r="CE17" s="511">
        <f t="shared" si="135"/>
        <v>0.4</v>
      </c>
      <c r="CF17" s="511">
        <f t="shared" si="136"/>
        <v>0.4</v>
      </c>
      <c r="CG17" s="511">
        <f t="shared" si="137"/>
        <v>0.4</v>
      </c>
      <c r="CH17" s="511">
        <f t="shared" si="138"/>
        <v>0.4</v>
      </c>
      <c r="CI17" s="511">
        <f t="shared" si="139"/>
        <v>0.4</v>
      </c>
      <c r="CJ17" s="723">
        <f t="shared" si="139"/>
        <v>0.4</v>
      </c>
      <c r="CK17" s="511">
        <f t="shared" si="210"/>
        <v>0</v>
      </c>
      <c r="CL17" s="511">
        <f t="shared" si="140"/>
        <v>0</v>
      </c>
      <c r="CM17" s="511">
        <f t="shared" si="141"/>
        <v>0</v>
      </c>
      <c r="CN17" s="511">
        <f t="shared" si="142"/>
        <v>0</v>
      </c>
      <c r="CO17" s="511">
        <f t="shared" si="143"/>
        <v>0</v>
      </c>
      <c r="CP17" s="511">
        <f t="shared" si="144"/>
        <v>0</v>
      </c>
      <c r="CQ17" s="539">
        <f t="shared" si="144"/>
        <v>0</v>
      </c>
      <c r="CR17" s="724">
        <f t="shared" si="145"/>
        <v>0</v>
      </c>
      <c r="CS17" s="508">
        <f t="shared" si="146"/>
        <v>0</v>
      </c>
      <c r="CT17" s="508">
        <f t="shared" si="147"/>
        <v>0</v>
      </c>
      <c r="CU17" s="508">
        <f t="shared" si="148"/>
        <v>0</v>
      </c>
      <c r="CV17" s="508">
        <f t="shared" si="149"/>
        <v>0</v>
      </c>
      <c r="CW17" s="508">
        <f t="shared" si="150"/>
        <v>0</v>
      </c>
      <c r="CX17" s="725">
        <f t="shared" si="151"/>
        <v>0</v>
      </c>
      <c r="CY17" s="724">
        <f t="shared" si="152"/>
        <v>0</v>
      </c>
      <c r="CZ17" s="508">
        <f t="shared" si="153"/>
        <v>0</v>
      </c>
      <c r="DA17" s="508">
        <f t="shared" si="154"/>
        <v>0</v>
      </c>
      <c r="DB17" s="508">
        <f t="shared" si="155"/>
        <v>0</v>
      </c>
      <c r="DC17" s="508">
        <f t="shared" si="156"/>
        <v>0</v>
      </c>
      <c r="DD17" s="508">
        <f t="shared" si="157"/>
        <v>0</v>
      </c>
      <c r="DE17" s="725">
        <f t="shared" si="158"/>
        <v>0</v>
      </c>
      <c r="DF17" s="509">
        <f t="shared" si="211"/>
        <v>800</v>
      </c>
      <c r="DG17" s="508">
        <f t="shared" si="159"/>
        <v>800</v>
      </c>
      <c r="DH17" s="508">
        <f t="shared" si="160"/>
        <v>0</v>
      </c>
      <c r="DI17" s="508">
        <f t="shared" si="161"/>
        <v>0</v>
      </c>
      <c r="DJ17" s="508">
        <f t="shared" si="162"/>
        <v>0</v>
      </c>
      <c r="DK17" s="508">
        <f t="shared" si="163"/>
        <v>0</v>
      </c>
      <c r="DL17" s="726">
        <f t="shared" si="164"/>
        <v>0</v>
      </c>
      <c r="DM17" s="724">
        <f t="shared" si="165"/>
        <v>0</v>
      </c>
      <c r="DN17" s="508">
        <f t="shared" si="166"/>
        <v>0</v>
      </c>
      <c r="DO17" s="508">
        <f t="shared" si="167"/>
        <v>0</v>
      </c>
      <c r="DP17" s="508">
        <f t="shared" si="168"/>
        <v>0</v>
      </c>
      <c r="DQ17" s="508">
        <f t="shared" si="169"/>
        <v>0</v>
      </c>
      <c r="DR17" s="508">
        <f t="shared" si="170"/>
        <v>0</v>
      </c>
      <c r="DS17" s="725">
        <f t="shared" si="171"/>
        <v>0</v>
      </c>
      <c r="DT17" s="722">
        <f t="shared" si="172"/>
        <v>0</v>
      </c>
      <c r="DU17" s="511">
        <f t="shared" si="173"/>
        <v>0</v>
      </c>
      <c r="DV17" s="511">
        <f t="shared" si="174"/>
        <v>0</v>
      </c>
      <c r="DW17" s="511">
        <f t="shared" si="175"/>
        <v>0</v>
      </c>
      <c r="DX17" s="511">
        <f t="shared" si="176"/>
        <v>0</v>
      </c>
      <c r="DY17" s="511">
        <f t="shared" si="177"/>
        <v>0</v>
      </c>
      <c r="DZ17" s="723">
        <f t="shared" si="178"/>
        <v>0</v>
      </c>
      <c r="EA17" s="722">
        <f t="shared" si="179"/>
        <v>4</v>
      </c>
      <c r="EB17" s="511">
        <f t="shared" si="180"/>
        <v>4</v>
      </c>
      <c r="EC17" s="511">
        <f t="shared" si="181"/>
        <v>0</v>
      </c>
      <c r="ED17" s="511">
        <f t="shared" si="182"/>
        <v>0</v>
      </c>
      <c r="EE17" s="511">
        <f t="shared" si="183"/>
        <v>0</v>
      </c>
      <c r="EF17" s="511">
        <f t="shared" si="184"/>
        <v>0</v>
      </c>
      <c r="EG17" s="723">
        <f t="shared" si="185"/>
        <v>0</v>
      </c>
      <c r="EH17" s="507">
        <f t="shared" si="186"/>
        <v>0</v>
      </c>
      <c r="EI17" s="511">
        <f t="shared" si="187"/>
        <v>0</v>
      </c>
      <c r="EJ17" s="511">
        <f t="shared" si="188"/>
        <v>0</v>
      </c>
      <c r="EK17" s="511">
        <f t="shared" si="189"/>
        <v>0</v>
      </c>
      <c r="EL17" s="511">
        <f t="shared" si="190"/>
        <v>0</v>
      </c>
      <c r="EM17" s="511">
        <f t="shared" si="191"/>
        <v>0</v>
      </c>
      <c r="EN17" s="723">
        <f t="shared" si="192"/>
        <v>0</v>
      </c>
      <c r="EO17" s="727">
        <f t="shared" si="212"/>
        <v>2.8571428571428572</v>
      </c>
      <c r="EP17" s="728">
        <f t="shared" si="213"/>
        <v>0</v>
      </c>
      <c r="EQ17" s="728">
        <f t="shared" si="214"/>
        <v>0</v>
      </c>
      <c r="ER17" s="728">
        <f t="shared" si="215"/>
        <v>1600</v>
      </c>
      <c r="ES17" s="728">
        <f t="shared" si="216"/>
        <v>0</v>
      </c>
      <c r="ET17" s="777">
        <f t="shared" si="217"/>
        <v>0</v>
      </c>
      <c r="EU17" s="777">
        <f t="shared" si="218"/>
        <v>4</v>
      </c>
      <c r="EV17" s="778">
        <f t="shared" si="219"/>
        <v>0</v>
      </c>
      <c r="FB17" s="135"/>
      <c r="FC17" s="135"/>
      <c r="FD17" s="135"/>
    </row>
    <row r="18" spans="1:160" s="10" customFormat="1" ht="12.5">
      <c r="A18" s="661" t="s">
        <v>176</v>
      </c>
      <c r="B18" s="789" t="s">
        <v>1539</v>
      </c>
      <c r="C18" s="662" t="s">
        <v>1525</v>
      </c>
      <c r="D18" s="715" t="s">
        <v>1514</v>
      </c>
      <c r="E18" s="703" t="s">
        <v>1515</v>
      </c>
      <c r="F18" s="1134" t="s">
        <v>402</v>
      </c>
      <c r="G18" s="1134">
        <v>0</v>
      </c>
      <c r="H18" s="1134">
        <v>0</v>
      </c>
      <c r="I18" s="704">
        <f t="shared" si="193"/>
        <v>0</v>
      </c>
      <c r="J18" s="1121">
        <v>0</v>
      </c>
      <c r="K18" s="704" t="s">
        <v>378</v>
      </c>
      <c r="L18" s="1121" t="s">
        <v>378</v>
      </c>
      <c r="M18" s="1122">
        <f>8+8</f>
        <v>16</v>
      </c>
      <c r="N18" s="1122">
        <f t="shared" ref="N18:N22" si="220">N9</f>
        <v>0</v>
      </c>
      <c r="O18" s="1138">
        <v>0</v>
      </c>
      <c r="P18" s="1138">
        <v>0</v>
      </c>
      <c r="Q18" s="715">
        <v>0</v>
      </c>
      <c r="R18" s="1123">
        <v>0.7</v>
      </c>
      <c r="S18" s="715">
        <v>0</v>
      </c>
      <c r="T18" s="711" t="s">
        <v>1516</v>
      </c>
      <c r="U18" s="1124">
        <v>-0.1</v>
      </c>
      <c r="V18" s="1149">
        <v>1</v>
      </c>
      <c r="W18" s="781">
        <f t="shared" si="125"/>
        <v>13500</v>
      </c>
      <c r="X18" s="781">
        <f t="shared" si="125"/>
        <v>12150</v>
      </c>
      <c r="Y18" s="781">
        <f t="shared" si="125"/>
        <v>10900</v>
      </c>
      <c r="Z18" s="781">
        <f t="shared" si="125"/>
        <v>9800</v>
      </c>
      <c r="AA18" s="781">
        <f t="shared" si="125"/>
        <v>8800</v>
      </c>
      <c r="AB18" s="781">
        <f t="shared" si="125"/>
        <v>7900</v>
      </c>
      <c r="AC18" s="781">
        <f t="shared" si="125"/>
        <v>7100</v>
      </c>
      <c r="AD18" s="711" t="s">
        <v>384</v>
      </c>
      <c r="AE18" s="1126" t="s">
        <v>375</v>
      </c>
      <c r="AF18" s="711" t="s">
        <v>322</v>
      </c>
      <c r="AG18" s="711" t="s">
        <v>454</v>
      </c>
      <c r="AH18" s="711" t="s">
        <v>1</v>
      </c>
      <c r="AI18" s="711" t="s">
        <v>378</v>
      </c>
      <c r="AJ18" s="711" t="s">
        <v>378</v>
      </c>
      <c r="AK18" s="711" t="s">
        <v>378</v>
      </c>
      <c r="AL18" s="715" t="s">
        <v>1526</v>
      </c>
      <c r="AM18" s="715" t="s">
        <v>380</v>
      </c>
      <c r="AN18" s="715" t="s">
        <v>385</v>
      </c>
      <c r="AO18" s="711">
        <v>1</v>
      </c>
      <c r="AP18" s="711">
        <v>1</v>
      </c>
      <c r="AQ18" s="711" t="s">
        <v>1517</v>
      </c>
      <c r="AR18" s="716">
        <v>1</v>
      </c>
      <c r="AS18" s="716">
        <v>1</v>
      </c>
      <c r="AT18" s="717">
        <v>0</v>
      </c>
      <c r="AU18" s="1129">
        <f t="shared" si="194"/>
        <v>0</v>
      </c>
      <c r="AV18" s="499">
        <f t="shared" si="195"/>
        <v>0</v>
      </c>
      <c r="AW18" s="499">
        <f t="shared" si="196"/>
        <v>0</v>
      </c>
      <c r="AX18" s="499">
        <f t="shared" si="197"/>
        <v>0</v>
      </c>
      <c r="AY18" s="499">
        <f t="shared" si="126"/>
        <v>0</v>
      </c>
      <c r="AZ18" s="499">
        <f t="shared" si="127"/>
        <v>0</v>
      </c>
      <c r="BA18" s="719">
        <f t="shared" si="127"/>
        <v>0</v>
      </c>
      <c r="BB18" s="1129">
        <f t="shared" si="198"/>
        <v>0</v>
      </c>
      <c r="BC18" s="499">
        <f t="shared" si="199"/>
        <v>0</v>
      </c>
      <c r="BD18" s="499">
        <f t="shared" si="200"/>
        <v>0</v>
      </c>
      <c r="BE18" s="499">
        <f t="shared" si="201"/>
        <v>0</v>
      </c>
      <c r="BF18" s="499">
        <f t="shared" si="128"/>
        <v>0</v>
      </c>
      <c r="BG18" s="499">
        <f t="shared" si="129"/>
        <v>0</v>
      </c>
      <c r="BH18" s="719">
        <f t="shared" si="129"/>
        <v>0</v>
      </c>
      <c r="BI18" s="1132">
        <f>4*2</f>
        <v>8</v>
      </c>
      <c r="BJ18" s="1130">
        <f>4*2</f>
        <v>8</v>
      </c>
      <c r="BK18" s="1130">
        <f>4*2</f>
        <v>8</v>
      </c>
      <c r="BL18" s="1130">
        <f>4*5</f>
        <v>20</v>
      </c>
      <c r="BM18" s="1130">
        <f>4*20</f>
        <v>80</v>
      </c>
      <c r="BN18" s="1130">
        <f>4*20</f>
        <v>80</v>
      </c>
      <c r="BO18" s="1130">
        <f>4*20</f>
        <v>80</v>
      </c>
      <c r="BP18" s="774">
        <f t="shared" si="25"/>
        <v>0</v>
      </c>
      <c r="BQ18" s="503">
        <f t="shared" si="25"/>
        <v>0</v>
      </c>
      <c r="BR18" s="503">
        <f t="shared" si="25"/>
        <v>0</v>
      </c>
      <c r="BS18" s="503">
        <f t="shared" si="25"/>
        <v>0</v>
      </c>
      <c r="BT18" s="503">
        <f t="shared" si="25"/>
        <v>0</v>
      </c>
      <c r="BU18" s="503">
        <f t="shared" si="25"/>
        <v>0</v>
      </c>
      <c r="BV18" s="776">
        <f t="shared" si="25"/>
        <v>0</v>
      </c>
      <c r="BW18" s="722">
        <f t="shared" si="208"/>
        <v>0</v>
      </c>
      <c r="BX18" s="511">
        <f t="shared" si="130"/>
        <v>0</v>
      </c>
      <c r="BY18" s="511">
        <f t="shared" si="131"/>
        <v>0</v>
      </c>
      <c r="BZ18" s="511">
        <f t="shared" si="132"/>
        <v>0</v>
      </c>
      <c r="CA18" s="511">
        <f t="shared" si="133"/>
        <v>0</v>
      </c>
      <c r="CB18" s="511">
        <f t="shared" si="134"/>
        <v>0</v>
      </c>
      <c r="CC18" s="723">
        <f t="shared" si="134"/>
        <v>0</v>
      </c>
      <c r="CD18" s="722">
        <f t="shared" si="209"/>
        <v>0.7</v>
      </c>
      <c r="CE18" s="511">
        <f t="shared" si="135"/>
        <v>0.7</v>
      </c>
      <c r="CF18" s="511">
        <f t="shared" si="136"/>
        <v>0.7</v>
      </c>
      <c r="CG18" s="511">
        <f t="shared" si="137"/>
        <v>0.7</v>
      </c>
      <c r="CH18" s="511">
        <f t="shared" si="138"/>
        <v>0.7</v>
      </c>
      <c r="CI18" s="511">
        <f t="shared" si="139"/>
        <v>0.7</v>
      </c>
      <c r="CJ18" s="723">
        <f t="shared" si="139"/>
        <v>0.7</v>
      </c>
      <c r="CK18" s="511">
        <f t="shared" si="210"/>
        <v>0</v>
      </c>
      <c r="CL18" s="511">
        <f t="shared" si="140"/>
        <v>0</v>
      </c>
      <c r="CM18" s="511">
        <f t="shared" si="141"/>
        <v>0</v>
      </c>
      <c r="CN18" s="511">
        <f t="shared" si="142"/>
        <v>0</v>
      </c>
      <c r="CO18" s="511">
        <f t="shared" si="143"/>
        <v>0</v>
      </c>
      <c r="CP18" s="511">
        <f t="shared" si="144"/>
        <v>0</v>
      </c>
      <c r="CQ18" s="539">
        <f t="shared" si="144"/>
        <v>0</v>
      </c>
      <c r="CR18" s="724">
        <f t="shared" si="145"/>
        <v>0</v>
      </c>
      <c r="CS18" s="508">
        <f t="shared" si="146"/>
        <v>0</v>
      </c>
      <c r="CT18" s="508">
        <f t="shared" si="147"/>
        <v>0</v>
      </c>
      <c r="CU18" s="508">
        <f t="shared" si="148"/>
        <v>0</v>
      </c>
      <c r="CV18" s="508">
        <f t="shared" si="149"/>
        <v>0</v>
      </c>
      <c r="CW18" s="508">
        <f t="shared" si="150"/>
        <v>0</v>
      </c>
      <c r="CX18" s="725">
        <f t="shared" si="151"/>
        <v>0</v>
      </c>
      <c r="CY18" s="724">
        <f t="shared" si="152"/>
        <v>0</v>
      </c>
      <c r="CZ18" s="508">
        <f t="shared" si="153"/>
        <v>0</v>
      </c>
      <c r="DA18" s="508">
        <f t="shared" si="154"/>
        <v>0</v>
      </c>
      <c r="DB18" s="508">
        <f t="shared" si="155"/>
        <v>0</v>
      </c>
      <c r="DC18" s="508">
        <f t="shared" si="156"/>
        <v>0</v>
      </c>
      <c r="DD18" s="508">
        <f t="shared" si="157"/>
        <v>0</v>
      </c>
      <c r="DE18" s="725">
        <f t="shared" si="158"/>
        <v>0</v>
      </c>
      <c r="DF18" s="509">
        <f t="shared" si="211"/>
        <v>108000</v>
      </c>
      <c r="DG18" s="508">
        <f t="shared" si="159"/>
        <v>97200</v>
      </c>
      <c r="DH18" s="508">
        <f t="shared" si="160"/>
        <v>87200</v>
      </c>
      <c r="DI18" s="508">
        <f t="shared" si="161"/>
        <v>196000</v>
      </c>
      <c r="DJ18" s="508">
        <f t="shared" si="162"/>
        <v>704000</v>
      </c>
      <c r="DK18" s="508">
        <f t="shared" si="163"/>
        <v>632000</v>
      </c>
      <c r="DL18" s="726">
        <f t="shared" si="164"/>
        <v>568000</v>
      </c>
      <c r="DM18" s="724">
        <f t="shared" si="165"/>
        <v>0</v>
      </c>
      <c r="DN18" s="508">
        <f t="shared" si="166"/>
        <v>0</v>
      </c>
      <c r="DO18" s="508">
        <f t="shared" si="167"/>
        <v>0</v>
      </c>
      <c r="DP18" s="508">
        <f t="shared" si="168"/>
        <v>0</v>
      </c>
      <c r="DQ18" s="508">
        <f t="shared" si="169"/>
        <v>0</v>
      </c>
      <c r="DR18" s="508">
        <f t="shared" si="170"/>
        <v>0</v>
      </c>
      <c r="DS18" s="725">
        <f t="shared" si="171"/>
        <v>0</v>
      </c>
      <c r="DT18" s="722">
        <f t="shared" si="172"/>
        <v>0</v>
      </c>
      <c r="DU18" s="511">
        <f t="shared" si="173"/>
        <v>0</v>
      </c>
      <c r="DV18" s="511">
        <f t="shared" si="174"/>
        <v>0</v>
      </c>
      <c r="DW18" s="511">
        <f t="shared" si="175"/>
        <v>0</v>
      </c>
      <c r="DX18" s="511">
        <f t="shared" si="176"/>
        <v>0</v>
      </c>
      <c r="DY18" s="511">
        <f t="shared" si="177"/>
        <v>0</v>
      </c>
      <c r="DZ18" s="723">
        <f t="shared" si="178"/>
        <v>0</v>
      </c>
      <c r="EA18" s="722">
        <f t="shared" si="179"/>
        <v>9450</v>
      </c>
      <c r="EB18" s="511">
        <f t="shared" si="180"/>
        <v>8505</v>
      </c>
      <c r="EC18" s="511">
        <f t="shared" si="181"/>
        <v>7629.9999999999991</v>
      </c>
      <c r="ED18" s="511">
        <f t="shared" si="182"/>
        <v>6860</v>
      </c>
      <c r="EE18" s="511">
        <f t="shared" si="183"/>
        <v>6160</v>
      </c>
      <c r="EF18" s="511">
        <f t="shared" si="184"/>
        <v>5530</v>
      </c>
      <c r="EG18" s="723">
        <f t="shared" si="185"/>
        <v>4970</v>
      </c>
      <c r="EH18" s="507">
        <f t="shared" si="186"/>
        <v>0</v>
      </c>
      <c r="EI18" s="511">
        <f t="shared" si="187"/>
        <v>0</v>
      </c>
      <c r="EJ18" s="511">
        <f t="shared" si="188"/>
        <v>0</v>
      </c>
      <c r="EK18" s="511">
        <f t="shared" si="189"/>
        <v>0</v>
      </c>
      <c r="EL18" s="511">
        <f t="shared" si="190"/>
        <v>0</v>
      </c>
      <c r="EM18" s="511">
        <f t="shared" si="191"/>
        <v>0</v>
      </c>
      <c r="EN18" s="723">
        <f t="shared" si="192"/>
        <v>0</v>
      </c>
      <c r="EO18" s="727">
        <f t="shared" si="212"/>
        <v>10021.428571428571</v>
      </c>
      <c r="EP18" s="728">
        <f t="shared" si="213"/>
        <v>0</v>
      </c>
      <c r="EQ18" s="728">
        <f t="shared" si="214"/>
        <v>0</v>
      </c>
      <c r="ER18" s="728">
        <f t="shared" si="215"/>
        <v>2392400</v>
      </c>
      <c r="ES18" s="728">
        <f t="shared" si="216"/>
        <v>0</v>
      </c>
      <c r="ET18" s="777">
        <f t="shared" si="217"/>
        <v>0</v>
      </c>
      <c r="EU18" s="777">
        <f t="shared" si="218"/>
        <v>9450</v>
      </c>
      <c r="EV18" s="778">
        <f t="shared" si="219"/>
        <v>0</v>
      </c>
      <c r="FB18" s="135"/>
      <c r="FC18" s="135"/>
      <c r="FD18" s="135"/>
    </row>
    <row r="19" spans="1:160" s="10" customFormat="1" ht="12.5">
      <c r="A19" s="661" t="s">
        <v>177</v>
      </c>
      <c r="B19" s="789" t="s">
        <v>1540</v>
      </c>
      <c r="C19" s="662" t="s">
        <v>1528</v>
      </c>
      <c r="D19" s="715" t="s">
        <v>1514</v>
      </c>
      <c r="E19" s="703" t="s">
        <v>1515</v>
      </c>
      <c r="F19" s="1134" t="s">
        <v>402</v>
      </c>
      <c r="G19" s="1134">
        <v>0</v>
      </c>
      <c r="H19" s="1134">
        <v>0</v>
      </c>
      <c r="I19" s="704">
        <f t="shared" si="193"/>
        <v>0</v>
      </c>
      <c r="J19" s="1121">
        <v>0</v>
      </c>
      <c r="K19" s="704" t="s">
        <v>378</v>
      </c>
      <c r="L19" s="1121" t="s">
        <v>378</v>
      </c>
      <c r="M19" s="1122">
        <f>8+8</f>
        <v>16</v>
      </c>
      <c r="N19" s="1122">
        <f t="shared" si="220"/>
        <v>160</v>
      </c>
      <c r="O19" s="1138">
        <v>0</v>
      </c>
      <c r="P19" s="1138">
        <v>0</v>
      </c>
      <c r="Q19" s="715">
        <v>0</v>
      </c>
      <c r="R19" s="1135">
        <v>0.4</v>
      </c>
      <c r="S19" s="715">
        <v>0</v>
      </c>
      <c r="T19" s="711" t="s">
        <v>1516</v>
      </c>
      <c r="U19" s="1124">
        <v>-0.1</v>
      </c>
      <c r="V19" s="1149">
        <v>1</v>
      </c>
      <c r="W19" s="781">
        <f t="shared" si="125"/>
        <v>20</v>
      </c>
      <c r="X19" s="781">
        <f t="shared" si="125"/>
        <v>19</v>
      </c>
      <c r="Y19" s="781">
        <f t="shared" si="125"/>
        <v>0</v>
      </c>
      <c r="Z19" s="781">
        <f t="shared" si="125"/>
        <v>0</v>
      </c>
      <c r="AA19" s="781">
        <f t="shared" si="125"/>
        <v>0</v>
      </c>
      <c r="AB19" s="781">
        <f t="shared" si="125"/>
        <v>0</v>
      </c>
      <c r="AC19" s="781">
        <f t="shared" si="125"/>
        <v>0</v>
      </c>
      <c r="AD19" s="711" t="s">
        <v>384</v>
      </c>
      <c r="AE19" s="1126" t="s">
        <v>375</v>
      </c>
      <c r="AF19" s="711" t="s">
        <v>322</v>
      </c>
      <c r="AG19" s="711" t="s">
        <v>753</v>
      </c>
      <c r="AH19" s="711" t="s">
        <v>1</v>
      </c>
      <c r="AI19" s="711" t="s">
        <v>378</v>
      </c>
      <c r="AJ19" s="711" t="s">
        <v>378</v>
      </c>
      <c r="AK19" s="711" t="s">
        <v>378</v>
      </c>
      <c r="AL19" s="715" t="s">
        <v>754</v>
      </c>
      <c r="AM19" s="715" t="s">
        <v>380</v>
      </c>
      <c r="AN19" s="715" t="s">
        <v>385</v>
      </c>
      <c r="AO19" s="711">
        <v>1</v>
      </c>
      <c r="AP19" s="711">
        <v>1</v>
      </c>
      <c r="AQ19" s="711" t="s">
        <v>1517</v>
      </c>
      <c r="AR19" s="716">
        <v>1</v>
      </c>
      <c r="AS19" s="716">
        <v>1</v>
      </c>
      <c r="AT19" s="717">
        <v>0</v>
      </c>
      <c r="AU19" s="1129">
        <f t="shared" si="194"/>
        <v>0</v>
      </c>
      <c r="AV19" s="499">
        <f t="shared" si="195"/>
        <v>0</v>
      </c>
      <c r="AW19" s="499">
        <f t="shared" si="196"/>
        <v>0</v>
      </c>
      <c r="AX19" s="499">
        <f t="shared" si="197"/>
        <v>0</v>
      </c>
      <c r="AY19" s="499">
        <f t="shared" si="126"/>
        <v>0</v>
      </c>
      <c r="AZ19" s="499">
        <f t="shared" si="127"/>
        <v>0</v>
      </c>
      <c r="BA19" s="719">
        <f t="shared" si="127"/>
        <v>0</v>
      </c>
      <c r="BB19" s="1129">
        <f t="shared" si="198"/>
        <v>0</v>
      </c>
      <c r="BC19" s="499">
        <f t="shared" si="199"/>
        <v>0</v>
      </c>
      <c r="BD19" s="499">
        <f t="shared" si="200"/>
        <v>0</v>
      </c>
      <c r="BE19" s="499">
        <f t="shared" si="201"/>
        <v>0</v>
      </c>
      <c r="BF19" s="499">
        <f t="shared" si="128"/>
        <v>0</v>
      </c>
      <c r="BG19" s="499">
        <f t="shared" si="129"/>
        <v>0</v>
      </c>
      <c r="BH19" s="719">
        <f t="shared" si="129"/>
        <v>0</v>
      </c>
      <c r="BI19" s="1132">
        <f t="shared" si="202"/>
        <v>160</v>
      </c>
      <c r="BJ19" s="499">
        <f t="shared" si="203"/>
        <v>160</v>
      </c>
      <c r="BK19" s="499">
        <f t="shared" si="204"/>
        <v>160</v>
      </c>
      <c r="BL19" s="499">
        <f t="shared" si="205"/>
        <v>160</v>
      </c>
      <c r="BM19" s="499">
        <f t="shared" si="206"/>
        <v>160</v>
      </c>
      <c r="BN19" s="499">
        <f t="shared" si="207"/>
        <v>160</v>
      </c>
      <c r="BO19" s="720">
        <f t="shared" si="207"/>
        <v>160</v>
      </c>
      <c r="BP19" s="774">
        <f t="shared" si="25"/>
        <v>0</v>
      </c>
      <c r="BQ19" s="503">
        <f t="shared" si="25"/>
        <v>0</v>
      </c>
      <c r="BR19" s="503">
        <f t="shared" si="25"/>
        <v>0</v>
      </c>
      <c r="BS19" s="503">
        <f t="shared" si="25"/>
        <v>0</v>
      </c>
      <c r="BT19" s="503">
        <f t="shared" si="25"/>
        <v>0</v>
      </c>
      <c r="BU19" s="503">
        <f t="shared" si="25"/>
        <v>0</v>
      </c>
      <c r="BV19" s="776">
        <f t="shared" si="25"/>
        <v>0</v>
      </c>
      <c r="BW19" s="722">
        <f t="shared" si="208"/>
        <v>0</v>
      </c>
      <c r="BX19" s="511">
        <f t="shared" si="130"/>
        <v>0</v>
      </c>
      <c r="BY19" s="511">
        <f t="shared" si="131"/>
        <v>0</v>
      </c>
      <c r="BZ19" s="511">
        <f t="shared" si="132"/>
        <v>0</v>
      </c>
      <c r="CA19" s="511">
        <f t="shared" si="133"/>
        <v>0</v>
      </c>
      <c r="CB19" s="511">
        <f t="shared" si="134"/>
        <v>0</v>
      </c>
      <c r="CC19" s="723">
        <f t="shared" si="134"/>
        <v>0</v>
      </c>
      <c r="CD19" s="722">
        <f t="shared" si="209"/>
        <v>0.4</v>
      </c>
      <c r="CE19" s="511">
        <f t="shared" si="135"/>
        <v>0.4</v>
      </c>
      <c r="CF19" s="511">
        <f t="shared" si="136"/>
        <v>0.4</v>
      </c>
      <c r="CG19" s="511">
        <f t="shared" si="137"/>
        <v>0.4</v>
      </c>
      <c r="CH19" s="511">
        <f t="shared" si="138"/>
        <v>0.4</v>
      </c>
      <c r="CI19" s="511">
        <f t="shared" si="139"/>
        <v>0.4</v>
      </c>
      <c r="CJ19" s="723">
        <f t="shared" si="139"/>
        <v>0.4</v>
      </c>
      <c r="CK19" s="511">
        <f t="shared" si="210"/>
        <v>0</v>
      </c>
      <c r="CL19" s="511">
        <f t="shared" si="140"/>
        <v>0</v>
      </c>
      <c r="CM19" s="511">
        <f t="shared" si="141"/>
        <v>0</v>
      </c>
      <c r="CN19" s="511">
        <f t="shared" si="142"/>
        <v>0</v>
      </c>
      <c r="CO19" s="511">
        <f t="shared" si="143"/>
        <v>0</v>
      </c>
      <c r="CP19" s="511">
        <f t="shared" si="144"/>
        <v>0</v>
      </c>
      <c r="CQ19" s="539">
        <f t="shared" si="144"/>
        <v>0</v>
      </c>
      <c r="CR19" s="724">
        <f t="shared" si="145"/>
        <v>0</v>
      </c>
      <c r="CS19" s="508">
        <f t="shared" si="146"/>
        <v>0</v>
      </c>
      <c r="CT19" s="508">
        <f t="shared" si="147"/>
        <v>0</v>
      </c>
      <c r="CU19" s="508">
        <f t="shared" si="148"/>
        <v>0</v>
      </c>
      <c r="CV19" s="508">
        <f t="shared" si="149"/>
        <v>0</v>
      </c>
      <c r="CW19" s="508">
        <f t="shared" si="150"/>
        <v>0</v>
      </c>
      <c r="CX19" s="725">
        <f t="shared" si="151"/>
        <v>0</v>
      </c>
      <c r="CY19" s="724">
        <f t="shared" si="152"/>
        <v>0</v>
      </c>
      <c r="CZ19" s="508">
        <f t="shared" si="153"/>
        <v>0</v>
      </c>
      <c r="DA19" s="508">
        <f t="shared" si="154"/>
        <v>0</v>
      </c>
      <c r="DB19" s="508">
        <f t="shared" si="155"/>
        <v>0</v>
      </c>
      <c r="DC19" s="508">
        <f t="shared" si="156"/>
        <v>0</v>
      </c>
      <c r="DD19" s="508">
        <f t="shared" si="157"/>
        <v>0</v>
      </c>
      <c r="DE19" s="725">
        <f t="shared" si="158"/>
        <v>0</v>
      </c>
      <c r="DF19" s="509">
        <f t="shared" si="211"/>
        <v>3200</v>
      </c>
      <c r="DG19" s="508">
        <f t="shared" si="159"/>
        <v>3040</v>
      </c>
      <c r="DH19" s="508">
        <f t="shared" si="160"/>
        <v>0</v>
      </c>
      <c r="DI19" s="508">
        <f t="shared" si="161"/>
        <v>0</v>
      </c>
      <c r="DJ19" s="508">
        <f t="shared" si="162"/>
        <v>0</v>
      </c>
      <c r="DK19" s="508">
        <f t="shared" si="163"/>
        <v>0</v>
      </c>
      <c r="DL19" s="726">
        <f t="shared" si="164"/>
        <v>0</v>
      </c>
      <c r="DM19" s="724">
        <f t="shared" si="165"/>
        <v>0</v>
      </c>
      <c r="DN19" s="508">
        <f t="shared" si="166"/>
        <v>0</v>
      </c>
      <c r="DO19" s="508">
        <f t="shared" si="167"/>
        <v>0</v>
      </c>
      <c r="DP19" s="508">
        <f t="shared" si="168"/>
        <v>0</v>
      </c>
      <c r="DQ19" s="508">
        <f t="shared" si="169"/>
        <v>0</v>
      </c>
      <c r="DR19" s="508">
        <f t="shared" si="170"/>
        <v>0</v>
      </c>
      <c r="DS19" s="725">
        <f t="shared" si="171"/>
        <v>0</v>
      </c>
      <c r="DT19" s="722">
        <f t="shared" si="172"/>
        <v>0</v>
      </c>
      <c r="DU19" s="511">
        <f t="shared" si="173"/>
        <v>0</v>
      </c>
      <c r="DV19" s="511">
        <f t="shared" si="174"/>
        <v>0</v>
      </c>
      <c r="DW19" s="511">
        <f t="shared" si="175"/>
        <v>0</v>
      </c>
      <c r="DX19" s="511">
        <f t="shared" si="176"/>
        <v>0</v>
      </c>
      <c r="DY19" s="511">
        <f t="shared" si="177"/>
        <v>0</v>
      </c>
      <c r="DZ19" s="723">
        <f t="shared" si="178"/>
        <v>0</v>
      </c>
      <c r="EA19" s="722">
        <f t="shared" si="179"/>
        <v>8</v>
      </c>
      <c r="EB19" s="511">
        <f t="shared" si="180"/>
        <v>7.6000000000000005</v>
      </c>
      <c r="EC19" s="511">
        <f t="shared" si="181"/>
        <v>0</v>
      </c>
      <c r="ED19" s="511">
        <f t="shared" si="182"/>
        <v>0</v>
      </c>
      <c r="EE19" s="511">
        <f t="shared" si="183"/>
        <v>0</v>
      </c>
      <c r="EF19" s="511">
        <f t="shared" si="184"/>
        <v>0</v>
      </c>
      <c r="EG19" s="723">
        <f t="shared" si="185"/>
        <v>0</v>
      </c>
      <c r="EH19" s="507">
        <f t="shared" si="186"/>
        <v>0</v>
      </c>
      <c r="EI19" s="511">
        <f t="shared" si="187"/>
        <v>0</v>
      </c>
      <c r="EJ19" s="511">
        <f t="shared" si="188"/>
        <v>0</v>
      </c>
      <c r="EK19" s="511">
        <f t="shared" si="189"/>
        <v>0</v>
      </c>
      <c r="EL19" s="511">
        <f t="shared" si="190"/>
        <v>0</v>
      </c>
      <c r="EM19" s="511">
        <f t="shared" si="191"/>
        <v>0</v>
      </c>
      <c r="EN19" s="723">
        <f t="shared" si="192"/>
        <v>0</v>
      </c>
      <c r="EO19" s="727">
        <f t="shared" si="212"/>
        <v>5.5714285714285712</v>
      </c>
      <c r="EP19" s="728">
        <f t="shared" si="213"/>
        <v>0</v>
      </c>
      <c r="EQ19" s="728">
        <f t="shared" si="214"/>
        <v>0</v>
      </c>
      <c r="ER19" s="728">
        <f t="shared" si="215"/>
        <v>6240</v>
      </c>
      <c r="ES19" s="728">
        <f t="shared" si="216"/>
        <v>0</v>
      </c>
      <c r="ET19" s="777">
        <f t="shared" si="217"/>
        <v>0</v>
      </c>
      <c r="EU19" s="777">
        <f t="shared" si="218"/>
        <v>8</v>
      </c>
      <c r="EV19" s="778">
        <f t="shared" si="219"/>
        <v>0</v>
      </c>
      <c r="FB19" s="135"/>
      <c r="FC19" s="135"/>
      <c r="FD19" s="135"/>
    </row>
    <row r="20" spans="1:160" s="10" customFormat="1" ht="12.5">
      <c r="A20" s="661" t="s">
        <v>178</v>
      </c>
      <c r="B20" s="789" t="s">
        <v>1541</v>
      </c>
      <c r="C20" s="662" t="s">
        <v>1530</v>
      </c>
      <c r="D20" s="715" t="s">
        <v>1514</v>
      </c>
      <c r="E20" s="703" t="s">
        <v>1515</v>
      </c>
      <c r="F20" s="1134" t="s">
        <v>402</v>
      </c>
      <c r="G20" s="1134">
        <v>0</v>
      </c>
      <c r="H20" s="1134">
        <v>0</v>
      </c>
      <c r="I20" s="704">
        <f t="shared" si="193"/>
        <v>0</v>
      </c>
      <c r="J20" s="1121">
        <v>0</v>
      </c>
      <c r="K20" s="704" t="s">
        <v>378</v>
      </c>
      <c r="L20" s="1121" t="s">
        <v>378</v>
      </c>
      <c r="M20" s="1122">
        <f>8+8</f>
        <v>16</v>
      </c>
      <c r="N20" s="1122">
        <f t="shared" si="220"/>
        <v>160</v>
      </c>
      <c r="O20" s="1138">
        <v>0</v>
      </c>
      <c r="P20" s="1138">
        <v>0</v>
      </c>
      <c r="Q20" s="715">
        <v>0</v>
      </c>
      <c r="R20" s="1137">
        <v>0.4</v>
      </c>
      <c r="S20" s="715">
        <v>0</v>
      </c>
      <c r="T20" s="711" t="s">
        <v>1516</v>
      </c>
      <c r="U20" s="1124">
        <v>-0.1</v>
      </c>
      <c r="V20" s="1150">
        <v>1</v>
      </c>
      <c r="W20" s="781">
        <f t="shared" si="125"/>
        <v>0</v>
      </c>
      <c r="X20" s="781">
        <f t="shared" si="125"/>
        <v>0</v>
      </c>
      <c r="Y20" s="781">
        <f t="shared" si="125"/>
        <v>0</v>
      </c>
      <c r="Z20" s="781">
        <f t="shared" si="125"/>
        <v>0</v>
      </c>
      <c r="AA20" s="781">
        <f t="shared" si="125"/>
        <v>0</v>
      </c>
      <c r="AB20" s="781">
        <f t="shared" si="125"/>
        <v>0</v>
      </c>
      <c r="AC20" s="781">
        <f t="shared" si="125"/>
        <v>0</v>
      </c>
      <c r="AD20" s="711" t="s">
        <v>384</v>
      </c>
      <c r="AE20" s="1126" t="s">
        <v>375</v>
      </c>
      <c r="AF20" s="711" t="s">
        <v>322</v>
      </c>
      <c r="AG20" s="711" t="s">
        <v>1522</v>
      </c>
      <c r="AH20" s="711" t="s">
        <v>1</v>
      </c>
      <c r="AI20" s="711" t="s">
        <v>378</v>
      </c>
      <c r="AJ20" s="711" t="s">
        <v>378</v>
      </c>
      <c r="AK20" s="711" t="s">
        <v>378</v>
      </c>
      <c r="AL20" s="715" t="s">
        <v>1531</v>
      </c>
      <c r="AM20" s="715" t="s">
        <v>380</v>
      </c>
      <c r="AN20" s="715" t="s">
        <v>385</v>
      </c>
      <c r="AO20" s="711">
        <v>1</v>
      </c>
      <c r="AP20" s="711">
        <v>1</v>
      </c>
      <c r="AQ20" s="711" t="s">
        <v>1517</v>
      </c>
      <c r="AR20" s="716">
        <v>1</v>
      </c>
      <c r="AS20" s="716">
        <v>1</v>
      </c>
      <c r="AT20" s="717">
        <v>0</v>
      </c>
      <c r="AU20" s="1129">
        <f t="shared" si="194"/>
        <v>0</v>
      </c>
      <c r="AV20" s="499">
        <f t="shared" si="195"/>
        <v>0</v>
      </c>
      <c r="AW20" s="499">
        <f t="shared" si="196"/>
        <v>0</v>
      </c>
      <c r="AX20" s="499">
        <f t="shared" si="197"/>
        <v>0</v>
      </c>
      <c r="AY20" s="499">
        <f t="shared" si="126"/>
        <v>0</v>
      </c>
      <c r="AZ20" s="499">
        <f t="shared" si="127"/>
        <v>0</v>
      </c>
      <c r="BA20" s="719">
        <f t="shared" si="127"/>
        <v>0</v>
      </c>
      <c r="BB20" s="1129">
        <f t="shared" si="198"/>
        <v>0</v>
      </c>
      <c r="BC20" s="499">
        <f t="shared" si="199"/>
        <v>0</v>
      </c>
      <c r="BD20" s="499">
        <f t="shared" si="200"/>
        <v>0</v>
      </c>
      <c r="BE20" s="499">
        <f t="shared" si="201"/>
        <v>0</v>
      </c>
      <c r="BF20" s="499">
        <f t="shared" si="128"/>
        <v>0</v>
      </c>
      <c r="BG20" s="499">
        <f t="shared" si="129"/>
        <v>0</v>
      </c>
      <c r="BH20" s="719">
        <f t="shared" si="129"/>
        <v>0</v>
      </c>
      <c r="BI20" s="1132">
        <f t="shared" si="202"/>
        <v>160</v>
      </c>
      <c r="BJ20" s="499">
        <f t="shared" si="203"/>
        <v>160</v>
      </c>
      <c r="BK20" s="499">
        <f t="shared" si="204"/>
        <v>160</v>
      </c>
      <c r="BL20" s="499">
        <f t="shared" si="205"/>
        <v>160</v>
      </c>
      <c r="BM20" s="499">
        <f t="shared" si="206"/>
        <v>160</v>
      </c>
      <c r="BN20" s="499">
        <f t="shared" si="207"/>
        <v>160</v>
      </c>
      <c r="BO20" s="720">
        <f t="shared" si="207"/>
        <v>160</v>
      </c>
      <c r="BP20" s="774">
        <f t="shared" si="25"/>
        <v>0</v>
      </c>
      <c r="BQ20" s="503">
        <f t="shared" si="25"/>
        <v>0</v>
      </c>
      <c r="BR20" s="503">
        <f t="shared" si="25"/>
        <v>0</v>
      </c>
      <c r="BS20" s="503">
        <f t="shared" si="25"/>
        <v>0</v>
      </c>
      <c r="BT20" s="503">
        <f t="shared" si="25"/>
        <v>0</v>
      </c>
      <c r="BU20" s="503">
        <f t="shared" si="25"/>
        <v>0</v>
      </c>
      <c r="BV20" s="776">
        <f t="shared" si="25"/>
        <v>0</v>
      </c>
      <c r="BW20" s="722">
        <f t="shared" si="208"/>
        <v>0</v>
      </c>
      <c r="BX20" s="511">
        <f t="shared" si="130"/>
        <v>0</v>
      </c>
      <c r="BY20" s="511">
        <f t="shared" si="131"/>
        <v>0</v>
      </c>
      <c r="BZ20" s="511">
        <f t="shared" si="132"/>
        <v>0</v>
      </c>
      <c r="CA20" s="511">
        <f t="shared" si="133"/>
        <v>0</v>
      </c>
      <c r="CB20" s="511">
        <f t="shared" si="134"/>
        <v>0</v>
      </c>
      <c r="CC20" s="723">
        <f t="shared" si="134"/>
        <v>0</v>
      </c>
      <c r="CD20" s="722">
        <f t="shared" si="209"/>
        <v>0.4</v>
      </c>
      <c r="CE20" s="511">
        <f t="shared" si="135"/>
        <v>0.4</v>
      </c>
      <c r="CF20" s="511">
        <f t="shared" si="136"/>
        <v>0.4</v>
      </c>
      <c r="CG20" s="511">
        <f t="shared" si="137"/>
        <v>0.4</v>
      </c>
      <c r="CH20" s="511">
        <f t="shared" si="138"/>
        <v>0.4</v>
      </c>
      <c r="CI20" s="511">
        <f t="shared" si="139"/>
        <v>0.4</v>
      </c>
      <c r="CJ20" s="723">
        <f t="shared" si="139"/>
        <v>0.4</v>
      </c>
      <c r="CK20" s="511">
        <f t="shared" si="210"/>
        <v>0</v>
      </c>
      <c r="CL20" s="511">
        <f t="shared" si="140"/>
        <v>0</v>
      </c>
      <c r="CM20" s="511">
        <f t="shared" si="141"/>
        <v>0</v>
      </c>
      <c r="CN20" s="511">
        <f t="shared" si="142"/>
        <v>0</v>
      </c>
      <c r="CO20" s="511">
        <f t="shared" si="143"/>
        <v>0</v>
      </c>
      <c r="CP20" s="511">
        <f t="shared" si="144"/>
        <v>0</v>
      </c>
      <c r="CQ20" s="539">
        <f t="shared" si="144"/>
        <v>0</v>
      </c>
      <c r="CR20" s="724">
        <f t="shared" si="145"/>
        <v>0</v>
      </c>
      <c r="CS20" s="508">
        <f t="shared" si="146"/>
        <v>0</v>
      </c>
      <c r="CT20" s="508">
        <f t="shared" si="147"/>
        <v>0</v>
      </c>
      <c r="CU20" s="508">
        <f t="shared" si="148"/>
        <v>0</v>
      </c>
      <c r="CV20" s="508">
        <f t="shared" si="149"/>
        <v>0</v>
      </c>
      <c r="CW20" s="508">
        <f t="shared" si="150"/>
        <v>0</v>
      </c>
      <c r="CX20" s="725">
        <f t="shared" si="151"/>
        <v>0</v>
      </c>
      <c r="CY20" s="724">
        <f t="shared" si="152"/>
        <v>0</v>
      </c>
      <c r="CZ20" s="508">
        <f t="shared" si="153"/>
        <v>0</v>
      </c>
      <c r="DA20" s="508">
        <f t="shared" si="154"/>
        <v>0</v>
      </c>
      <c r="DB20" s="508">
        <f t="shared" si="155"/>
        <v>0</v>
      </c>
      <c r="DC20" s="508">
        <f t="shared" si="156"/>
        <v>0</v>
      </c>
      <c r="DD20" s="508">
        <f t="shared" si="157"/>
        <v>0</v>
      </c>
      <c r="DE20" s="725">
        <f t="shared" si="158"/>
        <v>0</v>
      </c>
      <c r="DF20" s="509">
        <f t="shared" si="211"/>
        <v>0</v>
      </c>
      <c r="DG20" s="508">
        <f t="shared" si="159"/>
        <v>0</v>
      </c>
      <c r="DH20" s="508">
        <f t="shared" si="160"/>
        <v>0</v>
      </c>
      <c r="DI20" s="508">
        <f t="shared" si="161"/>
        <v>0</v>
      </c>
      <c r="DJ20" s="508">
        <f t="shared" si="162"/>
        <v>0</v>
      </c>
      <c r="DK20" s="508">
        <f t="shared" si="163"/>
        <v>0</v>
      </c>
      <c r="DL20" s="726">
        <f t="shared" si="164"/>
        <v>0</v>
      </c>
      <c r="DM20" s="724">
        <f t="shared" si="165"/>
        <v>0</v>
      </c>
      <c r="DN20" s="508">
        <f t="shared" si="166"/>
        <v>0</v>
      </c>
      <c r="DO20" s="508">
        <f t="shared" si="167"/>
        <v>0</v>
      </c>
      <c r="DP20" s="508">
        <f t="shared" si="168"/>
        <v>0</v>
      </c>
      <c r="DQ20" s="508">
        <f t="shared" si="169"/>
        <v>0</v>
      </c>
      <c r="DR20" s="508">
        <f t="shared" si="170"/>
        <v>0</v>
      </c>
      <c r="DS20" s="725">
        <f t="shared" si="171"/>
        <v>0</v>
      </c>
      <c r="DT20" s="722">
        <f t="shared" si="172"/>
        <v>0</v>
      </c>
      <c r="DU20" s="511">
        <f t="shared" si="173"/>
        <v>0</v>
      </c>
      <c r="DV20" s="511">
        <f t="shared" si="174"/>
        <v>0</v>
      </c>
      <c r="DW20" s="511">
        <f t="shared" si="175"/>
        <v>0</v>
      </c>
      <c r="DX20" s="511">
        <f t="shared" si="176"/>
        <v>0</v>
      </c>
      <c r="DY20" s="511">
        <f t="shared" si="177"/>
        <v>0</v>
      </c>
      <c r="DZ20" s="723">
        <f t="shared" si="178"/>
        <v>0</v>
      </c>
      <c r="EA20" s="722">
        <f t="shared" si="179"/>
        <v>0</v>
      </c>
      <c r="EB20" s="511">
        <f t="shared" si="180"/>
        <v>0</v>
      </c>
      <c r="EC20" s="511">
        <f t="shared" si="181"/>
        <v>0</v>
      </c>
      <c r="ED20" s="511">
        <f t="shared" si="182"/>
        <v>0</v>
      </c>
      <c r="EE20" s="511">
        <f t="shared" si="183"/>
        <v>0</v>
      </c>
      <c r="EF20" s="511">
        <f t="shared" si="184"/>
        <v>0</v>
      </c>
      <c r="EG20" s="723">
        <f t="shared" si="185"/>
        <v>0</v>
      </c>
      <c r="EH20" s="507">
        <f t="shared" si="186"/>
        <v>0</v>
      </c>
      <c r="EI20" s="511">
        <f t="shared" si="187"/>
        <v>0</v>
      </c>
      <c r="EJ20" s="511">
        <f t="shared" si="188"/>
        <v>0</v>
      </c>
      <c r="EK20" s="511">
        <f t="shared" si="189"/>
        <v>0</v>
      </c>
      <c r="EL20" s="511">
        <f t="shared" si="190"/>
        <v>0</v>
      </c>
      <c r="EM20" s="511">
        <f t="shared" si="191"/>
        <v>0</v>
      </c>
      <c r="EN20" s="723">
        <f t="shared" si="192"/>
        <v>0</v>
      </c>
      <c r="EO20" s="977">
        <f t="shared" si="212"/>
        <v>0</v>
      </c>
      <c r="EP20" s="728">
        <f t="shared" si="213"/>
        <v>0</v>
      </c>
      <c r="EQ20" s="728">
        <f t="shared" si="214"/>
        <v>0</v>
      </c>
      <c r="ER20" s="728">
        <f t="shared" si="215"/>
        <v>0</v>
      </c>
      <c r="ES20" s="728">
        <f t="shared" si="216"/>
        <v>0</v>
      </c>
      <c r="ET20" s="978">
        <f t="shared" si="217"/>
        <v>0</v>
      </c>
      <c r="EU20" s="978">
        <f t="shared" si="218"/>
        <v>0</v>
      </c>
      <c r="EV20" s="778">
        <f t="shared" si="219"/>
        <v>0</v>
      </c>
      <c r="FB20" s="135"/>
      <c r="FC20" s="135"/>
      <c r="FD20" s="135"/>
    </row>
    <row r="21" spans="1:160" s="10" customFormat="1" ht="12.75" customHeight="1">
      <c r="A21" s="661" t="s">
        <v>183</v>
      </c>
      <c r="B21" s="789" t="s">
        <v>1542</v>
      </c>
      <c r="C21" s="662" t="s">
        <v>1532</v>
      </c>
      <c r="D21" s="715" t="s">
        <v>1514</v>
      </c>
      <c r="E21" s="703" t="s">
        <v>1515</v>
      </c>
      <c r="F21" s="1134" t="s">
        <v>402</v>
      </c>
      <c r="G21" s="1134">
        <v>0</v>
      </c>
      <c r="H21" s="704">
        <v>0</v>
      </c>
      <c r="I21" s="704">
        <f>G21+H21</f>
        <v>0</v>
      </c>
      <c r="J21" s="1121">
        <v>0</v>
      </c>
      <c r="K21" s="704" t="s">
        <v>378</v>
      </c>
      <c r="L21" s="1121" t="s">
        <v>378</v>
      </c>
      <c r="M21" s="1122">
        <f>M12</f>
        <v>36.787962138985513</v>
      </c>
      <c r="N21" s="1122">
        <f t="shared" si="220"/>
        <v>36.787962138985513</v>
      </c>
      <c r="O21" s="707">
        <v>0</v>
      </c>
      <c r="P21" s="707">
        <v>0</v>
      </c>
      <c r="Q21" s="715">
        <v>0</v>
      </c>
      <c r="R21" s="1123">
        <v>1.59</v>
      </c>
      <c r="S21" s="715">
        <v>0</v>
      </c>
      <c r="T21" s="711" t="s">
        <v>1516</v>
      </c>
      <c r="U21" s="1124">
        <v>-0.1</v>
      </c>
      <c r="V21" s="1149">
        <v>1</v>
      </c>
      <c r="W21" s="781">
        <f t="shared" si="125"/>
        <v>1450</v>
      </c>
      <c r="X21" s="781">
        <f t="shared" si="125"/>
        <v>1300</v>
      </c>
      <c r="Y21" s="781">
        <f t="shared" si="125"/>
        <v>1150</v>
      </c>
      <c r="Z21" s="781">
        <f t="shared" si="125"/>
        <v>1000</v>
      </c>
      <c r="AA21" s="781">
        <f t="shared" si="125"/>
        <v>900</v>
      </c>
      <c r="AB21" s="781">
        <f t="shared" si="125"/>
        <v>800</v>
      </c>
      <c r="AC21" s="781">
        <f t="shared" si="125"/>
        <v>700</v>
      </c>
      <c r="AD21" s="711" t="s">
        <v>384</v>
      </c>
      <c r="AE21" s="711" t="s">
        <v>742</v>
      </c>
      <c r="AF21" s="711" t="s">
        <v>1146</v>
      </c>
      <c r="AG21" s="711" t="s">
        <v>1533</v>
      </c>
      <c r="AH21" s="711" t="s">
        <v>1</v>
      </c>
      <c r="AI21" s="711" t="s">
        <v>378</v>
      </c>
      <c r="AJ21" s="711" t="s">
        <v>378</v>
      </c>
      <c r="AK21" s="711" t="s">
        <v>378</v>
      </c>
      <c r="AL21" s="715" t="s">
        <v>1187</v>
      </c>
      <c r="AM21" s="715" t="s">
        <v>380</v>
      </c>
      <c r="AN21" s="715" t="s">
        <v>771</v>
      </c>
      <c r="AO21" s="711">
        <v>1</v>
      </c>
      <c r="AP21" s="711">
        <v>1</v>
      </c>
      <c r="AQ21" s="711" t="s">
        <v>1534</v>
      </c>
      <c r="AR21" s="716">
        <v>1</v>
      </c>
      <c r="AS21" s="716">
        <v>1</v>
      </c>
      <c r="AT21" s="717">
        <v>0</v>
      </c>
      <c r="AU21" s="1129">
        <f t="shared" si="194"/>
        <v>0</v>
      </c>
      <c r="AV21" s="499">
        <f t="shared" ref="AV21:AW22" si="221">AU21</f>
        <v>0</v>
      </c>
      <c r="AW21" s="499">
        <f t="shared" si="221"/>
        <v>0</v>
      </c>
      <c r="AX21" s="499">
        <f>AU21</f>
        <v>0</v>
      </c>
      <c r="AY21" s="499">
        <f t="shared" si="126"/>
        <v>0</v>
      </c>
      <c r="AZ21" s="499">
        <f t="shared" si="127"/>
        <v>0</v>
      </c>
      <c r="BA21" s="719">
        <f t="shared" si="127"/>
        <v>0</v>
      </c>
      <c r="BB21" s="1129">
        <f t="shared" si="198"/>
        <v>0</v>
      </c>
      <c r="BC21" s="499">
        <f t="shared" ref="BC21:BE22" si="222">BB21</f>
        <v>0</v>
      </c>
      <c r="BD21" s="499">
        <f t="shared" si="222"/>
        <v>0</v>
      </c>
      <c r="BE21" s="499">
        <f t="shared" si="222"/>
        <v>0</v>
      </c>
      <c r="BF21" s="499">
        <f t="shared" si="128"/>
        <v>0</v>
      </c>
      <c r="BG21" s="499">
        <f t="shared" si="129"/>
        <v>0</v>
      </c>
      <c r="BH21" s="719">
        <f t="shared" si="129"/>
        <v>0</v>
      </c>
      <c r="BI21" s="1132">
        <f t="shared" si="202"/>
        <v>36.787962138985513</v>
      </c>
      <c r="BJ21" s="499">
        <f t="shared" ref="BJ21:BL22" si="223">BI21</f>
        <v>36.787962138985513</v>
      </c>
      <c r="BK21" s="499">
        <f t="shared" si="223"/>
        <v>36.787962138985513</v>
      </c>
      <c r="BL21" s="499">
        <f t="shared" si="223"/>
        <v>36.787962138985513</v>
      </c>
      <c r="BM21" s="499">
        <f t="shared" si="206"/>
        <v>36.787962138985513</v>
      </c>
      <c r="BN21" s="499">
        <f t="shared" si="207"/>
        <v>36.787962138985513</v>
      </c>
      <c r="BO21" s="720">
        <f t="shared" si="207"/>
        <v>36.787962138985513</v>
      </c>
      <c r="BP21" s="774">
        <f t="shared" ref="BP21:BV22" si="224">$P21</f>
        <v>0</v>
      </c>
      <c r="BQ21" s="503">
        <f t="shared" si="224"/>
        <v>0</v>
      </c>
      <c r="BR21" s="503">
        <f t="shared" si="224"/>
        <v>0</v>
      </c>
      <c r="BS21" s="503">
        <f t="shared" si="224"/>
        <v>0</v>
      </c>
      <c r="BT21" s="503">
        <f t="shared" si="224"/>
        <v>0</v>
      </c>
      <c r="BU21" s="503">
        <f t="shared" si="224"/>
        <v>0</v>
      </c>
      <c r="BV21" s="776">
        <f t="shared" si="224"/>
        <v>0</v>
      </c>
      <c r="BW21" s="722">
        <f t="shared" si="208"/>
        <v>0</v>
      </c>
      <c r="BX21" s="511">
        <f t="shared" ref="BX21:BZ22" si="225">BW21</f>
        <v>0</v>
      </c>
      <c r="BY21" s="511">
        <f t="shared" si="225"/>
        <v>0</v>
      </c>
      <c r="BZ21" s="511">
        <f t="shared" si="225"/>
        <v>0</v>
      </c>
      <c r="CA21" s="511">
        <f t="shared" si="133"/>
        <v>0</v>
      </c>
      <c r="CB21" s="511">
        <f t="shared" si="134"/>
        <v>0</v>
      </c>
      <c r="CC21" s="723">
        <f t="shared" si="134"/>
        <v>0</v>
      </c>
      <c r="CD21" s="722">
        <f t="shared" si="209"/>
        <v>1.59</v>
      </c>
      <c r="CE21" s="511">
        <f t="shared" ref="CE21:CG22" si="226">CD21</f>
        <v>1.59</v>
      </c>
      <c r="CF21" s="511">
        <f t="shared" si="226"/>
        <v>1.59</v>
      </c>
      <c r="CG21" s="511">
        <f t="shared" si="226"/>
        <v>1.59</v>
      </c>
      <c r="CH21" s="511">
        <f t="shared" si="138"/>
        <v>1.59</v>
      </c>
      <c r="CI21" s="511">
        <f t="shared" si="139"/>
        <v>1.59</v>
      </c>
      <c r="CJ21" s="723">
        <f t="shared" si="139"/>
        <v>1.59</v>
      </c>
      <c r="CK21" s="511">
        <f t="shared" si="210"/>
        <v>0</v>
      </c>
      <c r="CL21" s="511">
        <f t="shared" ref="CL21:CN22" si="227">CK21</f>
        <v>0</v>
      </c>
      <c r="CM21" s="511">
        <f t="shared" si="227"/>
        <v>0</v>
      </c>
      <c r="CN21" s="511">
        <f t="shared" si="227"/>
        <v>0</v>
      </c>
      <c r="CO21" s="511">
        <f t="shared" si="143"/>
        <v>0</v>
      </c>
      <c r="CP21" s="511">
        <f t="shared" si="144"/>
        <v>0</v>
      </c>
      <c r="CQ21" s="539">
        <f t="shared" si="144"/>
        <v>0</v>
      </c>
      <c r="CR21" s="724">
        <f t="shared" si="145"/>
        <v>0</v>
      </c>
      <c r="CS21" s="508">
        <f t="shared" si="146"/>
        <v>0</v>
      </c>
      <c r="CT21" s="508">
        <f t="shared" si="147"/>
        <v>0</v>
      </c>
      <c r="CU21" s="508">
        <f t="shared" si="148"/>
        <v>0</v>
      </c>
      <c r="CV21" s="508">
        <f t="shared" si="149"/>
        <v>0</v>
      </c>
      <c r="CW21" s="508">
        <f t="shared" si="150"/>
        <v>0</v>
      </c>
      <c r="CX21" s="725">
        <f t="shared" si="151"/>
        <v>0</v>
      </c>
      <c r="CY21" s="724">
        <f t="shared" si="152"/>
        <v>0</v>
      </c>
      <c r="CZ21" s="508">
        <f t="shared" si="153"/>
        <v>0</v>
      </c>
      <c r="DA21" s="508">
        <f t="shared" si="154"/>
        <v>0</v>
      </c>
      <c r="DB21" s="508">
        <f t="shared" si="155"/>
        <v>0</v>
      </c>
      <c r="DC21" s="508">
        <f t="shared" si="156"/>
        <v>0</v>
      </c>
      <c r="DD21" s="508">
        <f t="shared" si="157"/>
        <v>0</v>
      </c>
      <c r="DE21" s="725">
        <f t="shared" si="158"/>
        <v>0</v>
      </c>
      <c r="DF21" s="509">
        <f t="shared" si="211"/>
        <v>53342.545101528995</v>
      </c>
      <c r="DG21" s="508">
        <f t="shared" si="159"/>
        <v>47824.350780681169</v>
      </c>
      <c r="DH21" s="508">
        <f t="shared" si="160"/>
        <v>42306.156459833343</v>
      </c>
      <c r="DI21" s="508">
        <f t="shared" si="161"/>
        <v>36787.962138985517</v>
      </c>
      <c r="DJ21" s="508">
        <f t="shared" si="162"/>
        <v>33109.165925086963</v>
      </c>
      <c r="DK21" s="508">
        <f t="shared" si="163"/>
        <v>29430.36971118841</v>
      </c>
      <c r="DL21" s="726">
        <f t="shared" si="164"/>
        <v>25751.573497289861</v>
      </c>
      <c r="DM21" s="724">
        <f t="shared" si="165"/>
        <v>0</v>
      </c>
      <c r="DN21" s="508">
        <f t="shared" si="166"/>
        <v>0</v>
      </c>
      <c r="DO21" s="508">
        <f t="shared" si="167"/>
        <v>0</v>
      </c>
      <c r="DP21" s="508">
        <f t="shared" si="168"/>
        <v>0</v>
      </c>
      <c r="DQ21" s="508">
        <f t="shared" si="169"/>
        <v>0</v>
      </c>
      <c r="DR21" s="508">
        <f t="shared" si="170"/>
        <v>0</v>
      </c>
      <c r="DS21" s="725">
        <f t="shared" si="171"/>
        <v>0</v>
      </c>
      <c r="DT21" s="722">
        <f t="shared" si="172"/>
        <v>0</v>
      </c>
      <c r="DU21" s="511">
        <f t="shared" si="173"/>
        <v>0</v>
      </c>
      <c r="DV21" s="511">
        <f t="shared" si="174"/>
        <v>0</v>
      </c>
      <c r="DW21" s="511">
        <f t="shared" si="175"/>
        <v>0</v>
      </c>
      <c r="DX21" s="511">
        <f t="shared" si="176"/>
        <v>0</v>
      </c>
      <c r="DY21" s="511">
        <f t="shared" si="177"/>
        <v>0</v>
      </c>
      <c r="DZ21" s="723">
        <f t="shared" si="178"/>
        <v>0</v>
      </c>
      <c r="EA21" s="722">
        <f t="shared" si="179"/>
        <v>2305.5</v>
      </c>
      <c r="EB21" s="511">
        <f t="shared" si="180"/>
        <v>2067</v>
      </c>
      <c r="EC21" s="511">
        <f t="shared" si="181"/>
        <v>1828.5</v>
      </c>
      <c r="ED21" s="511">
        <f t="shared" si="182"/>
        <v>1590</v>
      </c>
      <c r="EE21" s="511">
        <f t="shared" si="183"/>
        <v>1431</v>
      </c>
      <c r="EF21" s="511">
        <f t="shared" si="184"/>
        <v>1272</v>
      </c>
      <c r="EG21" s="723">
        <f t="shared" si="185"/>
        <v>1113</v>
      </c>
      <c r="EH21" s="507">
        <f t="shared" si="186"/>
        <v>0</v>
      </c>
      <c r="EI21" s="511">
        <f t="shared" si="187"/>
        <v>0</v>
      </c>
      <c r="EJ21" s="511">
        <f t="shared" si="188"/>
        <v>0</v>
      </c>
      <c r="EK21" s="511">
        <f t="shared" si="189"/>
        <v>0</v>
      </c>
      <c r="EL21" s="511">
        <f t="shared" si="190"/>
        <v>0</v>
      </c>
      <c r="EM21" s="511">
        <f t="shared" si="191"/>
        <v>0</v>
      </c>
      <c r="EN21" s="723">
        <f t="shared" si="192"/>
        <v>0</v>
      </c>
      <c r="EO21" s="727">
        <f t="shared" si="212"/>
        <v>1042.8571428571429</v>
      </c>
      <c r="EP21" s="728">
        <f t="shared" si="213"/>
        <v>0</v>
      </c>
      <c r="EQ21" s="728">
        <f t="shared" si="214"/>
        <v>0</v>
      </c>
      <c r="ER21" s="728">
        <f t="shared" si="215"/>
        <v>268552.12361459428</v>
      </c>
      <c r="ES21" s="728">
        <f t="shared" si="216"/>
        <v>0</v>
      </c>
      <c r="ET21" s="777">
        <f t="shared" si="217"/>
        <v>0</v>
      </c>
      <c r="EU21" s="777">
        <f t="shared" si="218"/>
        <v>2305.5</v>
      </c>
      <c r="EV21" s="778">
        <f t="shared" si="219"/>
        <v>0</v>
      </c>
      <c r="FB21" s="135"/>
      <c r="FC21" s="135"/>
      <c r="FD21" s="135"/>
    </row>
    <row r="22" spans="1:160" s="10" customFormat="1" ht="12.5">
      <c r="A22" s="661" t="s">
        <v>184</v>
      </c>
      <c r="B22" s="789" t="s">
        <v>1543</v>
      </c>
      <c r="C22" s="662" t="s">
        <v>1535</v>
      </c>
      <c r="D22" s="715" t="s">
        <v>1514</v>
      </c>
      <c r="E22" s="703" t="s">
        <v>1515</v>
      </c>
      <c r="F22" s="1134" t="s">
        <v>402</v>
      </c>
      <c r="G22" s="1134">
        <v>0</v>
      </c>
      <c r="H22" s="704">
        <v>0</v>
      </c>
      <c r="I22" s="704">
        <f>G22+H22</f>
        <v>0</v>
      </c>
      <c r="J22" s="1121">
        <v>0</v>
      </c>
      <c r="K22" s="704" t="s">
        <v>378</v>
      </c>
      <c r="L22" s="1121" t="s">
        <v>378</v>
      </c>
      <c r="M22" s="1122">
        <f>M13</f>
        <v>8</v>
      </c>
      <c r="N22" s="1122">
        <f t="shared" si="220"/>
        <v>16</v>
      </c>
      <c r="O22" s="707">
        <v>0</v>
      </c>
      <c r="P22" s="707">
        <v>0</v>
      </c>
      <c r="Q22" s="715">
        <v>0</v>
      </c>
      <c r="R22" s="1135">
        <v>0.4</v>
      </c>
      <c r="S22" s="715">
        <v>0</v>
      </c>
      <c r="T22" s="711" t="s">
        <v>1516</v>
      </c>
      <c r="U22" s="1124">
        <v>-0.1</v>
      </c>
      <c r="V22" s="1149">
        <v>1</v>
      </c>
      <c r="W22" s="781">
        <f t="shared" si="125"/>
        <v>150</v>
      </c>
      <c r="X22" s="781">
        <f t="shared" si="125"/>
        <v>135</v>
      </c>
      <c r="Y22" s="781">
        <f t="shared" si="125"/>
        <v>100</v>
      </c>
      <c r="Z22" s="781">
        <f t="shared" si="125"/>
        <v>50</v>
      </c>
      <c r="AA22" s="781">
        <f t="shared" si="125"/>
        <v>0</v>
      </c>
      <c r="AB22" s="781">
        <f t="shared" si="125"/>
        <v>0</v>
      </c>
      <c r="AC22" s="781">
        <f t="shared" si="125"/>
        <v>0</v>
      </c>
      <c r="AD22" s="711" t="s">
        <v>384</v>
      </c>
      <c r="AE22" s="711" t="s">
        <v>742</v>
      </c>
      <c r="AF22" s="711" t="s">
        <v>1146</v>
      </c>
      <c r="AG22" s="711" t="s">
        <v>753</v>
      </c>
      <c r="AH22" s="711" t="s">
        <v>1</v>
      </c>
      <c r="AI22" s="711" t="s">
        <v>378</v>
      </c>
      <c r="AJ22" s="711" t="s">
        <v>378</v>
      </c>
      <c r="AK22" s="711" t="s">
        <v>378</v>
      </c>
      <c r="AL22" s="715" t="s">
        <v>1158</v>
      </c>
      <c r="AM22" s="715" t="s">
        <v>380</v>
      </c>
      <c r="AN22" s="715" t="s">
        <v>771</v>
      </c>
      <c r="AO22" s="711">
        <v>1</v>
      </c>
      <c r="AP22" s="711">
        <v>1</v>
      </c>
      <c r="AQ22" s="711" t="s">
        <v>1534</v>
      </c>
      <c r="AR22" s="716">
        <v>1</v>
      </c>
      <c r="AS22" s="716">
        <v>1</v>
      </c>
      <c r="AT22" s="717">
        <v>0</v>
      </c>
      <c r="AU22" s="1129">
        <f t="shared" si="194"/>
        <v>0</v>
      </c>
      <c r="AV22" s="499">
        <f t="shared" si="221"/>
        <v>0</v>
      </c>
      <c r="AW22" s="499">
        <f t="shared" si="221"/>
        <v>0</v>
      </c>
      <c r="AX22" s="499">
        <f>AU22</f>
        <v>0</v>
      </c>
      <c r="AY22" s="499">
        <f t="shared" si="126"/>
        <v>0</v>
      </c>
      <c r="AZ22" s="499">
        <f t="shared" si="127"/>
        <v>0</v>
      </c>
      <c r="BA22" s="719">
        <f t="shared" si="127"/>
        <v>0</v>
      </c>
      <c r="BB22" s="1129">
        <f t="shared" si="198"/>
        <v>0</v>
      </c>
      <c r="BC22" s="499">
        <f t="shared" si="222"/>
        <v>0</v>
      </c>
      <c r="BD22" s="499">
        <f t="shared" si="222"/>
        <v>0</v>
      </c>
      <c r="BE22" s="499">
        <f t="shared" si="222"/>
        <v>0</v>
      </c>
      <c r="BF22" s="499">
        <f t="shared" si="128"/>
        <v>0</v>
      </c>
      <c r="BG22" s="499">
        <f t="shared" si="129"/>
        <v>0</v>
      </c>
      <c r="BH22" s="719">
        <f t="shared" si="129"/>
        <v>0</v>
      </c>
      <c r="BI22" s="1132">
        <f t="shared" si="202"/>
        <v>16</v>
      </c>
      <c r="BJ22" s="499">
        <f t="shared" si="223"/>
        <v>16</v>
      </c>
      <c r="BK22" s="499">
        <f t="shared" si="223"/>
        <v>16</v>
      </c>
      <c r="BL22" s="499">
        <f t="shared" si="223"/>
        <v>16</v>
      </c>
      <c r="BM22" s="499">
        <f t="shared" si="206"/>
        <v>16</v>
      </c>
      <c r="BN22" s="499">
        <f t="shared" si="207"/>
        <v>16</v>
      </c>
      <c r="BO22" s="720">
        <f t="shared" si="207"/>
        <v>16</v>
      </c>
      <c r="BP22" s="774">
        <f t="shared" si="224"/>
        <v>0</v>
      </c>
      <c r="BQ22" s="503">
        <f t="shared" si="224"/>
        <v>0</v>
      </c>
      <c r="BR22" s="503">
        <f t="shared" si="224"/>
        <v>0</v>
      </c>
      <c r="BS22" s="503">
        <f t="shared" si="224"/>
        <v>0</v>
      </c>
      <c r="BT22" s="503">
        <f t="shared" si="224"/>
        <v>0</v>
      </c>
      <c r="BU22" s="503">
        <f t="shared" si="224"/>
        <v>0</v>
      </c>
      <c r="BV22" s="776">
        <f t="shared" si="224"/>
        <v>0</v>
      </c>
      <c r="BW22" s="722">
        <f t="shared" si="208"/>
        <v>0</v>
      </c>
      <c r="BX22" s="511">
        <f t="shared" si="225"/>
        <v>0</v>
      </c>
      <c r="BY22" s="511">
        <f t="shared" si="225"/>
        <v>0</v>
      </c>
      <c r="BZ22" s="511">
        <f t="shared" si="225"/>
        <v>0</v>
      </c>
      <c r="CA22" s="511">
        <f t="shared" si="133"/>
        <v>0</v>
      </c>
      <c r="CB22" s="511">
        <f t="shared" si="134"/>
        <v>0</v>
      </c>
      <c r="CC22" s="723">
        <f t="shared" si="134"/>
        <v>0</v>
      </c>
      <c r="CD22" s="722">
        <f t="shared" si="209"/>
        <v>0.4</v>
      </c>
      <c r="CE22" s="511">
        <f t="shared" si="226"/>
        <v>0.4</v>
      </c>
      <c r="CF22" s="511">
        <f t="shared" si="226"/>
        <v>0.4</v>
      </c>
      <c r="CG22" s="511">
        <f t="shared" si="226"/>
        <v>0.4</v>
      </c>
      <c r="CH22" s="511">
        <f t="shared" si="138"/>
        <v>0.4</v>
      </c>
      <c r="CI22" s="511">
        <f t="shared" si="139"/>
        <v>0.4</v>
      </c>
      <c r="CJ22" s="723">
        <f t="shared" si="139"/>
        <v>0.4</v>
      </c>
      <c r="CK22" s="511">
        <f t="shared" si="210"/>
        <v>0</v>
      </c>
      <c r="CL22" s="511">
        <f t="shared" si="227"/>
        <v>0</v>
      </c>
      <c r="CM22" s="511">
        <f t="shared" si="227"/>
        <v>0</v>
      </c>
      <c r="CN22" s="511">
        <f t="shared" si="227"/>
        <v>0</v>
      </c>
      <c r="CO22" s="511">
        <f t="shared" si="143"/>
        <v>0</v>
      </c>
      <c r="CP22" s="511">
        <f t="shared" si="144"/>
        <v>0</v>
      </c>
      <c r="CQ22" s="539">
        <f t="shared" si="144"/>
        <v>0</v>
      </c>
      <c r="CR22" s="724">
        <f t="shared" si="145"/>
        <v>0</v>
      </c>
      <c r="CS22" s="508">
        <f t="shared" si="146"/>
        <v>0</v>
      </c>
      <c r="CT22" s="508">
        <f t="shared" si="147"/>
        <v>0</v>
      </c>
      <c r="CU22" s="508">
        <f t="shared" si="148"/>
        <v>0</v>
      </c>
      <c r="CV22" s="508">
        <f t="shared" si="149"/>
        <v>0</v>
      </c>
      <c r="CW22" s="508">
        <f t="shared" si="150"/>
        <v>0</v>
      </c>
      <c r="CX22" s="725">
        <f t="shared" si="151"/>
        <v>0</v>
      </c>
      <c r="CY22" s="724">
        <f t="shared" si="152"/>
        <v>0</v>
      </c>
      <c r="CZ22" s="508">
        <f t="shared" si="153"/>
        <v>0</v>
      </c>
      <c r="DA22" s="508">
        <f t="shared" si="154"/>
        <v>0</v>
      </c>
      <c r="DB22" s="508">
        <f t="shared" si="155"/>
        <v>0</v>
      </c>
      <c r="DC22" s="508">
        <f t="shared" si="156"/>
        <v>0</v>
      </c>
      <c r="DD22" s="508">
        <f t="shared" si="157"/>
        <v>0</v>
      </c>
      <c r="DE22" s="725">
        <f t="shared" si="158"/>
        <v>0</v>
      </c>
      <c r="DF22" s="509">
        <f t="shared" si="211"/>
        <v>2400</v>
      </c>
      <c r="DG22" s="508">
        <f t="shared" si="159"/>
        <v>2160</v>
      </c>
      <c r="DH22" s="508">
        <f t="shared" si="160"/>
        <v>1600</v>
      </c>
      <c r="DI22" s="508">
        <f t="shared" si="161"/>
        <v>800</v>
      </c>
      <c r="DJ22" s="508">
        <f t="shared" si="162"/>
        <v>0</v>
      </c>
      <c r="DK22" s="508">
        <f t="shared" si="163"/>
        <v>0</v>
      </c>
      <c r="DL22" s="726">
        <f t="shared" si="164"/>
        <v>0</v>
      </c>
      <c r="DM22" s="724">
        <f t="shared" si="165"/>
        <v>0</v>
      </c>
      <c r="DN22" s="508">
        <f t="shared" si="166"/>
        <v>0</v>
      </c>
      <c r="DO22" s="508">
        <f t="shared" si="167"/>
        <v>0</v>
      </c>
      <c r="DP22" s="508">
        <f t="shared" si="168"/>
        <v>0</v>
      </c>
      <c r="DQ22" s="508">
        <f t="shared" si="169"/>
        <v>0</v>
      </c>
      <c r="DR22" s="508">
        <f t="shared" si="170"/>
        <v>0</v>
      </c>
      <c r="DS22" s="725">
        <f t="shared" si="171"/>
        <v>0</v>
      </c>
      <c r="DT22" s="722">
        <f t="shared" si="172"/>
        <v>0</v>
      </c>
      <c r="DU22" s="511">
        <f t="shared" si="173"/>
        <v>0</v>
      </c>
      <c r="DV22" s="511">
        <f t="shared" si="174"/>
        <v>0</v>
      </c>
      <c r="DW22" s="511">
        <f t="shared" si="175"/>
        <v>0</v>
      </c>
      <c r="DX22" s="511">
        <f t="shared" si="176"/>
        <v>0</v>
      </c>
      <c r="DY22" s="511">
        <f t="shared" si="177"/>
        <v>0</v>
      </c>
      <c r="DZ22" s="723">
        <f t="shared" si="178"/>
        <v>0</v>
      </c>
      <c r="EA22" s="722">
        <f t="shared" si="179"/>
        <v>60</v>
      </c>
      <c r="EB22" s="511">
        <f t="shared" si="180"/>
        <v>54</v>
      </c>
      <c r="EC22" s="511">
        <f t="shared" si="181"/>
        <v>40</v>
      </c>
      <c r="ED22" s="511">
        <f t="shared" si="182"/>
        <v>20</v>
      </c>
      <c r="EE22" s="511">
        <f t="shared" si="183"/>
        <v>0</v>
      </c>
      <c r="EF22" s="511">
        <f t="shared" si="184"/>
        <v>0</v>
      </c>
      <c r="EG22" s="723">
        <f t="shared" si="185"/>
        <v>0</v>
      </c>
      <c r="EH22" s="507">
        <f t="shared" si="186"/>
        <v>0</v>
      </c>
      <c r="EI22" s="511">
        <f t="shared" si="187"/>
        <v>0</v>
      </c>
      <c r="EJ22" s="511">
        <f t="shared" si="188"/>
        <v>0</v>
      </c>
      <c r="EK22" s="511">
        <f t="shared" si="189"/>
        <v>0</v>
      </c>
      <c r="EL22" s="511">
        <f t="shared" si="190"/>
        <v>0</v>
      </c>
      <c r="EM22" s="511">
        <f t="shared" si="191"/>
        <v>0</v>
      </c>
      <c r="EN22" s="723">
        <f t="shared" si="192"/>
        <v>0</v>
      </c>
      <c r="EO22" s="727">
        <f t="shared" si="212"/>
        <v>62.142857142857146</v>
      </c>
      <c r="EP22" s="728">
        <f t="shared" si="213"/>
        <v>0</v>
      </c>
      <c r="EQ22" s="728">
        <f t="shared" si="214"/>
        <v>0</v>
      </c>
      <c r="ER22" s="728">
        <f t="shared" si="215"/>
        <v>6960</v>
      </c>
      <c r="ES22" s="728">
        <f t="shared" si="216"/>
        <v>0</v>
      </c>
      <c r="ET22" s="777">
        <f t="shared" si="217"/>
        <v>0</v>
      </c>
      <c r="EU22" s="777">
        <f t="shared" si="218"/>
        <v>60</v>
      </c>
      <c r="EV22" s="778">
        <f t="shared" si="219"/>
        <v>0</v>
      </c>
      <c r="FB22" s="135"/>
      <c r="FC22" s="135"/>
      <c r="FD22" s="135"/>
    </row>
    <row r="23" spans="1:160" s="10" customFormat="1" ht="12.5">
      <c r="A23" s="1036"/>
      <c r="B23" s="1139"/>
      <c r="C23" s="1151"/>
      <c r="D23" s="1038"/>
      <c r="E23" s="1139"/>
      <c r="F23" s="1039"/>
      <c r="G23" s="1039"/>
      <c r="H23" s="1039"/>
      <c r="I23" s="1041"/>
      <c r="J23" s="1041"/>
      <c r="K23" s="1041"/>
      <c r="L23" s="1048"/>
      <c r="M23" s="1140"/>
      <c r="N23" s="1140"/>
      <c r="O23" s="1141"/>
      <c r="P23" s="1141"/>
      <c r="Q23" s="1038"/>
      <c r="R23" s="1142"/>
      <c r="S23" s="1038"/>
      <c r="T23" s="1048"/>
      <c r="U23" s="1046"/>
      <c r="V23" s="1143"/>
      <c r="W23" s="1047"/>
      <c r="X23" s="1047"/>
      <c r="Y23" s="1047"/>
      <c r="Z23" s="1047"/>
      <c r="AA23" s="1047"/>
      <c r="AB23" s="1047"/>
      <c r="AC23" s="1047"/>
      <c r="AD23" s="1048"/>
      <c r="AE23" s="1048"/>
      <c r="AF23" s="1048"/>
      <c r="AG23" s="1048"/>
      <c r="AH23" s="1048"/>
      <c r="AI23" s="1048"/>
      <c r="AJ23" s="1048"/>
      <c r="AK23" s="1048"/>
      <c r="AL23" s="1038"/>
      <c r="AM23" s="1038"/>
      <c r="AN23" s="1038"/>
      <c r="AO23" s="1048"/>
      <c r="AP23" s="1048"/>
      <c r="AQ23" s="1048"/>
      <c r="AR23" s="1049"/>
      <c r="AS23" s="1049"/>
      <c r="AT23" s="1050"/>
      <c r="AU23" s="1051"/>
      <c r="AV23" s="1052"/>
      <c r="AW23" s="1052"/>
      <c r="AX23" s="1052"/>
      <c r="AY23" s="1052"/>
      <c r="AZ23" s="1052"/>
      <c r="BA23" s="1144"/>
      <c r="BB23" s="1051"/>
      <c r="BC23" s="1052"/>
      <c r="BD23" s="1052"/>
      <c r="BE23" s="1052"/>
      <c r="BF23" s="1052"/>
      <c r="BG23" s="1052"/>
      <c r="BH23" s="1144"/>
      <c r="BI23" s="1145"/>
      <c r="BJ23" s="1052"/>
      <c r="BK23" s="1052"/>
      <c r="BL23" s="1052"/>
      <c r="BM23" s="1052"/>
      <c r="BN23" s="1052"/>
      <c r="BO23" s="1146"/>
      <c r="BP23" s="1051"/>
      <c r="BQ23" s="1052"/>
      <c r="BR23" s="1052"/>
      <c r="BS23" s="1052"/>
      <c r="BT23" s="1052"/>
      <c r="BU23" s="1052"/>
      <c r="BV23" s="1144"/>
      <c r="BW23" s="1053"/>
      <c r="BX23" s="1054"/>
      <c r="BY23" s="1054"/>
      <c r="BZ23" s="1054"/>
      <c r="CA23" s="1054"/>
      <c r="CB23" s="1054"/>
      <c r="CC23" s="1060"/>
      <c r="CD23" s="1053"/>
      <c r="CE23" s="1054"/>
      <c r="CF23" s="1054"/>
      <c r="CG23" s="1054"/>
      <c r="CH23" s="1054"/>
      <c r="CI23" s="1054"/>
      <c r="CJ23" s="1060"/>
      <c r="CK23" s="1054"/>
      <c r="CL23" s="1054"/>
      <c r="CM23" s="1054"/>
      <c r="CN23" s="1054"/>
      <c r="CO23" s="1054"/>
      <c r="CP23" s="1054"/>
      <c r="CQ23" s="1055"/>
      <c r="CR23" s="1056"/>
      <c r="CS23" s="1057"/>
      <c r="CT23" s="1057"/>
      <c r="CU23" s="1057"/>
      <c r="CV23" s="1057"/>
      <c r="CW23" s="1057"/>
      <c r="CX23" s="1147"/>
      <c r="CY23" s="1056"/>
      <c r="CZ23" s="1057"/>
      <c r="DA23" s="1057"/>
      <c r="DB23" s="1057"/>
      <c r="DC23" s="1057"/>
      <c r="DD23" s="1057"/>
      <c r="DE23" s="1147"/>
      <c r="DF23" s="1059"/>
      <c r="DG23" s="1057"/>
      <c r="DH23" s="1057"/>
      <c r="DI23" s="1057"/>
      <c r="DJ23" s="1057"/>
      <c r="DK23" s="1057"/>
      <c r="DL23" s="1058"/>
      <c r="DM23" s="1056"/>
      <c r="DN23" s="1057"/>
      <c r="DO23" s="1057"/>
      <c r="DP23" s="1057"/>
      <c r="DQ23" s="1057"/>
      <c r="DR23" s="1057"/>
      <c r="DS23" s="1147"/>
      <c r="DT23" s="1053"/>
      <c r="DU23" s="1054"/>
      <c r="DV23" s="1054"/>
      <c r="DW23" s="1054"/>
      <c r="DX23" s="1054"/>
      <c r="DY23" s="1054"/>
      <c r="DZ23" s="1060"/>
      <c r="EA23" s="1053"/>
      <c r="EB23" s="1054"/>
      <c r="EC23" s="1054"/>
      <c r="ED23" s="1054"/>
      <c r="EE23" s="1054"/>
      <c r="EF23" s="1054"/>
      <c r="EG23" s="1060"/>
      <c r="EH23" s="1148"/>
      <c r="EI23" s="1054"/>
      <c r="EJ23" s="1054"/>
      <c r="EK23" s="1054"/>
      <c r="EL23" s="1054"/>
      <c r="EM23" s="1054"/>
      <c r="EN23" s="1060"/>
      <c r="EO23" s="1061"/>
      <c r="EP23" s="1062"/>
      <c r="EQ23" s="1062"/>
      <c r="ER23" s="1062"/>
      <c r="ES23" s="1062"/>
      <c r="ET23" s="1063"/>
      <c r="EU23" s="1063"/>
      <c r="EV23" s="1054"/>
    </row>
    <row r="24" spans="1:160" s="10" customFormat="1" ht="12.5">
      <c r="A24" s="661" t="s">
        <v>172</v>
      </c>
      <c r="B24" s="789" t="s">
        <v>1544</v>
      </c>
      <c r="C24" s="662" t="s">
        <v>1513</v>
      </c>
      <c r="D24" s="715" t="s">
        <v>1514</v>
      </c>
      <c r="E24" s="703" t="s">
        <v>1515</v>
      </c>
      <c r="F24" s="1134" t="s">
        <v>402</v>
      </c>
      <c r="G24" s="1134">
        <v>0</v>
      </c>
      <c r="H24" s="704">
        <v>0</v>
      </c>
      <c r="I24" s="704">
        <f>G24+H24</f>
        <v>0</v>
      </c>
      <c r="J24" s="1121">
        <v>0</v>
      </c>
      <c r="K24" s="704" t="s">
        <v>378</v>
      </c>
      <c r="L24" s="1121" t="s">
        <v>378</v>
      </c>
      <c r="M24" s="1122">
        <v>20</v>
      </c>
      <c r="N24" s="1122">
        <f>N6</f>
        <v>0</v>
      </c>
      <c r="O24" s="707">
        <v>0</v>
      </c>
      <c r="P24" s="707">
        <v>0</v>
      </c>
      <c r="Q24" s="715">
        <v>0</v>
      </c>
      <c r="R24" s="1123">
        <v>0.7</v>
      </c>
      <c r="S24" s="715">
        <v>0</v>
      </c>
      <c r="T24" s="711" t="s">
        <v>1516</v>
      </c>
      <c r="U24" s="1124">
        <v>-0.1</v>
      </c>
      <c r="V24" s="1149">
        <v>1</v>
      </c>
      <c r="W24" s="781">
        <f t="shared" ref="W24:AC31" si="228">W6*0.5</f>
        <v>69600</v>
      </c>
      <c r="X24" s="781">
        <f>X6*0.5</f>
        <v>62600</v>
      </c>
      <c r="Y24" s="781">
        <f t="shared" si="228"/>
        <v>56300</v>
      </c>
      <c r="Z24" s="781">
        <f t="shared" si="228"/>
        <v>50650</v>
      </c>
      <c r="AA24" s="781">
        <f t="shared" si="228"/>
        <v>45550</v>
      </c>
      <c r="AB24" s="781">
        <f t="shared" si="228"/>
        <v>40950</v>
      </c>
      <c r="AC24" s="781">
        <f t="shared" si="228"/>
        <v>36850</v>
      </c>
      <c r="AD24" s="711" t="s">
        <v>384</v>
      </c>
      <c r="AE24" s="1126" t="s">
        <v>375</v>
      </c>
      <c r="AF24" s="711" t="s">
        <v>376</v>
      </c>
      <c r="AG24" s="711" t="s">
        <v>454</v>
      </c>
      <c r="AH24" s="711" t="s">
        <v>1</v>
      </c>
      <c r="AI24" s="711" t="s">
        <v>378</v>
      </c>
      <c r="AJ24" s="711" t="s">
        <v>378</v>
      </c>
      <c r="AK24" s="711" t="s">
        <v>378</v>
      </c>
      <c r="AL24" s="715" t="s">
        <v>406</v>
      </c>
      <c r="AM24" s="715" t="s">
        <v>380</v>
      </c>
      <c r="AN24" s="715" t="s">
        <v>381</v>
      </c>
      <c r="AO24" s="711">
        <v>1</v>
      </c>
      <c r="AP24" s="711">
        <v>1</v>
      </c>
      <c r="AQ24" s="711" t="s">
        <v>1517</v>
      </c>
      <c r="AR24" s="716">
        <v>1</v>
      </c>
      <c r="AS24" s="716">
        <v>1</v>
      </c>
      <c r="AT24" s="717">
        <v>0</v>
      </c>
      <c r="AU24" s="1129">
        <f>I24</f>
        <v>0</v>
      </c>
      <c r="AV24" s="499">
        <f t="shared" si="195"/>
        <v>0</v>
      </c>
      <c r="AW24" s="499">
        <f t="shared" si="196"/>
        <v>0</v>
      </c>
      <c r="AX24" s="499">
        <f t="shared" si="197"/>
        <v>0</v>
      </c>
      <c r="AY24" s="499">
        <f t="shared" ref="AY24:AY31" si="229">AV24</f>
        <v>0</v>
      </c>
      <c r="AZ24" s="499">
        <f t="shared" ref="AZ24:BA31" si="230">AW24</f>
        <v>0</v>
      </c>
      <c r="BA24" s="719">
        <f t="shared" si="230"/>
        <v>0</v>
      </c>
      <c r="BB24" s="1129">
        <f>J24</f>
        <v>0</v>
      </c>
      <c r="BC24" s="499">
        <f t="shared" si="199"/>
        <v>0</v>
      </c>
      <c r="BD24" s="499">
        <f t="shared" si="200"/>
        <v>0</v>
      </c>
      <c r="BE24" s="499">
        <f t="shared" si="201"/>
        <v>0</v>
      </c>
      <c r="BF24" s="499">
        <f t="shared" ref="BF24:BF31" si="231">BE24</f>
        <v>0</v>
      </c>
      <c r="BG24" s="499">
        <f t="shared" ref="BG24:BH31" si="232">BF24</f>
        <v>0</v>
      </c>
      <c r="BH24" s="719">
        <f t="shared" si="232"/>
        <v>0</v>
      </c>
      <c r="BI24" s="1132">
        <f>5*2</f>
        <v>10</v>
      </c>
      <c r="BJ24" s="1130">
        <f>5*2</f>
        <v>10</v>
      </c>
      <c r="BK24" s="1130">
        <f>5*2</f>
        <v>10</v>
      </c>
      <c r="BL24" s="1130">
        <f>5*5</f>
        <v>25</v>
      </c>
      <c r="BM24" s="1130">
        <f>5*20</f>
        <v>100</v>
      </c>
      <c r="BN24" s="1130">
        <f>5*20</f>
        <v>100</v>
      </c>
      <c r="BO24" s="1130">
        <f>5*20</f>
        <v>100</v>
      </c>
      <c r="BP24" s="774">
        <f t="shared" ref="BP24:BV31" si="233">$P24</f>
        <v>0</v>
      </c>
      <c r="BQ24" s="503">
        <f t="shared" si="233"/>
        <v>0</v>
      </c>
      <c r="BR24" s="503">
        <f t="shared" si="233"/>
        <v>0</v>
      </c>
      <c r="BS24" s="503">
        <f t="shared" si="233"/>
        <v>0</v>
      </c>
      <c r="BT24" s="503">
        <f t="shared" si="233"/>
        <v>0</v>
      </c>
      <c r="BU24" s="503">
        <f t="shared" si="233"/>
        <v>0</v>
      </c>
      <c r="BV24" s="776">
        <f t="shared" si="233"/>
        <v>0</v>
      </c>
      <c r="BW24" s="722">
        <f>Q24*AS24</f>
        <v>0</v>
      </c>
      <c r="BX24" s="511">
        <f t="shared" ref="BX24:BX29" si="234">BW24</f>
        <v>0</v>
      </c>
      <c r="BY24" s="511">
        <f t="shared" ref="BY24:BY29" si="235">BX24</f>
        <v>0</v>
      </c>
      <c r="BZ24" s="511">
        <f t="shared" ref="BZ24:BZ29" si="236">BY24</f>
        <v>0</v>
      </c>
      <c r="CA24" s="511">
        <f t="shared" ref="CA24:CA31" si="237">BZ24</f>
        <v>0</v>
      </c>
      <c r="CB24" s="511">
        <f t="shared" ref="CB24:CC31" si="238">CA24</f>
        <v>0</v>
      </c>
      <c r="CC24" s="723">
        <f t="shared" si="238"/>
        <v>0</v>
      </c>
      <c r="CD24" s="722">
        <f>R24*AS24</f>
        <v>0.7</v>
      </c>
      <c r="CE24" s="511">
        <f t="shared" ref="CE24:CE29" si="239">CD24</f>
        <v>0.7</v>
      </c>
      <c r="CF24" s="511">
        <f t="shared" ref="CF24:CF29" si="240">CE24</f>
        <v>0.7</v>
      </c>
      <c r="CG24" s="511">
        <f t="shared" ref="CG24:CG29" si="241">CF24</f>
        <v>0.7</v>
      </c>
      <c r="CH24" s="511">
        <f t="shared" ref="CH24:CH31" si="242">CG24</f>
        <v>0.7</v>
      </c>
      <c r="CI24" s="511">
        <f t="shared" ref="CI24:CJ31" si="243">CH24</f>
        <v>0.7</v>
      </c>
      <c r="CJ24" s="723">
        <f t="shared" si="243"/>
        <v>0.7</v>
      </c>
      <c r="CK24" s="511">
        <f>S24*AT24</f>
        <v>0</v>
      </c>
      <c r="CL24" s="511">
        <f t="shared" ref="CL24:CL29" si="244">CK24</f>
        <v>0</v>
      </c>
      <c r="CM24" s="511">
        <f t="shared" ref="CM24:CM29" si="245">CL24</f>
        <v>0</v>
      </c>
      <c r="CN24" s="511">
        <f t="shared" ref="CN24:CN29" si="246">CM24</f>
        <v>0</v>
      </c>
      <c r="CO24" s="511">
        <f t="shared" ref="CO24:CO31" si="247">CN24</f>
        <v>0</v>
      </c>
      <c r="CP24" s="511">
        <f t="shared" ref="CP24:CQ31" si="248">CO24</f>
        <v>0</v>
      </c>
      <c r="CQ24" s="539">
        <f t="shared" si="248"/>
        <v>0</v>
      </c>
      <c r="CR24" s="724">
        <f t="shared" ref="CR24:CR31" si="249">W24*AU24</f>
        <v>0</v>
      </c>
      <c r="CS24" s="508">
        <f t="shared" ref="CS24:CS31" si="250">X24*AV24</f>
        <v>0</v>
      </c>
      <c r="CT24" s="508">
        <f t="shared" ref="CT24:CT31" si="251">Y24*AW24</f>
        <v>0</v>
      </c>
      <c r="CU24" s="508">
        <f t="shared" ref="CU24:CU31" si="252">Z24*AX24</f>
        <v>0</v>
      </c>
      <c r="CV24" s="508">
        <f t="shared" ref="CV24:CV31" si="253">AA24*AY24</f>
        <v>0</v>
      </c>
      <c r="CW24" s="508">
        <f t="shared" ref="CW24:CW31" si="254">AB24*AZ24</f>
        <v>0</v>
      </c>
      <c r="CX24" s="725">
        <f t="shared" ref="CX24:CX31" si="255">AC24*BA24</f>
        <v>0</v>
      </c>
      <c r="CY24" s="724">
        <f t="shared" ref="CY24:CY31" si="256">W24*BB24</f>
        <v>0</v>
      </c>
      <c r="CZ24" s="508">
        <f t="shared" ref="CZ24:CZ31" si="257">X24*BC24</f>
        <v>0</v>
      </c>
      <c r="DA24" s="508">
        <f t="shared" ref="DA24:DA31" si="258">Y24*BD24</f>
        <v>0</v>
      </c>
      <c r="DB24" s="508">
        <f t="shared" ref="DB24:DB31" si="259">Z24*BE24</f>
        <v>0</v>
      </c>
      <c r="DC24" s="508">
        <f t="shared" ref="DC24:DC31" si="260">AA24*BF24</f>
        <v>0</v>
      </c>
      <c r="DD24" s="508">
        <f t="shared" ref="DD24:DD31" si="261">AB24*BG24</f>
        <v>0</v>
      </c>
      <c r="DE24" s="725">
        <f t="shared" ref="DE24:DE31" si="262">AC24*BH24</f>
        <v>0</v>
      </c>
      <c r="DF24" s="509">
        <f t="shared" ref="DF24:DF31" si="263">W24*BI24</f>
        <v>696000</v>
      </c>
      <c r="DG24" s="508">
        <f t="shared" ref="DG24:DG31" si="264">X24*BJ24</f>
        <v>626000</v>
      </c>
      <c r="DH24" s="508">
        <f t="shared" ref="DH24:DH31" si="265">Y24*BK24</f>
        <v>563000</v>
      </c>
      <c r="DI24" s="508">
        <f t="shared" ref="DI24:DI31" si="266">Z24*BL24</f>
        <v>1266250</v>
      </c>
      <c r="DJ24" s="508">
        <f t="shared" ref="DJ24:DJ31" si="267">AA24*BM24</f>
        <v>4555000</v>
      </c>
      <c r="DK24" s="508">
        <f t="shared" ref="DK24:DK31" si="268">AB24*BN24</f>
        <v>4095000</v>
      </c>
      <c r="DL24" s="726">
        <f t="shared" ref="DL24:DL31" si="269">AC24*BO24</f>
        <v>3685000</v>
      </c>
      <c r="DM24" s="724">
        <f t="shared" ref="DM24:DM31" si="270">BP24*W24</f>
        <v>0</v>
      </c>
      <c r="DN24" s="508">
        <f t="shared" ref="DN24:DN31" si="271">BQ24*X24</f>
        <v>0</v>
      </c>
      <c r="DO24" s="508">
        <f t="shared" ref="DO24:DO31" si="272">BR24*Y24</f>
        <v>0</v>
      </c>
      <c r="DP24" s="508">
        <f t="shared" ref="DP24:DP31" si="273">BS24*Z24</f>
        <v>0</v>
      </c>
      <c r="DQ24" s="508">
        <f t="shared" ref="DQ24:DQ31" si="274">BT24*AA24</f>
        <v>0</v>
      </c>
      <c r="DR24" s="508">
        <f t="shared" ref="DR24:DR31" si="275">BU24*AB24</f>
        <v>0</v>
      </c>
      <c r="DS24" s="725">
        <f t="shared" ref="DS24:DS31" si="276">BV24*AC24</f>
        <v>0</v>
      </c>
      <c r="DT24" s="722">
        <f t="shared" ref="DT24:DT31" si="277">W24*BW24</f>
        <v>0</v>
      </c>
      <c r="DU24" s="511">
        <f t="shared" ref="DU24:DU31" si="278">X24*BX24</f>
        <v>0</v>
      </c>
      <c r="DV24" s="511">
        <f t="shared" ref="DV24:DV31" si="279">Y24*BY24</f>
        <v>0</v>
      </c>
      <c r="DW24" s="511">
        <f t="shared" ref="DW24:DW31" si="280">Z24*BZ24</f>
        <v>0</v>
      </c>
      <c r="DX24" s="511">
        <f t="shared" ref="DX24:DX31" si="281">AA24*CA24</f>
        <v>0</v>
      </c>
      <c r="DY24" s="511">
        <f t="shared" ref="DY24:DY31" si="282">AB24*CB24</f>
        <v>0</v>
      </c>
      <c r="DZ24" s="723">
        <f t="shared" ref="DZ24:DZ31" si="283">AC24*CC24</f>
        <v>0</v>
      </c>
      <c r="EA24" s="722">
        <f t="shared" ref="EA24:EA31" si="284">W24*CD24</f>
        <v>48720</v>
      </c>
      <c r="EB24" s="511">
        <f t="shared" ref="EB24:EB31" si="285">X24*CE24</f>
        <v>43820</v>
      </c>
      <c r="EC24" s="511">
        <f t="shared" ref="EC24:EC31" si="286">Y24*CF24</f>
        <v>39410</v>
      </c>
      <c r="ED24" s="511">
        <f t="shared" ref="ED24:ED31" si="287">Z24*CG24</f>
        <v>35455</v>
      </c>
      <c r="EE24" s="511">
        <f t="shared" ref="EE24:EE31" si="288">AA24*CH24</f>
        <v>31884.999999999996</v>
      </c>
      <c r="EF24" s="511">
        <f t="shared" ref="EF24:EF31" si="289">AB24*CI24</f>
        <v>28665</v>
      </c>
      <c r="EG24" s="723">
        <f t="shared" ref="EG24:EG31" si="290">AC24*CJ24</f>
        <v>25795</v>
      </c>
      <c r="EH24" s="507">
        <f t="shared" ref="EH24:EH31" si="291">W24*CK24</f>
        <v>0</v>
      </c>
      <c r="EI24" s="511">
        <f t="shared" ref="EI24:EI31" si="292">X24*CL24</f>
        <v>0</v>
      </c>
      <c r="EJ24" s="511">
        <f t="shared" ref="EJ24:EJ31" si="293">Y24*CM24</f>
        <v>0</v>
      </c>
      <c r="EK24" s="511">
        <f t="shared" ref="EK24:EK31" si="294">Z24*CN24</f>
        <v>0</v>
      </c>
      <c r="EL24" s="511">
        <f t="shared" ref="EL24:EL31" si="295">AA24*CO24</f>
        <v>0</v>
      </c>
      <c r="EM24" s="511">
        <f t="shared" ref="EM24:EM31" si="296">AB24*CP24</f>
        <v>0</v>
      </c>
      <c r="EN24" s="723">
        <f t="shared" ref="EN24:EN31" si="297">AC24*CQ24</f>
        <v>0</v>
      </c>
      <c r="EO24" s="727">
        <f>AVERAGE(W24:AC24)</f>
        <v>51785.714285714283</v>
      </c>
      <c r="EP24" s="728">
        <f>SUM(CR24:CX24)</f>
        <v>0</v>
      </c>
      <c r="EQ24" s="728">
        <f>SUM(CY24:DE24)</f>
        <v>0</v>
      </c>
      <c r="ER24" s="728">
        <f>SUM(DF24:DL24)</f>
        <v>15486250</v>
      </c>
      <c r="ES24" s="728">
        <f>SUM(DM24:DS24)</f>
        <v>0</v>
      </c>
      <c r="ET24" s="777">
        <f>DZ24</f>
        <v>0</v>
      </c>
      <c r="EU24" s="777">
        <f>MAX(EA24:EG24)</f>
        <v>48720</v>
      </c>
      <c r="EV24" s="778">
        <f>SUM(EH24:EN24)</f>
        <v>0</v>
      </c>
    </row>
    <row r="25" spans="1:160" s="10" customFormat="1" ht="12.5">
      <c r="A25" s="661" t="s">
        <v>174</v>
      </c>
      <c r="B25" s="789" t="s">
        <v>1545</v>
      </c>
      <c r="C25" s="662" t="s">
        <v>1519</v>
      </c>
      <c r="D25" s="715" t="s">
        <v>1514</v>
      </c>
      <c r="E25" s="703" t="s">
        <v>1515</v>
      </c>
      <c r="F25" s="1134" t="s">
        <v>402</v>
      </c>
      <c r="G25" s="1134">
        <v>0</v>
      </c>
      <c r="H25" s="1134">
        <v>0</v>
      </c>
      <c r="I25" s="704">
        <f t="shared" ref="I25:I29" si="298">G25+H25</f>
        <v>0</v>
      </c>
      <c r="J25" s="1121">
        <v>0</v>
      </c>
      <c r="K25" s="704" t="s">
        <v>378</v>
      </c>
      <c r="L25" s="1121" t="s">
        <v>378</v>
      </c>
      <c r="M25" s="1122">
        <v>8</v>
      </c>
      <c r="N25" s="1122">
        <f t="shared" ref="N25:N31" si="299">N7</f>
        <v>80</v>
      </c>
      <c r="O25" s="1134">
        <v>0</v>
      </c>
      <c r="P25" s="1134">
        <v>0</v>
      </c>
      <c r="Q25" s="715">
        <v>0</v>
      </c>
      <c r="R25" s="1135">
        <v>0.4</v>
      </c>
      <c r="S25" s="715">
        <v>0</v>
      </c>
      <c r="T25" s="711" t="s">
        <v>1516</v>
      </c>
      <c r="U25" s="1124">
        <v>-0.1</v>
      </c>
      <c r="V25" s="1149">
        <v>1</v>
      </c>
      <c r="W25" s="781">
        <f t="shared" si="228"/>
        <v>3800</v>
      </c>
      <c r="X25" s="781">
        <f>X7*0.5</f>
        <v>3400</v>
      </c>
      <c r="Y25" s="781">
        <f t="shared" si="228"/>
        <v>3050</v>
      </c>
      <c r="Z25" s="781">
        <f t="shared" si="228"/>
        <v>2700</v>
      </c>
      <c r="AA25" s="781">
        <f t="shared" si="228"/>
        <v>2400</v>
      </c>
      <c r="AB25" s="781">
        <f t="shared" si="228"/>
        <v>2150</v>
      </c>
      <c r="AC25" s="781">
        <f t="shared" si="228"/>
        <v>1900</v>
      </c>
      <c r="AD25" s="711" t="s">
        <v>384</v>
      </c>
      <c r="AE25" s="1126" t="s">
        <v>375</v>
      </c>
      <c r="AF25" s="711" t="s">
        <v>376</v>
      </c>
      <c r="AG25" s="711" t="s">
        <v>753</v>
      </c>
      <c r="AH25" s="711" t="s">
        <v>1</v>
      </c>
      <c r="AI25" s="711" t="s">
        <v>378</v>
      </c>
      <c r="AJ25" s="711" t="s">
        <v>378</v>
      </c>
      <c r="AK25" s="711" t="s">
        <v>378</v>
      </c>
      <c r="AL25" s="715" t="s">
        <v>943</v>
      </c>
      <c r="AM25" s="715" t="s">
        <v>380</v>
      </c>
      <c r="AN25" s="715" t="s">
        <v>381</v>
      </c>
      <c r="AO25" s="711">
        <v>1</v>
      </c>
      <c r="AP25" s="711">
        <v>1</v>
      </c>
      <c r="AQ25" s="711" t="s">
        <v>1517</v>
      </c>
      <c r="AR25" s="716">
        <v>1</v>
      </c>
      <c r="AS25" s="716">
        <v>1</v>
      </c>
      <c r="AT25" s="717">
        <v>0</v>
      </c>
      <c r="AU25" s="1129">
        <f t="shared" ref="AU25:AU31" si="300">I25</f>
        <v>0</v>
      </c>
      <c r="AV25" s="499">
        <f t="shared" ref="AV25:AV29" si="301">AU25</f>
        <v>0</v>
      </c>
      <c r="AW25" s="499">
        <f t="shared" ref="AW25:AW29" si="302">AV25</f>
        <v>0</v>
      </c>
      <c r="AX25" s="499">
        <f t="shared" ref="AX25:AX29" si="303">AU25</f>
        <v>0</v>
      </c>
      <c r="AY25" s="499">
        <f t="shared" si="229"/>
        <v>0</v>
      </c>
      <c r="AZ25" s="499">
        <f t="shared" si="230"/>
        <v>0</v>
      </c>
      <c r="BA25" s="719">
        <f t="shared" si="230"/>
        <v>0</v>
      </c>
      <c r="BB25" s="1129">
        <f t="shared" ref="BB25:BB31" si="304">J25</f>
        <v>0</v>
      </c>
      <c r="BC25" s="499">
        <f t="shared" ref="BC25:BC29" si="305">BB25</f>
        <v>0</v>
      </c>
      <c r="BD25" s="499">
        <f t="shared" ref="BD25:BD29" si="306">BC25</f>
        <v>0</v>
      </c>
      <c r="BE25" s="499">
        <f t="shared" ref="BE25:BE29" si="307">BD25</f>
        <v>0</v>
      </c>
      <c r="BF25" s="499">
        <f t="shared" si="231"/>
        <v>0</v>
      </c>
      <c r="BG25" s="499">
        <f t="shared" si="232"/>
        <v>0</v>
      </c>
      <c r="BH25" s="719">
        <f t="shared" si="232"/>
        <v>0</v>
      </c>
      <c r="BI25" s="1132">
        <f t="shared" ref="BI25:BI31" si="308">N25+O25</f>
        <v>80</v>
      </c>
      <c r="BJ25" s="499">
        <f t="shared" ref="BJ25:BJ29" si="309">BI25</f>
        <v>80</v>
      </c>
      <c r="BK25" s="499">
        <f t="shared" ref="BK25:BK29" si="310">BJ25</f>
        <v>80</v>
      </c>
      <c r="BL25" s="499">
        <f t="shared" ref="BL25:BL29" si="311">BK25</f>
        <v>80</v>
      </c>
      <c r="BM25" s="499">
        <f t="shared" ref="BM25:BM31" si="312">BL25</f>
        <v>80</v>
      </c>
      <c r="BN25" s="499">
        <f t="shared" ref="BN25:BO31" si="313">BM25</f>
        <v>80</v>
      </c>
      <c r="BO25" s="720">
        <f t="shared" si="313"/>
        <v>80</v>
      </c>
      <c r="BP25" s="774">
        <f t="shared" si="233"/>
        <v>0</v>
      </c>
      <c r="BQ25" s="503">
        <f t="shared" si="233"/>
        <v>0</v>
      </c>
      <c r="BR25" s="503">
        <f t="shared" si="233"/>
        <v>0</v>
      </c>
      <c r="BS25" s="503">
        <f t="shared" si="233"/>
        <v>0</v>
      </c>
      <c r="BT25" s="503">
        <f t="shared" si="233"/>
        <v>0</v>
      </c>
      <c r="BU25" s="503">
        <f t="shared" si="233"/>
        <v>0</v>
      </c>
      <c r="BV25" s="776">
        <f t="shared" si="233"/>
        <v>0</v>
      </c>
      <c r="BW25" s="722">
        <f t="shared" ref="BW25:BW31" si="314">Q25*AS25</f>
        <v>0</v>
      </c>
      <c r="BX25" s="511">
        <f t="shared" si="234"/>
        <v>0</v>
      </c>
      <c r="BY25" s="511">
        <f t="shared" si="235"/>
        <v>0</v>
      </c>
      <c r="BZ25" s="511">
        <f t="shared" si="236"/>
        <v>0</v>
      </c>
      <c r="CA25" s="511">
        <f t="shared" si="237"/>
        <v>0</v>
      </c>
      <c r="CB25" s="511">
        <f t="shared" si="238"/>
        <v>0</v>
      </c>
      <c r="CC25" s="723">
        <f t="shared" si="238"/>
        <v>0</v>
      </c>
      <c r="CD25" s="722">
        <f t="shared" ref="CD25:CD31" si="315">R25*AS25</f>
        <v>0.4</v>
      </c>
      <c r="CE25" s="511">
        <f t="shared" si="239"/>
        <v>0.4</v>
      </c>
      <c r="CF25" s="511">
        <f t="shared" si="240"/>
        <v>0.4</v>
      </c>
      <c r="CG25" s="511">
        <f t="shared" si="241"/>
        <v>0.4</v>
      </c>
      <c r="CH25" s="511">
        <f t="shared" si="242"/>
        <v>0.4</v>
      </c>
      <c r="CI25" s="511">
        <f t="shared" si="243"/>
        <v>0.4</v>
      </c>
      <c r="CJ25" s="723">
        <f t="shared" si="243"/>
        <v>0.4</v>
      </c>
      <c r="CK25" s="511">
        <f t="shared" ref="CK25:CK31" si="316">S25*AT25</f>
        <v>0</v>
      </c>
      <c r="CL25" s="511">
        <f t="shared" si="244"/>
        <v>0</v>
      </c>
      <c r="CM25" s="511">
        <f t="shared" si="245"/>
        <v>0</v>
      </c>
      <c r="CN25" s="511">
        <f t="shared" si="246"/>
        <v>0</v>
      </c>
      <c r="CO25" s="511">
        <f t="shared" si="247"/>
        <v>0</v>
      </c>
      <c r="CP25" s="511">
        <f t="shared" si="248"/>
        <v>0</v>
      </c>
      <c r="CQ25" s="539">
        <f t="shared" si="248"/>
        <v>0</v>
      </c>
      <c r="CR25" s="724">
        <f t="shared" si="249"/>
        <v>0</v>
      </c>
      <c r="CS25" s="508">
        <f t="shared" si="250"/>
        <v>0</v>
      </c>
      <c r="CT25" s="508">
        <f t="shared" si="251"/>
        <v>0</v>
      </c>
      <c r="CU25" s="508">
        <f t="shared" si="252"/>
        <v>0</v>
      </c>
      <c r="CV25" s="508">
        <f t="shared" si="253"/>
        <v>0</v>
      </c>
      <c r="CW25" s="508">
        <f t="shared" si="254"/>
        <v>0</v>
      </c>
      <c r="CX25" s="725">
        <f t="shared" si="255"/>
        <v>0</v>
      </c>
      <c r="CY25" s="724">
        <f t="shared" si="256"/>
        <v>0</v>
      </c>
      <c r="CZ25" s="508">
        <f t="shared" si="257"/>
        <v>0</v>
      </c>
      <c r="DA25" s="508">
        <f t="shared" si="258"/>
        <v>0</v>
      </c>
      <c r="DB25" s="508">
        <f t="shared" si="259"/>
        <v>0</v>
      </c>
      <c r="DC25" s="508">
        <f t="shared" si="260"/>
        <v>0</v>
      </c>
      <c r="DD25" s="508">
        <f t="shared" si="261"/>
        <v>0</v>
      </c>
      <c r="DE25" s="725">
        <f t="shared" si="262"/>
        <v>0</v>
      </c>
      <c r="DF25" s="509">
        <f t="shared" si="263"/>
        <v>304000</v>
      </c>
      <c r="DG25" s="508">
        <f t="shared" si="264"/>
        <v>272000</v>
      </c>
      <c r="DH25" s="508">
        <f t="shared" si="265"/>
        <v>244000</v>
      </c>
      <c r="DI25" s="508">
        <f t="shared" si="266"/>
        <v>216000</v>
      </c>
      <c r="DJ25" s="508">
        <f t="shared" si="267"/>
        <v>192000</v>
      </c>
      <c r="DK25" s="508">
        <f t="shared" si="268"/>
        <v>172000</v>
      </c>
      <c r="DL25" s="726">
        <f t="shared" si="269"/>
        <v>152000</v>
      </c>
      <c r="DM25" s="724">
        <f t="shared" si="270"/>
        <v>0</v>
      </c>
      <c r="DN25" s="508">
        <f t="shared" si="271"/>
        <v>0</v>
      </c>
      <c r="DO25" s="508">
        <f t="shared" si="272"/>
        <v>0</v>
      </c>
      <c r="DP25" s="508">
        <f t="shared" si="273"/>
        <v>0</v>
      </c>
      <c r="DQ25" s="508">
        <f t="shared" si="274"/>
        <v>0</v>
      </c>
      <c r="DR25" s="508">
        <f t="shared" si="275"/>
        <v>0</v>
      </c>
      <c r="DS25" s="725">
        <f t="shared" si="276"/>
        <v>0</v>
      </c>
      <c r="DT25" s="722">
        <f t="shared" si="277"/>
        <v>0</v>
      </c>
      <c r="DU25" s="511">
        <f t="shared" si="278"/>
        <v>0</v>
      </c>
      <c r="DV25" s="511">
        <f t="shared" si="279"/>
        <v>0</v>
      </c>
      <c r="DW25" s="511">
        <f t="shared" si="280"/>
        <v>0</v>
      </c>
      <c r="DX25" s="511">
        <f t="shared" si="281"/>
        <v>0</v>
      </c>
      <c r="DY25" s="511">
        <f t="shared" si="282"/>
        <v>0</v>
      </c>
      <c r="DZ25" s="723">
        <f t="shared" si="283"/>
        <v>0</v>
      </c>
      <c r="EA25" s="722">
        <f t="shared" si="284"/>
        <v>1520</v>
      </c>
      <c r="EB25" s="511">
        <f t="shared" si="285"/>
        <v>1360</v>
      </c>
      <c r="EC25" s="511">
        <f t="shared" si="286"/>
        <v>1220</v>
      </c>
      <c r="ED25" s="511">
        <f t="shared" si="287"/>
        <v>1080</v>
      </c>
      <c r="EE25" s="511">
        <f t="shared" si="288"/>
        <v>960</v>
      </c>
      <c r="EF25" s="511">
        <f t="shared" si="289"/>
        <v>860</v>
      </c>
      <c r="EG25" s="723">
        <f t="shared" si="290"/>
        <v>760</v>
      </c>
      <c r="EH25" s="507">
        <f t="shared" si="291"/>
        <v>0</v>
      </c>
      <c r="EI25" s="511">
        <f t="shared" si="292"/>
        <v>0</v>
      </c>
      <c r="EJ25" s="511">
        <f t="shared" si="293"/>
        <v>0</v>
      </c>
      <c r="EK25" s="511">
        <f t="shared" si="294"/>
        <v>0</v>
      </c>
      <c r="EL25" s="511">
        <f t="shared" si="295"/>
        <v>0</v>
      </c>
      <c r="EM25" s="511">
        <f t="shared" si="296"/>
        <v>0</v>
      </c>
      <c r="EN25" s="723">
        <f t="shared" si="297"/>
        <v>0</v>
      </c>
      <c r="EO25" s="727">
        <f t="shared" ref="EO25:EO31" si="317">AVERAGE(W25:AC25)</f>
        <v>2771.4285714285716</v>
      </c>
      <c r="EP25" s="728">
        <f t="shared" ref="EP25:EP31" si="318">SUM(CR25:CX25)</f>
        <v>0</v>
      </c>
      <c r="EQ25" s="728">
        <f t="shared" ref="EQ25:EQ31" si="319">SUM(CY25:DE25)</f>
        <v>0</v>
      </c>
      <c r="ER25" s="728">
        <f t="shared" ref="ER25:ER31" si="320">SUM(DF25:DL25)</f>
        <v>1552000</v>
      </c>
      <c r="ES25" s="728">
        <f t="shared" ref="ES25:ES31" si="321">SUM(DM25:DS25)</f>
        <v>0</v>
      </c>
      <c r="ET25" s="777">
        <f t="shared" ref="ET25:ET31" si="322">DZ25</f>
        <v>0</v>
      </c>
      <c r="EU25" s="777">
        <f t="shared" ref="EU25:EU31" si="323">MAX(EA25:EG25)</f>
        <v>1520</v>
      </c>
      <c r="EV25" s="778">
        <f t="shared" ref="EV25:EV31" si="324">SUM(EH25:EN25)</f>
        <v>0</v>
      </c>
    </row>
    <row r="26" spans="1:160" s="10" customFormat="1" ht="12.5">
      <c r="A26" s="661" t="s">
        <v>179</v>
      </c>
      <c r="B26" s="789" t="s">
        <v>1546</v>
      </c>
      <c r="C26" s="662" t="s">
        <v>1521</v>
      </c>
      <c r="D26" s="715" t="s">
        <v>1514</v>
      </c>
      <c r="E26" s="703" t="s">
        <v>1515</v>
      </c>
      <c r="F26" s="1134" t="s">
        <v>402</v>
      </c>
      <c r="G26" s="1134">
        <v>0</v>
      </c>
      <c r="H26" s="1134">
        <v>0</v>
      </c>
      <c r="I26" s="704">
        <f t="shared" si="298"/>
        <v>0</v>
      </c>
      <c r="J26" s="1121">
        <v>0</v>
      </c>
      <c r="K26" s="704" t="s">
        <v>378</v>
      </c>
      <c r="L26" s="1121" t="s">
        <v>378</v>
      </c>
      <c r="M26" s="1122">
        <v>8</v>
      </c>
      <c r="N26" s="1122">
        <f t="shared" si="299"/>
        <v>80</v>
      </c>
      <c r="O26" s="1134">
        <v>0</v>
      </c>
      <c r="P26" s="1134">
        <v>0</v>
      </c>
      <c r="Q26" s="715">
        <v>0</v>
      </c>
      <c r="R26" s="1137">
        <v>0.4</v>
      </c>
      <c r="S26" s="715">
        <v>0</v>
      </c>
      <c r="T26" s="711" t="s">
        <v>1516</v>
      </c>
      <c r="U26" s="1124">
        <v>-0.1</v>
      </c>
      <c r="V26" s="1149">
        <v>1</v>
      </c>
      <c r="W26" s="781">
        <f t="shared" si="228"/>
        <v>10</v>
      </c>
      <c r="X26" s="781">
        <f t="shared" si="228"/>
        <v>10</v>
      </c>
      <c r="Y26" s="781">
        <f t="shared" si="228"/>
        <v>0</v>
      </c>
      <c r="Z26" s="781">
        <f t="shared" si="228"/>
        <v>0</v>
      </c>
      <c r="AA26" s="781">
        <f t="shared" si="228"/>
        <v>0</v>
      </c>
      <c r="AB26" s="781">
        <f t="shared" si="228"/>
        <v>0</v>
      </c>
      <c r="AC26" s="781">
        <f t="shared" si="228"/>
        <v>0</v>
      </c>
      <c r="AD26" s="711" t="s">
        <v>384</v>
      </c>
      <c r="AE26" s="1126" t="s">
        <v>375</v>
      </c>
      <c r="AF26" s="711" t="s">
        <v>376</v>
      </c>
      <c r="AG26" s="711" t="s">
        <v>1522</v>
      </c>
      <c r="AH26" s="711" t="s">
        <v>1</v>
      </c>
      <c r="AI26" s="711" t="s">
        <v>378</v>
      </c>
      <c r="AJ26" s="711" t="s">
        <v>378</v>
      </c>
      <c r="AK26" s="711" t="s">
        <v>378</v>
      </c>
      <c r="AL26" s="715" t="s">
        <v>1523</v>
      </c>
      <c r="AM26" s="715" t="s">
        <v>380</v>
      </c>
      <c r="AN26" s="715" t="s">
        <v>381</v>
      </c>
      <c r="AO26" s="711">
        <v>1</v>
      </c>
      <c r="AP26" s="711">
        <v>1</v>
      </c>
      <c r="AQ26" s="711" t="s">
        <v>1517</v>
      </c>
      <c r="AR26" s="716">
        <v>1</v>
      </c>
      <c r="AS26" s="716">
        <v>1</v>
      </c>
      <c r="AT26" s="717">
        <v>0</v>
      </c>
      <c r="AU26" s="1129">
        <f t="shared" si="300"/>
        <v>0</v>
      </c>
      <c r="AV26" s="499">
        <f t="shared" si="301"/>
        <v>0</v>
      </c>
      <c r="AW26" s="499">
        <f t="shared" si="302"/>
        <v>0</v>
      </c>
      <c r="AX26" s="499">
        <f t="shared" si="303"/>
        <v>0</v>
      </c>
      <c r="AY26" s="499">
        <f t="shared" si="229"/>
        <v>0</v>
      </c>
      <c r="AZ26" s="499">
        <f t="shared" si="230"/>
        <v>0</v>
      </c>
      <c r="BA26" s="719">
        <f t="shared" si="230"/>
        <v>0</v>
      </c>
      <c r="BB26" s="1129">
        <f t="shared" si="304"/>
        <v>0</v>
      </c>
      <c r="BC26" s="499">
        <f t="shared" si="305"/>
        <v>0</v>
      </c>
      <c r="BD26" s="499">
        <f t="shared" si="306"/>
        <v>0</v>
      </c>
      <c r="BE26" s="499">
        <f t="shared" si="307"/>
        <v>0</v>
      </c>
      <c r="BF26" s="499">
        <f t="shared" si="231"/>
        <v>0</v>
      </c>
      <c r="BG26" s="499">
        <f t="shared" si="232"/>
        <v>0</v>
      </c>
      <c r="BH26" s="719">
        <f t="shared" si="232"/>
        <v>0</v>
      </c>
      <c r="BI26" s="1132">
        <f t="shared" si="308"/>
        <v>80</v>
      </c>
      <c r="BJ26" s="499">
        <f t="shared" si="309"/>
        <v>80</v>
      </c>
      <c r="BK26" s="499">
        <f t="shared" si="310"/>
        <v>80</v>
      </c>
      <c r="BL26" s="499">
        <f t="shared" si="311"/>
        <v>80</v>
      </c>
      <c r="BM26" s="499">
        <f t="shared" si="312"/>
        <v>80</v>
      </c>
      <c r="BN26" s="499">
        <f t="shared" si="313"/>
        <v>80</v>
      </c>
      <c r="BO26" s="720">
        <f t="shared" si="313"/>
        <v>80</v>
      </c>
      <c r="BP26" s="774">
        <f t="shared" si="233"/>
        <v>0</v>
      </c>
      <c r="BQ26" s="503">
        <f t="shared" si="233"/>
        <v>0</v>
      </c>
      <c r="BR26" s="503">
        <f t="shared" si="233"/>
        <v>0</v>
      </c>
      <c r="BS26" s="503">
        <f t="shared" si="233"/>
        <v>0</v>
      </c>
      <c r="BT26" s="503">
        <f t="shared" si="233"/>
        <v>0</v>
      </c>
      <c r="BU26" s="503">
        <f t="shared" si="233"/>
        <v>0</v>
      </c>
      <c r="BV26" s="776">
        <f t="shared" si="233"/>
        <v>0</v>
      </c>
      <c r="BW26" s="722">
        <f t="shared" si="314"/>
        <v>0</v>
      </c>
      <c r="BX26" s="511">
        <f t="shared" si="234"/>
        <v>0</v>
      </c>
      <c r="BY26" s="511">
        <f t="shared" si="235"/>
        <v>0</v>
      </c>
      <c r="BZ26" s="511">
        <f t="shared" si="236"/>
        <v>0</v>
      </c>
      <c r="CA26" s="511">
        <f t="shared" si="237"/>
        <v>0</v>
      </c>
      <c r="CB26" s="511">
        <f t="shared" si="238"/>
        <v>0</v>
      </c>
      <c r="CC26" s="723">
        <f t="shared" si="238"/>
        <v>0</v>
      </c>
      <c r="CD26" s="722">
        <f t="shared" si="315"/>
        <v>0.4</v>
      </c>
      <c r="CE26" s="511">
        <f t="shared" si="239"/>
        <v>0.4</v>
      </c>
      <c r="CF26" s="511">
        <f t="shared" si="240"/>
        <v>0.4</v>
      </c>
      <c r="CG26" s="511">
        <f t="shared" si="241"/>
        <v>0.4</v>
      </c>
      <c r="CH26" s="511">
        <f t="shared" si="242"/>
        <v>0.4</v>
      </c>
      <c r="CI26" s="511">
        <f t="shared" si="243"/>
        <v>0.4</v>
      </c>
      <c r="CJ26" s="723">
        <f t="shared" si="243"/>
        <v>0.4</v>
      </c>
      <c r="CK26" s="511">
        <f t="shared" si="316"/>
        <v>0</v>
      </c>
      <c r="CL26" s="511">
        <f t="shared" si="244"/>
        <v>0</v>
      </c>
      <c r="CM26" s="511">
        <f t="shared" si="245"/>
        <v>0</v>
      </c>
      <c r="CN26" s="511">
        <f t="shared" si="246"/>
        <v>0</v>
      </c>
      <c r="CO26" s="511">
        <f t="shared" si="247"/>
        <v>0</v>
      </c>
      <c r="CP26" s="511">
        <f t="shared" si="248"/>
        <v>0</v>
      </c>
      <c r="CQ26" s="539">
        <f t="shared" si="248"/>
        <v>0</v>
      </c>
      <c r="CR26" s="724">
        <f t="shared" si="249"/>
        <v>0</v>
      </c>
      <c r="CS26" s="508">
        <f t="shared" si="250"/>
        <v>0</v>
      </c>
      <c r="CT26" s="508">
        <f t="shared" si="251"/>
        <v>0</v>
      </c>
      <c r="CU26" s="508">
        <f t="shared" si="252"/>
        <v>0</v>
      </c>
      <c r="CV26" s="508">
        <f t="shared" si="253"/>
        <v>0</v>
      </c>
      <c r="CW26" s="508">
        <f t="shared" si="254"/>
        <v>0</v>
      </c>
      <c r="CX26" s="725">
        <f t="shared" si="255"/>
        <v>0</v>
      </c>
      <c r="CY26" s="724">
        <f t="shared" si="256"/>
        <v>0</v>
      </c>
      <c r="CZ26" s="508">
        <f t="shared" si="257"/>
        <v>0</v>
      </c>
      <c r="DA26" s="508">
        <f t="shared" si="258"/>
        <v>0</v>
      </c>
      <c r="DB26" s="508">
        <f t="shared" si="259"/>
        <v>0</v>
      </c>
      <c r="DC26" s="508">
        <f t="shared" si="260"/>
        <v>0</v>
      </c>
      <c r="DD26" s="508">
        <f t="shared" si="261"/>
        <v>0</v>
      </c>
      <c r="DE26" s="725">
        <f t="shared" si="262"/>
        <v>0</v>
      </c>
      <c r="DF26" s="509">
        <f t="shared" si="263"/>
        <v>800</v>
      </c>
      <c r="DG26" s="508">
        <f t="shared" si="264"/>
        <v>800</v>
      </c>
      <c r="DH26" s="508">
        <f t="shared" si="265"/>
        <v>0</v>
      </c>
      <c r="DI26" s="508">
        <f t="shared" si="266"/>
        <v>0</v>
      </c>
      <c r="DJ26" s="508">
        <f t="shared" si="267"/>
        <v>0</v>
      </c>
      <c r="DK26" s="508">
        <f t="shared" si="268"/>
        <v>0</v>
      </c>
      <c r="DL26" s="726">
        <f t="shared" si="269"/>
        <v>0</v>
      </c>
      <c r="DM26" s="724">
        <f t="shared" si="270"/>
        <v>0</v>
      </c>
      <c r="DN26" s="508">
        <f t="shared" si="271"/>
        <v>0</v>
      </c>
      <c r="DO26" s="508">
        <f t="shared" si="272"/>
        <v>0</v>
      </c>
      <c r="DP26" s="508">
        <f t="shared" si="273"/>
        <v>0</v>
      </c>
      <c r="DQ26" s="508">
        <f t="shared" si="274"/>
        <v>0</v>
      </c>
      <c r="DR26" s="508">
        <f t="shared" si="275"/>
        <v>0</v>
      </c>
      <c r="DS26" s="725">
        <f t="shared" si="276"/>
        <v>0</v>
      </c>
      <c r="DT26" s="722">
        <f t="shared" si="277"/>
        <v>0</v>
      </c>
      <c r="DU26" s="511">
        <f t="shared" si="278"/>
        <v>0</v>
      </c>
      <c r="DV26" s="511">
        <f t="shared" si="279"/>
        <v>0</v>
      </c>
      <c r="DW26" s="511">
        <f t="shared" si="280"/>
        <v>0</v>
      </c>
      <c r="DX26" s="511">
        <f t="shared" si="281"/>
        <v>0</v>
      </c>
      <c r="DY26" s="511">
        <f t="shared" si="282"/>
        <v>0</v>
      </c>
      <c r="DZ26" s="723">
        <f t="shared" si="283"/>
        <v>0</v>
      </c>
      <c r="EA26" s="722">
        <f t="shared" si="284"/>
        <v>4</v>
      </c>
      <c r="EB26" s="511">
        <f t="shared" si="285"/>
        <v>4</v>
      </c>
      <c r="EC26" s="511">
        <f t="shared" si="286"/>
        <v>0</v>
      </c>
      <c r="ED26" s="511">
        <f t="shared" si="287"/>
        <v>0</v>
      </c>
      <c r="EE26" s="511">
        <f t="shared" si="288"/>
        <v>0</v>
      </c>
      <c r="EF26" s="511">
        <f t="shared" si="289"/>
        <v>0</v>
      </c>
      <c r="EG26" s="723">
        <f t="shared" si="290"/>
        <v>0</v>
      </c>
      <c r="EH26" s="507">
        <f t="shared" si="291"/>
        <v>0</v>
      </c>
      <c r="EI26" s="511">
        <f t="shared" si="292"/>
        <v>0</v>
      </c>
      <c r="EJ26" s="511">
        <f t="shared" si="293"/>
        <v>0</v>
      </c>
      <c r="EK26" s="511">
        <f t="shared" si="294"/>
        <v>0</v>
      </c>
      <c r="EL26" s="511">
        <f t="shared" si="295"/>
        <v>0</v>
      </c>
      <c r="EM26" s="511">
        <f t="shared" si="296"/>
        <v>0</v>
      </c>
      <c r="EN26" s="723">
        <f t="shared" si="297"/>
        <v>0</v>
      </c>
      <c r="EO26" s="727">
        <f t="shared" si="317"/>
        <v>2.8571428571428572</v>
      </c>
      <c r="EP26" s="728">
        <f t="shared" si="318"/>
        <v>0</v>
      </c>
      <c r="EQ26" s="728">
        <f t="shared" si="319"/>
        <v>0</v>
      </c>
      <c r="ER26" s="728">
        <f t="shared" si="320"/>
        <v>1600</v>
      </c>
      <c r="ES26" s="728">
        <f t="shared" si="321"/>
        <v>0</v>
      </c>
      <c r="ET26" s="777">
        <f t="shared" si="322"/>
        <v>0</v>
      </c>
      <c r="EU26" s="777">
        <f t="shared" si="323"/>
        <v>4</v>
      </c>
      <c r="EV26" s="778">
        <f t="shared" si="324"/>
        <v>0</v>
      </c>
    </row>
    <row r="27" spans="1:160" s="10" customFormat="1" ht="12.5">
      <c r="A27" s="661" t="s">
        <v>180</v>
      </c>
      <c r="B27" s="789" t="s">
        <v>1547</v>
      </c>
      <c r="C27" s="662" t="s">
        <v>1525</v>
      </c>
      <c r="D27" s="715" t="s">
        <v>1514</v>
      </c>
      <c r="E27" s="703" t="s">
        <v>1515</v>
      </c>
      <c r="F27" s="1134" t="s">
        <v>402</v>
      </c>
      <c r="G27" s="1134">
        <v>0</v>
      </c>
      <c r="H27" s="1134">
        <v>0</v>
      </c>
      <c r="I27" s="704">
        <f t="shared" si="298"/>
        <v>0</v>
      </c>
      <c r="J27" s="1121">
        <v>0</v>
      </c>
      <c r="K27" s="704" t="s">
        <v>378</v>
      </c>
      <c r="L27" s="1121" t="s">
        <v>378</v>
      </c>
      <c r="M27" s="1122">
        <f>8+8</f>
        <v>16</v>
      </c>
      <c r="N27" s="1122">
        <f t="shared" si="299"/>
        <v>0</v>
      </c>
      <c r="O27" s="1138">
        <v>0</v>
      </c>
      <c r="P27" s="1138">
        <v>0</v>
      </c>
      <c r="Q27" s="715">
        <v>0</v>
      </c>
      <c r="R27" s="1123">
        <v>0.7</v>
      </c>
      <c r="S27" s="715">
        <v>0</v>
      </c>
      <c r="T27" s="711" t="s">
        <v>1516</v>
      </c>
      <c r="U27" s="1124">
        <v>-0.1</v>
      </c>
      <c r="V27" s="1149">
        <v>1</v>
      </c>
      <c r="W27" s="781">
        <f t="shared" si="228"/>
        <v>13500</v>
      </c>
      <c r="X27" s="781">
        <f t="shared" si="228"/>
        <v>12150</v>
      </c>
      <c r="Y27" s="781">
        <f t="shared" si="228"/>
        <v>10900</v>
      </c>
      <c r="Z27" s="781">
        <f t="shared" si="228"/>
        <v>9800</v>
      </c>
      <c r="AA27" s="781">
        <f t="shared" si="228"/>
        <v>8800</v>
      </c>
      <c r="AB27" s="781">
        <f t="shared" si="228"/>
        <v>7900</v>
      </c>
      <c r="AC27" s="781">
        <f t="shared" si="228"/>
        <v>7100</v>
      </c>
      <c r="AD27" s="711" t="s">
        <v>384</v>
      </c>
      <c r="AE27" s="1126" t="s">
        <v>375</v>
      </c>
      <c r="AF27" s="711" t="s">
        <v>322</v>
      </c>
      <c r="AG27" s="711" t="s">
        <v>454</v>
      </c>
      <c r="AH27" s="711" t="s">
        <v>1</v>
      </c>
      <c r="AI27" s="711" t="s">
        <v>378</v>
      </c>
      <c r="AJ27" s="711" t="s">
        <v>378</v>
      </c>
      <c r="AK27" s="711" t="s">
        <v>378</v>
      </c>
      <c r="AL27" s="715" t="s">
        <v>1526</v>
      </c>
      <c r="AM27" s="715" t="s">
        <v>380</v>
      </c>
      <c r="AN27" s="715" t="s">
        <v>381</v>
      </c>
      <c r="AO27" s="711">
        <v>1</v>
      </c>
      <c r="AP27" s="711">
        <v>1</v>
      </c>
      <c r="AQ27" s="711" t="s">
        <v>1517</v>
      </c>
      <c r="AR27" s="716">
        <v>1</v>
      </c>
      <c r="AS27" s="716">
        <v>1</v>
      </c>
      <c r="AT27" s="717">
        <v>0</v>
      </c>
      <c r="AU27" s="1129">
        <f t="shared" si="300"/>
        <v>0</v>
      </c>
      <c r="AV27" s="499">
        <f t="shared" si="301"/>
        <v>0</v>
      </c>
      <c r="AW27" s="499">
        <f t="shared" si="302"/>
        <v>0</v>
      </c>
      <c r="AX27" s="499">
        <f t="shared" si="303"/>
        <v>0</v>
      </c>
      <c r="AY27" s="499">
        <f t="shared" si="229"/>
        <v>0</v>
      </c>
      <c r="AZ27" s="499">
        <f t="shared" si="230"/>
        <v>0</v>
      </c>
      <c r="BA27" s="719">
        <f t="shared" si="230"/>
        <v>0</v>
      </c>
      <c r="BB27" s="1129">
        <f t="shared" si="304"/>
        <v>0</v>
      </c>
      <c r="BC27" s="499">
        <f t="shared" si="305"/>
        <v>0</v>
      </c>
      <c r="BD27" s="499">
        <f t="shared" si="306"/>
        <v>0</v>
      </c>
      <c r="BE27" s="499">
        <f t="shared" si="307"/>
        <v>0</v>
      </c>
      <c r="BF27" s="499">
        <f t="shared" si="231"/>
        <v>0</v>
      </c>
      <c r="BG27" s="499">
        <f t="shared" si="232"/>
        <v>0</v>
      </c>
      <c r="BH27" s="719">
        <f t="shared" si="232"/>
        <v>0</v>
      </c>
      <c r="BI27" s="1132">
        <f>4*2</f>
        <v>8</v>
      </c>
      <c r="BJ27" s="1130">
        <f>4*2</f>
        <v>8</v>
      </c>
      <c r="BK27" s="1130">
        <f>4*2</f>
        <v>8</v>
      </c>
      <c r="BL27" s="1130">
        <f>4*5</f>
        <v>20</v>
      </c>
      <c r="BM27" s="1130">
        <f>4*20</f>
        <v>80</v>
      </c>
      <c r="BN27" s="1130">
        <f>4*20</f>
        <v>80</v>
      </c>
      <c r="BO27" s="1130">
        <f>4*20</f>
        <v>80</v>
      </c>
      <c r="BP27" s="774">
        <f t="shared" si="233"/>
        <v>0</v>
      </c>
      <c r="BQ27" s="503">
        <f t="shared" si="233"/>
        <v>0</v>
      </c>
      <c r="BR27" s="503">
        <f t="shared" si="233"/>
        <v>0</v>
      </c>
      <c r="BS27" s="503">
        <f t="shared" si="233"/>
        <v>0</v>
      </c>
      <c r="BT27" s="503">
        <f t="shared" si="233"/>
        <v>0</v>
      </c>
      <c r="BU27" s="503">
        <f t="shared" si="233"/>
        <v>0</v>
      </c>
      <c r="BV27" s="776">
        <f t="shared" si="233"/>
        <v>0</v>
      </c>
      <c r="BW27" s="722">
        <f t="shared" si="314"/>
        <v>0</v>
      </c>
      <c r="BX27" s="511">
        <f t="shared" si="234"/>
        <v>0</v>
      </c>
      <c r="BY27" s="511">
        <f t="shared" si="235"/>
        <v>0</v>
      </c>
      <c r="BZ27" s="511">
        <f t="shared" si="236"/>
        <v>0</v>
      </c>
      <c r="CA27" s="511">
        <f t="shared" si="237"/>
        <v>0</v>
      </c>
      <c r="CB27" s="511">
        <f t="shared" si="238"/>
        <v>0</v>
      </c>
      <c r="CC27" s="723">
        <f t="shared" si="238"/>
        <v>0</v>
      </c>
      <c r="CD27" s="722">
        <f t="shared" si="315"/>
        <v>0.7</v>
      </c>
      <c r="CE27" s="511">
        <f t="shared" si="239"/>
        <v>0.7</v>
      </c>
      <c r="CF27" s="511">
        <f t="shared" si="240"/>
        <v>0.7</v>
      </c>
      <c r="CG27" s="511">
        <f t="shared" si="241"/>
        <v>0.7</v>
      </c>
      <c r="CH27" s="511">
        <f t="shared" si="242"/>
        <v>0.7</v>
      </c>
      <c r="CI27" s="511">
        <f t="shared" si="243"/>
        <v>0.7</v>
      </c>
      <c r="CJ27" s="723">
        <f t="shared" si="243"/>
        <v>0.7</v>
      </c>
      <c r="CK27" s="511">
        <f t="shared" si="316"/>
        <v>0</v>
      </c>
      <c r="CL27" s="511">
        <f t="shared" si="244"/>
        <v>0</v>
      </c>
      <c r="CM27" s="511">
        <f t="shared" si="245"/>
        <v>0</v>
      </c>
      <c r="CN27" s="511">
        <f t="shared" si="246"/>
        <v>0</v>
      </c>
      <c r="CO27" s="511">
        <f t="shared" si="247"/>
        <v>0</v>
      </c>
      <c r="CP27" s="511">
        <f t="shared" si="248"/>
        <v>0</v>
      </c>
      <c r="CQ27" s="539">
        <f t="shared" si="248"/>
        <v>0</v>
      </c>
      <c r="CR27" s="724">
        <f t="shared" si="249"/>
        <v>0</v>
      </c>
      <c r="CS27" s="508">
        <f t="shared" si="250"/>
        <v>0</v>
      </c>
      <c r="CT27" s="508">
        <f t="shared" si="251"/>
        <v>0</v>
      </c>
      <c r="CU27" s="508">
        <f t="shared" si="252"/>
        <v>0</v>
      </c>
      <c r="CV27" s="508">
        <f t="shared" si="253"/>
        <v>0</v>
      </c>
      <c r="CW27" s="508">
        <f t="shared" si="254"/>
        <v>0</v>
      </c>
      <c r="CX27" s="725">
        <f t="shared" si="255"/>
        <v>0</v>
      </c>
      <c r="CY27" s="724">
        <f t="shared" si="256"/>
        <v>0</v>
      </c>
      <c r="CZ27" s="508">
        <f t="shared" si="257"/>
        <v>0</v>
      </c>
      <c r="DA27" s="508">
        <f t="shared" si="258"/>
        <v>0</v>
      </c>
      <c r="DB27" s="508">
        <f t="shared" si="259"/>
        <v>0</v>
      </c>
      <c r="DC27" s="508">
        <f t="shared" si="260"/>
        <v>0</v>
      </c>
      <c r="DD27" s="508">
        <f t="shared" si="261"/>
        <v>0</v>
      </c>
      <c r="DE27" s="725">
        <f t="shared" si="262"/>
        <v>0</v>
      </c>
      <c r="DF27" s="509">
        <f t="shared" si="263"/>
        <v>108000</v>
      </c>
      <c r="DG27" s="508">
        <f t="shared" si="264"/>
        <v>97200</v>
      </c>
      <c r="DH27" s="508">
        <f t="shared" si="265"/>
        <v>87200</v>
      </c>
      <c r="DI27" s="508">
        <f t="shared" si="266"/>
        <v>196000</v>
      </c>
      <c r="DJ27" s="508">
        <f t="shared" si="267"/>
        <v>704000</v>
      </c>
      <c r="DK27" s="508">
        <f t="shared" si="268"/>
        <v>632000</v>
      </c>
      <c r="DL27" s="726">
        <f t="shared" si="269"/>
        <v>568000</v>
      </c>
      <c r="DM27" s="724">
        <f t="shared" si="270"/>
        <v>0</v>
      </c>
      <c r="DN27" s="508">
        <f t="shared" si="271"/>
        <v>0</v>
      </c>
      <c r="DO27" s="508">
        <f t="shared" si="272"/>
        <v>0</v>
      </c>
      <c r="DP27" s="508">
        <f t="shared" si="273"/>
        <v>0</v>
      </c>
      <c r="DQ27" s="508">
        <f t="shared" si="274"/>
        <v>0</v>
      </c>
      <c r="DR27" s="508">
        <f t="shared" si="275"/>
        <v>0</v>
      </c>
      <c r="DS27" s="725">
        <f t="shared" si="276"/>
        <v>0</v>
      </c>
      <c r="DT27" s="722">
        <f t="shared" si="277"/>
        <v>0</v>
      </c>
      <c r="DU27" s="511">
        <f t="shared" si="278"/>
        <v>0</v>
      </c>
      <c r="DV27" s="511">
        <f t="shared" si="279"/>
        <v>0</v>
      </c>
      <c r="DW27" s="511">
        <f t="shared" si="280"/>
        <v>0</v>
      </c>
      <c r="DX27" s="511">
        <f t="shared" si="281"/>
        <v>0</v>
      </c>
      <c r="DY27" s="511">
        <f t="shared" si="282"/>
        <v>0</v>
      </c>
      <c r="DZ27" s="723">
        <f t="shared" si="283"/>
        <v>0</v>
      </c>
      <c r="EA27" s="722">
        <f t="shared" si="284"/>
        <v>9450</v>
      </c>
      <c r="EB27" s="511">
        <f t="shared" si="285"/>
        <v>8505</v>
      </c>
      <c r="EC27" s="511">
        <f t="shared" si="286"/>
        <v>7629.9999999999991</v>
      </c>
      <c r="ED27" s="511">
        <f t="shared" si="287"/>
        <v>6860</v>
      </c>
      <c r="EE27" s="511">
        <f t="shared" si="288"/>
        <v>6160</v>
      </c>
      <c r="EF27" s="511">
        <f t="shared" si="289"/>
        <v>5530</v>
      </c>
      <c r="EG27" s="723">
        <f t="shared" si="290"/>
        <v>4970</v>
      </c>
      <c r="EH27" s="507">
        <f t="shared" si="291"/>
        <v>0</v>
      </c>
      <c r="EI27" s="511">
        <f t="shared" si="292"/>
        <v>0</v>
      </c>
      <c r="EJ27" s="511">
        <f t="shared" si="293"/>
        <v>0</v>
      </c>
      <c r="EK27" s="511">
        <f t="shared" si="294"/>
        <v>0</v>
      </c>
      <c r="EL27" s="511">
        <f t="shared" si="295"/>
        <v>0</v>
      </c>
      <c r="EM27" s="511">
        <f t="shared" si="296"/>
        <v>0</v>
      </c>
      <c r="EN27" s="723">
        <f t="shared" si="297"/>
        <v>0</v>
      </c>
      <c r="EO27" s="727">
        <f t="shared" si="317"/>
        <v>10021.428571428571</v>
      </c>
      <c r="EP27" s="728">
        <f t="shared" si="318"/>
        <v>0</v>
      </c>
      <c r="EQ27" s="728">
        <f t="shared" si="319"/>
        <v>0</v>
      </c>
      <c r="ER27" s="728">
        <f t="shared" si="320"/>
        <v>2392400</v>
      </c>
      <c r="ES27" s="728">
        <f t="shared" si="321"/>
        <v>0</v>
      </c>
      <c r="ET27" s="777">
        <f t="shared" si="322"/>
        <v>0</v>
      </c>
      <c r="EU27" s="777">
        <f t="shared" si="323"/>
        <v>9450</v>
      </c>
      <c r="EV27" s="778">
        <f t="shared" si="324"/>
        <v>0</v>
      </c>
    </row>
    <row r="28" spans="1:160" s="10" customFormat="1" ht="12.5">
      <c r="A28" s="661" t="s">
        <v>181</v>
      </c>
      <c r="B28" s="789" t="s">
        <v>1548</v>
      </c>
      <c r="C28" s="662" t="s">
        <v>1528</v>
      </c>
      <c r="D28" s="715" t="s">
        <v>1514</v>
      </c>
      <c r="E28" s="703" t="s">
        <v>1515</v>
      </c>
      <c r="F28" s="1134" t="s">
        <v>402</v>
      </c>
      <c r="G28" s="1134">
        <v>0</v>
      </c>
      <c r="H28" s="1134">
        <v>0</v>
      </c>
      <c r="I28" s="704">
        <f t="shared" si="298"/>
        <v>0</v>
      </c>
      <c r="J28" s="1121">
        <v>0</v>
      </c>
      <c r="K28" s="704" t="s">
        <v>378</v>
      </c>
      <c r="L28" s="1121" t="s">
        <v>378</v>
      </c>
      <c r="M28" s="1122">
        <f>8+8</f>
        <v>16</v>
      </c>
      <c r="N28" s="1122">
        <f t="shared" si="299"/>
        <v>160</v>
      </c>
      <c r="O28" s="1138">
        <v>0</v>
      </c>
      <c r="P28" s="1138">
        <v>0</v>
      </c>
      <c r="Q28" s="715">
        <v>0</v>
      </c>
      <c r="R28" s="1135">
        <v>0.4</v>
      </c>
      <c r="S28" s="715">
        <v>0</v>
      </c>
      <c r="T28" s="711" t="s">
        <v>1516</v>
      </c>
      <c r="U28" s="1124">
        <v>-0.1</v>
      </c>
      <c r="V28" s="1149">
        <v>1</v>
      </c>
      <c r="W28" s="781">
        <f t="shared" si="228"/>
        <v>20</v>
      </c>
      <c r="X28" s="781">
        <f t="shared" si="228"/>
        <v>19</v>
      </c>
      <c r="Y28" s="781">
        <f t="shared" si="228"/>
        <v>0</v>
      </c>
      <c r="Z28" s="781">
        <f t="shared" si="228"/>
        <v>0</v>
      </c>
      <c r="AA28" s="781">
        <f t="shared" si="228"/>
        <v>0</v>
      </c>
      <c r="AB28" s="781">
        <f t="shared" si="228"/>
        <v>0</v>
      </c>
      <c r="AC28" s="781">
        <f t="shared" si="228"/>
        <v>0</v>
      </c>
      <c r="AD28" s="711" t="s">
        <v>384</v>
      </c>
      <c r="AE28" s="1126" t="s">
        <v>375</v>
      </c>
      <c r="AF28" s="711" t="s">
        <v>322</v>
      </c>
      <c r="AG28" s="711" t="s">
        <v>753</v>
      </c>
      <c r="AH28" s="711" t="s">
        <v>1</v>
      </c>
      <c r="AI28" s="711" t="s">
        <v>378</v>
      </c>
      <c r="AJ28" s="711" t="s">
        <v>378</v>
      </c>
      <c r="AK28" s="711" t="s">
        <v>378</v>
      </c>
      <c r="AL28" s="715" t="s">
        <v>754</v>
      </c>
      <c r="AM28" s="715" t="s">
        <v>380</v>
      </c>
      <c r="AN28" s="715" t="s">
        <v>381</v>
      </c>
      <c r="AO28" s="711">
        <v>1</v>
      </c>
      <c r="AP28" s="711">
        <v>1</v>
      </c>
      <c r="AQ28" s="711" t="s">
        <v>1517</v>
      </c>
      <c r="AR28" s="716">
        <v>1</v>
      </c>
      <c r="AS28" s="716">
        <v>1</v>
      </c>
      <c r="AT28" s="717">
        <v>0</v>
      </c>
      <c r="AU28" s="1129">
        <f t="shared" si="300"/>
        <v>0</v>
      </c>
      <c r="AV28" s="499">
        <f t="shared" si="301"/>
        <v>0</v>
      </c>
      <c r="AW28" s="499">
        <f t="shared" si="302"/>
        <v>0</v>
      </c>
      <c r="AX28" s="499">
        <f t="shared" si="303"/>
        <v>0</v>
      </c>
      <c r="AY28" s="499">
        <f t="shared" si="229"/>
        <v>0</v>
      </c>
      <c r="AZ28" s="499">
        <f t="shared" si="230"/>
        <v>0</v>
      </c>
      <c r="BA28" s="719">
        <f t="shared" si="230"/>
        <v>0</v>
      </c>
      <c r="BB28" s="1129">
        <f t="shared" si="304"/>
        <v>0</v>
      </c>
      <c r="BC28" s="499">
        <f t="shared" si="305"/>
        <v>0</v>
      </c>
      <c r="BD28" s="499">
        <f t="shared" si="306"/>
        <v>0</v>
      </c>
      <c r="BE28" s="499">
        <f t="shared" si="307"/>
        <v>0</v>
      </c>
      <c r="BF28" s="499">
        <f t="shared" si="231"/>
        <v>0</v>
      </c>
      <c r="BG28" s="499">
        <f t="shared" si="232"/>
        <v>0</v>
      </c>
      <c r="BH28" s="719">
        <f t="shared" si="232"/>
        <v>0</v>
      </c>
      <c r="BI28" s="1132">
        <f t="shared" si="308"/>
        <v>160</v>
      </c>
      <c r="BJ28" s="499">
        <f t="shared" si="309"/>
        <v>160</v>
      </c>
      <c r="BK28" s="499">
        <f t="shared" si="310"/>
        <v>160</v>
      </c>
      <c r="BL28" s="499">
        <f t="shared" si="311"/>
        <v>160</v>
      </c>
      <c r="BM28" s="499">
        <f t="shared" si="312"/>
        <v>160</v>
      </c>
      <c r="BN28" s="499">
        <f t="shared" si="313"/>
        <v>160</v>
      </c>
      <c r="BO28" s="720">
        <f t="shared" si="313"/>
        <v>160</v>
      </c>
      <c r="BP28" s="774">
        <f t="shared" si="233"/>
        <v>0</v>
      </c>
      <c r="BQ28" s="503">
        <f t="shared" si="233"/>
        <v>0</v>
      </c>
      <c r="BR28" s="503">
        <f t="shared" si="233"/>
        <v>0</v>
      </c>
      <c r="BS28" s="503">
        <f t="shared" si="233"/>
        <v>0</v>
      </c>
      <c r="BT28" s="503">
        <f t="shared" si="233"/>
        <v>0</v>
      </c>
      <c r="BU28" s="503">
        <f t="shared" si="233"/>
        <v>0</v>
      </c>
      <c r="BV28" s="776">
        <f t="shared" si="233"/>
        <v>0</v>
      </c>
      <c r="BW28" s="722">
        <f t="shared" si="314"/>
        <v>0</v>
      </c>
      <c r="BX28" s="511">
        <f t="shared" si="234"/>
        <v>0</v>
      </c>
      <c r="BY28" s="511">
        <f t="shared" si="235"/>
        <v>0</v>
      </c>
      <c r="BZ28" s="511">
        <f t="shared" si="236"/>
        <v>0</v>
      </c>
      <c r="CA28" s="511">
        <f t="shared" si="237"/>
        <v>0</v>
      </c>
      <c r="CB28" s="511">
        <f t="shared" si="238"/>
        <v>0</v>
      </c>
      <c r="CC28" s="723">
        <f t="shared" si="238"/>
        <v>0</v>
      </c>
      <c r="CD28" s="722">
        <f t="shared" si="315"/>
        <v>0.4</v>
      </c>
      <c r="CE28" s="511">
        <f t="shared" si="239"/>
        <v>0.4</v>
      </c>
      <c r="CF28" s="511">
        <f t="shared" si="240"/>
        <v>0.4</v>
      </c>
      <c r="CG28" s="511">
        <f t="shared" si="241"/>
        <v>0.4</v>
      </c>
      <c r="CH28" s="511">
        <f t="shared" si="242"/>
        <v>0.4</v>
      </c>
      <c r="CI28" s="511">
        <f t="shared" si="243"/>
        <v>0.4</v>
      </c>
      <c r="CJ28" s="723">
        <f t="shared" si="243"/>
        <v>0.4</v>
      </c>
      <c r="CK28" s="511">
        <f t="shared" si="316"/>
        <v>0</v>
      </c>
      <c r="CL28" s="511">
        <f t="shared" si="244"/>
        <v>0</v>
      </c>
      <c r="CM28" s="511">
        <f t="shared" si="245"/>
        <v>0</v>
      </c>
      <c r="CN28" s="511">
        <f t="shared" si="246"/>
        <v>0</v>
      </c>
      <c r="CO28" s="511">
        <f t="shared" si="247"/>
        <v>0</v>
      </c>
      <c r="CP28" s="511">
        <f t="shared" si="248"/>
        <v>0</v>
      </c>
      <c r="CQ28" s="539">
        <f t="shared" si="248"/>
        <v>0</v>
      </c>
      <c r="CR28" s="724">
        <f t="shared" si="249"/>
        <v>0</v>
      </c>
      <c r="CS28" s="508">
        <f t="shared" si="250"/>
        <v>0</v>
      </c>
      <c r="CT28" s="508">
        <f t="shared" si="251"/>
        <v>0</v>
      </c>
      <c r="CU28" s="508">
        <f t="shared" si="252"/>
        <v>0</v>
      </c>
      <c r="CV28" s="508">
        <f t="shared" si="253"/>
        <v>0</v>
      </c>
      <c r="CW28" s="508">
        <f t="shared" si="254"/>
        <v>0</v>
      </c>
      <c r="CX28" s="725">
        <f t="shared" si="255"/>
        <v>0</v>
      </c>
      <c r="CY28" s="724">
        <f t="shared" si="256"/>
        <v>0</v>
      </c>
      <c r="CZ28" s="508">
        <f t="shared" si="257"/>
        <v>0</v>
      </c>
      <c r="DA28" s="508">
        <f t="shared" si="258"/>
        <v>0</v>
      </c>
      <c r="DB28" s="508">
        <f t="shared" si="259"/>
        <v>0</v>
      </c>
      <c r="DC28" s="508">
        <f t="shared" si="260"/>
        <v>0</v>
      </c>
      <c r="DD28" s="508">
        <f t="shared" si="261"/>
        <v>0</v>
      </c>
      <c r="DE28" s="725">
        <f t="shared" si="262"/>
        <v>0</v>
      </c>
      <c r="DF28" s="509">
        <f t="shared" si="263"/>
        <v>3200</v>
      </c>
      <c r="DG28" s="508">
        <f t="shared" si="264"/>
        <v>3040</v>
      </c>
      <c r="DH28" s="508">
        <f t="shared" si="265"/>
        <v>0</v>
      </c>
      <c r="DI28" s="508">
        <f t="shared" si="266"/>
        <v>0</v>
      </c>
      <c r="DJ28" s="508">
        <f t="shared" si="267"/>
        <v>0</v>
      </c>
      <c r="DK28" s="508">
        <f t="shared" si="268"/>
        <v>0</v>
      </c>
      <c r="DL28" s="726">
        <f t="shared" si="269"/>
        <v>0</v>
      </c>
      <c r="DM28" s="724">
        <f t="shared" si="270"/>
        <v>0</v>
      </c>
      <c r="DN28" s="508">
        <f t="shared" si="271"/>
        <v>0</v>
      </c>
      <c r="DO28" s="508">
        <f t="shared" si="272"/>
        <v>0</v>
      </c>
      <c r="DP28" s="508">
        <f t="shared" si="273"/>
        <v>0</v>
      </c>
      <c r="DQ28" s="508">
        <f t="shared" si="274"/>
        <v>0</v>
      </c>
      <c r="DR28" s="508">
        <f t="shared" si="275"/>
        <v>0</v>
      </c>
      <c r="DS28" s="725">
        <f t="shared" si="276"/>
        <v>0</v>
      </c>
      <c r="DT28" s="722">
        <f t="shared" si="277"/>
        <v>0</v>
      </c>
      <c r="DU28" s="511">
        <f t="shared" si="278"/>
        <v>0</v>
      </c>
      <c r="DV28" s="511">
        <f t="shared" si="279"/>
        <v>0</v>
      </c>
      <c r="DW28" s="511">
        <f t="shared" si="280"/>
        <v>0</v>
      </c>
      <c r="DX28" s="511">
        <f t="shared" si="281"/>
        <v>0</v>
      </c>
      <c r="DY28" s="511">
        <f t="shared" si="282"/>
        <v>0</v>
      </c>
      <c r="DZ28" s="723">
        <f t="shared" si="283"/>
        <v>0</v>
      </c>
      <c r="EA28" s="722">
        <f t="shared" si="284"/>
        <v>8</v>
      </c>
      <c r="EB28" s="511">
        <f t="shared" si="285"/>
        <v>7.6000000000000005</v>
      </c>
      <c r="EC28" s="511">
        <f t="shared" si="286"/>
        <v>0</v>
      </c>
      <c r="ED28" s="511">
        <f t="shared" si="287"/>
        <v>0</v>
      </c>
      <c r="EE28" s="511">
        <f t="shared" si="288"/>
        <v>0</v>
      </c>
      <c r="EF28" s="511">
        <f t="shared" si="289"/>
        <v>0</v>
      </c>
      <c r="EG28" s="723">
        <f t="shared" si="290"/>
        <v>0</v>
      </c>
      <c r="EH28" s="507">
        <f t="shared" si="291"/>
        <v>0</v>
      </c>
      <c r="EI28" s="511">
        <f t="shared" si="292"/>
        <v>0</v>
      </c>
      <c r="EJ28" s="511">
        <f t="shared" si="293"/>
        <v>0</v>
      </c>
      <c r="EK28" s="511">
        <f t="shared" si="294"/>
        <v>0</v>
      </c>
      <c r="EL28" s="511">
        <f t="shared" si="295"/>
        <v>0</v>
      </c>
      <c r="EM28" s="511">
        <f t="shared" si="296"/>
        <v>0</v>
      </c>
      <c r="EN28" s="723">
        <f t="shared" si="297"/>
        <v>0</v>
      </c>
      <c r="EO28" s="727">
        <f t="shared" si="317"/>
        <v>5.5714285714285712</v>
      </c>
      <c r="EP28" s="728">
        <f t="shared" si="318"/>
        <v>0</v>
      </c>
      <c r="EQ28" s="728">
        <f t="shared" si="319"/>
        <v>0</v>
      </c>
      <c r="ER28" s="728">
        <f t="shared" si="320"/>
        <v>6240</v>
      </c>
      <c r="ES28" s="728">
        <f t="shared" si="321"/>
        <v>0</v>
      </c>
      <c r="ET28" s="777">
        <f t="shared" si="322"/>
        <v>0</v>
      </c>
      <c r="EU28" s="777">
        <f t="shared" si="323"/>
        <v>8</v>
      </c>
      <c r="EV28" s="778">
        <f t="shared" si="324"/>
        <v>0</v>
      </c>
    </row>
    <row r="29" spans="1:160" s="10" customFormat="1" ht="12.5">
      <c r="A29" s="661" t="s">
        <v>182</v>
      </c>
      <c r="B29" s="789" t="s">
        <v>1549</v>
      </c>
      <c r="C29" s="662" t="s">
        <v>1530</v>
      </c>
      <c r="D29" s="715" t="s">
        <v>1514</v>
      </c>
      <c r="E29" s="703" t="s">
        <v>1515</v>
      </c>
      <c r="F29" s="1134" t="s">
        <v>402</v>
      </c>
      <c r="G29" s="1134">
        <v>0</v>
      </c>
      <c r="H29" s="1134">
        <v>0</v>
      </c>
      <c r="I29" s="704">
        <f t="shared" si="298"/>
        <v>0</v>
      </c>
      <c r="J29" s="1121">
        <v>0</v>
      </c>
      <c r="K29" s="704" t="s">
        <v>378</v>
      </c>
      <c r="L29" s="1121" t="s">
        <v>378</v>
      </c>
      <c r="M29" s="1122">
        <f>8+8</f>
        <v>16</v>
      </c>
      <c r="N29" s="1122">
        <f t="shared" si="299"/>
        <v>160</v>
      </c>
      <c r="O29" s="1138">
        <v>0</v>
      </c>
      <c r="P29" s="1138">
        <v>0</v>
      </c>
      <c r="Q29" s="715">
        <v>0</v>
      </c>
      <c r="R29" s="1137">
        <v>0.4</v>
      </c>
      <c r="S29" s="715">
        <v>0</v>
      </c>
      <c r="T29" s="711" t="s">
        <v>1516</v>
      </c>
      <c r="U29" s="1124">
        <v>-0.1</v>
      </c>
      <c r="V29" s="1150">
        <v>1</v>
      </c>
      <c r="W29" s="781">
        <f t="shared" si="228"/>
        <v>0</v>
      </c>
      <c r="X29" s="781">
        <f t="shared" si="228"/>
        <v>0</v>
      </c>
      <c r="Y29" s="781">
        <f t="shared" si="228"/>
        <v>0</v>
      </c>
      <c r="Z29" s="781">
        <f t="shared" si="228"/>
        <v>0</v>
      </c>
      <c r="AA29" s="781">
        <f t="shared" si="228"/>
        <v>0</v>
      </c>
      <c r="AB29" s="781">
        <f t="shared" si="228"/>
        <v>0</v>
      </c>
      <c r="AC29" s="781">
        <f t="shared" si="228"/>
        <v>0</v>
      </c>
      <c r="AD29" s="711" t="s">
        <v>384</v>
      </c>
      <c r="AE29" s="1126" t="s">
        <v>375</v>
      </c>
      <c r="AF29" s="711" t="s">
        <v>322</v>
      </c>
      <c r="AG29" s="711" t="s">
        <v>1522</v>
      </c>
      <c r="AH29" s="711" t="s">
        <v>1</v>
      </c>
      <c r="AI29" s="711" t="s">
        <v>378</v>
      </c>
      <c r="AJ29" s="711" t="s">
        <v>378</v>
      </c>
      <c r="AK29" s="711" t="s">
        <v>378</v>
      </c>
      <c r="AL29" s="715" t="s">
        <v>1531</v>
      </c>
      <c r="AM29" s="715" t="s">
        <v>380</v>
      </c>
      <c r="AN29" s="715" t="s">
        <v>381</v>
      </c>
      <c r="AO29" s="711">
        <v>1</v>
      </c>
      <c r="AP29" s="711">
        <v>1</v>
      </c>
      <c r="AQ29" s="711" t="s">
        <v>1517</v>
      </c>
      <c r="AR29" s="716">
        <v>1</v>
      </c>
      <c r="AS29" s="716">
        <v>1</v>
      </c>
      <c r="AT29" s="717">
        <v>0</v>
      </c>
      <c r="AU29" s="1129">
        <f t="shared" si="300"/>
        <v>0</v>
      </c>
      <c r="AV29" s="499">
        <f t="shared" si="301"/>
        <v>0</v>
      </c>
      <c r="AW29" s="499">
        <f t="shared" si="302"/>
        <v>0</v>
      </c>
      <c r="AX29" s="499">
        <f t="shared" si="303"/>
        <v>0</v>
      </c>
      <c r="AY29" s="499">
        <f t="shared" si="229"/>
        <v>0</v>
      </c>
      <c r="AZ29" s="499">
        <f t="shared" si="230"/>
        <v>0</v>
      </c>
      <c r="BA29" s="719">
        <f t="shared" si="230"/>
        <v>0</v>
      </c>
      <c r="BB29" s="1129">
        <f t="shared" si="304"/>
        <v>0</v>
      </c>
      <c r="BC29" s="499">
        <f t="shared" si="305"/>
        <v>0</v>
      </c>
      <c r="BD29" s="499">
        <f t="shared" si="306"/>
        <v>0</v>
      </c>
      <c r="BE29" s="499">
        <f t="shared" si="307"/>
        <v>0</v>
      </c>
      <c r="BF29" s="499">
        <f t="shared" si="231"/>
        <v>0</v>
      </c>
      <c r="BG29" s="499">
        <f t="shared" si="232"/>
        <v>0</v>
      </c>
      <c r="BH29" s="719">
        <f t="shared" si="232"/>
        <v>0</v>
      </c>
      <c r="BI29" s="1132">
        <f t="shared" si="308"/>
        <v>160</v>
      </c>
      <c r="BJ29" s="499">
        <f t="shared" si="309"/>
        <v>160</v>
      </c>
      <c r="BK29" s="499">
        <f t="shared" si="310"/>
        <v>160</v>
      </c>
      <c r="BL29" s="499">
        <f t="shared" si="311"/>
        <v>160</v>
      </c>
      <c r="BM29" s="499">
        <f t="shared" si="312"/>
        <v>160</v>
      </c>
      <c r="BN29" s="499">
        <f t="shared" si="313"/>
        <v>160</v>
      </c>
      <c r="BO29" s="720">
        <f t="shared" si="313"/>
        <v>160</v>
      </c>
      <c r="BP29" s="774">
        <f t="shared" si="233"/>
        <v>0</v>
      </c>
      <c r="BQ29" s="503">
        <f t="shared" si="233"/>
        <v>0</v>
      </c>
      <c r="BR29" s="503">
        <f t="shared" si="233"/>
        <v>0</v>
      </c>
      <c r="BS29" s="503">
        <f t="shared" si="233"/>
        <v>0</v>
      </c>
      <c r="BT29" s="503">
        <f t="shared" si="233"/>
        <v>0</v>
      </c>
      <c r="BU29" s="503">
        <f t="shared" si="233"/>
        <v>0</v>
      </c>
      <c r="BV29" s="776">
        <f t="shared" si="233"/>
        <v>0</v>
      </c>
      <c r="BW29" s="722">
        <f t="shared" si="314"/>
        <v>0</v>
      </c>
      <c r="BX29" s="511">
        <f t="shared" si="234"/>
        <v>0</v>
      </c>
      <c r="BY29" s="511">
        <f t="shared" si="235"/>
        <v>0</v>
      </c>
      <c r="BZ29" s="511">
        <f t="shared" si="236"/>
        <v>0</v>
      </c>
      <c r="CA29" s="511">
        <f t="shared" si="237"/>
        <v>0</v>
      </c>
      <c r="CB29" s="511">
        <f t="shared" si="238"/>
        <v>0</v>
      </c>
      <c r="CC29" s="723">
        <f t="shared" si="238"/>
        <v>0</v>
      </c>
      <c r="CD29" s="722">
        <f t="shared" si="315"/>
        <v>0.4</v>
      </c>
      <c r="CE29" s="511">
        <f t="shared" si="239"/>
        <v>0.4</v>
      </c>
      <c r="CF29" s="511">
        <f t="shared" si="240"/>
        <v>0.4</v>
      </c>
      <c r="CG29" s="511">
        <f t="shared" si="241"/>
        <v>0.4</v>
      </c>
      <c r="CH29" s="511">
        <f t="shared" si="242"/>
        <v>0.4</v>
      </c>
      <c r="CI29" s="511">
        <f t="shared" si="243"/>
        <v>0.4</v>
      </c>
      <c r="CJ29" s="723">
        <f t="shared" si="243"/>
        <v>0.4</v>
      </c>
      <c r="CK29" s="511">
        <f t="shared" si="316"/>
        <v>0</v>
      </c>
      <c r="CL29" s="511">
        <f t="shared" si="244"/>
        <v>0</v>
      </c>
      <c r="CM29" s="511">
        <f t="shared" si="245"/>
        <v>0</v>
      </c>
      <c r="CN29" s="511">
        <f t="shared" si="246"/>
        <v>0</v>
      </c>
      <c r="CO29" s="511">
        <f t="shared" si="247"/>
        <v>0</v>
      </c>
      <c r="CP29" s="511">
        <f t="shared" si="248"/>
        <v>0</v>
      </c>
      <c r="CQ29" s="539">
        <f t="shared" si="248"/>
        <v>0</v>
      </c>
      <c r="CR29" s="724">
        <f t="shared" si="249"/>
        <v>0</v>
      </c>
      <c r="CS29" s="508">
        <f t="shared" si="250"/>
        <v>0</v>
      </c>
      <c r="CT29" s="508">
        <f t="shared" si="251"/>
        <v>0</v>
      </c>
      <c r="CU29" s="508">
        <f t="shared" si="252"/>
        <v>0</v>
      </c>
      <c r="CV29" s="508">
        <f t="shared" si="253"/>
        <v>0</v>
      </c>
      <c r="CW29" s="508">
        <f t="shared" si="254"/>
        <v>0</v>
      </c>
      <c r="CX29" s="725">
        <f t="shared" si="255"/>
        <v>0</v>
      </c>
      <c r="CY29" s="724">
        <f t="shared" si="256"/>
        <v>0</v>
      </c>
      <c r="CZ29" s="508">
        <f t="shared" si="257"/>
        <v>0</v>
      </c>
      <c r="DA29" s="508">
        <f t="shared" si="258"/>
        <v>0</v>
      </c>
      <c r="DB29" s="508">
        <f t="shared" si="259"/>
        <v>0</v>
      </c>
      <c r="DC29" s="508">
        <f t="shared" si="260"/>
        <v>0</v>
      </c>
      <c r="DD29" s="508">
        <f t="shared" si="261"/>
        <v>0</v>
      </c>
      <c r="DE29" s="725">
        <f t="shared" si="262"/>
        <v>0</v>
      </c>
      <c r="DF29" s="509">
        <f t="shared" si="263"/>
        <v>0</v>
      </c>
      <c r="DG29" s="508">
        <f t="shared" si="264"/>
        <v>0</v>
      </c>
      <c r="DH29" s="508">
        <f t="shared" si="265"/>
        <v>0</v>
      </c>
      <c r="DI29" s="508">
        <f t="shared" si="266"/>
        <v>0</v>
      </c>
      <c r="DJ29" s="508">
        <f t="shared" si="267"/>
        <v>0</v>
      </c>
      <c r="DK29" s="508">
        <f t="shared" si="268"/>
        <v>0</v>
      </c>
      <c r="DL29" s="726">
        <f t="shared" si="269"/>
        <v>0</v>
      </c>
      <c r="DM29" s="724">
        <f t="shared" si="270"/>
        <v>0</v>
      </c>
      <c r="DN29" s="508">
        <f t="shared" si="271"/>
        <v>0</v>
      </c>
      <c r="DO29" s="508">
        <f t="shared" si="272"/>
        <v>0</v>
      </c>
      <c r="DP29" s="508">
        <f t="shared" si="273"/>
        <v>0</v>
      </c>
      <c r="DQ29" s="508">
        <f t="shared" si="274"/>
        <v>0</v>
      </c>
      <c r="DR29" s="508">
        <f t="shared" si="275"/>
        <v>0</v>
      </c>
      <c r="DS29" s="725">
        <f t="shared" si="276"/>
        <v>0</v>
      </c>
      <c r="DT29" s="722">
        <f t="shared" si="277"/>
        <v>0</v>
      </c>
      <c r="DU29" s="511">
        <f t="shared" si="278"/>
        <v>0</v>
      </c>
      <c r="DV29" s="511">
        <f t="shared" si="279"/>
        <v>0</v>
      </c>
      <c r="DW29" s="511">
        <f t="shared" si="280"/>
        <v>0</v>
      </c>
      <c r="DX29" s="511">
        <f t="shared" si="281"/>
        <v>0</v>
      </c>
      <c r="DY29" s="511">
        <f t="shared" si="282"/>
        <v>0</v>
      </c>
      <c r="DZ29" s="723">
        <f t="shared" si="283"/>
        <v>0</v>
      </c>
      <c r="EA29" s="722">
        <f t="shared" si="284"/>
        <v>0</v>
      </c>
      <c r="EB29" s="511">
        <f t="shared" si="285"/>
        <v>0</v>
      </c>
      <c r="EC29" s="511">
        <f t="shared" si="286"/>
        <v>0</v>
      </c>
      <c r="ED29" s="511">
        <f t="shared" si="287"/>
        <v>0</v>
      </c>
      <c r="EE29" s="511">
        <f t="shared" si="288"/>
        <v>0</v>
      </c>
      <c r="EF29" s="511">
        <f t="shared" si="289"/>
        <v>0</v>
      </c>
      <c r="EG29" s="723">
        <f t="shared" si="290"/>
        <v>0</v>
      </c>
      <c r="EH29" s="507">
        <f t="shared" si="291"/>
        <v>0</v>
      </c>
      <c r="EI29" s="511">
        <f t="shared" si="292"/>
        <v>0</v>
      </c>
      <c r="EJ29" s="511">
        <f t="shared" si="293"/>
        <v>0</v>
      </c>
      <c r="EK29" s="511">
        <f t="shared" si="294"/>
        <v>0</v>
      </c>
      <c r="EL29" s="511">
        <f t="shared" si="295"/>
        <v>0</v>
      </c>
      <c r="EM29" s="511">
        <f t="shared" si="296"/>
        <v>0</v>
      </c>
      <c r="EN29" s="723">
        <f t="shared" si="297"/>
        <v>0</v>
      </c>
      <c r="EO29" s="977">
        <f t="shared" si="317"/>
        <v>0</v>
      </c>
      <c r="EP29" s="728">
        <f t="shared" si="318"/>
        <v>0</v>
      </c>
      <c r="EQ29" s="728">
        <f t="shared" si="319"/>
        <v>0</v>
      </c>
      <c r="ER29" s="728">
        <f t="shared" si="320"/>
        <v>0</v>
      </c>
      <c r="ES29" s="728">
        <f t="shared" si="321"/>
        <v>0</v>
      </c>
      <c r="ET29" s="978">
        <f t="shared" si="322"/>
        <v>0</v>
      </c>
      <c r="EU29" s="978">
        <f t="shared" si="323"/>
        <v>0</v>
      </c>
      <c r="EV29" s="778">
        <f t="shared" si="324"/>
        <v>0</v>
      </c>
    </row>
    <row r="30" spans="1:160" s="10" customFormat="1" ht="12.75" customHeight="1">
      <c r="A30" s="661" t="s">
        <v>191</v>
      </c>
      <c r="B30" s="789" t="s">
        <v>1550</v>
      </c>
      <c r="C30" s="662" t="s">
        <v>1532</v>
      </c>
      <c r="D30" s="715" t="s">
        <v>1514</v>
      </c>
      <c r="E30" s="703" t="s">
        <v>1515</v>
      </c>
      <c r="F30" s="1134" t="s">
        <v>402</v>
      </c>
      <c r="G30" s="1134">
        <v>0</v>
      </c>
      <c r="H30" s="704">
        <v>0</v>
      </c>
      <c r="I30" s="704">
        <f>G30+H30</f>
        <v>0</v>
      </c>
      <c r="J30" s="1121">
        <v>0</v>
      </c>
      <c r="K30" s="704" t="s">
        <v>378</v>
      </c>
      <c r="L30" s="1121" t="s">
        <v>378</v>
      </c>
      <c r="M30" s="1122">
        <f>M21</f>
        <v>36.787962138985513</v>
      </c>
      <c r="N30" s="1122">
        <f t="shared" si="299"/>
        <v>36.787962138985513</v>
      </c>
      <c r="O30" s="707">
        <v>0</v>
      </c>
      <c r="P30" s="707">
        <v>0</v>
      </c>
      <c r="Q30" s="715">
        <v>0</v>
      </c>
      <c r="R30" s="1123">
        <v>1.59</v>
      </c>
      <c r="S30" s="715">
        <v>0</v>
      </c>
      <c r="T30" s="711" t="s">
        <v>1516</v>
      </c>
      <c r="U30" s="1124">
        <v>-0.1</v>
      </c>
      <c r="V30" s="1149">
        <v>1</v>
      </c>
      <c r="W30" s="781">
        <f t="shared" si="228"/>
        <v>1450</v>
      </c>
      <c r="X30" s="781">
        <f t="shared" si="228"/>
        <v>1300</v>
      </c>
      <c r="Y30" s="781">
        <f t="shared" si="228"/>
        <v>1150</v>
      </c>
      <c r="Z30" s="781">
        <f t="shared" si="228"/>
        <v>1000</v>
      </c>
      <c r="AA30" s="781">
        <f t="shared" si="228"/>
        <v>900</v>
      </c>
      <c r="AB30" s="781">
        <f t="shared" si="228"/>
        <v>800</v>
      </c>
      <c r="AC30" s="781">
        <f t="shared" si="228"/>
        <v>700</v>
      </c>
      <c r="AD30" s="711" t="s">
        <v>384</v>
      </c>
      <c r="AE30" s="711" t="s">
        <v>742</v>
      </c>
      <c r="AF30" s="711" t="s">
        <v>1146</v>
      </c>
      <c r="AG30" s="711" t="s">
        <v>1533</v>
      </c>
      <c r="AH30" s="711" t="s">
        <v>1</v>
      </c>
      <c r="AI30" s="711" t="s">
        <v>378</v>
      </c>
      <c r="AJ30" s="711" t="s">
        <v>378</v>
      </c>
      <c r="AK30" s="711" t="s">
        <v>378</v>
      </c>
      <c r="AL30" s="715" t="s">
        <v>1187</v>
      </c>
      <c r="AM30" s="715" t="s">
        <v>380</v>
      </c>
      <c r="AN30" s="715" t="s">
        <v>746</v>
      </c>
      <c r="AO30" s="711">
        <v>1</v>
      </c>
      <c r="AP30" s="711">
        <v>1</v>
      </c>
      <c r="AQ30" s="711" t="s">
        <v>1534</v>
      </c>
      <c r="AR30" s="716">
        <v>1</v>
      </c>
      <c r="AS30" s="716">
        <v>1</v>
      </c>
      <c r="AT30" s="717">
        <v>0</v>
      </c>
      <c r="AU30" s="1129">
        <f t="shared" si="300"/>
        <v>0</v>
      </c>
      <c r="AV30" s="499">
        <f t="shared" ref="AV30:AW31" si="325">AU30</f>
        <v>0</v>
      </c>
      <c r="AW30" s="499">
        <f t="shared" si="325"/>
        <v>0</v>
      </c>
      <c r="AX30" s="499">
        <f>AU30</f>
        <v>0</v>
      </c>
      <c r="AY30" s="499">
        <f t="shared" si="229"/>
        <v>0</v>
      </c>
      <c r="AZ30" s="499">
        <f t="shared" si="230"/>
        <v>0</v>
      </c>
      <c r="BA30" s="719">
        <f t="shared" si="230"/>
        <v>0</v>
      </c>
      <c r="BB30" s="1129">
        <f t="shared" si="304"/>
        <v>0</v>
      </c>
      <c r="BC30" s="499">
        <f t="shared" ref="BC30:BE31" si="326">BB30</f>
        <v>0</v>
      </c>
      <c r="BD30" s="499">
        <f t="shared" si="326"/>
        <v>0</v>
      </c>
      <c r="BE30" s="499">
        <f t="shared" si="326"/>
        <v>0</v>
      </c>
      <c r="BF30" s="499">
        <f t="shared" si="231"/>
        <v>0</v>
      </c>
      <c r="BG30" s="499">
        <f t="shared" si="232"/>
        <v>0</v>
      </c>
      <c r="BH30" s="719">
        <f t="shared" si="232"/>
        <v>0</v>
      </c>
      <c r="BI30" s="1132">
        <f t="shared" si="308"/>
        <v>36.787962138985513</v>
      </c>
      <c r="BJ30" s="499">
        <f t="shared" ref="BJ30:BL31" si="327">BI30</f>
        <v>36.787962138985513</v>
      </c>
      <c r="BK30" s="499">
        <f t="shared" si="327"/>
        <v>36.787962138985513</v>
      </c>
      <c r="BL30" s="499">
        <f t="shared" si="327"/>
        <v>36.787962138985513</v>
      </c>
      <c r="BM30" s="499">
        <f t="shared" si="312"/>
        <v>36.787962138985513</v>
      </c>
      <c r="BN30" s="499">
        <f t="shared" si="313"/>
        <v>36.787962138985513</v>
      </c>
      <c r="BO30" s="720">
        <f t="shared" si="313"/>
        <v>36.787962138985513</v>
      </c>
      <c r="BP30" s="774">
        <f t="shared" si="233"/>
        <v>0</v>
      </c>
      <c r="BQ30" s="503">
        <f t="shared" si="233"/>
        <v>0</v>
      </c>
      <c r="BR30" s="503">
        <f t="shared" si="233"/>
        <v>0</v>
      </c>
      <c r="BS30" s="503">
        <f t="shared" si="233"/>
        <v>0</v>
      </c>
      <c r="BT30" s="503">
        <f t="shared" si="233"/>
        <v>0</v>
      </c>
      <c r="BU30" s="503">
        <f t="shared" si="233"/>
        <v>0</v>
      </c>
      <c r="BV30" s="776">
        <f t="shared" si="233"/>
        <v>0</v>
      </c>
      <c r="BW30" s="722">
        <f t="shared" si="314"/>
        <v>0</v>
      </c>
      <c r="BX30" s="511">
        <f t="shared" ref="BX30:BZ31" si="328">BW30</f>
        <v>0</v>
      </c>
      <c r="BY30" s="511">
        <f t="shared" si="328"/>
        <v>0</v>
      </c>
      <c r="BZ30" s="511">
        <f t="shared" si="328"/>
        <v>0</v>
      </c>
      <c r="CA30" s="511">
        <f t="shared" si="237"/>
        <v>0</v>
      </c>
      <c r="CB30" s="511">
        <f t="shared" si="238"/>
        <v>0</v>
      </c>
      <c r="CC30" s="723">
        <f t="shared" si="238"/>
        <v>0</v>
      </c>
      <c r="CD30" s="722">
        <f t="shared" si="315"/>
        <v>1.59</v>
      </c>
      <c r="CE30" s="511">
        <f t="shared" ref="CE30:CG31" si="329">CD30</f>
        <v>1.59</v>
      </c>
      <c r="CF30" s="511">
        <f t="shared" si="329"/>
        <v>1.59</v>
      </c>
      <c r="CG30" s="511">
        <f t="shared" si="329"/>
        <v>1.59</v>
      </c>
      <c r="CH30" s="511">
        <f t="shared" si="242"/>
        <v>1.59</v>
      </c>
      <c r="CI30" s="511">
        <f t="shared" si="243"/>
        <v>1.59</v>
      </c>
      <c r="CJ30" s="723">
        <f t="shared" si="243"/>
        <v>1.59</v>
      </c>
      <c r="CK30" s="511">
        <f t="shared" si="316"/>
        <v>0</v>
      </c>
      <c r="CL30" s="511">
        <f t="shared" ref="CL30:CN31" si="330">CK30</f>
        <v>0</v>
      </c>
      <c r="CM30" s="511">
        <f t="shared" si="330"/>
        <v>0</v>
      </c>
      <c r="CN30" s="511">
        <f t="shared" si="330"/>
        <v>0</v>
      </c>
      <c r="CO30" s="511">
        <f t="shared" si="247"/>
        <v>0</v>
      </c>
      <c r="CP30" s="511">
        <f t="shared" si="248"/>
        <v>0</v>
      </c>
      <c r="CQ30" s="539">
        <f t="shared" si="248"/>
        <v>0</v>
      </c>
      <c r="CR30" s="724">
        <f t="shared" si="249"/>
        <v>0</v>
      </c>
      <c r="CS30" s="508">
        <f t="shared" si="250"/>
        <v>0</v>
      </c>
      <c r="CT30" s="508">
        <f t="shared" si="251"/>
        <v>0</v>
      </c>
      <c r="CU30" s="508">
        <f t="shared" si="252"/>
        <v>0</v>
      </c>
      <c r="CV30" s="508">
        <f t="shared" si="253"/>
        <v>0</v>
      </c>
      <c r="CW30" s="508">
        <f t="shared" si="254"/>
        <v>0</v>
      </c>
      <c r="CX30" s="725">
        <f t="shared" si="255"/>
        <v>0</v>
      </c>
      <c r="CY30" s="724">
        <f t="shared" si="256"/>
        <v>0</v>
      </c>
      <c r="CZ30" s="508">
        <f t="shared" si="257"/>
        <v>0</v>
      </c>
      <c r="DA30" s="508">
        <f t="shared" si="258"/>
        <v>0</v>
      </c>
      <c r="DB30" s="508">
        <f t="shared" si="259"/>
        <v>0</v>
      </c>
      <c r="DC30" s="508">
        <f t="shared" si="260"/>
        <v>0</v>
      </c>
      <c r="DD30" s="508">
        <f t="shared" si="261"/>
        <v>0</v>
      </c>
      <c r="DE30" s="725">
        <f t="shared" si="262"/>
        <v>0</v>
      </c>
      <c r="DF30" s="509">
        <f t="shared" si="263"/>
        <v>53342.545101528995</v>
      </c>
      <c r="DG30" s="508">
        <f t="shared" si="264"/>
        <v>47824.350780681169</v>
      </c>
      <c r="DH30" s="508">
        <f t="shared" si="265"/>
        <v>42306.156459833343</v>
      </c>
      <c r="DI30" s="508">
        <f t="shared" si="266"/>
        <v>36787.962138985517</v>
      </c>
      <c r="DJ30" s="508">
        <f t="shared" si="267"/>
        <v>33109.165925086963</v>
      </c>
      <c r="DK30" s="508">
        <f t="shared" si="268"/>
        <v>29430.36971118841</v>
      </c>
      <c r="DL30" s="726">
        <f t="shared" si="269"/>
        <v>25751.573497289861</v>
      </c>
      <c r="DM30" s="724">
        <f t="shared" si="270"/>
        <v>0</v>
      </c>
      <c r="DN30" s="508">
        <f t="shared" si="271"/>
        <v>0</v>
      </c>
      <c r="DO30" s="508">
        <f t="shared" si="272"/>
        <v>0</v>
      </c>
      <c r="DP30" s="508">
        <f t="shared" si="273"/>
        <v>0</v>
      </c>
      <c r="DQ30" s="508">
        <f t="shared" si="274"/>
        <v>0</v>
      </c>
      <c r="DR30" s="508">
        <f t="shared" si="275"/>
        <v>0</v>
      </c>
      <c r="DS30" s="725">
        <f t="shared" si="276"/>
        <v>0</v>
      </c>
      <c r="DT30" s="722">
        <f t="shared" si="277"/>
        <v>0</v>
      </c>
      <c r="DU30" s="511">
        <f t="shared" si="278"/>
        <v>0</v>
      </c>
      <c r="DV30" s="511">
        <f t="shared" si="279"/>
        <v>0</v>
      </c>
      <c r="DW30" s="511">
        <f t="shared" si="280"/>
        <v>0</v>
      </c>
      <c r="DX30" s="511">
        <f t="shared" si="281"/>
        <v>0</v>
      </c>
      <c r="DY30" s="511">
        <f t="shared" si="282"/>
        <v>0</v>
      </c>
      <c r="DZ30" s="723">
        <f t="shared" si="283"/>
        <v>0</v>
      </c>
      <c r="EA30" s="722">
        <f t="shared" si="284"/>
        <v>2305.5</v>
      </c>
      <c r="EB30" s="511">
        <f t="shared" si="285"/>
        <v>2067</v>
      </c>
      <c r="EC30" s="511">
        <f t="shared" si="286"/>
        <v>1828.5</v>
      </c>
      <c r="ED30" s="511">
        <f t="shared" si="287"/>
        <v>1590</v>
      </c>
      <c r="EE30" s="511">
        <f t="shared" si="288"/>
        <v>1431</v>
      </c>
      <c r="EF30" s="511">
        <f t="shared" si="289"/>
        <v>1272</v>
      </c>
      <c r="EG30" s="723">
        <f t="shared" si="290"/>
        <v>1113</v>
      </c>
      <c r="EH30" s="507">
        <f t="shared" si="291"/>
        <v>0</v>
      </c>
      <c r="EI30" s="511">
        <f t="shared" si="292"/>
        <v>0</v>
      </c>
      <c r="EJ30" s="511">
        <f t="shared" si="293"/>
        <v>0</v>
      </c>
      <c r="EK30" s="511">
        <f t="shared" si="294"/>
        <v>0</v>
      </c>
      <c r="EL30" s="511">
        <f t="shared" si="295"/>
        <v>0</v>
      </c>
      <c r="EM30" s="511">
        <f t="shared" si="296"/>
        <v>0</v>
      </c>
      <c r="EN30" s="723">
        <f t="shared" si="297"/>
        <v>0</v>
      </c>
      <c r="EO30" s="727">
        <f t="shared" si="317"/>
        <v>1042.8571428571429</v>
      </c>
      <c r="EP30" s="728">
        <f t="shared" si="318"/>
        <v>0</v>
      </c>
      <c r="EQ30" s="728">
        <f t="shared" si="319"/>
        <v>0</v>
      </c>
      <c r="ER30" s="728">
        <f t="shared" si="320"/>
        <v>268552.12361459428</v>
      </c>
      <c r="ES30" s="728">
        <f t="shared" si="321"/>
        <v>0</v>
      </c>
      <c r="ET30" s="777">
        <f t="shared" si="322"/>
        <v>0</v>
      </c>
      <c r="EU30" s="777">
        <f t="shared" si="323"/>
        <v>2305.5</v>
      </c>
      <c r="EV30" s="778">
        <f t="shared" si="324"/>
        <v>0</v>
      </c>
    </row>
    <row r="31" spans="1:160" s="10" customFormat="1" ht="12.5">
      <c r="A31" s="661" t="s">
        <v>192</v>
      </c>
      <c r="B31" s="789" t="s">
        <v>1551</v>
      </c>
      <c r="C31" s="662" t="s">
        <v>1535</v>
      </c>
      <c r="D31" s="715" t="s">
        <v>1514</v>
      </c>
      <c r="E31" s="703" t="s">
        <v>1515</v>
      </c>
      <c r="F31" s="1134" t="s">
        <v>402</v>
      </c>
      <c r="G31" s="1134">
        <v>0</v>
      </c>
      <c r="H31" s="704">
        <v>0</v>
      </c>
      <c r="I31" s="704">
        <f>G31+H31</f>
        <v>0</v>
      </c>
      <c r="J31" s="1121">
        <v>0</v>
      </c>
      <c r="K31" s="704" t="s">
        <v>378</v>
      </c>
      <c r="L31" s="1121" t="s">
        <v>378</v>
      </c>
      <c r="M31" s="1122">
        <f>M22</f>
        <v>8</v>
      </c>
      <c r="N31" s="1122">
        <f t="shared" si="299"/>
        <v>16</v>
      </c>
      <c r="O31" s="707">
        <v>0</v>
      </c>
      <c r="P31" s="707">
        <v>0</v>
      </c>
      <c r="Q31" s="715">
        <v>0</v>
      </c>
      <c r="R31" s="1135">
        <v>0.4</v>
      </c>
      <c r="S31" s="715">
        <v>0</v>
      </c>
      <c r="T31" s="711" t="s">
        <v>1516</v>
      </c>
      <c r="U31" s="1124">
        <v>-0.1</v>
      </c>
      <c r="V31" s="1149">
        <v>1</v>
      </c>
      <c r="W31" s="781">
        <f t="shared" si="228"/>
        <v>150</v>
      </c>
      <c r="X31" s="781">
        <f t="shared" si="228"/>
        <v>135</v>
      </c>
      <c r="Y31" s="781">
        <f t="shared" si="228"/>
        <v>100</v>
      </c>
      <c r="Z31" s="781">
        <f t="shared" si="228"/>
        <v>50</v>
      </c>
      <c r="AA31" s="781">
        <f t="shared" si="228"/>
        <v>0</v>
      </c>
      <c r="AB31" s="781">
        <f t="shared" si="228"/>
        <v>0</v>
      </c>
      <c r="AC31" s="781">
        <f t="shared" si="228"/>
        <v>0</v>
      </c>
      <c r="AD31" s="711" t="s">
        <v>384</v>
      </c>
      <c r="AE31" s="711" t="s">
        <v>742</v>
      </c>
      <c r="AF31" s="711" t="s">
        <v>1146</v>
      </c>
      <c r="AG31" s="711" t="s">
        <v>753</v>
      </c>
      <c r="AH31" s="711" t="s">
        <v>1</v>
      </c>
      <c r="AI31" s="711" t="s">
        <v>378</v>
      </c>
      <c r="AJ31" s="711" t="s">
        <v>378</v>
      </c>
      <c r="AK31" s="711" t="s">
        <v>378</v>
      </c>
      <c r="AL31" s="715" t="s">
        <v>1158</v>
      </c>
      <c r="AM31" s="715" t="s">
        <v>380</v>
      </c>
      <c r="AN31" s="715" t="s">
        <v>746</v>
      </c>
      <c r="AO31" s="711">
        <v>1</v>
      </c>
      <c r="AP31" s="711">
        <v>1</v>
      </c>
      <c r="AQ31" s="711" t="s">
        <v>1534</v>
      </c>
      <c r="AR31" s="716">
        <v>1</v>
      </c>
      <c r="AS31" s="716">
        <v>1</v>
      </c>
      <c r="AT31" s="717">
        <v>0</v>
      </c>
      <c r="AU31" s="1129">
        <f t="shared" si="300"/>
        <v>0</v>
      </c>
      <c r="AV31" s="499">
        <f t="shared" si="325"/>
        <v>0</v>
      </c>
      <c r="AW31" s="499">
        <f t="shared" si="325"/>
        <v>0</v>
      </c>
      <c r="AX31" s="499">
        <f>AU31</f>
        <v>0</v>
      </c>
      <c r="AY31" s="499">
        <f t="shared" si="229"/>
        <v>0</v>
      </c>
      <c r="AZ31" s="499">
        <f t="shared" si="230"/>
        <v>0</v>
      </c>
      <c r="BA31" s="719">
        <f t="shared" si="230"/>
        <v>0</v>
      </c>
      <c r="BB31" s="1129">
        <f t="shared" si="304"/>
        <v>0</v>
      </c>
      <c r="BC31" s="499">
        <f t="shared" si="326"/>
        <v>0</v>
      </c>
      <c r="BD31" s="499">
        <f t="shared" si="326"/>
        <v>0</v>
      </c>
      <c r="BE31" s="499">
        <f t="shared" si="326"/>
        <v>0</v>
      </c>
      <c r="BF31" s="499">
        <f t="shared" si="231"/>
        <v>0</v>
      </c>
      <c r="BG31" s="499">
        <f t="shared" si="232"/>
        <v>0</v>
      </c>
      <c r="BH31" s="719">
        <f t="shared" si="232"/>
        <v>0</v>
      </c>
      <c r="BI31" s="1132">
        <f t="shared" si="308"/>
        <v>16</v>
      </c>
      <c r="BJ31" s="499">
        <f t="shared" si="327"/>
        <v>16</v>
      </c>
      <c r="BK31" s="499">
        <f t="shared" si="327"/>
        <v>16</v>
      </c>
      <c r="BL31" s="499">
        <f t="shared" si="327"/>
        <v>16</v>
      </c>
      <c r="BM31" s="499">
        <f t="shared" si="312"/>
        <v>16</v>
      </c>
      <c r="BN31" s="499">
        <f t="shared" si="313"/>
        <v>16</v>
      </c>
      <c r="BO31" s="720">
        <f t="shared" si="313"/>
        <v>16</v>
      </c>
      <c r="BP31" s="774">
        <f t="shared" si="233"/>
        <v>0</v>
      </c>
      <c r="BQ31" s="503">
        <f t="shared" si="233"/>
        <v>0</v>
      </c>
      <c r="BR31" s="503">
        <f t="shared" si="233"/>
        <v>0</v>
      </c>
      <c r="BS31" s="503">
        <f t="shared" si="233"/>
        <v>0</v>
      </c>
      <c r="BT31" s="503">
        <f t="shared" si="233"/>
        <v>0</v>
      </c>
      <c r="BU31" s="503">
        <f t="shared" si="233"/>
        <v>0</v>
      </c>
      <c r="BV31" s="776">
        <f t="shared" si="233"/>
        <v>0</v>
      </c>
      <c r="BW31" s="722">
        <f t="shared" si="314"/>
        <v>0</v>
      </c>
      <c r="BX31" s="511">
        <f t="shared" si="328"/>
        <v>0</v>
      </c>
      <c r="BY31" s="511">
        <f t="shared" si="328"/>
        <v>0</v>
      </c>
      <c r="BZ31" s="511">
        <f t="shared" si="328"/>
        <v>0</v>
      </c>
      <c r="CA31" s="511">
        <f t="shared" si="237"/>
        <v>0</v>
      </c>
      <c r="CB31" s="511">
        <f t="shared" si="238"/>
        <v>0</v>
      </c>
      <c r="CC31" s="723">
        <f t="shared" si="238"/>
        <v>0</v>
      </c>
      <c r="CD31" s="722">
        <f t="shared" si="315"/>
        <v>0.4</v>
      </c>
      <c r="CE31" s="511">
        <f t="shared" si="329"/>
        <v>0.4</v>
      </c>
      <c r="CF31" s="511">
        <f t="shared" si="329"/>
        <v>0.4</v>
      </c>
      <c r="CG31" s="511">
        <f t="shared" si="329"/>
        <v>0.4</v>
      </c>
      <c r="CH31" s="511">
        <f t="shared" si="242"/>
        <v>0.4</v>
      </c>
      <c r="CI31" s="511">
        <f t="shared" si="243"/>
        <v>0.4</v>
      </c>
      <c r="CJ31" s="723">
        <f t="shared" si="243"/>
        <v>0.4</v>
      </c>
      <c r="CK31" s="511">
        <f t="shared" si="316"/>
        <v>0</v>
      </c>
      <c r="CL31" s="511">
        <f t="shared" si="330"/>
        <v>0</v>
      </c>
      <c r="CM31" s="511">
        <f t="shared" si="330"/>
        <v>0</v>
      </c>
      <c r="CN31" s="511">
        <f t="shared" si="330"/>
        <v>0</v>
      </c>
      <c r="CO31" s="511">
        <f t="shared" si="247"/>
        <v>0</v>
      </c>
      <c r="CP31" s="511">
        <f t="shared" si="248"/>
        <v>0</v>
      </c>
      <c r="CQ31" s="539">
        <f t="shared" si="248"/>
        <v>0</v>
      </c>
      <c r="CR31" s="724">
        <f t="shared" si="249"/>
        <v>0</v>
      </c>
      <c r="CS31" s="508">
        <f t="shared" si="250"/>
        <v>0</v>
      </c>
      <c r="CT31" s="508">
        <f t="shared" si="251"/>
        <v>0</v>
      </c>
      <c r="CU31" s="508">
        <f t="shared" si="252"/>
        <v>0</v>
      </c>
      <c r="CV31" s="508">
        <f t="shared" si="253"/>
        <v>0</v>
      </c>
      <c r="CW31" s="508">
        <f t="shared" si="254"/>
        <v>0</v>
      </c>
      <c r="CX31" s="725">
        <f t="shared" si="255"/>
        <v>0</v>
      </c>
      <c r="CY31" s="724">
        <f t="shared" si="256"/>
        <v>0</v>
      </c>
      <c r="CZ31" s="508">
        <f t="shared" si="257"/>
        <v>0</v>
      </c>
      <c r="DA31" s="508">
        <f t="shared" si="258"/>
        <v>0</v>
      </c>
      <c r="DB31" s="508">
        <f t="shared" si="259"/>
        <v>0</v>
      </c>
      <c r="DC31" s="508">
        <f t="shared" si="260"/>
        <v>0</v>
      </c>
      <c r="DD31" s="508">
        <f t="shared" si="261"/>
        <v>0</v>
      </c>
      <c r="DE31" s="725">
        <f t="shared" si="262"/>
        <v>0</v>
      </c>
      <c r="DF31" s="509">
        <f t="shared" si="263"/>
        <v>2400</v>
      </c>
      <c r="DG31" s="508">
        <f t="shared" si="264"/>
        <v>2160</v>
      </c>
      <c r="DH31" s="508">
        <f t="shared" si="265"/>
        <v>1600</v>
      </c>
      <c r="DI31" s="508">
        <f t="shared" si="266"/>
        <v>800</v>
      </c>
      <c r="DJ31" s="508">
        <f t="shared" si="267"/>
        <v>0</v>
      </c>
      <c r="DK31" s="508">
        <f t="shared" si="268"/>
        <v>0</v>
      </c>
      <c r="DL31" s="726">
        <f t="shared" si="269"/>
        <v>0</v>
      </c>
      <c r="DM31" s="724">
        <f t="shared" si="270"/>
        <v>0</v>
      </c>
      <c r="DN31" s="508">
        <f t="shared" si="271"/>
        <v>0</v>
      </c>
      <c r="DO31" s="508">
        <f t="shared" si="272"/>
        <v>0</v>
      </c>
      <c r="DP31" s="508">
        <f t="shared" si="273"/>
        <v>0</v>
      </c>
      <c r="DQ31" s="508">
        <f t="shared" si="274"/>
        <v>0</v>
      </c>
      <c r="DR31" s="508">
        <f t="shared" si="275"/>
        <v>0</v>
      </c>
      <c r="DS31" s="725">
        <f t="shared" si="276"/>
        <v>0</v>
      </c>
      <c r="DT31" s="722">
        <f t="shared" si="277"/>
        <v>0</v>
      </c>
      <c r="DU31" s="511">
        <f t="shared" si="278"/>
        <v>0</v>
      </c>
      <c r="DV31" s="511">
        <f t="shared" si="279"/>
        <v>0</v>
      </c>
      <c r="DW31" s="511">
        <f t="shared" si="280"/>
        <v>0</v>
      </c>
      <c r="DX31" s="511">
        <f t="shared" si="281"/>
        <v>0</v>
      </c>
      <c r="DY31" s="511">
        <f t="shared" si="282"/>
        <v>0</v>
      </c>
      <c r="DZ31" s="723">
        <f t="shared" si="283"/>
        <v>0</v>
      </c>
      <c r="EA31" s="722">
        <f t="shared" si="284"/>
        <v>60</v>
      </c>
      <c r="EB31" s="511">
        <f t="shared" si="285"/>
        <v>54</v>
      </c>
      <c r="EC31" s="511">
        <f t="shared" si="286"/>
        <v>40</v>
      </c>
      <c r="ED31" s="511">
        <f t="shared" si="287"/>
        <v>20</v>
      </c>
      <c r="EE31" s="511">
        <f t="shared" si="288"/>
        <v>0</v>
      </c>
      <c r="EF31" s="511">
        <f t="shared" si="289"/>
        <v>0</v>
      </c>
      <c r="EG31" s="723">
        <f t="shared" si="290"/>
        <v>0</v>
      </c>
      <c r="EH31" s="507">
        <f t="shared" si="291"/>
        <v>0</v>
      </c>
      <c r="EI31" s="511">
        <f t="shared" si="292"/>
        <v>0</v>
      </c>
      <c r="EJ31" s="511">
        <f t="shared" si="293"/>
        <v>0</v>
      </c>
      <c r="EK31" s="511">
        <f t="shared" si="294"/>
        <v>0</v>
      </c>
      <c r="EL31" s="511">
        <f t="shared" si="295"/>
        <v>0</v>
      </c>
      <c r="EM31" s="511">
        <f t="shared" si="296"/>
        <v>0</v>
      </c>
      <c r="EN31" s="723">
        <f t="shared" si="297"/>
        <v>0</v>
      </c>
      <c r="EO31" s="727">
        <f t="shared" si="317"/>
        <v>62.142857142857146</v>
      </c>
      <c r="EP31" s="728">
        <f t="shared" si="318"/>
        <v>0</v>
      </c>
      <c r="EQ31" s="728">
        <f t="shared" si="319"/>
        <v>0</v>
      </c>
      <c r="ER31" s="728">
        <f t="shared" si="320"/>
        <v>6960</v>
      </c>
      <c r="ES31" s="728">
        <f t="shared" si="321"/>
        <v>0</v>
      </c>
      <c r="ET31" s="777">
        <f t="shared" si="322"/>
        <v>0</v>
      </c>
      <c r="EU31" s="777">
        <f t="shared" si="323"/>
        <v>60</v>
      </c>
      <c r="EV31" s="778">
        <f t="shared" si="324"/>
        <v>0</v>
      </c>
    </row>
    <row r="32" spans="1:160" ht="13.5" thickBot="1">
      <c r="A32" s="1036"/>
      <c r="B32" s="1037"/>
      <c r="C32" s="1151"/>
      <c r="D32" s="1038"/>
      <c r="E32" s="1037"/>
      <c r="F32" s="1039"/>
      <c r="G32" s="1039"/>
      <c r="H32" s="1039"/>
      <c r="I32" s="1041"/>
      <c r="J32" s="1041"/>
      <c r="K32" s="1041"/>
      <c r="L32" s="1048"/>
      <c r="M32" s="1140"/>
      <c r="N32" s="1140"/>
      <c r="O32" s="1141"/>
      <c r="P32" s="1141"/>
      <c r="Q32" s="1038"/>
      <c r="R32" s="1142"/>
      <c r="S32" s="1038"/>
      <c r="T32" s="1048"/>
      <c r="U32" s="1046"/>
      <c r="V32" s="1143"/>
      <c r="W32" s="1047"/>
      <c r="X32" s="1047"/>
      <c r="Y32" s="1047"/>
      <c r="Z32" s="1047"/>
      <c r="AA32" s="1047"/>
      <c r="AB32" s="1047"/>
      <c r="AC32" s="1047"/>
      <c r="AD32" s="1048"/>
      <c r="AE32" s="1048"/>
      <c r="AF32" s="1048"/>
      <c r="AG32" s="1048"/>
      <c r="AH32" s="1048"/>
      <c r="AI32" s="1048"/>
      <c r="AJ32" s="1048"/>
      <c r="AK32" s="1048"/>
      <c r="AL32" s="1038"/>
      <c r="AM32" s="1038"/>
      <c r="AN32" s="1038"/>
      <c r="AO32" s="1048"/>
      <c r="AP32" s="1048"/>
      <c r="AQ32" s="1048"/>
      <c r="AR32" s="1049"/>
      <c r="AS32" s="1049"/>
      <c r="AT32" s="1050"/>
      <c r="AU32" s="1152"/>
      <c r="AV32" s="1153"/>
      <c r="AW32" s="1153"/>
      <c r="AX32" s="1153"/>
      <c r="AY32" s="1153"/>
      <c r="AZ32" s="1153"/>
      <c r="BA32" s="1154"/>
      <c r="BB32" s="1152"/>
      <c r="BC32" s="1153"/>
      <c r="BD32" s="1153"/>
      <c r="BE32" s="1153"/>
      <c r="BF32" s="1153"/>
      <c r="BG32" s="1153"/>
      <c r="BH32" s="1154"/>
      <c r="BI32" s="1155"/>
      <c r="BJ32" s="1153"/>
      <c r="BK32" s="1153"/>
      <c r="BL32" s="1153"/>
      <c r="BM32" s="1153"/>
      <c r="BN32" s="1153"/>
      <c r="BO32" s="1156"/>
      <c r="BP32" s="1152"/>
      <c r="BQ32" s="1153"/>
      <c r="BR32" s="1153"/>
      <c r="BS32" s="1153"/>
      <c r="BT32" s="1153"/>
      <c r="BU32" s="1153"/>
      <c r="BV32" s="1154"/>
      <c r="BW32" s="331"/>
      <c r="BX32" s="310"/>
      <c r="BY32" s="310"/>
      <c r="BZ32" s="310"/>
      <c r="CA32" s="310"/>
      <c r="CB32" s="311"/>
      <c r="CC32" s="311"/>
      <c r="CD32" s="1157"/>
      <c r="CE32" s="1158"/>
      <c r="CF32" s="1158"/>
      <c r="CG32" s="1158"/>
      <c r="CH32" s="1158"/>
      <c r="CI32" s="1158"/>
      <c r="CJ32" s="1159"/>
      <c r="CK32" s="1158"/>
      <c r="CL32" s="1158"/>
      <c r="CM32" s="1158"/>
      <c r="CN32" s="1158"/>
      <c r="CO32" s="1158"/>
      <c r="CP32" s="1158"/>
      <c r="CQ32" s="1160"/>
      <c r="CR32" s="1161"/>
      <c r="CS32" s="1162"/>
      <c r="CT32" s="1162"/>
      <c r="CU32" s="1162"/>
      <c r="CV32" s="1162"/>
      <c r="CW32" s="1162"/>
      <c r="CX32" s="1163"/>
      <c r="CY32" s="1161"/>
      <c r="CZ32" s="1162"/>
      <c r="DA32" s="1162"/>
      <c r="DB32" s="1162"/>
      <c r="DC32" s="1162"/>
      <c r="DD32" s="1162"/>
      <c r="DE32" s="1163"/>
      <c r="DF32" s="1164"/>
      <c r="DG32" s="1162"/>
      <c r="DH32" s="1162"/>
      <c r="DI32" s="1162"/>
      <c r="DJ32" s="1162"/>
      <c r="DK32" s="1162"/>
      <c r="DL32" s="1165"/>
      <c r="DM32" s="1161"/>
      <c r="DN32" s="1162"/>
      <c r="DO32" s="1162"/>
      <c r="DP32" s="1162"/>
      <c r="DQ32" s="1162"/>
      <c r="DR32" s="1162"/>
      <c r="DS32" s="1163"/>
      <c r="DT32" s="1157"/>
      <c r="DU32" s="1158"/>
      <c r="DV32" s="1158"/>
      <c r="DW32" s="1158"/>
      <c r="DX32" s="1158"/>
      <c r="DY32" s="1158"/>
      <c r="DZ32" s="1159"/>
      <c r="EA32" s="1157"/>
      <c r="EB32" s="1158"/>
      <c r="EC32" s="1158"/>
      <c r="ED32" s="1158"/>
      <c r="EE32" s="1158"/>
      <c r="EF32" s="1158"/>
      <c r="EG32" s="1159"/>
      <c r="EH32" s="1166"/>
      <c r="EI32" s="1158"/>
      <c r="EJ32" s="1158"/>
      <c r="EK32" s="1158"/>
      <c r="EL32" s="1158"/>
      <c r="EM32" s="1158"/>
      <c r="EN32" s="1159"/>
      <c r="EO32" s="1061"/>
      <c r="EP32" s="1062"/>
      <c r="EQ32" s="1062"/>
      <c r="ER32" s="1062"/>
      <c r="ES32" s="1062"/>
      <c r="ET32" s="1063"/>
      <c r="EU32" s="1063"/>
      <c r="EV32" s="1054"/>
    </row>
    <row r="33" spans="2:23">
      <c r="C33" s="2"/>
      <c r="M33" s="14"/>
    </row>
    <row r="34" spans="2:23">
      <c r="C34" s="2"/>
      <c r="L34" s="2" t="s">
        <v>1552</v>
      </c>
    </row>
    <row r="35" spans="2:23">
      <c r="B35" s="320"/>
      <c r="C35" s="2"/>
      <c r="L35" s="803" t="s">
        <v>1553</v>
      </c>
      <c r="M35" s="1167">
        <v>10</v>
      </c>
    </row>
    <row r="36" spans="2:23" ht="14.5">
      <c r="B36" s="322"/>
      <c r="C36" s="2"/>
      <c r="L36" s="803" t="s">
        <v>1554</v>
      </c>
      <c r="M36" s="1168">
        <v>13650.25</v>
      </c>
    </row>
    <row r="37" spans="2:23" ht="14.5">
      <c r="B37" s="322"/>
      <c r="C37" s="2"/>
      <c r="L37" s="803" t="s">
        <v>1555</v>
      </c>
      <c r="M37" s="1169">
        <v>2226</v>
      </c>
      <c r="W37" s="107"/>
    </row>
    <row r="38" spans="2:23">
      <c r="C38" s="2"/>
      <c r="L38" s="803" t="s">
        <v>1556</v>
      </c>
      <c r="M38" s="1169">
        <f>ROUNDDOWN(M37,-3)</f>
        <v>2000</v>
      </c>
      <c r="W38" s="107"/>
    </row>
    <row r="39" spans="2:23">
      <c r="C39" s="2"/>
      <c r="L39" s="803" t="s">
        <v>1557</v>
      </c>
      <c r="M39" s="1169">
        <f>SUM(W9:W11)-M38</f>
        <v>25040</v>
      </c>
    </row>
    <row r="40" spans="2:23">
      <c r="C40" s="2"/>
      <c r="L40" s="803" t="s">
        <v>1558</v>
      </c>
      <c r="M40" s="1170">
        <f>M38/M39</f>
        <v>7.9872204472843447E-2</v>
      </c>
      <c r="N40" s="803" t="s">
        <v>1559</v>
      </c>
      <c r="O40" s="803" t="s">
        <v>1560</v>
      </c>
    </row>
    <row r="41" spans="2:23">
      <c r="C41" s="2"/>
      <c r="L41" s="803" t="s">
        <v>1524</v>
      </c>
      <c r="M41" s="1171">
        <f>W9/SUM($W$9:$W$11)</f>
        <v>0.99852071005917165</v>
      </c>
      <c r="N41" s="1172">
        <f>M41*$M$41*$M$38</f>
        <v>1994.0872168341446</v>
      </c>
      <c r="O41" s="1172">
        <f>N41/SUM(M38:M39)</f>
        <v>7.3745829024931375E-2</v>
      </c>
      <c r="P41" s="83"/>
    </row>
    <row r="42" spans="2:23">
      <c r="C42" s="2"/>
      <c r="L42" s="803" t="s">
        <v>1527</v>
      </c>
      <c r="M42" s="1171">
        <f t="shared" ref="M42:M43" si="331">W10/SUM($W$9:$W$11)</f>
        <v>1.4792899408284023E-3</v>
      </c>
      <c r="N42" s="1172">
        <f>M42*$M$38*$M$35</f>
        <v>29.585798816568047</v>
      </c>
      <c r="O42" s="1172">
        <f>N42/SUM(M38:M39)</f>
        <v>1.0941493645180492E-3</v>
      </c>
      <c r="P42" s="83"/>
    </row>
    <row r="43" spans="2:23">
      <c r="C43" s="2"/>
      <c r="L43" s="803" t="s">
        <v>1529</v>
      </c>
      <c r="M43" s="1171">
        <f t="shared" si="331"/>
        <v>0</v>
      </c>
      <c r="N43" s="1172">
        <f>M43*$M$38*$M$35</f>
        <v>0</v>
      </c>
      <c r="O43" s="1172">
        <f>N43/SUM(M38:M39)</f>
        <v>0</v>
      </c>
      <c r="P43" s="83"/>
    </row>
    <row r="44" spans="2:23">
      <c r="C44" s="2"/>
    </row>
    <row r="45" spans="2:23">
      <c r="B45" s="320"/>
      <c r="C45" s="2"/>
    </row>
    <row r="46" spans="2:23" ht="14.5">
      <c r="B46" s="322"/>
      <c r="C46" s="2"/>
    </row>
    <row r="47" spans="2:23">
      <c r="C47" s="2"/>
    </row>
  </sheetData>
  <autoFilter ref="A5:D31" xr:uid="{00000000-0009-0000-0000-00000B000000}"/>
  <mergeCells count="14">
    <mergeCell ref="AU2:BV2"/>
    <mergeCell ref="BW2:CC2"/>
    <mergeCell ref="F4:P4"/>
    <mergeCell ref="EO4:EV4"/>
    <mergeCell ref="Q4:T4"/>
    <mergeCell ref="U4:Z4"/>
    <mergeCell ref="AD4:AQ4"/>
    <mergeCell ref="AS4:AT4"/>
    <mergeCell ref="EH2:EN2"/>
    <mergeCell ref="CD2:CJ2"/>
    <mergeCell ref="CK2:CQ2"/>
    <mergeCell ref="CR2:DS2"/>
    <mergeCell ref="DT2:DZ2"/>
    <mergeCell ref="EA2:EG2"/>
  </mergeCells>
  <dataValidations count="1">
    <dataValidation type="list" allowBlank="1" showInputMessage="1" showErrorMessage="1" sqref="AL6:AN32" xr:uid="{00000000-0002-0000-0B00-000001000000}">
      <formula1>#REF!</formula1>
    </dataValidation>
  </dataValidations>
  <pageMargins left="0.7" right="0.7" top="0.75" bottom="0.75" header="0.3" footer="0.3"/>
  <pageSetup orientation="portrait" r:id="rId1"/>
  <headerFooter>
    <oddFooter>&amp;L&amp;1#&amp;"Calibri"&amp;14&amp;K000000Business Use</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74605-995C-4E0D-BBFD-066B5A0C8A92}">
  <sheetPr>
    <tabColor theme="5"/>
  </sheetPr>
  <dimension ref="A1:FE185"/>
  <sheetViews>
    <sheetView zoomScale="81" zoomScaleNormal="100" workbookViewId="0">
      <selection activeCell="D114" sqref="D114"/>
    </sheetView>
  </sheetViews>
  <sheetFormatPr defaultColWidth="9.1796875" defaultRowHeight="13"/>
  <cols>
    <col min="1" max="1" width="9.1796875" style="2" customWidth="1"/>
    <col min="2" max="2" width="43.26953125" style="2" customWidth="1"/>
    <col min="3" max="3" width="78.26953125" style="2" customWidth="1"/>
    <col min="4" max="4" width="17.54296875" style="2" bestFit="1" customWidth="1"/>
    <col min="5" max="5" width="21.1796875" style="2" customWidth="1"/>
    <col min="6" max="6" width="17.54296875" style="2" customWidth="1"/>
    <col min="7" max="7" width="12.453125" style="2" customWidth="1"/>
    <col min="8" max="8" width="11.81640625" style="2" customWidth="1"/>
    <col min="9" max="9" width="17.54296875" style="2" customWidth="1"/>
    <col min="10" max="10" width="14.54296875" style="2" customWidth="1"/>
    <col min="11" max="11" width="15.453125" style="2" customWidth="1"/>
    <col min="12" max="13" width="15.26953125" style="2" customWidth="1"/>
    <col min="14" max="14" width="15" style="2" customWidth="1"/>
    <col min="15" max="16" width="10.7265625" style="2" customWidth="1"/>
    <col min="17" max="17" width="13.453125" style="2" customWidth="1"/>
    <col min="18" max="19" width="12.1796875" style="2" customWidth="1"/>
    <col min="20" max="20" width="25.1796875" style="3" customWidth="1"/>
    <col min="21" max="22" width="10.81640625" style="3" customWidth="1"/>
    <col min="23" max="28" width="10.1796875" style="3" customWidth="1"/>
    <col min="29" max="29" width="12.7265625" style="3" customWidth="1"/>
    <col min="30" max="37" width="14.453125" style="2" customWidth="1"/>
    <col min="38" max="38" width="20.81640625" style="2" customWidth="1"/>
    <col min="39" max="39" width="14.453125" style="2" customWidth="1"/>
    <col min="40" max="40" width="16.453125" style="2" customWidth="1"/>
    <col min="41" max="46" width="12" style="2" customWidth="1"/>
    <col min="47" max="49" width="17.81640625" style="2" customWidth="1"/>
    <col min="50" max="53" width="15.7265625" style="2" customWidth="1"/>
    <col min="54" max="60" width="12" style="2" customWidth="1"/>
    <col min="61" max="74" width="11.7265625" style="2" customWidth="1"/>
    <col min="75" max="152" width="15.54296875" style="2" customWidth="1"/>
    <col min="153" max="16384" width="9.1796875" style="2"/>
  </cols>
  <sheetData>
    <row r="1" spans="1:161" ht="15" thickBot="1">
      <c r="A1" t="str">
        <f>A3&amp;"_"&amp;A4&amp;"_"&amp;A5</f>
        <v>_Measure Details_Measure ID</v>
      </c>
      <c r="B1" t="str">
        <f t="shared" ref="B1:BU1" si="0">B3&amp;"_"&amp;B4&amp;"_"&amp;B5</f>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t="str">
        <f t="shared" si="0"/>
        <v>__Number of Unit Per Participant</v>
      </c>
      <c r="W1" t="str">
        <f t="shared" si="0"/>
        <v>__Participation 2024</v>
      </c>
      <c r="X1" t="str">
        <f t="shared" si="0"/>
        <v>__Participation 2025</v>
      </c>
      <c r="Y1" t="str">
        <f t="shared" si="0"/>
        <v>__Participation 2026</v>
      </c>
      <c r="Z1" t="str">
        <f t="shared" si="0"/>
        <v>__Participation 2027</v>
      </c>
      <c r="AA1" t="str">
        <f>AA3&amp;"_"&amp;AA4&amp;"_"&amp;AA5</f>
        <v>__Participation 2028</v>
      </c>
      <c r="AB1" t="str">
        <f t="shared" si="0"/>
        <v>__Participation 2029</v>
      </c>
      <c r="AC1" t="str">
        <f t="shared" ref="AC1" si="1">AC3&amp;"_"&amp;AC4&amp;"_"&amp;AC5</f>
        <v>__Participation 2030</v>
      </c>
      <c r="AD1" t="str">
        <f t="shared" si="0"/>
        <v>_Modeling Measure-level Inputs_Fuel Type</v>
      </c>
      <c r="AE1" t="str">
        <f t="shared" si="0"/>
        <v>__Sector</v>
      </c>
      <c r="AF1" t="str">
        <f t="shared" si="0"/>
        <v>__Segment</v>
      </c>
      <c r="AG1" t="str">
        <f t="shared" si="0"/>
        <v>__Enduse</v>
      </c>
      <c r="AH1" t="str">
        <f t="shared" si="0"/>
        <v>__Construction Type</v>
      </c>
      <c r="AI1" t="str">
        <f t="shared" si="0"/>
        <v>__Potential Study Measure Name</v>
      </c>
      <c r="AJ1" t="str">
        <f t="shared" si="0"/>
        <v>__Potential Study Measure Description</v>
      </c>
      <c r="AK1" t="str">
        <f t="shared" si="0"/>
        <v>__Potential Study Baseline Description</v>
      </c>
      <c r="AL1" t="str">
        <f t="shared" si="0"/>
        <v>__Electric Load Shape</v>
      </c>
      <c r="AM1" t="str">
        <f t="shared" si="0"/>
        <v>__Natural Gas Load Shape</v>
      </c>
      <c r="AN1" t="str">
        <f t="shared" si="0"/>
        <v>__Customer Rate Class</v>
      </c>
      <c r="AO1" t="str">
        <f t="shared" si="0"/>
        <v>__Measure Life</v>
      </c>
      <c r="AP1" t="str">
        <f t="shared" si="0"/>
        <v>__Baseline Life</v>
      </c>
      <c r="AQ1" t="str">
        <f t="shared" si="0"/>
        <v>__Life Source</v>
      </c>
      <c r="AR1" t="str">
        <f t="shared" si="0"/>
        <v>_Measure Tier Share_Tier Share</v>
      </c>
      <c r="AS1" t="str">
        <f t="shared" si="0"/>
        <v>_Measure Fuel Weights_Electric Share</v>
      </c>
      <c r="AT1" t="str">
        <f t="shared" si="0"/>
        <v>__Natural Gas Share</v>
      </c>
      <c r="AU1" t="str">
        <f t="shared" si="0"/>
        <v>Per Unit_Incremental Costs_2024</v>
      </c>
      <c r="AV1" t="str">
        <f>AV3&amp;"_"&amp;AV4&amp;"_"&amp;AV5</f>
        <v>Per Unit_Incremental Costs_2025</v>
      </c>
      <c r="AW1" t="str">
        <f t="shared" si="0"/>
        <v>Per Unit_Incremental Costs_2026</v>
      </c>
      <c r="AX1" t="str">
        <f t="shared" si="0"/>
        <v>Per Unit_Incremental Costs_2027</v>
      </c>
      <c r="AY1" t="str">
        <f t="shared" si="0"/>
        <v>Per Unit_Incremental Costs_2028</v>
      </c>
      <c r="AZ1" t="str">
        <f t="shared" si="0"/>
        <v>Per Unit_Incremental Costs_2029</v>
      </c>
      <c r="BA1" t="str">
        <f t="shared" ref="BA1" si="2">BA3&amp;"_"&amp;BA4&amp;"_"&amp;BA5</f>
        <v>Per Unit_Incremental Costs_2030</v>
      </c>
      <c r="BB1" t="str">
        <f t="shared" si="0"/>
        <v>Per Unit_Incremental Annual O&amp;M_2024</v>
      </c>
      <c r="BC1" t="str">
        <f t="shared" si="0"/>
        <v>Per Unit_Incremental Annual O&amp;M_2025</v>
      </c>
      <c r="BD1" t="str">
        <f t="shared" si="0"/>
        <v>Per Unit_Incremental Annual O&amp;M_2026</v>
      </c>
      <c r="BE1" t="str">
        <f t="shared" si="0"/>
        <v>Per Unit_Incremental Annual O&amp;M_2027</v>
      </c>
      <c r="BF1" t="str">
        <f t="shared" si="0"/>
        <v>Per Unit_Incremental Annual O&amp;M_2028</v>
      </c>
      <c r="BG1" t="str">
        <f t="shared" si="0"/>
        <v>Per Unit_Incremental Annual O&amp;M_2029</v>
      </c>
      <c r="BH1" t="str">
        <f t="shared" ref="BH1" si="3">BH3&amp;"_"&amp;BH4&amp;"_"&amp;BH5</f>
        <v>Per Unit_Incremental Annual O&amp;M_2030</v>
      </c>
      <c r="BI1" t="str">
        <f t="shared" si="0"/>
        <v>Per Unit_Customer &amp; Dealer Incentives_2024</v>
      </c>
      <c r="BJ1" t="str">
        <f t="shared" si="0"/>
        <v>Per Unit_Customer &amp; Dealer Incentives_2025</v>
      </c>
      <c r="BK1" t="str">
        <f t="shared" si="0"/>
        <v>Per Unit_Customer &amp; Dealer Incentives_2026</v>
      </c>
      <c r="BL1" t="str">
        <f t="shared" si="0"/>
        <v>Per Unit_Customer &amp; Dealer Incentives_2027</v>
      </c>
      <c r="BM1" t="str">
        <f t="shared" si="0"/>
        <v>Per Unit_Customer &amp; Dealer Incentives_2028</v>
      </c>
      <c r="BN1" t="str">
        <f t="shared" si="0"/>
        <v>Per Unit_Customer &amp; Dealer Incentives_2029</v>
      </c>
      <c r="BO1" t="str">
        <f t="shared" ref="BO1" si="4">BO3&amp;"_"&amp;BO4&amp;"_"&amp;BO5</f>
        <v>Per Unit_Customer &amp; Dealer Incentives_2030</v>
      </c>
      <c r="BP1" t="str">
        <f t="shared" si="0"/>
        <v>Per Unit_Implementation Cost_2024</v>
      </c>
      <c r="BQ1" t="str">
        <f t="shared" si="0"/>
        <v>Per Unit_Implementation Cost_2025</v>
      </c>
      <c r="BR1" t="str">
        <f t="shared" si="0"/>
        <v>Per Unit_Implementation Cost_2026</v>
      </c>
      <c r="BS1" t="str">
        <f t="shared" si="0"/>
        <v>Per Unit_Implementation Cost_2027</v>
      </c>
      <c r="BT1" t="str">
        <f t="shared" si="0"/>
        <v>Per Unit_Implementation Cost_2028</v>
      </c>
      <c r="BU1" t="str">
        <f t="shared" si="0"/>
        <v>Per Unit_Implementation Cost_2029</v>
      </c>
      <c r="BV1" t="str">
        <f t="shared" ref="BV1" si="5">BV3&amp;"_"&amp;BV4&amp;"_"&amp;BV5</f>
        <v>Per Unit_Implementation Cost_2030</v>
      </c>
      <c r="BW1" t="str">
        <f t="shared" ref="BW1:EV1" si="6">BW3&amp;"_"&amp;BW4&amp;"_"&amp;BW5</f>
        <v>Per Unit_kWh _2024</v>
      </c>
      <c r="BX1" t="str">
        <f t="shared" si="6"/>
        <v>Per Unit_kWh _2025</v>
      </c>
      <c r="BY1" t="str">
        <f t="shared" si="6"/>
        <v>Per Unit_kWh _2026</v>
      </c>
      <c r="BZ1" t="str">
        <f t="shared" si="6"/>
        <v>Per Unit_kWh _2027</v>
      </c>
      <c r="CA1" t="str">
        <f t="shared" si="6"/>
        <v>Per Unit_kWh _2028</v>
      </c>
      <c r="CB1" t="str">
        <f t="shared" si="6"/>
        <v>Per Unit_kWh _2029</v>
      </c>
      <c r="CC1" t="str">
        <f t="shared" ref="CC1" si="7">CC3&amp;"_"&amp;CC4&amp;"_"&amp;CC5</f>
        <v>Per Unit_kWh _2030</v>
      </c>
      <c r="CD1" t="str">
        <f t="shared" si="6"/>
        <v>Per Unit_kW_2024</v>
      </c>
      <c r="CE1" t="str">
        <f t="shared" si="6"/>
        <v>Per Unit_kW_2025</v>
      </c>
      <c r="CF1" t="str">
        <f t="shared" si="6"/>
        <v>Per Unit_kW_2026</v>
      </c>
      <c r="CG1" t="str">
        <f t="shared" si="6"/>
        <v>Per Unit_kW_2027</v>
      </c>
      <c r="CH1" t="str">
        <f t="shared" si="6"/>
        <v>Per Unit_kW_2028</v>
      </c>
      <c r="CI1" t="str">
        <f t="shared" si="6"/>
        <v>Per Unit_kW_2029</v>
      </c>
      <c r="CJ1" t="str">
        <f t="shared" ref="CJ1" si="8">CJ3&amp;"_"&amp;CJ4&amp;"_"&amp;CJ5</f>
        <v>Per Unit_kW_2030</v>
      </c>
      <c r="CK1" t="str">
        <f t="shared" si="6"/>
        <v>Per Unit_Therms_2024</v>
      </c>
      <c r="CL1" t="str">
        <f t="shared" si="6"/>
        <v>Per Unit_Therms_2025</v>
      </c>
      <c r="CM1" t="str">
        <f t="shared" si="6"/>
        <v>Per Unit_Therms_2026</v>
      </c>
      <c r="CN1" t="str">
        <f t="shared" si="6"/>
        <v>Per Unit_Therms_2027</v>
      </c>
      <c r="CO1" t="str">
        <f t="shared" si="6"/>
        <v>Per Unit_Therms_2028</v>
      </c>
      <c r="CP1" t="str">
        <f t="shared" si="6"/>
        <v>Per Unit_Therms_2029</v>
      </c>
      <c r="CQ1" t="str">
        <f t="shared" ref="CQ1" si="9">CQ3&amp;"_"&amp;CQ4&amp;"_"&amp;CQ5</f>
        <v>Per Unit_Therms_2030</v>
      </c>
      <c r="CR1" t="str">
        <f t="shared" si="6"/>
        <v>Program_Incremental Costs_2024</v>
      </c>
      <c r="CS1" t="str">
        <f t="shared" si="6"/>
        <v>Program_Incremental Costs_2025</v>
      </c>
      <c r="CT1" t="str">
        <f t="shared" si="6"/>
        <v>Program_Incremental Costs_2026</v>
      </c>
      <c r="CU1" t="str">
        <f t="shared" si="6"/>
        <v>Program_Incremental Costs_2027</v>
      </c>
      <c r="CV1" t="str">
        <f t="shared" si="6"/>
        <v>Program_Incremental Costs_2028</v>
      </c>
      <c r="CW1" t="str">
        <f t="shared" si="6"/>
        <v>Program_Incremental Costs_2029</v>
      </c>
      <c r="CX1" t="str">
        <f t="shared" ref="CX1" si="10">CX3&amp;"_"&amp;CX4&amp;"_"&amp;CX5</f>
        <v>Program_Incremental Costs_2030</v>
      </c>
      <c r="CY1" t="str">
        <f t="shared" si="6"/>
        <v>Program_Incremental Annual O&amp;M_2024</v>
      </c>
      <c r="CZ1" t="str">
        <f t="shared" si="6"/>
        <v>Program_Incremental Annual O&amp;M_2025</v>
      </c>
      <c r="DA1" t="str">
        <f t="shared" si="6"/>
        <v>Program_Incremental Annual O&amp;M_2026</v>
      </c>
      <c r="DB1" t="str">
        <f t="shared" si="6"/>
        <v>Program_Incremental Annual O&amp;M_2027</v>
      </c>
      <c r="DC1" t="str">
        <f t="shared" si="6"/>
        <v>Program_Incremental Annual O&amp;M_2028</v>
      </c>
      <c r="DD1" t="str">
        <f t="shared" si="6"/>
        <v>Program_Incremental Annual O&amp;M_2029</v>
      </c>
      <c r="DE1" t="str">
        <f t="shared" ref="DE1" si="11">DE3&amp;"_"&amp;DE4&amp;"_"&amp;DE5</f>
        <v>Program_Incremental Annual O&amp;M_2030</v>
      </c>
      <c r="DF1" t="str">
        <f t="shared" si="6"/>
        <v>Program_Customer &amp; Dealer Incentives_2024</v>
      </c>
      <c r="DG1" t="str">
        <f t="shared" si="6"/>
        <v>Program_Customer &amp; Dealer Incentives_2025</v>
      </c>
      <c r="DH1" t="str">
        <f t="shared" si="6"/>
        <v>Program_Customer &amp; Dealer Incentives_2026</v>
      </c>
      <c r="DI1" t="str">
        <f t="shared" si="6"/>
        <v>Program_Customer &amp; Dealer Incentives_2027</v>
      </c>
      <c r="DJ1" t="str">
        <f t="shared" si="6"/>
        <v>Program_Customer &amp; Dealer Incentives_2028</v>
      </c>
      <c r="DK1" t="str">
        <f t="shared" si="6"/>
        <v>Program_Customer &amp; Dealer Incentives_2029</v>
      </c>
      <c r="DL1" t="str">
        <f t="shared" ref="DL1" si="12">DL3&amp;"_"&amp;DL4&amp;"_"&amp;DL5</f>
        <v>Program_Customer &amp; Dealer Incentives_2030</v>
      </c>
      <c r="DM1" t="str">
        <f t="shared" si="6"/>
        <v>Program_Implementation Costs_2024</v>
      </c>
      <c r="DN1" t="str">
        <f t="shared" si="6"/>
        <v>Program_Implementation Costs_2025</v>
      </c>
      <c r="DO1" t="str">
        <f t="shared" si="6"/>
        <v>Program_Implementation Costs_2026</v>
      </c>
      <c r="DP1" t="str">
        <f t="shared" si="6"/>
        <v>Program_Implementation Costs_2027</v>
      </c>
      <c r="DQ1" t="str">
        <f t="shared" si="6"/>
        <v>Program_Implementation Costs_2028</v>
      </c>
      <c r="DR1" t="str">
        <f t="shared" si="6"/>
        <v>Program_Implementation Costs_2029</v>
      </c>
      <c r="DS1" t="str">
        <f t="shared" ref="DS1" si="13">DS3&amp;"_"&amp;DS4&amp;"_"&amp;DS5</f>
        <v>Program_Implementation Costs_2030</v>
      </c>
      <c r="DT1" t="str">
        <f t="shared" si="6"/>
        <v>Program_kWh _2024</v>
      </c>
      <c r="DU1" t="str">
        <f t="shared" si="6"/>
        <v>Program_kWh _2025</v>
      </c>
      <c r="DV1" t="str">
        <f t="shared" si="6"/>
        <v>Program_kWh _2026</v>
      </c>
      <c r="DW1" t="str">
        <f t="shared" si="6"/>
        <v>Program_kWh _2027</v>
      </c>
      <c r="DX1" t="str">
        <f t="shared" si="6"/>
        <v>Program_kWh _2028</v>
      </c>
      <c r="DY1" t="str">
        <f t="shared" si="6"/>
        <v>Program_kWh _2029</v>
      </c>
      <c r="DZ1" t="str">
        <f t="shared" ref="DZ1" si="14">DZ3&amp;"_"&amp;DZ4&amp;"_"&amp;DZ5</f>
        <v>Program_kWh _2030</v>
      </c>
      <c r="EA1" t="str">
        <f t="shared" si="6"/>
        <v>Program_kW_2024</v>
      </c>
      <c r="EB1" t="str">
        <f t="shared" si="6"/>
        <v>Program_kW_2025</v>
      </c>
      <c r="EC1" t="str">
        <f t="shared" si="6"/>
        <v>Program_kW_2026</v>
      </c>
      <c r="ED1" t="str">
        <f t="shared" si="6"/>
        <v>Program_kW_2027</v>
      </c>
      <c r="EE1" t="str">
        <f t="shared" si="6"/>
        <v>Program_kW_2028</v>
      </c>
      <c r="EF1" t="str">
        <f t="shared" si="6"/>
        <v>Program_kW_2029</v>
      </c>
      <c r="EG1" t="str">
        <f t="shared" ref="EG1" si="15">EG3&amp;"_"&amp;EG4&amp;"_"&amp;EG5</f>
        <v>Program_kW_2030</v>
      </c>
      <c r="EH1" t="str">
        <f t="shared" si="6"/>
        <v>Program_Therms_2024</v>
      </c>
      <c r="EI1" t="str">
        <f t="shared" si="6"/>
        <v>Program_Therms_2025</v>
      </c>
      <c r="EJ1" t="str">
        <f t="shared" si="6"/>
        <v>Program_Therms_2026</v>
      </c>
      <c r="EK1" t="str">
        <f t="shared" si="6"/>
        <v>Program_Therms_2027</v>
      </c>
      <c r="EL1" t="str">
        <f t="shared" si="6"/>
        <v>Program_Therms_2028</v>
      </c>
      <c r="EM1" t="str">
        <f t="shared" si="6"/>
        <v>Program_Therms_2029</v>
      </c>
      <c r="EN1" t="str">
        <f t="shared" ref="EN1" si="16">EN3&amp;"_"&amp;EN4&amp;"_"&amp;EN5</f>
        <v>Program_Therms_2030</v>
      </c>
      <c r="EO1" t="str">
        <f>EO3&amp;"_"&amp;EO4&amp;"_"&amp;EO5</f>
        <v>_Total Plan Summary 2024-2030_Participation</v>
      </c>
      <c r="EP1" t="str">
        <f>EP3&amp;"_"&amp;EP4&amp;"_"&amp;EP5</f>
        <v>__Incremental Costs ($)</v>
      </c>
      <c r="EQ1" t="str">
        <f t="shared" si="6"/>
        <v>__Incremental Annual O&amp;M ($)</v>
      </c>
      <c r="ER1" t="str">
        <f t="shared" si="6"/>
        <v>__Customer &amp; Dealer Incentives ($)</v>
      </c>
      <c r="ES1" t="str">
        <f t="shared" si="6"/>
        <v>__Implementation Costs ($)</v>
      </c>
      <c r="ET1" t="str">
        <f t="shared" si="6"/>
        <v>__Electric kWh  Benefits</v>
      </c>
      <c r="EU1" t="str">
        <f t="shared" si="6"/>
        <v>__Electric kW Peak Demand Benefits</v>
      </c>
      <c r="EV1" t="str">
        <f t="shared" si="6"/>
        <v>__Natural Gas Therms Benefits</v>
      </c>
    </row>
    <row r="2" spans="1:161" s="5" customFormat="1" ht="16.5" customHeight="1" thickBot="1">
      <c r="A2" s="1" t="s">
        <v>60</v>
      </c>
      <c r="B2" s="4"/>
      <c r="C2" s="4"/>
      <c r="U2" s="6"/>
      <c r="V2" s="6"/>
      <c r="W2" s="6"/>
      <c r="X2" s="6"/>
      <c r="Y2" s="6"/>
      <c r="Z2" s="6"/>
      <c r="AA2" s="6"/>
      <c r="AB2" s="6"/>
      <c r="AC2" s="6"/>
      <c r="AD2" s="6"/>
      <c r="AE2" s="6"/>
      <c r="AF2" s="6"/>
      <c r="AG2" s="7"/>
      <c r="AH2" s="7"/>
      <c r="AI2" s="7"/>
      <c r="AJ2" s="7"/>
      <c r="AK2" s="7"/>
      <c r="AL2" s="7"/>
      <c r="AM2" s="7"/>
      <c r="AN2" s="7"/>
      <c r="AU2" s="1384" t="s">
        <v>327</v>
      </c>
      <c r="AV2" s="1385"/>
      <c r="AW2" s="1385"/>
      <c r="AX2" s="1385"/>
      <c r="AY2" s="1385"/>
      <c r="AZ2" s="1385"/>
      <c r="BA2" s="1385"/>
      <c r="BB2" s="1385"/>
      <c r="BC2" s="1385"/>
      <c r="BD2" s="1385"/>
      <c r="BE2" s="1385"/>
      <c r="BF2" s="1385"/>
      <c r="BG2" s="1385"/>
      <c r="BH2" s="1385"/>
      <c r="BI2" s="1385"/>
      <c r="BJ2" s="1385"/>
      <c r="BK2" s="1385"/>
      <c r="BL2" s="1385"/>
      <c r="BM2" s="1385"/>
      <c r="BN2" s="1385"/>
      <c r="BO2" s="1385"/>
      <c r="BP2" s="1385"/>
      <c r="BQ2" s="1385"/>
      <c r="BR2" s="1385"/>
      <c r="BS2" s="1385"/>
      <c r="BT2" s="1385"/>
      <c r="BU2" s="1385"/>
      <c r="BV2" s="1386"/>
      <c r="BW2" s="1381" t="s">
        <v>328</v>
      </c>
      <c r="BX2" s="1382"/>
      <c r="BY2" s="1382"/>
      <c r="BZ2" s="1382"/>
      <c r="CA2" s="1382"/>
      <c r="CB2" s="1382"/>
      <c r="CC2" s="1383"/>
      <c r="CD2" s="1381" t="s">
        <v>329</v>
      </c>
      <c r="CE2" s="1382"/>
      <c r="CF2" s="1382"/>
      <c r="CG2" s="1382"/>
      <c r="CH2" s="1382"/>
      <c r="CI2" s="1382"/>
      <c r="CJ2" s="1383"/>
      <c r="CK2" s="1381" t="s">
        <v>330</v>
      </c>
      <c r="CL2" s="1382"/>
      <c r="CM2" s="1382"/>
      <c r="CN2" s="1382"/>
      <c r="CO2" s="1382"/>
      <c r="CP2" s="1382"/>
      <c r="CQ2" s="1383"/>
      <c r="CR2" s="1423" t="s">
        <v>327</v>
      </c>
      <c r="CS2" s="1388"/>
      <c r="CT2" s="1388"/>
      <c r="CU2" s="1388"/>
      <c r="CV2" s="1388"/>
      <c r="CW2" s="1388"/>
      <c r="CX2" s="1388"/>
      <c r="CY2" s="1388"/>
      <c r="CZ2" s="1388"/>
      <c r="DA2" s="1388"/>
      <c r="DB2" s="1388"/>
      <c r="DC2" s="1388"/>
      <c r="DD2" s="1388"/>
      <c r="DE2" s="1388"/>
      <c r="DF2" s="1388"/>
      <c r="DG2" s="1388"/>
      <c r="DH2" s="1388"/>
      <c r="DI2" s="1388"/>
      <c r="DJ2" s="1388"/>
      <c r="DK2" s="1388"/>
      <c r="DL2" s="1388"/>
      <c r="DM2" s="1388"/>
      <c r="DN2" s="1388"/>
      <c r="DO2" s="1388"/>
      <c r="DP2" s="1388"/>
      <c r="DQ2" s="1388"/>
      <c r="DR2" s="1388"/>
      <c r="DS2" s="1389"/>
      <c r="DT2" s="1381" t="s">
        <v>328</v>
      </c>
      <c r="DU2" s="1382"/>
      <c r="DV2" s="1382"/>
      <c r="DW2" s="1382"/>
      <c r="DX2" s="1382"/>
      <c r="DY2" s="1382"/>
      <c r="DZ2" s="1383"/>
      <c r="EA2" s="1381" t="s">
        <v>329</v>
      </c>
      <c r="EB2" s="1382"/>
      <c r="EC2" s="1382"/>
      <c r="ED2" s="1382"/>
      <c r="EE2" s="1382"/>
      <c r="EF2" s="1382"/>
      <c r="EG2" s="1383"/>
      <c r="EH2" s="1369"/>
      <c r="EI2" s="1369"/>
      <c r="EJ2" s="1369"/>
      <c r="EK2" s="1369"/>
      <c r="EL2" s="1369"/>
      <c r="EM2" s="1369"/>
      <c r="EN2" s="279"/>
    </row>
    <row r="3" spans="1:161">
      <c r="B3" s="8"/>
      <c r="C3" s="8"/>
      <c r="T3" s="2"/>
      <c r="AD3" s="3"/>
      <c r="AE3" s="3"/>
      <c r="AF3" s="3"/>
      <c r="AG3" s="9"/>
      <c r="AH3" s="9"/>
      <c r="AI3" s="9"/>
      <c r="AJ3" s="9"/>
      <c r="AK3" s="9"/>
      <c r="AL3" s="9"/>
      <c r="AM3" s="9"/>
      <c r="AN3" s="9"/>
      <c r="AU3" s="109" t="s">
        <v>331</v>
      </c>
      <c r="AV3" s="110" t="s">
        <v>331</v>
      </c>
      <c r="AW3" s="110" t="s">
        <v>331</v>
      </c>
      <c r="AX3" s="110" t="s">
        <v>331</v>
      </c>
      <c r="AY3" s="110" t="s">
        <v>331</v>
      </c>
      <c r="AZ3" s="110" t="s">
        <v>331</v>
      </c>
      <c r="BA3" s="111" t="s">
        <v>331</v>
      </c>
      <c r="BB3" s="288" t="s">
        <v>331</v>
      </c>
      <c r="BC3" s="110" t="s">
        <v>331</v>
      </c>
      <c r="BD3" s="110" t="s">
        <v>331</v>
      </c>
      <c r="BE3" s="110" t="s">
        <v>331</v>
      </c>
      <c r="BF3" s="110" t="s">
        <v>331</v>
      </c>
      <c r="BG3" s="110" t="s">
        <v>331</v>
      </c>
      <c r="BH3" s="282" t="s">
        <v>331</v>
      </c>
      <c r="BI3" s="109" t="s">
        <v>331</v>
      </c>
      <c r="BJ3" s="110" t="s">
        <v>331</v>
      </c>
      <c r="BK3" s="110" t="s">
        <v>331</v>
      </c>
      <c r="BL3" s="110" t="s">
        <v>331</v>
      </c>
      <c r="BM3" s="110" t="s">
        <v>331</v>
      </c>
      <c r="BN3" s="110" t="s">
        <v>331</v>
      </c>
      <c r="BO3" s="111" t="s">
        <v>331</v>
      </c>
      <c r="BP3" s="109" t="s">
        <v>331</v>
      </c>
      <c r="BQ3" s="110" t="s">
        <v>331</v>
      </c>
      <c r="BR3" s="110" t="s">
        <v>331</v>
      </c>
      <c r="BS3" s="110" t="s">
        <v>331</v>
      </c>
      <c r="BT3" s="110" t="s">
        <v>331</v>
      </c>
      <c r="BU3" s="110" t="s">
        <v>331</v>
      </c>
      <c r="BV3" s="111" t="s">
        <v>331</v>
      </c>
      <c r="BW3" s="112" t="s">
        <v>331</v>
      </c>
      <c r="BX3" s="113" t="s">
        <v>331</v>
      </c>
      <c r="BY3" s="113" t="s">
        <v>331</v>
      </c>
      <c r="BZ3" s="113" t="s">
        <v>331</v>
      </c>
      <c r="CA3" s="113" t="s">
        <v>331</v>
      </c>
      <c r="CB3" s="113" t="s">
        <v>331</v>
      </c>
      <c r="CC3" s="114" t="s">
        <v>331</v>
      </c>
      <c r="CD3" s="112" t="s">
        <v>331</v>
      </c>
      <c r="CE3" s="113" t="s">
        <v>331</v>
      </c>
      <c r="CF3" s="113" t="s">
        <v>331</v>
      </c>
      <c r="CG3" s="113" t="s">
        <v>331</v>
      </c>
      <c r="CH3" s="113" t="s">
        <v>331</v>
      </c>
      <c r="CI3" s="113" t="s">
        <v>331</v>
      </c>
      <c r="CJ3" s="114" t="s">
        <v>331</v>
      </c>
      <c r="CK3" s="289" t="s">
        <v>331</v>
      </c>
      <c r="CL3" s="113" t="s">
        <v>331</v>
      </c>
      <c r="CM3" s="113" t="s">
        <v>331</v>
      </c>
      <c r="CN3" s="113" t="s">
        <v>331</v>
      </c>
      <c r="CO3" s="113" t="s">
        <v>331</v>
      </c>
      <c r="CP3" s="113" t="s">
        <v>331</v>
      </c>
      <c r="CQ3" s="283" t="s">
        <v>331</v>
      </c>
      <c r="CR3" s="109" t="s">
        <v>0</v>
      </c>
      <c r="CS3" s="110" t="s">
        <v>0</v>
      </c>
      <c r="CT3" s="110" t="s">
        <v>0</v>
      </c>
      <c r="CU3" s="110" t="s">
        <v>0</v>
      </c>
      <c r="CV3" s="110" t="s">
        <v>0</v>
      </c>
      <c r="CW3" s="110" t="s">
        <v>0</v>
      </c>
      <c r="CX3" s="111" t="s">
        <v>0</v>
      </c>
      <c r="CY3" s="109" t="s">
        <v>0</v>
      </c>
      <c r="CZ3" s="110" t="s">
        <v>0</v>
      </c>
      <c r="DA3" s="110" t="s">
        <v>0</v>
      </c>
      <c r="DB3" s="110" t="s">
        <v>0</v>
      </c>
      <c r="DC3" s="110" t="s">
        <v>0</v>
      </c>
      <c r="DD3" s="110" t="s">
        <v>0</v>
      </c>
      <c r="DE3" s="111" t="s">
        <v>0</v>
      </c>
      <c r="DF3" s="109" t="s">
        <v>0</v>
      </c>
      <c r="DG3" s="110" t="s">
        <v>0</v>
      </c>
      <c r="DH3" s="110" t="s">
        <v>0</v>
      </c>
      <c r="DI3" s="110" t="s">
        <v>0</v>
      </c>
      <c r="DJ3" s="110" t="s">
        <v>0</v>
      </c>
      <c r="DK3" s="110" t="s">
        <v>0</v>
      </c>
      <c r="DL3" s="111" t="s">
        <v>0</v>
      </c>
      <c r="DM3" s="109" t="s">
        <v>0</v>
      </c>
      <c r="DN3" s="110" t="s">
        <v>0</v>
      </c>
      <c r="DO3" s="110" t="s">
        <v>0</v>
      </c>
      <c r="DP3" s="110" t="s">
        <v>0</v>
      </c>
      <c r="DQ3" s="110" t="s">
        <v>0</v>
      </c>
      <c r="DR3" s="110" t="s">
        <v>0</v>
      </c>
      <c r="DS3" s="111" t="s">
        <v>0</v>
      </c>
      <c r="DT3" s="115" t="s">
        <v>0</v>
      </c>
      <c r="DU3" s="116" t="s">
        <v>0</v>
      </c>
      <c r="DV3" s="116" t="s">
        <v>0</v>
      </c>
      <c r="DW3" s="116" t="s">
        <v>0</v>
      </c>
      <c r="DX3" s="116" t="s">
        <v>0</v>
      </c>
      <c r="DY3" s="116" t="s">
        <v>0</v>
      </c>
      <c r="DZ3" s="117" t="s">
        <v>0</v>
      </c>
      <c r="EA3" s="115" t="s">
        <v>0</v>
      </c>
      <c r="EB3" s="116" t="s">
        <v>0</v>
      </c>
      <c r="EC3" s="116" t="s">
        <v>0</v>
      </c>
      <c r="ED3" s="116" t="s">
        <v>0</v>
      </c>
      <c r="EE3" s="116" t="s">
        <v>0</v>
      </c>
      <c r="EF3" s="116" t="s">
        <v>0</v>
      </c>
      <c r="EG3" s="117" t="s">
        <v>0</v>
      </c>
      <c r="EH3" s="321" t="s">
        <v>0</v>
      </c>
      <c r="EI3" s="116" t="s">
        <v>0</v>
      </c>
      <c r="EJ3" s="116" t="s">
        <v>0</v>
      </c>
      <c r="EK3" s="116" t="s">
        <v>0</v>
      </c>
      <c r="EL3" s="116" t="s">
        <v>0</v>
      </c>
      <c r="EM3" s="116" t="s">
        <v>0</v>
      </c>
      <c r="EN3" s="117" t="s">
        <v>0</v>
      </c>
    </row>
    <row r="4" spans="1:161"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440"/>
      <c r="AB4" s="440"/>
      <c r="AC4" s="440"/>
      <c r="AD4" s="1376" t="s">
        <v>335</v>
      </c>
      <c r="AE4" s="1377"/>
      <c r="AF4" s="1377"/>
      <c r="AG4" s="1377"/>
      <c r="AH4" s="1377"/>
      <c r="AI4" s="1377"/>
      <c r="AJ4" s="1377"/>
      <c r="AK4" s="1377"/>
      <c r="AL4" s="1377"/>
      <c r="AM4" s="1377"/>
      <c r="AN4" s="1377"/>
      <c r="AO4" s="1377"/>
      <c r="AP4" s="1377"/>
      <c r="AQ4" s="1378"/>
      <c r="AR4" s="687" t="s">
        <v>336</v>
      </c>
      <c r="AS4" s="1376" t="s">
        <v>337</v>
      </c>
      <c r="AT4" s="1377"/>
      <c r="AU4" s="688" t="s">
        <v>128</v>
      </c>
      <c r="AV4" s="476" t="s">
        <v>128</v>
      </c>
      <c r="AW4" s="476" t="s">
        <v>128</v>
      </c>
      <c r="AX4" s="476" t="s">
        <v>128</v>
      </c>
      <c r="AY4" s="476" t="s">
        <v>128</v>
      </c>
      <c r="AZ4" s="476" t="s">
        <v>128</v>
      </c>
      <c r="BA4" s="689" t="s">
        <v>128</v>
      </c>
      <c r="BB4" s="490" t="s">
        <v>129</v>
      </c>
      <c r="BC4" s="476" t="s">
        <v>129</v>
      </c>
      <c r="BD4" s="476" t="s">
        <v>129</v>
      </c>
      <c r="BE4" s="476" t="s">
        <v>129</v>
      </c>
      <c r="BF4" s="476" t="s">
        <v>129</v>
      </c>
      <c r="BG4" s="476" t="s">
        <v>129</v>
      </c>
      <c r="BH4" s="502" t="s">
        <v>129</v>
      </c>
      <c r="BI4" s="688" t="s">
        <v>130</v>
      </c>
      <c r="BJ4" s="476" t="s">
        <v>130</v>
      </c>
      <c r="BK4" s="476" t="s">
        <v>130</v>
      </c>
      <c r="BL4" s="476" t="s">
        <v>130</v>
      </c>
      <c r="BM4" s="476" t="s">
        <v>130</v>
      </c>
      <c r="BN4" s="476" t="s">
        <v>130</v>
      </c>
      <c r="BO4" s="689" t="s">
        <v>130</v>
      </c>
      <c r="BP4" s="688" t="s">
        <v>338</v>
      </c>
      <c r="BQ4" s="476" t="s">
        <v>338</v>
      </c>
      <c r="BR4" s="476" t="s">
        <v>338</v>
      </c>
      <c r="BS4" s="476" t="s">
        <v>338</v>
      </c>
      <c r="BT4" s="476" t="s">
        <v>338</v>
      </c>
      <c r="BU4" s="476" t="s">
        <v>338</v>
      </c>
      <c r="BV4" s="689" t="s">
        <v>338</v>
      </c>
      <c r="BW4" s="690" t="s">
        <v>131</v>
      </c>
      <c r="BX4" s="477" t="s">
        <v>131</v>
      </c>
      <c r="BY4" s="477" t="s">
        <v>131</v>
      </c>
      <c r="BZ4" s="477" t="s">
        <v>131</v>
      </c>
      <c r="CA4" s="477" t="s">
        <v>131</v>
      </c>
      <c r="CB4" s="477" t="s">
        <v>131</v>
      </c>
      <c r="CC4" s="691" t="s">
        <v>131</v>
      </c>
      <c r="CD4" s="690" t="s">
        <v>132</v>
      </c>
      <c r="CE4" s="477" t="s">
        <v>132</v>
      </c>
      <c r="CF4" s="477" t="s">
        <v>132</v>
      </c>
      <c r="CG4" s="477" t="s">
        <v>132</v>
      </c>
      <c r="CH4" s="477" t="s">
        <v>132</v>
      </c>
      <c r="CI4" s="477" t="s">
        <v>132</v>
      </c>
      <c r="CJ4" s="691" t="s">
        <v>132</v>
      </c>
      <c r="CK4" s="505" t="s">
        <v>133</v>
      </c>
      <c r="CL4" s="477" t="s">
        <v>133</v>
      </c>
      <c r="CM4" s="477" t="s">
        <v>133</v>
      </c>
      <c r="CN4" s="477" t="s">
        <v>133</v>
      </c>
      <c r="CO4" s="477" t="s">
        <v>133</v>
      </c>
      <c r="CP4" s="477" t="s">
        <v>133</v>
      </c>
      <c r="CQ4" s="512" t="s">
        <v>133</v>
      </c>
      <c r="CR4" s="688" t="s">
        <v>128</v>
      </c>
      <c r="CS4" s="476" t="s">
        <v>128</v>
      </c>
      <c r="CT4" s="476" t="s">
        <v>128</v>
      </c>
      <c r="CU4" s="476" t="s">
        <v>128</v>
      </c>
      <c r="CV4" s="476" t="s">
        <v>128</v>
      </c>
      <c r="CW4" s="476" t="s">
        <v>128</v>
      </c>
      <c r="CX4" s="689" t="s">
        <v>128</v>
      </c>
      <c r="CY4" s="688" t="s">
        <v>129</v>
      </c>
      <c r="CZ4" s="476" t="s">
        <v>129</v>
      </c>
      <c r="DA4" s="476" t="s">
        <v>129</v>
      </c>
      <c r="DB4" s="476" t="s">
        <v>129</v>
      </c>
      <c r="DC4" s="476" t="s">
        <v>129</v>
      </c>
      <c r="DD4" s="476" t="s">
        <v>129</v>
      </c>
      <c r="DE4" s="689" t="s">
        <v>129</v>
      </c>
      <c r="DF4" s="688" t="s">
        <v>130</v>
      </c>
      <c r="DG4" s="476" t="s">
        <v>130</v>
      </c>
      <c r="DH4" s="476" t="s">
        <v>130</v>
      </c>
      <c r="DI4" s="476" t="s">
        <v>130</v>
      </c>
      <c r="DJ4" s="476" t="s">
        <v>130</v>
      </c>
      <c r="DK4" s="476" t="s">
        <v>130</v>
      </c>
      <c r="DL4" s="689" t="s">
        <v>130</v>
      </c>
      <c r="DM4" s="688" t="s">
        <v>165</v>
      </c>
      <c r="DN4" s="476" t="s">
        <v>165</v>
      </c>
      <c r="DO4" s="476" t="s">
        <v>165</v>
      </c>
      <c r="DP4" s="476" t="s">
        <v>165</v>
      </c>
      <c r="DQ4" s="476" t="s">
        <v>165</v>
      </c>
      <c r="DR4" s="476" t="s">
        <v>165</v>
      </c>
      <c r="DS4" s="689" t="s">
        <v>165</v>
      </c>
      <c r="DT4" s="690" t="s">
        <v>131</v>
      </c>
      <c r="DU4" s="477" t="s">
        <v>131</v>
      </c>
      <c r="DV4" s="477" t="s">
        <v>131</v>
      </c>
      <c r="DW4" s="477" t="s">
        <v>131</v>
      </c>
      <c r="DX4" s="477" t="s">
        <v>131</v>
      </c>
      <c r="DY4" s="477" t="s">
        <v>131</v>
      </c>
      <c r="DZ4" s="691" t="s">
        <v>131</v>
      </c>
      <c r="EA4" s="690" t="s">
        <v>132</v>
      </c>
      <c r="EB4" s="477" t="s">
        <v>132</v>
      </c>
      <c r="EC4" s="477" t="s">
        <v>132</v>
      </c>
      <c r="ED4" s="477" t="s">
        <v>132</v>
      </c>
      <c r="EE4" s="477" t="s">
        <v>132</v>
      </c>
      <c r="EF4" s="477" t="s">
        <v>132</v>
      </c>
      <c r="EG4" s="691" t="s">
        <v>132</v>
      </c>
      <c r="EH4" s="505" t="s">
        <v>133</v>
      </c>
      <c r="EI4" s="477" t="s">
        <v>133</v>
      </c>
      <c r="EJ4" s="477" t="s">
        <v>133</v>
      </c>
      <c r="EK4" s="477" t="s">
        <v>133</v>
      </c>
      <c r="EL4" s="477" t="s">
        <v>133</v>
      </c>
      <c r="EM4" s="477" t="s">
        <v>133</v>
      </c>
      <c r="EN4" s="691" t="s">
        <v>133</v>
      </c>
      <c r="EO4" s="1345" t="s">
        <v>134</v>
      </c>
      <c r="EP4" s="1342"/>
      <c r="EQ4" s="1342"/>
      <c r="ER4" s="1342"/>
      <c r="ES4" s="1342"/>
      <c r="ET4" s="1342"/>
      <c r="EU4" s="1342"/>
      <c r="EV4" s="1342"/>
    </row>
    <row r="5" spans="1:161"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5" t="s">
        <v>15</v>
      </c>
      <c r="X5" s="695" t="s">
        <v>16</v>
      </c>
      <c r="Y5" s="695" t="s">
        <v>17</v>
      </c>
      <c r="Z5" s="695" t="s">
        <v>18</v>
      </c>
      <c r="AA5" s="695" t="s">
        <v>19</v>
      </c>
      <c r="AB5" s="695" t="s">
        <v>20</v>
      </c>
      <c r="AC5" s="695" t="s">
        <v>21</v>
      </c>
      <c r="AD5" s="697" t="s">
        <v>359</v>
      </c>
      <c r="AE5" s="697" t="s">
        <v>166</v>
      </c>
      <c r="AF5" s="697" t="s">
        <v>360</v>
      </c>
      <c r="AG5" s="697" t="s">
        <v>361</v>
      </c>
      <c r="AH5" s="697" t="s">
        <v>362</v>
      </c>
      <c r="AI5" s="697" t="s">
        <v>363</v>
      </c>
      <c r="AJ5" s="697" t="s">
        <v>364</v>
      </c>
      <c r="AK5" s="697" t="s">
        <v>365</v>
      </c>
      <c r="AL5" s="698" t="s">
        <v>167</v>
      </c>
      <c r="AM5" s="698" t="s">
        <v>168</v>
      </c>
      <c r="AN5" s="698" t="s">
        <v>169</v>
      </c>
      <c r="AO5" s="697" t="s">
        <v>170</v>
      </c>
      <c r="AP5" s="697" t="s">
        <v>366</v>
      </c>
      <c r="AQ5" s="699" t="s">
        <v>367</v>
      </c>
      <c r="AR5" s="699" t="s">
        <v>368</v>
      </c>
      <c r="AS5" s="699" t="s">
        <v>369</v>
      </c>
      <c r="AT5" s="699" t="s">
        <v>370</v>
      </c>
      <c r="AU5" s="700">
        <v>2024</v>
      </c>
      <c r="AV5" s="486">
        <v>2025</v>
      </c>
      <c r="AW5" s="486">
        <v>2026</v>
      </c>
      <c r="AX5" s="486">
        <v>2027</v>
      </c>
      <c r="AY5" s="486">
        <v>2028</v>
      </c>
      <c r="AZ5" s="486">
        <v>2029</v>
      </c>
      <c r="BA5" s="910">
        <v>2030</v>
      </c>
      <c r="BB5" s="485">
        <v>2024</v>
      </c>
      <c r="BC5" s="486">
        <v>2025</v>
      </c>
      <c r="BD5" s="486">
        <v>2026</v>
      </c>
      <c r="BE5" s="486">
        <v>2027</v>
      </c>
      <c r="BF5" s="486">
        <v>2028</v>
      </c>
      <c r="BG5" s="486">
        <v>2029</v>
      </c>
      <c r="BH5" s="479">
        <v>2030</v>
      </c>
      <c r="BI5" s="700">
        <v>2024</v>
      </c>
      <c r="BJ5" s="486">
        <v>2025</v>
      </c>
      <c r="BK5" s="486">
        <v>2026</v>
      </c>
      <c r="BL5" s="486">
        <v>2027</v>
      </c>
      <c r="BM5" s="486">
        <v>2028</v>
      </c>
      <c r="BN5" s="486">
        <v>2029</v>
      </c>
      <c r="BO5" s="910">
        <v>2030</v>
      </c>
      <c r="BP5" s="700">
        <v>2024</v>
      </c>
      <c r="BQ5" s="486">
        <v>2025</v>
      </c>
      <c r="BR5" s="486">
        <v>2026</v>
      </c>
      <c r="BS5" s="486">
        <v>2027</v>
      </c>
      <c r="BT5" s="486">
        <v>2028</v>
      </c>
      <c r="BU5" s="486">
        <v>2029</v>
      </c>
      <c r="BV5" s="910">
        <v>2030</v>
      </c>
      <c r="BW5" s="700">
        <v>2024</v>
      </c>
      <c r="BX5" s="486">
        <v>2025</v>
      </c>
      <c r="BY5" s="486">
        <v>2026</v>
      </c>
      <c r="BZ5" s="486">
        <v>2027</v>
      </c>
      <c r="CA5" s="486">
        <v>2028</v>
      </c>
      <c r="CB5" s="486">
        <v>2029</v>
      </c>
      <c r="CC5" s="910">
        <v>2030</v>
      </c>
      <c r="CD5" s="700">
        <v>2024</v>
      </c>
      <c r="CE5" s="486">
        <v>2025</v>
      </c>
      <c r="CF5" s="486">
        <v>2026</v>
      </c>
      <c r="CG5" s="486">
        <v>2027</v>
      </c>
      <c r="CH5" s="486">
        <v>2028</v>
      </c>
      <c r="CI5" s="486">
        <v>2029</v>
      </c>
      <c r="CJ5" s="910">
        <v>2030</v>
      </c>
      <c r="CK5" s="485">
        <v>2024</v>
      </c>
      <c r="CL5" s="486">
        <v>2025</v>
      </c>
      <c r="CM5" s="486">
        <v>2026</v>
      </c>
      <c r="CN5" s="486">
        <v>2027</v>
      </c>
      <c r="CO5" s="486">
        <v>2028</v>
      </c>
      <c r="CP5" s="486">
        <v>2029</v>
      </c>
      <c r="CQ5" s="479">
        <v>2030</v>
      </c>
      <c r="CR5" s="700">
        <v>2024</v>
      </c>
      <c r="CS5" s="486">
        <v>2025</v>
      </c>
      <c r="CT5" s="486">
        <v>2026</v>
      </c>
      <c r="CU5" s="486">
        <v>2027</v>
      </c>
      <c r="CV5" s="486">
        <v>2028</v>
      </c>
      <c r="CW5" s="486">
        <v>2029</v>
      </c>
      <c r="CX5" s="910">
        <v>2030</v>
      </c>
      <c r="CY5" s="700">
        <v>2024</v>
      </c>
      <c r="CZ5" s="486">
        <v>2025</v>
      </c>
      <c r="DA5" s="486">
        <v>2026</v>
      </c>
      <c r="DB5" s="486">
        <v>2027</v>
      </c>
      <c r="DC5" s="486">
        <v>2028</v>
      </c>
      <c r="DD5" s="486">
        <v>2029</v>
      </c>
      <c r="DE5" s="910">
        <v>2030</v>
      </c>
      <c r="DF5" s="700">
        <v>2024</v>
      </c>
      <c r="DG5" s="486">
        <v>2025</v>
      </c>
      <c r="DH5" s="486">
        <v>2026</v>
      </c>
      <c r="DI5" s="486">
        <v>2027</v>
      </c>
      <c r="DJ5" s="486">
        <v>2028</v>
      </c>
      <c r="DK5" s="486">
        <v>2029</v>
      </c>
      <c r="DL5" s="910">
        <v>2030</v>
      </c>
      <c r="DM5" s="700">
        <v>2024</v>
      </c>
      <c r="DN5" s="486">
        <v>2025</v>
      </c>
      <c r="DO5" s="486">
        <v>2026</v>
      </c>
      <c r="DP5" s="486">
        <v>2027</v>
      </c>
      <c r="DQ5" s="486">
        <v>2028</v>
      </c>
      <c r="DR5" s="486">
        <v>2029</v>
      </c>
      <c r="DS5" s="910">
        <v>2030</v>
      </c>
      <c r="DT5" s="700">
        <v>2024</v>
      </c>
      <c r="DU5" s="486">
        <v>2025</v>
      </c>
      <c r="DV5" s="486">
        <v>2026</v>
      </c>
      <c r="DW5" s="486">
        <v>2027</v>
      </c>
      <c r="DX5" s="486">
        <v>2028</v>
      </c>
      <c r="DY5" s="486">
        <v>2029</v>
      </c>
      <c r="DZ5" s="910">
        <v>2030</v>
      </c>
      <c r="EA5" s="700">
        <v>2024</v>
      </c>
      <c r="EB5" s="486">
        <v>2025</v>
      </c>
      <c r="EC5" s="486">
        <v>2026</v>
      </c>
      <c r="ED5" s="486">
        <v>2027</v>
      </c>
      <c r="EE5" s="486">
        <v>2028</v>
      </c>
      <c r="EF5" s="486">
        <v>2029</v>
      </c>
      <c r="EG5" s="910">
        <v>2030</v>
      </c>
      <c r="EH5" s="485">
        <v>2024</v>
      </c>
      <c r="EI5" s="486">
        <v>2025</v>
      </c>
      <c r="EJ5" s="486">
        <v>2026</v>
      </c>
      <c r="EK5" s="486">
        <v>2027</v>
      </c>
      <c r="EL5" s="486">
        <v>2028</v>
      </c>
      <c r="EM5" s="486">
        <v>2029</v>
      </c>
      <c r="EN5" s="910">
        <v>2030</v>
      </c>
      <c r="EO5" s="514" t="s">
        <v>9</v>
      </c>
      <c r="EP5" s="659" t="s">
        <v>139</v>
      </c>
      <c r="EQ5" s="659" t="s">
        <v>140</v>
      </c>
      <c r="ER5" s="659" t="s">
        <v>141</v>
      </c>
      <c r="ES5" s="659" t="s">
        <v>142</v>
      </c>
      <c r="ET5" s="659" t="s">
        <v>12</v>
      </c>
      <c r="EU5" s="659" t="s">
        <v>13</v>
      </c>
      <c r="EV5" s="659" t="s">
        <v>14</v>
      </c>
    </row>
    <row r="6" spans="1:161" s="10" customFormat="1" ht="12.75" customHeight="1">
      <c r="A6" s="662">
        <v>1</v>
      </c>
      <c r="B6" s="703" t="s">
        <v>1561</v>
      </c>
      <c r="C6" s="703" t="s">
        <v>60</v>
      </c>
      <c r="D6" s="703" t="s">
        <v>1562</v>
      </c>
      <c r="E6" s="703" t="s">
        <v>371</v>
      </c>
      <c r="F6" s="704" t="s">
        <v>372</v>
      </c>
      <c r="G6" s="705">
        <v>0</v>
      </c>
      <c r="H6" s="704">
        <v>0</v>
      </c>
      <c r="I6" s="706">
        <f>G6+H6</f>
        <v>0</v>
      </c>
      <c r="J6" s="704">
        <v>0</v>
      </c>
      <c r="K6" s="706">
        <f>I6*0.5</f>
        <v>0</v>
      </c>
      <c r="L6" s="803"/>
      <c r="M6" s="707">
        <v>0</v>
      </c>
      <c r="N6" s="708">
        <v>0</v>
      </c>
      <c r="O6" s="707">
        <v>0</v>
      </c>
      <c r="P6" s="709">
        <v>0</v>
      </c>
      <c r="Q6" s="710">
        <v>0</v>
      </c>
      <c r="R6" s="710">
        <v>0</v>
      </c>
      <c r="S6" s="710">
        <v>0</v>
      </c>
      <c r="T6" s="711" t="s">
        <v>373</v>
      </c>
      <c r="U6" s="712">
        <v>0</v>
      </c>
      <c r="V6" s="713">
        <v>1</v>
      </c>
      <c r="W6" s="714">
        <v>1</v>
      </c>
      <c r="X6" s="714">
        <v>1</v>
      </c>
      <c r="Y6" s="714">
        <v>1</v>
      </c>
      <c r="Z6" s="714">
        <v>1</v>
      </c>
      <c r="AA6" s="714">
        <v>1</v>
      </c>
      <c r="AB6" s="714">
        <v>1</v>
      </c>
      <c r="AC6" s="714">
        <v>1</v>
      </c>
      <c r="AD6" s="711" t="s">
        <v>374</v>
      </c>
      <c r="AE6" s="711" t="s">
        <v>375</v>
      </c>
      <c r="AF6" s="711" t="s">
        <v>376</v>
      </c>
      <c r="AG6" s="711" t="s">
        <v>377</v>
      </c>
      <c r="AH6" s="711" t="s">
        <v>1</v>
      </c>
      <c r="AI6" s="711" t="s">
        <v>378</v>
      </c>
      <c r="AJ6" s="711" t="s">
        <v>378</v>
      </c>
      <c r="AK6" s="711" t="s">
        <v>378</v>
      </c>
      <c r="AL6" s="715" t="s">
        <v>379</v>
      </c>
      <c r="AM6" s="715" t="s">
        <v>380</v>
      </c>
      <c r="AN6" s="715" t="s">
        <v>381</v>
      </c>
      <c r="AO6" s="661">
        <v>1</v>
      </c>
      <c r="AP6" s="661">
        <f>AO6</f>
        <v>1</v>
      </c>
      <c r="AQ6" s="711" t="s">
        <v>382</v>
      </c>
      <c r="AR6" s="716">
        <v>1</v>
      </c>
      <c r="AS6" s="716">
        <v>1</v>
      </c>
      <c r="AT6" s="717">
        <v>1</v>
      </c>
      <c r="AU6" s="718">
        <f>I6</f>
        <v>0</v>
      </c>
      <c r="AV6" s="499">
        <f t="shared" ref="AV6:AW11" si="17">AU6</f>
        <v>0</v>
      </c>
      <c r="AW6" s="499">
        <f t="shared" si="17"/>
        <v>0</v>
      </c>
      <c r="AX6" s="499">
        <f t="shared" ref="AX6:BA6" si="18">AU6</f>
        <v>0</v>
      </c>
      <c r="AY6" s="499">
        <f t="shared" si="18"/>
        <v>0</v>
      </c>
      <c r="AZ6" s="499">
        <f t="shared" si="18"/>
        <v>0</v>
      </c>
      <c r="BA6" s="719">
        <f t="shared" si="18"/>
        <v>0</v>
      </c>
      <c r="BB6" s="497">
        <f>J6</f>
        <v>0</v>
      </c>
      <c r="BC6" s="499">
        <f t="shared" ref="BC6:BH11" si="19">BB6</f>
        <v>0</v>
      </c>
      <c r="BD6" s="499">
        <f t="shared" si="19"/>
        <v>0</v>
      </c>
      <c r="BE6" s="499">
        <f>BD6</f>
        <v>0</v>
      </c>
      <c r="BF6" s="499">
        <f t="shared" ref="BF6" si="20">BE6</f>
        <v>0</v>
      </c>
      <c r="BG6" s="499">
        <f>BF6</f>
        <v>0</v>
      </c>
      <c r="BH6" s="720">
        <f>BG6</f>
        <v>0</v>
      </c>
      <c r="BI6" s="721">
        <f>N6+O6</f>
        <v>0</v>
      </c>
      <c r="BJ6" s="499">
        <f t="shared" ref="BJ6:BK6" si="21">BI6</f>
        <v>0</v>
      </c>
      <c r="BK6" s="499">
        <f t="shared" si="21"/>
        <v>0</v>
      </c>
      <c r="BL6" s="499">
        <f>BK6</f>
        <v>0</v>
      </c>
      <c r="BM6" s="499">
        <f t="shared" ref="BM6:BO6" si="22">BL6</f>
        <v>0</v>
      </c>
      <c r="BN6" s="499">
        <f t="shared" si="22"/>
        <v>0</v>
      </c>
      <c r="BO6" s="719">
        <f t="shared" si="22"/>
        <v>0</v>
      </c>
      <c r="BP6" s="775">
        <f>$P6</f>
        <v>0</v>
      </c>
      <c r="BQ6" s="503">
        <f t="shared" ref="BQ6:BV19" si="23">$P6</f>
        <v>0</v>
      </c>
      <c r="BR6" s="503">
        <f t="shared" si="23"/>
        <v>0</v>
      </c>
      <c r="BS6" s="503">
        <f t="shared" si="23"/>
        <v>0</v>
      </c>
      <c r="BT6" s="503">
        <f t="shared" si="23"/>
        <v>0</v>
      </c>
      <c r="BU6" s="503">
        <f t="shared" si="23"/>
        <v>0</v>
      </c>
      <c r="BV6" s="776">
        <f t="shared" si="23"/>
        <v>0</v>
      </c>
      <c r="BW6" s="722">
        <f>Q6*AS6</f>
        <v>0</v>
      </c>
      <c r="BX6" s="511">
        <f t="shared" ref="BX6:BY6" si="24">BW6</f>
        <v>0</v>
      </c>
      <c r="BY6" s="511">
        <f t="shared" si="24"/>
        <v>0</v>
      </c>
      <c r="BZ6" s="511">
        <f>BY6</f>
        <v>0</v>
      </c>
      <c r="CA6" s="511">
        <f t="shared" ref="CA6:CC6" si="25">BZ6</f>
        <v>0</v>
      </c>
      <c r="CB6" s="511">
        <f t="shared" si="25"/>
        <v>0</v>
      </c>
      <c r="CC6" s="723">
        <f t="shared" si="25"/>
        <v>0</v>
      </c>
      <c r="CD6" s="722">
        <f>R6*AS6</f>
        <v>0</v>
      </c>
      <c r="CE6" s="511">
        <f t="shared" ref="CE6:CF6" si="26">CD6</f>
        <v>0</v>
      </c>
      <c r="CF6" s="511">
        <f t="shared" si="26"/>
        <v>0</v>
      </c>
      <c r="CG6" s="511">
        <f>CF6</f>
        <v>0</v>
      </c>
      <c r="CH6" s="511">
        <f t="shared" ref="CH6:CJ6" si="27">CG6</f>
        <v>0</v>
      </c>
      <c r="CI6" s="511">
        <f t="shared" si="27"/>
        <v>0</v>
      </c>
      <c r="CJ6" s="723">
        <f t="shared" si="27"/>
        <v>0</v>
      </c>
      <c r="CK6" s="507">
        <f>S6*AT6</f>
        <v>0</v>
      </c>
      <c r="CL6" s="511">
        <f t="shared" ref="CL6:CM6" si="28">CK6</f>
        <v>0</v>
      </c>
      <c r="CM6" s="511">
        <f t="shared" si="28"/>
        <v>0</v>
      </c>
      <c r="CN6" s="511">
        <f>CM6</f>
        <v>0</v>
      </c>
      <c r="CO6" s="511">
        <f t="shared" ref="CO6:CQ6" si="29">CN6</f>
        <v>0</v>
      </c>
      <c r="CP6" s="511">
        <f t="shared" si="29"/>
        <v>0</v>
      </c>
      <c r="CQ6" s="539">
        <f t="shared" si="29"/>
        <v>0</v>
      </c>
      <c r="CR6" s="724">
        <f>W6*AU6</f>
        <v>0</v>
      </c>
      <c r="CS6" s="508">
        <f t="shared" ref="CS6:CX6" si="30">X6*AV6</f>
        <v>0</v>
      </c>
      <c r="CT6" s="508">
        <f t="shared" si="30"/>
        <v>0</v>
      </c>
      <c r="CU6" s="508">
        <f t="shared" si="30"/>
        <v>0</v>
      </c>
      <c r="CV6" s="508">
        <f t="shared" si="30"/>
        <v>0</v>
      </c>
      <c r="CW6" s="508">
        <f t="shared" si="30"/>
        <v>0</v>
      </c>
      <c r="CX6" s="725">
        <f t="shared" si="30"/>
        <v>0</v>
      </c>
      <c r="CY6" s="724">
        <f t="shared" ref="CY6:DE6" si="31">W6*BB6</f>
        <v>0</v>
      </c>
      <c r="CZ6" s="508">
        <f t="shared" si="31"/>
        <v>0</v>
      </c>
      <c r="DA6" s="508">
        <f t="shared" si="31"/>
        <v>0</v>
      </c>
      <c r="DB6" s="508">
        <f t="shared" si="31"/>
        <v>0</v>
      </c>
      <c r="DC6" s="508">
        <f t="shared" si="31"/>
        <v>0</v>
      </c>
      <c r="DD6" s="508">
        <f t="shared" si="31"/>
        <v>0</v>
      </c>
      <c r="DE6" s="725">
        <f t="shared" si="31"/>
        <v>0</v>
      </c>
      <c r="DF6" s="724">
        <f t="shared" ref="DF6:DL6" si="32">W6*BI6</f>
        <v>0</v>
      </c>
      <c r="DG6" s="508">
        <f t="shared" si="32"/>
        <v>0</v>
      </c>
      <c r="DH6" s="508">
        <f t="shared" si="32"/>
        <v>0</v>
      </c>
      <c r="DI6" s="508">
        <f t="shared" si="32"/>
        <v>0</v>
      </c>
      <c r="DJ6" s="508">
        <f t="shared" si="32"/>
        <v>0</v>
      </c>
      <c r="DK6" s="508">
        <f t="shared" si="32"/>
        <v>0</v>
      </c>
      <c r="DL6" s="725">
        <f t="shared" si="32"/>
        <v>0</v>
      </c>
      <c r="DM6" s="724">
        <f t="shared" ref="DM6:DS6" si="33">BP6*W6</f>
        <v>0</v>
      </c>
      <c r="DN6" s="508">
        <f t="shared" si="33"/>
        <v>0</v>
      </c>
      <c r="DO6" s="508">
        <f t="shared" si="33"/>
        <v>0</v>
      </c>
      <c r="DP6" s="508">
        <f t="shared" si="33"/>
        <v>0</v>
      </c>
      <c r="DQ6" s="508">
        <f t="shared" si="33"/>
        <v>0</v>
      </c>
      <c r="DR6" s="508">
        <f t="shared" si="33"/>
        <v>0</v>
      </c>
      <c r="DS6" s="725">
        <f t="shared" si="33"/>
        <v>0</v>
      </c>
      <c r="DT6" s="722">
        <f t="shared" ref="DT6:DZ6" si="34">W6*BW6</f>
        <v>0</v>
      </c>
      <c r="DU6" s="511">
        <f t="shared" si="34"/>
        <v>0</v>
      </c>
      <c r="DV6" s="511">
        <f t="shared" si="34"/>
        <v>0</v>
      </c>
      <c r="DW6" s="511">
        <f t="shared" si="34"/>
        <v>0</v>
      </c>
      <c r="DX6" s="511">
        <f t="shared" si="34"/>
        <v>0</v>
      </c>
      <c r="DY6" s="511">
        <f t="shared" si="34"/>
        <v>0</v>
      </c>
      <c r="DZ6" s="723">
        <f t="shared" si="34"/>
        <v>0</v>
      </c>
      <c r="EA6" s="722">
        <f t="shared" ref="EA6:EG6" si="35">W6*CD6</f>
        <v>0</v>
      </c>
      <c r="EB6" s="511">
        <f t="shared" si="35"/>
        <v>0</v>
      </c>
      <c r="EC6" s="511">
        <f t="shared" si="35"/>
        <v>0</v>
      </c>
      <c r="ED6" s="511">
        <f t="shared" si="35"/>
        <v>0</v>
      </c>
      <c r="EE6" s="511">
        <f t="shared" si="35"/>
        <v>0</v>
      </c>
      <c r="EF6" s="511">
        <f t="shared" si="35"/>
        <v>0</v>
      </c>
      <c r="EG6" s="723">
        <f t="shared" si="35"/>
        <v>0</v>
      </c>
      <c r="EH6" s="507">
        <f t="shared" ref="EH6:EN6" si="36">W6*CK6</f>
        <v>0</v>
      </c>
      <c r="EI6" s="511">
        <f t="shared" si="36"/>
        <v>0</v>
      </c>
      <c r="EJ6" s="511">
        <f t="shared" si="36"/>
        <v>0</v>
      </c>
      <c r="EK6" s="511">
        <f t="shared" si="36"/>
        <v>0</v>
      </c>
      <c r="EL6" s="511">
        <f t="shared" si="36"/>
        <v>0</v>
      </c>
      <c r="EM6" s="511">
        <f t="shared" si="36"/>
        <v>0</v>
      </c>
      <c r="EN6" s="723">
        <f t="shared" si="36"/>
        <v>0</v>
      </c>
      <c r="EO6" s="977">
        <f>SUM(W6:AC6)</f>
        <v>7</v>
      </c>
      <c r="EP6" s="728">
        <f>SUM(CR6:CX6)</f>
        <v>0</v>
      </c>
      <c r="EQ6" s="728">
        <f>SUM(CY6:DE6)</f>
        <v>0</v>
      </c>
      <c r="ER6" s="728">
        <f>SUM(DF6:DL6)</f>
        <v>0</v>
      </c>
      <c r="ES6" s="728">
        <f>SUM(DM6:DS6)</f>
        <v>0</v>
      </c>
      <c r="ET6" s="978">
        <f>SUM(DT6:DZ6)</f>
        <v>0</v>
      </c>
      <c r="EU6" s="978">
        <f>SUM(EA6:EG6)</f>
        <v>0</v>
      </c>
      <c r="EV6" s="778">
        <f>SUM(EH6:EN6)</f>
        <v>0</v>
      </c>
      <c r="EX6" s="10" t="b">
        <f t="shared" ref="EX6:FE6" si="37">EO6=SUM(EO11,EO16)</f>
        <v>1</v>
      </c>
      <c r="EY6" s="10" t="b">
        <f t="shared" si="37"/>
        <v>1</v>
      </c>
      <c r="EZ6" s="10" t="b">
        <f t="shared" si="37"/>
        <v>1</v>
      </c>
      <c r="FA6" s="10" t="b">
        <f t="shared" si="37"/>
        <v>1</v>
      </c>
      <c r="FB6" s="10" t="b">
        <f t="shared" si="37"/>
        <v>1</v>
      </c>
      <c r="FC6" s="10" t="b">
        <f t="shared" si="37"/>
        <v>1</v>
      </c>
      <c r="FD6" s="10" t="b">
        <f t="shared" si="37"/>
        <v>1</v>
      </c>
      <c r="FE6" s="10" t="b">
        <f t="shared" si="37"/>
        <v>1</v>
      </c>
    </row>
    <row r="7" spans="1:161" s="10" customFormat="1" ht="12.75" customHeight="1">
      <c r="A7" s="662">
        <v>2</v>
      </c>
      <c r="B7" s="703" t="s">
        <v>1563</v>
      </c>
      <c r="C7" s="703" t="s">
        <v>1564</v>
      </c>
      <c r="D7" s="715" t="s">
        <v>400</v>
      </c>
      <c r="E7" s="703" t="s">
        <v>401</v>
      </c>
      <c r="F7" s="704" t="s">
        <v>402</v>
      </c>
      <c r="G7" s="705">
        <v>154</v>
      </c>
      <c r="H7" s="869">
        <v>0</v>
      </c>
      <c r="I7" s="706">
        <f t="shared" ref="I7:I8" si="38">G7+H7</f>
        <v>154</v>
      </c>
      <c r="J7" s="704">
        <v>0</v>
      </c>
      <c r="K7" s="706">
        <f t="shared" ref="K7:K8" si="39">I7*0.5</f>
        <v>77</v>
      </c>
      <c r="L7" s="703" t="s">
        <v>1565</v>
      </c>
      <c r="M7" s="707">
        <v>0</v>
      </c>
      <c r="N7" s="779">
        <v>75</v>
      </c>
      <c r="O7" s="707">
        <v>0</v>
      </c>
      <c r="P7" s="709">
        <v>0</v>
      </c>
      <c r="Q7" s="710">
        <f>AVERAGE(Q12,Q17)</f>
        <v>310.57482558030483</v>
      </c>
      <c r="R7" s="710">
        <v>0</v>
      </c>
      <c r="S7" s="710">
        <f>AVERAGE(S12,S17)</f>
        <v>13.7376</v>
      </c>
      <c r="T7" s="711" t="s">
        <v>404</v>
      </c>
      <c r="U7" s="712">
        <v>1</v>
      </c>
      <c r="V7" s="713">
        <v>1</v>
      </c>
      <c r="W7" s="714">
        <f>W21*500%</f>
        <v>1045</v>
      </c>
      <c r="X7" s="714">
        <f>(W7+($U7*W7))</f>
        <v>2090</v>
      </c>
      <c r="Y7" s="714">
        <f t="shared" ref="Y7:Z7" si="40">(X7+($U7*X7))</f>
        <v>4180</v>
      </c>
      <c r="Z7" s="714">
        <f t="shared" si="40"/>
        <v>8360</v>
      </c>
      <c r="AA7" s="714">
        <v>12000</v>
      </c>
      <c r="AB7" s="714">
        <f>AA7</f>
        <v>12000</v>
      </c>
      <c r="AC7" s="714">
        <f>AB7</f>
        <v>12000</v>
      </c>
      <c r="AD7" s="711" t="s">
        <v>374</v>
      </c>
      <c r="AE7" s="711" t="s">
        <v>375</v>
      </c>
      <c r="AF7" s="1024" t="s">
        <v>377</v>
      </c>
      <c r="AG7" s="711" t="s">
        <v>405</v>
      </c>
      <c r="AH7" s="711" t="s">
        <v>1</v>
      </c>
      <c r="AI7" s="711" t="s">
        <v>378</v>
      </c>
      <c r="AJ7" s="711" t="s">
        <v>378</v>
      </c>
      <c r="AK7" s="711" t="s">
        <v>378</v>
      </c>
      <c r="AL7" s="715" t="s">
        <v>406</v>
      </c>
      <c r="AM7" s="715" t="s">
        <v>407</v>
      </c>
      <c r="AN7" s="715" t="s">
        <v>381</v>
      </c>
      <c r="AO7" s="711">
        <v>7.5</v>
      </c>
      <c r="AP7" s="711">
        <v>7.5</v>
      </c>
      <c r="AQ7" s="711" t="s">
        <v>408</v>
      </c>
      <c r="AR7" s="716">
        <v>1</v>
      </c>
      <c r="AS7" s="716">
        <v>1</v>
      </c>
      <c r="AT7" s="717">
        <v>1</v>
      </c>
      <c r="AU7" s="718">
        <f>I7</f>
        <v>154</v>
      </c>
      <c r="AV7" s="499">
        <f t="shared" ref="AV7:AV9" si="41">AU7</f>
        <v>154</v>
      </c>
      <c r="AW7" s="499">
        <f t="shared" ref="AW7:AW9" si="42">AV7</f>
        <v>154</v>
      </c>
      <c r="AX7" s="499">
        <f t="shared" ref="AX7:AX9" si="43">AU7</f>
        <v>154</v>
      </c>
      <c r="AY7" s="499">
        <f t="shared" ref="AY7:AY9" si="44">AV7</f>
        <v>154</v>
      </c>
      <c r="AZ7" s="499">
        <f t="shared" ref="AZ7:AZ9" si="45">AW7</f>
        <v>154</v>
      </c>
      <c r="BA7" s="719">
        <f t="shared" ref="BA7:BA9" si="46">AX7</f>
        <v>154</v>
      </c>
      <c r="BB7" s="497">
        <f t="shared" ref="BB7:BB9" si="47">J7</f>
        <v>0</v>
      </c>
      <c r="BC7" s="499">
        <f t="shared" ref="BC7:BC9" si="48">BB7</f>
        <v>0</v>
      </c>
      <c r="BD7" s="499">
        <f t="shared" ref="BD7:BD9" si="49">BC7</f>
        <v>0</v>
      </c>
      <c r="BE7" s="499">
        <f t="shared" ref="BE7:BE9" si="50">BD7</f>
        <v>0</v>
      </c>
      <c r="BF7" s="499">
        <f t="shared" ref="BF7:BF9" si="51">BE7</f>
        <v>0</v>
      </c>
      <c r="BG7" s="499">
        <f t="shared" ref="BG7:BH7" si="52">BF7</f>
        <v>0</v>
      </c>
      <c r="BH7" s="720">
        <f t="shared" si="52"/>
        <v>0</v>
      </c>
      <c r="BI7" s="721">
        <f t="shared" ref="BI7:BI9" si="53">N7+O7</f>
        <v>75</v>
      </c>
      <c r="BJ7" s="499">
        <f t="shared" ref="BJ7:BJ9" si="54">BI7</f>
        <v>75</v>
      </c>
      <c r="BK7" s="499">
        <f t="shared" ref="BK7:BK9" si="55">BJ7</f>
        <v>75</v>
      </c>
      <c r="BL7" s="499">
        <f t="shared" ref="BL7:BL9" si="56">BK7</f>
        <v>75</v>
      </c>
      <c r="BM7" s="499">
        <f t="shared" ref="BM7:BM9" si="57">BL7</f>
        <v>75</v>
      </c>
      <c r="BN7" s="499">
        <f t="shared" ref="BN7:BN9" si="58">BM7</f>
        <v>75</v>
      </c>
      <c r="BO7" s="719">
        <f t="shared" ref="BO7:BO9" si="59">BN7</f>
        <v>75</v>
      </c>
      <c r="BP7" s="775">
        <f t="shared" ref="BP7:BP9" si="60">$P7</f>
        <v>0</v>
      </c>
      <c r="BQ7" s="503">
        <f t="shared" si="23"/>
        <v>0</v>
      </c>
      <c r="BR7" s="503">
        <f t="shared" si="23"/>
        <v>0</v>
      </c>
      <c r="BS7" s="503">
        <f t="shared" si="23"/>
        <v>0</v>
      </c>
      <c r="BT7" s="503">
        <f t="shared" si="23"/>
        <v>0</v>
      </c>
      <c r="BU7" s="503">
        <f t="shared" si="23"/>
        <v>0</v>
      </c>
      <c r="BV7" s="776">
        <f t="shared" si="23"/>
        <v>0</v>
      </c>
      <c r="BW7" s="722">
        <f t="shared" ref="BW7:BW9" si="61">Q7*AS7</f>
        <v>310.57482558030483</v>
      </c>
      <c r="BX7" s="511">
        <f t="shared" ref="BX7:BX9" si="62">BW7</f>
        <v>310.57482558030483</v>
      </c>
      <c r="BY7" s="511">
        <f t="shared" ref="BY7:BY9" si="63">BX7</f>
        <v>310.57482558030483</v>
      </c>
      <c r="BZ7" s="511">
        <f t="shared" ref="BZ7:BZ9" si="64">BY7</f>
        <v>310.57482558030483</v>
      </c>
      <c r="CA7" s="511">
        <f t="shared" ref="CA7:CA9" si="65">BZ7</f>
        <v>310.57482558030483</v>
      </c>
      <c r="CB7" s="511">
        <f t="shared" ref="CB7:CB9" si="66">CA7</f>
        <v>310.57482558030483</v>
      </c>
      <c r="CC7" s="723">
        <f t="shared" ref="CC7:CC9" si="67">CB7</f>
        <v>310.57482558030483</v>
      </c>
      <c r="CD7" s="722">
        <f t="shared" ref="CD7:CD9" si="68">R7*AS7</f>
        <v>0</v>
      </c>
      <c r="CE7" s="511">
        <f t="shared" ref="CE7:CE9" si="69">CD7</f>
        <v>0</v>
      </c>
      <c r="CF7" s="511">
        <f t="shared" ref="CF7:CF9" si="70">CE7</f>
        <v>0</v>
      </c>
      <c r="CG7" s="511">
        <f t="shared" ref="CG7:CG9" si="71">CF7</f>
        <v>0</v>
      </c>
      <c r="CH7" s="511">
        <f t="shared" ref="CH7:CH9" si="72">CG7</f>
        <v>0</v>
      </c>
      <c r="CI7" s="511">
        <f t="shared" ref="CI7:CI9" si="73">CH7</f>
        <v>0</v>
      </c>
      <c r="CJ7" s="723">
        <f t="shared" ref="CJ7:CJ9" si="74">CI7</f>
        <v>0</v>
      </c>
      <c r="CK7" s="507">
        <f t="shared" ref="CK7:CK9" si="75">S7*AT7</f>
        <v>13.7376</v>
      </c>
      <c r="CL7" s="511">
        <f t="shared" ref="CL7:CL9" si="76">CK7</f>
        <v>13.7376</v>
      </c>
      <c r="CM7" s="511">
        <f t="shared" ref="CM7:CM9" si="77">CL7</f>
        <v>13.7376</v>
      </c>
      <c r="CN7" s="511">
        <f t="shared" ref="CN7:CN9" si="78">CM7</f>
        <v>13.7376</v>
      </c>
      <c r="CO7" s="511">
        <f t="shared" ref="CO7:CO9" si="79">CN7</f>
        <v>13.7376</v>
      </c>
      <c r="CP7" s="511">
        <f t="shared" ref="CP7:CP9" si="80">CO7</f>
        <v>13.7376</v>
      </c>
      <c r="CQ7" s="539">
        <f t="shared" ref="CQ7:CQ9" si="81">CP7</f>
        <v>13.7376</v>
      </c>
      <c r="CR7" s="724">
        <f t="shared" ref="CR7:CR9" si="82">W7*AU7</f>
        <v>160930</v>
      </c>
      <c r="CS7" s="508">
        <f t="shared" ref="CS7:CS9" si="83">X7*AV7</f>
        <v>321860</v>
      </c>
      <c r="CT7" s="508">
        <f t="shared" ref="CT7:CT9" si="84">Y7*AW7</f>
        <v>643720</v>
      </c>
      <c r="CU7" s="508">
        <f t="shared" ref="CU7:CU9" si="85">Z7*AX7</f>
        <v>1287440</v>
      </c>
      <c r="CV7" s="508">
        <f t="shared" ref="CV7:CV9" si="86">AA7*AY7</f>
        <v>1848000</v>
      </c>
      <c r="CW7" s="508">
        <f t="shared" ref="CW7:CW9" si="87">AB7*AZ7</f>
        <v>1848000</v>
      </c>
      <c r="CX7" s="725">
        <f t="shared" ref="CX7:CX9" si="88">AC7*BA7</f>
        <v>1848000</v>
      </c>
      <c r="CY7" s="724">
        <f t="shared" ref="CY7:CY9" si="89">W7*BB7</f>
        <v>0</v>
      </c>
      <c r="CZ7" s="508">
        <f t="shared" ref="CZ7:CZ9" si="90">X7*BC7</f>
        <v>0</v>
      </c>
      <c r="DA7" s="508">
        <f t="shared" ref="DA7:DA9" si="91">Y7*BD7</f>
        <v>0</v>
      </c>
      <c r="DB7" s="508">
        <f t="shared" ref="DB7:DB9" si="92">Z7*BE7</f>
        <v>0</v>
      </c>
      <c r="DC7" s="508">
        <f t="shared" ref="DC7:DC9" si="93">AA7*BF7</f>
        <v>0</v>
      </c>
      <c r="DD7" s="508">
        <f t="shared" ref="DD7:DD9" si="94">AB7*BG7</f>
        <v>0</v>
      </c>
      <c r="DE7" s="725">
        <f t="shared" ref="DE7:DE9" si="95">AC7*BH7</f>
        <v>0</v>
      </c>
      <c r="DF7" s="724">
        <f t="shared" ref="DF7:DF9" si="96">W7*BI7</f>
        <v>78375</v>
      </c>
      <c r="DG7" s="508">
        <f t="shared" ref="DG7:DG9" si="97">X7*BJ7</f>
        <v>156750</v>
      </c>
      <c r="DH7" s="508">
        <f t="shared" ref="DH7:DH9" si="98">Y7*BK7</f>
        <v>313500</v>
      </c>
      <c r="DI7" s="508">
        <f t="shared" ref="DI7:DI9" si="99">Z7*BL7</f>
        <v>627000</v>
      </c>
      <c r="DJ7" s="508">
        <f t="shared" ref="DJ7:DJ9" si="100">AA7*BM7</f>
        <v>900000</v>
      </c>
      <c r="DK7" s="508">
        <f t="shared" ref="DK7:DK9" si="101">AB7*BN7</f>
        <v>900000</v>
      </c>
      <c r="DL7" s="725">
        <f t="shared" ref="DL7:DL9" si="102">AC7*BO7</f>
        <v>900000</v>
      </c>
      <c r="DM7" s="724">
        <f t="shared" ref="DM7:DM9" si="103">BP7*W7</f>
        <v>0</v>
      </c>
      <c r="DN7" s="508">
        <f t="shared" ref="DN7:DN9" si="104">BQ7*X7</f>
        <v>0</v>
      </c>
      <c r="DO7" s="508">
        <f t="shared" ref="DO7:DO9" si="105">BR7*Y7</f>
        <v>0</v>
      </c>
      <c r="DP7" s="508">
        <f t="shared" ref="DP7:DP9" si="106">BS7*Z7</f>
        <v>0</v>
      </c>
      <c r="DQ7" s="508">
        <f t="shared" ref="DQ7:DQ9" si="107">BT7*AA7</f>
        <v>0</v>
      </c>
      <c r="DR7" s="508">
        <f t="shared" ref="DR7:DR9" si="108">BU7*AB7</f>
        <v>0</v>
      </c>
      <c r="DS7" s="725">
        <f t="shared" ref="DS7:DS9" si="109">BV7*AC7</f>
        <v>0</v>
      </c>
      <c r="DT7" s="722">
        <f t="shared" ref="DT7:DT9" si="110">W7*BW7</f>
        <v>324550.69273141853</v>
      </c>
      <c r="DU7" s="511">
        <f t="shared" ref="DU7:DU9" si="111">X7*BX7</f>
        <v>649101.38546283706</v>
      </c>
      <c r="DV7" s="511">
        <f t="shared" ref="DV7:DV9" si="112">Y7*BY7</f>
        <v>1298202.7709256741</v>
      </c>
      <c r="DW7" s="511">
        <f t="shared" ref="DW7:DW9" si="113">Z7*BZ7</f>
        <v>2596405.5418513482</v>
      </c>
      <c r="DX7" s="511">
        <f t="shared" ref="DX7:DX9" si="114">AA7*CA7</f>
        <v>3726897.9069636581</v>
      </c>
      <c r="DY7" s="511">
        <f t="shared" ref="DY7:DY9" si="115">AB7*CB7</f>
        <v>3726897.9069636581</v>
      </c>
      <c r="DZ7" s="723">
        <f t="shared" ref="DZ7:DZ9" si="116">AC7*CC7</f>
        <v>3726897.9069636581</v>
      </c>
      <c r="EA7" s="722">
        <f t="shared" ref="EA7:EA9" si="117">W7*CD7</f>
        <v>0</v>
      </c>
      <c r="EB7" s="511">
        <f t="shared" ref="EB7:EB9" si="118">X7*CE7</f>
        <v>0</v>
      </c>
      <c r="EC7" s="511">
        <f t="shared" ref="EC7:EC9" si="119">Y7*CF7</f>
        <v>0</v>
      </c>
      <c r="ED7" s="511">
        <f t="shared" ref="ED7:ED9" si="120">Z7*CG7</f>
        <v>0</v>
      </c>
      <c r="EE7" s="511">
        <f t="shared" ref="EE7:EE9" si="121">AA7*CH7</f>
        <v>0</v>
      </c>
      <c r="EF7" s="511">
        <f t="shared" ref="EF7:EF9" si="122">AB7*CI7</f>
        <v>0</v>
      </c>
      <c r="EG7" s="723">
        <f t="shared" ref="EG7:EG9" si="123">AC7*CJ7</f>
        <v>0</v>
      </c>
      <c r="EH7" s="507">
        <f t="shared" ref="EH7:EH9" si="124">W7*CK7</f>
        <v>14355.792000000001</v>
      </c>
      <c r="EI7" s="511">
        <f t="shared" ref="EI7:EI9" si="125">X7*CL7</f>
        <v>28711.584000000003</v>
      </c>
      <c r="EJ7" s="511">
        <f t="shared" ref="EJ7:EJ9" si="126">Y7*CM7</f>
        <v>57423.168000000005</v>
      </c>
      <c r="EK7" s="511">
        <f t="shared" ref="EK7:EK9" si="127">Z7*CN7</f>
        <v>114846.33600000001</v>
      </c>
      <c r="EL7" s="511">
        <f t="shared" ref="EL7:EL9" si="128">AA7*CO7</f>
        <v>164851.20000000001</v>
      </c>
      <c r="EM7" s="511">
        <f t="shared" ref="EM7:EM9" si="129">AB7*CP7</f>
        <v>164851.20000000001</v>
      </c>
      <c r="EN7" s="723">
        <f t="shared" ref="EN7:EN9" si="130">AC7*CQ7</f>
        <v>164851.20000000001</v>
      </c>
      <c r="EO7" s="977">
        <f t="shared" ref="EO7:EO9" si="131">SUM(W7:AC7)</f>
        <v>51675</v>
      </c>
      <c r="EP7" s="728">
        <f t="shared" ref="EP7:EP9" si="132">SUM(CR7:CX7)</f>
        <v>7957950</v>
      </c>
      <c r="EQ7" s="728">
        <f t="shared" ref="EQ7:EQ9" si="133">SUM(CY7:DE7)</f>
        <v>0</v>
      </c>
      <c r="ER7" s="728">
        <f t="shared" ref="ER7:ER9" si="134">SUM(DF7:DL7)</f>
        <v>3875625</v>
      </c>
      <c r="ES7" s="728">
        <f t="shared" ref="ES7:ES9" si="135">SUM(DM7:DS7)</f>
        <v>0</v>
      </c>
      <c r="ET7" s="978">
        <f t="shared" ref="ET7:ET9" si="136">SUM(DT7:DZ7)</f>
        <v>16048954.111862252</v>
      </c>
      <c r="EU7" s="978">
        <f t="shared" ref="EU7:EU9" si="137">SUM(EA7:EG7)</f>
        <v>0</v>
      </c>
      <c r="EV7" s="778">
        <f t="shared" ref="EV7:EV9" si="138">SUM(EH7:EN7)</f>
        <v>709890.48</v>
      </c>
      <c r="EX7" s="10" t="b">
        <f>EO7=SUM(EO12,EO17)</f>
        <v>1</v>
      </c>
      <c r="EY7" s="10" t="b">
        <f t="shared" ref="EY7:EY9" si="139">EP7=SUM(EP12,EP17)</f>
        <v>1</v>
      </c>
      <c r="EZ7" s="10" t="b">
        <f t="shared" ref="EZ7:EZ9" si="140">EQ7=SUM(EQ12,EQ17)</f>
        <v>1</v>
      </c>
      <c r="FA7" s="10" t="b">
        <f t="shared" ref="FA7:FA9" si="141">ER7=SUM(ER12,ER17)</f>
        <v>1</v>
      </c>
      <c r="FB7" s="10" t="b">
        <f t="shared" ref="FB7:FB9" si="142">ES7=SUM(ES12,ES17)</f>
        <v>1</v>
      </c>
      <c r="FC7" s="10" t="b">
        <f t="shared" ref="FC7:FC9" si="143">ET7=SUM(ET12,ET17)</f>
        <v>1</v>
      </c>
      <c r="FD7" s="10" t="b">
        <f t="shared" ref="FD7:FD9" si="144">EU7=SUM(EU12,EU17)</f>
        <v>1</v>
      </c>
      <c r="FE7" s="10" t="b">
        <f t="shared" ref="FE7:FE9" si="145">EV7=SUM(EV12,EV17)</f>
        <v>1</v>
      </c>
    </row>
    <row r="8" spans="1:161" s="10" customFormat="1" ht="12.75" customHeight="1">
      <c r="A8" s="662">
        <v>3</v>
      </c>
      <c r="B8" s="703" t="s">
        <v>1566</v>
      </c>
      <c r="C8" s="703" t="s">
        <v>1567</v>
      </c>
      <c r="D8" s="703" t="s">
        <v>1568</v>
      </c>
      <c r="E8" s="703" t="s">
        <v>1569</v>
      </c>
      <c r="F8" s="704" t="s">
        <v>1570</v>
      </c>
      <c r="G8" s="705">
        <f>C44</f>
        <v>19.239999999999998</v>
      </c>
      <c r="H8" s="704">
        <v>0</v>
      </c>
      <c r="I8" s="706">
        <f t="shared" si="38"/>
        <v>19.239999999999998</v>
      </c>
      <c r="J8" s="704">
        <v>0</v>
      </c>
      <c r="K8" s="706">
        <f t="shared" si="39"/>
        <v>9.6199999999999992</v>
      </c>
      <c r="L8" s="703" t="s">
        <v>1571</v>
      </c>
      <c r="M8" s="707">
        <v>0</v>
      </c>
      <c r="N8" s="779">
        <v>10</v>
      </c>
      <c r="O8" s="707">
        <v>0</v>
      </c>
      <c r="P8" s="709">
        <v>0</v>
      </c>
      <c r="Q8" s="710">
        <f>AVERAGE(Q13,Q18)</f>
        <v>63.5</v>
      </c>
      <c r="R8" s="710">
        <v>0</v>
      </c>
      <c r="S8" s="710">
        <v>0</v>
      </c>
      <c r="T8" s="711" t="s">
        <v>1572</v>
      </c>
      <c r="U8" s="712">
        <v>0.05</v>
      </c>
      <c r="V8" s="713">
        <v>1</v>
      </c>
      <c r="W8" s="714">
        <v>24</v>
      </c>
      <c r="X8" s="714">
        <f t="shared" ref="X8:AC9" si="146">(W8+($U8*W8))</f>
        <v>25.2</v>
      </c>
      <c r="Y8" s="714">
        <f t="shared" si="146"/>
        <v>26.46</v>
      </c>
      <c r="Z8" s="714">
        <f t="shared" si="146"/>
        <v>27.783000000000001</v>
      </c>
      <c r="AA8" s="714">
        <f t="shared" si="146"/>
        <v>29.172150000000002</v>
      </c>
      <c r="AB8" s="714">
        <f t="shared" si="146"/>
        <v>30.630757500000001</v>
      </c>
      <c r="AC8" s="714">
        <f t="shared" si="146"/>
        <v>32.162295374999999</v>
      </c>
      <c r="AD8" s="711" t="s">
        <v>384</v>
      </c>
      <c r="AE8" s="711" t="s">
        <v>375</v>
      </c>
      <c r="AF8" s="1024" t="s">
        <v>377</v>
      </c>
      <c r="AG8" s="711" t="s">
        <v>1573</v>
      </c>
      <c r="AH8" s="711" t="s">
        <v>1</v>
      </c>
      <c r="AI8" s="711" t="s">
        <v>378</v>
      </c>
      <c r="AJ8" s="711" t="s">
        <v>378</v>
      </c>
      <c r="AK8" s="711" t="s">
        <v>378</v>
      </c>
      <c r="AL8" s="715" t="s">
        <v>872</v>
      </c>
      <c r="AM8" s="715" t="s">
        <v>407</v>
      </c>
      <c r="AN8" s="715" t="s">
        <v>381</v>
      </c>
      <c r="AO8" s="661">
        <v>5</v>
      </c>
      <c r="AP8" s="661">
        <v>5</v>
      </c>
      <c r="AQ8" s="711" t="s">
        <v>1574</v>
      </c>
      <c r="AR8" s="716">
        <v>1</v>
      </c>
      <c r="AS8" s="716">
        <v>1</v>
      </c>
      <c r="AT8" s="717">
        <v>0</v>
      </c>
      <c r="AU8" s="718">
        <f t="shared" ref="AU8:AU9" si="147">I8</f>
        <v>19.239999999999998</v>
      </c>
      <c r="AV8" s="499">
        <f t="shared" si="41"/>
        <v>19.239999999999998</v>
      </c>
      <c r="AW8" s="499">
        <f t="shared" si="42"/>
        <v>19.239999999999998</v>
      </c>
      <c r="AX8" s="499">
        <f t="shared" si="43"/>
        <v>19.239999999999998</v>
      </c>
      <c r="AY8" s="499">
        <f t="shared" si="44"/>
        <v>19.239999999999998</v>
      </c>
      <c r="AZ8" s="499">
        <f t="shared" si="45"/>
        <v>19.239999999999998</v>
      </c>
      <c r="BA8" s="719">
        <f t="shared" si="46"/>
        <v>19.239999999999998</v>
      </c>
      <c r="BB8" s="497">
        <f t="shared" si="47"/>
        <v>0</v>
      </c>
      <c r="BC8" s="499">
        <f t="shared" si="48"/>
        <v>0</v>
      </c>
      <c r="BD8" s="499">
        <f t="shared" si="49"/>
        <v>0</v>
      </c>
      <c r="BE8" s="499">
        <f t="shared" si="50"/>
        <v>0</v>
      </c>
      <c r="BF8" s="499">
        <f t="shared" si="51"/>
        <v>0</v>
      </c>
      <c r="BG8" s="499">
        <f t="shared" ref="BG8:BH8" si="148">BF8</f>
        <v>0</v>
      </c>
      <c r="BH8" s="720">
        <f t="shared" si="148"/>
        <v>0</v>
      </c>
      <c r="BI8" s="721">
        <f t="shared" si="53"/>
        <v>10</v>
      </c>
      <c r="BJ8" s="499">
        <f t="shared" si="54"/>
        <v>10</v>
      </c>
      <c r="BK8" s="499">
        <f t="shared" si="55"/>
        <v>10</v>
      </c>
      <c r="BL8" s="499">
        <f t="shared" si="56"/>
        <v>10</v>
      </c>
      <c r="BM8" s="499">
        <f t="shared" si="57"/>
        <v>10</v>
      </c>
      <c r="BN8" s="499">
        <f t="shared" si="58"/>
        <v>10</v>
      </c>
      <c r="BO8" s="719">
        <f t="shared" si="59"/>
        <v>10</v>
      </c>
      <c r="BP8" s="775">
        <f t="shared" si="60"/>
        <v>0</v>
      </c>
      <c r="BQ8" s="503">
        <f t="shared" si="23"/>
        <v>0</v>
      </c>
      <c r="BR8" s="503">
        <f t="shared" si="23"/>
        <v>0</v>
      </c>
      <c r="BS8" s="503">
        <f t="shared" si="23"/>
        <v>0</v>
      </c>
      <c r="BT8" s="503">
        <f t="shared" si="23"/>
        <v>0</v>
      </c>
      <c r="BU8" s="503">
        <f t="shared" si="23"/>
        <v>0</v>
      </c>
      <c r="BV8" s="776">
        <f t="shared" si="23"/>
        <v>0</v>
      </c>
      <c r="BW8" s="722">
        <f t="shared" si="61"/>
        <v>63.5</v>
      </c>
      <c r="BX8" s="511">
        <f t="shared" si="62"/>
        <v>63.5</v>
      </c>
      <c r="BY8" s="511">
        <f t="shared" si="63"/>
        <v>63.5</v>
      </c>
      <c r="BZ8" s="511">
        <f t="shared" si="64"/>
        <v>63.5</v>
      </c>
      <c r="CA8" s="511">
        <f t="shared" si="65"/>
        <v>63.5</v>
      </c>
      <c r="CB8" s="511">
        <f t="shared" si="66"/>
        <v>63.5</v>
      </c>
      <c r="CC8" s="723">
        <f t="shared" si="67"/>
        <v>63.5</v>
      </c>
      <c r="CD8" s="722">
        <f t="shared" si="68"/>
        <v>0</v>
      </c>
      <c r="CE8" s="511">
        <f t="shared" si="69"/>
        <v>0</v>
      </c>
      <c r="CF8" s="511">
        <f t="shared" si="70"/>
        <v>0</v>
      </c>
      <c r="CG8" s="511">
        <f t="shared" si="71"/>
        <v>0</v>
      </c>
      <c r="CH8" s="511">
        <f t="shared" si="72"/>
        <v>0</v>
      </c>
      <c r="CI8" s="511">
        <f t="shared" si="73"/>
        <v>0</v>
      </c>
      <c r="CJ8" s="723">
        <f t="shared" si="74"/>
        <v>0</v>
      </c>
      <c r="CK8" s="507">
        <f t="shared" si="75"/>
        <v>0</v>
      </c>
      <c r="CL8" s="511">
        <f t="shared" si="76"/>
        <v>0</v>
      </c>
      <c r="CM8" s="511">
        <f t="shared" si="77"/>
        <v>0</v>
      </c>
      <c r="CN8" s="511">
        <f t="shared" si="78"/>
        <v>0</v>
      </c>
      <c r="CO8" s="511">
        <f t="shared" si="79"/>
        <v>0</v>
      </c>
      <c r="CP8" s="511">
        <f t="shared" si="80"/>
        <v>0</v>
      </c>
      <c r="CQ8" s="539">
        <f t="shared" si="81"/>
        <v>0</v>
      </c>
      <c r="CR8" s="724">
        <f t="shared" si="82"/>
        <v>461.76</v>
      </c>
      <c r="CS8" s="508">
        <f t="shared" si="83"/>
        <v>484.84799999999996</v>
      </c>
      <c r="CT8" s="508">
        <f t="shared" si="84"/>
        <v>509.09039999999999</v>
      </c>
      <c r="CU8" s="508">
        <f t="shared" si="85"/>
        <v>534.54491999999993</v>
      </c>
      <c r="CV8" s="508">
        <f t="shared" si="86"/>
        <v>561.27216599999997</v>
      </c>
      <c r="CW8" s="508">
        <f t="shared" si="87"/>
        <v>589.33577430000003</v>
      </c>
      <c r="CX8" s="725">
        <f t="shared" si="88"/>
        <v>618.80256301499992</v>
      </c>
      <c r="CY8" s="724">
        <f t="shared" si="89"/>
        <v>0</v>
      </c>
      <c r="CZ8" s="508">
        <f t="shared" si="90"/>
        <v>0</v>
      </c>
      <c r="DA8" s="508">
        <f t="shared" si="91"/>
        <v>0</v>
      </c>
      <c r="DB8" s="508">
        <f t="shared" si="92"/>
        <v>0</v>
      </c>
      <c r="DC8" s="508">
        <f t="shared" si="93"/>
        <v>0</v>
      </c>
      <c r="DD8" s="508">
        <f t="shared" si="94"/>
        <v>0</v>
      </c>
      <c r="DE8" s="725">
        <f t="shared" si="95"/>
        <v>0</v>
      </c>
      <c r="DF8" s="724">
        <f t="shared" si="96"/>
        <v>240</v>
      </c>
      <c r="DG8" s="508">
        <f t="shared" si="97"/>
        <v>252</v>
      </c>
      <c r="DH8" s="508">
        <f t="shared" si="98"/>
        <v>264.60000000000002</v>
      </c>
      <c r="DI8" s="508">
        <f t="shared" si="99"/>
        <v>277.83000000000004</v>
      </c>
      <c r="DJ8" s="508">
        <f t="shared" si="100"/>
        <v>291.72149999999999</v>
      </c>
      <c r="DK8" s="508">
        <f t="shared" si="101"/>
        <v>306.30757500000004</v>
      </c>
      <c r="DL8" s="725">
        <f t="shared" si="102"/>
        <v>321.62295374999997</v>
      </c>
      <c r="DM8" s="724">
        <f t="shared" si="103"/>
        <v>0</v>
      </c>
      <c r="DN8" s="508">
        <f t="shared" si="104"/>
        <v>0</v>
      </c>
      <c r="DO8" s="508">
        <f t="shared" si="105"/>
        <v>0</v>
      </c>
      <c r="DP8" s="508">
        <f t="shared" si="106"/>
        <v>0</v>
      </c>
      <c r="DQ8" s="508">
        <f t="shared" si="107"/>
        <v>0</v>
      </c>
      <c r="DR8" s="508">
        <f t="shared" si="108"/>
        <v>0</v>
      </c>
      <c r="DS8" s="725">
        <f t="shared" si="109"/>
        <v>0</v>
      </c>
      <c r="DT8" s="722">
        <f t="shared" si="110"/>
        <v>1524</v>
      </c>
      <c r="DU8" s="511">
        <f t="shared" si="111"/>
        <v>1600.2</v>
      </c>
      <c r="DV8" s="511">
        <f t="shared" si="112"/>
        <v>1680.21</v>
      </c>
      <c r="DW8" s="511">
        <f t="shared" si="113"/>
        <v>1764.2205000000001</v>
      </c>
      <c r="DX8" s="511">
        <f t="shared" si="114"/>
        <v>1852.4315250000002</v>
      </c>
      <c r="DY8" s="511">
        <f t="shared" si="115"/>
        <v>1945.0531012500001</v>
      </c>
      <c r="DZ8" s="723">
        <f t="shared" si="116"/>
        <v>2042.3057563124999</v>
      </c>
      <c r="EA8" s="722">
        <f t="shared" si="117"/>
        <v>0</v>
      </c>
      <c r="EB8" s="511">
        <f t="shared" si="118"/>
        <v>0</v>
      </c>
      <c r="EC8" s="511">
        <f t="shared" si="119"/>
        <v>0</v>
      </c>
      <c r="ED8" s="511">
        <f t="shared" si="120"/>
        <v>0</v>
      </c>
      <c r="EE8" s="511">
        <f t="shared" si="121"/>
        <v>0</v>
      </c>
      <c r="EF8" s="511">
        <f t="shared" si="122"/>
        <v>0</v>
      </c>
      <c r="EG8" s="723">
        <f t="shared" si="123"/>
        <v>0</v>
      </c>
      <c r="EH8" s="507">
        <f t="shared" si="124"/>
        <v>0</v>
      </c>
      <c r="EI8" s="511">
        <f t="shared" si="125"/>
        <v>0</v>
      </c>
      <c r="EJ8" s="511">
        <f t="shared" si="126"/>
        <v>0</v>
      </c>
      <c r="EK8" s="511">
        <f t="shared" si="127"/>
        <v>0</v>
      </c>
      <c r="EL8" s="511">
        <f t="shared" si="128"/>
        <v>0</v>
      </c>
      <c r="EM8" s="511">
        <f t="shared" si="129"/>
        <v>0</v>
      </c>
      <c r="EN8" s="723">
        <f t="shared" si="130"/>
        <v>0</v>
      </c>
      <c r="EO8" s="977">
        <f t="shared" si="131"/>
        <v>195.40820287499997</v>
      </c>
      <c r="EP8" s="728">
        <f t="shared" si="132"/>
        <v>3759.6538233150004</v>
      </c>
      <c r="EQ8" s="728">
        <f t="shared" si="133"/>
        <v>0</v>
      </c>
      <c r="ER8" s="728">
        <f t="shared" si="134"/>
        <v>1954.0820287500001</v>
      </c>
      <c r="ES8" s="728">
        <f t="shared" si="135"/>
        <v>0</v>
      </c>
      <c r="ET8" s="978">
        <f t="shared" si="136"/>
        <v>12408.420882562501</v>
      </c>
      <c r="EU8" s="978">
        <f t="shared" si="137"/>
        <v>0</v>
      </c>
      <c r="EV8" s="778">
        <f t="shared" si="138"/>
        <v>0</v>
      </c>
      <c r="EX8" s="10" t="b">
        <f t="shared" ref="EX8:EX9" si="149">EO8=SUM(EO13,EO18)</f>
        <v>1</v>
      </c>
      <c r="EY8" s="10" t="b">
        <f t="shared" si="139"/>
        <v>1</v>
      </c>
      <c r="EZ8" s="10" t="b">
        <f t="shared" si="140"/>
        <v>1</v>
      </c>
      <c r="FA8" s="10" t="b">
        <f t="shared" si="141"/>
        <v>1</v>
      </c>
      <c r="FB8" s="10" t="b">
        <f t="shared" si="142"/>
        <v>1</v>
      </c>
      <c r="FC8" s="10" t="b">
        <f t="shared" si="143"/>
        <v>1</v>
      </c>
      <c r="FD8" s="10" t="b">
        <f t="shared" si="144"/>
        <v>1</v>
      </c>
      <c r="FE8" s="10" t="b">
        <f t="shared" si="145"/>
        <v>1</v>
      </c>
    </row>
    <row r="9" spans="1:161" s="10" customFormat="1" ht="12.75" customHeight="1">
      <c r="A9" s="662">
        <v>4</v>
      </c>
      <c r="B9" s="703" t="s">
        <v>1575</v>
      </c>
      <c r="C9" s="703" t="s">
        <v>1576</v>
      </c>
      <c r="D9" s="703" t="s">
        <v>1577</v>
      </c>
      <c r="E9" s="703" t="s">
        <v>1578</v>
      </c>
      <c r="F9" s="704" t="s">
        <v>402</v>
      </c>
      <c r="G9" s="705">
        <f>B27</f>
        <v>50</v>
      </c>
      <c r="H9" s="704">
        <v>0</v>
      </c>
      <c r="I9" s="706">
        <f>B27</f>
        <v>50</v>
      </c>
      <c r="J9" s="704">
        <v>0</v>
      </c>
      <c r="K9" s="1173">
        <f>I9*0.5</f>
        <v>25</v>
      </c>
      <c r="L9" s="703" t="s">
        <v>1571</v>
      </c>
      <c r="M9" s="707">
        <v>0</v>
      </c>
      <c r="N9" s="779">
        <v>50</v>
      </c>
      <c r="O9" s="707">
        <v>0</v>
      </c>
      <c r="P9" s="709">
        <v>0</v>
      </c>
      <c r="Q9" s="710">
        <v>0</v>
      </c>
      <c r="R9" s="710">
        <v>0</v>
      </c>
      <c r="S9" s="710">
        <v>0</v>
      </c>
      <c r="T9" s="711" t="s">
        <v>1579</v>
      </c>
      <c r="U9" s="712">
        <v>0.5</v>
      </c>
      <c r="V9" s="713">
        <v>1</v>
      </c>
      <c r="W9" s="714">
        <v>0</v>
      </c>
      <c r="X9" s="714">
        <f t="shared" si="146"/>
        <v>0</v>
      </c>
      <c r="Y9" s="714">
        <f>'BYOT &amp; BYOD'!Y14</f>
        <v>10</v>
      </c>
      <c r="Z9" s="714">
        <f>'BYOT &amp; BYOD'!Z14</f>
        <v>15</v>
      </c>
      <c r="AA9" s="714">
        <f>'BYOT &amp; BYOD'!AA14</f>
        <v>22.5</v>
      </c>
      <c r="AB9" s="714">
        <f>'BYOT &amp; BYOD'!AB14</f>
        <v>33.75</v>
      </c>
      <c r="AC9" s="714">
        <f>'BYOT &amp; BYOD'!AC14</f>
        <v>50.625</v>
      </c>
      <c r="AD9" s="711" t="s">
        <v>384</v>
      </c>
      <c r="AE9" s="711" t="s">
        <v>375</v>
      </c>
      <c r="AF9" s="1024" t="s">
        <v>377</v>
      </c>
      <c r="AG9" s="711" t="s">
        <v>753</v>
      </c>
      <c r="AH9" s="711" t="s">
        <v>1</v>
      </c>
      <c r="AI9" s="711" t="s">
        <v>378</v>
      </c>
      <c r="AJ9" s="711" t="s">
        <v>378</v>
      </c>
      <c r="AK9" s="711" t="s">
        <v>378</v>
      </c>
      <c r="AL9" s="715" t="s">
        <v>943</v>
      </c>
      <c r="AM9" s="715" t="s">
        <v>380</v>
      </c>
      <c r="AN9" s="715" t="s">
        <v>381</v>
      </c>
      <c r="AO9" s="661">
        <v>1</v>
      </c>
      <c r="AP9" s="661">
        <v>1</v>
      </c>
      <c r="AQ9" s="711"/>
      <c r="AR9" s="716">
        <v>1</v>
      </c>
      <c r="AS9" s="716">
        <v>1</v>
      </c>
      <c r="AT9" s="717">
        <v>0</v>
      </c>
      <c r="AU9" s="718">
        <f t="shared" si="147"/>
        <v>50</v>
      </c>
      <c r="AV9" s="499">
        <f t="shared" si="41"/>
        <v>50</v>
      </c>
      <c r="AW9" s="499">
        <f t="shared" si="42"/>
        <v>50</v>
      </c>
      <c r="AX9" s="499">
        <f t="shared" si="43"/>
        <v>50</v>
      </c>
      <c r="AY9" s="499">
        <f t="shared" si="44"/>
        <v>50</v>
      </c>
      <c r="AZ9" s="499">
        <f t="shared" si="45"/>
        <v>50</v>
      </c>
      <c r="BA9" s="719">
        <f t="shared" si="46"/>
        <v>50</v>
      </c>
      <c r="BB9" s="497">
        <f t="shared" si="47"/>
        <v>0</v>
      </c>
      <c r="BC9" s="499">
        <f t="shared" si="48"/>
        <v>0</v>
      </c>
      <c r="BD9" s="499">
        <f t="shared" si="49"/>
        <v>0</v>
      </c>
      <c r="BE9" s="499">
        <f t="shared" si="50"/>
        <v>0</v>
      </c>
      <c r="BF9" s="499">
        <f t="shared" si="51"/>
        <v>0</v>
      </c>
      <c r="BG9" s="499">
        <f t="shared" ref="BG9:BH9" si="150">BF9</f>
        <v>0</v>
      </c>
      <c r="BH9" s="720">
        <f t="shared" si="150"/>
        <v>0</v>
      </c>
      <c r="BI9" s="721">
        <f t="shared" si="53"/>
        <v>50</v>
      </c>
      <c r="BJ9" s="499">
        <f t="shared" si="54"/>
        <v>50</v>
      </c>
      <c r="BK9" s="499">
        <f t="shared" si="55"/>
        <v>50</v>
      </c>
      <c r="BL9" s="499">
        <f t="shared" si="56"/>
        <v>50</v>
      </c>
      <c r="BM9" s="499">
        <f t="shared" si="57"/>
        <v>50</v>
      </c>
      <c r="BN9" s="499">
        <f t="shared" si="58"/>
        <v>50</v>
      </c>
      <c r="BO9" s="719">
        <f t="shared" si="59"/>
        <v>50</v>
      </c>
      <c r="BP9" s="775">
        <f t="shared" si="60"/>
        <v>0</v>
      </c>
      <c r="BQ9" s="503">
        <f t="shared" si="23"/>
        <v>0</v>
      </c>
      <c r="BR9" s="503">
        <f t="shared" si="23"/>
        <v>0</v>
      </c>
      <c r="BS9" s="503">
        <f t="shared" si="23"/>
        <v>0</v>
      </c>
      <c r="BT9" s="503">
        <f t="shared" si="23"/>
        <v>0</v>
      </c>
      <c r="BU9" s="503">
        <f t="shared" si="23"/>
        <v>0</v>
      </c>
      <c r="BV9" s="776">
        <f t="shared" si="23"/>
        <v>0</v>
      </c>
      <c r="BW9" s="722">
        <f t="shared" si="61"/>
        <v>0</v>
      </c>
      <c r="BX9" s="511">
        <f t="shared" si="62"/>
        <v>0</v>
      </c>
      <c r="BY9" s="511">
        <f t="shared" si="63"/>
        <v>0</v>
      </c>
      <c r="BZ9" s="511">
        <f t="shared" si="64"/>
        <v>0</v>
      </c>
      <c r="CA9" s="511">
        <f t="shared" si="65"/>
        <v>0</v>
      </c>
      <c r="CB9" s="511">
        <f t="shared" si="66"/>
        <v>0</v>
      </c>
      <c r="CC9" s="723">
        <f t="shared" si="67"/>
        <v>0</v>
      </c>
      <c r="CD9" s="722">
        <f t="shared" si="68"/>
        <v>0</v>
      </c>
      <c r="CE9" s="511">
        <f t="shared" si="69"/>
        <v>0</v>
      </c>
      <c r="CF9" s="511">
        <f t="shared" si="70"/>
        <v>0</v>
      </c>
      <c r="CG9" s="511">
        <f t="shared" si="71"/>
        <v>0</v>
      </c>
      <c r="CH9" s="511">
        <f t="shared" si="72"/>
        <v>0</v>
      </c>
      <c r="CI9" s="511">
        <f t="shared" si="73"/>
        <v>0</v>
      </c>
      <c r="CJ9" s="723">
        <f t="shared" si="74"/>
        <v>0</v>
      </c>
      <c r="CK9" s="507">
        <f t="shared" si="75"/>
        <v>0</v>
      </c>
      <c r="CL9" s="511">
        <f t="shared" si="76"/>
        <v>0</v>
      </c>
      <c r="CM9" s="511">
        <f t="shared" si="77"/>
        <v>0</v>
      </c>
      <c r="CN9" s="511">
        <f t="shared" si="78"/>
        <v>0</v>
      </c>
      <c r="CO9" s="511">
        <f t="shared" si="79"/>
        <v>0</v>
      </c>
      <c r="CP9" s="511">
        <f t="shared" si="80"/>
        <v>0</v>
      </c>
      <c r="CQ9" s="539">
        <f t="shared" si="81"/>
        <v>0</v>
      </c>
      <c r="CR9" s="724">
        <f t="shared" si="82"/>
        <v>0</v>
      </c>
      <c r="CS9" s="508">
        <f t="shared" si="83"/>
        <v>0</v>
      </c>
      <c r="CT9" s="508">
        <f t="shared" si="84"/>
        <v>500</v>
      </c>
      <c r="CU9" s="508">
        <f t="shared" si="85"/>
        <v>750</v>
      </c>
      <c r="CV9" s="508">
        <f t="shared" si="86"/>
        <v>1125</v>
      </c>
      <c r="CW9" s="508">
        <f t="shared" si="87"/>
        <v>1687.5</v>
      </c>
      <c r="CX9" s="725">
        <f t="shared" si="88"/>
        <v>2531.25</v>
      </c>
      <c r="CY9" s="724">
        <f t="shared" si="89"/>
        <v>0</v>
      </c>
      <c r="CZ9" s="508">
        <f t="shared" si="90"/>
        <v>0</v>
      </c>
      <c r="DA9" s="508">
        <f t="shared" si="91"/>
        <v>0</v>
      </c>
      <c r="DB9" s="508">
        <f t="shared" si="92"/>
        <v>0</v>
      </c>
      <c r="DC9" s="508">
        <f t="shared" si="93"/>
        <v>0</v>
      </c>
      <c r="DD9" s="508">
        <f t="shared" si="94"/>
        <v>0</v>
      </c>
      <c r="DE9" s="725">
        <f t="shared" si="95"/>
        <v>0</v>
      </c>
      <c r="DF9" s="724">
        <f t="shared" si="96"/>
        <v>0</v>
      </c>
      <c r="DG9" s="508">
        <f t="shared" si="97"/>
        <v>0</v>
      </c>
      <c r="DH9" s="508">
        <f t="shared" si="98"/>
        <v>500</v>
      </c>
      <c r="DI9" s="508">
        <f t="shared" si="99"/>
        <v>750</v>
      </c>
      <c r="DJ9" s="508">
        <f t="shared" si="100"/>
        <v>1125</v>
      </c>
      <c r="DK9" s="508">
        <f t="shared" si="101"/>
        <v>1687.5</v>
      </c>
      <c r="DL9" s="725">
        <f t="shared" si="102"/>
        <v>2531.25</v>
      </c>
      <c r="DM9" s="724">
        <f t="shared" si="103"/>
        <v>0</v>
      </c>
      <c r="DN9" s="508">
        <f t="shared" si="104"/>
        <v>0</v>
      </c>
      <c r="DO9" s="508">
        <f t="shared" si="105"/>
        <v>0</v>
      </c>
      <c r="DP9" s="508">
        <f t="shared" si="106"/>
        <v>0</v>
      </c>
      <c r="DQ9" s="508">
        <f t="shared" si="107"/>
        <v>0</v>
      </c>
      <c r="DR9" s="508">
        <f t="shared" si="108"/>
        <v>0</v>
      </c>
      <c r="DS9" s="725">
        <f t="shared" si="109"/>
        <v>0</v>
      </c>
      <c r="DT9" s="722">
        <f t="shared" si="110"/>
        <v>0</v>
      </c>
      <c r="DU9" s="511">
        <f t="shared" si="111"/>
        <v>0</v>
      </c>
      <c r="DV9" s="511">
        <f t="shared" si="112"/>
        <v>0</v>
      </c>
      <c r="DW9" s="511">
        <f t="shared" si="113"/>
        <v>0</v>
      </c>
      <c r="DX9" s="511">
        <f t="shared" si="114"/>
        <v>0</v>
      </c>
      <c r="DY9" s="511">
        <f t="shared" si="115"/>
        <v>0</v>
      </c>
      <c r="DZ9" s="723">
        <f t="shared" si="116"/>
        <v>0</v>
      </c>
      <c r="EA9" s="722">
        <f t="shared" si="117"/>
        <v>0</v>
      </c>
      <c r="EB9" s="511">
        <f t="shared" si="118"/>
        <v>0</v>
      </c>
      <c r="EC9" s="511">
        <f t="shared" si="119"/>
        <v>0</v>
      </c>
      <c r="ED9" s="511">
        <f t="shared" si="120"/>
        <v>0</v>
      </c>
      <c r="EE9" s="511">
        <f t="shared" si="121"/>
        <v>0</v>
      </c>
      <c r="EF9" s="511">
        <f t="shared" si="122"/>
        <v>0</v>
      </c>
      <c r="EG9" s="723">
        <f t="shared" si="123"/>
        <v>0</v>
      </c>
      <c r="EH9" s="507">
        <f t="shared" si="124"/>
        <v>0</v>
      </c>
      <c r="EI9" s="511">
        <f t="shared" si="125"/>
        <v>0</v>
      </c>
      <c r="EJ9" s="511">
        <f t="shared" si="126"/>
        <v>0</v>
      </c>
      <c r="EK9" s="511">
        <f t="shared" si="127"/>
        <v>0</v>
      </c>
      <c r="EL9" s="511">
        <f t="shared" si="128"/>
        <v>0</v>
      </c>
      <c r="EM9" s="511">
        <f t="shared" si="129"/>
        <v>0</v>
      </c>
      <c r="EN9" s="723">
        <f t="shared" si="130"/>
        <v>0</v>
      </c>
      <c r="EO9" s="977">
        <f t="shared" si="131"/>
        <v>131.875</v>
      </c>
      <c r="EP9" s="728">
        <f t="shared" si="132"/>
        <v>6593.75</v>
      </c>
      <c r="EQ9" s="728">
        <f t="shared" si="133"/>
        <v>0</v>
      </c>
      <c r="ER9" s="728">
        <f t="shared" si="134"/>
        <v>6593.75</v>
      </c>
      <c r="ES9" s="728">
        <f t="shared" si="135"/>
        <v>0</v>
      </c>
      <c r="ET9" s="978">
        <f t="shared" si="136"/>
        <v>0</v>
      </c>
      <c r="EU9" s="978">
        <f t="shared" si="137"/>
        <v>0</v>
      </c>
      <c r="EV9" s="778">
        <f t="shared" si="138"/>
        <v>0</v>
      </c>
      <c r="EX9" s="10" t="b">
        <f t="shared" si="149"/>
        <v>1</v>
      </c>
      <c r="EY9" s="10" t="b">
        <f t="shared" si="139"/>
        <v>1</v>
      </c>
      <c r="EZ9" s="10" t="b">
        <f t="shared" si="140"/>
        <v>1</v>
      </c>
      <c r="FA9" s="10" t="b">
        <f t="shared" si="141"/>
        <v>1</v>
      </c>
      <c r="FB9" s="10" t="b">
        <f t="shared" si="142"/>
        <v>1</v>
      </c>
      <c r="FC9" s="10" t="b">
        <f t="shared" si="143"/>
        <v>1</v>
      </c>
      <c r="FD9" s="10" t="b">
        <f t="shared" si="144"/>
        <v>1</v>
      </c>
      <c r="FE9" s="10" t="b">
        <f t="shared" si="145"/>
        <v>1</v>
      </c>
    </row>
    <row r="10" spans="1:161" s="10" customFormat="1" ht="12.75" customHeight="1">
      <c r="A10" s="729"/>
      <c r="B10" s="730"/>
      <c r="C10" s="730"/>
      <c r="D10" s="730"/>
      <c r="E10" s="730"/>
      <c r="F10" s="731"/>
      <c r="G10" s="731"/>
      <c r="H10" s="731"/>
      <c r="I10" s="732"/>
      <c r="J10" s="731"/>
      <c r="K10" s="732"/>
      <c r="L10" s="733"/>
      <c r="M10" s="734"/>
      <c r="N10" s="734"/>
      <c r="O10" s="734"/>
      <c r="P10" s="734"/>
      <c r="Q10" s="736"/>
      <c r="R10" s="737"/>
      <c r="S10" s="737"/>
      <c r="T10" s="733"/>
      <c r="U10" s="738"/>
      <c r="V10" s="738"/>
      <c r="W10" s="738"/>
      <c r="X10" s="738"/>
      <c r="Y10" s="738"/>
      <c r="Z10" s="738"/>
      <c r="AA10" s="738"/>
      <c r="AB10" s="738"/>
      <c r="AC10" s="738"/>
      <c r="AD10" s="738"/>
      <c r="AE10" s="733"/>
      <c r="AF10" s="733"/>
      <c r="AG10" s="733"/>
      <c r="AH10" s="733"/>
      <c r="AI10" s="733"/>
      <c r="AJ10" s="733"/>
      <c r="AK10" s="733"/>
      <c r="AL10" s="743"/>
      <c r="AM10" s="743"/>
      <c r="AN10" s="743"/>
      <c r="AO10" s="740"/>
      <c r="AP10" s="740"/>
      <c r="AQ10" s="733"/>
      <c r="AR10" s="733"/>
      <c r="AS10" s="733"/>
      <c r="AT10" s="744"/>
      <c r="AU10" s="745"/>
      <c r="AV10" s="746"/>
      <c r="AW10" s="746"/>
      <c r="AX10" s="746"/>
      <c r="AY10" s="746"/>
      <c r="AZ10" s="746"/>
      <c r="BA10" s="747"/>
      <c r="BB10" s="748"/>
      <c r="BC10" s="746"/>
      <c r="BD10" s="746"/>
      <c r="BE10" s="746"/>
      <c r="BF10" s="746"/>
      <c r="BG10" s="746"/>
      <c r="BH10" s="749"/>
      <c r="BI10" s="745"/>
      <c r="BJ10" s="746"/>
      <c r="BK10" s="746"/>
      <c r="BL10" s="746"/>
      <c r="BM10" s="746"/>
      <c r="BN10" s="746"/>
      <c r="BO10" s="747"/>
      <c r="BP10" s="745"/>
      <c r="BQ10" s="746"/>
      <c r="BR10" s="746"/>
      <c r="BS10" s="746"/>
      <c r="BT10" s="746"/>
      <c r="BU10" s="746"/>
      <c r="BV10" s="747"/>
      <c r="BW10" s="750"/>
      <c r="BX10" s="487"/>
      <c r="BY10" s="487"/>
      <c r="BZ10" s="487"/>
      <c r="CA10" s="487"/>
      <c r="CB10" s="487"/>
      <c r="CC10" s="751"/>
      <c r="CD10" s="750"/>
      <c r="CE10" s="487"/>
      <c r="CF10" s="487"/>
      <c r="CG10" s="487"/>
      <c r="CH10" s="487"/>
      <c r="CI10" s="487"/>
      <c r="CJ10" s="751"/>
      <c r="CK10" s="510"/>
      <c r="CL10" s="487"/>
      <c r="CM10" s="487"/>
      <c r="CN10" s="487"/>
      <c r="CO10" s="487"/>
      <c r="CP10" s="487"/>
      <c r="CQ10" s="513"/>
      <c r="CR10" s="752"/>
      <c r="CS10" s="492"/>
      <c r="CT10" s="492"/>
      <c r="CU10" s="492"/>
      <c r="CV10" s="492"/>
      <c r="CW10" s="492"/>
      <c r="CX10" s="753"/>
      <c r="CY10" s="752"/>
      <c r="CZ10" s="492"/>
      <c r="DA10" s="492"/>
      <c r="DB10" s="492"/>
      <c r="DC10" s="492"/>
      <c r="DD10" s="492"/>
      <c r="DE10" s="753"/>
      <c r="DF10" s="752"/>
      <c r="DG10" s="492"/>
      <c r="DH10" s="492"/>
      <c r="DI10" s="492"/>
      <c r="DJ10" s="492"/>
      <c r="DK10" s="492"/>
      <c r="DL10" s="753"/>
      <c r="DM10" s="752"/>
      <c r="DN10" s="492"/>
      <c r="DO10" s="492"/>
      <c r="DP10" s="492"/>
      <c r="DQ10" s="492"/>
      <c r="DR10" s="492"/>
      <c r="DS10" s="753"/>
      <c r="DT10" s="750"/>
      <c r="DU10" s="487"/>
      <c r="DV10" s="487"/>
      <c r="DW10" s="487"/>
      <c r="DX10" s="487"/>
      <c r="DY10" s="487"/>
      <c r="DZ10" s="751"/>
      <c r="EA10" s="750"/>
      <c r="EB10" s="487"/>
      <c r="EC10" s="487"/>
      <c r="ED10" s="487"/>
      <c r="EE10" s="487"/>
      <c r="EF10" s="487"/>
      <c r="EG10" s="751"/>
      <c r="EH10" s="510"/>
      <c r="EI10" s="487"/>
      <c r="EJ10" s="487"/>
      <c r="EK10" s="487"/>
      <c r="EL10" s="487"/>
      <c r="EM10" s="487"/>
      <c r="EN10" s="751"/>
      <c r="EO10" s="515"/>
      <c r="EP10" s="755"/>
      <c r="EQ10" s="755"/>
      <c r="ER10" s="755"/>
      <c r="ES10" s="755"/>
      <c r="ET10" s="756"/>
      <c r="EU10" s="756"/>
      <c r="EV10" s="757"/>
    </row>
    <row r="11" spans="1:161" s="10" customFormat="1" ht="12.75" customHeight="1">
      <c r="A11" s="661" t="s">
        <v>171</v>
      </c>
      <c r="B11" s="703" t="s">
        <v>1580</v>
      </c>
      <c r="C11" s="703" t="s">
        <v>60</v>
      </c>
      <c r="D11" s="703" t="s">
        <v>1562</v>
      </c>
      <c r="E11" s="703" t="s">
        <v>371</v>
      </c>
      <c r="F11" s="704" t="s">
        <v>372</v>
      </c>
      <c r="G11" s="705">
        <v>0</v>
      </c>
      <c r="H11" s="704">
        <v>0</v>
      </c>
      <c r="I11" s="706">
        <f>G11+H11</f>
        <v>0</v>
      </c>
      <c r="J11" s="704">
        <v>0</v>
      </c>
      <c r="K11" s="706">
        <f>I11*0.5</f>
        <v>0</v>
      </c>
      <c r="L11" s="803"/>
      <c r="M11" s="707">
        <v>0</v>
      </c>
      <c r="N11" s="708">
        <v>0</v>
      </c>
      <c r="O11" s="707">
        <v>0</v>
      </c>
      <c r="P11" s="709">
        <v>0</v>
      </c>
      <c r="Q11" s="710">
        <v>0</v>
      </c>
      <c r="R11" s="710">
        <v>0</v>
      </c>
      <c r="S11" s="710">
        <v>0</v>
      </c>
      <c r="T11" s="711" t="s">
        <v>373</v>
      </c>
      <c r="U11" s="712">
        <v>0</v>
      </c>
      <c r="V11" s="713">
        <v>1</v>
      </c>
      <c r="W11" s="714">
        <f t="shared" ref="W11:AB11" si="151">W6*0.5</f>
        <v>0.5</v>
      </c>
      <c r="X11" s="714">
        <f t="shared" si="151"/>
        <v>0.5</v>
      </c>
      <c r="Y11" s="714">
        <f t="shared" si="151"/>
        <v>0.5</v>
      </c>
      <c r="Z11" s="714">
        <f t="shared" si="151"/>
        <v>0.5</v>
      </c>
      <c r="AA11" s="714">
        <f t="shared" si="151"/>
        <v>0.5</v>
      </c>
      <c r="AB11" s="714">
        <f t="shared" si="151"/>
        <v>0.5</v>
      </c>
      <c r="AC11" s="714">
        <f t="shared" ref="AC11" si="152">AC6*0.5</f>
        <v>0.5</v>
      </c>
      <c r="AD11" s="711" t="s">
        <v>384</v>
      </c>
      <c r="AE11" s="711" t="s">
        <v>375</v>
      </c>
      <c r="AF11" s="711" t="s">
        <v>376</v>
      </c>
      <c r="AG11" s="711" t="s">
        <v>377</v>
      </c>
      <c r="AH11" s="711" t="s">
        <v>1</v>
      </c>
      <c r="AI11" s="711" t="s">
        <v>378</v>
      </c>
      <c r="AJ11" s="711" t="s">
        <v>378</v>
      </c>
      <c r="AK11" s="711" t="s">
        <v>378</v>
      </c>
      <c r="AL11" s="715" t="s">
        <v>379</v>
      </c>
      <c r="AM11" s="715" t="s">
        <v>380</v>
      </c>
      <c r="AN11" s="715" t="s">
        <v>385</v>
      </c>
      <c r="AO11" s="661">
        <v>1</v>
      </c>
      <c r="AP11" s="661">
        <v>1</v>
      </c>
      <c r="AQ11" s="711" t="s">
        <v>382</v>
      </c>
      <c r="AR11" s="716">
        <v>1</v>
      </c>
      <c r="AS11" s="716">
        <v>1</v>
      </c>
      <c r="AT11" s="717">
        <v>0</v>
      </c>
      <c r="AU11" s="718">
        <f>I11</f>
        <v>0</v>
      </c>
      <c r="AV11" s="499">
        <f t="shared" si="17"/>
        <v>0</v>
      </c>
      <c r="AW11" s="499">
        <f t="shared" si="17"/>
        <v>0</v>
      </c>
      <c r="AX11" s="499">
        <f>AU11</f>
        <v>0</v>
      </c>
      <c r="AY11" s="499">
        <f t="shared" ref="AY11:BA11" si="153">AV11</f>
        <v>0</v>
      </c>
      <c r="AZ11" s="499">
        <f t="shared" si="153"/>
        <v>0</v>
      </c>
      <c r="BA11" s="719">
        <f t="shared" si="153"/>
        <v>0</v>
      </c>
      <c r="BB11" s="1174">
        <f>J11</f>
        <v>0</v>
      </c>
      <c r="BC11" s="499">
        <f t="shared" si="19"/>
        <v>0</v>
      </c>
      <c r="BD11" s="499">
        <f t="shared" si="19"/>
        <v>0</v>
      </c>
      <c r="BE11" s="499">
        <f t="shared" si="19"/>
        <v>0</v>
      </c>
      <c r="BF11" s="499">
        <f t="shared" si="19"/>
        <v>0</v>
      </c>
      <c r="BG11" s="499">
        <f t="shared" si="19"/>
        <v>0</v>
      </c>
      <c r="BH11" s="720">
        <f t="shared" si="19"/>
        <v>0</v>
      </c>
      <c r="BI11" s="721">
        <f>N11+O11</f>
        <v>0</v>
      </c>
      <c r="BJ11" s="499">
        <f t="shared" ref="BJ11:BJ14" si="154">BI11</f>
        <v>0</v>
      </c>
      <c r="BK11" s="499">
        <f t="shared" ref="BK11:BL14" si="155">BJ11</f>
        <v>0</v>
      </c>
      <c r="BL11" s="499">
        <f>BK11</f>
        <v>0</v>
      </c>
      <c r="BM11" s="499">
        <f t="shared" ref="BM11:BM14" si="156">BL11</f>
        <v>0</v>
      </c>
      <c r="BN11" s="499">
        <f t="shared" ref="BN11:BN14" si="157">BM11</f>
        <v>0</v>
      </c>
      <c r="BO11" s="719">
        <f t="shared" ref="BO11:BO14" si="158">BN11</f>
        <v>0</v>
      </c>
      <c r="BP11" s="775">
        <f>$P11</f>
        <v>0</v>
      </c>
      <c r="BQ11" s="503">
        <f t="shared" si="23"/>
        <v>0</v>
      </c>
      <c r="BR11" s="503">
        <f t="shared" si="23"/>
        <v>0</v>
      </c>
      <c r="BS11" s="503">
        <f t="shared" si="23"/>
        <v>0</v>
      </c>
      <c r="BT11" s="503">
        <f t="shared" si="23"/>
        <v>0</v>
      </c>
      <c r="BU11" s="503">
        <f t="shared" si="23"/>
        <v>0</v>
      </c>
      <c r="BV11" s="776">
        <f t="shared" si="23"/>
        <v>0</v>
      </c>
      <c r="BW11" s="722">
        <f>Q11*AS11</f>
        <v>0</v>
      </c>
      <c r="BX11" s="511">
        <f t="shared" ref="BX11:BX14" si="159">BW11</f>
        <v>0</v>
      </c>
      <c r="BY11" s="511">
        <f t="shared" ref="BY11:BZ14" si="160">BX11</f>
        <v>0</v>
      </c>
      <c r="BZ11" s="511">
        <f>BY11</f>
        <v>0</v>
      </c>
      <c r="CA11" s="511">
        <f t="shared" ref="CA11:CA14" si="161">BZ11</f>
        <v>0</v>
      </c>
      <c r="CB11" s="511">
        <f t="shared" ref="CB11:CB14" si="162">CA11</f>
        <v>0</v>
      </c>
      <c r="CC11" s="723">
        <f t="shared" ref="CC11:CC14" si="163">CB11</f>
        <v>0</v>
      </c>
      <c r="CD11" s="722">
        <f>R11*AS11</f>
        <v>0</v>
      </c>
      <c r="CE11" s="511">
        <f t="shared" ref="CE11:CE14" si="164">CD11</f>
        <v>0</v>
      </c>
      <c r="CF11" s="511">
        <f t="shared" ref="CF11:CG14" si="165">CE11</f>
        <v>0</v>
      </c>
      <c r="CG11" s="511">
        <f>CF11</f>
        <v>0</v>
      </c>
      <c r="CH11" s="511">
        <f t="shared" ref="CH11:CH14" si="166">CG11</f>
        <v>0</v>
      </c>
      <c r="CI11" s="511">
        <f t="shared" ref="CI11:CI14" si="167">CH11</f>
        <v>0</v>
      </c>
      <c r="CJ11" s="723">
        <f t="shared" ref="CJ11:CJ14" si="168">CI11</f>
        <v>0</v>
      </c>
      <c r="CK11" s="507">
        <f>S11*AT11</f>
        <v>0</v>
      </c>
      <c r="CL11" s="511">
        <f t="shared" ref="CL11:CL14" si="169">CK11</f>
        <v>0</v>
      </c>
      <c r="CM11" s="511">
        <f t="shared" ref="CM11:CN14" si="170">CL11</f>
        <v>0</v>
      </c>
      <c r="CN11" s="511">
        <f>CM11</f>
        <v>0</v>
      </c>
      <c r="CO11" s="511">
        <f t="shared" ref="CO11:CO14" si="171">CN11</f>
        <v>0</v>
      </c>
      <c r="CP11" s="511">
        <f t="shared" ref="CP11:CP14" si="172">CO11</f>
        <v>0</v>
      </c>
      <c r="CQ11" s="539">
        <f t="shared" ref="CQ11:CQ14" si="173">CP11</f>
        <v>0</v>
      </c>
      <c r="CR11" s="724">
        <f>W11*AU11</f>
        <v>0</v>
      </c>
      <c r="CS11" s="508">
        <f t="shared" ref="CS11:CS14" si="174">X11*AV11</f>
        <v>0</v>
      </c>
      <c r="CT11" s="508">
        <f t="shared" ref="CT11:CT14" si="175">Y11*AW11</f>
        <v>0</v>
      </c>
      <c r="CU11" s="508">
        <f t="shared" ref="CU11:CU14" si="176">Z11*AX11</f>
        <v>0</v>
      </c>
      <c r="CV11" s="508">
        <f t="shared" ref="CV11:CV14" si="177">AA11*AY11</f>
        <v>0</v>
      </c>
      <c r="CW11" s="508">
        <f t="shared" ref="CW11:CW14" si="178">AB11*AZ11</f>
        <v>0</v>
      </c>
      <c r="CX11" s="725">
        <f t="shared" ref="CX11:CX14" si="179">AC11*BA11</f>
        <v>0</v>
      </c>
      <c r="CY11" s="724">
        <f t="shared" ref="CY11:DE11" si="180">W11*BB11</f>
        <v>0</v>
      </c>
      <c r="CZ11" s="508">
        <f t="shared" si="180"/>
        <v>0</v>
      </c>
      <c r="DA11" s="508">
        <f t="shared" si="180"/>
        <v>0</v>
      </c>
      <c r="DB11" s="508">
        <f t="shared" si="180"/>
        <v>0</v>
      </c>
      <c r="DC11" s="508">
        <f t="shared" si="180"/>
        <v>0</v>
      </c>
      <c r="DD11" s="508">
        <f t="shared" si="180"/>
        <v>0</v>
      </c>
      <c r="DE11" s="725">
        <f t="shared" si="180"/>
        <v>0</v>
      </c>
      <c r="DF11" s="724">
        <f t="shared" ref="DF11:DL11" si="181">W11*BI11</f>
        <v>0</v>
      </c>
      <c r="DG11" s="508">
        <f t="shared" si="181"/>
        <v>0</v>
      </c>
      <c r="DH11" s="508">
        <f t="shared" si="181"/>
        <v>0</v>
      </c>
      <c r="DI11" s="508">
        <f t="shared" si="181"/>
        <v>0</v>
      </c>
      <c r="DJ11" s="508">
        <f t="shared" si="181"/>
        <v>0</v>
      </c>
      <c r="DK11" s="508">
        <f t="shared" si="181"/>
        <v>0</v>
      </c>
      <c r="DL11" s="725">
        <f t="shared" si="181"/>
        <v>0</v>
      </c>
      <c r="DM11" s="724">
        <f t="shared" ref="DM11:DS11" si="182">BP11*W11</f>
        <v>0</v>
      </c>
      <c r="DN11" s="508">
        <f t="shared" si="182"/>
        <v>0</v>
      </c>
      <c r="DO11" s="508">
        <f t="shared" si="182"/>
        <v>0</v>
      </c>
      <c r="DP11" s="508">
        <f t="shared" si="182"/>
        <v>0</v>
      </c>
      <c r="DQ11" s="508">
        <f t="shared" si="182"/>
        <v>0</v>
      </c>
      <c r="DR11" s="508">
        <f t="shared" si="182"/>
        <v>0</v>
      </c>
      <c r="DS11" s="725">
        <f t="shared" si="182"/>
        <v>0</v>
      </c>
      <c r="DT11" s="722">
        <f t="shared" ref="DT11:DZ11" si="183">W11*BW11</f>
        <v>0</v>
      </c>
      <c r="DU11" s="511">
        <f t="shared" si="183"/>
        <v>0</v>
      </c>
      <c r="DV11" s="511">
        <f t="shared" si="183"/>
        <v>0</v>
      </c>
      <c r="DW11" s="511">
        <f t="shared" si="183"/>
        <v>0</v>
      </c>
      <c r="DX11" s="511">
        <f t="shared" si="183"/>
        <v>0</v>
      </c>
      <c r="DY11" s="511">
        <f t="shared" si="183"/>
        <v>0</v>
      </c>
      <c r="DZ11" s="723">
        <f t="shared" si="183"/>
        <v>0</v>
      </c>
      <c r="EA11" s="722">
        <f t="shared" ref="EA11:EG11" si="184">W11*CD11</f>
        <v>0</v>
      </c>
      <c r="EB11" s="511">
        <f t="shared" si="184"/>
        <v>0</v>
      </c>
      <c r="EC11" s="511">
        <f t="shared" si="184"/>
        <v>0</v>
      </c>
      <c r="ED11" s="511">
        <f t="shared" si="184"/>
        <v>0</v>
      </c>
      <c r="EE11" s="511">
        <f t="shared" si="184"/>
        <v>0</v>
      </c>
      <c r="EF11" s="511">
        <f t="shared" si="184"/>
        <v>0</v>
      </c>
      <c r="EG11" s="723">
        <f t="shared" si="184"/>
        <v>0</v>
      </c>
      <c r="EH11" s="507">
        <f t="shared" ref="EH11:EN11" si="185">W11*CK11</f>
        <v>0</v>
      </c>
      <c r="EI11" s="511">
        <f t="shared" si="185"/>
        <v>0</v>
      </c>
      <c r="EJ11" s="511">
        <f t="shared" si="185"/>
        <v>0</v>
      </c>
      <c r="EK11" s="511">
        <f t="shared" si="185"/>
        <v>0</v>
      </c>
      <c r="EL11" s="511">
        <f t="shared" si="185"/>
        <v>0</v>
      </c>
      <c r="EM11" s="511">
        <f t="shared" si="185"/>
        <v>0</v>
      </c>
      <c r="EN11" s="723">
        <f t="shared" si="185"/>
        <v>0</v>
      </c>
      <c r="EO11" s="977">
        <f>SUM(W11:AC11)</f>
        <v>3.5</v>
      </c>
      <c r="EP11" s="728">
        <f>SUM(CR11:CX11)</f>
        <v>0</v>
      </c>
      <c r="EQ11" s="728">
        <f>SUM(CY11:DE11)</f>
        <v>0</v>
      </c>
      <c r="ER11" s="728">
        <f>SUM(DF11:DL11)</f>
        <v>0</v>
      </c>
      <c r="ES11" s="728">
        <f>SUM(DM11:DS11)</f>
        <v>0</v>
      </c>
      <c r="ET11" s="978">
        <f>SUM(DT11:DZ11)</f>
        <v>0</v>
      </c>
      <c r="EU11" s="978">
        <f>SUM(EA11:EG11)</f>
        <v>0</v>
      </c>
      <c r="EV11" s="778">
        <f>SUM(EH11:EN11)</f>
        <v>0</v>
      </c>
    </row>
    <row r="12" spans="1:161" s="10" customFormat="1" ht="12.75" customHeight="1">
      <c r="A12" s="661" t="s">
        <v>173</v>
      </c>
      <c r="B12" s="703" t="s">
        <v>1581</v>
      </c>
      <c r="C12" s="703" t="s">
        <v>1582</v>
      </c>
      <c r="D12" s="703" t="str">
        <f>D7</f>
        <v>Mix of manual and programmable thermostats</v>
      </c>
      <c r="E12" s="703" t="str">
        <f>E7</f>
        <v>Per smart thermostat</v>
      </c>
      <c r="F12" s="703" t="str">
        <f>F7</f>
        <v>Incremental Cost</v>
      </c>
      <c r="G12" s="705">
        <f>G7</f>
        <v>154</v>
      </c>
      <c r="H12" s="705">
        <f>H7</f>
        <v>0</v>
      </c>
      <c r="I12" s="706">
        <f t="shared" ref="I12:I14" si="186">G12+H12</f>
        <v>154</v>
      </c>
      <c r="J12" s="704">
        <v>0</v>
      </c>
      <c r="K12" s="706">
        <f t="shared" ref="K12:K14" si="187">I12*0.5</f>
        <v>77</v>
      </c>
      <c r="L12" s="703" t="s">
        <v>1565</v>
      </c>
      <c r="M12" s="707">
        <v>0</v>
      </c>
      <c r="N12" s="779">
        <f>N7</f>
        <v>75</v>
      </c>
      <c r="O12" s="707">
        <v>0</v>
      </c>
      <c r="P12" s="709">
        <v>0</v>
      </c>
      <c r="Q12" s="710">
        <f>E177</f>
        <v>310.57482558030483</v>
      </c>
      <c r="R12" s="710">
        <v>0</v>
      </c>
      <c r="S12" s="710">
        <f>E178</f>
        <v>0</v>
      </c>
      <c r="T12" s="711" t="s">
        <v>404</v>
      </c>
      <c r="U12" s="712">
        <v>1</v>
      </c>
      <c r="V12" s="713">
        <v>1</v>
      </c>
      <c r="W12" s="714">
        <f>W7/2</f>
        <v>522.5</v>
      </c>
      <c r="X12" s="714">
        <f t="shared" ref="X12:AC12" si="188">X7/2</f>
        <v>1045</v>
      </c>
      <c r="Y12" s="714">
        <f t="shared" si="188"/>
        <v>2090</v>
      </c>
      <c r="Z12" s="714">
        <f t="shared" si="188"/>
        <v>4180</v>
      </c>
      <c r="AA12" s="714">
        <f t="shared" si="188"/>
        <v>6000</v>
      </c>
      <c r="AB12" s="714">
        <f t="shared" si="188"/>
        <v>6000</v>
      </c>
      <c r="AC12" s="714">
        <f t="shared" si="188"/>
        <v>6000</v>
      </c>
      <c r="AD12" s="711" t="s">
        <v>384</v>
      </c>
      <c r="AE12" s="711" t="s">
        <v>375</v>
      </c>
      <c r="AF12" s="1024" t="s">
        <v>377</v>
      </c>
      <c r="AG12" s="711" t="s">
        <v>405</v>
      </c>
      <c r="AH12" s="711" t="s">
        <v>1</v>
      </c>
      <c r="AI12" s="711" t="s">
        <v>378</v>
      </c>
      <c r="AJ12" s="711" t="s">
        <v>378</v>
      </c>
      <c r="AK12" s="711" t="s">
        <v>378</v>
      </c>
      <c r="AL12" s="715" t="s">
        <v>406</v>
      </c>
      <c r="AM12" s="715" t="s">
        <v>407</v>
      </c>
      <c r="AN12" s="715" t="s">
        <v>385</v>
      </c>
      <c r="AO12" s="711">
        <v>7.5</v>
      </c>
      <c r="AP12" s="711">
        <v>7.5</v>
      </c>
      <c r="AQ12" s="711" t="s">
        <v>408</v>
      </c>
      <c r="AR12" s="716">
        <v>1</v>
      </c>
      <c r="AS12" s="716">
        <v>1</v>
      </c>
      <c r="AT12" s="717">
        <v>0</v>
      </c>
      <c r="AU12" s="718">
        <f t="shared" ref="AU12:AU14" si="189">I12</f>
        <v>154</v>
      </c>
      <c r="AV12" s="499">
        <f t="shared" ref="AV12:AV14" si="190">AU12</f>
        <v>154</v>
      </c>
      <c r="AW12" s="499">
        <f t="shared" ref="AW12:AW14" si="191">AV12</f>
        <v>154</v>
      </c>
      <c r="AX12" s="499">
        <f t="shared" ref="AX12:AX14" si="192">AU12</f>
        <v>154</v>
      </c>
      <c r="AY12" s="499">
        <f t="shared" ref="AY12:AY14" si="193">AV12</f>
        <v>154</v>
      </c>
      <c r="AZ12" s="499">
        <f t="shared" ref="AZ12:AZ14" si="194">AW12</f>
        <v>154</v>
      </c>
      <c r="BA12" s="719">
        <f t="shared" ref="BA12:BA14" si="195">AX12</f>
        <v>154</v>
      </c>
      <c r="BB12" s="1174">
        <f t="shared" ref="BB12:BB13" si="196">J12</f>
        <v>0</v>
      </c>
      <c r="BC12" s="499">
        <f t="shared" ref="BC12:BC14" si="197">BB12</f>
        <v>0</v>
      </c>
      <c r="BD12" s="499">
        <f t="shared" ref="BD12:BD14" si="198">BC12</f>
        <v>0</v>
      </c>
      <c r="BE12" s="499">
        <f t="shared" ref="BE12:BE14" si="199">BD12</f>
        <v>0</v>
      </c>
      <c r="BF12" s="499">
        <f t="shared" ref="BF12:BF14" si="200">BE12</f>
        <v>0</v>
      </c>
      <c r="BG12" s="499">
        <f t="shared" ref="BG12:BG14" si="201">BF12</f>
        <v>0</v>
      </c>
      <c r="BH12" s="720">
        <f t="shared" ref="BH12:BH14" si="202">BG12</f>
        <v>0</v>
      </c>
      <c r="BI12" s="721">
        <f t="shared" ref="BI12:BI14" si="203">N12+O12</f>
        <v>75</v>
      </c>
      <c r="BJ12" s="499">
        <f t="shared" si="154"/>
        <v>75</v>
      </c>
      <c r="BK12" s="499">
        <f t="shared" si="155"/>
        <v>75</v>
      </c>
      <c r="BL12" s="499">
        <f t="shared" si="155"/>
        <v>75</v>
      </c>
      <c r="BM12" s="499">
        <f t="shared" si="156"/>
        <v>75</v>
      </c>
      <c r="BN12" s="499">
        <f t="shared" si="157"/>
        <v>75</v>
      </c>
      <c r="BO12" s="719">
        <f t="shared" si="158"/>
        <v>75</v>
      </c>
      <c r="BP12" s="775">
        <f t="shared" ref="BP12:BP14" si="204">$P12</f>
        <v>0</v>
      </c>
      <c r="BQ12" s="503">
        <f t="shared" si="23"/>
        <v>0</v>
      </c>
      <c r="BR12" s="503">
        <f t="shared" si="23"/>
        <v>0</v>
      </c>
      <c r="BS12" s="503">
        <f t="shared" si="23"/>
        <v>0</v>
      </c>
      <c r="BT12" s="503">
        <f t="shared" si="23"/>
        <v>0</v>
      </c>
      <c r="BU12" s="503">
        <f t="shared" si="23"/>
        <v>0</v>
      </c>
      <c r="BV12" s="776">
        <f t="shared" si="23"/>
        <v>0</v>
      </c>
      <c r="BW12" s="722">
        <f t="shared" ref="BW12:BW14" si="205">Q12*AS12</f>
        <v>310.57482558030483</v>
      </c>
      <c r="BX12" s="511">
        <f t="shared" si="159"/>
        <v>310.57482558030483</v>
      </c>
      <c r="BY12" s="511">
        <f t="shared" si="160"/>
        <v>310.57482558030483</v>
      </c>
      <c r="BZ12" s="511">
        <f t="shared" si="160"/>
        <v>310.57482558030483</v>
      </c>
      <c r="CA12" s="511">
        <f t="shared" si="161"/>
        <v>310.57482558030483</v>
      </c>
      <c r="CB12" s="511">
        <f t="shared" si="162"/>
        <v>310.57482558030483</v>
      </c>
      <c r="CC12" s="723">
        <f t="shared" si="163"/>
        <v>310.57482558030483</v>
      </c>
      <c r="CD12" s="722">
        <f t="shared" ref="CD12:CD14" si="206">R12*AS12</f>
        <v>0</v>
      </c>
      <c r="CE12" s="511">
        <f t="shared" si="164"/>
        <v>0</v>
      </c>
      <c r="CF12" s="511">
        <f t="shared" si="165"/>
        <v>0</v>
      </c>
      <c r="CG12" s="511">
        <f t="shared" si="165"/>
        <v>0</v>
      </c>
      <c r="CH12" s="511">
        <f t="shared" si="166"/>
        <v>0</v>
      </c>
      <c r="CI12" s="511">
        <f t="shared" si="167"/>
        <v>0</v>
      </c>
      <c r="CJ12" s="723">
        <f t="shared" si="168"/>
        <v>0</v>
      </c>
      <c r="CK12" s="507">
        <f t="shared" ref="CK12:CK14" si="207">S12*AT12</f>
        <v>0</v>
      </c>
      <c r="CL12" s="511">
        <f t="shared" si="169"/>
        <v>0</v>
      </c>
      <c r="CM12" s="511">
        <f t="shared" si="170"/>
        <v>0</v>
      </c>
      <c r="CN12" s="511">
        <f t="shared" si="170"/>
        <v>0</v>
      </c>
      <c r="CO12" s="511">
        <f t="shared" si="171"/>
        <v>0</v>
      </c>
      <c r="CP12" s="511">
        <f t="shared" si="172"/>
        <v>0</v>
      </c>
      <c r="CQ12" s="539">
        <f t="shared" si="173"/>
        <v>0</v>
      </c>
      <c r="CR12" s="724">
        <f t="shared" ref="CR12:CR14" si="208">W12*AU12</f>
        <v>80465</v>
      </c>
      <c r="CS12" s="508">
        <f t="shared" si="174"/>
        <v>160930</v>
      </c>
      <c r="CT12" s="508">
        <f t="shared" si="175"/>
        <v>321860</v>
      </c>
      <c r="CU12" s="508">
        <f t="shared" si="176"/>
        <v>643720</v>
      </c>
      <c r="CV12" s="508">
        <f t="shared" si="177"/>
        <v>924000</v>
      </c>
      <c r="CW12" s="508">
        <f t="shared" si="178"/>
        <v>924000</v>
      </c>
      <c r="CX12" s="725">
        <f t="shared" si="179"/>
        <v>924000</v>
      </c>
      <c r="CY12" s="724">
        <f t="shared" ref="CY12:CY14" si="209">W12*BB12</f>
        <v>0</v>
      </c>
      <c r="CZ12" s="508">
        <f t="shared" ref="CZ12:CZ14" si="210">X12*BC12</f>
        <v>0</v>
      </c>
      <c r="DA12" s="508">
        <f t="shared" ref="DA12:DA14" si="211">Y12*BD12</f>
        <v>0</v>
      </c>
      <c r="DB12" s="508">
        <f t="shared" ref="DB12:DB14" si="212">Z12*BE12</f>
        <v>0</v>
      </c>
      <c r="DC12" s="508">
        <f t="shared" ref="DC12:DC14" si="213">AA12*BF12</f>
        <v>0</v>
      </c>
      <c r="DD12" s="508">
        <f t="shared" ref="DD12:DD14" si="214">AB12*BG12</f>
        <v>0</v>
      </c>
      <c r="DE12" s="725">
        <f t="shared" ref="DE12:DE14" si="215">AC12*BH12</f>
        <v>0</v>
      </c>
      <c r="DF12" s="724">
        <f t="shared" ref="DF12:DF14" si="216">W12*BI12</f>
        <v>39187.5</v>
      </c>
      <c r="DG12" s="508">
        <f t="shared" ref="DG12:DG14" si="217">X12*BJ12</f>
        <v>78375</v>
      </c>
      <c r="DH12" s="508">
        <f t="shared" ref="DH12:DH14" si="218">Y12*BK12</f>
        <v>156750</v>
      </c>
      <c r="DI12" s="508">
        <f t="shared" ref="DI12:DI14" si="219">Z12*BL12</f>
        <v>313500</v>
      </c>
      <c r="DJ12" s="508">
        <f t="shared" ref="DJ12:DJ14" si="220">AA12*BM12</f>
        <v>450000</v>
      </c>
      <c r="DK12" s="508">
        <f t="shared" ref="DK12:DK14" si="221">AB12*BN12</f>
        <v>450000</v>
      </c>
      <c r="DL12" s="725">
        <f t="shared" ref="DL12:DL14" si="222">AC12*BO12</f>
        <v>450000</v>
      </c>
      <c r="DM12" s="724">
        <f t="shared" ref="DM12:DM14" si="223">BP12*W12</f>
        <v>0</v>
      </c>
      <c r="DN12" s="508">
        <f t="shared" ref="DN12:DN14" si="224">BQ12*X12</f>
        <v>0</v>
      </c>
      <c r="DO12" s="508">
        <f t="shared" ref="DO12:DO14" si="225">BR12*Y12</f>
        <v>0</v>
      </c>
      <c r="DP12" s="508">
        <f t="shared" ref="DP12:DP14" si="226">BS12*Z12</f>
        <v>0</v>
      </c>
      <c r="DQ12" s="508">
        <f t="shared" ref="DQ12:DQ14" si="227">BT12*AA12</f>
        <v>0</v>
      </c>
      <c r="DR12" s="508">
        <f t="shared" ref="DR12:DR14" si="228">BU12*AB12</f>
        <v>0</v>
      </c>
      <c r="DS12" s="725">
        <f t="shared" ref="DS12:DS14" si="229">BV12*AC12</f>
        <v>0</v>
      </c>
      <c r="DT12" s="722">
        <f t="shared" ref="DT12:DT14" si="230">W12*BW12</f>
        <v>162275.34636570927</v>
      </c>
      <c r="DU12" s="511">
        <f t="shared" ref="DU12:DU14" si="231">X12*BX12</f>
        <v>324550.69273141853</v>
      </c>
      <c r="DV12" s="511">
        <f t="shared" ref="DV12:DV14" si="232">Y12*BY12</f>
        <v>649101.38546283706</v>
      </c>
      <c r="DW12" s="511">
        <f t="shared" ref="DW12:DW14" si="233">Z12*BZ12</f>
        <v>1298202.7709256741</v>
      </c>
      <c r="DX12" s="511">
        <f t="shared" ref="DX12:DX14" si="234">AA12*CA12</f>
        <v>1863448.953481829</v>
      </c>
      <c r="DY12" s="511">
        <f t="shared" ref="DY12:DY14" si="235">AB12*CB12</f>
        <v>1863448.953481829</v>
      </c>
      <c r="DZ12" s="723">
        <f t="shared" ref="DZ12:DZ14" si="236">AC12*CC12</f>
        <v>1863448.953481829</v>
      </c>
      <c r="EA12" s="722">
        <f t="shared" ref="EA12:EA14" si="237">W12*CD12</f>
        <v>0</v>
      </c>
      <c r="EB12" s="511">
        <f t="shared" ref="EB12:EB14" si="238">X12*CE12</f>
        <v>0</v>
      </c>
      <c r="EC12" s="511">
        <f t="shared" ref="EC12:EC14" si="239">Y12*CF12</f>
        <v>0</v>
      </c>
      <c r="ED12" s="511">
        <f t="shared" ref="ED12:ED14" si="240">Z12*CG12</f>
        <v>0</v>
      </c>
      <c r="EE12" s="511">
        <f t="shared" ref="EE12:EE14" si="241">AA12*CH12</f>
        <v>0</v>
      </c>
      <c r="EF12" s="511">
        <f t="shared" ref="EF12:EF14" si="242">AB12*CI12</f>
        <v>0</v>
      </c>
      <c r="EG12" s="723">
        <f t="shared" ref="EG12:EG14" si="243">AC12*CJ12</f>
        <v>0</v>
      </c>
      <c r="EH12" s="507">
        <f t="shared" ref="EH12:EH14" si="244">W12*CK12</f>
        <v>0</v>
      </c>
      <c r="EI12" s="511">
        <f t="shared" ref="EI12:EI14" si="245">X12*CL12</f>
        <v>0</v>
      </c>
      <c r="EJ12" s="511">
        <f t="shared" ref="EJ12:EJ14" si="246">Y12*CM12</f>
        <v>0</v>
      </c>
      <c r="EK12" s="511">
        <f t="shared" ref="EK12:EK14" si="247">Z12*CN12</f>
        <v>0</v>
      </c>
      <c r="EL12" s="511">
        <f t="shared" ref="EL12:EL14" si="248">AA12*CO12</f>
        <v>0</v>
      </c>
      <c r="EM12" s="511">
        <f t="shared" ref="EM12:EM14" si="249">AB12*CP12</f>
        <v>0</v>
      </c>
      <c r="EN12" s="723">
        <f t="shared" ref="EN12:EN14" si="250">AC12*CQ12</f>
        <v>0</v>
      </c>
      <c r="EO12" s="977">
        <f t="shared" ref="EO12:EO14" si="251">SUM(W12:AC12)</f>
        <v>25837.5</v>
      </c>
      <c r="EP12" s="728">
        <f t="shared" ref="EP12:EP14" si="252">SUM(CR12:CX12)</f>
        <v>3978975</v>
      </c>
      <c r="EQ12" s="728">
        <f t="shared" ref="EQ12:EQ14" si="253">SUM(CY12:DE12)</f>
        <v>0</v>
      </c>
      <c r="ER12" s="728">
        <f t="shared" ref="ER12:ER14" si="254">SUM(DF12:DL12)</f>
        <v>1937812.5</v>
      </c>
      <c r="ES12" s="728">
        <f t="shared" ref="ES12:ES14" si="255">SUM(DM12:DS12)</f>
        <v>0</v>
      </c>
      <c r="ET12" s="978">
        <f t="shared" ref="ET12:ET14" si="256">SUM(DT12:DZ12)</f>
        <v>8024477.0559311258</v>
      </c>
      <c r="EU12" s="978">
        <f t="shared" ref="EU12:EU14" si="257">SUM(EA12:EG12)</f>
        <v>0</v>
      </c>
      <c r="EV12" s="778">
        <f t="shared" ref="EV12:EV14" si="258">SUM(EH12:EN12)</f>
        <v>0</v>
      </c>
    </row>
    <row r="13" spans="1:161" s="10" customFormat="1" ht="12.75" customHeight="1">
      <c r="A13" s="661" t="s">
        <v>175</v>
      </c>
      <c r="B13" s="703" t="s">
        <v>1583</v>
      </c>
      <c r="C13" s="703" t="s">
        <v>1567</v>
      </c>
      <c r="D13" s="703" t="s">
        <v>1568</v>
      </c>
      <c r="E13" s="703" t="s">
        <v>1569</v>
      </c>
      <c r="F13" s="704" t="s">
        <v>1570</v>
      </c>
      <c r="G13" s="705">
        <f>G8</f>
        <v>19.239999999999998</v>
      </c>
      <c r="H13" s="704">
        <v>0</v>
      </c>
      <c r="I13" s="706">
        <f t="shared" si="186"/>
        <v>19.239999999999998</v>
      </c>
      <c r="J13" s="704">
        <v>0</v>
      </c>
      <c r="K13" s="706">
        <f t="shared" si="187"/>
        <v>9.6199999999999992</v>
      </c>
      <c r="L13" s="703" t="s">
        <v>1571</v>
      </c>
      <c r="M13" s="707">
        <v>0</v>
      </c>
      <c r="N13" s="779">
        <f>N8</f>
        <v>10</v>
      </c>
      <c r="O13" s="707">
        <v>0</v>
      </c>
      <c r="P13" s="709">
        <v>0</v>
      </c>
      <c r="Q13" s="710">
        <f>C33</f>
        <v>63.5</v>
      </c>
      <c r="R13" s="710">
        <v>0</v>
      </c>
      <c r="S13" s="710">
        <v>0</v>
      </c>
      <c r="T13" s="711" t="s">
        <v>1572</v>
      </c>
      <c r="U13" s="712">
        <v>0.05</v>
      </c>
      <c r="V13" s="713">
        <v>1</v>
      </c>
      <c r="W13" s="714">
        <f t="shared" ref="W13:AC14" si="259">W8/2</f>
        <v>12</v>
      </c>
      <c r="X13" s="714">
        <f t="shared" si="259"/>
        <v>12.6</v>
      </c>
      <c r="Y13" s="714">
        <f t="shared" si="259"/>
        <v>13.23</v>
      </c>
      <c r="Z13" s="714">
        <f t="shared" si="259"/>
        <v>13.891500000000001</v>
      </c>
      <c r="AA13" s="714">
        <f t="shared" si="259"/>
        <v>14.586075000000001</v>
      </c>
      <c r="AB13" s="714">
        <f t="shared" si="259"/>
        <v>15.315378750000001</v>
      </c>
      <c r="AC13" s="714">
        <f t="shared" si="259"/>
        <v>16.0811476875</v>
      </c>
      <c r="AD13" s="711" t="s">
        <v>384</v>
      </c>
      <c r="AE13" s="711" t="s">
        <v>375</v>
      </c>
      <c r="AF13" s="1024" t="s">
        <v>377</v>
      </c>
      <c r="AG13" s="711" t="s">
        <v>1573</v>
      </c>
      <c r="AH13" s="711" t="s">
        <v>1</v>
      </c>
      <c r="AI13" s="711" t="s">
        <v>378</v>
      </c>
      <c r="AJ13" s="711" t="s">
        <v>378</v>
      </c>
      <c r="AK13" s="711" t="s">
        <v>378</v>
      </c>
      <c r="AL13" s="715" t="s">
        <v>872</v>
      </c>
      <c r="AM13" s="715" t="s">
        <v>407</v>
      </c>
      <c r="AN13" s="715" t="s">
        <v>385</v>
      </c>
      <c r="AO13" s="661">
        <v>5</v>
      </c>
      <c r="AP13" s="661">
        <v>5</v>
      </c>
      <c r="AQ13" s="711" t="s">
        <v>1574</v>
      </c>
      <c r="AR13" s="716">
        <v>1</v>
      </c>
      <c r="AS13" s="716">
        <v>1</v>
      </c>
      <c r="AT13" s="717">
        <v>0</v>
      </c>
      <c r="AU13" s="718">
        <f t="shared" si="189"/>
        <v>19.239999999999998</v>
      </c>
      <c r="AV13" s="499">
        <f t="shared" si="190"/>
        <v>19.239999999999998</v>
      </c>
      <c r="AW13" s="499">
        <f t="shared" si="191"/>
        <v>19.239999999999998</v>
      </c>
      <c r="AX13" s="499">
        <f t="shared" si="192"/>
        <v>19.239999999999998</v>
      </c>
      <c r="AY13" s="499">
        <f t="shared" si="193"/>
        <v>19.239999999999998</v>
      </c>
      <c r="AZ13" s="499">
        <f t="shared" si="194"/>
        <v>19.239999999999998</v>
      </c>
      <c r="BA13" s="719">
        <f t="shared" si="195"/>
        <v>19.239999999999998</v>
      </c>
      <c r="BB13" s="1174">
        <f t="shared" si="196"/>
        <v>0</v>
      </c>
      <c r="BC13" s="499">
        <f t="shared" si="197"/>
        <v>0</v>
      </c>
      <c r="BD13" s="499">
        <f t="shared" si="198"/>
        <v>0</v>
      </c>
      <c r="BE13" s="499">
        <f t="shared" si="199"/>
        <v>0</v>
      </c>
      <c r="BF13" s="499">
        <f t="shared" si="200"/>
        <v>0</v>
      </c>
      <c r="BG13" s="499">
        <f t="shared" si="201"/>
        <v>0</v>
      </c>
      <c r="BH13" s="720">
        <f t="shared" si="202"/>
        <v>0</v>
      </c>
      <c r="BI13" s="721">
        <f t="shared" si="203"/>
        <v>10</v>
      </c>
      <c r="BJ13" s="499">
        <f t="shared" si="154"/>
        <v>10</v>
      </c>
      <c r="BK13" s="499">
        <f t="shared" si="155"/>
        <v>10</v>
      </c>
      <c r="BL13" s="499">
        <f t="shared" si="155"/>
        <v>10</v>
      </c>
      <c r="BM13" s="499">
        <f t="shared" si="156"/>
        <v>10</v>
      </c>
      <c r="BN13" s="499">
        <f t="shared" si="157"/>
        <v>10</v>
      </c>
      <c r="BO13" s="719">
        <f t="shared" si="158"/>
        <v>10</v>
      </c>
      <c r="BP13" s="775">
        <f t="shared" si="204"/>
        <v>0</v>
      </c>
      <c r="BQ13" s="503">
        <f t="shared" si="23"/>
        <v>0</v>
      </c>
      <c r="BR13" s="503">
        <f t="shared" si="23"/>
        <v>0</v>
      </c>
      <c r="BS13" s="503">
        <f t="shared" si="23"/>
        <v>0</v>
      </c>
      <c r="BT13" s="503">
        <f t="shared" si="23"/>
        <v>0</v>
      </c>
      <c r="BU13" s="503">
        <f t="shared" si="23"/>
        <v>0</v>
      </c>
      <c r="BV13" s="776">
        <f t="shared" si="23"/>
        <v>0</v>
      </c>
      <c r="BW13" s="722">
        <f t="shared" si="205"/>
        <v>63.5</v>
      </c>
      <c r="BX13" s="511">
        <f t="shared" si="159"/>
        <v>63.5</v>
      </c>
      <c r="BY13" s="511">
        <f t="shared" si="160"/>
        <v>63.5</v>
      </c>
      <c r="BZ13" s="511">
        <f t="shared" si="160"/>
        <v>63.5</v>
      </c>
      <c r="CA13" s="511">
        <f t="shared" si="161"/>
        <v>63.5</v>
      </c>
      <c r="CB13" s="511">
        <f t="shared" si="162"/>
        <v>63.5</v>
      </c>
      <c r="CC13" s="723">
        <f t="shared" si="163"/>
        <v>63.5</v>
      </c>
      <c r="CD13" s="722">
        <f t="shared" si="206"/>
        <v>0</v>
      </c>
      <c r="CE13" s="511">
        <f t="shared" si="164"/>
        <v>0</v>
      </c>
      <c r="CF13" s="511">
        <f t="shared" si="165"/>
        <v>0</v>
      </c>
      <c r="CG13" s="511">
        <f t="shared" si="165"/>
        <v>0</v>
      </c>
      <c r="CH13" s="511">
        <f t="shared" si="166"/>
        <v>0</v>
      </c>
      <c r="CI13" s="511">
        <f t="shared" si="167"/>
        <v>0</v>
      </c>
      <c r="CJ13" s="723">
        <f t="shared" si="168"/>
        <v>0</v>
      </c>
      <c r="CK13" s="507">
        <f t="shared" si="207"/>
        <v>0</v>
      </c>
      <c r="CL13" s="511">
        <f t="shared" si="169"/>
        <v>0</v>
      </c>
      <c r="CM13" s="511">
        <f t="shared" si="170"/>
        <v>0</v>
      </c>
      <c r="CN13" s="511">
        <f t="shared" si="170"/>
        <v>0</v>
      </c>
      <c r="CO13" s="511">
        <f t="shared" si="171"/>
        <v>0</v>
      </c>
      <c r="CP13" s="511">
        <f t="shared" si="172"/>
        <v>0</v>
      </c>
      <c r="CQ13" s="539">
        <f t="shared" si="173"/>
        <v>0</v>
      </c>
      <c r="CR13" s="724">
        <f t="shared" si="208"/>
        <v>230.88</v>
      </c>
      <c r="CS13" s="508">
        <f t="shared" si="174"/>
        <v>242.42399999999998</v>
      </c>
      <c r="CT13" s="508">
        <f t="shared" si="175"/>
        <v>254.54519999999999</v>
      </c>
      <c r="CU13" s="508">
        <f t="shared" si="176"/>
        <v>267.27245999999997</v>
      </c>
      <c r="CV13" s="508">
        <f t="shared" si="177"/>
        <v>280.63608299999999</v>
      </c>
      <c r="CW13" s="508">
        <f t="shared" si="178"/>
        <v>294.66788715000001</v>
      </c>
      <c r="CX13" s="725">
        <f t="shared" si="179"/>
        <v>309.40128150749996</v>
      </c>
      <c r="CY13" s="724">
        <f t="shared" si="209"/>
        <v>0</v>
      </c>
      <c r="CZ13" s="508">
        <f t="shared" si="210"/>
        <v>0</v>
      </c>
      <c r="DA13" s="508">
        <f t="shared" si="211"/>
        <v>0</v>
      </c>
      <c r="DB13" s="508">
        <f t="shared" si="212"/>
        <v>0</v>
      </c>
      <c r="DC13" s="508">
        <f t="shared" si="213"/>
        <v>0</v>
      </c>
      <c r="DD13" s="508">
        <f t="shared" si="214"/>
        <v>0</v>
      </c>
      <c r="DE13" s="725">
        <f t="shared" si="215"/>
        <v>0</v>
      </c>
      <c r="DF13" s="724">
        <f t="shared" si="216"/>
        <v>120</v>
      </c>
      <c r="DG13" s="508">
        <f t="shared" si="217"/>
        <v>126</v>
      </c>
      <c r="DH13" s="508">
        <f t="shared" si="218"/>
        <v>132.30000000000001</v>
      </c>
      <c r="DI13" s="508">
        <f t="shared" si="219"/>
        <v>138.91500000000002</v>
      </c>
      <c r="DJ13" s="508">
        <f t="shared" si="220"/>
        <v>145.86075</v>
      </c>
      <c r="DK13" s="508">
        <f t="shared" si="221"/>
        <v>153.15378750000002</v>
      </c>
      <c r="DL13" s="725">
        <f t="shared" si="222"/>
        <v>160.81147687499998</v>
      </c>
      <c r="DM13" s="724">
        <f t="shared" si="223"/>
        <v>0</v>
      </c>
      <c r="DN13" s="508">
        <f t="shared" si="224"/>
        <v>0</v>
      </c>
      <c r="DO13" s="508">
        <f t="shared" si="225"/>
        <v>0</v>
      </c>
      <c r="DP13" s="508">
        <f t="shared" si="226"/>
        <v>0</v>
      </c>
      <c r="DQ13" s="508">
        <f t="shared" si="227"/>
        <v>0</v>
      </c>
      <c r="DR13" s="508">
        <f t="shared" si="228"/>
        <v>0</v>
      </c>
      <c r="DS13" s="725">
        <f t="shared" si="229"/>
        <v>0</v>
      </c>
      <c r="DT13" s="722">
        <f t="shared" si="230"/>
        <v>762</v>
      </c>
      <c r="DU13" s="511">
        <f t="shared" si="231"/>
        <v>800.1</v>
      </c>
      <c r="DV13" s="511">
        <f t="shared" si="232"/>
        <v>840.10500000000002</v>
      </c>
      <c r="DW13" s="511">
        <f t="shared" si="233"/>
        <v>882.11025000000006</v>
      </c>
      <c r="DX13" s="511">
        <f t="shared" si="234"/>
        <v>926.2157625000001</v>
      </c>
      <c r="DY13" s="511">
        <f t="shared" si="235"/>
        <v>972.52655062500003</v>
      </c>
      <c r="DZ13" s="723">
        <f t="shared" si="236"/>
        <v>1021.1528781562499</v>
      </c>
      <c r="EA13" s="722">
        <f t="shared" si="237"/>
        <v>0</v>
      </c>
      <c r="EB13" s="511">
        <f t="shared" si="238"/>
        <v>0</v>
      </c>
      <c r="EC13" s="511">
        <f t="shared" si="239"/>
        <v>0</v>
      </c>
      <c r="ED13" s="511">
        <f t="shared" si="240"/>
        <v>0</v>
      </c>
      <c r="EE13" s="511">
        <f t="shared" si="241"/>
        <v>0</v>
      </c>
      <c r="EF13" s="511">
        <f t="shared" si="242"/>
        <v>0</v>
      </c>
      <c r="EG13" s="723">
        <f t="shared" si="243"/>
        <v>0</v>
      </c>
      <c r="EH13" s="507">
        <f t="shared" si="244"/>
        <v>0</v>
      </c>
      <c r="EI13" s="511">
        <f t="shared" si="245"/>
        <v>0</v>
      </c>
      <c r="EJ13" s="511">
        <f t="shared" si="246"/>
        <v>0</v>
      </c>
      <c r="EK13" s="511">
        <f t="shared" si="247"/>
        <v>0</v>
      </c>
      <c r="EL13" s="511">
        <f t="shared" si="248"/>
        <v>0</v>
      </c>
      <c r="EM13" s="511">
        <f t="shared" si="249"/>
        <v>0</v>
      </c>
      <c r="EN13" s="723">
        <f t="shared" si="250"/>
        <v>0</v>
      </c>
      <c r="EO13" s="977">
        <f t="shared" si="251"/>
        <v>97.704101437499986</v>
      </c>
      <c r="EP13" s="728">
        <f t="shared" si="252"/>
        <v>1879.8269116575002</v>
      </c>
      <c r="EQ13" s="728">
        <f t="shared" si="253"/>
        <v>0</v>
      </c>
      <c r="ER13" s="728">
        <f t="shared" si="254"/>
        <v>977.04101437500003</v>
      </c>
      <c r="ES13" s="728">
        <f t="shared" si="255"/>
        <v>0</v>
      </c>
      <c r="ET13" s="978">
        <f t="shared" si="256"/>
        <v>6204.2104412812505</v>
      </c>
      <c r="EU13" s="978">
        <f t="shared" si="257"/>
        <v>0</v>
      </c>
      <c r="EV13" s="778">
        <f t="shared" si="258"/>
        <v>0</v>
      </c>
    </row>
    <row r="14" spans="1:161" s="10" customFormat="1" ht="12.75" customHeight="1">
      <c r="A14" s="661" t="s">
        <v>176</v>
      </c>
      <c r="B14" s="703" t="s">
        <v>1584</v>
      </c>
      <c r="C14" s="703" t="s">
        <v>1576</v>
      </c>
      <c r="D14" s="703" t="s">
        <v>1577</v>
      </c>
      <c r="E14" s="703" t="s">
        <v>1578</v>
      </c>
      <c r="F14" s="704" t="s">
        <v>402</v>
      </c>
      <c r="G14" s="705">
        <f>G9</f>
        <v>50</v>
      </c>
      <c r="H14" s="704">
        <v>0</v>
      </c>
      <c r="I14" s="706">
        <f t="shared" si="186"/>
        <v>50</v>
      </c>
      <c r="J14" s="704">
        <v>0</v>
      </c>
      <c r="K14" s="706">
        <f t="shared" si="187"/>
        <v>25</v>
      </c>
      <c r="L14" s="703" t="s">
        <v>1571</v>
      </c>
      <c r="M14" s="707">
        <v>0</v>
      </c>
      <c r="N14" s="779">
        <f>N9</f>
        <v>50</v>
      </c>
      <c r="O14" s="707">
        <v>0</v>
      </c>
      <c r="P14" s="709">
        <v>0</v>
      </c>
      <c r="Q14" s="710">
        <v>0</v>
      </c>
      <c r="R14" s="710">
        <v>0</v>
      </c>
      <c r="S14" s="710">
        <v>0</v>
      </c>
      <c r="T14" s="711" t="s">
        <v>1579</v>
      </c>
      <c r="U14" s="712">
        <v>0.5</v>
      </c>
      <c r="V14" s="713">
        <v>1</v>
      </c>
      <c r="W14" s="714">
        <f t="shared" si="259"/>
        <v>0</v>
      </c>
      <c r="X14" s="714">
        <f t="shared" si="259"/>
        <v>0</v>
      </c>
      <c r="Y14" s="714">
        <f t="shared" si="259"/>
        <v>5</v>
      </c>
      <c r="Z14" s="714">
        <f t="shared" si="259"/>
        <v>7.5</v>
      </c>
      <c r="AA14" s="714">
        <f t="shared" si="259"/>
        <v>11.25</v>
      </c>
      <c r="AB14" s="714">
        <f t="shared" si="259"/>
        <v>16.875</v>
      </c>
      <c r="AC14" s="714">
        <f t="shared" si="259"/>
        <v>25.3125</v>
      </c>
      <c r="AD14" s="711" t="s">
        <v>384</v>
      </c>
      <c r="AE14" s="711" t="s">
        <v>375</v>
      </c>
      <c r="AF14" s="1024" t="s">
        <v>377</v>
      </c>
      <c r="AG14" s="711" t="s">
        <v>753</v>
      </c>
      <c r="AH14" s="711" t="s">
        <v>1</v>
      </c>
      <c r="AI14" s="711" t="s">
        <v>378</v>
      </c>
      <c r="AJ14" s="711" t="s">
        <v>378</v>
      </c>
      <c r="AK14" s="711" t="s">
        <v>378</v>
      </c>
      <c r="AL14" s="715" t="s">
        <v>943</v>
      </c>
      <c r="AM14" s="715" t="s">
        <v>380</v>
      </c>
      <c r="AN14" s="715" t="s">
        <v>385</v>
      </c>
      <c r="AO14" s="661">
        <v>1</v>
      </c>
      <c r="AP14" s="661">
        <v>1</v>
      </c>
      <c r="AQ14" s="711"/>
      <c r="AR14" s="716">
        <v>1</v>
      </c>
      <c r="AS14" s="716">
        <v>1</v>
      </c>
      <c r="AT14" s="717">
        <v>0</v>
      </c>
      <c r="AU14" s="718">
        <f t="shared" si="189"/>
        <v>50</v>
      </c>
      <c r="AV14" s="499">
        <f t="shared" si="190"/>
        <v>50</v>
      </c>
      <c r="AW14" s="499">
        <f t="shared" si="191"/>
        <v>50</v>
      </c>
      <c r="AX14" s="499">
        <f t="shared" si="192"/>
        <v>50</v>
      </c>
      <c r="AY14" s="499">
        <f t="shared" si="193"/>
        <v>50</v>
      </c>
      <c r="AZ14" s="499">
        <f t="shared" si="194"/>
        <v>50</v>
      </c>
      <c r="BA14" s="719">
        <f t="shared" si="195"/>
        <v>50</v>
      </c>
      <c r="BB14" s="1174">
        <f>J14</f>
        <v>0</v>
      </c>
      <c r="BC14" s="499">
        <f t="shared" si="197"/>
        <v>0</v>
      </c>
      <c r="BD14" s="499">
        <f t="shared" si="198"/>
        <v>0</v>
      </c>
      <c r="BE14" s="499">
        <f t="shared" si="199"/>
        <v>0</v>
      </c>
      <c r="BF14" s="499">
        <f t="shared" si="200"/>
        <v>0</v>
      </c>
      <c r="BG14" s="499">
        <f t="shared" si="201"/>
        <v>0</v>
      </c>
      <c r="BH14" s="720">
        <f t="shared" si="202"/>
        <v>0</v>
      </c>
      <c r="BI14" s="721">
        <f t="shared" si="203"/>
        <v>50</v>
      </c>
      <c r="BJ14" s="499">
        <f t="shared" si="154"/>
        <v>50</v>
      </c>
      <c r="BK14" s="499">
        <f t="shared" si="155"/>
        <v>50</v>
      </c>
      <c r="BL14" s="499">
        <f t="shared" si="155"/>
        <v>50</v>
      </c>
      <c r="BM14" s="499">
        <f t="shared" si="156"/>
        <v>50</v>
      </c>
      <c r="BN14" s="499">
        <f t="shared" si="157"/>
        <v>50</v>
      </c>
      <c r="BO14" s="719">
        <f t="shared" si="158"/>
        <v>50</v>
      </c>
      <c r="BP14" s="775">
        <f t="shared" si="204"/>
        <v>0</v>
      </c>
      <c r="BQ14" s="503">
        <f t="shared" si="23"/>
        <v>0</v>
      </c>
      <c r="BR14" s="503">
        <f t="shared" si="23"/>
        <v>0</v>
      </c>
      <c r="BS14" s="503">
        <f t="shared" si="23"/>
        <v>0</v>
      </c>
      <c r="BT14" s="503">
        <f t="shared" si="23"/>
        <v>0</v>
      </c>
      <c r="BU14" s="503">
        <f t="shared" si="23"/>
        <v>0</v>
      </c>
      <c r="BV14" s="776">
        <f t="shared" si="23"/>
        <v>0</v>
      </c>
      <c r="BW14" s="722">
        <f t="shared" si="205"/>
        <v>0</v>
      </c>
      <c r="BX14" s="511">
        <f t="shared" si="159"/>
        <v>0</v>
      </c>
      <c r="BY14" s="511">
        <f t="shared" si="160"/>
        <v>0</v>
      </c>
      <c r="BZ14" s="511">
        <f t="shared" si="160"/>
        <v>0</v>
      </c>
      <c r="CA14" s="511">
        <f t="shared" si="161"/>
        <v>0</v>
      </c>
      <c r="CB14" s="511">
        <f t="shared" si="162"/>
        <v>0</v>
      </c>
      <c r="CC14" s="723">
        <f t="shared" si="163"/>
        <v>0</v>
      </c>
      <c r="CD14" s="722">
        <f t="shared" si="206"/>
        <v>0</v>
      </c>
      <c r="CE14" s="511">
        <f t="shared" si="164"/>
        <v>0</v>
      </c>
      <c r="CF14" s="511">
        <f t="shared" si="165"/>
        <v>0</v>
      </c>
      <c r="CG14" s="511">
        <f t="shared" si="165"/>
        <v>0</v>
      </c>
      <c r="CH14" s="511">
        <f t="shared" si="166"/>
        <v>0</v>
      </c>
      <c r="CI14" s="511">
        <f t="shared" si="167"/>
        <v>0</v>
      </c>
      <c r="CJ14" s="723">
        <f t="shared" si="168"/>
        <v>0</v>
      </c>
      <c r="CK14" s="507">
        <f t="shared" si="207"/>
        <v>0</v>
      </c>
      <c r="CL14" s="511">
        <f t="shared" si="169"/>
        <v>0</v>
      </c>
      <c r="CM14" s="511">
        <f t="shared" si="170"/>
        <v>0</v>
      </c>
      <c r="CN14" s="511">
        <f t="shared" si="170"/>
        <v>0</v>
      </c>
      <c r="CO14" s="511">
        <f t="shared" si="171"/>
        <v>0</v>
      </c>
      <c r="CP14" s="511">
        <f t="shared" si="172"/>
        <v>0</v>
      </c>
      <c r="CQ14" s="539">
        <f t="shared" si="173"/>
        <v>0</v>
      </c>
      <c r="CR14" s="724">
        <f t="shared" si="208"/>
        <v>0</v>
      </c>
      <c r="CS14" s="508">
        <f t="shared" si="174"/>
        <v>0</v>
      </c>
      <c r="CT14" s="508">
        <f t="shared" si="175"/>
        <v>250</v>
      </c>
      <c r="CU14" s="508">
        <f t="shared" si="176"/>
        <v>375</v>
      </c>
      <c r="CV14" s="508">
        <f t="shared" si="177"/>
        <v>562.5</v>
      </c>
      <c r="CW14" s="508">
        <f t="shared" si="178"/>
        <v>843.75</v>
      </c>
      <c r="CX14" s="725">
        <f t="shared" si="179"/>
        <v>1265.625</v>
      </c>
      <c r="CY14" s="724">
        <f t="shared" si="209"/>
        <v>0</v>
      </c>
      <c r="CZ14" s="508">
        <f t="shared" si="210"/>
        <v>0</v>
      </c>
      <c r="DA14" s="508">
        <f t="shared" si="211"/>
        <v>0</v>
      </c>
      <c r="DB14" s="508">
        <f t="shared" si="212"/>
        <v>0</v>
      </c>
      <c r="DC14" s="508">
        <f t="shared" si="213"/>
        <v>0</v>
      </c>
      <c r="DD14" s="508">
        <f t="shared" si="214"/>
        <v>0</v>
      </c>
      <c r="DE14" s="725">
        <f t="shared" si="215"/>
        <v>0</v>
      </c>
      <c r="DF14" s="724">
        <f t="shared" si="216"/>
        <v>0</v>
      </c>
      <c r="DG14" s="508">
        <f t="shared" si="217"/>
        <v>0</v>
      </c>
      <c r="DH14" s="508">
        <f t="shared" si="218"/>
        <v>250</v>
      </c>
      <c r="DI14" s="508">
        <f t="shared" si="219"/>
        <v>375</v>
      </c>
      <c r="DJ14" s="508">
        <f t="shared" si="220"/>
        <v>562.5</v>
      </c>
      <c r="DK14" s="508">
        <f t="shared" si="221"/>
        <v>843.75</v>
      </c>
      <c r="DL14" s="725">
        <f t="shared" si="222"/>
        <v>1265.625</v>
      </c>
      <c r="DM14" s="724">
        <f t="shared" si="223"/>
        <v>0</v>
      </c>
      <c r="DN14" s="508">
        <f t="shared" si="224"/>
        <v>0</v>
      </c>
      <c r="DO14" s="508">
        <f t="shared" si="225"/>
        <v>0</v>
      </c>
      <c r="DP14" s="508">
        <f t="shared" si="226"/>
        <v>0</v>
      </c>
      <c r="DQ14" s="508">
        <f t="shared" si="227"/>
        <v>0</v>
      </c>
      <c r="DR14" s="508">
        <f t="shared" si="228"/>
        <v>0</v>
      </c>
      <c r="DS14" s="725">
        <f t="shared" si="229"/>
        <v>0</v>
      </c>
      <c r="DT14" s="722">
        <f t="shared" si="230"/>
        <v>0</v>
      </c>
      <c r="DU14" s="511">
        <f t="shared" si="231"/>
        <v>0</v>
      </c>
      <c r="DV14" s="511">
        <f t="shared" si="232"/>
        <v>0</v>
      </c>
      <c r="DW14" s="511">
        <f t="shared" si="233"/>
        <v>0</v>
      </c>
      <c r="DX14" s="511">
        <f t="shared" si="234"/>
        <v>0</v>
      </c>
      <c r="DY14" s="511">
        <f t="shared" si="235"/>
        <v>0</v>
      </c>
      <c r="DZ14" s="723">
        <f t="shared" si="236"/>
        <v>0</v>
      </c>
      <c r="EA14" s="722">
        <f t="shared" si="237"/>
        <v>0</v>
      </c>
      <c r="EB14" s="511">
        <f t="shared" si="238"/>
        <v>0</v>
      </c>
      <c r="EC14" s="511">
        <f t="shared" si="239"/>
        <v>0</v>
      </c>
      <c r="ED14" s="511">
        <f t="shared" si="240"/>
        <v>0</v>
      </c>
      <c r="EE14" s="511">
        <f t="shared" si="241"/>
        <v>0</v>
      </c>
      <c r="EF14" s="511">
        <f t="shared" si="242"/>
        <v>0</v>
      </c>
      <c r="EG14" s="723">
        <f t="shared" si="243"/>
        <v>0</v>
      </c>
      <c r="EH14" s="507">
        <f t="shared" si="244"/>
        <v>0</v>
      </c>
      <c r="EI14" s="511">
        <f t="shared" si="245"/>
        <v>0</v>
      </c>
      <c r="EJ14" s="511">
        <f t="shared" si="246"/>
        <v>0</v>
      </c>
      <c r="EK14" s="511">
        <f t="shared" si="247"/>
        <v>0</v>
      </c>
      <c r="EL14" s="511">
        <f t="shared" si="248"/>
        <v>0</v>
      </c>
      <c r="EM14" s="511">
        <f t="shared" si="249"/>
        <v>0</v>
      </c>
      <c r="EN14" s="723">
        <f t="shared" si="250"/>
        <v>0</v>
      </c>
      <c r="EO14" s="977">
        <f t="shared" si="251"/>
        <v>65.9375</v>
      </c>
      <c r="EP14" s="728">
        <f t="shared" si="252"/>
        <v>3296.875</v>
      </c>
      <c r="EQ14" s="728">
        <f t="shared" si="253"/>
        <v>0</v>
      </c>
      <c r="ER14" s="728">
        <f t="shared" si="254"/>
        <v>3296.875</v>
      </c>
      <c r="ES14" s="728">
        <f t="shared" si="255"/>
        <v>0</v>
      </c>
      <c r="ET14" s="978">
        <f t="shared" si="256"/>
        <v>0</v>
      </c>
      <c r="EU14" s="978">
        <f t="shared" si="257"/>
        <v>0</v>
      </c>
      <c r="EV14" s="778">
        <f t="shared" si="258"/>
        <v>0</v>
      </c>
    </row>
    <row r="15" spans="1:161" s="10" customFormat="1" ht="12.75" customHeight="1">
      <c r="A15" s="740"/>
      <c r="B15" s="730"/>
      <c r="C15" s="730"/>
      <c r="D15" s="730"/>
      <c r="E15" s="730"/>
      <c r="F15" s="731"/>
      <c r="G15" s="731"/>
      <c r="H15" s="731"/>
      <c r="I15" s="732"/>
      <c r="J15" s="731"/>
      <c r="K15" s="732"/>
      <c r="L15" s="733"/>
      <c r="M15" s="734"/>
      <c r="N15" s="734"/>
      <c r="O15" s="734"/>
      <c r="P15" s="734"/>
      <c r="Q15" s="736"/>
      <c r="R15" s="758"/>
      <c r="S15" s="737"/>
      <c r="T15" s="733"/>
      <c r="U15" s="738"/>
      <c r="V15" s="738"/>
      <c r="W15" s="738"/>
      <c r="X15" s="738"/>
      <c r="Y15" s="738"/>
      <c r="Z15" s="738"/>
      <c r="AA15" s="738"/>
      <c r="AB15" s="738"/>
      <c r="AC15" s="738"/>
      <c r="AD15" s="733"/>
      <c r="AE15" s="733"/>
      <c r="AF15" s="733"/>
      <c r="AG15" s="733"/>
      <c r="AH15" s="733"/>
      <c r="AI15" s="733"/>
      <c r="AJ15" s="733"/>
      <c r="AK15" s="733"/>
      <c r="AL15" s="743"/>
      <c r="AM15" s="743"/>
      <c r="AN15" s="743"/>
      <c r="AO15" s="733"/>
      <c r="AP15" s="733"/>
      <c r="AQ15" s="733"/>
      <c r="AR15" s="733"/>
      <c r="AS15" s="733"/>
      <c r="AT15" s="744"/>
      <c r="AU15" s="745"/>
      <c r="AV15" s="746"/>
      <c r="AW15" s="746"/>
      <c r="AX15" s="746"/>
      <c r="AY15" s="746"/>
      <c r="AZ15" s="746"/>
      <c r="BA15" s="747"/>
      <c r="BB15" s="748"/>
      <c r="BC15" s="746"/>
      <c r="BD15" s="746"/>
      <c r="BE15" s="746"/>
      <c r="BF15" s="746"/>
      <c r="BG15" s="746"/>
      <c r="BH15" s="749"/>
      <c r="BI15" s="745"/>
      <c r="BJ15" s="746"/>
      <c r="BK15" s="746"/>
      <c r="BL15" s="746"/>
      <c r="BM15" s="746"/>
      <c r="BN15" s="746"/>
      <c r="BO15" s="747"/>
      <c r="BP15" s="745"/>
      <c r="BQ15" s="746"/>
      <c r="BR15" s="746"/>
      <c r="BS15" s="746"/>
      <c r="BT15" s="746"/>
      <c r="BU15" s="746"/>
      <c r="BV15" s="747"/>
      <c r="BW15" s="750"/>
      <c r="BX15" s="487"/>
      <c r="BY15" s="487"/>
      <c r="BZ15" s="487"/>
      <c r="CA15" s="487"/>
      <c r="CB15" s="487"/>
      <c r="CC15" s="751"/>
      <c r="CD15" s="750"/>
      <c r="CE15" s="487"/>
      <c r="CF15" s="487"/>
      <c r="CG15" s="487"/>
      <c r="CH15" s="487"/>
      <c r="CI15" s="487"/>
      <c r="CJ15" s="751"/>
      <c r="CK15" s="510"/>
      <c r="CL15" s="487"/>
      <c r="CM15" s="487"/>
      <c r="CN15" s="487"/>
      <c r="CO15" s="487"/>
      <c r="CP15" s="487"/>
      <c r="CQ15" s="513"/>
      <c r="CR15" s="752"/>
      <c r="CS15" s="492"/>
      <c r="CT15" s="492"/>
      <c r="CU15" s="492"/>
      <c r="CV15" s="492"/>
      <c r="CW15" s="492"/>
      <c r="CX15" s="753"/>
      <c r="CY15" s="752"/>
      <c r="CZ15" s="492"/>
      <c r="DA15" s="492"/>
      <c r="DB15" s="492"/>
      <c r="DC15" s="492"/>
      <c r="DD15" s="492"/>
      <c r="DE15" s="753"/>
      <c r="DF15" s="752"/>
      <c r="DG15" s="492"/>
      <c r="DH15" s="492"/>
      <c r="DI15" s="492"/>
      <c r="DJ15" s="492"/>
      <c r="DK15" s="492"/>
      <c r="DL15" s="753"/>
      <c r="DM15" s="752"/>
      <c r="DN15" s="492"/>
      <c r="DO15" s="492"/>
      <c r="DP15" s="492"/>
      <c r="DQ15" s="492"/>
      <c r="DR15" s="492"/>
      <c r="DS15" s="753"/>
      <c r="DT15" s="750"/>
      <c r="DU15" s="487"/>
      <c r="DV15" s="487"/>
      <c r="DW15" s="487"/>
      <c r="DX15" s="487"/>
      <c r="DY15" s="487"/>
      <c r="DZ15" s="751"/>
      <c r="EA15" s="750"/>
      <c r="EB15" s="487"/>
      <c r="EC15" s="487"/>
      <c r="ED15" s="487"/>
      <c r="EE15" s="487"/>
      <c r="EF15" s="487"/>
      <c r="EG15" s="751"/>
      <c r="EH15" s="510"/>
      <c r="EI15" s="487"/>
      <c r="EJ15" s="487"/>
      <c r="EK15" s="487"/>
      <c r="EL15" s="487"/>
      <c r="EM15" s="487"/>
      <c r="EN15" s="751"/>
      <c r="EO15" s="515"/>
      <c r="EP15" s="755"/>
      <c r="EQ15" s="755"/>
      <c r="ER15" s="755"/>
      <c r="ES15" s="755"/>
      <c r="ET15" s="756"/>
      <c r="EU15" s="756"/>
      <c r="EV15" s="757"/>
    </row>
    <row r="16" spans="1:161" s="10" customFormat="1" ht="12.75" customHeight="1">
      <c r="A16" s="661" t="s">
        <v>172</v>
      </c>
      <c r="B16" s="703" t="s">
        <v>1585</v>
      </c>
      <c r="C16" s="703" t="s">
        <v>60</v>
      </c>
      <c r="D16" s="703" t="s">
        <v>1562</v>
      </c>
      <c r="E16" s="703" t="s">
        <v>371</v>
      </c>
      <c r="F16" s="704" t="s">
        <v>372</v>
      </c>
      <c r="G16" s="705">
        <v>0</v>
      </c>
      <c r="H16" s="704">
        <v>0</v>
      </c>
      <c r="I16" s="706">
        <f>G16+H16</f>
        <v>0</v>
      </c>
      <c r="J16" s="704">
        <v>0</v>
      </c>
      <c r="K16" s="706">
        <f>I16*0.5</f>
        <v>0</v>
      </c>
      <c r="L16" s="803"/>
      <c r="M16" s="707">
        <v>0</v>
      </c>
      <c r="N16" s="708">
        <f>N11</f>
        <v>0</v>
      </c>
      <c r="O16" s="707">
        <v>0</v>
      </c>
      <c r="P16" s="709">
        <v>0</v>
      </c>
      <c r="Q16" s="710">
        <v>0</v>
      </c>
      <c r="R16" s="710">
        <v>0</v>
      </c>
      <c r="S16" s="710">
        <v>0</v>
      </c>
      <c r="T16" s="711" t="s">
        <v>373</v>
      </c>
      <c r="U16" s="712">
        <v>0</v>
      </c>
      <c r="V16" s="713">
        <v>1</v>
      </c>
      <c r="W16" s="714">
        <f t="shared" ref="W16:AB16" si="260">W6*0.5</f>
        <v>0.5</v>
      </c>
      <c r="X16" s="714">
        <f t="shared" si="260"/>
        <v>0.5</v>
      </c>
      <c r="Y16" s="714">
        <f t="shared" si="260"/>
        <v>0.5</v>
      </c>
      <c r="Z16" s="714">
        <f t="shared" si="260"/>
        <v>0.5</v>
      </c>
      <c r="AA16" s="714">
        <f t="shared" si="260"/>
        <v>0.5</v>
      </c>
      <c r="AB16" s="714">
        <f t="shared" si="260"/>
        <v>0.5</v>
      </c>
      <c r="AC16" s="714">
        <f t="shared" ref="AC16" si="261">AC6*0.5</f>
        <v>0.5</v>
      </c>
      <c r="AD16" s="711" t="s">
        <v>374</v>
      </c>
      <c r="AE16" s="711" t="s">
        <v>375</v>
      </c>
      <c r="AF16" s="711" t="s">
        <v>376</v>
      </c>
      <c r="AG16" s="711" t="s">
        <v>377</v>
      </c>
      <c r="AH16" s="711" t="s">
        <v>1</v>
      </c>
      <c r="AI16" s="711" t="s">
        <v>378</v>
      </c>
      <c r="AJ16" s="711" t="s">
        <v>378</v>
      </c>
      <c r="AK16" s="711" t="s">
        <v>378</v>
      </c>
      <c r="AL16" s="715" t="s">
        <v>379</v>
      </c>
      <c r="AM16" s="715" t="s">
        <v>380</v>
      </c>
      <c r="AN16" s="715" t="s">
        <v>381</v>
      </c>
      <c r="AO16" s="661">
        <v>1</v>
      </c>
      <c r="AP16" s="661">
        <v>1</v>
      </c>
      <c r="AQ16" s="711" t="s">
        <v>382</v>
      </c>
      <c r="AR16" s="716">
        <v>1</v>
      </c>
      <c r="AS16" s="716">
        <v>1</v>
      </c>
      <c r="AT16" s="717">
        <v>1</v>
      </c>
      <c r="AU16" s="718">
        <f>I16</f>
        <v>0</v>
      </c>
      <c r="AV16" s="499">
        <f t="shared" ref="AV16:AW16" si="262">AU16</f>
        <v>0</v>
      </c>
      <c r="AW16" s="499">
        <f t="shared" si="262"/>
        <v>0</v>
      </c>
      <c r="AX16" s="499">
        <f>AU16</f>
        <v>0</v>
      </c>
      <c r="AY16" s="499">
        <f t="shared" ref="AY16:BA16" si="263">AV16</f>
        <v>0</v>
      </c>
      <c r="AZ16" s="499">
        <f t="shared" si="263"/>
        <v>0</v>
      </c>
      <c r="BA16" s="719">
        <f t="shared" si="263"/>
        <v>0</v>
      </c>
      <c r="BB16" s="1174">
        <f>J16</f>
        <v>0</v>
      </c>
      <c r="BC16" s="499">
        <f t="shared" ref="BC16:BH16" si="264">BB16</f>
        <v>0</v>
      </c>
      <c r="BD16" s="499">
        <f t="shared" si="264"/>
        <v>0</v>
      </c>
      <c r="BE16" s="499">
        <f t="shared" si="264"/>
        <v>0</v>
      </c>
      <c r="BF16" s="499">
        <f t="shared" si="264"/>
        <v>0</v>
      </c>
      <c r="BG16" s="499">
        <f t="shared" si="264"/>
        <v>0</v>
      </c>
      <c r="BH16" s="720">
        <f t="shared" si="264"/>
        <v>0</v>
      </c>
      <c r="BI16" s="721">
        <f>N16+O16</f>
        <v>0</v>
      </c>
      <c r="BJ16" s="499">
        <f t="shared" ref="BJ16:BJ19" si="265">BI16</f>
        <v>0</v>
      </c>
      <c r="BK16" s="499">
        <f t="shared" ref="BK16:BL19" si="266">BJ16</f>
        <v>0</v>
      </c>
      <c r="BL16" s="499">
        <f>BK16</f>
        <v>0</v>
      </c>
      <c r="BM16" s="499">
        <f t="shared" ref="BM16:BM19" si="267">BL16</f>
        <v>0</v>
      </c>
      <c r="BN16" s="499">
        <f t="shared" ref="BN16:BN19" si="268">BM16</f>
        <v>0</v>
      </c>
      <c r="BO16" s="719">
        <f t="shared" ref="BO16:BO19" si="269">BN16</f>
        <v>0</v>
      </c>
      <c r="BP16" s="775">
        <f>$P16</f>
        <v>0</v>
      </c>
      <c r="BQ16" s="503">
        <f t="shared" si="23"/>
        <v>0</v>
      </c>
      <c r="BR16" s="503">
        <f t="shared" si="23"/>
        <v>0</v>
      </c>
      <c r="BS16" s="503">
        <f t="shared" si="23"/>
        <v>0</v>
      </c>
      <c r="BT16" s="503">
        <f t="shared" si="23"/>
        <v>0</v>
      </c>
      <c r="BU16" s="503">
        <f t="shared" si="23"/>
        <v>0</v>
      </c>
      <c r="BV16" s="776">
        <f t="shared" si="23"/>
        <v>0</v>
      </c>
      <c r="BW16" s="722">
        <f>Q16*AS16</f>
        <v>0</v>
      </c>
      <c r="BX16" s="511">
        <f t="shared" ref="BX16:BX19" si="270">BW16</f>
        <v>0</v>
      </c>
      <c r="BY16" s="511">
        <f t="shared" ref="BY16:BZ19" si="271">BX16</f>
        <v>0</v>
      </c>
      <c r="BZ16" s="511">
        <f>BY16</f>
        <v>0</v>
      </c>
      <c r="CA16" s="511">
        <f t="shared" ref="CA16:CA19" si="272">BZ16</f>
        <v>0</v>
      </c>
      <c r="CB16" s="511">
        <f t="shared" ref="CB16:CB19" si="273">CA16</f>
        <v>0</v>
      </c>
      <c r="CC16" s="723">
        <f t="shared" ref="CC16:CC19" si="274">CB16</f>
        <v>0</v>
      </c>
      <c r="CD16" s="722">
        <f>R16*AS16</f>
        <v>0</v>
      </c>
      <c r="CE16" s="511">
        <f t="shared" ref="CE16:CE19" si="275">CD16</f>
        <v>0</v>
      </c>
      <c r="CF16" s="511">
        <f t="shared" ref="CF16:CG19" si="276">CE16</f>
        <v>0</v>
      </c>
      <c r="CG16" s="511">
        <f>CF16</f>
        <v>0</v>
      </c>
      <c r="CH16" s="511">
        <f t="shared" ref="CH16:CH19" si="277">CG16</f>
        <v>0</v>
      </c>
      <c r="CI16" s="511">
        <f t="shared" ref="CI16:CI19" si="278">CH16</f>
        <v>0</v>
      </c>
      <c r="CJ16" s="723">
        <f t="shared" ref="CJ16:CJ19" si="279">CI16</f>
        <v>0</v>
      </c>
      <c r="CK16" s="507">
        <f>S16*AT16</f>
        <v>0</v>
      </c>
      <c r="CL16" s="511">
        <f t="shared" ref="CL16:CL19" si="280">CK16</f>
        <v>0</v>
      </c>
      <c r="CM16" s="511">
        <f t="shared" ref="CM16:CN19" si="281">CL16</f>
        <v>0</v>
      </c>
      <c r="CN16" s="511">
        <f>CM16</f>
        <v>0</v>
      </c>
      <c r="CO16" s="511">
        <f t="shared" ref="CO16:CO19" si="282">CN16</f>
        <v>0</v>
      </c>
      <c r="CP16" s="511">
        <f t="shared" ref="CP16:CP19" si="283">CO16</f>
        <v>0</v>
      </c>
      <c r="CQ16" s="539">
        <f t="shared" ref="CQ16:CQ19" si="284">CP16</f>
        <v>0</v>
      </c>
      <c r="CR16" s="724">
        <f>W16*AU16</f>
        <v>0</v>
      </c>
      <c r="CS16" s="508">
        <f t="shared" ref="CS16:CS19" si="285">X16*AV16</f>
        <v>0</v>
      </c>
      <c r="CT16" s="508">
        <f t="shared" ref="CT16:CT19" si="286">Y16*AW16</f>
        <v>0</v>
      </c>
      <c r="CU16" s="508">
        <f t="shared" ref="CU16:CU19" si="287">Z16*AX16</f>
        <v>0</v>
      </c>
      <c r="CV16" s="508">
        <f t="shared" ref="CV16:CV19" si="288">AA16*AY16</f>
        <v>0</v>
      </c>
      <c r="CW16" s="508">
        <f t="shared" ref="CW16:CW19" si="289">AB16*AZ16</f>
        <v>0</v>
      </c>
      <c r="CX16" s="725">
        <f t="shared" ref="CX16:CX19" si="290">AC16*BA16</f>
        <v>0</v>
      </c>
      <c r="CY16" s="724">
        <f t="shared" ref="CY16:DE16" si="291">W16*BB16</f>
        <v>0</v>
      </c>
      <c r="CZ16" s="508">
        <f t="shared" si="291"/>
        <v>0</v>
      </c>
      <c r="DA16" s="508">
        <f t="shared" si="291"/>
        <v>0</v>
      </c>
      <c r="DB16" s="508">
        <f t="shared" si="291"/>
        <v>0</v>
      </c>
      <c r="DC16" s="508">
        <f t="shared" si="291"/>
        <v>0</v>
      </c>
      <c r="DD16" s="508">
        <f t="shared" si="291"/>
        <v>0</v>
      </c>
      <c r="DE16" s="725">
        <f t="shared" si="291"/>
        <v>0</v>
      </c>
      <c r="DF16" s="724">
        <f t="shared" ref="DF16:DL16" si="292">W16*BI16</f>
        <v>0</v>
      </c>
      <c r="DG16" s="508">
        <f t="shared" si="292"/>
        <v>0</v>
      </c>
      <c r="DH16" s="508">
        <f t="shared" si="292"/>
        <v>0</v>
      </c>
      <c r="DI16" s="508">
        <f t="shared" si="292"/>
        <v>0</v>
      </c>
      <c r="DJ16" s="508">
        <f t="shared" si="292"/>
        <v>0</v>
      </c>
      <c r="DK16" s="508">
        <f t="shared" si="292"/>
        <v>0</v>
      </c>
      <c r="DL16" s="725">
        <f t="shared" si="292"/>
        <v>0</v>
      </c>
      <c r="DM16" s="724">
        <f t="shared" ref="DM16:DS16" si="293">BP16*W16</f>
        <v>0</v>
      </c>
      <c r="DN16" s="508">
        <f t="shared" si="293"/>
        <v>0</v>
      </c>
      <c r="DO16" s="508">
        <f t="shared" si="293"/>
        <v>0</v>
      </c>
      <c r="DP16" s="508">
        <f t="shared" si="293"/>
        <v>0</v>
      </c>
      <c r="DQ16" s="508">
        <f t="shared" si="293"/>
        <v>0</v>
      </c>
      <c r="DR16" s="508">
        <f t="shared" si="293"/>
        <v>0</v>
      </c>
      <c r="DS16" s="725">
        <f t="shared" si="293"/>
        <v>0</v>
      </c>
      <c r="DT16" s="722">
        <f t="shared" ref="DT16:DZ16" si="294">W16*BW16</f>
        <v>0</v>
      </c>
      <c r="DU16" s="511">
        <f t="shared" si="294"/>
        <v>0</v>
      </c>
      <c r="DV16" s="511">
        <f t="shared" si="294"/>
        <v>0</v>
      </c>
      <c r="DW16" s="511">
        <f t="shared" si="294"/>
        <v>0</v>
      </c>
      <c r="DX16" s="511">
        <f t="shared" si="294"/>
        <v>0</v>
      </c>
      <c r="DY16" s="511">
        <f t="shared" si="294"/>
        <v>0</v>
      </c>
      <c r="DZ16" s="723">
        <f t="shared" si="294"/>
        <v>0</v>
      </c>
      <c r="EA16" s="722">
        <f t="shared" ref="EA16:EG16" si="295">W16*CD16</f>
        <v>0</v>
      </c>
      <c r="EB16" s="511">
        <f t="shared" si="295"/>
        <v>0</v>
      </c>
      <c r="EC16" s="511">
        <f t="shared" si="295"/>
        <v>0</v>
      </c>
      <c r="ED16" s="511">
        <f t="shared" si="295"/>
        <v>0</v>
      </c>
      <c r="EE16" s="511">
        <f t="shared" si="295"/>
        <v>0</v>
      </c>
      <c r="EF16" s="511">
        <f t="shared" si="295"/>
        <v>0</v>
      </c>
      <c r="EG16" s="723">
        <f t="shared" si="295"/>
        <v>0</v>
      </c>
      <c r="EH16" s="507">
        <f t="shared" ref="EH16:EN16" si="296">W16*CK16</f>
        <v>0</v>
      </c>
      <c r="EI16" s="511">
        <f t="shared" si="296"/>
        <v>0</v>
      </c>
      <c r="EJ16" s="511">
        <f t="shared" si="296"/>
        <v>0</v>
      </c>
      <c r="EK16" s="511">
        <f t="shared" si="296"/>
        <v>0</v>
      </c>
      <c r="EL16" s="511">
        <f t="shared" si="296"/>
        <v>0</v>
      </c>
      <c r="EM16" s="511">
        <f t="shared" si="296"/>
        <v>0</v>
      </c>
      <c r="EN16" s="723">
        <f t="shared" si="296"/>
        <v>0</v>
      </c>
      <c r="EO16" s="977">
        <f>SUM(W16:AC16)</f>
        <v>3.5</v>
      </c>
      <c r="EP16" s="728">
        <f>SUM(CR16:CX16)</f>
        <v>0</v>
      </c>
      <c r="EQ16" s="728">
        <f>SUM(CY16:DE16)</f>
        <v>0</v>
      </c>
      <c r="ER16" s="728">
        <f>SUM(DF16:DL16)</f>
        <v>0</v>
      </c>
      <c r="ES16" s="728">
        <f>SUM(DM16:DS16)</f>
        <v>0</v>
      </c>
      <c r="ET16" s="978">
        <f>SUM(DT16:DZ16)</f>
        <v>0</v>
      </c>
      <c r="EU16" s="978">
        <f>SUM(EA16:EG16)</f>
        <v>0</v>
      </c>
      <c r="EV16" s="778">
        <f>SUM(EH16:EN16)</f>
        <v>0</v>
      </c>
    </row>
    <row r="17" spans="1:152" s="10" customFormat="1" ht="12.75" customHeight="1">
      <c r="A17" s="661" t="s">
        <v>174</v>
      </c>
      <c r="B17" s="703" t="s">
        <v>1586</v>
      </c>
      <c r="C17" s="703" t="s">
        <v>1582</v>
      </c>
      <c r="D17" s="703" t="str">
        <f>D12</f>
        <v>Mix of manual and programmable thermostats</v>
      </c>
      <c r="E17" s="703" t="str">
        <f t="shared" ref="E17:F17" si="297">E12</f>
        <v>Per smart thermostat</v>
      </c>
      <c r="F17" s="703" t="str">
        <f t="shared" si="297"/>
        <v>Incremental Cost</v>
      </c>
      <c r="G17" s="705">
        <f>G7</f>
        <v>154</v>
      </c>
      <c r="H17" s="705">
        <f>H7</f>
        <v>0</v>
      </c>
      <c r="I17" s="706">
        <f t="shared" ref="I17:I19" si="298">G17+H17</f>
        <v>154</v>
      </c>
      <c r="J17" s="704">
        <v>0</v>
      </c>
      <c r="K17" s="706">
        <f t="shared" ref="K17:K19" si="299">I17*0.5</f>
        <v>77</v>
      </c>
      <c r="L17" s="703" t="s">
        <v>1565</v>
      </c>
      <c r="M17" s="707">
        <v>0</v>
      </c>
      <c r="N17" s="779">
        <f>N7</f>
        <v>75</v>
      </c>
      <c r="O17" s="707">
        <v>0</v>
      </c>
      <c r="P17" s="709">
        <v>0</v>
      </c>
      <c r="Q17" s="710">
        <f>C177</f>
        <v>310.57482558030483</v>
      </c>
      <c r="R17" s="710">
        <v>0</v>
      </c>
      <c r="S17" s="710">
        <f>C178</f>
        <v>27.475200000000001</v>
      </c>
      <c r="T17" s="711" t="s">
        <v>404</v>
      </c>
      <c r="U17" s="712">
        <v>1</v>
      </c>
      <c r="V17" s="713">
        <v>1</v>
      </c>
      <c r="W17" s="714">
        <f>W7/2</f>
        <v>522.5</v>
      </c>
      <c r="X17" s="714">
        <f t="shared" ref="X17:AC17" si="300">X7/2</f>
        <v>1045</v>
      </c>
      <c r="Y17" s="714">
        <f t="shared" si="300"/>
        <v>2090</v>
      </c>
      <c r="Z17" s="714">
        <f t="shared" si="300"/>
        <v>4180</v>
      </c>
      <c r="AA17" s="714">
        <f t="shared" si="300"/>
        <v>6000</v>
      </c>
      <c r="AB17" s="714">
        <f t="shared" si="300"/>
        <v>6000</v>
      </c>
      <c r="AC17" s="714">
        <f t="shared" si="300"/>
        <v>6000</v>
      </c>
      <c r="AD17" s="711" t="s">
        <v>374</v>
      </c>
      <c r="AE17" s="711" t="s">
        <v>375</v>
      </c>
      <c r="AF17" s="1024" t="s">
        <v>377</v>
      </c>
      <c r="AG17" s="711" t="s">
        <v>405</v>
      </c>
      <c r="AH17" s="711" t="s">
        <v>1</v>
      </c>
      <c r="AI17" s="711" t="s">
        <v>378</v>
      </c>
      <c r="AJ17" s="711" t="s">
        <v>378</v>
      </c>
      <c r="AK17" s="711" t="s">
        <v>378</v>
      </c>
      <c r="AL17" s="715" t="s">
        <v>406</v>
      </c>
      <c r="AM17" s="715" t="s">
        <v>407</v>
      </c>
      <c r="AN17" s="715" t="s">
        <v>381</v>
      </c>
      <c r="AO17" s="711">
        <v>7.5</v>
      </c>
      <c r="AP17" s="711">
        <v>7.5</v>
      </c>
      <c r="AQ17" s="711" t="s">
        <v>408</v>
      </c>
      <c r="AR17" s="716">
        <v>1</v>
      </c>
      <c r="AS17" s="716">
        <v>1</v>
      </c>
      <c r="AT17" s="717">
        <v>1</v>
      </c>
      <c r="AU17" s="718">
        <f t="shared" ref="AU17:AU19" si="301">I17</f>
        <v>154</v>
      </c>
      <c r="AV17" s="499">
        <f t="shared" ref="AV17:AV19" si="302">AU17</f>
        <v>154</v>
      </c>
      <c r="AW17" s="499">
        <f t="shared" ref="AW17:AW19" si="303">AV17</f>
        <v>154</v>
      </c>
      <c r="AX17" s="499">
        <f t="shared" ref="AX17:AX19" si="304">AU17</f>
        <v>154</v>
      </c>
      <c r="AY17" s="499">
        <f t="shared" ref="AY17:AY19" si="305">AV17</f>
        <v>154</v>
      </c>
      <c r="AZ17" s="499">
        <f t="shared" ref="AZ17:AZ19" si="306">AW17</f>
        <v>154</v>
      </c>
      <c r="BA17" s="719">
        <f t="shared" ref="BA17:BA19" si="307">AX17</f>
        <v>154</v>
      </c>
      <c r="BB17" s="1174">
        <f t="shared" ref="BB17:BB19" si="308">J17</f>
        <v>0</v>
      </c>
      <c r="BC17" s="499">
        <f t="shared" ref="BC17:BC19" si="309">BB17</f>
        <v>0</v>
      </c>
      <c r="BD17" s="499">
        <f t="shared" ref="BD17:BD19" si="310">BC17</f>
        <v>0</v>
      </c>
      <c r="BE17" s="499">
        <f t="shared" ref="BE17:BE19" si="311">BD17</f>
        <v>0</v>
      </c>
      <c r="BF17" s="499">
        <f t="shared" ref="BF17:BF19" si="312">BE17</f>
        <v>0</v>
      </c>
      <c r="BG17" s="499">
        <f t="shared" ref="BG17:BG19" si="313">BF17</f>
        <v>0</v>
      </c>
      <c r="BH17" s="720">
        <f t="shared" ref="BH17:BH19" si="314">BG17</f>
        <v>0</v>
      </c>
      <c r="BI17" s="721">
        <f t="shared" ref="BI17:BI19" si="315">N17+O17</f>
        <v>75</v>
      </c>
      <c r="BJ17" s="499">
        <f t="shared" si="265"/>
        <v>75</v>
      </c>
      <c r="BK17" s="499">
        <f t="shared" si="266"/>
        <v>75</v>
      </c>
      <c r="BL17" s="499">
        <f t="shared" si="266"/>
        <v>75</v>
      </c>
      <c r="BM17" s="499">
        <f t="shared" si="267"/>
        <v>75</v>
      </c>
      <c r="BN17" s="499">
        <f t="shared" si="268"/>
        <v>75</v>
      </c>
      <c r="BO17" s="719">
        <f t="shared" si="269"/>
        <v>75</v>
      </c>
      <c r="BP17" s="775">
        <f t="shared" ref="BP17:BP19" si="316">$P17</f>
        <v>0</v>
      </c>
      <c r="BQ17" s="503">
        <f t="shared" si="23"/>
        <v>0</v>
      </c>
      <c r="BR17" s="503">
        <f t="shared" si="23"/>
        <v>0</v>
      </c>
      <c r="BS17" s="503">
        <f t="shared" si="23"/>
        <v>0</v>
      </c>
      <c r="BT17" s="503">
        <f t="shared" si="23"/>
        <v>0</v>
      </c>
      <c r="BU17" s="503">
        <f t="shared" si="23"/>
        <v>0</v>
      </c>
      <c r="BV17" s="776">
        <f t="shared" si="23"/>
        <v>0</v>
      </c>
      <c r="BW17" s="722">
        <f t="shared" ref="BW17:BW19" si="317">Q17*AS17</f>
        <v>310.57482558030483</v>
      </c>
      <c r="BX17" s="511">
        <f t="shared" si="270"/>
        <v>310.57482558030483</v>
      </c>
      <c r="BY17" s="511">
        <f t="shared" si="271"/>
        <v>310.57482558030483</v>
      </c>
      <c r="BZ17" s="511">
        <f t="shared" si="271"/>
        <v>310.57482558030483</v>
      </c>
      <c r="CA17" s="511">
        <f t="shared" si="272"/>
        <v>310.57482558030483</v>
      </c>
      <c r="CB17" s="511">
        <f t="shared" si="273"/>
        <v>310.57482558030483</v>
      </c>
      <c r="CC17" s="723">
        <f t="shared" si="274"/>
        <v>310.57482558030483</v>
      </c>
      <c r="CD17" s="722">
        <f t="shared" ref="CD17:CD19" si="318">R17*AS17</f>
        <v>0</v>
      </c>
      <c r="CE17" s="511">
        <f t="shared" si="275"/>
        <v>0</v>
      </c>
      <c r="CF17" s="511">
        <f t="shared" si="276"/>
        <v>0</v>
      </c>
      <c r="CG17" s="511">
        <f t="shared" si="276"/>
        <v>0</v>
      </c>
      <c r="CH17" s="511">
        <f t="shared" si="277"/>
        <v>0</v>
      </c>
      <c r="CI17" s="511">
        <f t="shared" si="278"/>
        <v>0</v>
      </c>
      <c r="CJ17" s="723">
        <f t="shared" si="279"/>
        <v>0</v>
      </c>
      <c r="CK17" s="507">
        <f t="shared" ref="CK17:CK19" si="319">S17*AT17</f>
        <v>27.475200000000001</v>
      </c>
      <c r="CL17" s="511">
        <f t="shared" si="280"/>
        <v>27.475200000000001</v>
      </c>
      <c r="CM17" s="511">
        <f t="shared" si="281"/>
        <v>27.475200000000001</v>
      </c>
      <c r="CN17" s="511">
        <f t="shared" si="281"/>
        <v>27.475200000000001</v>
      </c>
      <c r="CO17" s="511">
        <f t="shared" si="282"/>
        <v>27.475200000000001</v>
      </c>
      <c r="CP17" s="511">
        <f t="shared" si="283"/>
        <v>27.475200000000001</v>
      </c>
      <c r="CQ17" s="539">
        <f t="shared" si="284"/>
        <v>27.475200000000001</v>
      </c>
      <c r="CR17" s="724">
        <f t="shared" ref="CR17:CR19" si="320">W17*AU17</f>
        <v>80465</v>
      </c>
      <c r="CS17" s="508">
        <f t="shared" si="285"/>
        <v>160930</v>
      </c>
      <c r="CT17" s="508">
        <f t="shared" si="286"/>
        <v>321860</v>
      </c>
      <c r="CU17" s="508">
        <f t="shared" si="287"/>
        <v>643720</v>
      </c>
      <c r="CV17" s="508">
        <f t="shared" si="288"/>
        <v>924000</v>
      </c>
      <c r="CW17" s="508">
        <f t="shared" si="289"/>
        <v>924000</v>
      </c>
      <c r="CX17" s="725">
        <f t="shared" si="290"/>
        <v>924000</v>
      </c>
      <c r="CY17" s="724">
        <f t="shared" ref="CY17:CY19" si="321">W17*BB17</f>
        <v>0</v>
      </c>
      <c r="CZ17" s="508">
        <f t="shared" ref="CZ17:CZ19" si="322">X17*BC17</f>
        <v>0</v>
      </c>
      <c r="DA17" s="508">
        <f t="shared" ref="DA17:DA19" si="323">Y17*BD17</f>
        <v>0</v>
      </c>
      <c r="DB17" s="508">
        <f t="shared" ref="DB17:DB19" si="324">Z17*BE17</f>
        <v>0</v>
      </c>
      <c r="DC17" s="508">
        <f t="shared" ref="DC17:DC19" si="325">AA17*BF17</f>
        <v>0</v>
      </c>
      <c r="DD17" s="508">
        <f t="shared" ref="DD17:DD19" si="326">AB17*BG17</f>
        <v>0</v>
      </c>
      <c r="DE17" s="725">
        <f t="shared" ref="DE17:DE19" si="327">AC17*BH17</f>
        <v>0</v>
      </c>
      <c r="DF17" s="724">
        <f t="shared" ref="DF17:DF19" si="328">W17*BI17</f>
        <v>39187.5</v>
      </c>
      <c r="DG17" s="508">
        <f t="shared" ref="DG17:DG19" si="329">X17*BJ17</f>
        <v>78375</v>
      </c>
      <c r="DH17" s="508">
        <f t="shared" ref="DH17:DH19" si="330">Y17*BK17</f>
        <v>156750</v>
      </c>
      <c r="DI17" s="508">
        <f t="shared" ref="DI17:DI19" si="331">Z17*BL17</f>
        <v>313500</v>
      </c>
      <c r="DJ17" s="508">
        <f t="shared" ref="DJ17:DJ19" si="332">AA17*BM17</f>
        <v>450000</v>
      </c>
      <c r="DK17" s="508">
        <f t="shared" ref="DK17:DK19" si="333">AB17*BN17</f>
        <v>450000</v>
      </c>
      <c r="DL17" s="725">
        <f t="shared" ref="DL17:DL19" si="334">AC17*BO17</f>
        <v>450000</v>
      </c>
      <c r="DM17" s="724">
        <f t="shared" ref="DM17:DM19" si="335">BP17*W17</f>
        <v>0</v>
      </c>
      <c r="DN17" s="508">
        <f t="shared" ref="DN17:DN19" si="336">BQ17*X17</f>
        <v>0</v>
      </c>
      <c r="DO17" s="508">
        <f t="shared" ref="DO17:DO19" si="337">BR17*Y17</f>
        <v>0</v>
      </c>
      <c r="DP17" s="508">
        <f t="shared" ref="DP17:DP19" si="338">BS17*Z17</f>
        <v>0</v>
      </c>
      <c r="DQ17" s="508">
        <f t="shared" ref="DQ17:DQ19" si="339">BT17*AA17</f>
        <v>0</v>
      </c>
      <c r="DR17" s="508">
        <f t="shared" ref="DR17:DR19" si="340">BU17*AB17</f>
        <v>0</v>
      </c>
      <c r="DS17" s="725">
        <f t="shared" ref="DS17:DS19" si="341">BV17*AC17</f>
        <v>0</v>
      </c>
      <c r="DT17" s="722">
        <f t="shared" ref="DT17:DT19" si="342">W17*BW17</f>
        <v>162275.34636570927</v>
      </c>
      <c r="DU17" s="511">
        <f t="shared" ref="DU17:DU19" si="343">X17*BX17</f>
        <v>324550.69273141853</v>
      </c>
      <c r="DV17" s="511">
        <f t="shared" ref="DV17:DV19" si="344">Y17*BY17</f>
        <v>649101.38546283706</v>
      </c>
      <c r="DW17" s="511">
        <f t="shared" ref="DW17:DW19" si="345">Z17*BZ17</f>
        <v>1298202.7709256741</v>
      </c>
      <c r="DX17" s="511">
        <f t="shared" ref="DX17:DX19" si="346">AA17*CA17</f>
        <v>1863448.953481829</v>
      </c>
      <c r="DY17" s="511">
        <f t="shared" ref="DY17:DY19" si="347">AB17*CB17</f>
        <v>1863448.953481829</v>
      </c>
      <c r="DZ17" s="723">
        <f t="shared" ref="DZ17:DZ19" si="348">AC17*CC17</f>
        <v>1863448.953481829</v>
      </c>
      <c r="EA17" s="722">
        <f t="shared" ref="EA17:EA19" si="349">W17*CD17</f>
        <v>0</v>
      </c>
      <c r="EB17" s="511">
        <f t="shared" ref="EB17:EB19" si="350">X17*CE17</f>
        <v>0</v>
      </c>
      <c r="EC17" s="511">
        <f t="shared" ref="EC17:EC19" si="351">Y17*CF17</f>
        <v>0</v>
      </c>
      <c r="ED17" s="511">
        <f t="shared" ref="ED17:ED19" si="352">Z17*CG17</f>
        <v>0</v>
      </c>
      <c r="EE17" s="511">
        <f t="shared" ref="EE17:EE19" si="353">AA17*CH17</f>
        <v>0</v>
      </c>
      <c r="EF17" s="511">
        <f t="shared" ref="EF17:EF19" si="354">AB17*CI17</f>
        <v>0</v>
      </c>
      <c r="EG17" s="723">
        <f t="shared" ref="EG17:EG19" si="355">AC17*CJ17</f>
        <v>0</v>
      </c>
      <c r="EH17" s="507">
        <f t="shared" ref="EH17:EH19" si="356">W17*CK17</f>
        <v>14355.792000000001</v>
      </c>
      <c r="EI17" s="511">
        <f t="shared" ref="EI17:EI19" si="357">X17*CL17</f>
        <v>28711.584000000003</v>
      </c>
      <c r="EJ17" s="511">
        <f t="shared" ref="EJ17:EJ19" si="358">Y17*CM17</f>
        <v>57423.168000000005</v>
      </c>
      <c r="EK17" s="511">
        <f t="shared" ref="EK17:EK19" si="359">Z17*CN17</f>
        <v>114846.33600000001</v>
      </c>
      <c r="EL17" s="511">
        <f t="shared" ref="EL17:EL19" si="360">AA17*CO17</f>
        <v>164851.20000000001</v>
      </c>
      <c r="EM17" s="511">
        <f t="shared" ref="EM17:EM19" si="361">AB17*CP17</f>
        <v>164851.20000000001</v>
      </c>
      <c r="EN17" s="723">
        <f t="shared" ref="EN17:EN19" si="362">AC17*CQ17</f>
        <v>164851.20000000001</v>
      </c>
      <c r="EO17" s="977">
        <f t="shared" ref="EO17:EO19" si="363">SUM(W17:AC17)</f>
        <v>25837.5</v>
      </c>
      <c r="EP17" s="728">
        <f t="shared" ref="EP17:EP19" si="364">SUM(CR17:CX17)</f>
        <v>3978975</v>
      </c>
      <c r="EQ17" s="728">
        <f t="shared" ref="EQ17:EQ19" si="365">SUM(CY17:DE17)</f>
        <v>0</v>
      </c>
      <c r="ER17" s="728">
        <f t="shared" ref="ER17:ER19" si="366">SUM(DF17:DL17)</f>
        <v>1937812.5</v>
      </c>
      <c r="ES17" s="728">
        <f t="shared" ref="ES17:ES19" si="367">SUM(DM17:DS17)</f>
        <v>0</v>
      </c>
      <c r="ET17" s="978">
        <f t="shared" ref="ET17:ET19" si="368">SUM(DT17:DZ17)</f>
        <v>8024477.0559311258</v>
      </c>
      <c r="EU17" s="978">
        <f t="shared" ref="EU17:EU19" si="369">SUM(EA17:EG17)</f>
        <v>0</v>
      </c>
      <c r="EV17" s="778">
        <f t="shared" ref="EV17:EV19" si="370">SUM(EH17:EN17)</f>
        <v>709890.48</v>
      </c>
    </row>
    <row r="18" spans="1:152" s="10" customFormat="1" ht="12.75" customHeight="1">
      <c r="A18" s="661" t="s">
        <v>179</v>
      </c>
      <c r="B18" s="703" t="s">
        <v>1587</v>
      </c>
      <c r="C18" s="703" t="s">
        <v>1567</v>
      </c>
      <c r="D18" s="703" t="s">
        <v>1568</v>
      </c>
      <c r="E18" s="703" t="s">
        <v>1569</v>
      </c>
      <c r="F18" s="704" t="s">
        <v>1570</v>
      </c>
      <c r="G18" s="705">
        <f>G8</f>
        <v>19.239999999999998</v>
      </c>
      <c r="H18" s="704">
        <v>0</v>
      </c>
      <c r="I18" s="706">
        <f t="shared" si="298"/>
        <v>19.239999999999998</v>
      </c>
      <c r="J18" s="704">
        <v>0</v>
      </c>
      <c r="K18" s="706">
        <f t="shared" si="299"/>
        <v>9.6199999999999992</v>
      </c>
      <c r="L18" s="703" t="s">
        <v>1571</v>
      </c>
      <c r="M18" s="707">
        <v>0</v>
      </c>
      <c r="N18" s="779">
        <f>N8</f>
        <v>10</v>
      </c>
      <c r="O18" s="707">
        <v>0</v>
      </c>
      <c r="P18" s="709">
        <v>0</v>
      </c>
      <c r="Q18" s="710">
        <f>C33</f>
        <v>63.5</v>
      </c>
      <c r="R18" s="710">
        <v>0</v>
      </c>
      <c r="S18" s="710">
        <v>0</v>
      </c>
      <c r="T18" s="711" t="s">
        <v>1572</v>
      </c>
      <c r="U18" s="712">
        <v>0.05</v>
      </c>
      <c r="V18" s="713">
        <v>1</v>
      </c>
      <c r="W18" s="714">
        <f t="shared" ref="W18:AC19" si="371">W8/2</f>
        <v>12</v>
      </c>
      <c r="X18" s="714">
        <f t="shared" si="371"/>
        <v>12.6</v>
      </c>
      <c r="Y18" s="714">
        <f t="shared" si="371"/>
        <v>13.23</v>
      </c>
      <c r="Z18" s="714">
        <f t="shared" si="371"/>
        <v>13.891500000000001</v>
      </c>
      <c r="AA18" s="714">
        <f t="shared" si="371"/>
        <v>14.586075000000001</v>
      </c>
      <c r="AB18" s="714">
        <f t="shared" si="371"/>
        <v>15.315378750000001</v>
      </c>
      <c r="AC18" s="714">
        <f t="shared" si="371"/>
        <v>16.0811476875</v>
      </c>
      <c r="AD18" s="711" t="s">
        <v>384</v>
      </c>
      <c r="AE18" s="711" t="s">
        <v>375</v>
      </c>
      <c r="AF18" s="1024" t="s">
        <v>377</v>
      </c>
      <c r="AG18" s="711" t="s">
        <v>1573</v>
      </c>
      <c r="AH18" s="711" t="s">
        <v>1</v>
      </c>
      <c r="AI18" s="711" t="s">
        <v>378</v>
      </c>
      <c r="AJ18" s="711" t="s">
        <v>378</v>
      </c>
      <c r="AK18" s="711" t="s">
        <v>378</v>
      </c>
      <c r="AL18" s="715" t="s">
        <v>872</v>
      </c>
      <c r="AM18" s="715" t="s">
        <v>407</v>
      </c>
      <c r="AN18" s="715" t="s">
        <v>381</v>
      </c>
      <c r="AO18" s="661">
        <v>5</v>
      </c>
      <c r="AP18" s="661">
        <v>5</v>
      </c>
      <c r="AQ18" s="711" t="s">
        <v>1574</v>
      </c>
      <c r="AR18" s="716">
        <v>1</v>
      </c>
      <c r="AS18" s="716">
        <v>1</v>
      </c>
      <c r="AT18" s="717">
        <v>0</v>
      </c>
      <c r="AU18" s="718">
        <f t="shared" si="301"/>
        <v>19.239999999999998</v>
      </c>
      <c r="AV18" s="499">
        <f t="shared" si="302"/>
        <v>19.239999999999998</v>
      </c>
      <c r="AW18" s="499">
        <f t="shared" si="303"/>
        <v>19.239999999999998</v>
      </c>
      <c r="AX18" s="499">
        <f t="shared" si="304"/>
        <v>19.239999999999998</v>
      </c>
      <c r="AY18" s="499">
        <f t="shared" si="305"/>
        <v>19.239999999999998</v>
      </c>
      <c r="AZ18" s="499">
        <f t="shared" si="306"/>
        <v>19.239999999999998</v>
      </c>
      <c r="BA18" s="719">
        <f t="shared" si="307"/>
        <v>19.239999999999998</v>
      </c>
      <c r="BB18" s="1174">
        <f t="shared" si="308"/>
        <v>0</v>
      </c>
      <c r="BC18" s="499">
        <f t="shared" si="309"/>
        <v>0</v>
      </c>
      <c r="BD18" s="499">
        <f t="shared" si="310"/>
        <v>0</v>
      </c>
      <c r="BE18" s="499">
        <f t="shared" si="311"/>
        <v>0</v>
      </c>
      <c r="BF18" s="499">
        <f t="shared" si="312"/>
        <v>0</v>
      </c>
      <c r="BG18" s="499">
        <f t="shared" si="313"/>
        <v>0</v>
      </c>
      <c r="BH18" s="720">
        <f t="shared" si="314"/>
        <v>0</v>
      </c>
      <c r="BI18" s="721">
        <f t="shared" si="315"/>
        <v>10</v>
      </c>
      <c r="BJ18" s="499">
        <f t="shared" si="265"/>
        <v>10</v>
      </c>
      <c r="BK18" s="499">
        <f t="shared" si="266"/>
        <v>10</v>
      </c>
      <c r="BL18" s="499">
        <f t="shared" si="266"/>
        <v>10</v>
      </c>
      <c r="BM18" s="499">
        <f t="shared" si="267"/>
        <v>10</v>
      </c>
      <c r="BN18" s="499">
        <f t="shared" si="268"/>
        <v>10</v>
      </c>
      <c r="BO18" s="719">
        <f t="shared" si="269"/>
        <v>10</v>
      </c>
      <c r="BP18" s="775">
        <f t="shared" si="316"/>
        <v>0</v>
      </c>
      <c r="BQ18" s="503">
        <f t="shared" si="23"/>
        <v>0</v>
      </c>
      <c r="BR18" s="503">
        <f t="shared" si="23"/>
        <v>0</v>
      </c>
      <c r="BS18" s="503">
        <f t="shared" si="23"/>
        <v>0</v>
      </c>
      <c r="BT18" s="503">
        <f t="shared" si="23"/>
        <v>0</v>
      </c>
      <c r="BU18" s="503">
        <f t="shared" si="23"/>
        <v>0</v>
      </c>
      <c r="BV18" s="776">
        <f t="shared" si="23"/>
        <v>0</v>
      </c>
      <c r="BW18" s="722">
        <f t="shared" si="317"/>
        <v>63.5</v>
      </c>
      <c r="BX18" s="511">
        <f t="shared" si="270"/>
        <v>63.5</v>
      </c>
      <c r="BY18" s="511">
        <f t="shared" si="271"/>
        <v>63.5</v>
      </c>
      <c r="BZ18" s="511">
        <f t="shared" si="271"/>
        <v>63.5</v>
      </c>
      <c r="CA18" s="511">
        <f t="shared" si="272"/>
        <v>63.5</v>
      </c>
      <c r="CB18" s="511">
        <f t="shared" si="273"/>
        <v>63.5</v>
      </c>
      <c r="CC18" s="723">
        <f t="shared" si="274"/>
        <v>63.5</v>
      </c>
      <c r="CD18" s="722">
        <f t="shared" si="318"/>
        <v>0</v>
      </c>
      <c r="CE18" s="511">
        <f t="shared" si="275"/>
        <v>0</v>
      </c>
      <c r="CF18" s="511">
        <f t="shared" si="276"/>
        <v>0</v>
      </c>
      <c r="CG18" s="511">
        <f t="shared" si="276"/>
        <v>0</v>
      </c>
      <c r="CH18" s="511">
        <f t="shared" si="277"/>
        <v>0</v>
      </c>
      <c r="CI18" s="511">
        <f t="shared" si="278"/>
        <v>0</v>
      </c>
      <c r="CJ18" s="723">
        <f t="shared" si="279"/>
        <v>0</v>
      </c>
      <c r="CK18" s="507">
        <f t="shared" si="319"/>
        <v>0</v>
      </c>
      <c r="CL18" s="511">
        <f t="shared" si="280"/>
        <v>0</v>
      </c>
      <c r="CM18" s="511">
        <f t="shared" si="281"/>
        <v>0</v>
      </c>
      <c r="CN18" s="511">
        <f t="shared" si="281"/>
        <v>0</v>
      </c>
      <c r="CO18" s="511">
        <f t="shared" si="282"/>
        <v>0</v>
      </c>
      <c r="CP18" s="511">
        <f t="shared" si="283"/>
        <v>0</v>
      </c>
      <c r="CQ18" s="539">
        <f t="shared" si="284"/>
        <v>0</v>
      </c>
      <c r="CR18" s="724">
        <f t="shared" si="320"/>
        <v>230.88</v>
      </c>
      <c r="CS18" s="508">
        <f t="shared" si="285"/>
        <v>242.42399999999998</v>
      </c>
      <c r="CT18" s="508">
        <f t="shared" si="286"/>
        <v>254.54519999999999</v>
      </c>
      <c r="CU18" s="508">
        <f t="shared" si="287"/>
        <v>267.27245999999997</v>
      </c>
      <c r="CV18" s="508">
        <f t="shared" si="288"/>
        <v>280.63608299999999</v>
      </c>
      <c r="CW18" s="508">
        <f t="shared" si="289"/>
        <v>294.66788715000001</v>
      </c>
      <c r="CX18" s="725">
        <f t="shared" si="290"/>
        <v>309.40128150749996</v>
      </c>
      <c r="CY18" s="724">
        <f t="shared" si="321"/>
        <v>0</v>
      </c>
      <c r="CZ18" s="508">
        <f t="shared" si="322"/>
        <v>0</v>
      </c>
      <c r="DA18" s="508">
        <f t="shared" si="323"/>
        <v>0</v>
      </c>
      <c r="DB18" s="508">
        <f t="shared" si="324"/>
        <v>0</v>
      </c>
      <c r="DC18" s="508">
        <f t="shared" si="325"/>
        <v>0</v>
      </c>
      <c r="DD18" s="508">
        <f t="shared" si="326"/>
        <v>0</v>
      </c>
      <c r="DE18" s="725">
        <f t="shared" si="327"/>
        <v>0</v>
      </c>
      <c r="DF18" s="724">
        <f t="shared" si="328"/>
        <v>120</v>
      </c>
      <c r="DG18" s="508">
        <f t="shared" si="329"/>
        <v>126</v>
      </c>
      <c r="DH18" s="508">
        <f t="shared" si="330"/>
        <v>132.30000000000001</v>
      </c>
      <c r="DI18" s="508">
        <f t="shared" si="331"/>
        <v>138.91500000000002</v>
      </c>
      <c r="DJ18" s="508">
        <f t="shared" si="332"/>
        <v>145.86075</v>
      </c>
      <c r="DK18" s="508">
        <f t="shared" si="333"/>
        <v>153.15378750000002</v>
      </c>
      <c r="DL18" s="725">
        <f t="shared" si="334"/>
        <v>160.81147687499998</v>
      </c>
      <c r="DM18" s="724">
        <f t="shared" si="335"/>
        <v>0</v>
      </c>
      <c r="DN18" s="508">
        <f t="shared" si="336"/>
        <v>0</v>
      </c>
      <c r="DO18" s="508">
        <f t="shared" si="337"/>
        <v>0</v>
      </c>
      <c r="DP18" s="508">
        <f t="shared" si="338"/>
        <v>0</v>
      </c>
      <c r="DQ18" s="508">
        <f t="shared" si="339"/>
        <v>0</v>
      </c>
      <c r="DR18" s="508">
        <f t="shared" si="340"/>
        <v>0</v>
      </c>
      <c r="DS18" s="725">
        <f t="shared" si="341"/>
        <v>0</v>
      </c>
      <c r="DT18" s="722">
        <f t="shared" si="342"/>
        <v>762</v>
      </c>
      <c r="DU18" s="511">
        <f t="shared" si="343"/>
        <v>800.1</v>
      </c>
      <c r="DV18" s="511">
        <f t="shared" si="344"/>
        <v>840.10500000000002</v>
      </c>
      <c r="DW18" s="511">
        <f t="shared" si="345"/>
        <v>882.11025000000006</v>
      </c>
      <c r="DX18" s="511">
        <f t="shared" si="346"/>
        <v>926.2157625000001</v>
      </c>
      <c r="DY18" s="511">
        <f t="shared" si="347"/>
        <v>972.52655062500003</v>
      </c>
      <c r="DZ18" s="723">
        <f t="shared" si="348"/>
        <v>1021.1528781562499</v>
      </c>
      <c r="EA18" s="722">
        <f t="shared" si="349"/>
        <v>0</v>
      </c>
      <c r="EB18" s="511">
        <f t="shared" si="350"/>
        <v>0</v>
      </c>
      <c r="EC18" s="511">
        <f t="shared" si="351"/>
        <v>0</v>
      </c>
      <c r="ED18" s="511">
        <f t="shared" si="352"/>
        <v>0</v>
      </c>
      <c r="EE18" s="511">
        <f t="shared" si="353"/>
        <v>0</v>
      </c>
      <c r="EF18" s="511">
        <f t="shared" si="354"/>
        <v>0</v>
      </c>
      <c r="EG18" s="723">
        <f t="shared" si="355"/>
        <v>0</v>
      </c>
      <c r="EH18" s="507">
        <f t="shared" si="356"/>
        <v>0</v>
      </c>
      <c r="EI18" s="511">
        <f t="shared" si="357"/>
        <v>0</v>
      </c>
      <c r="EJ18" s="511">
        <f t="shared" si="358"/>
        <v>0</v>
      </c>
      <c r="EK18" s="511">
        <f t="shared" si="359"/>
        <v>0</v>
      </c>
      <c r="EL18" s="511">
        <f t="shared" si="360"/>
        <v>0</v>
      </c>
      <c r="EM18" s="511">
        <f t="shared" si="361"/>
        <v>0</v>
      </c>
      <c r="EN18" s="723">
        <f t="shared" si="362"/>
        <v>0</v>
      </c>
      <c r="EO18" s="977">
        <f t="shared" si="363"/>
        <v>97.704101437499986</v>
      </c>
      <c r="EP18" s="728">
        <f t="shared" si="364"/>
        <v>1879.8269116575002</v>
      </c>
      <c r="EQ18" s="728">
        <f t="shared" si="365"/>
        <v>0</v>
      </c>
      <c r="ER18" s="728">
        <f t="shared" si="366"/>
        <v>977.04101437500003</v>
      </c>
      <c r="ES18" s="728">
        <f t="shared" si="367"/>
        <v>0</v>
      </c>
      <c r="ET18" s="978">
        <f t="shared" si="368"/>
        <v>6204.2104412812505</v>
      </c>
      <c r="EU18" s="978">
        <f t="shared" si="369"/>
        <v>0</v>
      </c>
      <c r="EV18" s="778">
        <f t="shared" si="370"/>
        <v>0</v>
      </c>
    </row>
    <row r="19" spans="1:152" s="10" customFormat="1" ht="12.75" customHeight="1">
      <c r="A19" s="661" t="s">
        <v>180</v>
      </c>
      <c r="B19" s="703" t="s">
        <v>1588</v>
      </c>
      <c r="C19" s="703" t="s">
        <v>1576</v>
      </c>
      <c r="D19" s="703" t="s">
        <v>1577</v>
      </c>
      <c r="E19" s="703" t="s">
        <v>1578</v>
      </c>
      <c r="F19" s="704" t="s">
        <v>402</v>
      </c>
      <c r="G19" s="705">
        <f>G9</f>
        <v>50</v>
      </c>
      <c r="H19" s="704">
        <v>0</v>
      </c>
      <c r="I19" s="706">
        <f t="shared" si="298"/>
        <v>50</v>
      </c>
      <c r="J19" s="704">
        <v>0</v>
      </c>
      <c r="K19" s="706">
        <f t="shared" si="299"/>
        <v>25</v>
      </c>
      <c r="L19" s="703" t="s">
        <v>1571</v>
      </c>
      <c r="M19" s="707">
        <v>0</v>
      </c>
      <c r="N19" s="779">
        <f>N9</f>
        <v>50</v>
      </c>
      <c r="O19" s="707">
        <v>0</v>
      </c>
      <c r="P19" s="709">
        <v>0</v>
      </c>
      <c r="Q19" s="710">
        <v>0</v>
      </c>
      <c r="R19" s="710">
        <v>0</v>
      </c>
      <c r="S19" s="710">
        <v>0</v>
      </c>
      <c r="T19" s="711" t="s">
        <v>1579</v>
      </c>
      <c r="U19" s="712">
        <v>0.5</v>
      </c>
      <c r="V19" s="713">
        <v>1</v>
      </c>
      <c r="W19" s="714">
        <f t="shared" si="371"/>
        <v>0</v>
      </c>
      <c r="X19" s="714">
        <f t="shared" si="371"/>
        <v>0</v>
      </c>
      <c r="Y19" s="714">
        <f t="shared" si="371"/>
        <v>5</v>
      </c>
      <c r="Z19" s="714">
        <f t="shared" si="371"/>
        <v>7.5</v>
      </c>
      <c r="AA19" s="714">
        <f t="shared" si="371"/>
        <v>11.25</v>
      </c>
      <c r="AB19" s="714">
        <f t="shared" si="371"/>
        <v>16.875</v>
      </c>
      <c r="AC19" s="714">
        <f t="shared" si="371"/>
        <v>25.3125</v>
      </c>
      <c r="AD19" s="711" t="s">
        <v>384</v>
      </c>
      <c r="AE19" s="711" t="s">
        <v>375</v>
      </c>
      <c r="AF19" s="1024" t="s">
        <v>377</v>
      </c>
      <c r="AG19" s="711" t="s">
        <v>753</v>
      </c>
      <c r="AH19" s="711" t="s">
        <v>1</v>
      </c>
      <c r="AI19" s="711" t="s">
        <v>378</v>
      </c>
      <c r="AJ19" s="711" t="s">
        <v>378</v>
      </c>
      <c r="AK19" s="711" t="s">
        <v>378</v>
      </c>
      <c r="AL19" s="715" t="s">
        <v>943</v>
      </c>
      <c r="AM19" s="715" t="s">
        <v>380</v>
      </c>
      <c r="AN19" s="715" t="s">
        <v>381</v>
      </c>
      <c r="AO19" s="661">
        <v>1</v>
      </c>
      <c r="AP19" s="661">
        <v>1</v>
      </c>
      <c r="AQ19" s="711"/>
      <c r="AR19" s="716">
        <v>1</v>
      </c>
      <c r="AS19" s="716">
        <v>1</v>
      </c>
      <c r="AT19" s="717">
        <v>0</v>
      </c>
      <c r="AU19" s="718">
        <f t="shared" si="301"/>
        <v>50</v>
      </c>
      <c r="AV19" s="499">
        <f t="shared" si="302"/>
        <v>50</v>
      </c>
      <c r="AW19" s="499">
        <f t="shared" si="303"/>
        <v>50</v>
      </c>
      <c r="AX19" s="499">
        <f t="shared" si="304"/>
        <v>50</v>
      </c>
      <c r="AY19" s="499">
        <f t="shared" si="305"/>
        <v>50</v>
      </c>
      <c r="AZ19" s="499">
        <f t="shared" si="306"/>
        <v>50</v>
      </c>
      <c r="BA19" s="719">
        <f t="shared" si="307"/>
        <v>50</v>
      </c>
      <c r="BB19" s="1174">
        <f t="shared" si="308"/>
        <v>0</v>
      </c>
      <c r="BC19" s="499">
        <f t="shared" si="309"/>
        <v>0</v>
      </c>
      <c r="BD19" s="499">
        <f t="shared" si="310"/>
        <v>0</v>
      </c>
      <c r="BE19" s="499">
        <f t="shared" si="311"/>
        <v>0</v>
      </c>
      <c r="BF19" s="499">
        <f t="shared" si="312"/>
        <v>0</v>
      </c>
      <c r="BG19" s="499">
        <f t="shared" si="313"/>
        <v>0</v>
      </c>
      <c r="BH19" s="720">
        <f t="shared" si="314"/>
        <v>0</v>
      </c>
      <c r="BI19" s="721">
        <f t="shared" si="315"/>
        <v>50</v>
      </c>
      <c r="BJ19" s="499">
        <f t="shared" si="265"/>
        <v>50</v>
      </c>
      <c r="BK19" s="499">
        <f t="shared" si="266"/>
        <v>50</v>
      </c>
      <c r="BL19" s="499">
        <f t="shared" si="266"/>
        <v>50</v>
      </c>
      <c r="BM19" s="499">
        <f t="shared" si="267"/>
        <v>50</v>
      </c>
      <c r="BN19" s="499">
        <f t="shared" si="268"/>
        <v>50</v>
      </c>
      <c r="BO19" s="719">
        <f t="shared" si="269"/>
        <v>50</v>
      </c>
      <c r="BP19" s="775">
        <f t="shared" si="316"/>
        <v>0</v>
      </c>
      <c r="BQ19" s="503">
        <f t="shared" si="23"/>
        <v>0</v>
      </c>
      <c r="BR19" s="503">
        <f t="shared" si="23"/>
        <v>0</v>
      </c>
      <c r="BS19" s="503">
        <f t="shared" si="23"/>
        <v>0</v>
      </c>
      <c r="BT19" s="503">
        <f t="shared" si="23"/>
        <v>0</v>
      </c>
      <c r="BU19" s="503">
        <f t="shared" si="23"/>
        <v>0</v>
      </c>
      <c r="BV19" s="776">
        <f t="shared" si="23"/>
        <v>0</v>
      </c>
      <c r="BW19" s="722">
        <f t="shared" si="317"/>
        <v>0</v>
      </c>
      <c r="BX19" s="511">
        <f t="shared" si="270"/>
        <v>0</v>
      </c>
      <c r="BY19" s="511">
        <f t="shared" si="271"/>
        <v>0</v>
      </c>
      <c r="BZ19" s="511">
        <f t="shared" si="271"/>
        <v>0</v>
      </c>
      <c r="CA19" s="511">
        <f t="shared" si="272"/>
        <v>0</v>
      </c>
      <c r="CB19" s="511">
        <f t="shared" si="273"/>
        <v>0</v>
      </c>
      <c r="CC19" s="723">
        <f t="shared" si="274"/>
        <v>0</v>
      </c>
      <c r="CD19" s="722">
        <f t="shared" si="318"/>
        <v>0</v>
      </c>
      <c r="CE19" s="511">
        <f t="shared" si="275"/>
        <v>0</v>
      </c>
      <c r="CF19" s="511">
        <f t="shared" si="276"/>
        <v>0</v>
      </c>
      <c r="CG19" s="511">
        <f t="shared" si="276"/>
        <v>0</v>
      </c>
      <c r="CH19" s="511">
        <f t="shared" si="277"/>
        <v>0</v>
      </c>
      <c r="CI19" s="511">
        <f t="shared" si="278"/>
        <v>0</v>
      </c>
      <c r="CJ19" s="723">
        <f t="shared" si="279"/>
        <v>0</v>
      </c>
      <c r="CK19" s="507">
        <f t="shared" si="319"/>
        <v>0</v>
      </c>
      <c r="CL19" s="511">
        <f t="shared" si="280"/>
        <v>0</v>
      </c>
      <c r="CM19" s="511">
        <f t="shared" si="281"/>
        <v>0</v>
      </c>
      <c r="CN19" s="511">
        <f t="shared" si="281"/>
        <v>0</v>
      </c>
      <c r="CO19" s="511">
        <f t="shared" si="282"/>
        <v>0</v>
      </c>
      <c r="CP19" s="511">
        <f t="shared" si="283"/>
        <v>0</v>
      </c>
      <c r="CQ19" s="539">
        <f t="shared" si="284"/>
        <v>0</v>
      </c>
      <c r="CR19" s="724">
        <f t="shared" si="320"/>
        <v>0</v>
      </c>
      <c r="CS19" s="508">
        <f t="shared" si="285"/>
        <v>0</v>
      </c>
      <c r="CT19" s="508">
        <f t="shared" si="286"/>
        <v>250</v>
      </c>
      <c r="CU19" s="508">
        <f t="shared" si="287"/>
        <v>375</v>
      </c>
      <c r="CV19" s="508">
        <f t="shared" si="288"/>
        <v>562.5</v>
      </c>
      <c r="CW19" s="508">
        <f t="shared" si="289"/>
        <v>843.75</v>
      </c>
      <c r="CX19" s="725">
        <f t="shared" si="290"/>
        <v>1265.625</v>
      </c>
      <c r="CY19" s="724">
        <f t="shared" si="321"/>
        <v>0</v>
      </c>
      <c r="CZ19" s="508">
        <f t="shared" si="322"/>
        <v>0</v>
      </c>
      <c r="DA19" s="508">
        <f t="shared" si="323"/>
        <v>0</v>
      </c>
      <c r="DB19" s="508">
        <f t="shared" si="324"/>
        <v>0</v>
      </c>
      <c r="DC19" s="508">
        <f t="shared" si="325"/>
        <v>0</v>
      </c>
      <c r="DD19" s="508">
        <f t="shared" si="326"/>
        <v>0</v>
      </c>
      <c r="DE19" s="725">
        <f t="shared" si="327"/>
        <v>0</v>
      </c>
      <c r="DF19" s="724">
        <f t="shared" si="328"/>
        <v>0</v>
      </c>
      <c r="DG19" s="508">
        <f t="shared" si="329"/>
        <v>0</v>
      </c>
      <c r="DH19" s="508">
        <f t="shared" si="330"/>
        <v>250</v>
      </c>
      <c r="DI19" s="508">
        <f t="shared" si="331"/>
        <v>375</v>
      </c>
      <c r="DJ19" s="508">
        <f t="shared" si="332"/>
        <v>562.5</v>
      </c>
      <c r="DK19" s="508">
        <f t="shared" si="333"/>
        <v>843.75</v>
      </c>
      <c r="DL19" s="725">
        <f t="shared" si="334"/>
        <v>1265.625</v>
      </c>
      <c r="DM19" s="724">
        <f t="shared" si="335"/>
        <v>0</v>
      </c>
      <c r="DN19" s="508">
        <f t="shared" si="336"/>
        <v>0</v>
      </c>
      <c r="DO19" s="508">
        <f t="shared" si="337"/>
        <v>0</v>
      </c>
      <c r="DP19" s="508">
        <f t="shared" si="338"/>
        <v>0</v>
      </c>
      <c r="DQ19" s="508">
        <f t="shared" si="339"/>
        <v>0</v>
      </c>
      <c r="DR19" s="508">
        <f t="shared" si="340"/>
        <v>0</v>
      </c>
      <c r="DS19" s="725">
        <f t="shared" si="341"/>
        <v>0</v>
      </c>
      <c r="DT19" s="722">
        <f t="shared" si="342"/>
        <v>0</v>
      </c>
      <c r="DU19" s="511">
        <f t="shared" si="343"/>
        <v>0</v>
      </c>
      <c r="DV19" s="511">
        <f t="shared" si="344"/>
        <v>0</v>
      </c>
      <c r="DW19" s="511">
        <f t="shared" si="345"/>
        <v>0</v>
      </c>
      <c r="DX19" s="511">
        <f t="shared" si="346"/>
        <v>0</v>
      </c>
      <c r="DY19" s="511">
        <f t="shared" si="347"/>
        <v>0</v>
      </c>
      <c r="DZ19" s="723">
        <f t="shared" si="348"/>
        <v>0</v>
      </c>
      <c r="EA19" s="722">
        <f t="shared" si="349"/>
        <v>0</v>
      </c>
      <c r="EB19" s="511">
        <f t="shared" si="350"/>
        <v>0</v>
      </c>
      <c r="EC19" s="511">
        <f t="shared" si="351"/>
        <v>0</v>
      </c>
      <c r="ED19" s="511">
        <f t="shared" si="352"/>
        <v>0</v>
      </c>
      <c r="EE19" s="511">
        <f t="shared" si="353"/>
        <v>0</v>
      </c>
      <c r="EF19" s="511">
        <f t="shared" si="354"/>
        <v>0</v>
      </c>
      <c r="EG19" s="723">
        <f t="shared" si="355"/>
        <v>0</v>
      </c>
      <c r="EH19" s="507">
        <f t="shared" si="356"/>
        <v>0</v>
      </c>
      <c r="EI19" s="511">
        <f t="shared" si="357"/>
        <v>0</v>
      </c>
      <c r="EJ19" s="511">
        <f t="shared" si="358"/>
        <v>0</v>
      </c>
      <c r="EK19" s="511">
        <f t="shared" si="359"/>
        <v>0</v>
      </c>
      <c r="EL19" s="511">
        <f t="shared" si="360"/>
        <v>0</v>
      </c>
      <c r="EM19" s="511">
        <f t="shared" si="361"/>
        <v>0</v>
      </c>
      <c r="EN19" s="723">
        <f t="shared" si="362"/>
        <v>0</v>
      </c>
      <c r="EO19" s="977">
        <f t="shared" si="363"/>
        <v>65.9375</v>
      </c>
      <c r="EP19" s="728">
        <f t="shared" si="364"/>
        <v>3296.875</v>
      </c>
      <c r="EQ19" s="728">
        <f t="shared" si="365"/>
        <v>0</v>
      </c>
      <c r="ER19" s="728">
        <f t="shared" si="366"/>
        <v>3296.875</v>
      </c>
      <c r="ES19" s="728">
        <f t="shared" si="367"/>
        <v>0</v>
      </c>
      <c r="ET19" s="978">
        <f t="shared" si="368"/>
        <v>0</v>
      </c>
      <c r="EU19" s="978">
        <f t="shared" si="369"/>
        <v>0</v>
      </c>
      <c r="EV19" s="778">
        <f t="shared" si="370"/>
        <v>0</v>
      </c>
    </row>
    <row r="20" spans="1:152" s="10" customFormat="1" ht="12.75" customHeight="1" thickBot="1">
      <c r="A20" s="729"/>
      <c r="B20" s="759"/>
      <c r="C20" s="759"/>
      <c r="D20" s="759"/>
      <c r="E20" s="759"/>
      <c r="F20" s="731"/>
      <c r="G20" s="731"/>
      <c r="H20" s="731"/>
      <c r="I20" s="731"/>
      <c r="J20" s="731"/>
      <c r="K20" s="731"/>
      <c r="L20" s="733"/>
      <c r="M20" s="734"/>
      <c r="N20" s="734"/>
      <c r="O20" s="734"/>
      <c r="P20" s="734"/>
      <c r="Q20" s="736"/>
      <c r="R20" s="758"/>
      <c r="S20" s="737"/>
      <c r="T20" s="733"/>
      <c r="U20" s="738"/>
      <c r="V20" s="738"/>
      <c r="W20" s="738"/>
      <c r="X20" s="738"/>
      <c r="Y20" s="738"/>
      <c r="Z20" s="738"/>
      <c r="AA20" s="738"/>
      <c r="AB20" s="738"/>
      <c r="AC20" s="738"/>
      <c r="AD20" s="733"/>
      <c r="AE20" s="733"/>
      <c r="AF20" s="733"/>
      <c r="AG20" s="733"/>
      <c r="AH20" s="733"/>
      <c r="AI20" s="733"/>
      <c r="AJ20" s="733"/>
      <c r="AK20" s="733"/>
      <c r="AL20" s="760"/>
      <c r="AM20" s="760"/>
      <c r="AN20" s="760"/>
      <c r="AO20" s="733"/>
      <c r="AP20" s="733"/>
      <c r="AQ20" s="733"/>
      <c r="AR20" s="733"/>
      <c r="AS20" s="733"/>
      <c r="AT20" s="744"/>
      <c r="AU20" s="761"/>
      <c r="AV20" s="762"/>
      <c r="AW20" s="762"/>
      <c r="AX20" s="762"/>
      <c r="AY20" s="762"/>
      <c r="AZ20" s="762"/>
      <c r="BA20" s="763"/>
      <c r="BB20" s="764"/>
      <c r="BC20" s="762"/>
      <c r="BD20" s="762"/>
      <c r="BE20" s="762"/>
      <c r="BF20" s="762"/>
      <c r="BG20" s="762"/>
      <c r="BH20" s="765"/>
      <c r="BI20" s="761"/>
      <c r="BJ20" s="762"/>
      <c r="BK20" s="762"/>
      <c r="BL20" s="762"/>
      <c r="BM20" s="762"/>
      <c r="BN20" s="762"/>
      <c r="BO20" s="763"/>
      <c r="BP20" s="761"/>
      <c r="BQ20" s="762"/>
      <c r="BR20" s="762"/>
      <c r="BS20" s="762"/>
      <c r="BT20" s="762"/>
      <c r="BU20" s="762"/>
      <c r="BV20" s="763"/>
      <c r="BW20" s="488"/>
      <c r="BX20" s="766"/>
      <c r="BY20" s="766"/>
      <c r="BZ20" s="766"/>
      <c r="CA20" s="766"/>
      <c r="CB20" s="766"/>
      <c r="CC20" s="489"/>
      <c r="CD20" s="488"/>
      <c r="CE20" s="766"/>
      <c r="CF20" s="766"/>
      <c r="CG20" s="766"/>
      <c r="CH20" s="766"/>
      <c r="CI20" s="766"/>
      <c r="CJ20" s="489"/>
      <c r="CK20" s="767"/>
      <c r="CL20" s="766"/>
      <c r="CM20" s="766"/>
      <c r="CN20" s="766"/>
      <c r="CO20" s="766"/>
      <c r="CP20" s="766"/>
      <c r="CQ20" s="768"/>
      <c r="CR20" s="493"/>
      <c r="CS20" s="769"/>
      <c r="CT20" s="769"/>
      <c r="CU20" s="769"/>
      <c r="CV20" s="769"/>
      <c r="CW20" s="769"/>
      <c r="CX20" s="494"/>
      <c r="CY20" s="493"/>
      <c r="CZ20" s="769"/>
      <c r="DA20" s="769"/>
      <c r="DB20" s="769"/>
      <c r="DC20" s="769"/>
      <c r="DD20" s="769"/>
      <c r="DE20" s="494"/>
      <c r="DF20" s="493"/>
      <c r="DG20" s="769"/>
      <c r="DH20" s="769"/>
      <c r="DI20" s="769"/>
      <c r="DJ20" s="769"/>
      <c r="DK20" s="769"/>
      <c r="DL20" s="494"/>
      <c r="DM20" s="493"/>
      <c r="DN20" s="769"/>
      <c r="DO20" s="769"/>
      <c r="DP20" s="769"/>
      <c r="DQ20" s="769"/>
      <c r="DR20" s="769"/>
      <c r="DS20" s="494"/>
      <c r="DT20" s="488"/>
      <c r="DU20" s="766"/>
      <c r="DV20" s="766"/>
      <c r="DW20" s="766"/>
      <c r="DX20" s="766"/>
      <c r="DY20" s="766"/>
      <c r="DZ20" s="489"/>
      <c r="EA20" s="488"/>
      <c r="EB20" s="766"/>
      <c r="EC20" s="766"/>
      <c r="ED20" s="766"/>
      <c r="EE20" s="766"/>
      <c r="EF20" s="766"/>
      <c r="EG20" s="489"/>
      <c r="EH20" s="767"/>
      <c r="EI20" s="766"/>
      <c r="EJ20" s="766"/>
      <c r="EK20" s="766"/>
      <c r="EL20" s="766"/>
      <c r="EM20" s="766"/>
      <c r="EN20" s="489"/>
      <c r="EO20" s="515"/>
      <c r="EP20" s="755"/>
      <c r="EQ20" s="755"/>
      <c r="ER20" s="755"/>
      <c r="ES20" s="755"/>
      <c r="ET20" s="756"/>
      <c r="EU20" s="756"/>
      <c r="EV20" s="487"/>
    </row>
    <row r="21" spans="1:152">
      <c r="U21" s="3" t="s">
        <v>1589</v>
      </c>
      <c r="W21" s="3">
        <f>G73/$J$59</f>
        <v>209</v>
      </c>
      <c r="AD21" s="3"/>
    </row>
    <row r="22" spans="1:152" ht="14.5">
      <c r="B22" s="325"/>
      <c r="U22" s="3" t="s">
        <v>1590</v>
      </c>
      <c r="W22" s="3">
        <f>G71/$J$59</f>
        <v>0</v>
      </c>
      <c r="AD22" s="3"/>
    </row>
    <row r="23" spans="1:152" ht="14.5">
      <c r="B23" s="322"/>
      <c r="AC23" s="102"/>
      <c r="AD23" s="3"/>
    </row>
    <row r="24" spans="1:152" ht="14.5">
      <c r="B24" s="322"/>
      <c r="AC24" s="102"/>
      <c r="AD24" s="3"/>
    </row>
    <row r="25" spans="1:152" ht="14.5">
      <c r="B25" s="376" t="s">
        <v>1591</v>
      </c>
      <c r="AC25" s="102"/>
      <c r="AD25" s="3"/>
    </row>
    <row r="26" spans="1:152" ht="14.5">
      <c r="B26" s="175"/>
      <c r="AC26" s="102"/>
      <c r="AD26" s="3"/>
    </row>
    <row r="27" spans="1:152" ht="14.5">
      <c r="B27" s="605">
        <v>50</v>
      </c>
      <c r="C27" s="175" t="s">
        <v>1592</v>
      </c>
      <c r="AC27" s="102"/>
      <c r="AD27" s="3"/>
    </row>
    <row r="28" spans="1:152" ht="14.5">
      <c r="B28" s="175"/>
      <c r="AC28" s="102"/>
      <c r="AD28" s="3"/>
    </row>
    <row r="29" spans="1:152">
      <c r="C29" s="324"/>
      <c r="AD29" s="3"/>
    </row>
    <row r="30" spans="1:152" ht="14.5">
      <c r="B30" s="376" t="s">
        <v>1593</v>
      </c>
      <c r="C30" s="175"/>
      <c r="AD30" s="3"/>
    </row>
    <row r="31" spans="1:152" ht="14.5">
      <c r="B31" s="175" t="s">
        <v>1572</v>
      </c>
      <c r="C31" s="175"/>
      <c r="AD31" s="3"/>
    </row>
    <row r="32" spans="1:152" ht="14.5">
      <c r="B32" s="175"/>
      <c r="C32" s="175"/>
      <c r="AD32" s="3"/>
    </row>
    <row r="33" spans="2:30" ht="14.5">
      <c r="B33" s="794" t="s">
        <v>1594</v>
      </c>
      <c r="C33" s="794">
        <v>63.5</v>
      </c>
      <c r="D33" s="794" t="s">
        <v>1479</v>
      </c>
      <c r="AD33" s="3"/>
    </row>
    <row r="34" spans="2:30">
      <c r="C34" s="324"/>
      <c r="AD34" s="3"/>
    </row>
    <row r="35" spans="2:30" ht="14.5">
      <c r="B35" s="175" t="s">
        <v>1595</v>
      </c>
      <c r="C35" s="324"/>
      <c r="AD35" s="3"/>
    </row>
    <row r="36" spans="2:30">
      <c r="C36" s="324"/>
      <c r="AD36" s="3"/>
    </row>
    <row r="37" spans="2:30" ht="14.5">
      <c r="B37" s="175" t="s">
        <v>1596</v>
      </c>
      <c r="C37" s="324"/>
      <c r="AD37" s="3"/>
    </row>
    <row r="38" spans="2:30" ht="14.5">
      <c r="B38" s="794" t="s">
        <v>1597</v>
      </c>
      <c r="C38" s="794" t="s">
        <v>841</v>
      </c>
      <c r="D38" s="794" t="s">
        <v>1598</v>
      </c>
      <c r="AD38" s="3"/>
    </row>
    <row r="39" spans="2:30" ht="14.5">
      <c r="B39" s="794" t="s">
        <v>1599</v>
      </c>
      <c r="C39" s="1175">
        <v>27.24</v>
      </c>
      <c r="D39" s="794" t="s">
        <v>1600</v>
      </c>
      <c r="AD39" s="3"/>
    </row>
    <row r="40" spans="2:30" ht="14.5">
      <c r="B40" s="794" t="s">
        <v>1601</v>
      </c>
      <c r="C40" s="1175">
        <v>17.989999999999998</v>
      </c>
      <c r="D40" s="794" t="s">
        <v>1602</v>
      </c>
      <c r="AD40" s="3"/>
    </row>
    <row r="41" spans="2:30" ht="14.5">
      <c r="B41" s="794" t="s">
        <v>1603</v>
      </c>
      <c r="C41" s="1175">
        <v>11.99</v>
      </c>
      <c r="D41" s="794" t="s">
        <v>1604</v>
      </c>
      <c r="AD41" s="3"/>
    </row>
    <row r="42" spans="2:30" ht="14.5">
      <c r="B42" s="794" t="s">
        <v>1605</v>
      </c>
      <c r="C42" s="1175">
        <v>13.99</v>
      </c>
      <c r="D42" s="794" t="s">
        <v>1606</v>
      </c>
      <c r="AD42" s="3"/>
    </row>
    <row r="43" spans="2:30" ht="14.5">
      <c r="B43" s="794" t="s">
        <v>1607</v>
      </c>
      <c r="C43" s="1175">
        <v>24.99</v>
      </c>
      <c r="D43" s="794" t="s">
        <v>1608</v>
      </c>
      <c r="AD43" s="3"/>
    </row>
    <row r="44" spans="2:30" ht="14.5">
      <c r="B44" s="794" t="s">
        <v>1123</v>
      </c>
      <c r="C44" s="1175">
        <f>AVERAGE(C39:C43)</f>
        <v>19.239999999999998</v>
      </c>
      <c r="D44" s="794"/>
      <c r="AD44" s="3"/>
    </row>
    <row r="45" spans="2:30">
      <c r="C45" s="324"/>
      <c r="AD45" s="3"/>
    </row>
    <row r="46" spans="2:30">
      <c r="C46" s="324"/>
      <c r="AD46" s="3"/>
    </row>
    <row r="47" spans="2:30">
      <c r="C47" s="324"/>
      <c r="AD47" s="3"/>
    </row>
    <row r="48" spans="2:30" ht="14.5">
      <c r="B48" s="175" t="s">
        <v>1609</v>
      </c>
      <c r="C48" s="324"/>
      <c r="J48" s="606"/>
      <c r="K48" s="203"/>
      <c r="L48" s="203"/>
      <c r="M48" s="203"/>
      <c r="N48" s="203"/>
      <c r="O48" s="203"/>
      <c r="AD48" s="3"/>
    </row>
    <row r="49" spans="2:30" ht="14.5">
      <c r="B49" s="175" t="s">
        <v>1610</v>
      </c>
      <c r="C49" s="324"/>
      <c r="J49" s="607"/>
      <c r="K49" s="608"/>
      <c r="L49" s="608"/>
      <c r="M49" s="609" t="s">
        <v>1611</v>
      </c>
      <c r="N49" s="608"/>
      <c r="O49" s="608"/>
      <c r="AD49" s="3"/>
    </row>
    <row r="50" spans="2:30" ht="55.5" customHeight="1">
      <c r="B50" s="1424" t="s">
        <v>1612</v>
      </c>
      <c r="C50" s="1424"/>
      <c r="D50" s="1424"/>
      <c r="E50" s="1424"/>
      <c r="J50" s="607"/>
      <c r="K50" s="608"/>
      <c r="L50" s="608"/>
      <c r="M50" s="608"/>
      <c r="N50" s="608"/>
      <c r="O50" s="608"/>
      <c r="U50" s="3" t="s">
        <v>1613</v>
      </c>
      <c r="V50" s="3">
        <f>1516+192+591+42+18+11+216+18+73</f>
        <v>2677</v>
      </c>
      <c r="AD50" s="3"/>
    </row>
    <row r="51" spans="2:30" ht="15" thickBot="1">
      <c r="B51" s="606" t="s">
        <v>1614</v>
      </c>
      <c r="C51" s="203"/>
      <c r="D51" s="203"/>
      <c r="E51" s="203"/>
      <c r="F51" s="203"/>
      <c r="G51" s="203"/>
      <c r="J51" s="610"/>
      <c r="K51" s="611"/>
      <c r="L51" s="612"/>
      <c r="M51" s="613"/>
      <c r="N51" s="612"/>
      <c r="O51" s="614"/>
      <c r="U51" s="3" t="s">
        <v>1615</v>
      </c>
      <c r="V51" s="3">
        <f>10+10</f>
        <v>20</v>
      </c>
      <c r="AD51" s="3"/>
    </row>
    <row r="52" spans="2:30" ht="25.5" customHeight="1" thickBot="1">
      <c r="B52" s="1425" t="s">
        <v>1616</v>
      </c>
      <c r="C52" s="1430" t="s">
        <v>1617</v>
      </c>
      <c r="D52" s="1421" t="s">
        <v>1618</v>
      </c>
      <c r="E52" s="1422"/>
      <c r="F52" s="1421" t="s">
        <v>1619</v>
      </c>
      <c r="G52" s="1422"/>
      <c r="J52" s="610"/>
      <c r="K52" s="611"/>
      <c r="L52" s="612"/>
      <c r="M52" s="613"/>
      <c r="N52" s="612"/>
      <c r="O52" s="614"/>
      <c r="U52" s="1420" t="s">
        <v>1620</v>
      </c>
      <c r="V52" s="326">
        <f>V51/V50</f>
        <v>7.4710496824803886E-3</v>
      </c>
      <c r="AD52" s="3"/>
    </row>
    <row r="53" spans="2:30" ht="13.5" thickBot="1">
      <c r="B53" s="1426"/>
      <c r="C53" s="1431"/>
      <c r="D53" s="615" t="s">
        <v>1479</v>
      </c>
      <c r="E53" s="615" t="s">
        <v>132</v>
      </c>
      <c r="F53" s="615" t="s">
        <v>1479</v>
      </c>
      <c r="G53" s="615" t="s">
        <v>132</v>
      </c>
      <c r="J53" s="610"/>
      <c r="K53" s="611"/>
      <c r="L53" s="612"/>
      <c r="M53" s="613"/>
      <c r="N53" s="612"/>
      <c r="O53" s="614"/>
      <c r="U53" s="1420"/>
      <c r="V53" s="326"/>
      <c r="AD53" s="3"/>
    </row>
    <row r="54" spans="2:30" ht="13.5" thickBot="1">
      <c r="B54" s="616" t="s">
        <v>1621</v>
      </c>
      <c r="C54" s="617">
        <v>23850</v>
      </c>
      <c r="D54" s="617">
        <v>1013706</v>
      </c>
      <c r="E54" s="618">
        <v>164.21</v>
      </c>
      <c r="F54" s="617">
        <v>17169164</v>
      </c>
      <c r="G54" s="618">
        <v>2857.56</v>
      </c>
      <c r="J54" s="610"/>
      <c r="K54" s="611"/>
      <c r="L54" s="612"/>
      <c r="M54" s="614"/>
      <c r="N54" s="612"/>
      <c r="O54" s="614"/>
      <c r="V54" s="326"/>
      <c r="AD54" s="3"/>
    </row>
    <row r="55" spans="2:30" ht="13.5" thickBot="1">
      <c r="B55" s="616" t="s">
        <v>1622</v>
      </c>
      <c r="C55" s="617">
        <v>97314</v>
      </c>
      <c r="D55" s="617">
        <v>3906424</v>
      </c>
      <c r="E55" s="618">
        <v>664.8</v>
      </c>
      <c r="F55" s="617">
        <v>67059115</v>
      </c>
      <c r="G55" s="619">
        <v>11524.05</v>
      </c>
      <c r="J55" s="610"/>
      <c r="K55" s="611"/>
      <c r="L55" s="612"/>
      <c r="M55" s="613"/>
      <c r="N55" s="612"/>
      <c r="O55" s="613"/>
      <c r="V55" s="326"/>
      <c r="AD55" s="3"/>
    </row>
    <row r="56" spans="2:30" ht="46.5" customHeight="1">
      <c r="B56" s="1424" t="s">
        <v>1623</v>
      </c>
      <c r="C56" s="1424"/>
      <c r="D56" s="1424"/>
      <c r="E56" s="1424"/>
      <c r="J56" s="610"/>
      <c r="K56" s="611"/>
      <c r="L56" s="612"/>
      <c r="M56" s="613"/>
      <c r="N56" s="612"/>
      <c r="O56" s="614"/>
      <c r="AD56" s="3"/>
    </row>
    <row r="57" spans="2:30">
      <c r="C57" s="324"/>
      <c r="J57" s="610"/>
      <c r="K57" s="611"/>
      <c r="L57" s="612"/>
      <c r="M57" s="613"/>
      <c r="N57" s="612"/>
      <c r="O57" s="613"/>
      <c r="AD57" s="3"/>
    </row>
    <row r="58" spans="2:30" ht="15" thickBot="1">
      <c r="B58" s="606" t="s">
        <v>1624</v>
      </c>
      <c r="C58" s="203"/>
      <c r="D58" s="203"/>
      <c r="E58" s="203"/>
      <c r="F58" s="203"/>
      <c r="G58" s="203"/>
      <c r="J58" s="610"/>
      <c r="K58" s="611"/>
      <c r="L58" s="612"/>
      <c r="M58" s="613"/>
      <c r="N58" s="612"/>
      <c r="O58" s="614"/>
      <c r="AD58" s="3"/>
    </row>
    <row r="59" spans="2:30" ht="78.5" thickBot="1">
      <c r="B59" s="1425" t="s">
        <v>1625</v>
      </c>
      <c r="C59" s="620" t="s">
        <v>1626</v>
      </c>
      <c r="D59" s="620" t="s">
        <v>1627</v>
      </c>
      <c r="E59" s="620" t="s">
        <v>1628</v>
      </c>
      <c r="F59" s="620" t="s">
        <v>1629</v>
      </c>
      <c r="G59" s="620" t="s">
        <v>1630</v>
      </c>
      <c r="I59" s="794" t="s">
        <v>1631</v>
      </c>
      <c r="J59" s="794">
        <v>2</v>
      </c>
      <c r="K59" s="611"/>
      <c r="L59" s="612"/>
      <c r="M59" s="613"/>
      <c r="N59" s="612"/>
      <c r="O59" s="614"/>
      <c r="AD59" s="3"/>
    </row>
    <row r="60" spans="2:30" ht="15" thickBot="1">
      <c r="B60" s="1426"/>
      <c r="C60" s="615" t="s">
        <v>1632</v>
      </c>
      <c r="D60" s="615" t="s">
        <v>1633</v>
      </c>
      <c r="E60" s="615" t="s">
        <v>1634</v>
      </c>
      <c r="F60" s="615" t="s">
        <v>1635</v>
      </c>
      <c r="G60" s="615" t="s">
        <v>1636</v>
      </c>
      <c r="I60" s="794" t="s">
        <v>1637</v>
      </c>
      <c r="J60" s="794">
        <f>C61/J59</f>
        <v>162450</v>
      </c>
      <c r="K60" s="611"/>
      <c r="L60" s="612"/>
      <c r="M60" s="613"/>
      <c r="N60" s="612"/>
      <c r="O60" s="613"/>
      <c r="AD60" s="3"/>
    </row>
    <row r="61" spans="2:30" ht="63" thickBot="1">
      <c r="B61" s="621" t="s">
        <v>1638</v>
      </c>
      <c r="C61" s="1427">
        <v>324900</v>
      </c>
      <c r="D61" s="622">
        <v>1.1599999999999999E-2</v>
      </c>
      <c r="E61" s="623">
        <v>2929</v>
      </c>
      <c r="F61" s="622">
        <v>0.11111</v>
      </c>
      <c r="G61" s="624">
        <v>418</v>
      </c>
      <c r="I61" s="794" t="s">
        <v>1639</v>
      </c>
      <c r="J61" s="794">
        <f>J60*D71</f>
        <v>1981.89</v>
      </c>
      <c r="K61" s="611" t="s">
        <v>1640</v>
      </c>
      <c r="L61" s="612"/>
      <c r="M61" s="613"/>
      <c r="N61" s="612"/>
      <c r="O61" s="614"/>
      <c r="AD61" s="3"/>
    </row>
    <row r="62" spans="2:30" ht="63" thickBot="1">
      <c r="B62" s="621" t="s">
        <v>1641</v>
      </c>
      <c r="C62" s="1428"/>
      <c r="D62" s="622">
        <v>8.9999999999999993E-3</v>
      </c>
      <c r="E62" s="623">
        <v>2929</v>
      </c>
      <c r="F62" s="622">
        <v>0.21429000000000001</v>
      </c>
      <c r="G62" s="624">
        <v>628</v>
      </c>
      <c r="I62" s="794" t="s">
        <v>1642</v>
      </c>
      <c r="J62" s="794">
        <f>J60*D70</f>
        <v>7212.7800000000007</v>
      </c>
      <c r="K62" s="611" t="s">
        <v>1640</v>
      </c>
      <c r="L62" s="612"/>
      <c r="M62" s="613"/>
      <c r="N62" s="612"/>
      <c r="O62" s="613"/>
      <c r="AD62" s="3"/>
    </row>
    <row r="63" spans="2:30" ht="63" thickBot="1">
      <c r="B63" s="621" t="s">
        <v>1643</v>
      </c>
      <c r="C63" s="1428"/>
      <c r="D63" s="622">
        <v>2.5100000000000001E-2</v>
      </c>
      <c r="E63" s="623">
        <v>8159</v>
      </c>
      <c r="F63" s="622">
        <v>0.10256</v>
      </c>
      <c r="G63" s="624">
        <v>837</v>
      </c>
      <c r="I63" s="794" t="s">
        <v>1589</v>
      </c>
      <c r="J63" s="794">
        <f>J60*D73</f>
        <v>942.20999999999992</v>
      </c>
      <c r="K63" s="611" t="s">
        <v>1640</v>
      </c>
      <c r="L63" s="612"/>
      <c r="M63" s="613"/>
      <c r="N63" s="612"/>
      <c r="O63" s="614"/>
      <c r="AD63" s="3"/>
    </row>
    <row r="64" spans="2:30" ht="13.5" thickBot="1">
      <c r="B64" s="621" t="s">
        <v>1644</v>
      </c>
      <c r="C64" s="1428"/>
      <c r="D64" s="622">
        <v>5.9999999999999995E-4</v>
      </c>
      <c r="E64" s="624">
        <v>209</v>
      </c>
      <c r="F64" s="622">
        <v>1</v>
      </c>
      <c r="G64" s="624">
        <v>209</v>
      </c>
      <c r="J64" s="610"/>
      <c r="K64" s="611"/>
      <c r="L64" s="612"/>
      <c r="M64" s="613"/>
      <c r="N64" s="612"/>
      <c r="O64" s="614"/>
      <c r="AD64" s="3"/>
    </row>
    <row r="65" spans="2:30" ht="13.5" thickBot="1">
      <c r="B65" s="621" t="s">
        <v>1645</v>
      </c>
      <c r="C65" s="1428"/>
      <c r="D65" s="622">
        <v>2.8299999999999999E-2</v>
      </c>
      <c r="E65" s="623">
        <v>9205</v>
      </c>
      <c r="F65" s="622">
        <v>0.27272999999999997</v>
      </c>
      <c r="G65" s="623">
        <v>2510</v>
      </c>
      <c r="J65" s="610"/>
      <c r="K65" s="611"/>
      <c r="L65" s="612"/>
      <c r="M65" s="613"/>
      <c r="N65" s="612"/>
      <c r="O65" s="614"/>
      <c r="AD65" s="3"/>
    </row>
    <row r="66" spans="2:30" ht="13.5" thickBot="1">
      <c r="B66" s="621" t="s">
        <v>877</v>
      </c>
      <c r="C66" s="1428"/>
      <c r="D66" s="622">
        <v>8.3999999999999995E-3</v>
      </c>
      <c r="E66" s="623">
        <v>2720</v>
      </c>
      <c r="F66" s="622">
        <v>7.6920000000000002E-2</v>
      </c>
      <c r="G66" s="624">
        <v>209</v>
      </c>
      <c r="J66" s="607"/>
      <c r="K66" s="625"/>
      <c r="L66" s="626"/>
      <c r="M66" s="625"/>
      <c r="N66" s="626"/>
      <c r="O66" s="625"/>
      <c r="AD66" s="3"/>
    </row>
    <row r="67" spans="2:30" ht="13.5" thickBot="1">
      <c r="B67" s="621" t="s">
        <v>989</v>
      </c>
      <c r="C67" s="1428"/>
      <c r="D67" s="622">
        <v>2.06E-2</v>
      </c>
      <c r="E67" s="623">
        <v>6695</v>
      </c>
      <c r="F67" s="622">
        <v>0.28125</v>
      </c>
      <c r="G67" s="623">
        <v>1883</v>
      </c>
      <c r="J67" s="607"/>
      <c r="K67" s="625"/>
      <c r="L67" s="626"/>
      <c r="M67" s="625"/>
      <c r="N67" s="626"/>
      <c r="O67" s="625"/>
      <c r="AD67" s="3"/>
    </row>
    <row r="68" spans="2:30" ht="13.5" thickBot="1">
      <c r="B68" s="621" t="s">
        <v>1646</v>
      </c>
      <c r="C68" s="1428"/>
      <c r="D68" s="622">
        <v>4.5699999999999998E-2</v>
      </c>
      <c r="E68" s="623">
        <v>14854</v>
      </c>
      <c r="F68" s="622">
        <v>0</v>
      </c>
      <c r="G68" s="624">
        <v>0</v>
      </c>
      <c r="J68" s="607"/>
      <c r="K68" s="625"/>
      <c r="L68" s="626"/>
      <c r="M68" s="625"/>
      <c r="N68" s="626"/>
      <c r="O68" s="625"/>
      <c r="AD68" s="3"/>
    </row>
    <row r="69" spans="2:30" ht="13.5" thickBot="1">
      <c r="B69" s="621" t="s">
        <v>864</v>
      </c>
      <c r="C69" s="1428"/>
      <c r="D69" s="622">
        <v>9.7000000000000003E-3</v>
      </c>
      <c r="E69" s="623">
        <v>3138</v>
      </c>
      <c r="F69" s="622">
        <v>0.13333</v>
      </c>
      <c r="G69" s="624">
        <v>418</v>
      </c>
      <c r="J69" s="607"/>
      <c r="K69" s="625"/>
      <c r="L69" s="626"/>
      <c r="M69" s="625"/>
      <c r="N69" s="626"/>
      <c r="O69" s="625"/>
      <c r="AD69" s="3"/>
    </row>
    <row r="70" spans="2:30" ht="13.5" thickBot="1">
      <c r="B70" s="627" t="s">
        <v>1647</v>
      </c>
      <c r="C70" s="1428"/>
      <c r="D70" s="628">
        <v>4.4400000000000002E-2</v>
      </c>
      <c r="E70" s="629">
        <v>14435</v>
      </c>
      <c r="F70" s="628">
        <v>0.26086999999999999</v>
      </c>
      <c r="G70" s="629">
        <v>15063</v>
      </c>
      <c r="J70" s="607"/>
      <c r="K70" s="625"/>
      <c r="L70" s="626"/>
      <c r="M70" s="625"/>
      <c r="N70" s="626"/>
      <c r="O70" s="625"/>
      <c r="AD70" s="3"/>
    </row>
    <row r="71" spans="2:30" ht="13.5" thickBot="1">
      <c r="B71" s="627" t="s">
        <v>1648</v>
      </c>
      <c r="C71" s="1428"/>
      <c r="D71" s="628">
        <v>1.2200000000000001E-2</v>
      </c>
      <c r="E71" s="629">
        <v>3975</v>
      </c>
      <c r="F71" s="628">
        <v>0</v>
      </c>
      <c r="G71" s="630">
        <v>0</v>
      </c>
      <c r="J71" s="607"/>
      <c r="K71" s="625"/>
      <c r="L71" s="626"/>
      <c r="M71" s="625"/>
      <c r="N71" s="626"/>
      <c r="O71" s="625"/>
      <c r="AD71" s="3"/>
    </row>
    <row r="72" spans="2:30" ht="13.5" thickBot="1">
      <c r="B72" s="621" t="s">
        <v>858</v>
      </c>
      <c r="C72" s="1428"/>
      <c r="D72" s="622">
        <v>3.09E-2</v>
      </c>
      <c r="E72" s="623">
        <v>10042</v>
      </c>
      <c r="F72" s="622">
        <v>0.125</v>
      </c>
      <c r="G72" s="623">
        <v>1255</v>
      </c>
      <c r="J72" s="607"/>
      <c r="K72" s="625"/>
      <c r="L72" s="626"/>
      <c r="M72" s="625"/>
      <c r="N72" s="626"/>
      <c r="O72" s="625"/>
      <c r="AD72" s="3"/>
    </row>
    <row r="73" spans="2:30" ht="13.5" thickBot="1">
      <c r="B73" s="627" t="s">
        <v>1649</v>
      </c>
      <c r="C73" s="1428"/>
      <c r="D73" s="628">
        <v>5.7999999999999996E-3</v>
      </c>
      <c r="E73" s="629">
        <v>1883</v>
      </c>
      <c r="F73" s="628">
        <v>0.22222</v>
      </c>
      <c r="G73" s="630">
        <v>418</v>
      </c>
      <c r="J73" s="607"/>
      <c r="K73" s="625"/>
      <c r="L73" s="626"/>
      <c r="M73" s="625"/>
      <c r="N73" s="626"/>
      <c r="O73" s="625"/>
      <c r="AD73" s="3"/>
    </row>
    <row r="74" spans="2:30" ht="13.5" thickBot="1">
      <c r="B74" s="621" t="s">
        <v>1650</v>
      </c>
      <c r="C74" s="1428"/>
      <c r="D74" s="622">
        <v>5.7999999999999996E-3</v>
      </c>
      <c r="E74" s="623">
        <v>1883</v>
      </c>
      <c r="F74" s="622">
        <v>0</v>
      </c>
      <c r="G74" s="624">
        <v>0</v>
      </c>
      <c r="J74" s="607"/>
      <c r="K74" s="625"/>
      <c r="L74" s="626"/>
      <c r="M74" s="625"/>
      <c r="N74" s="626"/>
      <c r="O74" s="625"/>
      <c r="AD74" s="3"/>
    </row>
    <row r="75" spans="2:30" ht="13.5" thickBot="1">
      <c r="B75" s="621" t="s">
        <v>1651</v>
      </c>
      <c r="C75" s="1429"/>
      <c r="D75" s="622">
        <v>3.8999999999999998E-3</v>
      </c>
      <c r="E75" s="623">
        <v>1255</v>
      </c>
      <c r="F75" s="622">
        <v>0</v>
      </c>
      <c r="G75" s="624">
        <v>0</v>
      </c>
      <c r="J75" s="607"/>
      <c r="K75" s="625"/>
      <c r="L75" s="626"/>
      <c r="M75" s="625"/>
      <c r="N75" s="626"/>
      <c r="O75" s="625"/>
      <c r="AD75" s="3"/>
    </row>
    <row r="76" spans="2:30" ht="13.5" thickBot="1">
      <c r="B76" s="616" t="s">
        <v>1652</v>
      </c>
      <c r="C76" s="617">
        <v>324900</v>
      </c>
      <c r="D76" s="631">
        <v>0.2621</v>
      </c>
      <c r="E76" s="617">
        <v>85148</v>
      </c>
      <c r="F76" s="631">
        <v>0.14742</v>
      </c>
      <c r="G76" s="617">
        <v>23850</v>
      </c>
      <c r="J76" s="607"/>
      <c r="K76" s="625"/>
      <c r="L76" s="626"/>
      <c r="M76" s="625"/>
      <c r="N76" s="626"/>
      <c r="O76" s="625"/>
      <c r="AD76" s="3"/>
    </row>
    <row r="77" spans="2:30">
      <c r="C77" s="324"/>
      <c r="J77" s="607"/>
      <c r="K77" s="625"/>
      <c r="L77" s="626"/>
      <c r="M77" s="625"/>
      <c r="N77" s="626"/>
      <c r="O77" s="625"/>
      <c r="AD77" s="3"/>
    </row>
    <row r="78" spans="2:30">
      <c r="C78" s="324"/>
      <c r="J78" s="607"/>
      <c r="K78" s="625"/>
      <c r="L78" s="626"/>
      <c r="M78" s="625"/>
      <c r="N78" s="626"/>
      <c r="O78" s="625"/>
      <c r="AD78" s="3"/>
    </row>
    <row r="79" spans="2:30">
      <c r="C79" s="324"/>
      <c r="J79" s="607"/>
      <c r="K79" s="625"/>
      <c r="L79" s="626"/>
      <c r="M79" s="625"/>
      <c r="N79" s="626"/>
      <c r="O79" s="625"/>
      <c r="AD79" s="3"/>
    </row>
    <row r="80" spans="2:30">
      <c r="C80" s="324"/>
      <c r="J80" s="607"/>
      <c r="K80" s="625"/>
      <c r="L80" s="626"/>
      <c r="M80" s="625"/>
      <c r="N80" s="626"/>
      <c r="O80" s="625"/>
      <c r="AD80" s="3"/>
    </row>
    <row r="81" spans="1:146">
      <c r="C81" s="324"/>
      <c r="J81" s="607"/>
      <c r="K81" s="625"/>
      <c r="L81" s="626"/>
      <c r="M81" s="625"/>
      <c r="N81" s="626"/>
      <c r="O81" s="625"/>
      <c r="AD81" s="3"/>
    </row>
    <row r="82" spans="1:146">
      <c r="C82" s="324"/>
      <c r="J82" s="607"/>
      <c r="K82" s="625"/>
      <c r="L82" s="626"/>
      <c r="M82" s="625"/>
      <c r="N82" s="626"/>
      <c r="O82" s="625"/>
      <c r="AD82" s="3"/>
    </row>
    <row r="83" spans="1:146">
      <c r="C83" s="324"/>
      <c r="J83" s="607"/>
      <c r="K83" s="625"/>
      <c r="L83" s="626"/>
      <c r="M83" s="625"/>
      <c r="N83" s="626"/>
      <c r="O83" s="625"/>
      <c r="AD83" s="3"/>
    </row>
    <row r="84" spans="1:146">
      <c r="C84" s="324"/>
      <c r="J84" s="607"/>
      <c r="K84" s="625"/>
      <c r="L84" s="626"/>
      <c r="M84" s="625"/>
      <c r="N84" s="626"/>
      <c r="O84" s="625"/>
      <c r="AD84" s="3"/>
    </row>
    <row r="85" spans="1:146">
      <c r="C85" s="324"/>
      <c r="J85" s="607"/>
      <c r="K85" s="625"/>
      <c r="L85" s="626"/>
      <c r="M85" s="625"/>
      <c r="N85" s="626"/>
      <c r="O85" s="625"/>
      <c r="AD85" s="3"/>
    </row>
    <row r="86" spans="1:146">
      <c r="C86" s="324"/>
      <c r="J86" s="607"/>
      <c r="K86" s="625"/>
      <c r="L86" s="626"/>
      <c r="M86" s="625"/>
      <c r="N86" s="626"/>
      <c r="O86" s="625"/>
      <c r="AD86" s="3"/>
    </row>
    <row r="87" spans="1:146" ht="14.5">
      <c r="A87" s="203"/>
      <c r="B87" s="203"/>
      <c r="C87" s="203"/>
      <c r="D87" s="203"/>
    </row>
    <row r="88" spans="1:146" ht="14.5">
      <c r="A88" s="203"/>
      <c r="B88" s="203" t="s">
        <v>431</v>
      </c>
      <c r="C88" s="203"/>
      <c r="D88" s="203"/>
      <c r="W88" s="18"/>
    </row>
    <row r="89" spans="1:146">
      <c r="Q89" s="140"/>
      <c r="R89" s="140"/>
      <c r="S89" s="140"/>
      <c r="T89" s="155"/>
      <c r="U89" s="2"/>
      <c r="W89" s="18"/>
      <c r="X89" s="2"/>
      <c r="Y89" s="2"/>
      <c r="Z89" s="2"/>
      <c r="AA89" s="2"/>
      <c r="AB89" s="2"/>
      <c r="AC89" s="2"/>
    </row>
    <row r="90" spans="1:146">
      <c r="Q90" s="140"/>
      <c r="S90" s="140"/>
      <c r="T90" s="2"/>
      <c r="U90" s="2"/>
      <c r="W90" s="18"/>
      <c r="X90" s="2"/>
      <c r="Y90" s="2"/>
      <c r="Z90" s="2"/>
      <c r="AA90" s="2"/>
      <c r="AB90" s="2"/>
      <c r="AC90" s="2"/>
    </row>
    <row r="91" spans="1:146">
      <c r="Q91" s="141"/>
      <c r="S91" s="142"/>
      <c r="T91" s="2"/>
      <c r="U91" s="2"/>
      <c r="W91" s="18"/>
      <c r="X91" s="2"/>
      <c r="Y91" s="2"/>
      <c r="Z91" s="2"/>
      <c r="AA91" s="2"/>
      <c r="AB91" s="2"/>
      <c r="AC91" s="2"/>
    </row>
    <row r="92" spans="1:146" ht="14.5">
      <c r="B92" s="632" t="s">
        <v>436</v>
      </c>
      <c r="E92" s="632" t="s">
        <v>437</v>
      </c>
      <c r="T92" s="2"/>
      <c r="U92" s="2"/>
      <c r="W92" s="633"/>
      <c r="X92" s="2"/>
      <c r="Y92" s="2"/>
      <c r="Z92" s="2"/>
      <c r="AA92" s="2"/>
      <c r="AB92" s="2"/>
      <c r="AC92" s="2"/>
    </row>
    <row r="93" spans="1:146" s="3" customFormat="1" ht="14.5">
      <c r="B93" s="547" t="s">
        <v>439</v>
      </c>
      <c r="E93" s="547" t="s">
        <v>440</v>
      </c>
      <c r="G93" s="2"/>
      <c r="H93" s="2"/>
      <c r="I93" s="2"/>
      <c r="J93" s="2"/>
      <c r="K93" s="2"/>
      <c r="L93" s="2"/>
      <c r="M93" s="2"/>
      <c r="N93" s="2"/>
      <c r="O93" s="2"/>
      <c r="P93" s="2"/>
      <c r="Q93" s="2"/>
      <c r="R93" s="2"/>
      <c r="S93" s="2"/>
      <c r="W93" s="633"/>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row>
    <row r="94" spans="1:146" s="3" customFormat="1">
      <c r="G94" s="2"/>
      <c r="H94" s="2"/>
      <c r="I94" s="2"/>
      <c r="J94" s="2"/>
      <c r="K94" s="2"/>
      <c r="L94" s="2"/>
      <c r="M94" s="2"/>
      <c r="N94" s="2"/>
      <c r="O94" s="2"/>
      <c r="P94" s="2"/>
      <c r="Q94" s="2"/>
      <c r="R94" s="2"/>
      <c r="S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row>
    <row r="95" spans="1:146">
      <c r="T95" s="2"/>
      <c r="U95" s="2"/>
      <c r="X95" s="2"/>
      <c r="Y95" s="2"/>
      <c r="Z95" s="2"/>
      <c r="AA95" s="2"/>
      <c r="AB95" s="2"/>
      <c r="AC95" s="2"/>
    </row>
    <row r="96" spans="1:146">
      <c r="X96" s="2"/>
      <c r="Y96" s="2"/>
      <c r="Z96" s="2"/>
      <c r="AA96" s="2"/>
      <c r="AB96" s="2"/>
      <c r="AC96" s="2"/>
    </row>
    <row r="97" spans="1:23" s="2" customFormat="1">
      <c r="T97" s="3"/>
      <c r="U97" s="3"/>
      <c r="V97" s="3"/>
      <c r="W97" s="3"/>
    </row>
    <row r="98" spans="1:23" s="2" customFormat="1">
      <c r="B98" s="3"/>
      <c r="C98" s="3"/>
      <c r="D98" s="3"/>
      <c r="E98" s="3"/>
      <c r="F98" s="3"/>
      <c r="T98" s="3"/>
      <c r="U98" s="3"/>
      <c r="V98" s="3"/>
      <c r="W98" s="3"/>
    </row>
    <row r="99" spans="1:23" s="2" customFormat="1">
      <c r="B99" s="3"/>
      <c r="C99" s="542"/>
      <c r="D99" s="542"/>
      <c r="E99" s="1310"/>
      <c r="F99" s="402"/>
      <c r="T99" s="3"/>
      <c r="U99" s="3"/>
      <c r="V99" s="3"/>
      <c r="W99" s="3"/>
    </row>
    <row r="100" spans="1:23" s="2" customFormat="1">
      <c r="B100" s="3"/>
      <c r="C100" s="103"/>
      <c r="D100" s="3"/>
      <c r="E100" s="3"/>
      <c r="F100" s="3"/>
      <c r="T100" s="3"/>
      <c r="U100" s="3"/>
      <c r="V100" s="3"/>
      <c r="W100" s="3"/>
    </row>
    <row r="101" spans="1:23" s="2" customFormat="1">
      <c r="T101" s="3"/>
      <c r="U101" s="3"/>
      <c r="V101" s="3"/>
      <c r="W101" s="3"/>
    </row>
    <row r="102" spans="1:23" s="2" customFormat="1">
      <c r="T102" s="3"/>
      <c r="U102" s="3"/>
      <c r="V102" s="3"/>
      <c r="W102" s="3"/>
    </row>
    <row r="103" spans="1:23" s="2" customFormat="1">
      <c r="B103" s="1311"/>
      <c r="C103" s="1311"/>
      <c r="D103" s="1311"/>
      <c r="E103" s="1311"/>
      <c r="F103" s="1311"/>
      <c r="G103" s="1311"/>
      <c r="H103" s="1311"/>
      <c r="T103" s="3"/>
      <c r="U103" s="3"/>
      <c r="V103" s="3"/>
      <c r="W103" s="3"/>
    </row>
    <row r="104" spans="1:23" s="2" customFormat="1">
      <c r="B104" s="637"/>
      <c r="C104" s="1309"/>
      <c r="D104" s="1309"/>
      <c r="E104" s="1309"/>
      <c r="F104" s="131"/>
      <c r="G104" s="268"/>
      <c r="H104" s="1312"/>
      <c r="T104" s="3"/>
      <c r="U104" s="3"/>
      <c r="V104" s="3"/>
      <c r="W104" s="3"/>
    </row>
    <row r="105" spans="1:23" s="2" customFormat="1">
      <c r="B105" s="637"/>
      <c r="C105" s="131"/>
      <c r="D105" s="131"/>
      <c r="E105" s="131"/>
      <c r="F105" s="131"/>
      <c r="G105" s="268"/>
      <c r="H105" s="1312"/>
      <c r="T105" s="3"/>
      <c r="U105" s="3"/>
      <c r="V105" s="3"/>
      <c r="W105" s="3"/>
    </row>
    <row r="106" spans="1:23" s="2" customFormat="1">
      <c r="T106" s="3"/>
      <c r="U106" s="3"/>
      <c r="V106" s="3"/>
      <c r="W106" s="3"/>
    </row>
    <row r="107" spans="1:23" s="2" customFormat="1">
      <c r="T107" s="3"/>
      <c r="U107" s="3"/>
      <c r="V107" s="3"/>
      <c r="W107" s="3"/>
    </row>
    <row r="108" spans="1:23" s="2" customFormat="1">
      <c r="T108" s="3"/>
      <c r="U108" s="3"/>
      <c r="V108" s="3"/>
      <c r="W108" s="3"/>
    </row>
    <row r="109" spans="1:23" s="2" customFormat="1">
      <c r="A109" s="18" t="s">
        <v>334</v>
      </c>
      <c r="B109" s="3"/>
      <c r="T109" s="3"/>
      <c r="U109" s="3"/>
      <c r="V109" s="3"/>
      <c r="W109" s="3"/>
    </row>
    <row r="110" spans="1:23" s="2" customFormat="1">
      <c r="A110" s="20">
        <v>1</v>
      </c>
      <c r="B110" s="19" t="s">
        <v>444</v>
      </c>
      <c r="T110" s="3"/>
      <c r="U110" s="3"/>
      <c r="V110" s="3"/>
      <c r="W110" s="3"/>
    </row>
    <row r="111" spans="1:23" s="2" customFormat="1">
      <c r="A111" s="20">
        <v>2</v>
      </c>
      <c r="B111" s="18" t="s">
        <v>445</v>
      </c>
      <c r="T111" s="3"/>
      <c r="U111" s="3"/>
      <c r="V111" s="3"/>
      <c r="W111" s="3"/>
    </row>
    <row r="112" spans="1:23" s="2" customFormat="1">
      <c r="A112" s="20">
        <v>3</v>
      </c>
      <c r="B112" s="19" t="s">
        <v>446</v>
      </c>
      <c r="T112" s="3"/>
      <c r="U112" s="3"/>
      <c r="V112" s="3"/>
      <c r="W112" s="3"/>
    </row>
    <row r="113" spans="1:23" s="2" customFormat="1">
      <c r="A113" s="2">
        <v>4</v>
      </c>
      <c r="B113" s="2" t="s">
        <v>447</v>
      </c>
      <c r="T113" s="3"/>
      <c r="U113" s="3"/>
      <c r="V113" s="3"/>
      <c r="W113" s="3"/>
    </row>
    <row r="114" spans="1:23" s="2" customFormat="1">
      <c r="A114" s="2">
        <v>5</v>
      </c>
      <c r="B114" s="2" t="s">
        <v>448</v>
      </c>
      <c r="T114" s="3"/>
      <c r="U114" s="3"/>
      <c r="V114" s="3"/>
      <c r="W114" s="3"/>
    </row>
    <row r="115" spans="1:23" s="2" customFormat="1">
      <c r="T115" s="3"/>
      <c r="U115" s="3"/>
      <c r="V115" s="3"/>
      <c r="W115" s="3"/>
    </row>
    <row r="116" spans="1:23" s="2" customFormat="1">
      <c r="T116" s="3"/>
      <c r="U116" s="3"/>
      <c r="V116" s="3"/>
      <c r="W116" s="3"/>
    </row>
    <row r="117" spans="1:23" s="2" customFormat="1">
      <c r="T117" s="3"/>
      <c r="U117" s="3"/>
      <c r="V117" s="3"/>
      <c r="W117" s="3"/>
    </row>
    <row r="118" spans="1:23" s="2" customFormat="1">
      <c r="T118" s="3"/>
      <c r="U118" s="3"/>
      <c r="V118" s="3"/>
      <c r="W118" s="3"/>
    </row>
    <row r="119" spans="1:23" s="2" customFormat="1">
      <c r="T119" s="3"/>
      <c r="U119" s="3"/>
      <c r="V119" s="3"/>
      <c r="W119" s="3"/>
    </row>
    <row r="120" spans="1:23" s="2" customFormat="1">
      <c r="T120" s="3"/>
      <c r="U120" s="3"/>
      <c r="V120" s="3"/>
      <c r="W120" s="3"/>
    </row>
    <row r="121" spans="1:23" s="2" customFormat="1">
      <c r="T121" s="3"/>
      <c r="U121" s="3"/>
      <c r="V121" s="3"/>
      <c r="W121" s="3"/>
    </row>
    <row r="122" spans="1:23" s="2" customFormat="1">
      <c r="T122" s="3"/>
      <c r="U122" s="3"/>
      <c r="V122" s="3"/>
      <c r="W122" s="3"/>
    </row>
    <row r="123" spans="1:23" s="2" customFormat="1">
      <c r="T123" s="3"/>
      <c r="U123" s="3"/>
      <c r="V123" s="3"/>
      <c r="W123" s="3"/>
    </row>
    <row r="124" spans="1:23" s="2" customFormat="1" ht="14.5">
      <c r="E124" s="632" t="s">
        <v>449</v>
      </c>
      <c r="T124" s="3"/>
      <c r="U124" s="3"/>
      <c r="V124" s="3"/>
      <c r="W124" s="3"/>
    </row>
    <row r="125" spans="1:23" s="2" customFormat="1" ht="14.5">
      <c r="E125" s="547" t="s">
        <v>440</v>
      </c>
      <c r="T125" s="3"/>
      <c r="U125" s="3"/>
      <c r="V125" s="3"/>
      <c r="W125" s="3"/>
    </row>
    <row r="126" spans="1:23" s="2" customFormat="1">
      <c r="T126" s="3"/>
      <c r="U126" s="3"/>
      <c r="V126" s="3"/>
      <c r="W126" s="3"/>
    </row>
    <row r="127" spans="1:23" s="2" customFormat="1">
      <c r="T127" s="3"/>
      <c r="U127" s="3"/>
      <c r="V127" s="3"/>
      <c r="W127" s="3"/>
    </row>
    <row r="128" spans="1:23" s="2" customFormat="1">
      <c r="T128" s="3"/>
      <c r="U128" s="3"/>
      <c r="V128" s="3"/>
      <c r="W128" s="3"/>
    </row>
    <row r="129" spans="6:23" s="2" customFormat="1">
      <c r="T129" s="3"/>
      <c r="U129" s="3"/>
      <c r="V129" s="3"/>
      <c r="W129" s="3"/>
    </row>
    <row r="130" spans="6:23" s="2" customFormat="1">
      <c r="T130" s="3"/>
      <c r="U130" s="3"/>
      <c r="V130" s="3"/>
      <c r="W130" s="3"/>
    </row>
    <row r="131" spans="6:23" s="2" customFormat="1">
      <c r="T131" s="3"/>
      <c r="U131" s="3"/>
      <c r="V131" s="3"/>
      <c r="W131" s="3"/>
    </row>
    <row r="132" spans="6:23" s="2" customFormat="1">
      <c r="T132" s="3"/>
      <c r="U132" s="3"/>
      <c r="V132" s="3"/>
      <c r="W132" s="3"/>
    </row>
    <row r="133" spans="6:23" s="2" customFormat="1">
      <c r="T133" s="3"/>
      <c r="U133" s="3"/>
      <c r="V133" s="3"/>
      <c r="W133" s="3"/>
    </row>
    <row r="134" spans="6:23" s="2" customFormat="1">
      <c r="T134" s="3"/>
      <c r="U134" s="3"/>
      <c r="V134" s="3"/>
      <c r="W134" s="3"/>
    </row>
    <row r="135" spans="6:23" s="2" customFormat="1">
      <c r="T135" s="3"/>
      <c r="U135" s="3"/>
      <c r="V135" s="3"/>
      <c r="W135" s="3"/>
    </row>
    <row r="136" spans="6:23" s="2" customFormat="1">
      <c r="T136" s="3"/>
      <c r="U136" s="3"/>
      <c r="V136" s="3"/>
      <c r="W136" s="3"/>
    </row>
    <row r="137" spans="6:23" s="2" customFormat="1">
      <c r="T137" s="3"/>
      <c r="U137" s="3"/>
      <c r="V137" s="3"/>
      <c r="W137" s="3"/>
    </row>
    <row r="138" spans="6:23" s="2" customFormat="1">
      <c r="T138" s="3"/>
      <c r="U138" s="3"/>
      <c r="V138" s="3"/>
      <c r="W138" s="3"/>
    </row>
    <row r="139" spans="6:23" s="2" customFormat="1">
      <c r="T139" s="3"/>
      <c r="U139" s="3"/>
      <c r="V139" s="3"/>
      <c r="W139" s="3"/>
    </row>
    <row r="140" spans="6:23" s="2" customFormat="1">
      <c r="J140" s="2" t="s">
        <v>450</v>
      </c>
      <c r="T140" s="3"/>
      <c r="U140" s="3"/>
      <c r="V140" s="3"/>
      <c r="W140" s="3"/>
    </row>
    <row r="141" spans="6:23" s="2" customFormat="1">
      <c r="H141" s="2" t="s">
        <v>451</v>
      </c>
      <c r="I141" s="2" t="s">
        <v>452</v>
      </c>
      <c r="J141" s="2">
        <v>2023</v>
      </c>
      <c r="K141" s="2">
        <v>2024</v>
      </c>
      <c r="L141" s="2">
        <v>2025</v>
      </c>
      <c r="M141" s="2">
        <v>2026</v>
      </c>
      <c r="N141" s="2">
        <v>2027</v>
      </c>
      <c r="O141" s="2">
        <v>2028</v>
      </c>
      <c r="P141" s="2">
        <v>2029</v>
      </c>
      <c r="T141" s="3"/>
      <c r="U141" s="3"/>
      <c r="V141" s="3"/>
      <c r="W141" s="3"/>
    </row>
    <row r="142" spans="6:23" s="2" customFormat="1" ht="14.5">
      <c r="F142" s="791" t="s">
        <v>453</v>
      </c>
      <c r="G142" s="792">
        <f>5178+69655+263725</f>
        <v>338558</v>
      </c>
      <c r="H142" s="793">
        <v>0.1</v>
      </c>
      <c r="I142" s="792">
        <f>G142*(1-H142)</f>
        <v>304702.2</v>
      </c>
      <c r="J142" s="267">
        <f>G142*H142</f>
        <v>33855.800000000003</v>
      </c>
      <c r="K142" s="267">
        <f t="shared" ref="K142:P144" si="372">J142*3.3%+J142</f>
        <v>34973.041400000002</v>
      </c>
      <c r="L142" s="214">
        <f t="shared" si="372"/>
        <v>36127.151766200004</v>
      </c>
      <c r="M142" s="214">
        <f t="shared" si="372"/>
        <v>37319.347774484602</v>
      </c>
      <c r="N142" s="214">
        <f t="shared" si="372"/>
        <v>38550.886251042597</v>
      </c>
      <c r="O142" s="214">
        <f t="shared" si="372"/>
        <v>39823.065497326999</v>
      </c>
      <c r="P142" s="214">
        <f t="shared" si="372"/>
        <v>41137.226658738793</v>
      </c>
      <c r="T142" s="3"/>
      <c r="U142" s="3"/>
      <c r="V142" s="3"/>
      <c r="W142" s="3"/>
    </row>
    <row r="143" spans="6:23" s="2" customFormat="1" ht="14.5">
      <c r="F143" s="794" t="s">
        <v>454</v>
      </c>
      <c r="G143" s="792">
        <f>G142*0.712</f>
        <v>241053.296</v>
      </c>
      <c r="H143" s="793">
        <v>0.1</v>
      </c>
      <c r="I143" s="792">
        <f>G143*(1-H143)</f>
        <v>216947.9664</v>
      </c>
      <c r="J143" s="214">
        <f>G143*H143</f>
        <v>24105.329600000001</v>
      </c>
      <c r="K143" s="214">
        <f t="shared" si="372"/>
        <v>24900.8054768</v>
      </c>
      <c r="L143" s="214">
        <f t="shared" si="372"/>
        <v>25722.532057534401</v>
      </c>
      <c r="M143" s="214">
        <f t="shared" si="372"/>
        <v>26571.375615433037</v>
      </c>
      <c r="N143" s="214">
        <f t="shared" si="372"/>
        <v>27448.231010742325</v>
      </c>
      <c r="O143" s="214">
        <f t="shared" si="372"/>
        <v>28354.022634096822</v>
      </c>
      <c r="P143" s="214">
        <f t="shared" si="372"/>
        <v>29289.705381022017</v>
      </c>
      <c r="T143" s="3"/>
      <c r="U143" s="3"/>
      <c r="V143" s="3"/>
      <c r="W143" s="3"/>
    </row>
    <row r="144" spans="6:23" s="2" customFormat="1" ht="14.5">
      <c r="F144" s="794" t="s">
        <v>455</v>
      </c>
      <c r="G144" s="792">
        <f>G142*0.234</f>
        <v>79222.572</v>
      </c>
      <c r="H144" s="793">
        <v>0.1</v>
      </c>
      <c r="I144" s="792">
        <f>G144*(1-H144)</f>
        <v>71300.314800000007</v>
      </c>
      <c r="J144" s="214">
        <f>G144*H144</f>
        <v>7922.2572</v>
      </c>
      <c r="K144" s="214">
        <f t="shared" si="372"/>
        <v>8183.6916875999996</v>
      </c>
      <c r="L144" s="214">
        <f t="shared" si="372"/>
        <v>8453.7535132907997</v>
      </c>
      <c r="M144" s="214">
        <f t="shared" si="372"/>
        <v>8732.7273792293963</v>
      </c>
      <c r="N144" s="214">
        <f t="shared" si="372"/>
        <v>9020.9073827439661</v>
      </c>
      <c r="O144" s="214">
        <f t="shared" si="372"/>
        <v>9318.5973263745163</v>
      </c>
      <c r="P144" s="214">
        <f t="shared" si="372"/>
        <v>9626.1110381448761</v>
      </c>
      <c r="T144" s="3"/>
      <c r="U144" s="3"/>
      <c r="V144" s="3"/>
      <c r="W144" s="3"/>
    </row>
    <row r="145" spans="2:23" s="2" customFormat="1" ht="14.5">
      <c r="E145" s="599"/>
      <c r="F145" s="175"/>
      <c r="G145" s="180"/>
      <c r="H145" s="215"/>
      <c r="I145" s="180"/>
      <c r="N145" s="123"/>
      <c r="O145" s="123"/>
      <c r="P145" s="123"/>
      <c r="T145" s="3"/>
      <c r="U145" s="3"/>
      <c r="V145" s="3"/>
      <c r="W145" s="3"/>
    </row>
    <row r="146" spans="2:23" s="2" customFormat="1" ht="14.5">
      <c r="E146" s="203"/>
      <c r="F146" s="791" t="s">
        <v>456</v>
      </c>
      <c r="G146" s="792">
        <f>44205+48794+334094</f>
        <v>427093</v>
      </c>
      <c r="H146" s="793">
        <v>0.1</v>
      </c>
      <c r="I146" s="792">
        <f>G146*(1-H146)</f>
        <v>384383.7</v>
      </c>
      <c r="J146" s="214">
        <f>G146*H146</f>
        <v>42709.3</v>
      </c>
      <c r="K146" s="214">
        <f t="shared" ref="K146:P148" si="373">J146*3.3%+J146</f>
        <v>44118.706900000005</v>
      </c>
      <c r="L146" s="214">
        <f t="shared" si="373"/>
        <v>45574.624227700006</v>
      </c>
      <c r="M146" s="214">
        <f t="shared" si="373"/>
        <v>47078.586827214109</v>
      </c>
      <c r="N146" s="214">
        <f t="shared" si="373"/>
        <v>48632.180192512176</v>
      </c>
      <c r="O146" s="214">
        <f t="shared" si="373"/>
        <v>50237.042138865079</v>
      </c>
      <c r="P146" s="214">
        <f t="shared" si="373"/>
        <v>51894.86452944763</v>
      </c>
      <c r="T146" s="3"/>
      <c r="U146" s="3"/>
      <c r="V146" s="3"/>
      <c r="W146" s="3"/>
    </row>
    <row r="147" spans="2:23" s="2" customFormat="1" ht="14.5">
      <c r="B147" s="600" t="s">
        <v>457</v>
      </c>
      <c r="C147" s="634"/>
      <c r="E147" s="203"/>
      <c r="F147" s="794" t="s">
        <v>454</v>
      </c>
      <c r="G147" s="792">
        <f>G146*0.712</f>
        <v>304090.21599999996</v>
      </c>
      <c r="H147" s="793">
        <v>0.1</v>
      </c>
      <c r="I147" s="792">
        <f>G147*(1-H147)</f>
        <v>273681.19439999998</v>
      </c>
      <c r="J147" s="214">
        <f>G147*H147</f>
        <v>30409.021599999996</v>
      </c>
      <c r="K147" s="214">
        <f t="shared" si="373"/>
        <v>31412.519312799996</v>
      </c>
      <c r="L147" s="214">
        <f t="shared" si="373"/>
        <v>32449.132450122397</v>
      </c>
      <c r="M147" s="214">
        <f t="shared" si="373"/>
        <v>33519.953820976436</v>
      </c>
      <c r="N147" s="214">
        <f t="shared" si="373"/>
        <v>34626.112297068656</v>
      </c>
      <c r="O147" s="214">
        <f t="shared" si="373"/>
        <v>35768.77400287192</v>
      </c>
      <c r="P147" s="214">
        <f t="shared" si="373"/>
        <v>36949.14354496669</v>
      </c>
      <c r="T147" s="3"/>
      <c r="U147" s="3"/>
      <c r="V147" s="3"/>
      <c r="W147" s="3"/>
    </row>
    <row r="148" spans="2:23" s="2" customFormat="1" ht="14.5">
      <c r="B148" s="794" t="s">
        <v>458</v>
      </c>
      <c r="C148" s="794">
        <v>84.8</v>
      </c>
      <c r="E148" s="203"/>
      <c r="F148" s="794" t="s">
        <v>455</v>
      </c>
      <c r="G148" s="792">
        <f>G146*0.234</f>
        <v>99939.762000000002</v>
      </c>
      <c r="H148" s="793">
        <v>0.1</v>
      </c>
      <c r="I148" s="792">
        <f>G148*(1-H148)</f>
        <v>89945.785799999998</v>
      </c>
      <c r="J148" s="214">
        <f>G148*H148</f>
        <v>9993.976200000001</v>
      </c>
      <c r="K148" s="214">
        <f t="shared" si="373"/>
        <v>10323.777414600001</v>
      </c>
      <c r="L148" s="214">
        <f t="shared" si="373"/>
        <v>10664.462069281801</v>
      </c>
      <c r="M148" s="214">
        <f t="shared" si="373"/>
        <v>11016.389317568101</v>
      </c>
      <c r="N148" s="214">
        <f t="shared" si="373"/>
        <v>11379.930165047848</v>
      </c>
      <c r="O148" s="214">
        <f t="shared" si="373"/>
        <v>11755.467860494427</v>
      </c>
      <c r="P148" s="214">
        <f t="shared" si="373"/>
        <v>12143.398299890743</v>
      </c>
      <c r="T148" s="3"/>
      <c r="U148" s="3"/>
      <c r="V148" s="3"/>
      <c r="W148" s="3"/>
    </row>
    <row r="149" spans="2:23" s="2" customFormat="1" ht="14.5">
      <c r="B149" s="794" t="s">
        <v>459</v>
      </c>
      <c r="C149" s="794">
        <f>C148*10</f>
        <v>848</v>
      </c>
      <c r="E149" s="203"/>
      <c r="F149" s="635" t="s">
        <v>460</v>
      </c>
      <c r="G149" s="180"/>
      <c r="H149" s="203"/>
      <c r="I149" s="203"/>
      <c r="L149" s="202"/>
      <c r="M149" s="180"/>
      <c r="T149" s="3"/>
      <c r="U149" s="3"/>
      <c r="V149" s="3"/>
      <c r="W149" s="3"/>
    </row>
    <row r="150" spans="2:23" s="2" customFormat="1" ht="14.5">
      <c r="B150" s="794" t="s">
        <v>461</v>
      </c>
      <c r="C150" s="794">
        <v>4950</v>
      </c>
      <c r="E150" s="203"/>
      <c r="G150" s="203"/>
      <c r="H150" s="203"/>
      <c r="I150" s="203" t="s">
        <v>462</v>
      </c>
      <c r="J150" s="267">
        <f t="shared" ref="J150:P150" si="374">SUM(J146,J142)</f>
        <v>76565.100000000006</v>
      </c>
      <c r="K150" s="214">
        <f t="shared" si="374"/>
        <v>79091.748300000007</v>
      </c>
      <c r="L150" s="214">
        <f t="shared" si="374"/>
        <v>81701.77599390001</v>
      </c>
      <c r="M150" s="214">
        <f t="shared" si="374"/>
        <v>84397.934601698711</v>
      </c>
      <c r="N150" s="214">
        <f t="shared" si="374"/>
        <v>87183.066443554766</v>
      </c>
      <c r="O150" s="214">
        <f t="shared" si="374"/>
        <v>90060.107636192086</v>
      </c>
      <c r="P150" s="214">
        <f t="shared" si="374"/>
        <v>93032.09118818643</v>
      </c>
      <c r="T150" s="3"/>
      <c r="U150" s="3"/>
      <c r="V150" s="3"/>
      <c r="W150" s="3"/>
    </row>
    <row r="151" spans="2:23" s="2" customFormat="1" ht="14.5">
      <c r="B151" s="794" t="s">
        <v>463</v>
      </c>
      <c r="C151" s="792">
        <f>C150*8.2/3.412</f>
        <v>11896.248534583821</v>
      </c>
      <c r="I151" s="203" t="s">
        <v>464</v>
      </c>
      <c r="J151" s="268">
        <f>(K150-J150)*2</f>
        <v>5053.2966000000015</v>
      </c>
      <c r="K151" s="216">
        <f t="shared" ref="K151:P151" si="375">MIN(J151*150%,15000)</f>
        <v>7579.9449000000022</v>
      </c>
      <c r="L151" s="216">
        <f t="shared" si="375"/>
        <v>11369.917350000003</v>
      </c>
      <c r="M151" s="216">
        <f t="shared" si="375"/>
        <v>15000</v>
      </c>
      <c r="N151" s="216">
        <f t="shared" si="375"/>
        <v>15000</v>
      </c>
      <c r="O151" s="216">
        <f t="shared" si="375"/>
        <v>15000</v>
      </c>
      <c r="P151" s="216">
        <f t="shared" si="375"/>
        <v>15000</v>
      </c>
      <c r="T151" s="3"/>
      <c r="U151" s="3"/>
      <c r="V151" s="3"/>
      <c r="W151" s="3"/>
    </row>
    <row r="152" spans="2:23" s="2" customFormat="1" ht="14.5">
      <c r="E152" s="203"/>
      <c r="F152" s="203"/>
      <c r="G152" s="203"/>
      <c r="H152" s="203"/>
      <c r="T152" s="3"/>
      <c r="U152" s="3"/>
      <c r="V152" s="3"/>
      <c r="W152" s="3"/>
    </row>
    <row r="153" spans="2:23" s="2" customFormat="1" ht="14.5">
      <c r="B153" s="600" t="s">
        <v>465</v>
      </c>
      <c r="E153" s="547" t="s">
        <v>466</v>
      </c>
      <c r="F153" s="634"/>
      <c r="G153" s="596" t="s">
        <v>467</v>
      </c>
      <c r="H153" s="203"/>
      <c r="I153" s="203"/>
      <c r="L153" s="202"/>
      <c r="M153" s="180"/>
      <c r="T153" s="3"/>
      <c r="U153" s="3"/>
      <c r="V153" s="3"/>
      <c r="W153" s="3"/>
    </row>
    <row r="154" spans="2:23" s="2" customFormat="1" ht="14.5">
      <c r="B154" s="1176" t="s">
        <v>468</v>
      </c>
      <c r="C154" s="1177">
        <v>1715</v>
      </c>
      <c r="E154" s="175"/>
      <c r="F154" s="596"/>
      <c r="G154" s="175"/>
      <c r="H154" s="599"/>
      <c r="I154" s="599"/>
      <c r="L154" s="202"/>
      <c r="T154" s="3"/>
      <c r="U154" s="3"/>
      <c r="V154" s="3"/>
      <c r="W154" s="3"/>
    </row>
    <row r="155" spans="2:23" s="2" customFormat="1" ht="14.5">
      <c r="B155" s="1176" t="s">
        <v>469</v>
      </c>
      <c r="C155" s="1177">
        <v>2353</v>
      </c>
      <c r="E155" s="599"/>
      <c r="F155" s="599"/>
      <c r="G155" s="599"/>
      <c r="H155" s="599"/>
      <c r="I155" s="599"/>
      <c r="L155" s="635"/>
      <c r="T155" s="3"/>
      <c r="U155" s="3"/>
      <c r="V155" s="3"/>
      <c r="W155" s="3"/>
    </row>
    <row r="156" spans="2:23" s="2" customFormat="1" ht="14.5">
      <c r="E156" s="596"/>
      <c r="F156" s="599"/>
      <c r="G156" s="599"/>
      <c r="H156" s="599"/>
      <c r="I156" s="599"/>
      <c r="T156" s="3"/>
      <c r="U156" s="3"/>
      <c r="V156" s="3"/>
      <c r="W156" s="3"/>
    </row>
    <row r="157" spans="2:23" s="2" customFormat="1" ht="14.5">
      <c r="B157" s="1178" t="s">
        <v>470</v>
      </c>
      <c r="C157" s="1179">
        <v>7.0000000000000007E-2</v>
      </c>
      <c r="H157" s="599"/>
      <c r="I157" s="599"/>
      <c r="T157" s="3"/>
      <c r="U157" s="3"/>
      <c r="V157" s="3"/>
      <c r="W157" s="3"/>
    </row>
    <row r="158" spans="2:23" s="2" customFormat="1" ht="14.5">
      <c r="B158" s="1178" t="s">
        <v>471</v>
      </c>
      <c r="C158" s="1179">
        <v>0.06</v>
      </c>
      <c r="E158" s="599"/>
      <c r="F158" s="599"/>
      <c r="G158" s="599"/>
      <c r="H158" s="599"/>
      <c r="I158" s="599"/>
      <c r="T158" s="3"/>
      <c r="U158" s="3"/>
      <c r="V158" s="3"/>
      <c r="W158" s="3"/>
    </row>
    <row r="159" spans="2:23" s="2" customFormat="1" ht="14.5">
      <c r="E159" s="599"/>
      <c r="F159" s="599"/>
      <c r="G159" s="599"/>
      <c r="H159" s="599"/>
      <c r="I159" s="599"/>
      <c r="T159" s="3"/>
      <c r="U159" s="3"/>
      <c r="V159" s="3"/>
      <c r="W159" s="3"/>
    </row>
    <row r="160" spans="2:23" s="2" customFormat="1" ht="14.5">
      <c r="B160" s="600" t="s">
        <v>472</v>
      </c>
      <c r="C160" s="599"/>
      <c r="N160" s="268"/>
      <c r="T160" s="3"/>
      <c r="U160" s="3"/>
      <c r="V160" s="3"/>
      <c r="W160" s="3"/>
    </row>
    <row r="161" spans="2:23" s="2" customFormat="1" ht="14.5">
      <c r="B161" s="1176" t="s">
        <v>473</v>
      </c>
      <c r="C161" s="1177">
        <f>C149*C158</f>
        <v>50.879999999999995</v>
      </c>
      <c r="E161" s="547" t="s">
        <v>474</v>
      </c>
      <c r="G161" s="596" t="s">
        <v>475</v>
      </c>
      <c r="N161" s="268"/>
      <c r="T161" s="3"/>
      <c r="U161" s="3"/>
      <c r="V161" s="3"/>
      <c r="W161" s="3"/>
    </row>
    <row r="162" spans="2:23" s="2" customFormat="1" ht="14.5">
      <c r="B162" s="1176" t="s">
        <v>476</v>
      </c>
      <c r="C162" s="1177">
        <f>C150*C158</f>
        <v>297</v>
      </c>
      <c r="T162" s="3"/>
      <c r="U162" s="3"/>
      <c r="V162" s="3"/>
      <c r="W162" s="3"/>
    </row>
    <row r="163" spans="2:23" s="2" customFormat="1" ht="14.5">
      <c r="B163" s="1176" t="s">
        <v>477</v>
      </c>
      <c r="C163" s="1180">
        <f>C151*C158</f>
        <v>713.77491207502931</v>
      </c>
      <c r="T163" s="3"/>
      <c r="U163" s="3"/>
      <c r="V163" s="3"/>
      <c r="W163" s="3"/>
    </row>
    <row r="164" spans="2:23" s="2" customFormat="1">
      <c r="T164" s="3"/>
      <c r="U164" s="3"/>
      <c r="V164" s="3"/>
      <c r="W164" s="3"/>
    </row>
    <row r="165" spans="2:23" s="2" customFormat="1" ht="14.5">
      <c r="B165" s="600" t="s">
        <v>478</v>
      </c>
      <c r="T165" s="3"/>
      <c r="U165" s="3"/>
      <c r="V165" s="3"/>
      <c r="W165" s="3"/>
    </row>
    <row r="166" spans="2:23" s="2" customFormat="1" ht="14.5">
      <c r="B166" s="1176" t="s">
        <v>479</v>
      </c>
      <c r="C166" s="1177">
        <f>C154*C157</f>
        <v>120.05000000000001</v>
      </c>
      <c r="T166" s="3"/>
      <c r="U166" s="3"/>
      <c r="V166" s="3"/>
      <c r="W166" s="3"/>
    </row>
    <row r="167" spans="2:23" s="2" customFormat="1" ht="14.5">
      <c r="B167" s="1176" t="s">
        <v>480</v>
      </c>
      <c r="C167" s="1177">
        <f>C155*C157</f>
        <v>164.71</v>
      </c>
      <c r="T167" s="3"/>
      <c r="U167" s="3"/>
      <c r="V167" s="3"/>
      <c r="W167" s="3"/>
    </row>
    <row r="168" spans="2:23" s="2" customFormat="1" ht="14.5">
      <c r="B168" s="600"/>
      <c r="C168" s="596"/>
      <c r="D168" s="596"/>
      <c r="N168" s="268"/>
      <c r="T168" s="3"/>
      <c r="U168" s="3"/>
      <c r="V168" s="3"/>
      <c r="W168" s="3"/>
    </row>
    <row r="169" spans="2:23" s="2" customFormat="1" ht="14.5">
      <c r="B169" s="175"/>
      <c r="C169" s="596"/>
      <c r="D169" s="175"/>
      <c r="E169" s="599"/>
      <c r="N169" s="268"/>
      <c r="T169" s="3"/>
      <c r="U169" s="3"/>
      <c r="V169" s="3"/>
      <c r="W169" s="3"/>
    </row>
    <row r="170" spans="2:23" s="2" customFormat="1" ht="14.5">
      <c r="B170" s="175"/>
      <c r="C170" s="596"/>
      <c r="D170" s="175"/>
      <c r="E170" s="599"/>
      <c r="T170" s="3"/>
      <c r="U170" s="3"/>
      <c r="V170" s="3"/>
      <c r="W170" s="3"/>
    </row>
    <row r="171" spans="2:23" s="2" customFormat="1" ht="14.5">
      <c r="B171" s="1002" t="s">
        <v>481</v>
      </c>
      <c r="C171" s="801"/>
      <c r="D171" s="1002" t="s">
        <v>482</v>
      </c>
      <c r="E171" s="801"/>
      <c r="K171" s="635"/>
      <c r="T171" s="3"/>
      <c r="U171" s="3"/>
      <c r="V171" s="3"/>
      <c r="W171" s="3"/>
    </row>
    <row r="172" spans="2:23" s="2" customFormat="1" ht="14.5">
      <c r="B172" s="1002" t="s">
        <v>483</v>
      </c>
      <c r="C172" s="1003">
        <v>0.16400000000000001</v>
      </c>
      <c r="D172" s="1002" t="s">
        <v>483</v>
      </c>
      <c r="E172" s="1003">
        <v>0.16400000000000001</v>
      </c>
      <c r="K172" s="635"/>
      <c r="T172" s="3"/>
      <c r="U172" s="3"/>
      <c r="V172" s="3"/>
      <c r="W172" s="3"/>
    </row>
    <row r="173" spans="2:23" s="2" customFormat="1" ht="14.5">
      <c r="B173" s="1002" t="s">
        <v>484</v>
      </c>
      <c r="C173" s="1003">
        <v>0.54</v>
      </c>
      <c r="D173" s="1002" t="s">
        <v>484</v>
      </c>
      <c r="E173" s="1003">
        <v>0.54</v>
      </c>
      <c r="K173" s="635"/>
      <c r="T173" s="3"/>
      <c r="U173" s="3"/>
      <c r="V173" s="3"/>
      <c r="W173" s="3"/>
    </row>
    <row r="174" spans="2:23" s="2" customFormat="1" ht="14.5">
      <c r="B174" s="1002" t="s">
        <v>454</v>
      </c>
      <c r="C174" s="1003">
        <v>0.71199999999999997</v>
      </c>
      <c r="D174" s="1002" t="s">
        <v>454</v>
      </c>
      <c r="E174" s="1003">
        <v>0.71199999999999997</v>
      </c>
      <c r="K174" s="635"/>
      <c r="T174" s="3"/>
      <c r="U174" s="3"/>
      <c r="V174" s="3"/>
      <c r="W174" s="3"/>
    </row>
    <row r="175" spans="2:23" s="2" customFormat="1" ht="14.5">
      <c r="B175" s="1002" t="s">
        <v>485</v>
      </c>
      <c r="C175" s="1003">
        <v>0.23400000000000001</v>
      </c>
      <c r="D175" s="1002" t="s">
        <v>485</v>
      </c>
      <c r="E175" s="1003">
        <v>0.23400000000000001</v>
      </c>
      <c r="K175" s="635"/>
      <c r="T175" s="3"/>
      <c r="U175" s="3"/>
      <c r="V175" s="3"/>
      <c r="W175" s="3"/>
    </row>
    <row r="176" spans="2:23" s="2" customFormat="1" ht="14.5">
      <c r="B176" s="175"/>
      <c r="C176" s="596"/>
      <c r="D176" s="175"/>
      <c r="K176" s="635"/>
      <c r="T176" s="3"/>
      <c r="U176" s="3"/>
      <c r="V176" s="3"/>
      <c r="W176" s="3"/>
    </row>
    <row r="177" spans="2:23" s="2" customFormat="1" ht="14.5">
      <c r="B177" s="1002" t="s">
        <v>486</v>
      </c>
      <c r="C177" s="1008">
        <f>(C162*C175)+(C163*C172)+(C166*C174)+(C167*C175)</f>
        <v>310.57482558030483</v>
      </c>
      <c r="D177" s="1002" t="s">
        <v>487</v>
      </c>
      <c r="E177" s="1008">
        <f>(C162*E175)+(C163*E172)+(C166*E174)+(C167*E175)</f>
        <v>310.57482558030483</v>
      </c>
      <c r="K177" s="635"/>
      <c r="T177" s="3"/>
      <c r="U177" s="3"/>
      <c r="V177" s="3"/>
      <c r="W177" s="3"/>
    </row>
    <row r="178" spans="2:23" s="93" customFormat="1" ht="14.5">
      <c r="B178" s="800" t="s">
        <v>488</v>
      </c>
      <c r="C178" s="475">
        <f>C161*C173</f>
        <v>27.475200000000001</v>
      </c>
      <c r="D178" s="800" t="s">
        <v>489</v>
      </c>
      <c r="E178" s="475">
        <v>0</v>
      </c>
      <c r="F178" s="2"/>
      <c r="G178" s="2"/>
      <c r="H178" s="2"/>
      <c r="I178" s="2"/>
      <c r="J178" s="2"/>
      <c r="K178" s="179"/>
      <c r="L178" s="2"/>
      <c r="M178" s="2"/>
      <c r="N178" s="2"/>
      <c r="O178" s="2"/>
      <c r="P178" s="2"/>
      <c r="Q178" s="2"/>
      <c r="R178" s="2"/>
      <c r="S178" s="2"/>
      <c r="T178" s="3"/>
      <c r="U178" s="3"/>
      <c r="V178" s="3"/>
      <c r="W178" s="3"/>
    </row>
    <row r="179" spans="2:23" s="93" customFormat="1">
      <c r="B179" s="2"/>
      <c r="C179" s="2"/>
      <c r="D179" s="2"/>
      <c r="E179" s="2"/>
      <c r="F179" s="2"/>
      <c r="G179" s="2"/>
      <c r="H179" s="2"/>
      <c r="I179" s="2"/>
      <c r="J179" s="2"/>
      <c r="K179" s="179"/>
      <c r="L179" s="2"/>
      <c r="M179" s="2"/>
      <c r="N179" s="2"/>
      <c r="O179" s="2"/>
      <c r="P179" s="2"/>
      <c r="Q179" s="2"/>
      <c r="R179" s="2"/>
      <c r="S179" s="2"/>
      <c r="T179" s="3"/>
      <c r="U179" s="3"/>
      <c r="V179" s="3"/>
      <c r="W179" s="3"/>
    </row>
    <row r="180" spans="2:23" s="93" customFormat="1" ht="14.5">
      <c r="B180" s="201" t="s">
        <v>490</v>
      </c>
      <c r="C180" s="171" t="s">
        <v>491</v>
      </c>
      <c r="D180" s="2"/>
      <c r="E180" s="2"/>
      <c r="F180" s="2"/>
      <c r="G180" s="2"/>
      <c r="H180" s="2"/>
      <c r="I180" s="2"/>
      <c r="J180" s="2"/>
      <c r="K180" s="179"/>
      <c r="L180" s="2"/>
      <c r="M180" s="2"/>
      <c r="N180" s="2"/>
      <c r="O180" s="2"/>
      <c r="P180" s="2"/>
      <c r="Q180" s="2"/>
      <c r="R180" s="2"/>
      <c r="S180" s="2"/>
      <c r="T180" s="3"/>
      <c r="U180" s="3"/>
      <c r="V180" s="3"/>
      <c r="W180" s="3"/>
    </row>
    <row r="181" spans="2:23" s="93" customFormat="1" ht="14.5">
      <c r="B181" s="201" t="s">
        <v>492</v>
      </c>
      <c r="C181" s="201"/>
      <c r="D181" s="2"/>
      <c r="E181" s="2"/>
      <c r="F181" s="2"/>
      <c r="G181" s="2"/>
      <c r="H181" s="2"/>
      <c r="I181" s="2"/>
      <c r="J181" s="2"/>
      <c r="K181" s="179"/>
      <c r="L181" s="2"/>
      <c r="M181" s="2"/>
      <c r="N181" s="2"/>
      <c r="O181" s="2"/>
      <c r="P181" s="2"/>
      <c r="Q181" s="2"/>
      <c r="R181" s="2"/>
      <c r="S181" s="2"/>
      <c r="T181" s="3"/>
      <c r="U181" s="3"/>
      <c r="V181" s="3"/>
      <c r="W181" s="3"/>
    </row>
    <row r="182" spans="2:23" s="93" customFormat="1">
      <c r="B182" s="2"/>
      <c r="C182" s="2"/>
      <c r="D182" s="2"/>
      <c r="E182" s="2"/>
      <c r="F182" s="2"/>
      <c r="G182" s="2"/>
      <c r="H182" s="2"/>
      <c r="I182" s="2"/>
      <c r="J182" s="2"/>
      <c r="K182" s="179"/>
      <c r="L182" s="2"/>
      <c r="M182" s="2"/>
      <c r="N182" s="2"/>
      <c r="O182" s="2"/>
      <c r="P182" s="2"/>
      <c r="Q182" s="2"/>
      <c r="R182" s="2"/>
      <c r="S182" s="2"/>
      <c r="T182" s="3"/>
      <c r="U182" s="3"/>
      <c r="V182" s="3"/>
      <c r="W182" s="3"/>
    </row>
    <row r="183" spans="2:23" s="93" customFormat="1">
      <c r="B183" s="2"/>
      <c r="C183" s="2"/>
      <c r="D183" s="2"/>
      <c r="E183" s="2"/>
      <c r="F183" s="2"/>
      <c r="G183" s="2"/>
      <c r="H183" s="2"/>
      <c r="I183" s="2"/>
      <c r="J183" s="2"/>
      <c r="K183" s="179"/>
      <c r="L183" s="2"/>
      <c r="M183" s="2"/>
      <c r="N183" s="2"/>
      <c r="O183" s="2"/>
      <c r="P183" s="2"/>
      <c r="Q183" s="2"/>
      <c r="R183" s="2"/>
      <c r="S183" s="2"/>
      <c r="T183" s="3"/>
      <c r="U183" s="3"/>
      <c r="V183" s="3"/>
      <c r="W183" s="3"/>
    </row>
    <row r="184" spans="2:23" s="93" customFormat="1">
      <c r="B184" s="2"/>
      <c r="C184" s="2"/>
      <c r="D184" s="2"/>
      <c r="E184" s="2"/>
      <c r="F184" s="2"/>
      <c r="G184" s="2"/>
      <c r="H184" s="2"/>
      <c r="I184" s="2"/>
      <c r="J184" s="2"/>
      <c r="K184" s="179"/>
      <c r="L184" s="2"/>
      <c r="M184" s="2"/>
      <c r="N184" s="2"/>
      <c r="O184" s="2"/>
      <c r="P184" s="2"/>
      <c r="Q184" s="2"/>
      <c r="R184" s="2"/>
      <c r="S184" s="2"/>
      <c r="T184" s="3"/>
      <c r="U184" s="3"/>
      <c r="V184" s="3"/>
      <c r="W184" s="3"/>
    </row>
    <row r="185" spans="2:23" s="93" customFormat="1">
      <c r="B185" s="2"/>
      <c r="C185" s="2"/>
      <c r="D185" s="2"/>
      <c r="E185" s="2"/>
      <c r="F185" s="2"/>
      <c r="G185" s="2"/>
      <c r="H185" s="2"/>
      <c r="I185" s="2"/>
      <c r="J185" s="2"/>
      <c r="K185" s="179"/>
      <c r="L185" s="2"/>
      <c r="M185" s="2"/>
      <c r="N185" s="2"/>
      <c r="O185" s="2"/>
      <c r="P185" s="2"/>
      <c r="Q185" s="2"/>
      <c r="R185" s="2"/>
      <c r="S185" s="2"/>
      <c r="T185" s="3"/>
      <c r="U185" s="3"/>
      <c r="V185" s="3"/>
      <c r="W185" s="3"/>
    </row>
  </sheetData>
  <autoFilter ref="A5:EK5" xr:uid="{00000000-0009-0000-0000-000008000000}"/>
  <mergeCells count="23">
    <mergeCell ref="B56:E56"/>
    <mergeCell ref="B59:B60"/>
    <mergeCell ref="C61:C75"/>
    <mergeCell ref="B50:E50"/>
    <mergeCell ref="B52:B53"/>
    <mergeCell ref="C52:C53"/>
    <mergeCell ref="D52:E52"/>
    <mergeCell ref="U52:U53"/>
    <mergeCell ref="F52:G52"/>
    <mergeCell ref="EO4:EV4"/>
    <mergeCell ref="EH2:EM2"/>
    <mergeCell ref="F4:P4"/>
    <mergeCell ref="Q4:T4"/>
    <mergeCell ref="U4:Z4"/>
    <mergeCell ref="AD4:AQ4"/>
    <mergeCell ref="AS4:AT4"/>
    <mergeCell ref="AU2:BV2"/>
    <mergeCell ref="BW2:CC2"/>
    <mergeCell ref="CD2:CJ2"/>
    <mergeCell ref="CK2:CQ2"/>
    <mergeCell ref="EA2:EG2"/>
    <mergeCell ref="DT2:DZ2"/>
    <mergeCell ref="CR2:DS2"/>
  </mergeCells>
  <phoneticPr fontId="78" type="noConversion"/>
  <dataValidations disablePrompts="1" count="1">
    <dataValidation type="list" allowBlank="1" showInputMessage="1" showErrorMessage="1" sqref="AL6:AN9 AL16:AN19 AL11:AN14" xr:uid="{E2AE7BB0-AD7A-4B4B-9D75-6C04A3BA10B5}">
      <formula1>#REF!</formula1>
    </dataValidation>
  </dataValidations>
  <hyperlinks>
    <hyperlink ref="C180" r:id="rId1" xr:uid="{69D302F8-94B0-472C-8305-FBC8EF001415}"/>
  </hyperlinks>
  <pageMargins left="0.7" right="0.7" top="0.75" bottom="0.75" header="0.3" footer="0.3"/>
  <pageSetup orientation="portrait" r:id="rId2"/>
  <headerFooter>
    <oddFooter>&amp;L&amp;1#&amp;"Calibri"&amp;14&amp;K000000Business Use</oddFooter>
  </headerFooter>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F0727-B600-4219-B6B9-DE44D38F545B}">
  <sheetPr>
    <tabColor theme="5"/>
  </sheetPr>
  <dimension ref="A1:FE316"/>
  <sheetViews>
    <sheetView zoomScale="85" zoomScaleNormal="85" workbookViewId="0">
      <selection activeCell="I58" sqref="A51:I58"/>
    </sheetView>
  </sheetViews>
  <sheetFormatPr defaultColWidth="9.1796875" defaultRowHeight="13"/>
  <cols>
    <col min="1" max="1" width="9.1796875" style="2"/>
    <col min="2" max="2" width="38.81640625" style="2" customWidth="1"/>
    <col min="3" max="3" width="69.453125" style="2" customWidth="1"/>
    <col min="4" max="4" width="29.54296875" style="2" customWidth="1"/>
    <col min="5" max="5" width="20.26953125" style="2" customWidth="1"/>
    <col min="6" max="7" width="17.26953125" style="2" customWidth="1"/>
    <col min="8" max="8" width="14.54296875" style="2" customWidth="1"/>
    <col min="9" max="9" width="34.81640625" style="2" customWidth="1"/>
    <col min="10" max="10" width="14.54296875" style="2" customWidth="1"/>
    <col min="11" max="11" width="24.7265625" style="2" customWidth="1"/>
    <col min="12" max="12" width="15.26953125" style="2" customWidth="1"/>
    <col min="13" max="13" width="24.54296875" style="2" customWidth="1"/>
    <col min="14" max="14" width="15" style="2" customWidth="1"/>
    <col min="15" max="16" width="10.7265625" style="2" customWidth="1"/>
    <col min="17" max="17" width="13.453125" style="2" customWidth="1"/>
    <col min="18" max="19" width="12.1796875" style="2" customWidth="1"/>
    <col min="20" max="20" width="19.7265625" style="3" customWidth="1"/>
    <col min="21" max="22" width="10.81640625" style="3" customWidth="1"/>
    <col min="23" max="29" width="10.1796875" style="3" customWidth="1"/>
    <col min="30" max="37" width="14.453125" style="2" customWidth="1"/>
    <col min="38" max="38" width="23.1796875" style="2" customWidth="1"/>
    <col min="39" max="39" width="14.453125" style="2" customWidth="1"/>
    <col min="40" max="40" width="16.453125" style="2" customWidth="1"/>
    <col min="41" max="46" width="12" style="2" customWidth="1"/>
    <col min="47" max="49" width="17.81640625" style="2" customWidth="1"/>
    <col min="50" max="53" width="15.7265625" style="2" customWidth="1"/>
    <col min="54" max="60" width="12" style="2" customWidth="1"/>
    <col min="61" max="74" width="11.7265625" style="2" customWidth="1"/>
    <col min="75" max="152" width="15.54296875" style="2" customWidth="1"/>
    <col min="153" max="16384" width="9.1796875" style="2"/>
  </cols>
  <sheetData>
    <row r="1" spans="1:161" s="93" customFormat="1" ht="14.5">
      <c r="A1" s="69" t="str">
        <f t="shared" ref="A1:BK1" si="0">A3&amp;"_"&amp;A4&amp;"_"&amp;A5</f>
        <v>_Measure Details_Measure ID</v>
      </c>
      <c r="B1" s="69" t="str">
        <f t="shared" si="0"/>
        <v>__Measure Name</v>
      </c>
      <c r="C1" s="69" t="str">
        <f t="shared" si="0"/>
        <v>__Measure Description/Qualification</v>
      </c>
      <c r="D1" s="69" t="str">
        <f t="shared" si="0"/>
        <v>__Base Equipment</v>
      </c>
      <c r="E1" s="69" t="str">
        <f t="shared" si="0"/>
        <v>__Per Unit Assumption</v>
      </c>
      <c r="F1" s="69" t="str">
        <f t="shared" si="0"/>
        <v>_First Year Costs_Full or Incremental Cost</v>
      </c>
      <c r="G1" s="69" t="str">
        <f t="shared" si="0"/>
        <v>__Full/Incremental Equipment Cost (Per Unit)</v>
      </c>
      <c r="H1" s="69" t="str">
        <f t="shared" si="0"/>
        <v>__Full/Incremental Labor Cost (Per Unit)</v>
      </c>
      <c r="I1" s="69" t="str">
        <f t="shared" si="0"/>
        <v>__Full/Incremental Cost (Per Unit)</v>
      </c>
      <c r="J1" s="69" t="str">
        <f t="shared" si="0"/>
        <v>__Incremental Annual O&amp;M (Per Unit)</v>
      </c>
      <c r="K1" s="69" t="str">
        <f t="shared" si="0"/>
        <v>__50% of Incremental Cost</v>
      </c>
      <c r="L1" s="69" t="str">
        <f t="shared" si="0"/>
        <v>__Cost Sources</v>
      </c>
      <c r="M1" s="69" t="str">
        <f t="shared" si="0"/>
        <v>__Current Incentive</v>
      </c>
      <c r="N1" s="69" t="str">
        <f t="shared" si="0"/>
        <v>__Proposed Incentive Level</v>
      </c>
      <c r="O1" s="69" t="str">
        <f t="shared" si="0"/>
        <v>__Dealer Incentive</v>
      </c>
      <c r="P1" s="69" t="str">
        <f t="shared" si="0"/>
        <v>__Implementation Cost</v>
      </c>
      <c r="Q1" s="69" t="str">
        <f t="shared" si="0"/>
        <v>_First Year Energy Savings_Electric kWh Savings Per Unit</v>
      </c>
      <c r="R1" s="69" t="str">
        <f t="shared" si="0"/>
        <v>__Electric kW Savings Per Unit</v>
      </c>
      <c r="S1" s="69" t="str">
        <f t="shared" si="0"/>
        <v>__Natural Gas Therms Savings Per Unit</v>
      </c>
      <c r="T1" s="69" t="str">
        <f t="shared" si="0"/>
        <v>__Energy Savings Source</v>
      </c>
      <c r="U1" s="69" t="str">
        <f t="shared" si="0"/>
        <v>_Participation Assumptions_Escalation Rate</v>
      </c>
      <c r="V1" s="69" t="str">
        <f t="shared" si="0"/>
        <v>__Number of Unit Per Participant</v>
      </c>
      <c r="W1" s="69" t="str">
        <f t="shared" si="0"/>
        <v>__Participation 2024</v>
      </c>
      <c r="X1" s="69" t="str">
        <f t="shared" si="0"/>
        <v>__Participation 2025</v>
      </c>
      <c r="Y1" s="69" t="str">
        <f t="shared" si="0"/>
        <v>__Participation 2026</v>
      </c>
      <c r="Z1" s="69" t="str">
        <f t="shared" si="0"/>
        <v>__Participation 2027</v>
      </c>
      <c r="AA1" s="69" t="str">
        <f t="shared" si="0"/>
        <v>__Participation 2028</v>
      </c>
      <c r="AB1" s="69" t="str">
        <f t="shared" si="0"/>
        <v>__Participation 2029</v>
      </c>
      <c r="AC1" s="69" t="str">
        <f t="shared" si="0"/>
        <v>__Participation 2030</v>
      </c>
      <c r="AD1" s="69" t="str">
        <f t="shared" si="0"/>
        <v>_Modeling Measure-level Inputs_Fuel Type</v>
      </c>
      <c r="AE1" s="69" t="str">
        <f t="shared" si="0"/>
        <v>__Sector</v>
      </c>
      <c r="AF1" s="69" t="str">
        <f t="shared" si="0"/>
        <v>__Segment</v>
      </c>
      <c r="AG1" s="69" t="str">
        <f t="shared" si="0"/>
        <v>__Enduse</v>
      </c>
      <c r="AH1" s="69" t="str">
        <f t="shared" si="0"/>
        <v>__Construction Type</v>
      </c>
      <c r="AI1" s="69" t="str">
        <f t="shared" si="0"/>
        <v>__Potential Study Measure Name</v>
      </c>
      <c r="AJ1" s="69" t="str">
        <f t="shared" si="0"/>
        <v>__Potential Study Measure Description</v>
      </c>
      <c r="AK1" s="69" t="str">
        <f t="shared" si="0"/>
        <v>__Potential Study Baseline Description</v>
      </c>
      <c r="AL1" s="69" t="str">
        <f t="shared" si="0"/>
        <v>__Electric Load Shape</v>
      </c>
      <c r="AM1" s="69" t="str">
        <f t="shared" si="0"/>
        <v>__Natural Gas Load Shape</v>
      </c>
      <c r="AN1" s="69" t="str">
        <f t="shared" si="0"/>
        <v>__Customer Rate Class</v>
      </c>
      <c r="AO1" s="69" t="str">
        <f t="shared" si="0"/>
        <v>__Measure Life</v>
      </c>
      <c r="AP1" s="69" t="str">
        <f t="shared" si="0"/>
        <v>__Baseline Life</v>
      </c>
      <c r="AQ1" s="69" t="str">
        <f t="shared" si="0"/>
        <v>__Life Source</v>
      </c>
      <c r="AR1" s="69" t="str">
        <f t="shared" si="0"/>
        <v>_Measure Tier Share_Tier Share</v>
      </c>
      <c r="AS1" s="69" t="str">
        <f t="shared" si="0"/>
        <v>_Measure Fuel Weights_Electric Share</v>
      </c>
      <c r="AT1" s="69" t="str">
        <f t="shared" si="0"/>
        <v>__Natural Gas Share</v>
      </c>
      <c r="AU1" s="69" t="str">
        <f t="shared" si="0"/>
        <v>Per Unit_Incremental Costs_2024</v>
      </c>
      <c r="AV1" s="69" t="str">
        <f t="shared" si="0"/>
        <v>Per Unit_Incremental Costs_2025</v>
      </c>
      <c r="AW1" s="69" t="str">
        <f t="shared" si="0"/>
        <v>Per Unit_Incremental Costs_2026</v>
      </c>
      <c r="AX1" s="69" t="str">
        <f t="shared" si="0"/>
        <v>Per Unit_Incremental Costs_2027</v>
      </c>
      <c r="AY1" s="69" t="str">
        <f t="shared" si="0"/>
        <v>Per Unit_Incremental Costs_2028</v>
      </c>
      <c r="AZ1" s="69" t="str">
        <f t="shared" si="0"/>
        <v>Per Unit_Incremental Costs_2029</v>
      </c>
      <c r="BA1" s="69" t="str">
        <f t="shared" ref="BA1" si="1">BA3&amp;"_"&amp;BA4&amp;"_"&amp;BA5</f>
        <v>Per Unit_Incremental Costs_2030</v>
      </c>
      <c r="BB1" s="69" t="str">
        <f t="shared" si="0"/>
        <v>Per Unit_Incremental Annual O&amp;M_2024</v>
      </c>
      <c r="BC1" s="69" t="str">
        <f t="shared" si="0"/>
        <v>Per Unit_Incremental Annual O&amp;M_2025</v>
      </c>
      <c r="BD1" s="69" t="str">
        <f t="shared" si="0"/>
        <v>Per Unit_Incremental Annual O&amp;M_2026</v>
      </c>
      <c r="BE1" s="69" t="str">
        <f t="shared" si="0"/>
        <v>Per Unit_Incremental Annual O&amp;M_2027</v>
      </c>
      <c r="BF1" s="69" t="str">
        <f t="shared" si="0"/>
        <v>Per Unit_Incremental Annual O&amp;M_2028</v>
      </c>
      <c r="BG1" s="69" t="str">
        <f t="shared" si="0"/>
        <v>Per Unit_Incremental Annual O&amp;M_2029</v>
      </c>
      <c r="BH1" s="69" t="str">
        <f t="shared" ref="BH1" si="2">BH3&amp;"_"&amp;BH4&amp;"_"&amp;BH5</f>
        <v>Per Unit_Incremental Annual O&amp;M_2030</v>
      </c>
      <c r="BI1" s="69" t="str">
        <f t="shared" si="0"/>
        <v>Per Unit_Customer &amp; Dealer Incentives_2024</v>
      </c>
      <c r="BJ1" s="69" t="str">
        <f t="shared" si="0"/>
        <v>Per Unit_Customer &amp; Dealer Incentives_2025</v>
      </c>
      <c r="BK1" s="69" t="str">
        <f t="shared" si="0"/>
        <v>Per Unit_Customer &amp; Dealer Incentives_2026</v>
      </c>
      <c r="BL1" s="69" t="str">
        <f t="shared" ref="BL1:DW1" si="3">BL3&amp;"_"&amp;BL4&amp;"_"&amp;BL5</f>
        <v>Per Unit_Customer &amp; Dealer Incentives_2027</v>
      </c>
      <c r="BM1" s="69" t="str">
        <f t="shared" si="3"/>
        <v>Per Unit_Customer &amp; Dealer Incentives_2028</v>
      </c>
      <c r="BN1" s="69" t="str">
        <f t="shared" si="3"/>
        <v>Per Unit_Customer &amp; Dealer Incentives_2029</v>
      </c>
      <c r="BO1" s="69" t="str">
        <f t="shared" ref="BO1" si="4">BO3&amp;"_"&amp;BO4&amp;"_"&amp;BO5</f>
        <v>Per Unit_Customer &amp; Dealer Incentives_2030</v>
      </c>
      <c r="BP1" s="69" t="str">
        <f t="shared" si="3"/>
        <v>Per Unit_Implementation Cost_2024</v>
      </c>
      <c r="BQ1" s="69" t="str">
        <f t="shared" si="3"/>
        <v>Per Unit_Implementation Cost_2025</v>
      </c>
      <c r="BR1" s="69" t="str">
        <f t="shared" si="3"/>
        <v>Per Unit_Implementation Cost_2026</v>
      </c>
      <c r="BS1" s="69" t="str">
        <f t="shared" si="3"/>
        <v>Per Unit_Implementation Cost_2027</v>
      </c>
      <c r="BT1" s="69" t="str">
        <f t="shared" si="3"/>
        <v>Per Unit_Implementation Cost_2028</v>
      </c>
      <c r="BU1" s="69" t="str">
        <f t="shared" si="3"/>
        <v>Per Unit_Implementation Cost_2029</v>
      </c>
      <c r="BV1" s="69" t="str">
        <f t="shared" ref="BV1" si="5">BV3&amp;"_"&amp;BV4&amp;"_"&amp;BV5</f>
        <v>Per Unit_Implementation Cost_2030</v>
      </c>
      <c r="BW1" s="69" t="str">
        <f t="shared" si="3"/>
        <v>Per Unit_kWh _2024</v>
      </c>
      <c r="BX1" s="69" t="str">
        <f t="shared" si="3"/>
        <v>Per Unit_kWh _2025</v>
      </c>
      <c r="BY1" s="69" t="str">
        <f t="shared" si="3"/>
        <v>Per Unit_kWh _2026</v>
      </c>
      <c r="BZ1" s="69" t="str">
        <f t="shared" si="3"/>
        <v>Per Unit_kWh _2027</v>
      </c>
      <c r="CA1" s="69" t="str">
        <f t="shared" si="3"/>
        <v>Per Unit_kWh _2028</v>
      </c>
      <c r="CB1" s="69" t="str">
        <f t="shared" si="3"/>
        <v>Per Unit_kWh _2029</v>
      </c>
      <c r="CC1" s="69" t="str">
        <f t="shared" ref="CC1" si="6">CC3&amp;"_"&amp;CC4&amp;"_"&amp;CC5</f>
        <v>Per Unit_kWh _2030</v>
      </c>
      <c r="CD1" s="69" t="str">
        <f t="shared" si="3"/>
        <v>Per Unit_kW_2024</v>
      </c>
      <c r="CE1" s="69" t="str">
        <f t="shared" si="3"/>
        <v>Per Unit_kW_2025</v>
      </c>
      <c r="CF1" s="69" t="str">
        <f t="shared" si="3"/>
        <v>Per Unit_kW_2026</v>
      </c>
      <c r="CG1" s="69" t="str">
        <f t="shared" si="3"/>
        <v>Per Unit_kW_2027</v>
      </c>
      <c r="CH1" s="69" t="str">
        <f t="shared" si="3"/>
        <v>Per Unit_kW_2028</v>
      </c>
      <c r="CI1" s="69" t="str">
        <f t="shared" si="3"/>
        <v>Per Unit_kW_2029</v>
      </c>
      <c r="CJ1" s="69" t="str">
        <f t="shared" ref="CJ1" si="7">CJ3&amp;"_"&amp;CJ4&amp;"_"&amp;CJ5</f>
        <v>Per Unit_kW_2030</v>
      </c>
      <c r="CK1" s="69" t="str">
        <f t="shared" si="3"/>
        <v>Per Unit_Therms_2024</v>
      </c>
      <c r="CL1" s="69" t="str">
        <f t="shared" si="3"/>
        <v>Per Unit_Therms_2025</v>
      </c>
      <c r="CM1" s="69" t="str">
        <f t="shared" si="3"/>
        <v>Per Unit_Therms_2026</v>
      </c>
      <c r="CN1" s="69" t="str">
        <f t="shared" si="3"/>
        <v>Per Unit_Therms_2027</v>
      </c>
      <c r="CO1" s="69" t="str">
        <f t="shared" si="3"/>
        <v>Per Unit_Therms_2028</v>
      </c>
      <c r="CP1" s="69" t="str">
        <f t="shared" si="3"/>
        <v>Per Unit_Therms_2029</v>
      </c>
      <c r="CQ1" s="69" t="str">
        <f t="shared" ref="CQ1" si="8">CQ3&amp;"_"&amp;CQ4&amp;"_"&amp;CQ5</f>
        <v>Per Unit_Therms_2030</v>
      </c>
      <c r="CR1" s="69" t="str">
        <f t="shared" si="3"/>
        <v>Program_Incremental Costs_2024</v>
      </c>
      <c r="CS1" s="69" t="str">
        <f t="shared" si="3"/>
        <v>Program_Incremental Costs_2025</v>
      </c>
      <c r="CT1" s="69" t="str">
        <f t="shared" si="3"/>
        <v>Program_Incremental Costs_2026</v>
      </c>
      <c r="CU1" s="69" t="str">
        <f t="shared" si="3"/>
        <v>Program_Incremental Costs_2027</v>
      </c>
      <c r="CV1" s="69" t="str">
        <f t="shared" si="3"/>
        <v>Program_Incremental Costs_2028</v>
      </c>
      <c r="CW1" s="69" t="str">
        <f t="shared" si="3"/>
        <v>Program_Incremental Costs_2029</v>
      </c>
      <c r="CX1" s="69" t="str">
        <f t="shared" ref="CX1" si="9">CX3&amp;"_"&amp;CX4&amp;"_"&amp;CX5</f>
        <v>Program_Incremental Costs_2030</v>
      </c>
      <c r="CY1" s="69" t="str">
        <f t="shared" si="3"/>
        <v>Program_Incremental Annual O&amp;M_2024</v>
      </c>
      <c r="CZ1" s="69" t="str">
        <f t="shared" si="3"/>
        <v>Program_Incremental Annual O&amp;M_2025</v>
      </c>
      <c r="DA1" s="69" t="str">
        <f t="shared" si="3"/>
        <v>Program_Incremental Annual O&amp;M_2026</v>
      </c>
      <c r="DB1" s="69" t="str">
        <f t="shared" si="3"/>
        <v>Program_Incremental Annual O&amp;M_2027</v>
      </c>
      <c r="DC1" s="69" t="str">
        <f t="shared" si="3"/>
        <v>Program_Incremental Annual O&amp;M_2028</v>
      </c>
      <c r="DD1" s="69" t="str">
        <f t="shared" si="3"/>
        <v>Program_Incremental Annual O&amp;M_2029</v>
      </c>
      <c r="DE1" s="69" t="str">
        <f t="shared" ref="DE1" si="10">DE3&amp;"_"&amp;DE4&amp;"_"&amp;DE5</f>
        <v>Program_Incremental Annual O&amp;M_2030</v>
      </c>
      <c r="DF1" s="69" t="str">
        <f t="shared" si="3"/>
        <v>Program_Customer &amp; Dealer Incentives_2024</v>
      </c>
      <c r="DG1" s="69" t="str">
        <f t="shared" si="3"/>
        <v>Program_Customer &amp; Dealer Incentives_2025</v>
      </c>
      <c r="DH1" s="69" t="str">
        <f t="shared" si="3"/>
        <v>Program_Customer &amp; Dealer Incentives_2026</v>
      </c>
      <c r="DI1" s="69" t="str">
        <f t="shared" si="3"/>
        <v>Program_Customer &amp; Dealer Incentives_2027</v>
      </c>
      <c r="DJ1" s="69" t="str">
        <f t="shared" si="3"/>
        <v>Program_Customer &amp; Dealer Incentives_2028</v>
      </c>
      <c r="DK1" s="69" t="str">
        <f t="shared" si="3"/>
        <v>Program_Customer &amp; Dealer Incentives_2029</v>
      </c>
      <c r="DL1" s="69" t="str">
        <f t="shared" ref="DL1" si="11">DL3&amp;"_"&amp;DL4&amp;"_"&amp;DL5</f>
        <v>Program_Customer &amp; Dealer Incentives_2030</v>
      </c>
      <c r="DM1" s="69" t="str">
        <f t="shared" si="3"/>
        <v>Program_Implementation Costs_2024</v>
      </c>
      <c r="DN1" s="69" t="str">
        <f t="shared" si="3"/>
        <v>Program_Implementation Costs_2025</v>
      </c>
      <c r="DO1" s="69" t="str">
        <f t="shared" si="3"/>
        <v>Program_Implementation Costs_2026</v>
      </c>
      <c r="DP1" s="69" t="str">
        <f t="shared" si="3"/>
        <v>Program_Implementation Costs_2027</v>
      </c>
      <c r="DQ1" s="69" t="str">
        <f t="shared" si="3"/>
        <v>Program_Implementation Costs_2028</v>
      </c>
      <c r="DR1" s="69" t="str">
        <f t="shared" si="3"/>
        <v>Program_Implementation Costs_2029</v>
      </c>
      <c r="DS1" s="69" t="str">
        <f t="shared" ref="DS1" si="12">DS3&amp;"_"&amp;DS4&amp;"_"&amp;DS5</f>
        <v>Program_Implementation Costs_2030</v>
      </c>
      <c r="DT1" s="69" t="str">
        <f t="shared" si="3"/>
        <v>Program_kWh _2024</v>
      </c>
      <c r="DU1" s="69" t="str">
        <f t="shared" si="3"/>
        <v>Program_kWh _2025</v>
      </c>
      <c r="DV1" s="69" t="str">
        <f t="shared" si="3"/>
        <v>Program_kWh _2026</v>
      </c>
      <c r="DW1" s="69" t="str">
        <f t="shared" si="3"/>
        <v>Program_kWh _2027</v>
      </c>
      <c r="DX1" s="69" t="str">
        <f t="shared" ref="DX1:EV1" si="13">DX3&amp;"_"&amp;DX4&amp;"_"&amp;DX5</f>
        <v>Program_kWh _2028</v>
      </c>
      <c r="DY1" s="69" t="str">
        <f t="shared" si="13"/>
        <v>Program_kWh _2029</v>
      </c>
      <c r="DZ1" s="69" t="str">
        <f t="shared" ref="DZ1" si="14">DZ3&amp;"_"&amp;DZ4&amp;"_"&amp;DZ5</f>
        <v>Program_kWh _2030</v>
      </c>
      <c r="EA1" s="69" t="str">
        <f t="shared" si="13"/>
        <v>Program_kW_2024</v>
      </c>
      <c r="EB1" s="69" t="str">
        <f t="shared" si="13"/>
        <v>Program_kW_2025</v>
      </c>
      <c r="EC1" s="69" t="str">
        <f t="shared" si="13"/>
        <v>Program_kW_2026</v>
      </c>
      <c r="ED1" s="69" t="str">
        <f t="shared" si="13"/>
        <v>Program_kW_2027</v>
      </c>
      <c r="EE1" s="69" t="str">
        <f t="shared" si="13"/>
        <v>Program_kW_2028</v>
      </c>
      <c r="EF1" s="69" t="str">
        <f t="shared" si="13"/>
        <v>Program_kW_2029</v>
      </c>
      <c r="EG1" s="69" t="str">
        <f t="shared" ref="EG1" si="15">EG3&amp;"_"&amp;EG4&amp;"_"&amp;EG5</f>
        <v>Program_kW_2030</v>
      </c>
      <c r="EH1" s="69" t="str">
        <f t="shared" si="13"/>
        <v>Program_Therms_2024</v>
      </c>
      <c r="EI1" s="69" t="str">
        <f t="shared" si="13"/>
        <v>Program_Therms_2025</v>
      </c>
      <c r="EJ1" s="69" t="str">
        <f t="shared" si="13"/>
        <v>Program_Therms_2026</v>
      </c>
      <c r="EK1" s="69" t="str">
        <f t="shared" si="13"/>
        <v>Program_Therms_2027</v>
      </c>
      <c r="EL1" s="69" t="str">
        <f t="shared" si="13"/>
        <v>Program_Therms_2028</v>
      </c>
      <c r="EM1" s="69" t="str">
        <f t="shared" si="13"/>
        <v>Program_Therms_2029</v>
      </c>
      <c r="EN1" s="69" t="str">
        <f t="shared" ref="EN1" si="16">EN3&amp;"_"&amp;EN4&amp;"_"&amp;EN5</f>
        <v>Program_Therms_2030</v>
      </c>
      <c r="EO1" s="69" t="str">
        <f t="shared" si="13"/>
        <v>_Total Plan Summary 2024-2030_Participation</v>
      </c>
      <c r="EP1" s="69" t="str">
        <f t="shared" si="13"/>
        <v>__Incremental Costs ($)</v>
      </c>
      <c r="EQ1" s="69" t="str">
        <f t="shared" si="13"/>
        <v>__Incremental Annual O&amp;M ($)</v>
      </c>
      <c r="ER1" s="69" t="str">
        <f t="shared" si="13"/>
        <v>__Customer &amp; Dealer Incentives ($)</v>
      </c>
      <c r="ES1" s="69" t="str">
        <f t="shared" si="13"/>
        <v>__Implementation Costs ($)</v>
      </c>
      <c r="ET1" s="69" t="str">
        <f t="shared" si="13"/>
        <v>__Electric kWh  Benefits</v>
      </c>
      <c r="EU1" s="69" t="str">
        <f t="shared" si="13"/>
        <v>__Electric kW Peak Demand Benefits</v>
      </c>
      <c r="EV1" s="69" t="str">
        <f t="shared" si="13"/>
        <v>__Natural Gas Therms Benefits</v>
      </c>
      <c r="EW1" s="2"/>
      <c r="EX1" s="2"/>
      <c r="EY1" s="2"/>
      <c r="EZ1" s="2"/>
      <c r="FA1" s="2"/>
      <c r="FB1" s="2"/>
      <c r="FC1" s="2"/>
      <c r="FD1" s="2"/>
      <c r="FE1" s="2"/>
    </row>
    <row r="2" spans="1:161" s="94" customFormat="1" ht="16" thickBot="1">
      <c r="A2" s="1" t="s">
        <v>62</v>
      </c>
      <c r="B2" s="4"/>
      <c r="C2" s="4"/>
      <c r="D2" s="5"/>
      <c r="E2" s="5"/>
      <c r="F2" s="5"/>
      <c r="G2" s="5"/>
      <c r="H2" s="5"/>
      <c r="I2" s="5"/>
      <c r="J2" s="5"/>
      <c r="K2" s="5"/>
      <c r="L2" s="5"/>
      <c r="M2" s="5"/>
      <c r="N2" s="5"/>
      <c r="O2" s="5"/>
      <c r="P2" s="5"/>
      <c r="Q2" s="5"/>
      <c r="R2" s="5"/>
      <c r="S2" s="5"/>
      <c r="T2" s="5"/>
      <c r="U2" s="6"/>
      <c r="V2" s="6"/>
      <c r="W2" s="6"/>
      <c r="X2" s="6"/>
      <c r="Y2" s="6"/>
      <c r="Z2" s="6"/>
      <c r="AA2" s="6"/>
      <c r="AB2" s="6"/>
      <c r="AC2" s="6"/>
      <c r="AD2" s="6"/>
      <c r="AE2" s="6"/>
      <c r="AF2" s="6"/>
      <c r="AG2" s="7"/>
      <c r="AH2" s="7"/>
      <c r="AI2" s="7"/>
      <c r="AJ2" s="7"/>
      <c r="AK2" s="7"/>
      <c r="AL2" s="7"/>
      <c r="AM2" s="7"/>
      <c r="AN2" s="7"/>
      <c r="AO2" s="5"/>
      <c r="AP2" s="5"/>
      <c r="AQ2" s="5"/>
      <c r="AR2" s="5"/>
      <c r="AS2" s="5"/>
      <c r="AT2" s="5"/>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337"/>
      <c r="BW2" s="1408"/>
      <c r="BX2" s="1408"/>
      <c r="BY2" s="1408"/>
      <c r="BZ2" s="1408"/>
      <c r="CA2" s="1408"/>
      <c r="CB2" s="1408"/>
      <c r="CC2" s="335"/>
      <c r="CD2" s="1408"/>
      <c r="CE2" s="1408"/>
      <c r="CF2" s="1408"/>
      <c r="CG2" s="1408"/>
      <c r="CH2" s="1408"/>
      <c r="CI2" s="1408"/>
      <c r="CJ2" s="335"/>
      <c r="CK2" s="1408"/>
      <c r="CL2" s="1408"/>
      <c r="CM2" s="1408"/>
      <c r="CN2" s="1408"/>
      <c r="CO2" s="1408"/>
      <c r="CP2" s="1408"/>
      <c r="CQ2" s="335"/>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337"/>
      <c r="DT2" s="1408"/>
      <c r="DU2" s="1408"/>
      <c r="DV2" s="1408"/>
      <c r="DW2" s="1408"/>
      <c r="DX2" s="1408"/>
      <c r="DY2" s="1408"/>
      <c r="DZ2" s="335"/>
      <c r="EA2" s="1408"/>
      <c r="EB2" s="1408"/>
      <c r="EC2" s="1408"/>
      <c r="ED2" s="1408"/>
      <c r="EE2" s="1408"/>
      <c r="EF2" s="1408"/>
      <c r="EG2" s="335"/>
      <c r="EH2" s="1367"/>
      <c r="EI2" s="1367"/>
      <c r="EJ2" s="1367"/>
      <c r="EK2" s="1367"/>
      <c r="EL2" s="1367"/>
      <c r="EM2" s="1367"/>
      <c r="EN2" s="279"/>
      <c r="EO2" s="5"/>
      <c r="EP2" s="5"/>
      <c r="EQ2" s="5"/>
      <c r="ER2" s="5"/>
      <c r="ES2" s="5"/>
      <c r="ET2" s="5"/>
      <c r="EU2" s="5"/>
      <c r="EV2" s="5"/>
      <c r="EW2" s="5"/>
      <c r="EX2" s="5"/>
      <c r="EY2" s="5"/>
      <c r="EZ2" s="5"/>
      <c r="FA2" s="5"/>
      <c r="FB2" s="5"/>
      <c r="FC2" s="5"/>
      <c r="FD2" s="5"/>
      <c r="FE2" s="5"/>
    </row>
    <row r="3" spans="1:161" s="93" customFormat="1">
      <c r="A3" s="2"/>
      <c r="B3" s="8"/>
      <c r="C3" s="356"/>
      <c r="D3" s="2"/>
      <c r="E3" s="2"/>
      <c r="F3" s="2"/>
      <c r="G3" s="2"/>
      <c r="H3" s="2"/>
      <c r="I3" s="2"/>
      <c r="J3" s="2"/>
      <c r="K3" s="2"/>
      <c r="L3" s="2"/>
      <c r="M3" s="2"/>
      <c r="N3" s="356"/>
      <c r="O3" s="2"/>
      <c r="P3" s="2"/>
      <c r="Q3" s="2"/>
      <c r="R3" s="2"/>
      <c r="S3" s="2"/>
      <c r="T3" s="2"/>
      <c r="U3" s="3"/>
      <c r="V3" s="3"/>
      <c r="W3" s="3"/>
      <c r="X3" s="3"/>
      <c r="Y3" s="3"/>
      <c r="Z3" s="3"/>
      <c r="AA3" s="3"/>
      <c r="AB3" s="3"/>
      <c r="AC3" s="3"/>
      <c r="AD3" s="3"/>
      <c r="AE3" s="3"/>
      <c r="AF3" s="3"/>
      <c r="AG3" s="9"/>
      <c r="AH3" s="9"/>
      <c r="AI3" s="9"/>
      <c r="AJ3" s="9"/>
      <c r="AK3" s="9"/>
      <c r="AL3" s="9"/>
      <c r="AM3" s="9"/>
      <c r="AN3" s="9"/>
      <c r="AO3" s="2"/>
      <c r="AP3" s="2"/>
      <c r="AQ3" s="2"/>
      <c r="AR3" s="2"/>
      <c r="AS3" s="2"/>
      <c r="AT3" s="2"/>
      <c r="AU3" s="109" t="s">
        <v>331</v>
      </c>
      <c r="AV3" s="110" t="s">
        <v>331</v>
      </c>
      <c r="AW3" s="110" t="s">
        <v>331</v>
      </c>
      <c r="AX3" s="110" t="s">
        <v>331</v>
      </c>
      <c r="AY3" s="110" t="s">
        <v>331</v>
      </c>
      <c r="AZ3" s="110" t="s">
        <v>331</v>
      </c>
      <c r="BA3" s="111" t="s">
        <v>331</v>
      </c>
      <c r="BB3" s="109" t="s">
        <v>331</v>
      </c>
      <c r="BC3" s="110" t="s">
        <v>331</v>
      </c>
      <c r="BD3" s="110" t="s">
        <v>331</v>
      </c>
      <c r="BE3" s="110" t="s">
        <v>331</v>
      </c>
      <c r="BF3" s="110" t="s">
        <v>331</v>
      </c>
      <c r="BG3" s="110" t="s">
        <v>331</v>
      </c>
      <c r="BH3" s="111" t="s">
        <v>331</v>
      </c>
      <c r="BI3" s="109" t="s">
        <v>331</v>
      </c>
      <c r="BJ3" s="110" t="s">
        <v>331</v>
      </c>
      <c r="BK3" s="110" t="s">
        <v>331</v>
      </c>
      <c r="BL3" s="110" t="s">
        <v>331</v>
      </c>
      <c r="BM3" s="110" t="s">
        <v>331</v>
      </c>
      <c r="BN3" s="110" t="s">
        <v>331</v>
      </c>
      <c r="BO3" s="111" t="s">
        <v>331</v>
      </c>
      <c r="BP3" s="109" t="s">
        <v>331</v>
      </c>
      <c r="BQ3" s="110" t="s">
        <v>331</v>
      </c>
      <c r="BR3" s="110" t="s">
        <v>331</v>
      </c>
      <c r="BS3" s="110" t="s">
        <v>331</v>
      </c>
      <c r="BT3" s="110" t="s">
        <v>331</v>
      </c>
      <c r="BU3" s="110" t="s">
        <v>331</v>
      </c>
      <c r="BV3" s="111" t="s">
        <v>331</v>
      </c>
      <c r="BW3" s="112" t="s">
        <v>331</v>
      </c>
      <c r="BX3" s="113" t="s">
        <v>331</v>
      </c>
      <c r="BY3" s="113" t="s">
        <v>331</v>
      </c>
      <c r="BZ3" s="113" t="s">
        <v>331</v>
      </c>
      <c r="CA3" s="113" t="s">
        <v>331</v>
      </c>
      <c r="CB3" s="113" t="s">
        <v>331</v>
      </c>
      <c r="CC3" s="114" t="s">
        <v>331</v>
      </c>
      <c r="CD3" s="113" t="s">
        <v>331</v>
      </c>
      <c r="CE3" s="113" t="s">
        <v>331</v>
      </c>
      <c r="CF3" s="113" t="s">
        <v>331</v>
      </c>
      <c r="CG3" s="113" t="s">
        <v>331</v>
      </c>
      <c r="CH3" s="113" t="s">
        <v>331</v>
      </c>
      <c r="CI3" s="113" t="s">
        <v>331</v>
      </c>
      <c r="CJ3" s="114" t="s">
        <v>331</v>
      </c>
      <c r="CK3" s="112" t="s">
        <v>331</v>
      </c>
      <c r="CL3" s="113" t="s">
        <v>331</v>
      </c>
      <c r="CM3" s="113" t="s">
        <v>331</v>
      </c>
      <c r="CN3" s="113" t="s">
        <v>331</v>
      </c>
      <c r="CO3" s="113" t="s">
        <v>331</v>
      </c>
      <c r="CP3" s="113" t="s">
        <v>331</v>
      </c>
      <c r="CQ3" s="114" t="s">
        <v>331</v>
      </c>
      <c r="CR3" s="109" t="s">
        <v>0</v>
      </c>
      <c r="CS3" s="110" t="s">
        <v>0</v>
      </c>
      <c r="CT3" s="110" t="s">
        <v>0</v>
      </c>
      <c r="CU3" s="110" t="s">
        <v>0</v>
      </c>
      <c r="CV3" s="110" t="s">
        <v>0</v>
      </c>
      <c r="CW3" s="110" t="s">
        <v>0</v>
      </c>
      <c r="CX3" s="111" t="s">
        <v>0</v>
      </c>
      <c r="CY3" s="109" t="s">
        <v>0</v>
      </c>
      <c r="CZ3" s="110" t="s">
        <v>0</v>
      </c>
      <c r="DA3" s="110" t="s">
        <v>0</v>
      </c>
      <c r="DB3" s="110" t="s">
        <v>0</v>
      </c>
      <c r="DC3" s="110" t="s">
        <v>0</v>
      </c>
      <c r="DD3" s="110" t="s">
        <v>0</v>
      </c>
      <c r="DE3" s="111" t="s">
        <v>0</v>
      </c>
      <c r="DF3" s="109" t="s">
        <v>0</v>
      </c>
      <c r="DG3" s="110" t="s">
        <v>0</v>
      </c>
      <c r="DH3" s="110" t="s">
        <v>0</v>
      </c>
      <c r="DI3" s="110" t="s">
        <v>0</v>
      </c>
      <c r="DJ3" s="110" t="s">
        <v>0</v>
      </c>
      <c r="DK3" s="110" t="s">
        <v>0</v>
      </c>
      <c r="DL3" s="111" t="s">
        <v>0</v>
      </c>
      <c r="DM3" s="109" t="s">
        <v>0</v>
      </c>
      <c r="DN3" s="110" t="s">
        <v>0</v>
      </c>
      <c r="DO3" s="110" t="s">
        <v>0</v>
      </c>
      <c r="DP3" s="110" t="s">
        <v>0</v>
      </c>
      <c r="DQ3" s="110" t="s">
        <v>0</v>
      </c>
      <c r="DR3" s="110" t="s">
        <v>0</v>
      </c>
      <c r="DS3" s="111" t="s">
        <v>0</v>
      </c>
      <c r="DT3" s="115" t="s">
        <v>0</v>
      </c>
      <c r="DU3" s="116" t="s">
        <v>0</v>
      </c>
      <c r="DV3" s="116" t="s">
        <v>0</v>
      </c>
      <c r="DW3" s="116" t="s">
        <v>0</v>
      </c>
      <c r="DX3" s="116" t="s">
        <v>0</v>
      </c>
      <c r="DY3" s="116" t="s">
        <v>0</v>
      </c>
      <c r="DZ3" s="117" t="s">
        <v>0</v>
      </c>
      <c r="EA3" s="115" t="s">
        <v>0</v>
      </c>
      <c r="EB3" s="116" t="s">
        <v>0</v>
      </c>
      <c r="EC3" s="116" t="s">
        <v>0</v>
      </c>
      <c r="ED3" s="116" t="s">
        <v>0</v>
      </c>
      <c r="EE3" s="116" t="s">
        <v>0</v>
      </c>
      <c r="EF3" s="116" t="s">
        <v>0</v>
      </c>
      <c r="EG3" s="117" t="s">
        <v>0</v>
      </c>
      <c r="EH3" s="115" t="s">
        <v>0</v>
      </c>
      <c r="EI3" s="116" t="s">
        <v>0</v>
      </c>
      <c r="EJ3" s="116" t="s">
        <v>0</v>
      </c>
      <c r="EK3" s="116" t="s">
        <v>0</v>
      </c>
      <c r="EL3" s="116" t="s">
        <v>0</v>
      </c>
      <c r="EM3" s="116" t="s">
        <v>0</v>
      </c>
      <c r="EN3" s="117" t="s">
        <v>0</v>
      </c>
      <c r="EO3" s="2"/>
      <c r="EP3" s="2"/>
      <c r="EQ3" s="2"/>
      <c r="ER3" s="2"/>
      <c r="ES3" s="2"/>
      <c r="ET3" s="2"/>
      <c r="EU3" s="2"/>
      <c r="EV3" s="2"/>
      <c r="EW3" s="2"/>
      <c r="EX3" s="2"/>
      <c r="EY3" s="2"/>
      <c r="EZ3" s="2"/>
      <c r="FA3" s="2"/>
      <c r="FB3" s="2"/>
      <c r="FC3" s="2"/>
      <c r="FD3" s="2"/>
      <c r="FE3" s="2"/>
    </row>
    <row r="4" spans="1:161" s="93" customFormat="1" ht="39">
      <c r="A4" s="656" t="s">
        <v>127</v>
      </c>
      <c r="B4" s="656"/>
      <c r="C4" s="656"/>
      <c r="D4" s="656"/>
      <c r="E4" s="656"/>
      <c r="F4" s="1370" t="s">
        <v>332</v>
      </c>
      <c r="G4" s="1370"/>
      <c r="H4" s="1370"/>
      <c r="I4" s="1370"/>
      <c r="J4" s="1370"/>
      <c r="K4" s="1370"/>
      <c r="L4" s="1370"/>
      <c r="M4" s="1370"/>
      <c r="N4" s="1370"/>
      <c r="O4" s="1370"/>
      <c r="P4" s="1370"/>
      <c r="Q4" s="1373" t="s">
        <v>333</v>
      </c>
      <c r="R4" s="1373"/>
      <c r="S4" s="1373"/>
      <c r="T4" s="1373"/>
      <c r="U4" s="1374" t="s">
        <v>334</v>
      </c>
      <c r="V4" s="1374"/>
      <c r="W4" s="1374"/>
      <c r="X4" s="1374"/>
      <c r="Y4" s="1374"/>
      <c r="Z4" s="1374"/>
      <c r="AA4" s="1374"/>
      <c r="AB4" s="440"/>
      <c r="AC4" s="440"/>
      <c r="AD4" s="1376" t="s">
        <v>335</v>
      </c>
      <c r="AE4" s="1376"/>
      <c r="AF4" s="1376"/>
      <c r="AG4" s="1376"/>
      <c r="AH4" s="1376"/>
      <c r="AI4" s="1376"/>
      <c r="AJ4" s="1376"/>
      <c r="AK4" s="1376"/>
      <c r="AL4" s="1376"/>
      <c r="AM4" s="1376"/>
      <c r="AN4" s="1376"/>
      <c r="AO4" s="1376"/>
      <c r="AP4" s="1376"/>
      <c r="AQ4" s="1376"/>
      <c r="AR4" s="687" t="s">
        <v>336</v>
      </c>
      <c r="AS4" s="1376" t="s">
        <v>337</v>
      </c>
      <c r="AT4" s="1376"/>
      <c r="AU4" s="688" t="s">
        <v>128</v>
      </c>
      <c r="AV4" s="476" t="s">
        <v>128</v>
      </c>
      <c r="AW4" s="476" t="s">
        <v>128</v>
      </c>
      <c r="AX4" s="476" t="s">
        <v>128</v>
      </c>
      <c r="AY4" s="476" t="s">
        <v>128</v>
      </c>
      <c r="AZ4" s="476" t="s">
        <v>128</v>
      </c>
      <c r="BA4" s="689" t="s">
        <v>128</v>
      </c>
      <c r="BB4" s="688" t="s">
        <v>129</v>
      </c>
      <c r="BC4" s="476" t="s">
        <v>129</v>
      </c>
      <c r="BD4" s="476" t="s">
        <v>129</v>
      </c>
      <c r="BE4" s="476" t="s">
        <v>129</v>
      </c>
      <c r="BF4" s="476" t="s">
        <v>129</v>
      </c>
      <c r="BG4" s="476" t="s">
        <v>129</v>
      </c>
      <c r="BH4" s="689" t="s">
        <v>129</v>
      </c>
      <c r="BI4" s="688" t="s">
        <v>130</v>
      </c>
      <c r="BJ4" s="476" t="s">
        <v>130</v>
      </c>
      <c r="BK4" s="476" t="s">
        <v>130</v>
      </c>
      <c r="BL4" s="476" t="s">
        <v>130</v>
      </c>
      <c r="BM4" s="476" t="s">
        <v>130</v>
      </c>
      <c r="BN4" s="476" t="s">
        <v>130</v>
      </c>
      <c r="BO4" s="689" t="s">
        <v>130</v>
      </c>
      <c r="BP4" s="688" t="s">
        <v>338</v>
      </c>
      <c r="BQ4" s="476" t="s">
        <v>338</v>
      </c>
      <c r="BR4" s="476" t="s">
        <v>338</v>
      </c>
      <c r="BS4" s="476" t="s">
        <v>338</v>
      </c>
      <c r="BT4" s="476" t="s">
        <v>338</v>
      </c>
      <c r="BU4" s="476" t="s">
        <v>338</v>
      </c>
      <c r="BV4" s="689" t="s">
        <v>338</v>
      </c>
      <c r="BW4" s="690" t="s">
        <v>131</v>
      </c>
      <c r="BX4" s="477" t="s">
        <v>131</v>
      </c>
      <c r="BY4" s="477" t="s">
        <v>131</v>
      </c>
      <c r="BZ4" s="477" t="s">
        <v>131</v>
      </c>
      <c r="CA4" s="477" t="s">
        <v>131</v>
      </c>
      <c r="CB4" s="477" t="s">
        <v>131</v>
      </c>
      <c r="CC4" s="691" t="s">
        <v>131</v>
      </c>
      <c r="CD4" s="477" t="s">
        <v>132</v>
      </c>
      <c r="CE4" s="477" t="s">
        <v>132</v>
      </c>
      <c r="CF4" s="477" t="s">
        <v>132</v>
      </c>
      <c r="CG4" s="477" t="s">
        <v>132</v>
      </c>
      <c r="CH4" s="477" t="s">
        <v>132</v>
      </c>
      <c r="CI4" s="477" t="s">
        <v>132</v>
      </c>
      <c r="CJ4" s="691" t="s">
        <v>132</v>
      </c>
      <c r="CK4" s="690" t="s">
        <v>133</v>
      </c>
      <c r="CL4" s="477" t="s">
        <v>133</v>
      </c>
      <c r="CM4" s="477" t="s">
        <v>133</v>
      </c>
      <c r="CN4" s="477" t="s">
        <v>133</v>
      </c>
      <c r="CO4" s="477" t="s">
        <v>133</v>
      </c>
      <c r="CP4" s="477" t="s">
        <v>133</v>
      </c>
      <c r="CQ4" s="691" t="s">
        <v>133</v>
      </c>
      <c r="CR4" s="688" t="s">
        <v>128</v>
      </c>
      <c r="CS4" s="476" t="s">
        <v>128</v>
      </c>
      <c r="CT4" s="476" t="s">
        <v>128</v>
      </c>
      <c r="CU4" s="476" t="s">
        <v>128</v>
      </c>
      <c r="CV4" s="476" t="s">
        <v>128</v>
      </c>
      <c r="CW4" s="476" t="s">
        <v>128</v>
      </c>
      <c r="CX4" s="689" t="s">
        <v>128</v>
      </c>
      <c r="CY4" s="688" t="s">
        <v>129</v>
      </c>
      <c r="CZ4" s="476" t="s">
        <v>129</v>
      </c>
      <c r="DA4" s="476" t="s">
        <v>129</v>
      </c>
      <c r="DB4" s="476" t="s">
        <v>129</v>
      </c>
      <c r="DC4" s="476" t="s">
        <v>129</v>
      </c>
      <c r="DD4" s="476" t="s">
        <v>129</v>
      </c>
      <c r="DE4" s="689" t="s">
        <v>129</v>
      </c>
      <c r="DF4" s="688" t="s">
        <v>130</v>
      </c>
      <c r="DG4" s="476" t="s">
        <v>130</v>
      </c>
      <c r="DH4" s="476" t="s">
        <v>130</v>
      </c>
      <c r="DI4" s="476" t="s">
        <v>130</v>
      </c>
      <c r="DJ4" s="476" t="s">
        <v>130</v>
      </c>
      <c r="DK4" s="476" t="s">
        <v>130</v>
      </c>
      <c r="DL4" s="689" t="s">
        <v>130</v>
      </c>
      <c r="DM4" s="688" t="s">
        <v>165</v>
      </c>
      <c r="DN4" s="476" t="s">
        <v>165</v>
      </c>
      <c r="DO4" s="476" t="s">
        <v>165</v>
      </c>
      <c r="DP4" s="476" t="s">
        <v>165</v>
      </c>
      <c r="DQ4" s="476" t="s">
        <v>165</v>
      </c>
      <c r="DR4" s="476" t="s">
        <v>165</v>
      </c>
      <c r="DS4" s="689" t="s">
        <v>165</v>
      </c>
      <c r="DT4" s="690" t="s">
        <v>131</v>
      </c>
      <c r="DU4" s="477" t="s">
        <v>131</v>
      </c>
      <c r="DV4" s="477" t="s">
        <v>131</v>
      </c>
      <c r="DW4" s="477" t="s">
        <v>131</v>
      </c>
      <c r="DX4" s="477" t="s">
        <v>131</v>
      </c>
      <c r="DY4" s="477" t="s">
        <v>131</v>
      </c>
      <c r="DZ4" s="691" t="s">
        <v>131</v>
      </c>
      <c r="EA4" s="690" t="s">
        <v>132</v>
      </c>
      <c r="EB4" s="477" t="s">
        <v>132</v>
      </c>
      <c r="EC4" s="477" t="s">
        <v>132</v>
      </c>
      <c r="ED4" s="477" t="s">
        <v>132</v>
      </c>
      <c r="EE4" s="477" t="s">
        <v>132</v>
      </c>
      <c r="EF4" s="477" t="s">
        <v>132</v>
      </c>
      <c r="EG4" s="691" t="s">
        <v>132</v>
      </c>
      <c r="EH4" s="690" t="s">
        <v>133</v>
      </c>
      <c r="EI4" s="477" t="s">
        <v>133</v>
      </c>
      <c r="EJ4" s="477" t="s">
        <v>133</v>
      </c>
      <c r="EK4" s="477" t="s">
        <v>133</v>
      </c>
      <c r="EL4" s="477" t="s">
        <v>133</v>
      </c>
      <c r="EM4" s="477" t="s">
        <v>133</v>
      </c>
      <c r="EN4" s="691" t="s">
        <v>133</v>
      </c>
      <c r="EO4" s="1345" t="s">
        <v>134</v>
      </c>
      <c r="EP4" s="1342"/>
      <c r="EQ4" s="1342"/>
      <c r="ER4" s="1342"/>
      <c r="ES4" s="1342"/>
      <c r="ET4" s="1342"/>
      <c r="EU4" s="1342"/>
      <c r="EV4" s="1342"/>
      <c r="EW4" s="2"/>
      <c r="EX4" s="2"/>
      <c r="EY4" s="2"/>
      <c r="EZ4" s="2"/>
      <c r="FA4" s="2"/>
      <c r="FB4" s="2"/>
      <c r="FC4" s="2"/>
      <c r="FD4" s="2"/>
      <c r="FE4" s="2"/>
    </row>
    <row r="5" spans="1:161" s="93" customFormat="1" ht="39.5" thickBot="1">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58" t="s">
        <v>15</v>
      </c>
      <c r="X5" s="658" t="s">
        <v>16</v>
      </c>
      <c r="Y5" s="658" t="s">
        <v>17</v>
      </c>
      <c r="Z5" s="658" t="s">
        <v>18</v>
      </c>
      <c r="AA5" s="658" t="s">
        <v>19</v>
      </c>
      <c r="AB5" s="658" t="s">
        <v>20</v>
      </c>
      <c r="AC5" s="658" t="s">
        <v>21</v>
      </c>
      <c r="AD5" s="697" t="s">
        <v>359</v>
      </c>
      <c r="AE5" s="697" t="s">
        <v>166</v>
      </c>
      <c r="AF5" s="697" t="s">
        <v>360</v>
      </c>
      <c r="AG5" s="697" t="s">
        <v>361</v>
      </c>
      <c r="AH5" s="697" t="s">
        <v>362</v>
      </c>
      <c r="AI5" s="697" t="s">
        <v>363</v>
      </c>
      <c r="AJ5" s="697" t="s">
        <v>364</v>
      </c>
      <c r="AK5" s="697" t="s">
        <v>365</v>
      </c>
      <c r="AL5" s="698" t="s">
        <v>167</v>
      </c>
      <c r="AM5" s="698" t="s">
        <v>168</v>
      </c>
      <c r="AN5" s="698" t="s">
        <v>169</v>
      </c>
      <c r="AO5" s="697" t="s">
        <v>170</v>
      </c>
      <c r="AP5" s="697" t="s">
        <v>366</v>
      </c>
      <c r="AQ5" s="699" t="s">
        <v>367</v>
      </c>
      <c r="AR5" s="699" t="s">
        <v>368</v>
      </c>
      <c r="AS5" s="699" t="s">
        <v>369</v>
      </c>
      <c r="AT5" s="699" t="s">
        <v>370</v>
      </c>
      <c r="AU5" s="700">
        <v>2024</v>
      </c>
      <c r="AV5" s="486">
        <v>2025</v>
      </c>
      <c r="AW5" s="486">
        <v>2026</v>
      </c>
      <c r="AX5" s="486">
        <v>2027</v>
      </c>
      <c r="AY5" s="486">
        <v>2028</v>
      </c>
      <c r="AZ5" s="486">
        <v>2029</v>
      </c>
      <c r="BA5" s="910">
        <v>2030</v>
      </c>
      <c r="BB5" s="700">
        <v>2024</v>
      </c>
      <c r="BC5" s="486">
        <v>2025</v>
      </c>
      <c r="BD5" s="486">
        <v>2026</v>
      </c>
      <c r="BE5" s="486">
        <v>2027</v>
      </c>
      <c r="BF5" s="486">
        <v>2028</v>
      </c>
      <c r="BG5" s="486">
        <v>2029</v>
      </c>
      <c r="BH5" s="910">
        <v>2030</v>
      </c>
      <c r="BI5" s="700">
        <v>2024</v>
      </c>
      <c r="BJ5" s="486">
        <v>2025</v>
      </c>
      <c r="BK5" s="486">
        <v>2026</v>
      </c>
      <c r="BL5" s="486">
        <v>2027</v>
      </c>
      <c r="BM5" s="486">
        <v>2028</v>
      </c>
      <c r="BN5" s="486">
        <v>2029</v>
      </c>
      <c r="BO5" s="910">
        <v>2030</v>
      </c>
      <c r="BP5" s="700">
        <v>2024</v>
      </c>
      <c r="BQ5" s="486">
        <v>2025</v>
      </c>
      <c r="BR5" s="486">
        <v>2026</v>
      </c>
      <c r="BS5" s="486">
        <v>2027</v>
      </c>
      <c r="BT5" s="486">
        <v>2028</v>
      </c>
      <c r="BU5" s="486">
        <v>2029</v>
      </c>
      <c r="BV5" s="910">
        <v>2030</v>
      </c>
      <c r="BW5" s="1181">
        <v>2024</v>
      </c>
      <c r="BX5" s="480">
        <v>2025</v>
      </c>
      <c r="BY5" s="480">
        <v>2026</v>
      </c>
      <c r="BZ5" s="480">
        <v>2027</v>
      </c>
      <c r="CA5" s="480">
        <v>2028</v>
      </c>
      <c r="CB5" s="480">
        <v>2029</v>
      </c>
      <c r="CC5" s="1182">
        <v>2030</v>
      </c>
      <c r="CD5" s="480">
        <v>2024</v>
      </c>
      <c r="CE5" s="480">
        <v>2025</v>
      </c>
      <c r="CF5" s="480">
        <v>2026</v>
      </c>
      <c r="CG5" s="480">
        <v>2027</v>
      </c>
      <c r="CH5" s="480">
        <v>2028</v>
      </c>
      <c r="CI5" s="480">
        <v>2029</v>
      </c>
      <c r="CJ5" s="1182">
        <v>2030</v>
      </c>
      <c r="CK5" s="1181">
        <v>2024</v>
      </c>
      <c r="CL5" s="480">
        <v>2025</v>
      </c>
      <c r="CM5" s="480">
        <v>2026</v>
      </c>
      <c r="CN5" s="480">
        <v>2027</v>
      </c>
      <c r="CO5" s="480">
        <v>2028</v>
      </c>
      <c r="CP5" s="480">
        <v>2029</v>
      </c>
      <c r="CQ5" s="1182">
        <v>2030</v>
      </c>
      <c r="CR5" s="351">
        <v>2024</v>
      </c>
      <c r="CS5" s="352">
        <v>2025</v>
      </c>
      <c r="CT5" s="352">
        <v>2026</v>
      </c>
      <c r="CU5" s="352">
        <v>2027</v>
      </c>
      <c r="CV5" s="352">
        <v>2028</v>
      </c>
      <c r="CW5" s="352">
        <v>2029</v>
      </c>
      <c r="CX5" s="543">
        <v>2030</v>
      </c>
      <c r="CY5" s="351">
        <v>2024</v>
      </c>
      <c r="CZ5" s="352">
        <v>2025</v>
      </c>
      <c r="DA5" s="352">
        <v>2026</v>
      </c>
      <c r="DB5" s="352">
        <v>2027</v>
      </c>
      <c r="DC5" s="352">
        <v>2028</v>
      </c>
      <c r="DD5" s="352">
        <v>2029</v>
      </c>
      <c r="DE5" s="543">
        <v>2030</v>
      </c>
      <c r="DF5" s="351">
        <v>2024</v>
      </c>
      <c r="DG5" s="352">
        <v>2025</v>
      </c>
      <c r="DH5" s="352">
        <v>2026</v>
      </c>
      <c r="DI5" s="352">
        <v>2027</v>
      </c>
      <c r="DJ5" s="352">
        <v>2028</v>
      </c>
      <c r="DK5" s="352">
        <v>2029</v>
      </c>
      <c r="DL5" s="543">
        <v>2030</v>
      </c>
      <c r="DM5" s="351">
        <v>2024</v>
      </c>
      <c r="DN5" s="352">
        <v>2025</v>
      </c>
      <c r="DO5" s="352">
        <v>2026</v>
      </c>
      <c r="DP5" s="352">
        <v>2027</v>
      </c>
      <c r="DQ5" s="352">
        <v>2028</v>
      </c>
      <c r="DR5" s="352">
        <v>2029</v>
      </c>
      <c r="DS5" s="543">
        <v>2030</v>
      </c>
      <c r="DT5" s="1181">
        <v>2024</v>
      </c>
      <c r="DU5" s="480">
        <v>2025</v>
      </c>
      <c r="DV5" s="480">
        <v>2026</v>
      </c>
      <c r="DW5" s="480">
        <v>2027</v>
      </c>
      <c r="DX5" s="480">
        <v>2028</v>
      </c>
      <c r="DY5" s="480">
        <v>2029</v>
      </c>
      <c r="DZ5" s="1182">
        <v>2030</v>
      </c>
      <c r="EA5" s="1181">
        <v>2024</v>
      </c>
      <c r="EB5" s="480">
        <v>2025</v>
      </c>
      <c r="EC5" s="480">
        <v>2026</v>
      </c>
      <c r="ED5" s="480">
        <v>2027</v>
      </c>
      <c r="EE5" s="480">
        <v>2028</v>
      </c>
      <c r="EF5" s="480">
        <v>2029</v>
      </c>
      <c r="EG5" s="1182">
        <v>2030</v>
      </c>
      <c r="EH5" s="354">
        <v>2024</v>
      </c>
      <c r="EI5" s="355">
        <v>2025</v>
      </c>
      <c r="EJ5" s="355">
        <v>2026</v>
      </c>
      <c r="EK5" s="355">
        <v>2027</v>
      </c>
      <c r="EL5" s="355">
        <v>2028</v>
      </c>
      <c r="EM5" s="355">
        <v>2029</v>
      </c>
      <c r="EN5" s="544">
        <v>2030</v>
      </c>
      <c r="EO5" s="514" t="s">
        <v>9</v>
      </c>
      <c r="EP5" s="659" t="s">
        <v>139</v>
      </c>
      <c r="EQ5" s="659" t="s">
        <v>140</v>
      </c>
      <c r="ER5" s="659" t="s">
        <v>141</v>
      </c>
      <c r="ES5" s="659" t="s">
        <v>142</v>
      </c>
      <c r="ET5" s="659" t="s">
        <v>12</v>
      </c>
      <c r="EU5" s="659" t="s">
        <v>13</v>
      </c>
      <c r="EV5" s="659" t="s">
        <v>14</v>
      </c>
      <c r="EW5" s="2"/>
      <c r="EX5" s="2"/>
      <c r="EY5" s="2"/>
      <c r="EZ5" s="2"/>
      <c r="FA5" s="2"/>
      <c r="FB5" s="2"/>
      <c r="FC5" s="2"/>
      <c r="FD5" s="2"/>
      <c r="FE5" s="2"/>
    </row>
    <row r="6" spans="1:161" s="96" customFormat="1" ht="12.5">
      <c r="A6" s="662">
        <v>1</v>
      </c>
      <c r="B6" s="703" t="s">
        <v>1653</v>
      </c>
      <c r="C6" s="715" t="s">
        <v>1654</v>
      </c>
      <c r="D6" s="715" t="s">
        <v>1514</v>
      </c>
      <c r="E6" s="703" t="s">
        <v>1515</v>
      </c>
      <c r="F6" s="1134" t="s">
        <v>402</v>
      </c>
      <c r="G6" s="1183">
        <v>0</v>
      </c>
      <c r="H6" s="704">
        <v>0</v>
      </c>
      <c r="I6" s="706">
        <f>G6+H6</f>
        <v>0</v>
      </c>
      <c r="J6" s="704">
        <v>0</v>
      </c>
      <c r="K6" s="704" t="s">
        <v>378</v>
      </c>
      <c r="L6" s="704" t="s">
        <v>378</v>
      </c>
      <c r="M6" s="715">
        <v>0</v>
      </c>
      <c r="N6" s="707">
        <f>10*13</f>
        <v>130</v>
      </c>
      <c r="O6" s="707">
        <v>0</v>
      </c>
      <c r="P6" s="707">
        <f>3*12</f>
        <v>36</v>
      </c>
      <c r="Q6" s="1184">
        <v>0</v>
      </c>
      <c r="R6" s="1185">
        <v>0.47974413646055442</v>
      </c>
      <c r="S6" s="715">
        <v>0</v>
      </c>
      <c r="T6" s="711" t="s">
        <v>1655</v>
      </c>
      <c r="U6" s="1124"/>
      <c r="V6" s="781">
        <v>1</v>
      </c>
      <c r="W6" s="781">
        <v>1233</v>
      </c>
      <c r="X6" s="781">
        <v>1621</v>
      </c>
      <c r="Y6" s="781">
        <v>2619</v>
      </c>
      <c r="Z6" s="781">
        <f>Y6</f>
        <v>2619</v>
      </c>
      <c r="AA6" s="781">
        <f t="shared" ref="AA6:AC6" si="17">Z6</f>
        <v>2619</v>
      </c>
      <c r="AB6" s="781">
        <f t="shared" si="17"/>
        <v>2619</v>
      </c>
      <c r="AC6" s="781">
        <f t="shared" si="17"/>
        <v>2619</v>
      </c>
      <c r="AD6" s="711" t="s">
        <v>384</v>
      </c>
      <c r="AE6" s="711" t="s">
        <v>375</v>
      </c>
      <c r="AF6" s="1024" t="s">
        <v>377</v>
      </c>
      <c r="AG6" s="1126" t="s">
        <v>454</v>
      </c>
      <c r="AH6" s="711" t="s">
        <v>1</v>
      </c>
      <c r="AI6" s="711" t="s">
        <v>378</v>
      </c>
      <c r="AJ6" s="711" t="s">
        <v>378</v>
      </c>
      <c r="AK6" s="711" t="s">
        <v>378</v>
      </c>
      <c r="AL6" s="715" t="s">
        <v>406</v>
      </c>
      <c r="AM6" s="715" t="s">
        <v>380</v>
      </c>
      <c r="AN6" s="715" t="s">
        <v>381</v>
      </c>
      <c r="AO6" s="711">
        <v>1</v>
      </c>
      <c r="AP6" s="711">
        <v>1</v>
      </c>
      <c r="AQ6" s="711" t="s">
        <v>1534</v>
      </c>
      <c r="AR6" s="716">
        <v>1</v>
      </c>
      <c r="AS6" s="716">
        <v>1</v>
      </c>
      <c r="AT6" s="717">
        <v>0</v>
      </c>
      <c r="AU6" s="718">
        <f t="shared" ref="AU6:AU14" si="18">I6</f>
        <v>0</v>
      </c>
      <c r="AV6" s="1186">
        <f>AU6</f>
        <v>0</v>
      </c>
      <c r="AW6" s="1186">
        <f>AV6</f>
        <v>0</v>
      </c>
      <c r="AX6" s="1186">
        <f>AU6</f>
        <v>0</v>
      </c>
      <c r="AY6" s="1186">
        <f>AV6</f>
        <v>0</v>
      </c>
      <c r="AZ6" s="1186">
        <f>AW6</f>
        <v>0</v>
      </c>
      <c r="BA6" s="719">
        <f>AX6</f>
        <v>0</v>
      </c>
      <c r="BB6" s="774">
        <f>J6</f>
        <v>0</v>
      </c>
      <c r="BC6" s="503">
        <f t="shared" ref="BC6:BH6" si="19">BB6</f>
        <v>0</v>
      </c>
      <c r="BD6" s="503">
        <f t="shared" si="19"/>
        <v>0</v>
      </c>
      <c r="BE6" s="503">
        <f t="shared" si="19"/>
        <v>0</v>
      </c>
      <c r="BF6" s="503">
        <f t="shared" si="19"/>
        <v>0</v>
      </c>
      <c r="BG6" s="503">
        <f t="shared" si="19"/>
        <v>0</v>
      </c>
      <c r="BH6" s="776">
        <f t="shared" si="19"/>
        <v>0</v>
      </c>
      <c r="BI6" s="774">
        <f>IFERROR(N6+O6+W6*50/W6,0)</f>
        <v>180</v>
      </c>
      <c r="BJ6" s="503">
        <f>IFERROR($N6+$O6+(X6-W6)*50/X6,0)</f>
        <v>141.96792103639729</v>
      </c>
      <c r="BK6" s="503">
        <f t="shared" ref="BK6:BO14" si="20">IFERROR($N6+$O6+(Y6-X6)*50/Y6,0)</f>
        <v>149.05307369224894</v>
      </c>
      <c r="BL6" s="503">
        <f t="shared" si="20"/>
        <v>130</v>
      </c>
      <c r="BM6" s="503">
        <f t="shared" si="20"/>
        <v>130</v>
      </c>
      <c r="BN6" s="503">
        <f t="shared" si="20"/>
        <v>130</v>
      </c>
      <c r="BO6" s="776">
        <f t="shared" si="20"/>
        <v>130</v>
      </c>
      <c r="BP6" s="774">
        <f>$P6</f>
        <v>36</v>
      </c>
      <c r="BQ6" s="503">
        <f t="shared" ref="BP6:BV28" si="21">$P6</f>
        <v>36</v>
      </c>
      <c r="BR6" s="503">
        <f t="shared" si="21"/>
        <v>36</v>
      </c>
      <c r="BS6" s="503">
        <f t="shared" si="21"/>
        <v>36</v>
      </c>
      <c r="BT6" s="503">
        <f t="shared" si="21"/>
        <v>36</v>
      </c>
      <c r="BU6" s="503">
        <f t="shared" si="21"/>
        <v>36</v>
      </c>
      <c r="BV6" s="776">
        <f t="shared" si="21"/>
        <v>36</v>
      </c>
      <c r="BW6" s="722">
        <f t="shared" ref="BW6:BW13" si="22">Q6*AS6</f>
        <v>0</v>
      </c>
      <c r="BX6" s="511">
        <f>BW6</f>
        <v>0</v>
      </c>
      <c r="BY6" s="511">
        <f t="shared" ref="BX6:BZ7" si="23">BX6</f>
        <v>0</v>
      </c>
      <c r="BZ6" s="511">
        <f t="shared" si="23"/>
        <v>0</v>
      </c>
      <c r="CA6" s="511">
        <f t="shared" ref="CA6:CC6" si="24">BZ6</f>
        <v>0</v>
      </c>
      <c r="CB6" s="511">
        <f t="shared" si="24"/>
        <v>0</v>
      </c>
      <c r="CC6" s="723">
        <f t="shared" si="24"/>
        <v>0</v>
      </c>
      <c r="CD6" s="511">
        <f t="shared" ref="CD6:CD14" si="25">R6*AS6</f>
        <v>0.47974413646055442</v>
      </c>
      <c r="CE6" s="511">
        <f t="shared" ref="CE6:CG7" si="26">CD6</f>
        <v>0.47974413646055442</v>
      </c>
      <c r="CF6" s="511">
        <f t="shared" si="26"/>
        <v>0.47974413646055442</v>
      </c>
      <c r="CG6" s="511">
        <f t="shared" si="26"/>
        <v>0.47974413646055442</v>
      </c>
      <c r="CH6" s="511">
        <f t="shared" ref="CH6:CJ6" si="27">CG6</f>
        <v>0.47974413646055442</v>
      </c>
      <c r="CI6" s="511">
        <f t="shared" si="27"/>
        <v>0.47974413646055442</v>
      </c>
      <c r="CJ6" s="723">
        <f t="shared" si="27"/>
        <v>0.47974413646055442</v>
      </c>
      <c r="CK6" s="722">
        <f t="shared" ref="CK6:CK14" si="28">S6*AT6</f>
        <v>0</v>
      </c>
      <c r="CL6" s="511">
        <f t="shared" ref="CL6:CN7" si="29">CK6</f>
        <v>0</v>
      </c>
      <c r="CM6" s="511">
        <f t="shared" si="29"/>
        <v>0</v>
      </c>
      <c r="CN6" s="511">
        <f t="shared" si="29"/>
        <v>0</v>
      </c>
      <c r="CO6" s="511">
        <f t="shared" ref="CO6:CQ6" si="30">CN6</f>
        <v>0</v>
      </c>
      <c r="CP6" s="511">
        <f t="shared" si="30"/>
        <v>0</v>
      </c>
      <c r="CQ6" s="539">
        <f t="shared" si="30"/>
        <v>0</v>
      </c>
      <c r="CR6" s="307">
        <f>W6*AU6</f>
        <v>0</v>
      </c>
      <c r="CS6" s="308">
        <f t="shared" ref="CS6:CX6" si="31">X6*AV6</f>
        <v>0</v>
      </c>
      <c r="CT6" s="308">
        <f t="shared" si="31"/>
        <v>0</v>
      </c>
      <c r="CU6" s="308">
        <f t="shared" si="31"/>
        <v>0</v>
      </c>
      <c r="CV6" s="308">
        <f t="shared" si="31"/>
        <v>0</v>
      </c>
      <c r="CW6" s="308">
        <f t="shared" si="31"/>
        <v>0</v>
      </c>
      <c r="CX6" s="353">
        <f t="shared" si="31"/>
        <v>0</v>
      </c>
      <c r="CY6" s="307">
        <f>W6*BB6</f>
        <v>0</v>
      </c>
      <c r="CZ6" s="308">
        <f t="shared" ref="CZ6:DE6" si="32">X6*BC6</f>
        <v>0</v>
      </c>
      <c r="DA6" s="308">
        <f t="shared" si="32"/>
        <v>0</v>
      </c>
      <c r="DB6" s="308">
        <f t="shared" si="32"/>
        <v>0</v>
      </c>
      <c r="DC6" s="308">
        <f t="shared" si="32"/>
        <v>0</v>
      </c>
      <c r="DD6" s="308">
        <f t="shared" si="32"/>
        <v>0</v>
      </c>
      <c r="DE6" s="353">
        <f t="shared" si="32"/>
        <v>0</v>
      </c>
      <c r="DF6" s="307">
        <f>W6*BI6</f>
        <v>221940</v>
      </c>
      <c r="DG6" s="308">
        <f t="shared" ref="DG6:DK6" si="33">X6*BJ6</f>
        <v>230130</v>
      </c>
      <c r="DH6" s="308">
        <f t="shared" si="33"/>
        <v>390370</v>
      </c>
      <c r="DI6" s="308">
        <f t="shared" si="33"/>
        <v>340470</v>
      </c>
      <c r="DJ6" s="308">
        <f t="shared" si="33"/>
        <v>340470</v>
      </c>
      <c r="DK6" s="308">
        <f t="shared" si="33"/>
        <v>340470</v>
      </c>
      <c r="DL6" s="353">
        <f>AC6*BO6</f>
        <v>340470</v>
      </c>
      <c r="DM6" s="307">
        <f>BP6*W6</f>
        <v>44388</v>
      </c>
      <c r="DN6" s="308">
        <f t="shared" ref="DN6:DS6" si="34">BQ6*X6</f>
        <v>58356</v>
      </c>
      <c r="DO6" s="308">
        <f t="shared" si="34"/>
        <v>94284</v>
      </c>
      <c r="DP6" s="308">
        <f t="shared" si="34"/>
        <v>94284</v>
      </c>
      <c r="DQ6" s="308">
        <f t="shared" si="34"/>
        <v>94284</v>
      </c>
      <c r="DR6" s="308">
        <f t="shared" si="34"/>
        <v>94284</v>
      </c>
      <c r="DS6" s="642">
        <f t="shared" si="34"/>
        <v>94284</v>
      </c>
      <c r="DT6" s="722">
        <f>W6*BW6</f>
        <v>0</v>
      </c>
      <c r="DU6" s="507">
        <f t="shared" ref="DU6:DZ6" si="35">X6*BX6</f>
        <v>0</v>
      </c>
      <c r="DV6" s="507">
        <f t="shared" si="35"/>
        <v>0</v>
      </c>
      <c r="DW6" s="507">
        <f t="shared" si="35"/>
        <v>0</v>
      </c>
      <c r="DX6" s="507">
        <f t="shared" si="35"/>
        <v>0</v>
      </c>
      <c r="DY6" s="507">
        <f t="shared" si="35"/>
        <v>0</v>
      </c>
      <c r="DZ6" s="453">
        <f t="shared" si="35"/>
        <v>0</v>
      </c>
      <c r="EA6" s="722">
        <f>W6*CD6</f>
        <v>591.52452025586365</v>
      </c>
      <c r="EB6" s="507">
        <f t="shared" ref="EB6:EG6" si="36">X6*CE6</f>
        <v>777.66524520255871</v>
      </c>
      <c r="EC6" s="507">
        <f t="shared" si="36"/>
        <v>1256.4498933901921</v>
      </c>
      <c r="ED6" s="507">
        <f t="shared" si="36"/>
        <v>1256.4498933901921</v>
      </c>
      <c r="EE6" s="507">
        <f t="shared" si="36"/>
        <v>1256.4498933901921</v>
      </c>
      <c r="EF6" s="507">
        <f t="shared" si="36"/>
        <v>1256.4498933901921</v>
      </c>
      <c r="EG6" s="452">
        <f t="shared" si="36"/>
        <v>1256.4498933901921</v>
      </c>
      <c r="EH6" s="301">
        <f>W6*CK6</f>
        <v>0</v>
      </c>
      <c r="EI6" s="302">
        <f t="shared" ref="EI6:EN6" si="37">X6*CL6</f>
        <v>0</v>
      </c>
      <c r="EJ6" s="302">
        <f t="shared" si="37"/>
        <v>0</v>
      </c>
      <c r="EK6" s="302">
        <f t="shared" si="37"/>
        <v>0</v>
      </c>
      <c r="EL6" s="302">
        <f t="shared" si="37"/>
        <v>0</v>
      </c>
      <c r="EM6" s="302">
        <f t="shared" si="37"/>
        <v>0</v>
      </c>
      <c r="EN6" s="303">
        <f t="shared" si="37"/>
        <v>0</v>
      </c>
      <c r="EO6" s="977">
        <f>AVERAGE(W6:AC6)</f>
        <v>2278.4285714285716</v>
      </c>
      <c r="EP6" s="728">
        <f>SUM(CR6:CX6)</f>
        <v>0</v>
      </c>
      <c r="EQ6" s="728">
        <f>SUM(CY6:DE6)</f>
        <v>0</v>
      </c>
      <c r="ER6" s="728">
        <f>SUM(DF6:DL6)</f>
        <v>2204320</v>
      </c>
      <c r="ES6" s="728">
        <f>SUM(DM6:DS6)</f>
        <v>574164</v>
      </c>
      <c r="ET6" s="978">
        <f>SUM(DT6:DZ6)</f>
        <v>0</v>
      </c>
      <c r="EU6" s="978">
        <f>MAX(EA6:EG6)</f>
        <v>1256.4498933901921</v>
      </c>
      <c r="EV6" s="778">
        <f>SUM(EH6:EN6)</f>
        <v>0</v>
      </c>
      <c r="EW6" s="10"/>
      <c r="EX6" s="10" t="b">
        <f t="shared" ref="EX6:FE12" si="38">EO6=SUM(EO16,EO26)</f>
        <v>1</v>
      </c>
      <c r="EY6" s="10" t="b">
        <f t="shared" si="38"/>
        <v>1</v>
      </c>
      <c r="EZ6" s="10" t="b">
        <f t="shared" si="38"/>
        <v>1</v>
      </c>
      <c r="FA6" s="10" t="b">
        <f t="shared" si="38"/>
        <v>1</v>
      </c>
      <c r="FB6" s="10" t="b">
        <f t="shared" si="38"/>
        <v>1</v>
      </c>
      <c r="FC6" s="10" t="b">
        <f t="shared" si="38"/>
        <v>1</v>
      </c>
      <c r="FD6" s="10" t="b">
        <f t="shared" si="38"/>
        <v>1</v>
      </c>
      <c r="FE6" s="10" t="b">
        <f t="shared" si="38"/>
        <v>1</v>
      </c>
    </row>
    <row r="7" spans="1:161" s="96" customFormat="1" ht="12.5">
      <c r="A7" s="662">
        <v>2</v>
      </c>
      <c r="B7" s="703" t="s">
        <v>1656</v>
      </c>
      <c r="C7" s="715" t="s">
        <v>1654</v>
      </c>
      <c r="D7" s="715" t="s">
        <v>1514</v>
      </c>
      <c r="E7" s="703" t="s">
        <v>1515</v>
      </c>
      <c r="F7" s="1134" t="s">
        <v>402</v>
      </c>
      <c r="G7" s="1183">
        <v>0</v>
      </c>
      <c r="H7" s="704">
        <v>0</v>
      </c>
      <c r="I7" s="706">
        <f>G7+H7</f>
        <v>0</v>
      </c>
      <c r="J7" s="704">
        <v>0</v>
      </c>
      <c r="K7" s="704" t="s">
        <v>378</v>
      </c>
      <c r="L7" s="704" t="s">
        <v>378</v>
      </c>
      <c r="M7" s="715">
        <v>0</v>
      </c>
      <c r="N7" s="707">
        <f>10*12</f>
        <v>120</v>
      </c>
      <c r="O7" s="707">
        <v>0</v>
      </c>
      <c r="P7" s="707">
        <v>0</v>
      </c>
      <c r="Q7" s="1184">
        <v>0</v>
      </c>
      <c r="R7" s="1185">
        <v>0.59968017057569301</v>
      </c>
      <c r="S7" s="715">
        <v>0</v>
      </c>
      <c r="T7" s="711" t="s">
        <v>1655</v>
      </c>
      <c r="U7" s="1124"/>
      <c r="V7" s="781">
        <v>1</v>
      </c>
      <c r="W7" s="781">
        <v>386.6</v>
      </c>
      <c r="X7" s="781">
        <v>564.20000000000005</v>
      </c>
      <c r="Y7" s="781">
        <v>1023.8000000000002</v>
      </c>
      <c r="Z7" s="781">
        <f>Y7</f>
        <v>1023.8000000000002</v>
      </c>
      <c r="AA7" s="781">
        <f t="shared" ref="AA7:AC7" si="39">Z7</f>
        <v>1023.8000000000002</v>
      </c>
      <c r="AB7" s="781">
        <f t="shared" si="39"/>
        <v>1023.8000000000002</v>
      </c>
      <c r="AC7" s="781">
        <f t="shared" si="39"/>
        <v>1023.8000000000002</v>
      </c>
      <c r="AD7" s="711" t="s">
        <v>384</v>
      </c>
      <c r="AE7" s="711" t="s">
        <v>375</v>
      </c>
      <c r="AF7" s="1024" t="s">
        <v>377</v>
      </c>
      <c r="AG7" s="711" t="s">
        <v>1657</v>
      </c>
      <c r="AH7" s="711" t="s">
        <v>1</v>
      </c>
      <c r="AI7" s="711" t="s">
        <v>378</v>
      </c>
      <c r="AJ7" s="711" t="s">
        <v>378</v>
      </c>
      <c r="AK7" s="711" t="s">
        <v>378</v>
      </c>
      <c r="AL7" s="715" t="s">
        <v>943</v>
      </c>
      <c r="AM7" s="715" t="s">
        <v>380</v>
      </c>
      <c r="AN7" s="715" t="s">
        <v>381</v>
      </c>
      <c r="AO7" s="711">
        <v>1</v>
      </c>
      <c r="AP7" s="711">
        <v>1</v>
      </c>
      <c r="AQ7" s="711" t="s">
        <v>1534</v>
      </c>
      <c r="AR7" s="716">
        <v>1</v>
      </c>
      <c r="AS7" s="716">
        <v>1</v>
      </c>
      <c r="AT7" s="717">
        <v>0</v>
      </c>
      <c r="AU7" s="718">
        <f t="shared" si="18"/>
        <v>0</v>
      </c>
      <c r="AV7" s="1186">
        <f>AU7</f>
        <v>0</v>
      </c>
      <c r="AW7" s="499">
        <f t="shared" ref="AW7" si="40">AV7</f>
        <v>0</v>
      </c>
      <c r="AX7" s="499">
        <f>AU7</f>
        <v>0</v>
      </c>
      <c r="AY7" s="499">
        <f t="shared" ref="AY7" si="41">AV7</f>
        <v>0</v>
      </c>
      <c r="AZ7" s="499">
        <f t="shared" ref="AZ7:BA8" si="42">AW7</f>
        <v>0</v>
      </c>
      <c r="BA7" s="719">
        <f t="shared" si="42"/>
        <v>0</v>
      </c>
      <c r="BB7" s="774">
        <f t="shared" ref="BB7:BB11" si="43">J7</f>
        <v>0</v>
      </c>
      <c r="BC7" s="499">
        <f t="shared" ref="BC7:BE7" si="44">BB7</f>
        <v>0</v>
      </c>
      <c r="BD7" s="499">
        <f t="shared" si="44"/>
        <v>0</v>
      </c>
      <c r="BE7" s="499">
        <f t="shared" si="44"/>
        <v>0</v>
      </c>
      <c r="BF7" s="499">
        <f>BE7</f>
        <v>0</v>
      </c>
      <c r="BG7" s="499">
        <f t="shared" ref="BG7:BH7" si="45">BF7</f>
        <v>0</v>
      </c>
      <c r="BH7" s="719">
        <f t="shared" si="45"/>
        <v>0</v>
      </c>
      <c r="BI7" s="774">
        <f>N7+O7</f>
        <v>120</v>
      </c>
      <c r="BJ7" s="503">
        <f>BI7</f>
        <v>120</v>
      </c>
      <c r="BK7" s="503">
        <f t="shared" ref="BK7:BO11" si="46">BJ7</f>
        <v>120</v>
      </c>
      <c r="BL7" s="503">
        <f t="shared" si="46"/>
        <v>120</v>
      </c>
      <c r="BM7" s="503">
        <f t="shared" si="46"/>
        <v>120</v>
      </c>
      <c r="BN7" s="503">
        <f t="shared" si="46"/>
        <v>120</v>
      </c>
      <c r="BO7" s="503">
        <f t="shared" si="46"/>
        <v>120</v>
      </c>
      <c r="BP7" s="774">
        <f t="shared" si="21"/>
        <v>0</v>
      </c>
      <c r="BQ7" s="503">
        <f t="shared" si="21"/>
        <v>0</v>
      </c>
      <c r="BR7" s="503">
        <f t="shared" si="21"/>
        <v>0</v>
      </c>
      <c r="BS7" s="503">
        <f t="shared" si="21"/>
        <v>0</v>
      </c>
      <c r="BT7" s="503">
        <f t="shared" si="21"/>
        <v>0</v>
      </c>
      <c r="BU7" s="503">
        <f t="shared" si="21"/>
        <v>0</v>
      </c>
      <c r="BV7" s="776">
        <f t="shared" si="21"/>
        <v>0</v>
      </c>
      <c r="BW7" s="722">
        <f t="shared" si="22"/>
        <v>0</v>
      </c>
      <c r="BX7" s="511">
        <f t="shared" si="23"/>
        <v>0</v>
      </c>
      <c r="BY7" s="511">
        <f t="shared" si="23"/>
        <v>0</v>
      </c>
      <c r="BZ7" s="511">
        <f t="shared" si="23"/>
        <v>0</v>
      </c>
      <c r="CA7" s="511">
        <f t="shared" ref="CA7" si="47">BZ7</f>
        <v>0</v>
      </c>
      <c r="CB7" s="511">
        <f t="shared" ref="CB7:CC7" si="48">CA7</f>
        <v>0</v>
      </c>
      <c r="CC7" s="723">
        <f t="shared" si="48"/>
        <v>0</v>
      </c>
      <c r="CD7" s="511">
        <f t="shared" si="25"/>
        <v>0.59968017057569301</v>
      </c>
      <c r="CE7" s="511">
        <f t="shared" si="26"/>
        <v>0.59968017057569301</v>
      </c>
      <c r="CF7" s="511">
        <f t="shared" si="26"/>
        <v>0.59968017057569301</v>
      </c>
      <c r="CG7" s="511">
        <f t="shared" si="26"/>
        <v>0.59968017057569301</v>
      </c>
      <c r="CH7" s="511">
        <f t="shared" ref="CH7" si="49">CG7</f>
        <v>0.59968017057569301</v>
      </c>
      <c r="CI7" s="511">
        <f t="shared" ref="CI7:CJ7" si="50">CH7</f>
        <v>0.59968017057569301</v>
      </c>
      <c r="CJ7" s="723">
        <f t="shared" si="50"/>
        <v>0.59968017057569301</v>
      </c>
      <c r="CK7" s="722">
        <f t="shared" si="28"/>
        <v>0</v>
      </c>
      <c r="CL7" s="511">
        <f t="shared" si="29"/>
        <v>0</v>
      </c>
      <c r="CM7" s="511">
        <f t="shared" si="29"/>
        <v>0</v>
      </c>
      <c r="CN7" s="511">
        <f t="shared" si="29"/>
        <v>0</v>
      </c>
      <c r="CO7" s="511">
        <f t="shared" ref="CO7" si="51">CN7</f>
        <v>0</v>
      </c>
      <c r="CP7" s="511">
        <f t="shared" ref="CP7:CQ7" si="52">CO7</f>
        <v>0</v>
      </c>
      <c r="CQ7" s="539">
        <f t="shared" si="52"/>
        <v>0</v>
      </c>
      <c r="CR7" s="724">
        <f t="shared" ref="CR7:CR14" si="53">W7*AU7</f>
        <v>0</v>
      </c>
      <c r="CS7" s="508">
        <f t="shared" ref="CS7:CS14" si="54">X7*AV7</f>
        <v>0</v>
      </c>
      <c r="CT7" s="508">
        <f t="shared" ref="CT7:CT14" si="55">Y7*AW7</f>
        <v>0</v>
      </c>
      <c r="CU7" s="508">
        <f t="shared" ref="CU7:CU14" si="56">Z7*AX7</f>
        <v>0</v>
      </c>
      <c r="CV7" s="508">
        <f t="shared" ref="CV7:CV14" si="57">AA7*AY7</f>
        <v>0</v>
      </c>
      <c r="CW7" s="508">
        <f t="shared" ref="CW7:CW14" si="58">AB7*AZ7</f>
        <v>0</v>
      </c>
      <c r="CX7" s="726">
        <f t="shared" ref="CX7:CX14" si="59">AC7*BA7</f>
        <v>0</v>
      </c>
      <c r="CY7" s="724">
        <f t="shared" ref="CY7:CY14" si="60">W7*BB7</f>
        <v>0</v>
      </c>
      <c r="CZ7" s="508">
        <f t="shared" ref="CZ7:CZ14" si="61">X7*BC7</f>
        <v>0</v>
      </c>
      <c r="DA7" s="508">
        <f t="shared" ref="DA7:DA14" si="62">Y7*BD7</f>
        <v>0</v>
      </c>
      <c r="DB7" s="508">
        <f t="shared" ref="DB7:DB14" si="63">Z7*BE7</f>
        <v>0</v>
      </c>
      <c r="DC7" s="508">
        <f t="shared" ref="DC7:DC14" si="64">AA7*BF7</f>
        <v>0</v>
      </c>
      <c r="DD7" s="508">
        <f t="shared" ref="DD7:DD14" si="65">AB7*BG7</f>
        <v>0</v>
      </c>
      <c r="DE7" s="726">
        <f t="shared" ref="DE7:DE14" si="66">AC7*BH7</f>
        <v>0</v>
      </c>
      <c r="DF7" s="724">
        <f t="shared" ref="DF7:DF14" si="67">W7*BI7</f>
        <v>46392</v>
      </c>
      <c r="DG7" s="508">
        <f t="shared" ref="DG7:DG14" si="68">X7*BJ7</f>
        <v>67704</v>
      </c>
      <c r="DH7" s="508">
        <f t="shared" ref="DH7:DH14" si="69">Y7*BK7</f>
        <v>122856.00000000003</v>
      </c>
      <c r="DI7" s="508">
        <f t="shared" ref="DI7:DI14" si="70">Z7*BL7</f>
        <v>122856.00000000003</v>
      </c>
      <c r="DJ7" s="508">
        <f t="shared" ref="DJ7:DJ14" si="71">AA7*BM7</f>
        <v>122856.00000000003</v>
      </c>
      <c r="DK7" s="508">
        <f t="shared" ref="DK7:DK14" si="72">AB7*BN7</f>
        <v>122856.00000000003</v>
      </c>
      <c r="DL7" s="726">
        <f t="shared" ref="DL7:DL14" si="73">AC7*BO7</f>
        <v>122856.00000000003</v>
      </c>
      <c r="DM7" s="724">
        <f t="shared" ref="DM7:DM14" si="74">BP7*W7</f>
        <v>0</v>
      </c>
      <c r="DN7" s="508">
        <f t="shared" ref="DN7:DN14" si="75">BQ7*X7</f>
        <v>0</v>
      </c>
      <c r="DO7" s="508">
        <f t="shared" ref="DO7:DO14" si="76">BR7*Y7</f>
        <v>0</v>
      </c>
      <c r="DP7" s="508">
        <f t="shared" ref="DP7:DP14" si="77">BS7*Z7</f>
        <v>0</v>
      </c>
      <c r="DQ7" s="508">
        <f t="shared" ref="DQ7:DQ14" si="78">BT7*AA7</f>
        <v>0</v>
      </c>
      <c r="DR7" s="508">
        <f t="shared" ref="DR7:DR14" si="79">BU7*AB7</f>
        <v>0</v>
      </c>
      <c r="DS7" s="725">
        <f t="shared" ref="DS7:DS14" si="80">BV7*AC7</f>
        <v>0</v>
      </c>
      <c r="DT7" s="722">
        <f t="shared" ref="DT7:DT14" si="81">W7*BW7</f>
        <v>0</v>
      </c>
      <c r="DU7" s="507">
        <f t="shared" ref="DU7:DU14" si="82">X7*BX7</f>
        <v>0</v>
      </c>
      <c r="DV7" s="507">
        <f t="shared" ref="DV7:DV14" si="83">Y7*BY7</f>
        <v>0</v>
      </c>
      <c r="DW7" s="507">
        <f t="shared" ref="DW7:DW14" si="84">Z7*BZ7</f>
        <v>0</v>
      </c>
      <c r="DX7" s="507">
        <f t="shared" ref="DX7:DX14" si="85">AA7*CA7</f>
        <v>0</v>
      </c>
      <c r="DY7" s="507">
        <f t="shared" ref="DY7:DY14" si="86">AB7*CB7</f>
        <v>0</v>
      </c>
      <c r="DZ7" s="453">
        <f t="shared" ref="DZ7:DZ14" si="87">AC7*CC7</f>
        <v>0</v>
      </c>
      <c r="EA7" s="722">
        <f t="shared" ref="EA7:EA14" si="88">W7*CD7</f>
        <v>231.83635394456292</v>
      </c>
      <c r="EB7" s="507">
        <f t="shared" ref="EB7:EB14" si="89">X7*CE7</f>
        <v>338.33955223880599</v>
      </c>
      <c r="EC7" s="507">
        <f t="shared" ref="EC7:EC14" si="90">Y7*CF7</f>
        <v>613.95255863539455</v>
      </c>
      <c r="ED7" s="507">
        <f t="shared" ref="ED7:ED14" si="91">Z7*CG7</f>
        <v>613.95255863539455</v>
      </c>
      <c r="EE7" s="507">
        <f t="shared" ref="EE7:EE14" si="92">AA7*CH7</f>
        <v>613.95255863539455</v>
      </c>
      <c r="EF7" s="507">
        <f t="shared" ref="EF7:EF14" si="93">AB7*CI7</f>
        <v>613.95255863539455</v>
      </c>
      <c r="EG7" s="452">
        <f t="shared" ref="EG7:EG14" si="94">AC7*CJ7</f>
        <v>613.95255863539455</v>
      </c>
      <c r="EH7" s="722">
        <f t="shared" ref="EH7:EH14" si="95">W7*CK7</f>
        <v>0</v>
      </c>
      <c r="EI7" s="511">
        <f t="shared" ref="EI7:EI14" si="96">X7*CL7</f>
        <v>0</v>
      </c>
      <c r="EJ7" s="511">
        <f t="shared" ref="EJ7:EJ14" si="97">Y7*CM7</f>
        <v>0</v>
      </c>
      <c r="EK7" s="511">
        <f t="shared" ref="EK7:EK14" si="98">Z7*CN7</f>
        <v>0</v>
      </c>
      <c r="EL7" s="511">
        <f t="shared" ref="EL7:EL14" si="99">AA7*CO7</f>
        <v>0</v>
      </c>
      <c r="EM7" s="511">
        <f t="shared" ref="EM7:EM14" si="100">AB7*CP7</f>
        <v>0</v>
      </c>
      <c r="EN7" s="723">
        <f t="shared" ref="EN7:EN14" si="101">AC7*CQ7</f>
        <v>0</v>
      </c>
      <c r="EO7" s="977">
        <f t="shared" ref="EO7:EO34" si="102">AVERAGE(W7:AC7)</f>
        <v>867.11428571428587</v>
      </c>
      <c r="EP7" s="728">
        <f t="shared" ref="EP7:EP34" si="103">SUM(CR7:CX7)</f>
        <v>0</v>
      </c>
      <c r="EQ7" s="728">
        <f t="shared" ref="EQ7:EQ34" si="104">SUM(CY7:DE7)</f>
        <v>0</v>
      </c>
      <c r="ER7" s="728">
        <f t="shared" ref="ER7:ER34" si="105">SUM(DF7:DL7)</f>
        <v>728376.00000000012</v>
      </c>
      <c r="ES7" s="728">
        <f t="shared" ref="ES7:ES34" si="106">SUM(DM7:DS7)</f>
        <v>0</v>
      </c>
      <c r="ET7" s="978">
        <f t="shared" ref="ET7:ET34" si="107">SUM(DT7:DZ7)</f>
        <v>0</v>
      </c>
      <c r="EU7" s="978">
        <f t="shared" ref="EU7:EU34" si="108">MAX(EA7:EG7)</f>
        <v>613.95255863539455</v>
      </c>
      <c r="EV7" s="778">
        <f t="shared" ref="EV7:EV34" si="109">SUM(EH7:EN7)</f>
        <v>0</v>
      </c>
      <c r="EW7" s="10"/>
      <c r="EX7" s="10" t="b">
        <f t="shared" si="38"/>
        <v>1</v>
      </c>
      <c r="EY7" s="10" t="b">
        <f t="shared" si="38"/>
        <v>1</v>
      </c>
      <c r="EZ7" s="10" t="b">
        <f t="shared" si="38"/>
        <v>1</v>
      </c>
      <c r="FA7" s="10" t="b">
        <f t="shared" si="38"/>
        <v>1</v>
      </c>
      <c r="FB7" s="10" t="b">
        <f t="shared" si="38"/>
        <v>1</v>
      </c>
      <c r="FC7" s="10" t="b">
        <f t="shared" si="38"/>
        <v>1</v>
      </c>
      <c r="FD7" s="10" t="b">
        <f t="shared" si="38"/>
        <v>1</v>
      </c>
      <c r="FE7" s="10" t="b">
        <f t="shared" si="38"/>
        <v>1</v>
      </c>
    </row>
    <row r="8" spans="1:161" s="96" customFormat="1" ht="12.5">
      <c r="A8" s="662">
        <v>3</v>
      </c>
      <c r="B8" s="703" t="s">
        <v>1658</v>
      </c>
      <c r="C8" s="715" t="s">
        <v>1659</v>
      </c>
      <c r="D8" s="715" t="s">
        <v>1514</v>
      </c>
      <c r="E8" s="703" t="s">
        <v>1515</v>
      </c>
      <c r="F8" s="1134" t="s">
        <v>402</v>
      </c>
      <c r="G8" s="1183">
        <v>0</v>
      </c>
      <c r="H8" s="704">
        <v>0</v>
      </c>
      <c r="I8" s="706">
        <f t="shared" ref="I8:I11" si="110">G8+H8</f>
        <v>0</v>
      </c>
      <c r="J8" s="704">
        <v>0</v>
      </c>
      <c r="K8" s="704" t="s">
        <v>378</v>
      </c>
      <c r="L8" s="704" t="s">
        <v>378</v>
      </c>
      <c r="M8" s="715">
        <v>0</v>
      </c>
      <c r="N8" s="707">
        <f>10*13</f>
        <v>130</v>
      </c>
      <c r="O8" s="707">
        <v>0</v>
      </c>
      <c r="P8" s="707">
        <f>3*12</f>
        <v>36</v>
      </c>
      <c r="Q8" s="1184">
        <v>0</v>
      </c>
      <c r="R8" s="1185">
        <v>0.47974413646055442</v>
      </c>
      <c r="S8" s="715">
        <v>0</v>
      </c>
      <c r="T8" s="711" t="s">
        <v>1655</v>
      </c>
      <c r="U8" s="1124"/>
      <c r="V8" s="781">
        <v>1</v>
      </c>
      <c r="W8" s="781">
        <f>'WeCare V2'!AD7*W37</f>
        <v>522</v>
      </c>
      <c r="X8" s="781">
        <f>'WeCare V2'!AE7*X37+W8</f>
        <v>1044</v>
      </c>
      <c r="Y8" s="781">
        <f>'WeCare V2'!AF7*Y37+X8</f>
        <v>1566</v>
      </c>
      <c r="Z8" s="781">
        <f>'WeCare V2'!AG7*Z37+Y8</f>
        <v>2088</v>
      </c>
      <c r="AA8" s="781">
        <f>'WeCare V2'!AH7*AA37+Z8</f>
        <v>2610</v>
      </c>
      <c r="AB8" s="781">
        <f>'WeCare V2'!AI7*AB37+AA8</f>
        <v>3132</v>
      </c>
      <c r="AC8" s="781">
        <f>'WeCare V2'!AJ7*AC37+AB8</f>
        <v>3654</v>
      </c>
      <c r="AD8" s="711" t="s">
        <v>384</v>
      </c>
      <c r="AE8" s="711" t="s">
        <v>375</v>
      </c>
      <c r="AF8" s="1024" t="s">
        <v>377</v>
      </c>
      <c r="AG8" s="1126" t="s">
        <v>454</v>
      </c>
      <c r="AH8" s="711" t="s">
        <v>1</v>
      </c>
      <c r="AI8" s="711" t="s">
        <v>378</v>
      </c>
      <c r="AJ8" s="711" t="s">
        <v>378</v>
      </c>
      <c r="AK8" s="711" t="s">
        <v>378</v>
      </c>
      <c r="AL8" s="715" t="s">
        <v>406</v>
      </c>
      <c r="AM8" s="715" t="s">
        <v>380</v>
      </c>
      <c r="AN8" s="715" t="s">
        <v>381</v>
      </c>
      <c r="AO8" s="711">
        <v>1</v>
      </c>
      <c r="AP8" s="711">
        <v>1</v>
      </c>
      <c r="AQ8" s="711" t="s">
        <v>1534</v>
      </c>
      <c r="AR8" s="716">
        <v>1</v>
      </c>
      <c r="AS8" s="716">
        <v>1</v>
      </c>
      <c r="AT8" s="717">
        <v>0</v>
      </c>
      <c r="AU8" s="718">
        <f t="shared" si="18"/>
        <v>0</v>
      </c>
      <c r="AV8" s="1186">
        <f t="shared" ref="AV8:AV14" si="111">AU8</f>
        <v>0</v>
      </c>
      <c r="AW8" s="499">
        <f t="shared" ref="AW8:AW11" si="112">AV8</f>
        <v>0</v>
      </c>
      <c r="AX8" s="499">
        <f t="shared" ref="AX8:AX11" si="113">AU8</f>
        <v>0</v>
      </c>
      <c r="AY8" s="1186">
        <f>AV8</f>
        <v>0</v>
      </c>
      <c r="AZ8" s="499">
        <f t="shared" si="42"/>
        <v>0</v>
      </c>
      <c r="BA8" s="719">
        <f t="shared" si="42"/>
        <v>0</v>
      </c>
      <c r="BB8" s="774">
        <f t="shared" si="43"/>
        <v>0</v>
      </c>
      <c r="BC8" s="499">
        <f t="shared" ref="BC8:BC11" si="114">BB8</f>
        <v>0</v>
      </c>
      <c r="BD8" s="499">
        <f t="shared" ref="BD8:BD11" si="115">BC8</f>
        <v>0</v>
      </c>
      <c r="BE8" s="499">
        <f t="shared" ref="BE8:BE11" si="116">BD8</f>
        <v>0</v>
      </c>
      <c r="BF8" s="499">
        <f t="shared" ref="BF8:BF11" si="117">BE8</f>
        <v>0</v>
      </c>
      <c r="BG8" s="499">
        <f t="shared" ref="BG8:BG11" si="118">BF8</f>
        <v>0</v>
      </c>
      <c r="BH8" s="719">
        <f t="shared" ref="BH8:BH11" si="119">BG8</f>
        <v>0</v>
      </c>
      <c r="BI8" s="774">
        <f t="shared" ref="BI8:BI14" si="120">IFERROR(N8+O8+W8*50/W8,0)</f>
        <v>180</v>
      </c>
      <c r="BJ8" s="503">
        <f t="shared" ref="BJ8:BJ14" si="121">IFERROR($N8+$O8+(X8-W8)*50/X8,0)</f>
        <v>155</v>
      </c>
      <c r="BK8" s="503">
        <f t="shared" si="20"/>
        <v>146.66666666666666</v>
      </c>
      <c r="BL8" s="503">
        <f t="shared" si="20"/>
        <v>142.5</v>
      </c>
      <c r="BM8" s="503">
        <f t="shared" si="20"/>
        <v>140</v>
      </c>
      <c r="BN8" s="503">
        <f>IFERROR($N8+$O8+(AB8-AA8)*50/AB8,0)</f>
        <v>138.33333333333334</v>
      </c>
      <c r="BO8" s="776">
        <f t="shared" si="20"/>
        <v>137.14285714285714</v>
      </c>
      <c r="BP8" s="774">
        <f t="shared" si="21"/>
        <v>36</v>
      </c>
      <c r="BQ8" s="503">
        <f t="shared" si="21"/>
        <v>36</v>
      </c>
      <c r="BR8" s="503">
        <f t="shared" si="21"/>
        <v>36</v>
      </c>
      <c r="BS8" s="503">
        <f t="shared" si="21"/>
        <v>36</v>
      </c>
      <c r="BT8" s="503">
        <f t="shared" si="21"/>
        <v>36</v>
      </c>
      <c r="BU8" s="503">
        <f t="shared" si="21"/>
        <v>36</v>
      </c>
      <c r="BV8" s="776">
        <f t="shared" si="21"/>
        <v>36</v>
      </c>
      <c r="BW8" s="722">
        <f t="shared" si="22"/>
        <v>0</v>
      </c>
      <c r="BX8" s="511"/>
      <c r="BY8" s="511"/>
      <c r="BZ8" s="511"/>
      <c r="CA8" s="511"/>
      <c r="CB8" s="511"/>
      <c r="CC8" s="723"/>
      <c r="CD8" s="511">
        <f t="shared" si="25"/>
        <v>0.47974413646055442</v>
      </c>
      <c r="CE8" s="511">
        <f t="shared" ref="CE8:CE14" si="122">CD8</f>
        <v>0.47974413646055442</v>
      </c>
      <c r="CF8" s="511">
        <f t="shared" ref="CF8:CF14" si="123">CE8</f>
        <v>0.47974413646055442</v>
      </c>
      <c r="CG8" s="511">
        <f t="shared" ref="CG8:CG14" si="124">CF8</f>
        <v>0.47974413646055442</v>
      </c>
      <c r="CH8" s="511">
        <f t="shared" ref="CH8:CH14" si="125">CG8</f>
        <v>0.47974413646055442</v>
      </c>
      <c r="CI8" s="511">
        <f t="shared" ref="CI8:CI14" si="126">CH8</f>
        <v>0.47974413646055442</v>
      </c>
      <c r="CJ8" s="723">
        <f t="shared" ref="CJ8:CJ14" si="127">CI8</f>
        <v>0.47974413646055442</v>
      </c>
      <c r="CK8" s="722">
        <f t="shared" si="28"/>
        <v>0</v>
      </c>
      <c r="CL8" s="511">
        <f t="shared" ref="CL8:CL14" si="128">CK8</f>
        <v>0</v>
      </c>
      <c r="CM8" s="511">
        <f t="shared" ref="CM8:CM14" si="129">CL8</f>
        <v>0</v>
      </c>
      <c r="CN8" s="511">
        <f t="shared" ref="CN8:CN14" si="130">CM8</f>
        <v>0</v>
      </c>
      <c r="CO8" s="511">
        <f t="shared" ref="CO8:CO14" si="131">CN8</f>
        <v>0</v>
      </c>
      <c r="CP8" s="511">
        <f t="shared" ref="CP8:CP14" si="132">CO8</f>
        <v>0</v>
      </c>
      <c r="CQ8" s="539">
        <f t="shared" ref="CQ8:CQ14" si="133">CP8</f>
        <v>0</v>
      </c>
      <c r="CR8" s="724">
        <f t="shared" si="53"/>
        <v>0</v>
      </c>
      <c r="CS8" s="508">
        <f t="shared" si="54"/>
        <v>0</v>
      </c>
      <c r="CT8" s="508">
        <f t="shared" si="55"/>
        <v>0</v>
      </c>
      <c r="CU8" s="508">
        <f t="shared" si="56"/>
        <v>0</v>
      </c>
      <c r="CV8" s="508">
        <f t="shared" si="57"/>
        <v>0</v>
      </c>
      <c r="CW8" s="508">
        <f t="shared" si="58"/>
        <v>0</v>
      </c>
      <c r="CX8" s="726">
        <f t="shared" si="59"/>
        <v>0</v>
      </c>
      <c r="CY8" s="724">
        <f t="shared" si="60"/>
        <v>0</v>
      </c>
      <c r="CZ8" s="508">
        <f t="shared" si="61"/>
        <v>0</v>
      </c>
      <c r="DA8" s="508">
        <f t="shared" si="62"/>
        <v>0</v>
      </c>
      <c r="DB8" s="508">
        <f t="shared" si="63"/>
        <v>0</v>
      </c>
      <c r="DC8" s="508">
        <f t="shared" si="64"/>
        <v>0</v>
      </c>
      <c r="DD8" s="508">
        <f t="shared" si="65"/>
        <v>0</v>
      </c>
      <c r="DE8" s="726">
        <f t="shared" si="66"/>
        <v>0</v>
      </c>
      <c r="DF8" s="724">
        <f t="shared" si="67"/>
        <v>93960</v>
      </c>
      <c r="DG8" s="508">
        <f t="shared" si="68"/>
        <v>161820</v>
      </c>
      <c r="DH8" s="508">
        <f t="shared" si="69"/>
        <v>229679.99999999997</v>
      </c>
      <c r="DI8" s="508">
        <f t="shared" si="70"/>
        <v>297540</v>
      </c>
      <c r="DJ8" s="508">
        <f t="shared" si="71"/>
        <v>365400</v>
      </c>
      <c r="DK8" s="508">
        <f t="shared" si="72"/>
        <v>433260.00000000006</v>
      </c>
      <c r="DL8" s="726">
        <f t="shared" si="73"/>
        <v>501120</v>
      </c>
      <c r="DM8" s="724">
        <f t="shared" si="74"/>
        <v>18792</v>
      </c>
      <c r="DN8" s="508">
        <f t="shared" si="75"/>
        <v>37584</v>
      </c>
      <c r="DO8" s="508">
        <f t="shared" si="76"/>
        <v>56376</v>
      </c>
      <c r="DP8" s="508">
        <f t="shared" si="77"/>
        <v>75168</v>
      </c>
      <c r="DQ8" s="508">
        <f t="shared" si="78"/>
        <v>93960</v>
      </c>
      <c r="DR8" s="508">
        <f t="shared" si="79"/>
        <v>112752</v>
      </c>
      <c r="DS8" s="725">
        <f t="shared" si="80"/>
        <v>131544</v>
      </c>
      <c r="DT8" s="722">
        <f t="shared" si="81"/>
        <v>0</v>
      </c>
      <c r="DU8" s="507">
        <f t="shared" si="82"/>
        <v>0</v>
      </c>
      <c r="DV8" s="507">
        <f t="shared" si="83"/>
        <v>0</v>
      </c>
      <c r="DW8" s="507">
        <f t="shared" si="84"/>
        <v>0</v>
      </c>
      <c r="DX8" s="507">
        <f t="shared" si="85"/>
        <v>0</v>
      </c>
      <c r="DY8" s="507">
        <f t="shared" si="86"/>
        <v>0</v>
      </c>
      <c r="DZ8" s="453">
        <f t="shared" si="87"/>
        <v>0</v>
      </c>
      <c r="EA8" s="722">
        <f t="shared" si="88"/>
        <v>250.42643923240939</v>
      </c>
      <c r="EB8" s="507">
        <f t="shared" si="89"/>
        <v>500.85287846481879</v>
      </c>
      <c r="EC8" s="507">
        <f t="shared" si="90"/>
        <v>751.27931769722818</v>
      </c>
      <c r="ED8" s="507">
        <f t="shared" si="91"/>
        <v>1001.7057569296376</v>
      </c>
      <c r="EE8" s="507">
        <f t="shared" si="92"/>
        <v>1252.132196162047</v>
      </c>
      <c r="EF8" s="507">
        <f t="shared" si="93"/>
        <v>1502.5586353944564</v>
      </c>
      <c r="EG8" s="452">
        <f t="shared" si="94"/>
        <v>1752.9850746268658</v>
      </c>
      <c r="EH8" s="722">
        <f t="shared" si="95"/>
        <v>0</v>
      </c>
      <c r="EI8" s="511">
        <f t="shared" si="96"/>
        <v>0</v>
      </c>
      <c r="EJ8" s="511">
        <f t="shared" si="97"/>
        <v>0</v>
      </c>
      <c r="EK8" s="511">
        <f t="shared" si="98"/>
        <v>0</v>
      </c>
      <c r="EL8" s="511">
        <f t="shared" si="99"/>
        <v>0</v>
      </c>
      <c r="EM8" s="511">
        <f t="shared" si="100"/>
        <v>0</v>
      </c>
      <c r="EN8" s="723">
        <f t="shared" si="101"/>
        <v>0</v>
      </c>
      <c r="EO8" s="977">
        <f t="shared" si="102"/>
        <v>2088</v>
      </c>
      <c r="EP8" s="728">
        <f t="shared" si="103"/>
        <v>0</v>
      </c>
      <c r="EQ8" s="728">
        <f t="shared" si="104"/>
        <v>0</v>
      </c>
      <c r="ER8" s="728">
        <f t="shared" si="105"/>
        <v>2082780</v>
      </c>
      <c r="ES8" s="728">
        <f t="shared" si="106"/>
        <v>526176</v>
      </c>
      <c r="ET8" s="978">
        <f t="shared" si="107"/>
        <v>0</v>
      </c>
      <c r="EU8" s="978">
        <f t="shared" si="108"/>
        <v>1752.9850746268658</v>
      </c>
      <c r="EV8" s="778">
        <f t="shared" si="109"/>
        <v>0</v>
      </c>
      <c r="EW8" s="10"/>
      <c r="EX8" s="10" t="b">
        <f t="shared" si="38"/>
        <v>1</v>
      </c>
      <c r="EY8" s="10" t="b">
        <f t="shared" si="38"/>
        <v>1</v>
      </c>
      <c r="EZ8" s="10" t="b">
        <f t="shared" si="38"/>
        <v>1</v>
      </c>
      <c r="FA8" s="10" t="b">
        <f t="shared" si="38"/>
        <v>1</v>
      </c>
      <c r="FB8" s="10" t="b">
        <f t="shared" si="38"/>
        <v>1</v>
      </c>
      <c r="FC8" s="10" t="b">
        <f t="shared" si="38"/>
        <v>1</v>
      </c>
      <c r="FD8" s="10" t="b">
        <f t="shared" si="38"/>
        <v>1</v>
      </c>
      <c r="FE8" s="10" t="b">
        <f t="shared" si="38"/>
        <v>1</v>
      </c>
    </row>
    <row r="9" spans="1:161" s="96" customFormat="1" ht="12.5">
      <c r="A9" s="662">
        <v>4</v>
      </c>
      <c r="B9" s="703" t="s">
        <v>1660</v>
      </c>
      <c r="C9" s="715" t="s">
        <v>1659</v>
      </c>
      <c r="D9" s="715" t="s">
        <v>1514</v>
      </c>
      <c r="E9" s="703" t="s">
        <v>1515</v>
      </c>
      <c r="F9" s="1134" t="s">
        <v>402</v>
      </c>
      <c r="G9" s="1183">
        <v>0</v>
      </c>
      <c r="H9" s="704">
        <v>0</v>
      </c>
      <c r="I9" s="706">
        <f t="shared" si="110"/>
        <v>0</v>
      </c>
      <c r="J9" s="704">
        <v>0</v>
      </c>
      <c r="K9" s="704" t="s">
        <v>378</v>
      </c>
      <c r="L9" s="704" t="s">
        <v>378</v>
      </c>
      <c r="M9" s="715">
        <v>0</v>
      </c>
      <c r="N9" s="707">
        <f>10*12</f>
        <v>120</v>
      </c>
      <c r="O9" s="707">
        <v>0</v>
      </c>
      <c r="P9" s="707">
        <v>0</v>
      </c>
      <c r="Q9" s="1184">
        <v>0</v>
      </c>
      <c r="R9" s="1185">
        <v>0.59968017057569301</v>
      </c>
      <c r="S9" s="715">
        <v>0</v>
      </c>
      <c r="T9" s="711" t="s">
        <v>1655</v>
      </c>
      <c r="U9" s="1124"/>
      <c r="V9" s="781">
        <v>1</v>
      </c>
      <c r="W9" s="781">
        <f>'WeCare V2'!AD7*W38</f>
        <v>104.4</v>
      </c>
      <c r="X9" s="781">
        <f>'WeCare V2'!AE7*X38+W9</f>
        <v>208.8</v>
      </c>
      <c r="Y9" s="781">
        <f>'WeCare V2'!AF7*Y38+X9</f>
        <v>313.20000000000005</v>
      </c>
      <c r="Z9" s="781">
        <f>'WeCare V2'!AG7*Z38+Y9</f>
        <v>417.6</v>
      </c>
      <c r="AA9" s="781">
        <f>'WeCare V2'!AH7*AA38+Z9</f>
        <v>522</v>
      </c>
      <c r="AB9" s="781">
        <f>'WeCare V2'!AI7*AB38+AA9</f>
        <v>626.4</v>
      </c>
      <c r="AC9" s="781">
        <f>'WeCare V2'!AJ7*AC38+AB9</f>
        <v>730.8</v>
      </c>
      <c r="AD9" s="711" t="s">
        <v>384</v>
      </c>
      <c r="AE9" s="711" t="s">
        <v>375</v>
      </c>
      <c r="AF9" s="1024" t="s">
        <v>377</v>
      </c>
      <c r="AG9" s="711" t="s">
        <v>1657</v>
      </c>
      <c r="AH9" s="711" t="s">
        <v>1</v>
      </c>
      <c r="AI9" s="711" t="s">
        <v>378</v>
      </c>
      <c r="AJ9" s="711" t="s">
        <v>378</v>
      </c>
      <c r="AK9" s="711" t="s">
        <v>378</v>
      </c>
      <c r="AL9" s="715" t="s">
        <v>943</v>
      </c>
      <c r="AM9" s="715" t="s">
        <v>380</v>
      </c>
      <c r="AN9" s="715" t="s">
        <v>381</v>
      </c>
      <c r="AO9" s="711">
        <v>1</v>
      </c>
      <c r="AP9" s="711">
        <v>1</v>
      </c>
      <c r="AQ9" s="711" t="s">
        <v>1534</v>
      </c>
      <c r="AR9" s="716">
        <v>1</v>
      </c>
      <c r="AS9" s="716">
        <v>1</v>
      </c>
      <c r="AT9" s="717">
        <v>0</v>
      </c>
      <c r="AU9" s="718">
        <f t="shared" si="18"/>
        <v>0</v>
      </c>
      <c r="AV9" s="1186">
        <f t="shared" si="111"/>
        <v>0</v>
      </c>
      <c r="AW9" s="499">
        <f t="shared" si="112"/>
        <v>0</v>
      </c>
      <c r="AX9" s="499">
        <f t="shared" si="113"/>
        <v>0</v>
      </c>
      <c r="AY9" s="499">
        <f t="shared" ref="AY9:AY11" si="134">AV9</f>
        <v>0</v>
      </c>
      <c r="AZ9" s="499">
        <f t="shared" ref="AZ9:AZ11" si="135">AW9</f>
        <v>0</v>
      </c>
      <c r="BA9" s="719">
        <f t="shared" ref="BA9:BA11" si="136">AX9</f>
        <v>0</v>
      </c>
      <c r="BB9" s="774">
        <f t="shared" si="43"/>
        <v>0</v>
      </c>
      <c r="BC9" s="499">
        <f t="shared" si="114"/>
        <v>0</v>
      </c>
      <c r="BD9" s="499">
        <f t="shared" si="115"/>
        <v>0</v>
      </c>
      <c r="BE9" s="499">
        <f t="shared" si="116"/>
        <v>0</v>
      </c>
      <c r="BF9" s="499">
        <f t="shared" si="117"/>
        <v>0</v>
      </c>
      <c r="BG9" s="499">
        <f t="shared" si="118"/>
        <v>0</v>
      </c>
      <c r="BH9" s="719">
        <f t="shared" si="119"/>
        <v>0</v>
      </c>
      <c r="BI9" s="774">
        <f>N9+O9</f>
        <v>120</v>
      </c>
      <c r="BJ9" s="503">
        <f>BI9</f>
        <v>120</v>
      </c>
      <c r="BK9" s="503">
        <f t="shared" si="46"/>
        <v>120</v>
      </c>
      <c r="BL9" s="503">
        <f t="shared" si="46"/>
        <v>120</v>
      </c>
      <c r="BM9" s="503">
        <f t="shared" si="46"/>
        <v>120</v>
      </c>
      <c r="BN9" s="503">
        <f t="shared" si="46"/>
        <v>120</v>
      </c>
      <c r="BO9" s="503">
        <f t="shared" si="46"/>
        <v>120</v>
      </c>
      <c r="BP9" s="774">
        <f t="shared" si="21"/>
        <v>0</v>
      </c>
      <c r="BQ9" s="503">
        <f t="shared" si="21"/>
        <v>0</v>
      </c>
      <c r="BR9" s="503">
        <f t="shared" si="21"/>
        <v>0</v>
      </c>
      <c r="BS9" s="503">
        <f t="shared" si="21"/>
        <v>0</v>
      </c>
      <c r="BT9" s="503">
        <f t="shared" si="21"/>
        <v>0</v>
      </c>
      <c r="BU9" s="503">
        <f t="shared" si="21"/>
        <v>0</v>
      </c>
      <c r="BV9" s="776">
        <f t="shared" si="21"/>
        <v>0</v>
      </c>
      <c r="BW9" s="722">
        <f t="shared" si="22"/>
        <v>0</v>
      </c>
      <c r="BX9" s="511"/>
      <c r="BY9" s="511"/>
      <c r="BZ9" s="511"/>
      <c r="CA9" s="511"/>
      <c r="CB9" s="511"/>
      <c r="CC9" s="723"/>
      <c r="CD9" s="511">
        <f t="shared" si="25"/>
        <v>0.59968017057569301</v>
      </c>
      <c r="CE9" s="511">
        <f t="shared" si="122"/>
        <v>0.59968017057569301</v>
      </c>
      <c r="CF9" s="511">
        <f t="shared" si="123"/>
        <v>0.59968017057569301</v>
      </c>
      <c r="CG9" s="511">
        <f t="shared" si="124"/>
        <v>0.59968017057569301</v>
      </c>
      <c r="CH9" s="511">
        <f t="shared" si="125"/>
        <v>0.59968017057569301</v>
      </c>
      <c r="CI9" s="511">
        <f t="shared" si="126"/>
        <v>0.59968017057569301</v>
      </c>
      <c r="CJ9" s="723">
        <f t="shared" si="127"/>
        <v>0.59968017057569301</v>
      </c>
      <c r="CK9" s="722">
        <f t="shared" si="28"/>
        <v>0</v>
      </c>
      <c r="CL9" s="511">
        <f t="shared" si="128"/>
        <v>0</v>
      </c>
      <c r="CM9" s="511">
        <f t="shared" si="129"/>
        <v>0</v>
      </c>
      <c r="CN9" s="511">
        <f t="shared" si="130"/>
        <v>0</v>
      </c>
      <c r="CO9" s="511">
        <f t="shared" si="131"/>
        <v>0</v>
      </c>
      <c r="CP9" s="511">
        <f t="shared" si="132"/>
        <v>0</v>
      </c>
      <c r="CQ9" s="539">
        <f t="shared" si="133"/>
        <v>0</v>
      </c>
      <c r="CR9" s="724">
        <f t="shared" si="53"/>
        <v>0</v>
      </c>
      <c r="CS9" s="508">
        <f t="shared" si="54"/>
        <v>0</v>
      </c>
      <c r="CT9" s="508">
        <f t="shared" si="55"/>
        <v>0</v>
      </c>
      <c r="CU9" s="508">
        <f t="shared" si="56"/>
        <v>0</v>
      </c>
      <c r="CV9" s="508">
        <f t="shared" si="57"/>
        <v>0</v>
      </c>
      <c r="CW9" s="508">
        <f t="shared" si="58"/>
        <v>0</v>
      </c>
      <c r="CX9" s="726">
        <f t="shared" si="59"/>
        <v>0</v>
      </c>
      <c r="CY9" s="724">
        <f t="shared" si="60"/>
        <v>0</v>
      </c>
      <c r="CZ9" s="508">
        <f t="shared" si="61"/>
        <v>0</v>
      </c>
      <c r="DA9" s="508">
        <f t="shared" si="62"/>
        <v>0</v>
      </c>
      <c r="DB9" s="508">
        <f t="shared" si="63"/>
        <v>0</v>
      </c>
      <c r="DC9" s="508">
        <f t="shared" si="64"/>
        <v>0</v>
      </c>
      <c r="DD9" s="508">
        <f t="shared" si="65"/>
        <v>0</v>
      </c>
      <c r="DE9" s="726">
        <f t="shared" si="66"/>
        <v>0</v>
      </c>
      <c r="DF9" s="724">
        <f t="shared" si="67"/>
        <v>12528</v>
      </c>
      <c r="DG9" s="508">
        <f t="shared" si="68"/>
        <v>25056</v>
      </c>
      <c r="DH9" s="508">
        <f t="shared" si="69"/>
        <v>37584.000000000007</v>
      </c>
      <c r="DI9" s="508">
        <f t="shared" si="70"/>
        <v>50112</v>
      </c>
      <c r="DJ9" s="508">
        <f t="shared" si="71"/>
        <v>62640</v>
      </c>
      <c r="DK9" s="508">
        <f>AB9*BN9</f>
        <v>75168</v>
      </c>
      <c r="DL9" s="726">
        <f t="shared" si="73"/>
        <v>87696</v>
      </c>
      <c r="DM9" s="724">
        <f t="shared" si="74"/>
        <v>0</v>
      </c>
      <c r="DN9" s="508">
        <f t="shared" si="75"/>
        <v>0</v>
      </c>
      <c r="DO9" s="508">
        <f t="shared" si="76"/>
        <v>0</v>
      </c>
      <c r="DP9" s="508">
        <f t="shared" si="77"/>
        <v>0</v>
      </c>
      <c r="DQ9" s="508">
        <f t="shared" si="78"/>
        <v>0</v>
      </c>
      <c r="DR9" s="508">
        <f t="shared" si="79"/>
        <v>0</v>
      </c>
      <c r="DS9" s="725">
        <f t="shared" si="80"/>
        <v>0</v>
      </c>
      <c r="DT9" s="722">
        <f t="shared" si="81"/>
        <v>0</v>
      </c>
      <c r="DU9" s="507">
        <f t="shared" si="82"/>
        <v>0</v>
      </c>
      <c r="DV9" s="507">
        <f t="shared" si="83"/>
        <v>0</v>
      </c>
      <c r="DW9" s="507">
        <f t="shared" si="84"/>
        <v>0</v>
      </c>
      <c r="DX9" s="507">
        <f t="shared" si="85"/>
        <v>0</v>
      </c>
      <c r="DY9" s="507">
        <f t="shared" si="86"/>
        <v>0</v>
      </c>
      <c r="DZ9" s="453">
        <f t="shared" si="87"/>
        <v>0</v>
      </c>
      <c r="EA9" s="722">
        <f t="shared" si="88"/>
        <v>62.606609808102355</v>
      </c>
      <c r="EB9" s="507">
        <f t="shared" si="89"/>
        <v>125.21321961620471</v>
      </c>
      <c r="EC9" s="507">
        <f t="shared" si="90"/>
        <v>187.81982942430707</v>
      </c>
      <c r="ED9" s="507">
        <f t="shared" si="91"/>
        <v>250.42643923240942</v>
      </c>
      <c r="EE9" s="507">
        <f t="shared" si="92"/>
        <v>313.03304904051174</v>
      </c>
      <c r="EF9" s="507">
        <f t="shared" si="93"/>
        <v>375.63965884861409</v>
      </c>
      <c r="EG9" s="452">
        <f t="shared" si="94"/>
        <v>438.24626865671644</v>
      </c>
      <c r="EH9" s="722">
        <f t="shared" si="95"/>
        <v>0</v>
      </c>
      <c r="EI9" s="511">
        <f t="shared" si="96"/>
        <v>0</v>
      </c>
      <c r="EJ9" s="511">
        <f t="shared" si="97"/>
        <v>0</v>
      </c>
      <c r="EK9" s="511">
        <f t="shared" si="98"/>
        <v>0</v>
      </c>
      <c r="EL9" s="511">
        <f t="shared" si="99"/>
        <v>0</v>
      </c>
      <c r="EM9" s="511">
        <f t="shared" si="100"/>
        <v>0</v>
      </c>
      <c r="EN9" s="723">
        <f t="shared" si="101"/>
        <v>0</v>
      </c>
      <c r="EO9" s="977">
        <f t="shared" si="102"/>
        <v>417.59999999999997</v>
      </c>
      <c r="EP9" s="728">
        <f t="shared" si="103"/>
        <v>0</v>
      </c>
      <c r="EQ9" s="728">
        <f t="shared" si="104"/>
        <v>0</v>
      </c>
      <c r="ER9" s="728">
        <f t="shared" si="105"/>
        <v>350784</v>
      </c>
      <c r="ES9" s="728">
        <f t="shared" si="106"/>
        <v>0</v>
      </c>
      <c r="ET9" s="978">
        <f t="shared" si="107"/>
        <v>0</v>
      </c>
      <c r="EU9" s="978">
        <f t="shared" si="108"/>
        <v>438.24626865671644</v>
      </c>
      <c r="EV9" s="778">
        <f t="shared" si="109"/>
        <v>0</v>
      </c>
      <c r="EW9" s="10"/>
      <c r="EX9" s="10" t="b">
        <f t="shared" si="38"/>
        <v>1</v>
      </c>
      <c r="EY9" s="10" t="b">
        <f t="shared" si="38"/>
        <v>1</v>
      </c>
      <c r="EZ9" s="10" t="b">
        <f t="shared" si="38"/>
        <v>1</v>
      </c>
      <c r="FA9" s="10" t="b">
        <f t="shared" si="38"/>
        <v>1</v>
      </c>
      <c r="FB9" s="10" t="b">
        <f t="shared" si="38"/>
        <v>1</v>
      </c>
      <c r="FC9" s="10" t="b">
        <f t="shared" si="38"/>
        <v>1</v>
      </c>
      <c r="FD9" s="10" t="b">
        <f t="shared" si="38"/>
        <v>1</v>
      </c>
      <c r="FE9" s="10" t="b">
        <f t="shared" si="38"/>
        <v>1</v>
      </c>
    </row>
    <row r="10" spans="1:161" s="96" customFormat="1" ht="12.5">
      <c r="A10" s="662">
        <v>5</v>
      </c>
      <c r="B10" s="703" t="s">
        <v>1661</v>
      </c>
      <c r="C10" s="715" t="s">
        <v>1662</v>
      </c>
      <c r="D10" s="715" t="s">
        <v>1514</v>
      </c>
      <c r="E10" s="703" t="s">
        <v>1515</v>
      </c>
      <c r="F10" s="1134" t="s">
        <v>402</v>
      </c>
      <c r="G10" s="1183">
        <v>0</v>
      </c>
      <c r="H10" s="704">
        <v>0</v>
      </c>
      <c r="I10" s="706">
        <f t="shared" si="110"/>
        <v>0</v>
      </c>
      <c r="J10" s="704">
        <v>0</v>
      </c>
      <c r="K10" s="704" t="s">
        <v>378</v>
      </c>
      <c r="L10" s="704" t="s">
        <v>378</v>
      </c>
      <c r="M10" s="715">
        <v>0</v>
      </c>
      <c r="N10" s="707">
        <f>10*13</f>
        <v>130</v>
      </c>
      <c r="O10" s="707">
        <v>0</v>
      </c>
      <c r="P10" s="707">
        <f>3*12</f>
        <v>36</v>
      </c>
      <c r="Q10" s="1184">
        <v>0</v>
      </c>
      <c r="R10" s="1185">
        <v>0.47974413646055442</v>
      </c>
      <c r="S10" s="715">
        <v>0</v>
      </c>
      <c r="T10" s="711" t="s">
        <v>1655</v>
      </c>
      <c r="U10" s="1124"/>
      <c r="V10" s="781">
        <v>1</v>
      </c>
      <c r="W10" s="781">
        <f>'Online Marketplace'!W7*W37</f>
        <v>1045</v>
      </c>
      <c r="X10" s="781">
        <f>'Online Marketplace'!X7*X37+W10</f>
        <v>3135</v>
      </c>
      <c r="Y10" s="781">
        <f>'Online Marketplace'!Y7*Y37+X10-Y12</f>
        <v>7015</v>
      </c>
      <c r="Z10" s="781">
        <f>'Online Marketplace'!Z7*Z37+Y10-(Z12-Y12)</f>
        <v>15075</v>
      </c>
      <c r="AA10" s="781">
        <f>'Online Marketplace'!AA7*AA37+Z10-(AA12-Z12)</f>
        <v>26875</v>
      </c>
      <c r="AB10" s="781">
        <f>'Online Marketplace'!AB7*AB37+AA10-(AB12-AA12)</f>
        <v>38675</v>
      </c>
      <c r="AC10" s="781">
        <f>'Online Marketplace'!AC7*AC37+AB10-(AC12-AB12)</f>
        <v>50475</v>
      </c>
      <c r="AD10" s="711" t="s">
        <v>384</v>
      </c>
      <c r="AE10" s="711" t="s">
        <v>375</v>
      </c>
      <c r="AF10" s="1024" t="s">
        <v>377</v>
      </c>
      <c r="AG10" s="1126" t="s">
        <v>454</v>
      </c>
      <c r="AH10" s="711" t="s">
        <v>1</v>
      </c>
      <c r="AI10" s="711" t="s">
        <v>378</v>
      </c>
      <c r="AJ10" s="711" t="s">
        <v>378</v>
      </c>
      <c r="AK10" s="711" t="s">
        <v>378</v>
      </c>
      <c r="AL10" s="715" t="s">
        <v>406</v>
      </c>
      <c r="AM10" s="715" t="s">
        <v>380</v>
      </c>
      <c r="AN10" s="715" t="s">
        <v>381</v>
      </c>
      <c r="AO10" s="711">
        <v>1</v>
      </c>
      <c r="AP10" s="711">
        <v>1</v>
      </c>
      <c r="AQ10" s="711" t="s">
        <v>1534</v>
      </c>
      <c r="AR10" s="716">
        <v>1</v>
      </c>
      <c r="AS10" s="716">
        <v>1</v>
      </c>
      <c r="AT10" s="717">
        <v>0</v>
      </c>
      <c r="AU10" s="718">
        <f t="shared" si="18"/>
        <v>0</v>
      </c>
      <c r="AV10" s="1186">
        <f t="shared" si="111"/>
        <v>0</v>
      </c>
      <c r="AW10" s="499">
        <f t="shared" si="112"/>
        <v>0</v>
      </c>
      <c r="AX10" s="499">
        <f t="shared" si="113"/>
        <v>0</v>
      </c>
      <c r="AY10" s="499">
        <f t="shared" si="134"/>
        <v>0</v>
      </c>
      <c r="AZ10" s="499">
        <f t="shared" si="135"/>
        <v>0</v>
      </c>
      <c r="BA10" s="719">
        <f t="shared" si="136"/>
        <v>0</v>
      </c>
      <c r="BB10" s="774">
        <f t="shared" si="43"/>
        <v>0</v>
      </c>
      <c r="BC10" s="499">
        <f t="shared" si="114"/>
        <v>0</v>
      </c>
      <c r="BD10" s="499">
        <f t="shared" si="115"/>
        <v>0</v>
      </c>
      <c r="BE10" s="499">
        <f t="shared" si="116"/>
        <v>0</v>
      </c>
      <c r="BF10" s="499">
        <f t="shared" si="117"/>
        <v>0</v>
      </c>
      <c r="BG10" s="499">
        <f t="shared" si="118"/>
        <v>0</v>
      </c>
      <c r="BH10" s="719">
        <f t="shared" si="119"/>
        <v>0</v>
      </c>
      <c r="BI10" s="774">
        <f t="shared" si="120"/>
        <v>180</v>
      </c>
      <c r="BJ10" s="503">
        <f t="shared" si="121"/>
        <v>163.33333333333334</v>
      </c>
      <c r="BK10" s="503">
        <f t="shared" si="20"/>
        <v>157.65502494654311</v>
      </c>
      <c r="BL10" s="503">
        <f t="shared" si="20"/>
        <v>156.7330016583748</v>
      </c>
      <c r="BM10" s="503">
        <f t="shared" si="20"/>
        <v>151.95348837209303</v>
      </c>
      <c r="BN10" s="503">
        <f t="shared" si="20"/>
        <v>145.25533290239173</v>
      </c>
      <c r="BO10" s="776">
        <f>IFERROR($N10+$O10+(AC10-AB10)*50/AC10,0)</f>
        <v>141.68895492818226</v>
      </c>
      <c r="BP10" s="774">
        <f t="shared" si="21"/>
        <v>36</v>
      </c>
      <c r="BQ10" s="503">
        <f t="shared" si="21"/>
        <v>36</v>
      </c>
      <c r="BR10" s="503">
        <f t="shared" si="21"/>
        <v>36</v>
      </c>
      <c r="BS10" s="503">
        <f t="shared" si="21"/>
        <v>36</v>
      </c>
      <c r="BT10" s="503">
        <f t="shared" si="21"/>
        <v>36</v>
      </c>
      <c r="BU10" s="503">
        <f t="shared" si="21"/>
        <v>36</v>
      </c>
      <c r="BV10" s="776">
        <f t="shared" si="21"/>
        <v>36</v>
      </c>
      <c r="BW10" s="722">
        <f t="shared" si="22"/>
        <v>0</v>
      </c>
      <c r="BX10" s="511"/>
      <c r="BY10" s="511"/>
      <c r="BZ10" s="511"/>
      <c r="CA10" s="511"/>
      <c r="CB10" s="511"/>
      <c r="CC10" s="723"/>
      <c r="CD10" s="511">
        <f t="shared" si="25"/>
        <v>0.47974413646055442</v>
      </c>
      <c r="CE10" s="511">
        <f t="shared" si="122"/>
        <v>0.47974413646055442</v>
      </c>
      <c r="CF10" s="511">
        <f t="shared" si="123"/>
        <v>0.47974413646055442</v>
      </c>
      <c r="CG10" s="511">
        <f t="shared" si="124"/>
        <v>0.47974413646055442</v>
      </c>
      <c r="CH10" s="511">
        <f t="shared" si="125"/>
        <v>0.47974413646055442</v>
      </c>
      <c r="CI10" s="511">
        <f t="shared" si="126"/>
        <v>0.47974413646055442</v>
      </c>
      <c r="CJ10" s="723">
        <f t="shared" si="127"/>
        <v>0.47974413646055442</v>
      </c>
      <c r="CK10" s="722">
        <f t="shared" si="28"/>
        <v>0</v>
      </c>
      <c r="CL10" s="511">
        <f t="shared" si="128"/>
        <v>0</v>
      </c>
      <c r="CM10" s="511">
        <f t="shared" si="129"/>
        <v>0</v>
      </c>
      <c r="CN10" s="511">
        <f t="shared" si="130"/>
        <v>0</v>
      </c>
      <c r="CO10" s="511">
        <f t="shared" si="131"/>
        <v>0</v>
      </c>
      <c r="CP10" s="511">
        <f t="shared" si="132"/>
        <v>0</v>
      </c>
      <c r="CQ10" s="539">
        <f t="shared" si="133"/>
        <v>0</v>
      </c>
      <c r="CR10" s="724">
        <f t="shared" si="53"/>
        <v>0</v>
      </c>
      <c r="CS10" s="508">
        <f t="shared" si="54"/>
        <v>0</v>
      </c>
      <c r="CT10" s="508">
        <f t="shared" si="55"/>
        <v>0</v>
      </c>
      <c r="CU10" s="508">
        <f t="shared" si="56"/>
        <v>0</v>
      </c>
      <c r="CV10" s="508">
        <f t="shared" si="57"/>
        <v>0</v>
      </c>
      <c r="CW10" s="508">
        <f t="shared" si="58"/>
        <v>0</v>
      </c>
      <c r="CX10" s="726">
        <f t="shared" si="59"/>
        <v>0</v>
      </c>
      <c r="CY10" s="724">
        <f t="shared" si="60"/>
        <v>0</v>
      </c>
      <c r="CZ10" s="508">
        <f t="shared" si="61"/>
        <v>0</v>
      </c>
      <c r="DA10" s="508">
        <f t="shared" si="62"/>
        <v>0</v>
      </c>
      <c r="DB10" s="508">
        <f t="shared" si="63"/>
        <v>0</v>
      </c>
      <c r="DC10" s="508">
        <f t="shared" si="64"/>
        <v>0</v>
      </c>
      <c r="DD10" s="508">
        <f t="shared" si="65"/>
        <v>0</v>
      </c>
      <c r="DE10" s="726">
        <f t="shared" si="66"/>
        <v>0</v>
      </c>
      <c r="DF10" s="724">
        <f t="shared" si="67"/>
        <v>188100</v>
      </c>
      <c r="DG10" s="508">
        <f t="shared" si="68"/>
        <v>512050.00000000006</v>
      </c>
      <c r="DH10" s="508">
        <f t="shared" si="69"/>
        <v>1105950</v>
      </c>
      <c r="DI10" s="508">
        <f t="shared" si="70"/>
        <v>2362750</v>
      </c>
      <c r="DJ10" s="508">
        <f t="shared" si="71"/>
        <v>4083750.0000000005</v>
      </c>
      <c r="DK10" s="508">
        <f t="shared" si="72"/>
        <v>5617750</v>
      </c>
      <c r="DL10" s="726">
        <f t="shared" si="73"/>
        <v>7151749.9999999991</v>
      </c>
      <c r="DM10" s="724">
        <f t="shared" si="74"/>
        <v>37620</v>
      </c>
      <c r="DN10" s="508">
        <f t="shared" si="75"/>
        <v>112860</v>
      </c>
      <c r="DO10" s="508">
        <f t="shared" si="76"/>
        <v>252540</v>
      </c>
      <c r="DP10" s="508">
        <f t="shared" si="77"/>
        <v>542700</v>
      </c>
      <c r="DQ10" s="508">
        <f t="shared" si="78"/>
        <v>967500</v>
      </c>
      <c r="DR10" s="508">
        <f t="shared" si="79"/>
        <v>1392300</v>
      </c>
      <c r="DS10" s="725">
        <f t="shared" si="80"/>
        <v>1817100</v>
      </c>
      <c r="DT10" s="722">
        <f t="shared" si="81"/>
        <v>0</v>
      </c>
      <c r="DU10" s="507">
        <f t="shared" si="82"/>
        <v>0</v>
      </c>
      <c r="DV10" s="507">
        <f t="shared" si="83"/>
        <v>0</v>
      </c>
      <c r="DW10" s="507">
        <f t="shared" si="84"/>
        <v>0</v>
      </c>
      <c r="DX10" s="507">
        <f t="shared" si="85"/>
        <v>0</v>
      </c>
      <c r="DY10" s="507">
        <f t="shared" si="86"/>
        <v>0</v>
      </c>
      <c r="DZ10" s="453">
        <f t="shared" si="87"/>
        <v>0</v>
      </c>
      <c r="EA10" s="722">
        <f t="shared" si="88"/>
        <v>501.33262260127935</v>
      </c>
      <c r="EB10" s="507">
        <f t="shared" si="89"/>
        <v>1503.9978678038381</v>
      </c>
      <c r="EC10" s="507">
        <f t="shared" si="90"/>
        <v>3365.4051172707891</v>
      </c>
      <c r="ED10" s="507">
        <f t="shared" si="91"/>
        <v>7232.1428571428578</v>
      </c>
      <c r="EE10" s="507">
        <f t="shared" si="92"/>
        <v>12893.1236673774</v>
      </c>
      <c r="EF10" s="507">
        <f t="shared" si="93"/>
        <v>18554.104477611942</v>
      </c>
      <c r="EG10" s="452">
        <f t="shared" si="94"/>
        <v>24215.085287846483</v>
      </c>
      <c r="EH10" s="722">
        <f t="shared" si="95"/>
        <v>0</v>
      </c>
      <c r="EI10" s="511">
        <f t="shared" si="96"/>
        <v>0</v>
      </c>
      <c r="EJ10" s="511">
        <f t="shared" si="97"/>
        <v>0</v>
      </c>
      <c r="EK10" s="511">
        <f t="shared" si="98"/>
        <v>0</v>
      </c>
      <c r="EL10" s="511">
        <f t="shared" si="99"/>
        <v>0</v>
      </c>
      <c r="EM10" s="511">
        <f t="shared" si="100"/>
        <v>0</v>
      </c>
      <c r="EN10" s="723">
        <f t="shared" si="101"/>
        <v>0</v>
      </c>
      <c r="EO10" s="977">
        <f t="shared" si="102"/>
        <v>20327.857142857141</v>
      </c>
      <c r="EP10" s="728">
        <f t="shared" si="103"/>
        <v>0</v>
      </c>
      <c r="EQ10" s="728">
        <f t="shared" si="104"/>
        <v>0</v>
      </c>
      <c r="ER10" s="728">
        <f t="shared" si="105"/>
        <v>21022100</v>
      </c>
      <c r="ES10" s="728">
        <f t="shared" si="106"/>
        <v>5122620</v>
      </c>
      <c r="ET10" s="978">
        <f t="shared" si="107"/>
        <v>0</v>
      </c>
      <c r="EU10" s="978">
        <f t="shared" si="108"/>
        <v>24215.085287846483</v>
      </c>
      <c r="EV10" s="778">
        <f t="shared" si="109"/>
        <v>0</v>
      </c>
      <c r="EW10" s="10"/>
      <c r="EX10" s="10" t="b">
        <f t="shared" si="38"/>
        <v>1</v>
      </c>
      <c r="EY10" s="10" t="b">
        <f t="shared" si="38"/>
        <v>1</v>
      </c>
      <c r="EZ10" s="10" t="b">
        <f t="shared" si="38"/>
        <v>1</v>
      </c>
      <c r="FA10" s="10" t="b">
        <f t="shared" si="38"/>
        <v>1</v>
      </c>
      <c r="FB10" s="10" t="b">
        <f t="shared" si="38"/>
        <v>1</v>
      </c>
      <c r="FC10" s="10" t="b">
        <f t="shared" si="38"/>
        <v>1</v>
      </c>
      <c r="FD10" s="10" t="b">
        <f t="shared" si="38"/>
        <v>1</v>
      </c>
      <c r="FE10" s="10" t="b">
        <f t="shared" si="38"/>
        <v>1</v>
      </c>
    </row>
    <row r="11" spans="1:161" s="96" customFormat="1" ht="12.5">
      <c r="A11" s="662">
        <v>6</v>
      </c>
      <c r="B11" s="703" t="s">
        <v>1663</v>
      </c>
      <c r="C11" s="715" t="s">
        <v>1662</v>
      </c>
      <c r="D11" s="715" t="s">
        <v>1514</v>
      </c>
      <c r="E11" s="703" t="s">
        <v>1515</v>
      </c>
      <c r="F11" s="1134" t="s">
        <v>402</v>
      </c>
      <c r="G11" s="1183">
        <v>0</v>
      </c>
      <c r="H11" s="704">
        <v>0</v>
      </c>
      <c r="I11" s="706">
        <f t="shared" si="110"/>
        <v>0</v>
      </c>
      <c r="J11" s="704">
        <v>0</v>
      </c>
      <c r="K11" s="704" t="s">
        <v>378</v>
      </c>
      <c r="L11" s="704" t="s">
        <v>378</v>
      </c>
      <c r="M11" s="715">
        <v>0</v>
      </c>
      <c r="N11" s="707">
        <f>10*12</f>
        <v>120</v>
      </c>
      <c r="O11" s="707">
        <v>0</v>
      </c>
      <c r="P11" s="707">
        <v>0</v>
      </c>
      <c r="Q11" s="1184">
        <v>0</v>
      </c>
      <c r="R11" s="1185">
        <v>0.59968017057569301</v>
      </c>
      <c r="S11" s="715">
        <v>0</v>
      </c>
      <c r="T11" s="711" t="s">
        <v>1655</v>
      </c>
      <c r="U11" s="1124"/>
      <c r="V11" s="781">
        <v>1</v>
      </c>
      <c r="W11" s="781">
        <f>'Online Marketplace'!W7*W38</f>
        <v>209</v>
      </c>
      <c r="X11" s="781">
        <f>'Online Marketplace'!X7*X38+W11</f>
        <v>627</v>
      </c>
      <c r="Y11" s="781">
        <f>'Online Marketplace'!Y7*Y38+X11</f>
        <v>1463</v>
      </c>
      <c r="Z11" s="781">
        <f>'Online Marketplace'!Z7*Z38+Y11</f>
        <v>3135</v>
      </c>
      <c r="AA11" s="781">
        <f>'Online Marketplace'!AA7*AA38+Z11</f>
        <v>5535</v>
      </c>
      <c r="AB11" s="781">
        <f>'Online Marketplace'!AB7*AB38+AA11</f>
        <v>7935</v>
      </c>
      <c r="AC11" s="781">
        <f>'Online Marketplace'!AC7*AC38+AB11</f>
        <v>10335</v>
      </c>
      <c r="AD11" s="711" t="s">
        <v>384</v>
      </c>
      <c r="AE11" s="711" t="s">
        <v>375</v>
      </c>
      <c r="AF11" s="1024" t="s">
        <v>377</v>
      </c>
      <c r="AG11" s="711" t="s">
        <v>1657</v>
      </c>
      <c r="AH11" s="711" t="s">
        <v>1</v>
      </c>
      <c r="AI11" s="711" t="s">
        <v>378</v>
      </c>
      <c r="AJ11" s="711" t="s">
        <v>378</v>
      </c>
      <c r="AK11" s="711" t="s">
        <v>378</v>
      </c>
      <c r="AL11" s="715" t="s">
        <v>943</v>
      </c>
      <c r="AM11" s="715" t="s">
        <v>380</v>
      </c>
      <c r="AN11" s="715" t="s">
        <v>381</v>
      </c>
      <c r="AO11" s="711">
        <v>1</v>
      </c>
      <c r="AP11" s="711">
        <v>1</v>
      </c>
      <c r="AQ11" s="711" t="s">
        <v>1534</v>
      </c>
      <c r="AR11" s="716">
        <v>1</v>
      </c>
      <c r="AS11" s="716">
        <v>1</v>
      </c>
      <c r="AT11" s="717">
        <v>0</v>
      </c>
      <c r="AU11" s="718">
        <f t="shared" si="18"/>
        <v>0</v>
      </c>
      <c r="AV11" s="1186">
        <f t="shared" si="111"/>
        <v>0</v>
      </c>
      <c r="AW11" s="499">
        <f t="shared" si="112"/>
        <v>0</v>
      </c>
      <c r="AX11" s="499">
        <f t="shared" si="113"/>
        <v>0</v>
      </c>
      <c r="AY11" s="499">
        <f t="shared" si="134"/>
        <v>0</v>
      </c>
      <c r="AZ11" s="499">
        <f t="shared" si="135"/>
        <v>0</v>
      </c>
      <c r="BA11" s="719">
        <f t="shared" si="136"/>
        <v>0</v>
      </c>
      <c r="BB11" s="774">
        <f t="shared" si="43"/>
        <v>0</v>
      </c>
      <c r="BC11" s="499">
        <f t="shared" si="114"/>
        <v>0</v>
      </c>
      <c r="BD11" s="499">
        <f t="shared" si="115"/>
        <v>0</v>
      </c>
      <c r="BE11" s="499">
        <f t="shared" si="116"/>
        <v>0</v>
      </c>
      <c r="BF11" s="499">
        <f t="shared" si="117"/>
        <v>0</v>
      </c>
      <c r="BG11" s="499">
        <f t="shared" si="118"/>
        <v>0</v>
      </c>
      <c r="BH11" s="719">
        <f t="shared" si="119"/>
        <v>0</v>
      </c>
      <c r="BI11" s="774">
        <f>N11+O11</f>
        <v>120</v>
      </c>
      <c r="BJ11" s="503">
        <f>BI11</f>
        <v>120</v>
      </c>
      <c r="BK11" s="503">
        <f t="shared" si="46"/>
        <v>120</v>
      </c>
      <c r="BL11" s="503">
        <f t="shared" si="46"/>
        <v>120</v>
      </c>
      <c r="BM11" s="503">
        <f t="shared" si="46"/>
        <v>120</v>
      </c>
      <c r="BN11" s="503">
        <f t="shared" si="46"/>
        <v>120</v>
      </c>
      <c r="BO11" s="503">
        <f t="shared" si="46"/>
        <v>120</v>
      </c>
      <c r="BP11" s="774">
        <f t="shared" si="21"/>
        <v>0</v>
      </c>
      <c r="BQ11" s="503">
        <f t="shared" si="21"/>
        <v>0</v>
      </c>
      <c r="BR11" s="503">
        <f t="shared" si="21"/>
        <v>0</v>
      </c>
      <c r="BS11" s="503">
        <f t="shared" si="21"/>
        <v>0</v>
      </c>
      <c r="BT11" s="503">
        <f t="shared" si="21"/>
        <v>0</v>
      </c>
      <c r="BU11" s="503">
        <f t="shared" si="21"/>
        <v>0</v>
      </c>
      <c r="BV11" s="776">
        <f t="shared" si="21"/>
        <v>0</v>
      </c>
      <c r="BW11" s="722">
        <f t="shared" si="22"/>
        <v>0</v>
      </c>
      <c r="BX11" s="511"/>
      <c r="BY11" s="511"/>
      <c r="BZ11" s="511"/>
      <c r="CA11" s="511"/>
      <c r="CB11" s="511"/>
      <c r="CC11" s="723"/>
      <c r="CD11" s="511">
        <f t="shared" si="25"/>
        <v>0.59968017057569301</v>
      </c>
      <c r="CE11" s="511">
        <f t="shared" si="122"/>
        <v>0.59968017057569301</v>
      </c>
      <c r="CF11" s="511">
        <f t="shared" si="123"/>
        <v>0.59968017057569301</v>
      </c>
      <c r="CG11" s="511">
        <f t="shared" si="124"/>
        <v>0.59968017057569301</v>
      </c>
      <c r="CH11" s="511">
        <f t="shared" si="125"/>
        <v>0.59968017057569301</v>
      </c>
      <c r="CI11" s="511">
        <f t="shared" si="126"/>
        <v>0.59968017057569301</v>
      </c>
      <c r="CJ11" s="723">
        <f t="shared" si="127"/>
        <v>0.59968017057569301</v>
      </c>
      <c r="CK11" s="722">
        <f t="shared" si="28"/>
        <v>0</v>
      </c>
      <c r="CL11" s="511">
        <f t="shared" si="128"/>
        <v>0</v>
      </c>
      <c r="CM11" s="511">
        <f t="shared" si="129"/>
        <v>0</v>
      </c>
      <c r="CN11" s="511">
        <f t="shared" si="130"/>
        <v>0</v>
      </c>
      <c r="CO11" s="511">
        <f t="shared" si="131"/>
        <v>0</v>
      </c>
      <c r="CP11" s="511">
        <f t="shared" si="132"/>
        <v>0</v>
      </c>
      <c r="CQ11" s="539">
        <f t="shared" si="133"/>
        <v>0</v>
      </c>
      <c r="CR11" s="724">
        <f t="shared" si="53"/>
        <v>0</v>
      </c>
      <c r="CS11" s="508">
        <f t="shared" si="54"/>
        <v>0</v>
      </c>
      <c r="CT11" s="508">
        <f t="shared" si="55"/>
        <v>0</v>
      </c>
      <c r="CU11" s="508">
        <f t="shared" si="56"/>
        <v>0</v>
      </c>
      <c r="CV11" s="508">
        <f t="shared" si="57"/>
        <v>0</v>
      </c>
      <c r="CW11" s="508">
        <f t="shared" si="58"/>
        <v>0</v>
      </c>
      <c r="CX11" s="726">
        <f t="shared" si="59"/>
        <v>0</v>
      </c>
      <c r="CY11" s="724">
        <f t="shared" si="60"/>
        <v>0</v>
      </c>
      <c r="CZ11" s="508">
        <f t="shared" si="61"/>
        <v>0</v>
      </c>
      <c r="DA11" s="508">
        <f t="shared" si="62"/>
        <v>0</v>
      </c>
      <c r="DB11" s="508">
        <f t="shared" si="63"/>
        <v>0</v>
      </c>
      <c r="DC11" s="508">
        <f t="shared" si="64"/>
        <v>0</v>
      </c>
      <c r="DD11" s="508">
        <f t="shared" si="65"/>
        <v>0</v>
      </c>
      <c r="DE11" s="726">
        <f t="shared" si="66"/>
        <v>0</v>
      </c>
      <c r="DF11" s="724">
        <f t="shared" si="67"/>
        <v>25080</v>
      </c>
      <c r="DG11" s="508">
        <f t="shared" si="68"/>
        <v>75240</v>
      </c>
      <c r="DH11" s="508">
        <f t="shared" si="69"/>
        <v>175560</v>
      </c>
      <c r="DI11" s="508">
        <f t="shared" si="70"/>
        <v>376200</v>
      </c>
      <c r="DJ11" s="508">
        <f t="shared" si="71"/>
        <v>664200</v>
      </c>
      <c r="DK11" s="508">
        <f t="shared" si="72"/>
        <v>952200</v>
      </c>
      <c r="DL11" s="726">
        <f t="shared" si="73"/>
        <v>1240200</v>
      </c>
      <c r="DM11" s="724">
        <f t="shared" si="74"/>
        <v>0</v>
      </c>
      <c r="DN11" s="508">
        <f t="shared" si="75"/>
        <v>0</v>
      </c>
      <c r="DO11" s="508">
        <f t="shared" si="76"/>
        <v>0</v>
      </c>
      <c r="DP11" s="508">
        <f t="shared" si="77"/>
        <v>0</v>
      </c>
      <c r="DQ11" s="508">
        <f t="shared" si="78"/>
        <v>0</v>
      </c>
      <c r="DR11" s="508">
        <f t="shared" si="79"/>
        <v>0</v>
      </c>
      <c r="DS11" s="725">
        <f t="shared" si="80"/>
        <v>0</v>
      </c>
      <c r="DT11" s="722">
        <f t="shared" si="81"/>
        <v>0</v>
      </c>
      <c r="DU11" s="507">
        <f t="shared" si="82"/>
        <v>0</v>
      </c>
      <c r="DV11" s="507">
        <f t="shared" si="83"/>
        <v>0</v>
      </c>
      <c r="DW11" s="507">
        <f t="shared" si="84"/>
        <v>0</v>
      </c>
      <c r="DX11" s="507">
        <f t="shared" si="85"/>
        <v>0</v>
      </c>
      <c r="DY11" s="507">
        <f t="shared" si="86"/>
        <v>0</v>
      </c>
      <c r="DZ11" s="453">
        <f t="shared" si="87"/>
        <v>0</v>
      </c>
      <c r="EA11" s="722">
        <f t="shared" si="88"/>
        <v>125.33315565031984</v>
      </c>
      <c r="EB11" s="507">
        <f t="shared" si="89"/>
        <v>375.99946695095952</v>
      </c>
      <c r="EC11" s="507">
        <f t="shared" si="90"/>
        <v>877.33208955223881</v>
      </c>
      <c r="ED11" s="507">
        <f t="shared" si="91"/>
        <v>1879.9973347547975</v>
      </c>
      <c r="EE11" s="507">
        <f t="shared" si="92"/>
        <v>3319.2297441364608</v>
      </c>
      <c r="EF11" s="507">
        <f t="shared" si="93"/>
        <v>4758.4621535181241</v>
      </c>
      <c r="EG11" s="452">
        <f t="shared" si="94"/>
        <v>6197.6945628997873</v>
      </c>
      <c r="EH11" s="722">
        <f t="shared" si="95"/>
        <v>0</v>
      </c>
      <c r="EI11" s="511">
        <f t="shared" si="96"/>
        <v>0</v>
      </c>
      <c r="EJ11" s="511">
        <f t="shared" si="97"/>
        <v>0</v>
      </c>
      <c r="EK11" s="511">
        <f t="shared" si="98"/>
        <v>0</v>
      </c>
      <c r="EL11" s="511">
        <f t="shared" si="99"/>
        <v>0</v>
      </c>
      <c r="EM11" s="511">
        <f t="shared" si="100"/>
        <v>0</v>
      </c>
      <c r="EN11" s="723">
        <f t="shared" si="101"/>
        <v>0</v>
      </c>
      <c r="EO11" s="977">
        <f t="shared" si="102"/>
        <v>4177</v>
      </c>
      <c r="EP11" s="728">
        <f t="shared" si="103"/>
        <v>0</v>
      </c>
      <c r="EQ11" s="728">
        <f t="shared" si="104"/>
        <v>0</v>
      </c>
      <c r="ER11" s="728">
        <f t="shared" si="105"/>
        <v>3508680</v>
      </c>
      <c r="ES11" s="728">
        <f t="shared" si="106"/>
        <v>0</v>
      </c>
      <c r="ET11" s="978">
        <f t="shared" si="107"/>
        <v>0</v>
      </c>
      <c r="EU11" s="978">
        <f t="shared" si="108"/>
        <v>6197.6945628997873</v>
      </c>
      <c r="EV11" s="778">
        <f t="shared" si="109"/>
        <v>0</v>
      </c>
      <c r="EW11" s="10"/>
      <c r="EX11" s="10" t="b">
        <f t="shared" si="38"/>
        <v>1</v>
      </c>
      <c r="EY11" s="10" t="b">
        <f t="shared" si="38"/>
        <v>1</v>
      </c>
      <c r="EZ11" s="10" t="b">
        <f t="shared" si="38"/>
        <v>1</v>
      </c>
      <c r="FA11" s="10" t="b">
        <f t="shared" si="38"/>
        <v>1</v>
      </c>
      <c r="FB11" s="10" t="b">
        <f t="shared" si="38"/>
        <v>1</v>
      </c>
      <c r="FC11" s="10" t="b">
        <f t="shared" si="38"/>
        <v>1</v>
      </c>
      <c r="FD11" s="10" t="b">
        <f t="shared" si="38"/>
        <v>1</v>
      </c>
      <c r="FE11" s="10" t="b">
        <f t="shared" si="38"/>
        <v>1</v>
      </c>
    </row>
    <row r="12" spans="1:161" s="96" customFormat="1" ht="12.5">
      <c r="A12" s="662">
        <v>7</v>
      </c>
      <c r="B12" s="703" t="s">
        <v>1664</v>
      </c>
      <c r="C12" s="715" t="s">
        <v>1665</v>
      </c>
      <c r="D12" s="715" t="s">
        <v>1514</v>
      </c>
      <c r="E12" s="703" t="s">
        <v>1515</v>
      </c>
      <c r="F12" s="1134" t="s">
        <v>402</v>
      </c>
      <c r="G12" s="1183">
        <v>0</v>
      </c>
      <c r="H12" s="704">
        <v>0</v>
      </c>
      <c r="I12" s="706">
        <f t="shared" ref="I12" si="137">G12+H12</f>
        <v>0</v>
      </c>
      <c r="J12" s="704">
        <v>0</v>
      </c>
      <c r="K12" s="704" t="s">
        <v>378</v>
      </c>
      <c r="L12" s="704" t="s">
        <v>378</v>
      </c>
      <c r="M12" s="715">
        <v>0</v>
      </c>
      <c r="N12" s="707">
        <f>10*25</f>
        <v>250</v>
      </c>
      <c r="O12" s="707">
        <v>0</v>
      </c>
      <c r="P12" s="707">
        <f>3*12</f>
        <v>36</v>
      </c>
      <c r="Q12" s="1184">
        <v>0</v>
      </c>
      <c r="R12" s="1123">
        <v>1.59</v>
      </c>
      <c r="S12" s="715">
        <v>0</v>
      </c>
      <c r="T12" s="711" t="s">
        <v>1655</v>
      </c>
      <c r="U12" s="1124"/>
      <c r="V12" s="781">
        <v>1</v>
      </c>
      <c r="W12" s="781">
        <f>'Online Marketplace'!W9*W39</f>
        <v>0</v>
      </c>
      <c r="X12" s="781">
        <f>'Online Marketplace'!X9*X39+W12</f>
        <v>0</v>
      </c>
      <c r="Y12" s="781">
        <f>'Residential Demand Conservation'!X12-'Residential Demand Conservation'!Y12</f>
        <v>300</v>
      </c>
      <c r="Z12" s="781">
        <f>Y12+('Residential Demand Conservation'!Y12-'Residential Demand Conservation'!Z12)</f>
        <v>600</v>
      </c>
      <c r="AA12" s="781">
        <f>Z12+('Residential Demand Conservation'!Z12-'Residential Demand Conservation'!AA12)</f>
        <v>800</v>
      </c>
      <c r="AB12" s="781">
        <f>AA12+('Residential Demand Conservation'!AA12-'Residential Demand Conservation'!AB12)</f>
        <v>1000</v>
      </c>
      <c r="AC12" s="781">
        <f>AB12+('Residential Demand Conservation'!AB12-'Residential Demand Conservation'!AC12)</f>
        <v>1200</v>
      </c>
      <c r="AD12" s="711" t="s">
        <v>384</v>
      </c>
      <c r="AE12" s="1126" t="s">
        <v>742</v>
      </c>
      <c r="AF12" s="1126" t="s">
        <v>1146</v>
      </c>
      <c r="AG12" s="1126" t="s">
        <v>1533</v>
      </c>
      <c r="AH12" s="711" t="s">
        <v>1</v>
      </c>
      <c r="AI12" s="711" t="s">
        <v>378</v>
      </c>
      <c r="AJ12" s="711" t="s">
        <v>378</v>
      </c>
      <c r="AK12" s="711" t="s">
        <v>378</v>
      </c>
      <c r="AL12" s="715" t="s">
        <v>1187</v>
      </c>
      <c r="AM12" s="715" t="s">
        <v>380</v>
      </c>
      <c r="AN12" s="715" t="s">
        <v>746</v>
      </c>
      <c r="AO12" s="711">
        <v>1</v>
      </c>
      <c r="AP12" s="711">
        <v>1</v>
      </c>
      <c r="AQ12" s="711" t="s">
        <v>1534</v>
      </c>
      <c r="AR12" s="716">
        <v>1</v>
      </c>
      <c r="AS12" s="716">
        <v>1</v>
      </c>
      <c r="AT12" s="717">
        <v>0</v>
      </c>
      <c r="AU12" s="718">
        <f t="shared" ref="AU12" si="138">I12</f>
        <v>0</v>
      </c>
      <c r="AV12" s="1186">
        <f t="shared" ref="AV12" si="139">AU12</f>
        <v>0</v>
      </c>
      <c r="AW12" s="499">
        <f t="shared" ref="AW12" si="140">AV12</f>
        <v>0</v>
      </c>
      <c r="AX12" s="499">
        <f t="shared" ref="AX12" si="141">AU12</f>
        <v>0</v>
      </c>
      <c r="AY12" s="499">
        <f t="shared" ref="AY12" si="142">AV12</f>
        <v>0</v>
      </c>
      <c r="AZ12" s="499">
        <f t="shared" ref="AZ12" si="143">AW12</f>
        <v>0</v>
      </c>
      <c r="BA12" s="719">
        <f t="shared" ref="BA12" si="144">AX12</f>
        <v>0</v>
      </c>
      <c r="BB12" s="774">
        <f t="shared" ref="BB12" si="145">J12</f>
        <v>0</v>
      </c>
      <c r="BC12" s="499">
        <f t="shared" ref="BC12" si="146">BB12</f>
        <v>0</v>
      </c>
      <c r="BD12" s="499">
        <f t="shared" ref="BD12" si="147">BC12</f>
        <v>0</v>
      </c>
      <c r="BE12" s="499">
        <f t="shared" ref="BE12" si="148">BD12</f>
        <v>0</v>
      </c>
      <c r="BF12" s="499">
        <f t="shared" ref="BF12" si="149">BE12</f>
        <v>0</v>
      </c>
      <c r="BG12" s="499">
        <f t="shared" ref="BG12" si="150">BF12</f>
        <v>0</v>
      </c>
      <c r="BH12" s="719">
        <f t="shared" ref="BH12" si="151">BG12</f>
        <v>0</v>
      </c>
      <c r="BI12" s="774">
        <f t="shared" ref="BI12" si="152">IFERROR(N12+O12+W12*50/W12,0)</f>
        <v>0</v>
      </c>
      <c r="BJ12" s="503">
        <f t="shared" ref="BJ12" si="153">IFERROR($N12+$O12+(X12-W12)*50/X12,0)</f>
        <v>0</v>
      </c>
      <c r="BK12" s="503">
        <f>IFERROR($N12+$O12+(Y12-X12)*50/Y12,0)</f>
        <v>300</v>
      </c>
      <c r="BL12" s="503">
        <f>IFERROR($N12+$O12+(Z12-Y12)*50/Z12,0)</f>
        <v>275</v>
      </c>
      <c r="BM12" s="503">
        <f t="shared" ref="BM12" si="154">IFERROR($N12+$O12+(AA12-Z12)*50/AA12,0)</f>
        <v>262.5</v>
      </c>
      <c r="BN12" s="503">
        <f t="shared" ref="BN12" si="155">IFERROR($N12+$O12+(AB12-AA12)*50/AB12,0)</f>
        <v>260</v>
      </c>
      <c r="BO12" s="776">
        <f t="shared" ref="BO12" si="156">IFERROR($N12+$O12+(AC12-AB12)*50/AC12,0)</f>
        <v>258.33333333333331</v>
      </c>
      <c r="BP12" s="774">
        <f t="shared" si="21"/>
        <v>36</v>
      </c>
      <c r="BQ12" s="503">
        <f t="shared" si="21"/>
        <v>36</v>
      </c>
      <c r="BR12" s="503">
        <f t="shared" si="21"/>
        <v>36</v>
      </c>
      <c r="BS12" s="503">
        <f t="shared" si="21"/>
        <v>36</v>
      </c>
      <c r="BT12" s="503">
        <f t="shared" si="21"/>
        <v>36</v>
      </c>
      <c r="BU12" s="503">
        <f t="shared" si="21"/>
        <v>36</v>
      </c>
      <c r="BV12" s="776">
        <f t="shared" si="21"/>
        <v>36</v>
      </c>
      <c r="BW12" s="722">
        <f t="shared" ref="BW12" si="157">Q12*AS12</f>
        <v>0</v>
      </c>
      <c r="BX12" s="511"/>
      <c r="BY12" s="511"/>
      <c r="BZ12" s="511"/>
      <c r="CA12" s="511"/>
      <c r="CB12" s="511"/>
      <c r="CC12" s="723"/>
      <c r="CD12" s="511">
        <f t="shared" ref="CD12" si="158">R12*AS12</f>
        <v>1.59</v>
      </c>
      <c r="CE12" s="511">
        <f t="shared" ref="CE12" si="159">CD12</f>
        <v>1.59</v>
      </c>
      <c r="CF12" s="511">
        <f t="shared" ref="CF12" si="160">CE12</f>
        <v>1.59</v>
      </c>
      <c r="CG12" s="511">
        <f t="shared" ref="CG12" si="161">CF12</f>
        <v>1.59</v>
      </c>
      <c r="CH12" s="511">
        <f t="shared" ref="CH12" si="162">CG12</f>
        <v>1.59</v>
      </c>
      <c r="CI12" s="511">
        <f t="shared" ref="CI12" si="163">CH12</f>
        <v>1.59</v>
      </c>
      <c r="CJ12" s="723">
        <f t="shared" ref="CJ12" si="164">CI12</f>
        <v>1.59</v>
      </c>
      <c r="CK12" s="722">
        <f t="shared" ref="CK12" si="165">S12*AT12</f>
        <v>0</v>
      </c>
      <c r="CL12" s="511">
        <f t="shared" ref="CL12" si="166">CK12</f>
        <v>0</v>
      </c>
      <c r="CM12" s="511">
        <f t="shared" ref="CM12" si="167">CL12</f>
        <v>0</v>
      </c>
      <c r="CN12" s="511">
        <f t="shared" ref="CN12" si="168">CM12</f>
        <v>0</v>
      </c>
      <c r="CO12" s="511">
        <f t="shared" ref="CO12" si="169">CN12</f>
        <v>0</v>
      </c>
      <c r="CP12" s="511">
        <f t="shared" ref="CP12" si="170">CO12</f>
        <v>0</v>
      </c>
      <c r="CQ12" s="539">
        <f t="shared" ref="CQ12" si="171">CP12</f>
        <v>0</v>
      </c>
      <c r="CR12" s="724">
        <f t="shared" ref="CR12" si="172">W12*AU12</f>
        <v>0</v>
      </c>
      <c r="CS12" s="508">
        <f t="shared" ref="CS12" si="173">X12*AV12</f>
        <v>0</v>
      </c>
      <c r="CT12" s="508">
        <f t="shared" ref="CT12" si="174">Y12*AW12</f>
        <v>0</v>
      </c>
      <c r="CU12" s="508">
        <f t="shared" ref="CU12" si="175">Z12*AX12</f>
        <v>0</v>
      </c>
      <c r="CV12" s="508">
        <f t="shared" ref="CV12" si="176">AA12*AY12</f>
        <v>0</v>
      </c>
      <c r="CW12" s="508">
        <f t="shared" ref="CW12" si="177">AB12*AZ12</f>
        <v>0</v>
      </c>
      <c r="CX12" s="726">
        <f t="shared" ref="CX12" si="178">AC12*BA12</f>
        <v>0</v>
      </c>
      <c r="CY12" s="724">
        <f t="shared" ref="CY12" si="179">W12*BB12</f>
        <v>0</v>
      </c>
      <c r="CZ12" s="508">
        <f t="shared" ref="CZ12" si="180">X12*BC12</f>
        <v>0</v>
      </c>
      <c r="DA12" s="508">
        <f t="shared" ref="DA12" si="181">Y12*BD12</f>
        <v>0</v>
      </c>
      <c r="DB12" s="508">
        <f t="shared" ref="DB12" si="182">Z12*BE12</f>
        <v>0</v>
      </c>
      <c r="DC12" s="508">
        <f t="shared" ref="DC12" si="183">AA12*BF12</f>
        <v>0</v>
      </c>
      <c r="DD12" s="508">
        <f t="shared" ref="DD12" si="184">AB12*BG12</f>
        <v>0</v>
      </c>
      <c r="DE12" s="726">
        <f t="shared" ref="DE12" si="185">AC12*BH12</f>
        <v>0</v>
      </c>
      <c r="DF12" s="724">
        <f t="shared" ref="DF12" si="186">W12*BI12</f>
        <v>0</v>
      </c>
      <c r="DG12" s="508">
        <f t="shared" ref="DG12" si="187">X12*BJ12</f>
        <v>0</v>
      </c>
      <c r="DH12" s="508">
        <f t="shared" ref="DH12" si="188">Y12*BK12</f>
        <v>90000</v>
      </c>
      <c r="DI12" s="508">
        <f t="shared" ref="DI12" si="189">Z12*BL12</f>
        <v>165000</v>
      </c>
      <c r="DJ12" s="508">
        <f t="shared" ref="DJ12" si="190">AA12*BM12</f>
        <v>210000</v>
      </c>
      <c r="DK12" s="508">
        <f t="shared" ref="DK12" si="191">AB12*BN12</f>
        <v>260000</v>
      </c>
      <c r="DL12" s="726">
        <f t="shared" ref="DL12" si="192">AC12*BO12</f>
        <v>310000</v>
      </c>
      <c r="DM12" s="724">
        <f t="shared" ref="DM12" si="193">BP12*W12</f>
        <v>0</v>
      </c>
      <c r="DN12" s="508">
        <f t="shared" ref="DN12" si="194">BQ12*X12</f>
        <v>0</v>
      </c>
      <c r="DO12" s="508">
        <f t="shared" ref="DO12" si="195">BR12*Y12</f>
        <v>10800</v>
      </c>
      <c r="DP12" s="508">
        <f t="shared" ref="DP12" si="196">BS12*Z12</f>
        <v>21600</v>
      </c>
      <c r="DQ12" s="508">
        <f t="shared" ref="DQ12" si="197">BT12*AA12</f>
        <v>28800</v>
      </c>
      <c r="DR12" s="508">
        <f t="shared" ref="DR12" si="198">BU12*AB12</f>
        <v>36000</v>
      </c>
      <c r="DS12" s="725">
        <f t="shared" ref="DS12" si="199">BV12*AC12</f>
        <v>43200</v>
      </c>
      <c r="DT12" s="722">
        <f t="shared" ref="DT12" si="200">W12*BW12</f>
        <v>0</v>
      </c>
      <c r="DU12" s="507">
        <f t="shared" ref="DU12" si="201">X12*BX12</f>
        <v>0</v>
      </c>
      <c r="DV12" s="507">
        <f t="shared" ref="DV12" si="202">Y12*BY12</f>
        <v>0</v>
      </c>
      <c r="DW12" s="507">
        <f t="shared" ref="DW12" si="203">Z12*BZ12</f>
        <v>0</v>
      </c>
      <c r="DX12" s="507">
        <f t="shared" ref="DX12" si="204">AA12*CA12</f>
        <v>0</v>
      </c>
      <c r="DY12" s="507">
        <f t="shared" ref="DY12" si="205">AB12*CB12</f>
        <v>0</v>
      </c>
      <c r="DZ12" s="453">
        <f t="shared" ref="DZ12" si="206">AC12*CC12</f>
        <v>0</v>
      </c>
      <c r="EA12" s="722">
        <f t="shared" ref="EA12" si="207">W12*CD12</f>
        <v>0</v>
      </c>
      <c r="EB12" s="507">
        <f t="shared" ref="EB12" si="208">X12*CE12</f>
        <v>0</v>
      </c>
      <c r="EC12" s="507">
        <f t="shared" ref="EC12" si="209">Y12*CF12</f>
        <v>477</v>
      </c>
      <c r="ED12" s="507">
        <f t="shared" ref="ED12" si="210">Z12*CG12</f>
        <v>954</v>
      </c>
      <c r="EE12" s="507">
        <f t="shared" ref="EE12" si="211">AA12*CH12</f>
        <v>1272</v>
      </c>
      <c r="EF12" s="507">
        <f t="shared" ref="EF12" si="212">AB12*CI12</f>
        <v>1590</v>
      </c>
      <c r="EG12" s="452">
        <f t="shared" ref="EG12" si="213">AC12*CJ12</f>
        <v>1908</v>
      </c>
      <c r="EH12" s="722">
        <f t="shared" ref="EH12" si="214">W12*CK12</f>
        <v>0</v>
      </c>
      <c r="EI12" s="511">
        <f t="shared" ref="EI12" si="215">X12*CL12</f>
        <v>0</v>
      </c>
      <c r="EJ12" s="511">
        <f t="shared" ref="EJ12" si="216">Y12*CM12</f>
        <v>0</v>
      </c>
      <c r="EK12" s="511">
        <f t="shared" ref="EK12" si="217">Z12*CN12</f>
        <v>0</v>
      </c>
      <c r="EL12" s="511">
        <f t="shared" ref="EL12" si="218">AA12*CO12</f>
        <v>0</v>
      </c>
      <c r="EM12" s="511">
        <f t="shared" ref="EM12" si="219">AB12*CP12</f>
        <v>0</v>
      </c>
      <c r="EN12" s="723">
        <f t="shared" ref="EN12" si="220">AC12*CQ12</f>
        <v>0</v>
      </c>
      <c r="EO12" s="977">
        <f t="shared" ref="EO12" si="221">AVERAGE(W12:AC12)</f>
        <v>557.14285714285711</v>
      </c>
      <c r="EP12" s="728">
        <f t="shared" ref="EP12" si="222">SUM(CR12:CX12)</f>
        <v>0</v>
      </c>
      <c r="EQ12" s="728">
        <f t="shared" ref="EQ12" si="223">SUM(CY12:DE12)</f>
        <v>0</v>
      </c>
      <c r="ER12" s="728">
        <f t="shared" ref="ER12" si="224">SUM(DF12:DL12)</f>
        <v>1035000</v>
      </c>
      <c r="ES12" s="728">
        <f t="shared" ref="ES12" si="225">SUM(DM12:DS12)</f>
        <v>140400</v>
      </c>
      <c r="ET12" s="978">
        <f t="shared" ref="ET12" si="226">SUM(DT12:DZ12)</f>
        <v>0</v>
      </c>
      <c r="EU12" s="978">
        <f>MAX(EA12:EG12)</f>
        <v>1908</v>
      </c>
      <c r="EV12" s="778">
        <f t="shared" ref="EV12" si="227">SUM(EH12:EN12)</f>
        <v>0</v>
      </c>
      <c r="EW12" s="10"/>
      <c r="EX12" s="10" t="b">
        <f t="shared" ref="EX12:FB14" si="228">EO12=SUM(EO22,EO32)</f>
        <v>1</v>
      </c>
      <c r="EY12" s="10" t="b">
        <f t="shared" si="228"/>
        <v>1</v>
      </c>
      <c r="EZ12" s="10" t="b">
        <f t="shared" si="228"/>
        <v>1</v>
      </c>
      <c r="FA12" s="10" t="b">
        <f t="shared" si="228"/>
        <v>1</v>
      </c>
      <c r="FB12" s="10" t="b">
        <f t="shared" si="228"/>
        <v>1</v>
      </c>
      <c r="FC12" s="10" t="b">
        <f t="shared" si="38"/>
        <v>1</v>
      </c>
      <c r="FD12" s="10" t="b">
        <f>EU12=SUM(EU22,EU32)</f>
        <v>1</v>
      </c>
      <c r="FE12" s="10" t="b">
        <f t="shared" ref="FD12:FE14" si="229">EV12=SUM(EV22,EV32)</f>
        <v>1</v>
      </c>
    </row>
    <row r="13" spans="1:161" s="96" customFormat="1" ht="12.5">
      <c r="A13" s="662">
        <v>8</v>
      </c>
      <c r="B13" s="703" t="s">
        <v>1666</v>
      </c>
      <c r="C13" s="715" t="s">
        <v>1667</v>
      </c>
      <c r="D13" s="715" t="s">
        <v>1514</v>
      </c>
      <c r="E13" s="703" t="s">
        <v>1515</v>
      </c>
      <c r="F13" s="1134" t="s">
        <v>402</v>
      </c>
      <c r="G13" s="1183">
        <v>0</v>
      </c>
      <c r="H13" s="704">
        <v>0</v>
      </c>
      <c r="I13" s="706">
        <f t="shared" ref="I13:I14" si="230">G13+H13</f>
        <v>0</v>
      </c>
      <c r="J13" s="704">
        <v>0</v>
      </c>
      <c r="K13" s="704" t="s">
        <v>378</v>
      </c>
      <c r="L13" s="704" t="s">
        <v>378</v>
      </c>
      <c r="M13" s="715">
        <v>0</v>
      </c>
      <c r="N13" s="707">
        <f>10*25</f>
        <v>250</v>
      </c>
      <c r="O13" s="707">
        <v>0</v>
      </c>
      <c r="P13" s="707">
        <f>3*12</f>
        <v>36</v>
      </c>
      <c r="Q13" s="1184">
        <v>0</v>
      </c>
      <c r="R13" s="1185">
        <f>J166</f>
        <v>0.5</v>
      </c>
      <c r="S13" s="715">
        <v>0</v>
      </c>
      <c r="T13" s="711" t="s">
        <v>1668</v>
      </c>
      <c r="U13" s="1124">
        <v>0.5</v>
      </c>
      <c r="V13" s="781">
        <v>1</v>
      </c>
      <c r="W13" s="781">
        <v>0</v>
      </c>
      <c r="X13" s="781">
        <v>0</v>
      </c>
      <c r="Y13" s="781">
        <v>10</v>
      </c>
      <c r="Z13" s="781">
        <f>Y13*(1+$U$13)</f>
        <v>15</v>
      </c>
      <c r="AA13" s="781">
        <f>Z13*(1+$U$13)</f>
        <v>22.5</v>
      </c>
      <c r="AB13" s="781">
        <f t="shared" ref="AB13:AC13" si="231">AA13*(1+$U$13)</f>
        <v>33.75</v>
      </c>
      <c r="AC13" s="781">
        <f t="shared" si="231"/>
        <v>50.625</v>
      </c>
      <c r="AD13" s="711" t="s">
        <v>384</v>
      </c>
      <c r="AE13" s="711" t="s">
        <v>375</v>
      </c>
      <c r="AF13" s="1024" t="s">
        <v>377</v>
      </c>
      <c r="AG13" s="1126" t="s">
        <v>454</v>
      </c>
      <c r="AH13" s="711" t="s">
        <v>1</v>
      </c>
      <c r="AI13" s="711" t="s">
        <v>378</v>
      </c>
      <c r="AJ13" s="711" t="s">
        <v>378</v>
      </c>
      <c r="AK13" s="711" t="s">
        <v>378</v>
      </c>
      <c r="AL13" s="715" t="s">
        <v>406</v>
      </c>
      <c r="AM13" s="715" t="s">
        <v>380</v>
      </c>
      <c r="AN13" s="715" t="s">
        <v>381</v>
      </c>
      <c r="AO13" s="711">
        <v>1</v>
      </c>
      <c r="AP13" s="711">
        <v>1</v>
      </c>
      <c r="AQ13" s="711" t="s">
        <v>1534</v>
      </c>
      <c r="AR13" s="716">
        <v>1</v>
      </c>
      <c r="AS13" s="716">
        <v>1</v>
      </c>
      <c r="AT13" s="717">
        <v>0</v>
      </c>
      <c r="AU13" s="718">
        <f t="shared" si="18"/>
        <v>0</v>
      </c>
      <c r="AV13" s="1186">
        <f t="shared" si="111"/>
        <v>0</v>
      </c>
      <c r="AW13" s="499">
        <f t="shared" ref="AW13:AW14" si="232">AV13</f>
        <v>0</v>
      </c>
      <c r="AX13" s="499">
        <f t="shared" ref="AX13:AX14" si="233">AU13</f>
        <v>0</v>
      </c>
      <c r="AY13" s="499">
        <f t="shared" ref="AY13:AY14" si="234">AV13</f>
        <v>0</v>
      </c>
      <c r="AZ13" s="499">
        <f t="shared" ref="AZ13:AZ14" si="235">AW13</f>
        <v>0</v>
      </c>
      <c r="BA13" s="719">
        <f t="shared" ref="BA13:BA14" si="236">AX13</f>
        <v>0</v>
      </c>
      <c r="BB13" s="774">
        <f t="shared" ref="BB13:BB14" si="237">J13</f>
        <v>0</v>
      </c>
      <c r="BC13" s="499">
        <f t="shared" ref="BC13:BC14" si="238">BB13</f>
        <v>0</v>
      </c>
      <c r="BD13" s="499">
        <f t="shared" ref="BD13:BD14" si="239">BC13</f>
        <v>0</v>
      </c>
      <c r="BE13" s="499">
        <f t="shared" ref="BE13:BE14" si="240">BD13</f>
        <v>0</v>
      </c>
      <c r="BF13" s="499">
        <f t="shared" ref="BF13:BF14" si="241">BE13</f>
        <v>0</v>
      </c>
      <c r="BG13" s="499">
        <f t="shared" ref="BG13:BG14" si="242">BF13</f>
        <v>0</v>
      </c>
      <c r="BH13" s="719">
        <f t="shared" ref="BH13:BH14" si="243">BG13</f>
        <v>0</v>
      </c>
      <c r="BI13" s="774">
        <f t="shared" si="120"/>
        <v>0</v>
      </c>
      <c r="BJ13" s="503">
        <f t="shared" si="121"/>
        <v>0</v>
      </c>
      <c r="BK13" s="503">
        <f t="shared" si="20"/>
        <v>300</v>
      </c>
      <c r="BL13" s="503">
        <f t="shared" si="20"/>
        <v>266.66666666666669</v>
      </c>
      <c r="BM13" s="503">
        <f t="shared" si="20"/>
        <v>266.66666666666669</v>
      </c>
      <c r="BN13" s="503">
        <f t="shared" si="20"/>
        <v>266.66666666666669</v>
      </c>
      <c r="BO13" s="776">
        <f t="shared" si="20"/>
        <v>266.66666666666669</v>
      </c>
      <c r="BP13" s="774">
        <f t="shared" si="21"/>
        <v>36</v>
      </c>
      <c r="BQ13" s="503">
        <f t="shared" si="21"/>
        <v>36</v>
      </c>
      <c r="BR13" s="503">
        <f t="shared" si="21"/>
        <v>36</v>
      </c>
      <c r="BS13" s="503">
        <f t="shared" si="21"/>
        <v>36</v>
      </c>
      <c r="BT13" s="503">
        <f t="shared" si="21"/>
        <v>36</v>
      </c>
      <c r="BU13" s="503">
        <f t="shared" si="21"/>
        <v>36</v>
      </c>
      <c r="BV13" s="776">
        <f t="shared" si="21"/>
        <v>36</v>
      </c>
      <c r="BW13" s="722">
        <f t="shared" si="22"/>
        <v>0</v>
      </c>
      <c r="BX13" s="511"/>
      <c r="BY13" s="511"/>
      <c r="BZ13" s="511"/>
      <c r="CA13" s="511"/>
      <c r="CB13" s="511"/>
      <c r="CC13" s="723"/>
      <c r="CD13" s="511">
        <f t="shared" si="25"/>
        <v>0.5</v>
      </c>
      <c r="CE13" s="511">
        <f t="shared" si="122"/>
        <v>0.5</v>
      </c>
      <c r="CF13" s="511">
        <f t="shared" si="123"/>
        <v>0.5</v>
      </c>
      <c r="CG13" s="511">
        <f t="shared" si="124"/>
        <v>0.5</v>
      </c>
      <c r="CH13" s="511">
        <f t="shared" si="125"/>
        <v>0.5</v>
      </c>
      <c r="CI13" s="511">
        <f t="shared" si="126"/>
        <v>0.5</v>
      </c>
      <c r="CJ13" s="723">
        <f t="shared" si="127"/>
        <v>0.5</v>
      </c>
      <c r="CK13" s="722">
        <f t="shared" si="28"/>
        <v>0</v>
      </c>
      <c r="CL13" s="511">
        <f t="shared" si="128"/>
        <v>0</v>
      </c>
      <c r="CM13" s="511">
        <f t="shared" si="129"/>
        <v>0</v>
      </c>
      <c r="CN13" s="511">
        <f t="shared" si="130"/>
        <v>0</v>
      </c>
      <c r="CO13" s="511">
        <f t="shared" si="131"/>
        <v>0</v>
      </c>
      <c r="CP13" s="511">
        <f t="shared" si="132"/>
        <v>0</v>
      </c>
      <c r="CQ13" s="539">
        <f t="shared" si="133"/>
        <v>0</v>
      </c>
      <c r="CR13" s="724">
        <f t="shared" si="53"/>
        <v>0</v>
      </c>
      <c r="CS13" s="508">
        <f t="shared" si="54"/>
        <v>0</v>
      </c>
      <c r="CT13" s="508">
        <f t="shared" si="55"/>
        <v>0</v>
      </c>
      <c r="CU13" s="508">
        <f t="shared" si="56"/>
        <v>0</v>
      </c>
      <c r="CV13" s="508">
        <f t="shared" si="57"/>
        <v>0</v>
      </c>
      <c r="CW13" s="508">
        <f t="shared" si="58"/>
        <v>0</v>
      </c>
      <c r="CX13" s="726">
        <f t="shared" si="59"/>
        <v>0</v>
      </c>
      <c r="CY13" s="724">
        <f t="shared" si="60"/>
        <v>0</v>
      </c>
      <c r="CZ13" s="508">
        <f t="shared" si="61"/>
        <v>0</v>
      </c>
      <c r="DA13" s="508">
        <f t="shared" si="62"/>
        <v>0</v>
      </c>
      <c r="DB13" s="508">
        <f t="shared" si="63"/>
        <v>0</v>
      </c>
      <c r="DC13" s="508">
        <f t="shared" si="64"/>
        <v>0</v>
      </c>
      <c r="DD13" s="508">
        <f t="shared" si="65"/>
        <v>0</v>
      </c>
      <c r="DE13" s="726">
        <f t="shared" si="66"/>
        <v>0</v>
      </c>
      <c r="DF13" s="724">
        <f t="shared" si="67"/>
        <v>0</v>
      </c>
      <c r="DG13" s="508">
        <f t="shared" si="68"/>
        <v>0</v>
      </c>
      <c r="DH13" s="508">
        <f t="shared" si="69"/>
        <v>3000</v>
      </c>
      <c r="DI13" s="508">
        <f t="shared" si="70"/>
        <v>4000.0000000000005</v>
      </c>
      <c r="DJ13" s="508">
        <f t="shared" si="71"/>
        <v>6000</v>
      </c>
      <c r="DK13" s="508">
        <f t="shared" si="72"/>
        <v>9000</v>
      </c>
      <c r="DL13" s="726">
        <f t="shared" si="73"/>
        <v>13500.000000000002</v>
      </c>
      <c r="DM13" s="724">
        <f t="shared" si="74"/>
        <v>0</v>
      </c>
      <c r="DN13" s="508">
        <f t="shared" si="75"/>
        <v>0</v>
      </c>
      <c r="DO13" s="508">
        <f t="shared" si="76"/>
        <v>360</v>
      </c>
      <c r="DP13" s="508">
        <f t="shared" si="77"/>
        <v>540</v>
      </c>
      <c r="DQ13" s="508">
        <f t="shared" si="78"/>
        <v>810</v>
      </c>
      <c r="DR13" s="508">
        <f t="shared" si="79"/>
        <v>1215</v>
      </c>
      <c r="DS13" s="725">
        <f t="shared" si="80"/>
        <v>1822.5</v>
      </c>
      <c r="DT13" s="722">
        <f t="shared" si="81"/>
        <v>0</v>
      </c>
      <c r="DU13" s="507">
        <f t="shared" si="82"/>
        <v>0</v>
      </c>
      <c r="DV13" s="507">
        <f t="shared" si="83"/>
        <v>0</v>
      </c>
      <c r="DW13" s="507">
        <f t="shared" si="84"/>
        <v>0</v>
      </c>
      <c r="DX13" s="507">
        <f t="shared" si="85"/>
        <v>0</v>
      </c>
      <c r="DY13" s="507">
        <f t="shared" si="86"/>
        <v>0</v>
      </c>
      <c r="DZ13" s="453">
        <f t="shared" si="87"/>
        <v>0</v>
      </c>
      <c r="EA13" s="722">
        <f t="shared" si="88"/>
        <v>0</v>
      </c>
      <c r="EB13" s="507">
        <f t="shared" si="89"/>
        <v>0</v>
      </c>
      <c r="EC13" s="507">
        <f t="shared" si="90"/>
        <v>5</v>
      </c>
      <c r="ED13" s="507">
        <f t="shared" si="91"/>
        <v>7.5</v>
      </c>
      <c r="EE13" s="507">
        <f t="shared" si="92"/>
        <v>11.25</v>
      </c>
      <c r="EF13" s="507">
        <f t="shared" si="93"/>
        <v>16.875</v>
      </c>
      <c r="EG13" s="452">
        <f t="shared" si="94"/>
        <v>25.3125</v>
      </c>
      <c r="EH13" s="722">
        <f t="shared" si="95"/>
        <v>0</v>
      </c>
      <c r="EI13" s="511">
        <f t="shared" si="96"/>
        <v>0</v>
      </c>
      <c r="EJ13" s="511">
        <f t="shared" si="97"/>
        <v>0</v>
      </c>
      <c r="EK13" s="511">
        <f t="shared" si="98"/>
        <v>0</v>
      </c>
      <c r="EL13" s="511">
        <f t="shared" si="99"/>
        <v>0</v>
      </c>
      <c r="EM13" s="511">
        <f t="shared" si="100"/>
        <v>0</v>
      </c>
      <c r="EN13" s="723">
        <f t="shared" si="101"/>
        <v>0</v>
      </c>
      <c r="EO13" s="977">
        <f t="shared" si="102"/>
        <v>18.839285714285715</v>
      </c>
      <c r="EP13" s="728">
        <f t="shared" si="103"/>
        <v>0</v>
      </c>
      <c r="EQ13" s="728">
        <f t="shared" si="104"/>
        <v>0</v>
      </c>
      <c r="ER13" s="728">
        <f t="shared" si="105"/>
        <v>35500</v>
      </c>
      <c r="ES13" s="728">
        <f t="shared" si="106"/>
        <v>4747.5</v>
      </c>
      <c r="ET13" s="978">
        <f t="shared" si="107"/>
        <v>0</v>
      </c>
      <c r="EU13" s="978">
        <f t="shared" si="108"/>
        <v>25.3125</v>
      </c>
      <c r="EV13" s="778">
        <f t="shared" si="109"/>
        <v>0</v>
      </c>
      <c r="EW13" s="10"/>
      <c r="EX13" s="10" t="b">
        <f t="shared" si="228"/>
        <v>1</v>
      </c>
      <c r="EY13" s="10" t="b">
        <f t="shared" si="228"/>
        <v>1</v>
      </c>
      <c r="EZ13" s="10" t="b">
        <f t="shared" si="228"/>
        <v>1</v>
      </c>
      <c r="FA13" s="10" t="b">
        <f t="shared" si="228"/>
        <v>1</v>
      </c>
      <c r="FB13" s="10" t="b">
        <f t="shared" si="228"/>
        <v>1</v>
      </c>
      <c r="FC13" s="10" t="b">
        <f>ET13=SUM(ET23,ET33)</f>
        <v>1</v>
      </c>
      <c r="FD13" s="10" t="b">
        <f t="shared" si="229"/>
        <v>1</v>
      </c>
      <c r="FE13" s="10" t="b">
        <f t="shared" si="229"/>
        <v>1</v>
      </c>
    </row>
    <row r="14" spans="1:161" s="96" customFormat="1" ht="12.5">
      <c r="A14" s="662">
        <v>9</v>
      </c>
      <c r="B14" s="703" t="s">
        <v>1669</v>
      </c>
      <c r="C14" s="715" t="s">
        <v>1670</v>
      </c>
      <c r="D14" s="715" t="s">
        <v>1514</v>
      </c>
      <c r="E14" s="703" t="s">
        <v>1515</v>
      </c>
      <c r="F14" s="1134" t="s">
        <v>402</v>
      </c>
      <c r="G14" s="1183">
        <v>0</v>
      </c>
      <c r="H14" s="704">
        <v>0</v>
      </c>
      <c r="I14" s="706">
        <f t="shared" si="230"/>
        <v>0</v>
      </c>
      <c r="J14" s="704">
        <v>0</v>
      </c>
      <c r="K14" s="704" t="s">
        <v>378</v>
      </c>
      <c r="L14" s="704" t="s">
        <v>378</v>
      </c>
      <c r="M14" s="715">
        <v>0</v>
      </c>
      <c r="N14" s="707">
        <f>25*5</f>
        <v>125</v>
      </c>
      <c r="O14" s="707">
        <v>0</v>
      </c>
      <c r="P14" s="707">
        <f>3*12</f>
        <v>36</v>
      </c>
      <c r="Q14" s="1184">
        <v>0</v>
      </c>
      <c r="R14" s="1185">
        <f>J167</f>
        <v>0.5</v>
      </c>
      <c r="S14" s="715">
        <v>0</v>
      </c>
      <c r="T14" s="711" t="s">
        <v>1668</v>
      </c>
      <c r="U14" s="1124">
        <v>0.5</v>
      </c>
      <c r="V14" s="781">
        <v>1</v>
      </c>
      <c r="W14" s="781">
        <v>0</v>
      </c>
      <c r="X14" s="781">
        <v>0</v>
      </c>
      <c r="Y14" s="781">
        <v>10</v>
      </c>
      <c r="Z14" s="781">
        <f>Y14*(1+$U$14)</f>
        <v>15</v>
      </c>
      <c r="AA14" s="781">
        <f t="shared" ref="AA14:AC14" si="244">Z14*(1+$U$14)</f>
        <v>22.5</v>
      </c>
      <c r="AB14" s="781">
        <f t="shared" si="244"/>
        <v>33.75</v>
      </c>
      <c r="AC14" s="781">
        <f t="shared" si="244"/>
        <v>50.625</v>
      </c>
      <c r="AD14" s="711" t="s">
        <v>384</v>
      </c>
      <c r="AE14" s="711" t="s">
        <v>375</v>
      </c>
      <c r="AF14" s="1024" t="s">
        <v>377</v>
      </c>
      <c r="AG14" s="711" t="s">
        <v>753</v>
      </c>
      <c r="AH14" s="711" t="s">
        <v>1</v>
      </c>
      <c r="AI14" s="711" t="s">
        <v>378</v>
      </c>
      <c r="AJ14" s="711" t="s">
        <v>378</v>
      </c>
      <c r="AK14" s="711" t="s">
        <v>378</v>
      </c>
      <c r="AL14" s="715" t="s">
        <v>943</v>
      </c>
      <c r="AM14" s="715" t="s">
        <v>380</v>
      </c>
      <c r="AN14" s="715" t="s">
        <v>381</v>
      </c>
      <c r="AO14" s="711">
        <v>1</v>
      </c>
      <c r="AP14" s="711">
        <v>1</v>
      </c>
      <c r="AQ14" s="711" t="s">
        <v>1534</v>
      </c>
      <c r="AR14" s="716">
        <v>1</v>
      </c>
      <c r="AS14" s="716">
        <v>1</v>
      </c>
      <c r="AT14" s="717">
        <v>0</v>
      </c>
      <c r="AU14" s="718">
        <f t="shared" si="18"/>
        <v>0</v>
      </c>
      <c r="AV14" s="1186">
        <f t="shared" si="111"/>
        <v>0</v>
      </c>
      <c r="AW14" s="499">
        <f t="shared" si="232"/>
        <v>0</v>
      </c>
      <c r="AX14" s="499">
        <f t="shared" si="233"/>
        <v>0</v>
      </c>
      <c r="AY14" s="499">
        <f t="shared" si="234"/>
        <v>0</v>
      </c>
      <c r="AZ14" s="499">
        <f t="shared" si="235"/>
        <v>0</v>
      </c>
      <c r="BA14" s="719">
        <f t="shared" si="236"/>
        <v>0</v>
      </c>
      <c r="BB14" s="774">
        <f t="shared" si="237"/>
        <v>0</v>
      </c>
      <c r="BC14" s="499">
        <f t="shared" si="238"/>
        <v>0</v>
      </c>
      <c r="BD14" s="499">
        <f t="shared" si="239"/>
        <v>0</v>
      </c>
      <c r="BE14" s="499">
        <f t="shared" si="240"/>
        <v>0</v>
      </c>
      <c r="BF14" s="499">
        <f t="shared" si="241"/>
        <v>0</v>
      </c>
      <c r="BG14" s="499">
        <f t="shared" si="242"/>
        <v>0</v>
      </c>
      <c r="BH14" s="719">
        <f t="shared" si="243"/>
        <v>0</v>
      </c>
      <c r="BI14" s="774">
        <f t="shared" si="120"/>
        <v>0</v>
      </c>
      <c r="BJ14" s="503">
        <f t="shared" si="121"/>
        <v>0</v>
      </c>
      <c r="BK14" s="503">
        <f t="shared" si="20"/>
        <v>175</v>
      </c>
      <c r="BL14" s="503">
        <f t="shared" si="20"/>
        <v>141.66666666666666</v>
      </c>
      <c r="BM14" s="503">
        <f t="shared" si="20"/>
        <v>141.66666666666666</v>
      </c>
      <c r="BN14" s="503">
        <f t="shared" si="20"/>
        <v>141.66666666666666</v>
      </c>
      <c r="BO14" s="776">
        <f t="shared" si="20"/>
        <v>141.66666666666666</v>
      </c>
      <c r="BP14" s="774">
        <f t="shared" si="21"/>
        <v>36</v>
      </c>
      <c r="BQ14" s="503">
        <f t="shared" si="21"/>
        <v>36</v>
      </c>
      <c r="BR14" s="503">
        <f t="shared" si="21"/>
        <v>36</v>
      </c>
      <c r="BS14" s="503">
        <f t="shared" si="21"/>
        <v>36</v>
      </c>
      <c r="BT14" s="503">
        <f t="shared" si="21"/>
        <v>36</v>
      </c>
      <c r="BU14" s="503">
        <f t="shared" si="21"/>
        <v>36</v>
      </c>
      <c r="BV14" s="776">
        <f t="shared" si="21"/>
        <v>36</v>
      </c>
      <c r="BW14" s="722"/>
      <c r="BX14" s="511"/>
      <c r="BY14" s="511"/>
      <c r="BZ14" s="511"/>
      <c r="CA14" s="511"/>
      <c r="CB14" s="511"/>
      <c r="CC14" s="723"/>
      <c r="CD14" s="511">
        <f t="shared" si="25"/>
        <v>0.5</v>
      </c>
      <c r="CE14" s="511">
        <f t="shared" si="122"/>
        <v>0.5</v>
      </c>
      <c r="CF14" s="511">
        <f t="shared" si="123"/>
        <v>0.5</v>
      </c>
      <c r="CG14" s="511">
        <f t="shared" si="124"/>
        <v>0.5</v>
      </c>
      <c r="CH14" s="511">
        <f t="shared" si="125"/>
        <v>0.5</v>
      </c>
      <c r="CI14" s="511">
        <f t="shared" si="126"/>
        <v>0.5</v>
      </c>
      <c r="CJ14" s="723">
        <f t="shared" si="127"/>
        <v>0.5</v>
      </c>
      <c r="CK14" s="722">
        <f t="shared" si="28"/>
        <v>0</v>
      </c>
      <c r="CL14" s="511">
        <f t="shared" si="128"/>
        <v>0</v>
      </c>
      <c r="CM14" s="511">
        <f t="shared" si="129"/>
        <v>0</v>
      </c>
      <c r="CN14" s="511">
        <f t="shared" si="130"/>
        <v>0</v>
      </c>
      <c r="CO14" s="511">
        <f t="shared" si="131"/>
        <v>0</v>
      </c>
      <c r="CP14" s="511">
        <f t="shared" si="132"/>
        <v>0</v>
      </c>
      <c r="CQ14" s="539">
        <f t="shared" si="133"/>
        <v>0</v>
      </c>
      <c r="CR14" s="724">
        <f t="shared" si="53"/>
        <v>0</v>
      </c>
      <c r="CS14" s="508">
        <f t="shared" si="54"/>
        <v>0</v>
      </c>
      <c r="CT14" s="508">
        <f t="shared" si="55"/>
        <v>0</v>
      </c>
      <c r="CU14" s="508">
        <f t="shared" si="56"/>
        <v>0</v>
      </c>
      <c r="CV14" s="508">
        <f t="shared" si="57"/>
        <v>0</v>
      </c>
      <c r="CW14" s="508">
        <f t="shared" si="58"/>
        <v>0</v>
      </c>
      <c r="CX14" s="726">
        <f t="shared" si="59"/>
        <v>0</v>
      </c>
      <c r="CY14" s="724">
        <f t="shared" si="60"/>
        <v>0</v>
      </c>
      <c r="CZ14" s="508">
        <f t="shared" si="61"/>
        <v>0</v>
      </c>
      <c r="DA14" s="508">
        <f t="shared" si="62"/>
        <v>0</v>
      </c>
      <c r="DB14" s="508">
        <f t="shared" si="63"/>
        <v>0</v>
      </c>
      <c r="DC14" s="508">
        <f t="shared" si="64"/>
        <v>0</v>
      </c>
      <c r="DD14" s="508">
        <f t="shared" si="65"/>
        <v>0</v>
      </c>
      <c r="DE14" s="726">
        <f t="shared" si="66"/>
        <v>0</v>
      </c>
      <c r="DF14" s="724">
        <f t="shared" si="67"/>
        <v>0</v>
      </c>
      <c r="DG14" s="508">
        <f t="shared" si="68"/>
        <v>0</v>
      </c>
      <c r="DH14" s="508">
        <f t="shared" si="69"/>
        <v>1750</v>
      </c>
      <c r="DI14" s="508">
        <f t="shared" si="70"/>
        <v>2125</v>
      </c>
      <c r="DJ14" s="508">
        <f t="shared" si="71"/>
        <v>3187.5</v>
      </c>
      <c r="DK14" s="508">
        <f t="shared" si="72"/>
        <v>4781.25</v>
      </c>
      <c r="DL14" s="726">
        <f t="shared" si="73"/>
        <v>7171.8749999999991</v>
      </c>
      <c r="DM14" s="724">
        <f t="shared" si="74"/>
        <v>0</v>
      </c>
      <c r="DN14" s="508">
        <f t="shared" si="75"/>
        <v>0</v>
      </c>
      <c r="DO14" s="508">
        <f t="shared" si="76"/>
        <v>360</v>
      </c>
      <c r="DP14" s="508">
        <f t="shared" si="77"/>
        <v>540</v>
      </c>
      <c r="DQ14" s="508">
        <f t="shared" si="78"/>
        <v>810</v>
      </c>
      <c r="DR14" s="508">
        <f t="shared" si="79"/>
        <v>1215</v>
      </c>
      <c r="DS14" s="725">
        <f t="shared" si="80"/>
        <v>1822.5</v>
      </c>
      <c r="DT14" s="722">
        <f t="shared" si="81"/>
        <v>0</v>
      </c>
      <c r="DU14" s="507">
        <f t="shared" si="82"/>
        <v>0</v>
      </c>
      <c r="DV14" s="507">
        <f t="shared" si="83"/>
        <v>0</v>
      </c>
      <c r="DW14" s="507">
        <f t="shared" si="84"/>
        <v>0</v>
      </c>
      <c r="DX14" s="507">
        <f t="shared" si="85"/>
        <v>0</v>
      </c>
      <c r="DY14" s="507">
        <f t="shared" si="86"/>
        <v>0</v>
      </c>
      <c r="DZ14" s="453">
        <f t="shared" si="87"/>
        <v>0</v>
      </c>
      <c r="EA14" s="722">
        <f t="shared" si="88"/>
        <v>0</v>
      </c>
      <c r="EB14" s="507">
        <f t="shared" si="89"/>
        <v>0</v>
      </c>
      <c r="EC14" s="507">
        <f t="shared" si="90"/>
        <v>5</v>
      </c>
      <c r="ED14" s="507">
        <f t="shared" si="91"/>
        <v>7.5</v>
      </c>
      <c r="EE14" s="507">
        <f t="shared" si="92"/>
        <v>11.25</v>
      </c>
      <c r="EF14" s="507">
        <f t="shared" si="93"/>
        <v>16.875</v>
      </c>
      <c r="EG14" s="452">
        <f t="shared" si="94"/>
        <v>25.3125</v>
      </c>
      <c r="EH14" s="722">
        <f t="shared" si="95"/>
        <v>0</v>
      </c>
      <c r="EI14" s="511">
        <f t="shared" si="96"/>
        <v>0</v>
      </c>
      <c r="EJ14" s="511">
        <f t="shared" si="97"/>
        <v>0</v>
      </c>
      <c r="EK14" s="511">
        <f t="shared" si="98"/>
        <v>0</v>
      </c>
      <c r="EL14" s="511">
        <f t="shared" si="99"/>
        <v>0</v>
      </c>
      <c r="EM14" s="511">
        <f t="shared" si="100"/>
        <v>0</v>
      </c>
      <c r="EN14" s="723">
        <f t="shared" si="101"/>
        <v>0</v>
      </c>
      <c r="EO14" s="977">
        <f t="shared" si="102"/>
        <v>18.839285714285715</v>
      </c>
      <c r="EP14" s="728">
        <f t="shared" si="103"/>
        <v>0</v>
      </c>
      <c r="EQ14" s="728">
        <f t="shared" si="104"/>
        <v>0</v>
      </c>
      <c r="ER14" s="728">
        <f t="shared" si="105"/>
        <v>19015.625</v>
      </c>
      <c r="ES14" s="728">
        <f t="shared" si="106"/>
        <v>4747.5</v>
      </c>
      <c r="ET14" s="978">
        <f t="shared" si="107"/>
        <v>0</v>
      </c>
      <c r="EU14" s="978">
        <f t="shared" si="108"/>
        <v>25.3125</v>
      </c>
      <c r="EV14" s="778">
        <f t="shared" si="109"/>
        <v>0</v>
      </c>
      <c r="EW14" s="10"/>
      <c r="EX14" s="10" t="b">
        <f t="shared" si="228"/>
        <v>1</v>
      </c>
      <c r="EY14" s="10" t="b">
        <f t="shared" si="228"/>
        <v>1</v>
      </c>
      <c r="EZ14" s="10" t="b">
        <f t="shared" si="228"/>
        <v>1</v>
      </c>
      <c r="FA14" s="10" t="b">
        <f t="shared" si="228"/>
        <v>1</v>
      </c>
      <c r="FB14" s="10" t="b">
        <f t="shared" si="228"/>
        <v>1</v>
      </c>
      <c r="FC14" s="10" t="b">
        <f>ET14=SUM(ET24,ET34)</f>
        <v>1</v>
      </c>
      <c r="FD14" s="10" t="b">
        <f t="shared" si="229"/>
        <v>1</v>
      </c>
      <c r="FE14" s="10" t="b">
        <f t="shared" si="229"/>
        <v>1</v>
      </c>
    </row>
    <row r="15" spans="1:161" s="123" customFormat="1">
      <c r="A15" s="504"/>
      <c r="B15" s="504"/>
      <c r="C15" s="504"/>
      <c r="D15" s="504"/>
      <c r="E15" s="504"/>
      <c r="F15" s="504"/>
      <c r="G15" s="504"/>
      <c r="H15" s="504"/>
      <c r="I15" s="504"/>
      <c r="J15" s="504"/>
      <c r="K15" s="504"/>
      <c r="L15" s="504"/>
      <c r="M15" s="504"/>
      <c r="N15" s="504"/>
      <c r="O15" s="504"/>
      <c r="P15" s="504"/>
      <c r="Q15" s="1187"/>
      <c r="R15" s="504"/>
      <c r="S15" s="504"/>
      <c r="T15" s="504"/>
      <c r="U15" s="504"/>
      <c r="V15" s="504"/>
      <c r="W15" s="504"/>
      <c r="X15" s="504"/>
      <c r="Y15" s="504"/>
      <c r="Z15" s="504"/>
      <c r="AA15" s="504"/>
      <c r="AB15" s="504"/>
      <c r="AC15" s="504"/>
      <c r="AD15" s="504"/>
      <c r="AE15" s="504"/>
      <c r="AF15" s="504"/>
      <c r="AG15" s="504"/>
      <c r="AH15" s="504"/>
      <c r="AI15" s="504"/>
      <c r="AJ15" s="504"/>
      <c r="AK15" s="504"/>
      <c r="AL15" s="504"/>
      <c r="AM15" s="504"/>
      <c r="AN15" s="504"/>
      <c r="AO15" s="504"/>
      <c r="AP15" s="504"/>
      <c r="AQ15" s="504"/>
      <c r="AR15" s="504"/>
      <c r="AS15" s="504"/>
      <c r="AT15" s="500"/>
      <c r="AU15" s="1188"/>
      <c r="AV15" s="504"/>
      <c r="AW15" s="504"/>
      <c r="AX15" s="504"/>
      <c r="AY15" s="504"/>
      <c r="AZ15" s="504"/>
      <c r="BA15" s="1189"/>
      <c r="BB15" s="1188"/>
      <c r="BC15" s="504"/>
      <c r="BD15" s="504"/>
      <c r="BE15" s="504"/>
      <c r="BF15" s="504"/>
      <c r="BG15" s="504"/>
      <c r="BH15" s="1189"/>
      <c r="BI15" s="1188"/>
      <c r="BJ15" s="504"/>
      <c r="BK15" s="504"/>
      <c r="BL15" s="504"/>
      <c r="BM15" s="504"/>
      <c r="BN15" s="504"/>
      <c r="BO15" s="1189"/>
      <c r="BP15" s="1188"/>
      <c r="BQ15" s="504"/>
      <c r="BR15" s="504"/>
      <c r="BS15" s="504"/>
      <c r="BT15" s="504"/>
      <c r="BU15" s="504"/>
      <c r="BV15" s="1189"/>
      <c r="BW15" s="1188"/>
      <c r="BX15" s="504"/>
      <c r="BY15" s="504"/>
      <c r="BZ15" s="504"/>
      <c r="CA15" s="504"/>
      <c r="CB15" s="504"/>
      <c r="CC15" s="1189"/>
      <c r="CD15" s="504"/>
      <c r="CE15" s="504"/>
      <c r="CF15" s="504"/>
      <c r="CG15" s="504"/>
      <c r="CH15" s="504"/>
      <c r="CI15" s="504"/>
      <c r="CJ15" s="1189"/>
      <c r="CK15" s="1188"/>
      <c r="CL15" s="504"/>
      <c r="CM15" s="504"/>
      <c r="CN15" s="504"/>
      <c r="CO15" s="504"/>
      <c r="CP15" s="504"/>
      <c r="CQ15" s="500"/>
      <c r="CR15" s="1188"/>
      <c r="CS15" s="504"/>
      <c r="CT15" s="504"/>
      <c r="CU15" s="504"/>
      <c r="CV15" s="504"/>
      <c r="CW15" s="504"/>
      <c r="CX15" s="500"/>
      <c r="CY15" s="1188"/>
      <c r="CZ15" s="504"/>
      <c r="DA15" s="504"/>
      <c r="DB15" s="504"/>
      <c r="DC15" s="504"/>
      <c r="DD15" s="504"/>
      <c r="DE15" s="500"/>
      <c r="DF15" s="1188"/>
      <c r="DG15" s="504"/>
      <c r="DH15" s="504"/>
      <c r="DI15" s="504"/>
      <c r="DJ15" s="504"/>
      <c r="DK15" s="504"/>
      <c r="DL15" s="500"/>
      <c r="DM15" s="1188"/>
      <c r="DN15" s="504"/>
      <c r="DO15" s="504"/>
      <c r="DP15" s="504"/>
      <c r="DQ15" s="504"/>
      <c r="DR15" s="504"/>
      <c r="DS15" s="1189"/>
      <c r="DT15" s="1188"/>
      <c r="DU15" s="504"/>
      <c r="DV15" s="504"/>
      <c r="DW15" s="504"/>
      <c r="DX15" s="504"/>
      <c r="DY15" s="504"/>
      <c r="DZ15" s="1189"/>
      <c r="EA15" s="1188"/>
      <c r="EB15" s="504"/>
      <c r="EC15" s="504"/>
      <c r="ED15" s="504"/>
      <c r="EE15" s="504"/>
      <c r="EF15" s="504"/>
      <c r="EG15" s="500"/>
      <c r="EH15" s="1188"/>
      <c r="EI15" s="504"/>
      <c r="EJ15" s="504"/>
      <c r="EK15" s="504"/>
      <c r="EL15" s="504"/>
      <c r="EM15" s="504"/>
      <c r="EN15" s="1189"/>
      <c r="EO15" s="1188"/>
      <c r="EP15" s="504"/>
      <c r="EQ15" s="504"/>
      <c r="ER15" s="504"/>
      <c r="ES15" s="504"/>
      <c r="ET15" s="504"/>
      <c r="EU15" s="1189"/>
      <c r="EV15" s="1189"/>
    </row>
    <row r="16" spans="1:161" s="96" customFormat="1" ht="12.5">
      <c r="A16" s="661" t="s">
        <v>171</v>
      </c>
      <c r="B16" s="703" t="str">
        <f t="shared" ref="B16:B24" si="245">"KU-"&amp;B6</f>
        <v>KU-Residential - BYOT - Cooling - Summer</v>
      </c>
      <c r="C16" s="715" t="s">
        <v>1654</v>
      </c>
      <c r="D16" s="715" t="s">
        <v>1514</v>
      </c>
      <c r="E16" s="703" t="s">
        <v>1515</v>
      </c>
      <c r="F16" s="1134" t="s">
        <v>402</v>
      </c>
      <c r="G16" s="1183">
        <v>0</v>
      </c>
      <c r="H16" s="704">
        <v>0</v>
      </c>
      <c r="I16" s="706">
        <f>G16+H16</f>
        <v>0</v>
      </c>
      <c r="J16" s="704">
        <v>0</v>
      </c>
      <c r="K16" s="704" t="s">
        <v>378</v>
      </c>
      <c r="L16" s="704" t="s">
        <v>378</v>
      </c>
      <c r="M16" s="715">
        <v>0</v>
      </c>
      <c r="N16" s="1138">
        <f t="shared" ref="N16:N24" si="246">N6</f>
        <v>130</v>
      </c>
      <c r="O16" s="707">
        <v>0</v>
      </c>
      <c r="P16" s="707">
        <f t="shared" ref="P16:P24" si="247">P6</f>
        <v>36</v>
      </c>
      <c r="Q16" s="1190">
        <v>0</v>
      </c>
      <c r="R16" s="1185">
        <v>0.47974413646055442</v>
      </c>
      <c r="S16" s="715">
        <v>0</v>
      </c>
      <c r="T16" s="711" t="s">
        <v>1655</v>
      </c>
      <c r="U16" s="1124"/>
      <c r="V16" s="781">
        <v>1</v>
      </c>
      <c r="W16" s="781">
        <f t="shared" ref="W16:AC22" si="248">W6*0.5</f>
        <v>616.5</v>
      </c>
      <c r="X16" s="781">
        <f t="shared" si="248"/>
        <v>810.5</v>
      </c>
      <c r="Y16" s="781">
        <f t="shared" si="248"/>
        <v>1309.5</v>
      </c>
      <c r="Z16" s="781">
        <f t="shared" si="248"/>
        <v>1309.5</v>
      </c>
      <c r="AA16" s="781">
        <f t="shared" si="248"/>
        <v>1309.5</v>
      </c>
      <c r="AB16" s="781">
        <f t="shared" si="248"/>
        <v>1309.5</v>
      </c>
      <c r="AC16" s="781">
        <f t="shared" si="248"/>
        <v>1309.5</v>
      </c>
      <c r="AD16" s="711" t="s">
        <v>384</v>
      </c>
      <c r="AE16" s="711" t="s">
        <v>375</v>
      </c>
      <c r="AF16" s="1024" t="s">
        <v>377</v>
      </c>
      <c r="AG16" s="1126" t="s">
        <v>454</v>
      </c>
      <c r="AH16" s="711" t="s">
        <v>1</v>
      </c>
      <c r="AI16" s="711" t="s">
        <v>378</v>
      </c>
      <c r="AJ16" s="711" t="s">
        <v>378</v>
      </c>
      <c r="AK16" s="711" t="s">
        <v>378</v>
      </c>
      <c r="AL16" s="715" t="s">
        <v>406</v>
      </c>
      <c r="AM16" s="715" t="s">
        <v>380</v>
      </c>
      <c r="AN16" s="715" t="s">
        <v>385</v>
      </c>
      <c r="AO16" s="711">
        <v>1</v>
      </c>
      <c r="AP16" s="711">
        <v>1</v>
      </c>
      <c r="AQ16" s="711" t="s">
        <v>1534</v>
      </c>
      <c r="AR16" s="716">
        <v>1</v>
      </c>
      <c r="AS16" s="716">
        <v>1</v>
      </c>
      <c r="AT16" s="717">
        <v>0</v>
      </c>
      <c r="AU16" s="718">
        <f t="shared" ref="AU16:AU24" si="249">I16</f>
        <v>0</v>
      </c>
      <c r="AV16" s="1186">
        <f>AU16</f>
        <v>0</v>
      </c>
      <c r="AW16" s="499">
        <f t="shared" ref="AW16:AW17" si="250">AV16</f>
        <v>0</v>
      </c>
      <c r="AX16" s="499">
        <f>AU16</f>
        <v>0</v>
      </c>
      <c r="AY16" s="499">
        <f t="shared" ref="AY16:BA16" si="251">AV16</f>
        <v>0</v>
      </c>
      <c r="AZ16" s="499">
        <f t="shared" si="251"/>
        <v>0</v>
      </c>
      <c r="BA16" s="719">
        <f t="shared" si="251"/>
        <v>0</v>
      </c>
      <c r="BB16" s="774">
        <f>J16</f>
        <v>0</v>
      </c>
      <c r="BC16" s="499">
        <f t="shared" ref="BC16:BE17" si="252">BB16</f>
        <v>0</v>
      </c>
      <c r="BD16" s="499">
        <f t="shared" si="252"/>
        <v>0</v>
      </c>
      <c r="BE16" s="499">
        <f t="shared" si="252"/>
        <v>0</v>
      </c>
      <c r="BF16" s="499">
        <f t="shared" ref="BF16:BH16" si="253">BE16</f>
        <v>0</v>
      </c>
      <c r="BG16" s="499">
        <f t="shared" si="253"/>
        <v>0</v>
      </c>
      <c r="BH16" s="719">
        <f t="shared" si="253"/>
        <v>0</v>
      </c>
      <c r="BI16" s="774">
        <f>IFERROR(N16+O16+W16*50/W16,0)</f>
        <v>180</v>
      </c>
      <c r="BJ16" s="503">
        <f>IFERROR($N16+$O16+(X16-W16)*50/X16,0)</f>
        <v>141.96792103639729</v>
      </c>
      <c r="BK16" s="503">
        <f t="shared" ref="BK16:BK24" si="254">IFERROR($N16+$O16+(Y16-X16)*50/Y16,0)</f>
        <v>149.05307369224894</v>
      </c>
      <c r="BL16" s="503">
        <f t="shared" ref="BL16:BL24" si="255">IFERROR($N16+$O16+(Z16-Y16)*50/Z16,0)</f>
        <v>130</v>
      </c>
      <c r="BM16" s="503">
        <f t="shared" ref="BM16:BM24" si="256">IFERROR($N16+$O16+(AA16-Z16)*50/AA16,0)</f>
        <v>130</v>
      </c>
      <c r="BN16" s="503">
        <f t="shared" ref="BN16:BN24" si="257">IFERROR($N16+$O16+(AB16-AA16)*50/AB16,0)</f>
        <v>130</v>
      </c>
      <c r="BO16" s="776">
        <f t="shared" ref="BO16:BO24" si="258">IFERROR($N16+$O16+(AC16-AB16)*50/AC16,0)</f>
        <v>130</v>
      </c>
      <c r="BP16" s="774">
        <f t="shared" si="21"/>
        <v>36</v>
      </c>
      <c r="BQ16" s="503">
        <f t="shared" si="21"/>
        <v>36</v>
      </c>
      <c r="BR16" s="503">
        <f t="shared" si="21"/>
        <v>36</v>
      </c>
      <c r="BS16" s="503">
        <f t="shared" si="21"/>
        <v>36</v>
      </c>
      <c r="BT16" s="503">
        <f t="shared" si="21"/>
        <v>36</v>
      </c>
      <c r="BU16" s="503">
        <f t="shared" si="21"/>
        <v>36</v>
      </c>
      <c r="BV16" s="776">
        <f t="shared" si="21"/>
        <v>36</v>
      </c>
      <c r="BW16" s="722">
        <f t="shared" ref="BW16:BW24" si="259">Q16*AS16</f>
        <v>0</v>
      </c>
      <c r="BX16" s="511">
        <f t="shared" ref="BX16:BZ17" si="260">BW16</f>
        <v>0</v>
      </c>
      <c r="BY16" s="511">
        <f t="shared" si="260"/>
        <v>0</v>
      </c>
      <c r="BZ16" s="511">
        <f t="shared" si="260"/>
        <v>0</v>
      </c>
      <c r="CA16" s="511">
        <f t="shared" ref="CA16:CC16" si="261">BZ16</f>
        <v>0</v>
      </c>
      <c r="CB16" s="511">
        <f t="shared" si="261"/>
        <v>0</v>
      </c>
      <c r="CC16" s="723">
        <f t="shared" si="261"/>
        <v>0</v>
      </c>
      <c r="CD16" s="511">
        <f t="shared" ref="CD16:CD24" si="262">R16*AS16</f>
        <v>0.47974413646055442</v>
      </c>
      <c r="CE16" s="511">
        <f t="shared" ref="CE16:CG17" si="263">CD16</f>
        <v>0.47974413646055442</v>
      </c>
      <c r="CF16" s="511">
        <f t="shared" si="263"/>
        <v>0.47974413646055442</v>
      </c>
      <c r="CG16" s="511">
        <f t="shared" si="263"/>
        <v>0.47974413646055442</v>
      </c>
      <c r="CH16" s="511">
        <f t="shared" ref="CH16:CJ16" si="264">CG16</f>
        <v>0.47974413646055442</v>
      </c>
      <c r="CI16" s="511">
        <f t="shared" si="264"/>
        <v>0.47974413646055442</v>
      </c>
      <c r="CJ16" s="723">
        <f t="shared" si="264"/>
        <v>0.47974413646055442</v>
      </c>
      <c r="CK16" s="722">
        <f t="shared" ref="CK16:CK24" si="265">S16*AT16</f>
        <v>0</v>
      </c>
      <c r="CL16" s="511">
        <f t="shared" ref="CL16:CN17" si="266">CK16</f>
        <v>0</v>
      </c>
      <c r="CM16" s="511">
        <f t="shared" si="266"/>
        <v>0</v>
      </c>
      <c r="CN16" s="511">
        <f t="shared" si="266"/>
        <v>0</v>
      </c>
      <c r="CO16" s="511">
        <f t="shared" ref="CO16:CQ16" si="267">CN16</f>
        <v>0</v>
      </c>
      <c r="CP16" s="511">
        <f t="shared" si="267"/>
        <v>0</v>
      </c>
      <c r="CQ16" s="539">
        <f t="shared" si="267"/>
        <v>0</v>
      </c>
      <c r="CR16" s="724">
        <f>W16*AU16</f>
        <v>0</v>
      </c>
      <c r="CS16" s="508">
        <f t="shared" ref="CS16:CS24" si="268">X16*AV16</f>
        <v>0</v>
      </c>
      <c r="CT16" s="508">
        <f t="shared" ref="CT16:CT24" si="269">Y16*AW16</f>
        <v>0</v>
      </c>
      <c r="CU16" s="508">
        <f t="shared" ref="CU16:CU24" si="270">Z16*AX16</f>
        <v>0</v>
      </c>
      <c r="CV16" s="508">
        <f t="shared" ref="CV16:CV24" si="271">AA16*AY16</f>
        <v>0</v>
      </c>
      <c r="CW16" s="508">
        <f t="shared" ref="CW16:CW24" si="272">AB16*AZ16</f>
        <v>0</v>
      </c>
      <c r="CX16" s="726">
        <f t="shared" ref="CX16:CX24" si="273">AC16*BA16</f>
        <v>0</v>
      </c>
      <c r="CY16" s="724">
        <f>W16*BB16</f>
        <v>0</v>
      </c>
      <c r="CZ16" s="508">
        <f t="shared" ref="CZ16:CZ24" si="274">X16*BC16</f>
        <v>0</v>
      </c>
      <c r="DA16" s="508">
        <f t="shared" ref="DA16:DA24" si="275">Y16*BD16</f>
        <v>0</v>
      </c>
      <c r="DB16" s="508">
        <f t="shared" ref="DB16:DB24" si="276">Z16*BE16</f>
        <v>0</v>
      </c>
      <c r="DC16" s="508">
        <f t="shared" ref="DC16:DC24" si="277">AA16*BF16</f>
        <v>0</v>
      </c>
      <c r="DD16" s="508">
        <f t="shared" ref="DD16:DD24" si="278">AB16*BG16</f>
        <v>0</v>
      </c>
      <c r="DE16" s="726">
        <f t="shared" ref="DE16:DE24" si="279">AC16*BH16</f>
        <v>0</v>
      </c>
      <c r="DF16" s="724">
        <f>W16*BI16</f>
        <v>110970</v>
      </c>
      <c r="DG16" s="508">
        <f t="shared" ref="DG16:DG24" si="280">X16*BJ16</f>
        <v>115065</v>
      </c>
      <c r="DH16" s="508">
        <f t="shared" ref="DH16:DH24" si="281">Y16*BK16</f>
        <v>195185</v>
      </c>
      <c r="DI16" s="508">
        <f t="shared" ref="DI16:DI24" si="282">Z16*BL16</f>
        <v>170235</v>
      </c>
      <c r="DJ16" s="508">
        <f t="shared" ref="DJ16:DJ24" si="283">AA16*BM16</f>
        <v>170235</v>
      </c>
      <c r="DK16" s="508">
        <f t="shared" ref="DK16:DK24" si="284">AB16*BN16</f>
        <v>170235</v>
      </c>
      <c r="DL16" s="726">
        <f>AC16*BO16</f>
        <v>170235</v>
      </c>
      <c r="DM16" s="724">
        <f>BP16*W16</f>
        <v>22194</v>
      </c>
      <c r="DN16" s="508">
        <f t="shared" ref="DN16:DN24" si="285">BQ16*X16</f>
        <v>29178</v>
      </c>
      <c r="DO16" s="508">
        <f t="shared" ref="DO16:DO24" si="286">BR16*Y16</f>
        <v>47142</v>
      </c>
      <c r="DP16" s="508">
        <f t="shared" ref="DP16:DP24" si="287">BS16*Z16</f>
        <v>47142</v>
      </c>
      <c r="DQ16" s="508">
        <f t="shared" ref="DQ16:DQ24" si="288">BT16*AA16</f>
        <v>47142</v>
      </c>
      <c r="DR16" s="508">
        <f t="shared" ref="DR16:DR24" si="289">BU16*AB16</f>
        <v>47142</v>
      </c>
      <c r="DS16" s="725">
        <f t="shared" ref="DS16:DS24" si="290">BV16*AC16</f>
        <v>47142</v>
      </c>
      <c r="DT16" s="722">
        <f>W16*BW16</f>
        <v>0</v>
      </c>
      <c r="DU16" s="507">
        <f t="shared" ref="DU16:DU24" si="291">X16*BX16</f>
        <v>0</v>
      </c>
      <c r="DV16" s="507">
        <f t="shared" ref="DV16:DV24" si="292">Y16*BY16</f>
        <v>0</v>
      </c>
      <c r="DW16" s="507">
        <f t="shared" ref="DW16:DW24" si="293">Z16*BZ16</f>
        <v>0</v>
      </c>
      <c r="DX16" s="507">
        <f t="shared" ref="DX16:DX24" si="294">AA16*CA16</f>
        <v>0</v>
      </c>
      <c r="DY16" s="507">
        <f t="shared" ref="DY16:DY24" si="295">AB16*CB16</f>
        <v>0</v>
      </c>
      <c r="DZ16" s="453">
        <f t="shared" ref="DZ16:DZ24" si="296">AC16*CC16</f>
        <v>0</v>
      </c>
      <c r="EA16" s="722">
        <f>W16*CD16</f>
        <v>295.76226012793182</v>
      </c>
      <c r="EB16" s="507">
        <f t="shared" ref="EB16:EB24" si="297">X16*CE16</f>
        <v>388.83262260127935</v>
      </c>
      <c r="EC16" s="507">
        <f t="shared" ref="EC16:EC24" si="298">Y16*CF16</f>
        <v>628.22494669509604</v>
      </c>
      <c r="ED16" s="507">
        <f t="shared" ref="ED16:ED24" si="299">Z16*CG16</f>
        <v>628.22494669509604</v>
      </c>
      <c r="EE16" s="507">
        <f t="shared" ref="EE16:EE24" si="300">AA16*CH16</f>
        <v>628.22494669509604</v>
      </c>
      <c r="EF16" s="507">
        <f t="shared" ref="EF16:EF24" si="301">AB16*CI16</f>
        <v>628.22494669509604</v>
      </c>
      <c r="EG16" s="452">
        <f t="shared" ref="EG16:EG24" si="302">AC16*CJ16</f>
        <v>628.22494669509604</v>
      </c>
      <c r="EH16" s="722">
        <f>W16*CK16</f>
        <v>0</v>
      </c>
      <c r="EI16" s="511">
        <f t="shared" ref="EI16:EI24" si="303">X16*CL16</f>
        <v>0</v>
      </c>
      <c r="EJ16" s="511">
        <f t="shared" ref="EJ16:EJ24" si="304">Y16*CM16</f>
        <v>0</v>
      </c>
      <c r="EK16" s="511">
        <f t="shared" ref="EK16:EK24" si="305">Z16*CN16</f>
        <v>0</v>
      </c>
      <c r="EL16" s="511">
        <f t="shared" ref="EL16:EL24" si="306">AA16*CO16</f>
        <v>0</v>
      </c>
      <c r="EM16" s="511">
        <f t="shared" ref="EM16:EM24" si="307">AB16*CP16</f>
        <v>0</v>
      </c>
      <c r="EN16" s="723">
        <f t="shared" ref="EN16:EN24" si="308">AC16*CQ16</f>
        <v>0</v>
      </c>
      <c r="EO16" s="977">
        <f t="shared" si="102"/>
        <v>1139.2142857142858</v>
      </c>
      <c r="EP16" s="728">
        <f t="shared" si="103"/>
        <v>0</v>
      </c>
      <c r="EQ16" s="728">
        <f t="shared" si="104"/>
        <v>0</v>
      </c>
      <c r="ER16" s="728">
        <f t="shared" si="105"/>
        <v>1102160</v>
      </c>
      <c r="ES16" s="728">
        <f t="shared" si="106"/>
        <v>287082</v>
      </c>
      <c r="ET16" s="978">
        <f t="shared" si="107"/>
        <v>0</v>
      </c>
      <c r="EU16" s="978">
        <f t="shared" si="108"/>
        <v>628.22494669509604</v>
      </c>
      <c r="EV16" s="778">
        <f t="shared" si="109"/>
        <v>0</v>
      </c>
      <c r="EW16" s="10"/>
      <c r="EX16" s="10"/>
      <c r="EY16" s="10"/>
      <c r="EZ16" s="10"/>
      <c r="FA16" s="10"/>
      <c r="FB16" s="10"/>
      <c r="FC16" s="10"/>
      <c r="FD16" s="10"/>
      <c r="FE16" s="10"/>
    </row>
    <row r="17" spans="1:161" s="96" customFormat="1" ht="12.5">
      <c r="A17" s="661" t="s">
        <v>173</v>
      </c>
      <c r="B17" s="703" t="str">
        <f t="shared" si="245"/>
        <v>KU-Residential - BYOT - Heating - Winter</v>
      </c>
      <c r="C17" s="715" t="s">
        <v>1654</v>
      </c>
      <c r="D17" s="715" t="s">
        <v>1514</v>
      </c>
      <c r="E17" s="703" t="s">
        <v>1515</v>
      </c>
      <c r="F17" s="1134" t="s">
        <v>402</v>
      </c>
      <c r="G17" s="1183">
        <v>0</v>
      </c>
      <c r="H17" s="704">
        <v>0</v>
      </c>
      <c r="I17" s="706">
        <f>G17+H17</f>
        <v>0</v>
      </c>
      <c r="J17" s="704">
        <v>0</v>
      </c>
      <c r="K17" s="704" t="s">
        <v>378</v>
      </c>
      <c r="L17" s="704" t="s">
        <v>378</v>
      </c>
      <c r="M17" s="715">
        <v>0</v>
      </c>
      <c r="N17" s="1138">
        <f t="shared" si="246"/>
        <v>120</v>
      </c>
      <c r="O17" s="707">
        <v>0</v>
      </c>
      <c r="P17" s="707">
        <f t="shared" si="247"/>
        <v>0</v>
      </c>
      <c r="Q17" s="1190">
        <v>0</v>
      </c>
      <c r="R17" s="1185">
        <v>0.59968017057569301</v>
      </c>
      <c r="S17" s="715">
        <v>0</v>
      </c>
      <c r="T17" s="711" t="s">
        <v>1655</v>
      </c>
      <c r="U17" s="1124"/>
      <c r="V17" s="781">
        <v>1</v>
      </c>
      <c r="W17" s="781">
        <f t="shared" si="248"/>
        <v>193.3</v>
      </c>
      <c r="X17" s="781">
        <f t="shared" si="248"/>
        <v>282.10000000000002</v>
      </c>
      <c r="Y17" s="781">
        <f t="shared" si="248"/>
        <v>511.90000000000009</v>
      </c>
      <c r="Z17" s="781">
        <f t="shared" si="248"/>
        <v>511.90000000000009</v>
      </c>
      <c r="AA17" s="781">
        <f t="shared" si="248"/>
        <v>511.90000000000009</v>
      </c>
      <c r="AB17" s="781">
        <f t="shared" si="248"/>
        <v>511.90000000000009</v>
      </c>
      <c r="AC17" s="781">
        <f t="shared" si="248"/>
        <v>511.90000000000009</v>
      </c>
      <c r="AD17" s="711" t="s">
        <v>384</v>
      </c>
      <c r="AE17" s="711" t="s">
        <v>375</v>
      </c>
      <c r="AF17" s="1024" t="s">
        <v>377</v>
      </c>
      <c r="AG17" s="711" t="s">
        <v>1657</v>
      </c>
      <c r="AH17" s="711" t="s">
        <v>1</v>
      </c>
      <c r="AI17" s="711" t="s">
        <v>378</v>
      </c>
      <c r="AJ17" s="711" t="s">
        <v>378</v>
      </c>
      <c r="AK17" s="711" t="s">
        <v>378</v>
      </c>
      <c r="AL17" s="715" t="s">
        <v>943</v>
      </c>
      <c r="AM17" s="715" t="s">
        <v>380</v>
      </c>
      <c r="AN17" s="715" t="s">
        <v>385</v>
      </c>
      <c r="AO17" s="711">
        <v>1</v>
      </c>
      <c r="AP17" s="711">
        <v>1</v>
      </c>
      <c r="AQ17" s="711" t="s">
        <v>1534</v>
      </c>
      <c r="AR17" s="716">
        <v>1</v>
      </c>
      <c r="AS17" s="716">
        <v>1</v>
      </c>
      <c r="AT17" s="717">
        <v>0</v>
      </c>
      <c r="AU17" s="718">
        <f t="shared" si="249"/>
        <v>0</v>
      </c>
      <c r="AV17" s="499">
        <f>AU17</f>
        <v>0</v>
      </c>
      <c r="AW17" s="499">
        <f t="shared" si="250"/>
        <v>0</v>
      </c>
      <c r="AX17" s="499">
        <f>AU17</f>
        <v>0</v>
      </c>
      <c r="AY17" s="499">
        <f t="shared" ref="AY17" si="309">AV17</f>
        <v>0</v>
      </c>
      <c r="AZ17" s="499">
        <f t="shared" ref="AZ17:BA17" si="310">AW17</f>
        <v>0</v>
      </c>
      <c r="BA17" s="719">
        <f t="shared" si="310"/>
        <v>0</v>
      </c>
      <c r="BB17" s="774">
        <f t="shared" ref="BB17:BB21" si="311">J17</f>
        <v>0</v>
      </c>
      <c r="BC17" s="499">
        <f t="shared" si="252"/>
        <v>0</v>
      </c>
      <c r="BD17" s="499">
        <f t="shared" si="252"/>
        <v>0</v>
      </c>
      <c r="BE17" s="499">
        <f t="shared" si="252"/>
        <v>0</v>
      </c>
      <c r="BF17" s="499">
        <f t="shared" ref="BF17" si="312">BE17</f>
        <v>0</v>
      </c>
      <c r="BG17" s="499">
        <f t="shared" ref="BG17:BH17" si="313">BF17</f>
        <v>0</v>
      </c>
      <c r="BH17" s="719">
        <f t="shared" si="313"/>
        <v>0</v>
      </c>
      <c r="BI17" s="774">
        <f>N17+O17</f>
        <v>120</v>
      </c>
      <c r="BJ17" s="503">
        <f>BI17</f>
        <v>120</v>
      </c>
      <c r="BK17" s="503">
        <f t="shared" ref="BK17:BO17" si="314">BJ17</f>
        <v>120</v>
      </c>
      <c r="BL17" s="503">
        <f t="shared" si="314"/>
        <v>120</v>
      </c>
      <c r="BM17" s="503">
        <f t="shared" si="314"/>
        <v>120</v>
      </c>
      <c r="BN17" s="503">
        <f t="shared" si="314"/>
        <v>120</v>
      </c>
      <c r="BO17" s="503">
        <f t="shared" si="314"/>
        <v>120</v>
      </c>
      <c r="BP17" s="774">
        <f t="shared" si="21"/>
        <v>0</v>
      </c>
      <c r="BQ17" s="503">
        <f t="shared" si="21"/>
        <v>0</v>
      </c>
      <c r="BR17" s="503">
        <f t="shared" si="21"/>
        <v>0</v>
      </c>
      <c r="BS17" s="503">
        <f t="shared" si="21"/>
        <v>0</v>
      </c>
      <c r="BT17" s="503">
        <f t="shared" si="21"/>
        <v>0</v>
      </c>
      <c r="BU17" s="503">
        <f t="shared" si="21"/>
        <v>0</v>
      </c>
      <c r="BV17" s="776">
        <f t="shared" si="21"/>
        <v>0</v>
      </c>
      <c r="BW17" s="722">
        <f t="shared" si="259"/>
        <v>0</v>
      </c>
      <c r="BX17" s="511">
        <f t="shared" si="260"/>
        <v>0</v>
      </c>
      <c r="BY17" s="511">
        <f t="shared" si="260"/>
        <v>0</v>
      </c>
      <c r="BZ17" s="511">
        <f t="shared" si="260"/>
        <v>0</v>
      </c>
      <c r="CA17" s="511">
        <f t="shared" ref="CA17" si="315">BZ17</f>
        <v>0</v>
      </c>
      <c r="CB17" s="511">
        <f t="shared" ref="CB17:CC17" si="316">CA17</f>
        <v>0</v>
      </c>
      <c r="CC17" s="723">
        <f t="shared" si="316"/>
        <v>0</v>
      </c>
      <c r="CD17" s="511">
        <f t="shared" si="262"/>
        <v>0.59968017057569301</v>
      </c>
      <c r="CE17" s="511">
        <f t="shared" si="263"/>
        <v>0.59968017057569301</v>
      </c>
      <c r="CF17" s="511">
        <f t="shared" si="263"/>
        <v>0.59968017057569301</v>
      </c>
      <c r="CG17" s="511">
        <f t="shared" si="263"/>
        <v>0.59968017057569301</v>
      </c>
      <c r="CH17" s="511">
        <f t="shared" ref="CH17" si="317">CG17</f>
        <v>0.59968017057569301</v>
      </c>
      <c r="CI17" s="511">
        <f t="shared" ref="CI17:CJ17" si="318">CH17</f>
        <v>0.59968017057569301</v>
      </c>
      <c r="CJ17" s="723">
        <f t="shared" si="318"/>
        <v>0.59968017057569301</v>
      </c>
      <c r="CK17" s="722">
        <f t="shared" si="265"/>
        <v>0</v>
      </c>
      <c r="CL17" s="511">
        <f t="shared" si="266"/>
        <v>0</v>
      </c>
      <c r="CM17" s="511">
        <f t="shared" si="266"/>
        <v>0</v>
      </c>
      <c r="CN17" s="511">
        <f t="shared" si="266"/>
        <v>0</v>
      </c>
      <c r="CO17" s="511">
        <f t="shared" ref="CO17" si="319">CN17</f>
        <v>0</v>
      </c>
      <c r="CP17" s="511">
        <f t="shared" ref="CP17:CQ17" si="320">CO17</f>
        <v>0</v>
      </c>
      <c r="CQ17" s="539">
        <f t="shared" si="320"/>
        <v>0</v>
      </c>
      <c r="CR17" s="724">
        <f t="shared" ref="CR17:CR24" si="321">W17*AU17</f>
        <v>0</v>
      </c>
      <c r="CS17" s="508">
        <f t="shared" si="268"/>
        <v>0</v>
      </c>
      <c r="CT17" s="508">
        <f t="shared" si="269"/>
        <v>0</v>
      </c>
      <c r="CU17" s="508">
        <f t="shared" si="270"/>
        <v>0</v>
      </c>
      <c r="CV17" s="508">
        <f t="shared" si="271"/>
        <v>0</v>
      </c>
      <c r="CW17" s="508">
        <f t="shared" si="272"/>
        <v>0</v>
      </c>
      <c r="CX17" s="726">
        <f t="shared" si="273"/>
        <v>0</v>
      </c>
      <c r="CY17" s="724">
        <f t="shared" ref="CY17:CY24" si="322">W17*BB17</f>
        <v>0</v>
      </c>
      <c r="CZ17" s="508">
        <f t="shared" si="274"/>
        <v>0</v>
      </c>
      <c r="DA17" s="508">
        <f t="shared" si="275"/>
        <v>0</v>
      </c>
      <c r="DB17" s="508">
        <f t="shared" si="276"/>
        <v>0</v>
      </c>
      <c r="DC17" s="508">
        <f t="shared" si="277"/>
        <v>0</v>
      </c>
      <c r="DD17" s="508">
        <f t="shared" si="278"/>
        <v>0</v>
      </c>
      <c r="DE17" s="726">
        <f t="shared" si="279"/>
        <v>0</v>
      </c>
      <c r="DF17" s="724">
        <f t="shared" ref="DF17:DF24" si="323">W17*BI17</f>
        <v>23196</v>
      </c>
      <c r="DG17" s="508">
        <f t="shared" si="280"/>
        <v>33852</v>
      </c>
      <c r="DH17" s="508">
        <f t="shared" si="281"/>
        <v>61428.000000000015</v>
      </c>
      <c r="DI17" s="508">
        <f t="shared" si="282"/>
        <v>61428.000000000015</v>
      </c>
      <c r="DJ17" s="508">
        <f t="shared" si="283"/>
        <v>61428.000000000015</v>
      </c>
      <c r="DK17" s="508">
        <f t="shared" si="284"/>
        <v>61428.000000000015</v>
      </c>
      <c r="DL17" s="726">
        <f t="shared" ref="DL17:DL24" si="324">AC17*BO17</f>
        <v>61428.000000000015</v>
      </c>
      <c r="DM17" s="724">
        <f t="shared" ref="DM17:DM24" si="325">BP17*W17</f>
        <v>0</v>
      </c>
      <c r="DN17" s="508">
        <f t="shared" si="285"/>
        <v>0</v>
      </c>
      <c r="DO17" s="508">
        <f t="shared" si="286"/>
        <v>0</v>
      </c>
      <c r="DP17" s="508">
        <f t="shared" si="287"/>
        <v>0</v>
      </c>
      <c r="DQ17" s="508">
        <f t="shared" si="288"/>
        <v>0</v>
      </c>
      <c r="DR17" s="508">
        <f t="shared" si="289"/>
        <v>0</v>
      </c>
      <c r="DS17" s="725">
        <f t="shared" si="290"/>
        <v>0</v>
      </c>
      <c r="DT17" s="722">
        <f t="shared" ref="DT17:DT24" si="326">W17*BW17</f>
        <v>0</v>
      </c>
      <c r="DU17" s="507">
        <f t="shared" si="291"/>
        <v>0</v>
      </c>
      <c r="DV17" s="507">
        <f t="shared" si="292"/>
        <v>0</v>
      </c>
      <c r="DW17" s="507">
        <f t="shared" si="293"/>
        <v>0</v>
      </c>
      <c r="DX17" s="507">
        <f t="shared" si="294"/>
        <v>0</v>
      </c>
      <c r="DY17" s="507">
        <f t="shared" si="295"/>
        <v>0</v>
      </c>
      <c r="DZ17" s="453">
        <f t="shared" si="296"/>
        <v>0</v>
      </c>
      <c r="EA17" s="722">
        <f t="shared" ref="EA17:EA24" si="327">W17*CD17</f>
        <v>115.91817697228146</v>
      </c>
      <c r="EB17" s="507">
        <f t="shared" si="297"/>
        <v>169.169776119403</v>
      </c>
      <c r="EC17" s="507">
        <f t="shared" si="298"/>
        <v>306.97627931769728</v>
      </c>
      <c r="ED17" s="507">
        <f t="shared" si="299"/>
        <v>306.97627931769728</v>
      </c>
      <c r="EE17" s="507">
        <f t="shared" si="300"/>
        <v>306.97627931769728</v>
      </c>
      <c r="EF17" s="507">
        <f t="shared" si="301"/>
        <v>306.97627931769728</v>
      </c>
      <c r="EG17" s="452">
        <f t="shared" si="302"/>
        <v>306.97627931769728</v>
      </c>
      <c r="EH17" s="722">
        <f t="shared" ref="EH17:EH24" si="328">W17*CK17</f>
        <v>0</v>
      </c>
      <c r="EI17" s="511">
        <f t="shared" si="303"/>
        <v>0</v>
      </c>
      <c r="EJ17" s="511">
        <f t="shared" si="304"/>
        <v>0</v>
      </c>
      <c r="EK17" s="511">
        <f t="shared" si="305"/>
        <v>0</v>
      </c>
      <c r="EL17" s="511">
        <f t="shared" si="306"/>
        <v>0</v>
      </c>
      <c r="EM17" s="511">
        <f t="shared" si="307"/>
        <v>0</v>
      </c>
      <c r="EN17" s="723">
        <f t="shared" si="308"/>
        <v>0</v>
      </c>
      <c r="EO17" s="977">
        <f t="shared" si="102"/>
        <v>433.55714285714294</v>
      </c>
      <c r="EP17" s="728">
        <f t="shared" si="103"/>
        <v>0</v>
      </c>
      <c r="EQ17" s="728">
        <f t="shared" si="104"/>
        <v>0</v>
      </c>
      <c r="ER17" s="728">
        <f t="shared" si="105"/>
        <v>364188.00000000006</v>
      </c>
      <c r="ES17" s="728">
        <f t="shared" si="106"/>
        <v>0</v>
      </c>
      <c r="ET17" s="978">
        <f t="shared" si="107"/>
        <v>0</v>
      </c>
      <c r="EU17" s="978">
        <f t="shared" si="108"/>
        <v>306.97627931769728</v>
      </c>
      <c r="EV17" s="778">
        <f t="shared" si="109"/>
        <v>0</v>
      </c>
      <c r="EW17" s="10"/>
      <c r="EX17" s="10"/>
      <c r="EY17" s="10"/>
      <c r="EZ17" s="10"/>
      <c r="FA17" s="10"/>
      <c r="FB17" s="10"/>
      <c r="FC17" s="10"/>
      <c r="FD17" s="10"/>
      <c r="FE17" s="10"/>
    </row>
    <row r="18" spans="1:161" s="96" customFormat="1" ht="12.5">
      <c r="A18" s="661" t="s">
        <v>175</v>
      </c>
      <c r="B18" s="703" t="str">
        <f t="shared" si="245"/>
        <v>KU-LI - Cooling</v>
      </c>
      <c r="C18" s="715" t="s">
        <v>1654</v>
      </c>
      <c r="D18" s="715" t="s">
        <v>1514</v>
      </c>
      <c r="E18" s="703" t="s">
        <v>1515</v>
      </c>
      <c r="F18" s="1134" t="s">
        <v>402</v>
      </c>
      <c r="G18" s="1183">
        <v>0</v>
      </c>
      <c r="H18" s="704">
        <v>0</v>
      </c>
      <c r="I18" s="706">
        <f t="shared" ref="I18:I21" si="329">G18+H18</f>
        <v>0</v>
      </c>
      <c r="J18" s="704">
        <v>0</v>
      </c>
      <c r="K18" s="704" t="s">
        <v>378</v>
      </c>
      <c r="L18" s="704" t="s">
        <v>378</v>
      </c>
      <c r="M18" s="715">
        <v>0</v>
      </c>
      <c r="N18" s="1138">
        <f t="shared" si="246"/>
        <v>130</v>
      </c>
      <c r="O18" s="707">
        <v>0</v>
      </c>
      <c r="P18" s="707">
        <f t="shared" si="247"/>
        <v>36</v>
      </c>
      <c r="Q18" s="1191">
        <v>0</v>
      </c>
      <c r="R18" s="1185">
        <v>0.47974413646055442</v>
      </c>
      <c r="S18" s="715">
        <v>0</v>
      </c>
      <c r="T18" s="711" t="s">
        <v>1655</v>
      </c>
      <c r="U18" s="1124"/>
      <c r="V18" s="781">
        <v>1</v>
      </c>
      <c r="W18" s="781">
        <f t="shared" si="248"/>
        <v>261</v>
      </c>
      <c r="X18" s="781">
        <f t="shared" si="248"/>
        <v>522</v>
      </c>
      <c r="Y18" s="781">
        <f t="shared" si="248"/>
        <v>783</v>
      </c>
      <c r="Z18" s="781">
        <f t="shared" si="248"/>
        <v>1044</v>
      </c>
      <c r="AA18" s="781">
        <f t="shared" si="248"/>
        <v>1305</v>
      </c>
      <c r="AB18" s="781">
        <f t="shared" si="248"/>
        <v>1566</v>
      </c>
      <c r="AC18" s="781">
        <f t="shared" si="248"/>
        <v>1827</v>
      </c>
      <c r="AD18" s="711" t="s">
        <v>384</v>
      </c>
      <c r="AE18" s="711" t="s">
        <v>375</v>
      </c>
      <c r="AF18" s="1024" t="s">
        <v>377</v>
      </c>
      <c r="AG18" s="1126" t="s">
        <v>454</v>
      </c>
      <c r="AH18" s="711" t="s">
        <v>1</v>
      </c>
      <c r="AI18" s="711" t="s">
        <v>378</v>
      </c>
      <c r="AJ18" s="711" t="s">
        <v>378</v>
      </c>
      <c r="AK18" s="711" t="s">
        <v>378</v>
      </c>
      <c r="AL18" s="715" t="s">
        <v>406</v>
      </c>
      <c r="AM18" s="715" t="s">
        <v>380</v>
      </c>
      <c r="AN18" s="715" t="s">
        <v>385</v>
      </c>
      <c r="AO18" s="711">
        <v>1</v>
      </c>
      <c r="AP18" s="711">
        <v>1</v>
      </c>
      <c r="AQ18" s="711" t="s">
        <v>1534</v>
      </c>
      <c r="AR18" s="716">
        <v>1</v>
      </c>
      <c r="AS18" s="716">
        <v>1</v>
      </c>
      <c r="AT18" s="717">
        <v>0</v>
      </c>
      <c r="AU18" s="718">
        <f t="shared" si="249"/>
        <v>0</v>
      </c>
      <c r="AV18" s="499">
        <f t="shared" ref="AV18:AV24" si="330">AU18</f>
        <v>0</v>
      </c>
      <c r="AW18" s="499">
        <f t="shared" ref="AW18:AW21" si="331">AV18</f>
        <v>0</v>
      </c>
      <c r="AX18" s="499">
        <f t="shared" ref="AX18:AX21" si="332">AU18</f>
        <v>0</v>
      </c>
      <c r="AY18" s="499">
        <f t="shared" ref="AY18:AY21" si="333">AV18</f>
        <v>0</v>
      </c>
      <c r="AZ18" s="499">
        <f t="shared" ref="AZ18:AZ21" si="334">AW18</f>
        <v>0</v>
      </c>
      <c r="BA18" s="719">
        <f t="shared" ref="BA18:BA21" si="335">AX18</f>
        <v>0</v>
      </c>
      <c r="BB18" s="774">
        <f t="shared" si="311"/>
        <v>0</v>
      </c>
      <c r="BC18" s="499">
        <f t="shared" ref="BC18:BC21" si="336">BB18</f>
        <v>0</v>
      </c>
      <c r="BD18" s="499">
        <f t="shared" ref="BD18:BD21" si="337">BC18</f>
        <v>0</v>
      </c>
      <c r="BE18" s="499">
        <f t="shared" ref="BE18:BE21" si="338">BD18</f>
        <v>0</v>
      </c>
      <c r="BF18" s="499">
        <f t="shared" ref="BF18:BF21" si="339">BE18</f>
        <v>0</v>
      </c>
      <c r="BG18" s="499">
        <f t="shared" ref="BG18:BG21" si="340">BF18</f>
        <v>0</v>
      </c>
      <c r="BH18" s="719">
        <f t="shared" ref="BH18:BH21" si="341">BG18</f>
        <v>0</v>
      </c>
      <c r="BI18" s="774">
        <f t="shared" ref="BI18:BI24" si="342">IFERROR(N18+O18+W18*50/W18,0)</f>
        <v>180</v>
      </c>
      <c r="BJ18" s="503">
        <f t="shared" ref="BJ18:BJ24" si="343">IFERROR($N18+$O18+(X18-W18)*50/X18,0)</f>
        <v>155</v>
      </c>
      <c r="BK18" s="503">
        <f t="shared" si="254"/>
        <v>146.66666666666666</v>
      </c>
      <c r="BL18" s="503">
        <f t="shared" si="255"/>
        <v>142.5</v>
      </c>
      <c r="BM18" s="503">
        <f t="shared" si="256"/>
        <v>140</v>
      </c>
      <c r="BN18" s="503">
        <f t="shared" si="257"/>
        <v>138.33333333333334</v>
      </c>
      <c r="BO18" s="776">
        <f t="shared" si="258"/>
        <v>137.14285714285714</v>
      </c>
      <c r="BP18" s="774">
        <f t="shared" si="21"/>
        <v>36</v>
      </c>
      <c r="BQ18" s="503">
        <f t="shared" si="21"/>
        <v>36</v>
      </c>
      <c r="BR18" s="503">
        <f t="shared" si="21"/>
        <v>36</v>
      </c>
      <c r="BS18" s="503">
        <f t="shared" si="21"/>
        <v>36</v>
      </c>
      <c r="BT18" s="503">
        <f t="shared" si="21"/>
        <v>36</v>
      </c>
      <c r="BU18" s="503">
        <f t="shared" si="21"/>
        <v>36</v>
      </c>
      <c r="BV18" s="776">
        <f t="shared" si="21"/>
        <v>36</v>
      </c>
      <c r="BW18" s="722">
        <f t="shared" si="259"/>
        <v>0</v>
      </c>
      <c r="BX18" s="511"/>
      <c r="BY18" s="511"/>
      <c r="BZ18" s="511"/>
      <c r="CA18" s="511"/>
      <c r="CB18" s="511"/>
      <c r="CC18" s="723"/>
      <c r="CD18" s="511">
        <f t="shared" si="262"/>
        <v>0.47974413646055442</v>
      </c>
      <c r="CE18" s="511">
        <f t="shared" ref="CE18:CE24" si="344">CD18</f>
        <v>0.47974413646055442</v>
      </c>
      <c r="CF18" s="511">
        <f t="shared" ref="CF18:CF24" si="345">CE18</f>
        <v>0.47974413646055442</v>
      </c>
      <c r="CG18" s="511">
        <f t="shared" ref="CG18:CG24" si="346">CF18</f>
        <v>0.47974413646055442</v>
      </c>
      <c r="CH18" s="511">
        <f t="shared" ref="CH18:CH24" si="347">CG18</f>
        <v>0.47974413646055442</v>
      </c>
      <c r="CI18" s="511">
        <f t="shared" ref="CI18:CI24" si="348">CH18</f>
        <v>0.47974413646055442</v>
      </c>
      <c r="CJ18" s="723">
        <f t="shared" ref="CJ18:CJ24" si="349">CI18</f>
        <v>0.47974413646055442</v>
      </c>
      <c r="CK18" s="722">
        <f t="shared" si="265"/>
        <v>0</v>
      </c>
      <c r="CL18" s="511">
        <f t="shared" ref="CL18:CL24" si="350">CK18</f>
        <v>0</v>
      </c>
      <c r="CM18" s="511">
        <f t="shared" ref="CM18:CM24" si="351">CL18</f>
        <v>0</v>
      </c>
      <c r="CN18" s="511">
        <f t="shared" ref="CN18:CN24" si="352">CM18</f>
        <v>0</v>
      </c>
      <c r="CO18" s="511">
        <f t="shared" ref="CO18:CO24" si="353">CN18</f>
        <v>0</v>
      </c>
      <c r="CP18" s="511">
        <f t="shared" ref="CP18:CP24" si="354">CO18</f>
        <v>0</v>
      </c>
      <c r="CQ18" s="539">
        <f t="shared" ref="CQ18:CQ24" si="355">CP18</f>
        <v>0</v>
      </c>
      <c r="CR18" s="724">
        <f t="shared" si="321"/>
        <v>0</v>
      </c>
      <c r="CS18" s="508">
        <f t="shared" si="268"/>
        <v>0</v>
      </c>
      <c r="CT18" s="508">
        <f t="shared" si="269"/>
        <v>0</v>
      </c>
      <c r="CU18" s="508">
        <f t="shared" si="270"/>
        <v>0</v>
      </c>
      <c r="CV18" s="508">
        <f t="shared" si="271"/>
        <v>0</v>
      </c>
      <c r="CW18" s="508">
        <f t="shared" si="272"/>
        <v>0</v>
      </c>
      <c r="CX18" s="726">
        <f t="shared" si="273"/>
        <v>0</v>
      </c>
      <c r="CY18" s="724">
        <f t="shared" si="322"/>
        <v>0</v>
      </c>
      <c r="CZ18" s="508">
        <f t="shared" si="274"/>
        <v>0</v>
      </c>
      <c r="DA18" s="508">
        <f t="shared" si="275"/>
        <v>0</v>
      </c>
      <c r="DB18" s="508">
        <f t="shared" si="276"/>
        <v>0</v>
      </c>
      <c r="DC18" s="508">
        <f t="shared" si="277"/>
        <v>0</v>
      </c>
      <c r="DD18" s="508">
        <f t="shared" si="278"/>
        <v>0</v>
      </c>
      <c r="DE18" s="726">
        <f t="shared" si="279"/>
        <v>0</v>
      </c>
      <c r="DF18" s="724">
        <f t="shared" si="323"/>
        <v>46980</v>
      </c>
      <c r="DG18" s="508">
        <f t="shared" si="280"/>
        <v>80910</v>
      </c>
      <c r="DH18" s="508">
        <f t="shared" si="281"/>
        <v>114839.99999999999</v>
      </c>
      <c r="DI18" s="508">
        <f t="shared" si="282"/>
        <v>148770</v>
      </c>
      <c r="DJ18" s="508">
        <f t="shared" si="283"/>
        <v>182700</v>
      </c>
      <c r="DK18" s="508">
        <f t="shared" si="284"/>
        <v>216630.00000000003</v>
      </c>
      <c r="DL18" s="726">
        <f t="shared" si="324"/>
        <v>250560</v>
      </c>
      <c r="DM18" s="724">
        <f t="shared" si="325"/>
        <v>9396</v>
      </c>
      <c r="DN18" s="508">
        <f t="shared" si="285"/>
        <v>18792</v>
      </c>
      <c r="DO18" s="508">
        <f t="shared" si="286"/>
        <v>28188</v>
      </c>
      <c r="DP18" s="508">
        <f t="shared" si="287"/>
        <v>37584</v>
      </c>
      <c r="DQ18" s="508">
        <f t="shared" si="288"/>
        <v>46980</v>
      </c>
      <c r="DR18" s="508">
        <f t="shared" si="289"/>
        <v>56376</v>
      </c>
      <c r="DS18" s="725">
        <f t="shared" si="290"/>
        <v>65772</v>
      </c>
      <c r="DT18" s="722">
        <f t="shared" si="326"/>
        <v>0</v>
      </c>
      <c r="DU18" s="507">
        <f t="shared" si="291"/>
        <v>0</v>
      </c>
      <c r="DV18" s="507">
        <f t="shared" si="292"/>
        <v>0</v>
      </c>
      <c r="DW18" s="507">
        <f t="shared" si="293"/>
        <v>0</v>
      </c>
      <c r="DX18" s="507">
        <f t="shared" si="294"/>
        <v>0</v>
      </c>
      <c r="DY18" s="507">
        <f t="shared" si="295"/>
        <v>0</v>
      </c>
      <c r="DZ18" s="453">
        <f t="shared" si="296"/>
        <v>0</v>
      </c>
      <c r="EA18" s="722">
        <f t="shared" si="327"/>
        <v>125.2132196162047</v>
      </c>
      <c r="EB18" s="507">
        <f t="shared" si="297"/>
        <v>250.42643923240939</v>
      </c>
      <c r="EC18" s="507">
        <f t="shared" si="298"/>
        <v>375.63965884861409</v>
      </c>
      <c r="ED18" s="507">
        <f t="shared" si="299"/>
        <v>500.85287846481879</v>
      </c>
      <c r="EE18" s="507">
        <f t="shared" si="300"/>
        <v>626.06609808102348</v>
      </c>
      <c r="EF18" s="507">
        <f t="shared" si="301"/>
        <v>751.27931769722818</v>
      </c>
      <c r="EG18" s="452">
        <f t="shared" si="302"/>
        <v>876.49253731343288</v>
      </c>
      <c r="EH18" s="722">
        <f t="shared" si="328"/>
        <v>0</v>
      </c>
      <c r="EI18" s="511">
        <f t="shared" si="303"/>
        <v>0</v>
      </c>
      <c r="EJ18" s="511">
        <f t="shared" si="304"/>
        <v>0</v>
      </c>
      <c r="EK18" s="511">
        <f t="shared" si="305"/>
        <v>0</v>
      </c>
      <c r="EL18" s="511">
        <f t="shared" si="306"/>
        <v>0</v>
      </c>
      <c r="EM18" s="511">
        <f t="shared" si="307"/>
        <v>0</v>
      </c>
      <c r="EN18" s="723">
        <f t="shared" si="308"/>
        <v>0</v>
      </c>
      <c r="EO18" s="977">
        <f t="shared" si="102"/>
        <v>1044</v>
      </c>
      <c r="EP18" s="728">
        <f t="shared" si="103"/>
        <v>0</v>
      </c>
      <c r="EQ18" s="728">
        <f t="shared" si="104"/>
        <v>0</v>
      </c>
      <c r="ER18" s="728">
        <f t="shared" si="105"/>
        <v>1041390</v>
      </c>
      <c r="ES18" s="728">
        <f t="shared" si="106"/>
        <v>263088</v>
      </c>
      <c r="ET18" s="978">
        <f t="shared" si="107"/>
        <v>0</v>
      </c>
      <c r="EU18" s="978">
        <f t="shared" si="108"/>
        <v>876.49253731343288</v>
      </c>
      <c r="EV18" s="778">
        <f t="shared" si="109"/>
        <v>0</v>
      </c>
      <c r="EW18" s="10"/>
      <c r="EX18" s="10"/>
      <c r="EY18" s="10"/>
      <c r="EZ18" s="10"/>
      <c r="FA18" s="10"/>
      <c r="FB18" s="10"/>
      <c r="FC18" s="10"/>
      <c r="FD18" s="10"/>
      <c r="FE18" s="10"/>
    </row>
    <row r="19" spans="1:161" s="96" customFormat="1" ht="12.5">
      <c r="A19" s="661" t="s">
        <v>176</v>
      </c>
      <c r="B19" s="703" t="str">
        <f t="shared" si="245"/>
        <v>KU-LI - Heating</v>
      </c>
      <c r="C19" s="715" t="s">
        <v>1654</v>
      </c>
      <c r="D19" s="715" t="s">
        <v>1514</v>
      </c>
      <c r="E19" s="703" t="s">
        <v>1515</v>
      </c>
      <c r="F19" s="1134" t="s">
        <v>402</v>
      </c>
      <c r="G19" s="1183">
        <v>0</v>
      </c>
      <c r="H19" s="704">
        <v>0</v>
      </c>
      <c r="I19" s="706">
        <f t="shared" si="329"/>
        <v>0</v>
      </c>
      <c r="J19" s="704">
        <v>0</v>
      </c>
      <c r="K19" s="704" t="s">
        <v>378</v>
      </c>
      <c r="L19" s="704" t="s">
        <v>378</v>
      </c>
      <c r="M19" s="715">
        <v>0</v>
      </c>
      <c r="N19" s="1138">
        <f t="shared" si="246"/>
        <v>120</v>
      </c>
      <c r="O19" s="707">
        <v>0</v>
      </c>
      <c r="P19" s="707">
        <f t="shared" si="247"/>
        <v>0</v>
      </c>
      <c r="Q19" s="1191">
        <v>0</v>
      </c>
      <c r="R19" s="1185">
        <v>0.59968017057569301</v>
      </c>
      <c r="S19" s="715">
        <v>0</v>
      </c>
      <c r="T19" s="711" t="s">
        <v>1655</v>
      </c>
      <c r="U19" s="1124"/>
      <c r="V19" s="781">
        <v>1</v>
      </c>
      <c r="W19" s="781">
        <f t="shared" si="248"/>
        <v>52.2</v>
      </c>
      <c r="X19" s="781">
        <f t="shared" si="248"/>
        <v>104.4</v>
      </c>
      <c r="Y19" s="781">
        <f t="shared" si="248"/>
        <v>156.60000000000002</v>
      </c>
      <c r="Z19" s="781">
        <f t="shared" si="248"/>
        <v>208.8</v>
      </c>
      <c r="AA19" s="781">
        <f t="shared" si="248"/>
        <v>261</v>
      </c>
      <c r="AB19" s="781">
        <f t="shared" si="248"/>
        <v>313.2</v>
      </c>
      <c r="AC19" s="781">
        <f t="shared" si="248"/>
        <v>365.4</v>
      </c>
      <c r="AD19" s="711" t="s">
        <v>384</v>
      </c>
      <c r="AE19" s="711" t="s">
        <v>375</v>
      </c>
      <c r="AF19" s="1024" t="s">
        <v>377</v>
      </c>
      <c r="AG19" s="711" t="s">
        <v>1657</v>
      </c>
      <c r="AH19" s="711" t="s">
        <v>1</v>
      </c>
      <c r="AI19" s="711" t="s">
        <v>378</v>
      </c>
      <c r="AJ19" s="711" t="s">
        <v>378</v>
      </c>
      <c r="AK19" s="711" t="s">
        <v>378</v>
      </c>
      <c r="AL19" s="715" t="s">
        <v>943</v>
      </c>
      <c r="AM19" s="715" t="s">
        <v>380</v>
      </c>
      <c r="AN19" s="715" t="s">
        <v>385</v>
      </c>
      <c r="AO19" s="711">
        <v>1</v>
      </c>
      <c r="AP19" s="711">
        <v>1</v>
      </c>
      <c r="AQ19" s="711" t="s">
        <v>1534</v>
      </c>
      <c r="AR19" s="716">
        <v>1</v>
      </c>
      <c r="AS19" s="716">
        <v>1</v>
      </c>
      <c r="AT19" s="717">
        <v>0</v>
      </c>
      <c r="AU19" s="718">
        <f t="shared" si="249"/>
        <v>0</v>
      </c>
      <c r="AV19" s="499">
        <f t="shared" si="330"/>
        <v>0</v>
      </c>
      <c r="AW19" s="499">
        <f t="shared" si="331"/>
        <v>0</v>
      </c>
      <c r="AX19" s="499">
        <f t="shared" si="332"/>
        <v>0</v>
      </c>
      <c r="AY19" s="499">
        <f t="shared" si="333"/>
        <v>0</v>
      </c>
      <c r="AZ19" s="499">
        <f t="shared" si="334"/>
        <v>0</v>
      </c>
      <c r="BA19" s="719">
        <f t="shared" si="335"/>
        <v>0</v>
      </c>
      <c r="BB19" s="774">
        <f t="shared" si="311"/>
        <v>0</v>
      </c>
      <c r="BC19" s="499">
        <f t="shared" si="336"/>
        <v>0</v>
      </c>
      <c r="BD19" s="499">
        <f t="shared" si="337"/>
        <v>0</v>
      </c>
      <c r="BE19" s="499">
        <f t="shared" si="338"/>
        <v>0</v>
      </c>
      <c r="BF19" s="499">
        <f t="shared" si="339"/>
        <v>0</v>
      </c>
      <c r="BG19" s="499">
        <f t="shared" si="340"/>
        <v>0</v>
      </c>
      <c r="BH19" s="719">
        <f t="shared" si="341"/>
        <v>0</v>
      </c>
      <c r="BI19" s="774">
        <f>N19+O19</f>
        <v>120</v>
      </c>
      <c r="BJ19" s="503">
        <f>BI19</f>
        <v>120</v>
      </c>
      <c r="BK19" s="503">
        <f t="shared" ref="BK19:BO19" si="356">BJ19</f>
        <v>120</v>
      </c>
      <c r="BL19" s="503">
        <f t="shared" si="356"/>
        <v>120</v>
      </c>
      <c r="BM19" s="503">
        <f t="shared" si="356"/>
        <v>120</v>
      </c>
      <c r="BN19" s="503">
        <f t="shared" si="356"/>
        <v>120</v>
      </c>
      <c r="BO19" s="503">
        <f t="shared" si="356"/>
        <v>120</v>
      </c>
      <c r="BP19" s="774">
        <f t="shared" si="21"/>
        <v>0</v>
      </c>
      <c r="BQ19" s="503">
        <f t="shared" si="21"/>
        <v>0</v>
      </c>
      <c r="BR19" s="503">
        <f t="shared" si="21"/>
        <v>0</v>
      </c>
      <c r="BS19" s="503">
        <f t="shared" si="21"/>
        <v>0</v>
      </c>
      <c r="BT19" s="503">
        <f t="shared" si="21"/>
        <v>0</v>
      </c>
      <c r="BU19" s="503">
        <f t="shared" si="21"/>
        <v>0</v>
      </c>
      <c r="BV19" s="776">
        <f t="shared" si="21"/>
        <v>0</v>
      </c>
      <c r="BW19" s="722">
        <f t="shared" si="259"/>
        <v>0</v>
      </c>
      <c r="BX19" s="511"/>
      <c r="BY19" s="511"/>
      <c r="BZ19" s="511"/>
      <c r="CA19" s="511"/>
      <c r="CB19" s="511"/>
      <c r="CC19" s="723"/>
      <c r="CD19" s="511">
        <f t="shared" si="262"/>
        <v>0.59968017057569301</v>
      </c>
      <c r="CE19" s="511">
        <f t="shared" si="344"/>
        <v>0.59968017057569301</v>
      </c>
      <c r="CF19" s="511">
        <f t="shared" si="345"/>
        <v>0.59968017057569301</v>
      </c>
      <c r="CG19" s="511">
        <f t="shared" si="346"/>
        <v>0.59968017057569301</v>
      </c>
      <c r="CH19" s="511">
        <f t="shared" si="347"/>
        <v>0.59968017057569301</v>
      </c>
      <c r="CI19" s="511">
        <f t="shared" si="348"/>
        <v>0.59968017057569301</v>
      </c>
      <c r="CJ19" s="723">
        <f t="shared" si="349"/>
        <v>0.59968017057569301</v>
      </c>
      <c r="CK19" s="722">
        <f t="shared" si="265"/>
        <v>0</v>
      </c>
      <c r="CL19" s="511">
        <f t="shared" si="350"/>
        <v>0</v>
      </c>
      <c r="CM19" s="511">
        <f t="shared" si="351"/>
        <v>0</v>
      </c>
      <c r="CN19" s="511">
        <f t="shared" si="352"/>
        <v>0</v>
      </c>
      <c r="CO19" s="511">
        <f t="shared" si="353"/>
        <v>0</v>
      </c>
      <c r="CP19" s="511">
        <f t="shared" si="354"/>
        <v>0</v>
      </c>
      <c r="CQ19" s="539">
        <f t="shared" si="355"/>
        <v>0</v>
      </c>
      <c r="CR19" s="724">
        <f t="shared" si="321"/>
        <v>0</v>
      </c>
      <c r="CS19" s="508">
        <f t="shared" si="268"/>
        <v>0</v>
      </c>
      <c r="CT19" s="508">
        <f t="shared" si="269"/>
        <v>0</v>
      </c>
      <c r="CU19" s="508">
        <f t="shared" si="270"/>
        <v>0</v>
      </c>
      <c r="CV19" s="508">
        <f t="shared" si="271"/>
        <v>0</v>
      </c>
      <c r="CW19" s="508">
        <f t="shared" si="272"/>
        <v>0</v>
      </c>
      <c r="CX19" s="726">
        <f t="shared" si="273"/>
        <v>0</v>
      </c>
      <c r="CY19" s="724">
        <f t="shared" si="322"/>
        <v>0</v>
      </c>
      <c r="CZ19" s="508">
        <f t="shared" si="274"/>
        <v>0</v>
      </c>
      <c r="DA19" s="508">
        <f t="shared" si="275"/>
        <v>0</v>
      </c>
      <c r="DB19" s="508">
        <f t="shared" si="276"/>
        <v>0</v>
      </c>
      <c r="DC19" s="508">
        <f t="shared" si="277"/>
        <v>0</v>
      </c>
      <c r="DD19" s="508">
        <f t="shared" si="278"/>
        <v>0</v>
      </c>
      <c r="DE19" s="726">
        <f t="shared" si="279"/>
        <v>0</v>
      </c>
      <c r="DF19" s="724">
        <f t="shared" si="323"/>
        <v>6264</v>
      </c>
      <c r="DG19" s="508">
        <f t="shared" si="280"/>
        <v>12528</v>
      </c>
      <c r="DH19" s="508">
        <f t="shared" si="281"/>
        <v>18792.000000000004</v>
      </c>
      <c r="DI19" s="508">
        <f t="shared" si="282"/>
        <v>25056</v>
      </c>
      <c r="DJ19" s="508">
        <f t="shared" si="283"/>
        <v>31320</v>
      </c>
      <c r="DK19" s="508">
        <f t="shared" si="284"/>
        <v>37584</v>
      </c>
      <c r="DL19" s="726">
        <f t="shared" si="324"/>
        <v>43848</v>
      </c>
      <c r="DM19" s="724">
        <f t="shared" si="325"/>
        <v>0</v>
      </c>
      <c r="DN19" s="508">
        <f t="shared" si="285"/>
        <v>0</v>
      </c>
      <c r="DO19" s="508">
        <f t="shared" si="286"/>
        <v>0</v>
      </c>
      <c r="DP19" s="508">
        <f t="shared" si="287"/>
        <v>0</v>
      </c>
      <c r="DQ19" s="508">
        <f t="shared" si="288"/>
        <v>0</v>
      </c>
      <c r="DR19" s="508">
        <f t="shared" si="289"/>
        <v>0</v>
      </c>
      <c r="DS19" s="725">
        <f t="shared" si="290"/>
        <v>0</v>
      </c>
      <c r="DT19" s="722">
        <f t="shared" si="326"/>
        <v>0</v>
      </c>
      <c r="DU19" s="507">
        <f t="shared" si="291"/>
        <v>0</v>
      </c>
      <c r="DV19" s="507">
        <f t="shared" si="292"/>
        <v>0</v>
      </c>
      <c r="DW19" s="507">
        <f t="shared" si="293"/>
        <v>0</v>
      </c>
      <c r="DX19" s="507">
        <f t="shared" si="294"/>
        <v>0</v>
      </c>
      <c r="DY19" s="507">
        <f t="shared" si="295"/>
        <v>0</v>
      </c>
      <c r="DZ19" s="453">
        <f t="shared" si="296"/>
        <v>0</v>
      </c>
      <c r="EA19" s="722">
        <f t="shared" si="327"/>
        <v>31.303304904051178</v>
      </c>
      <c r="EB19" s="507">
        <f t="shared" si="297"/>
        <v>62.606609808102355</v>
      </c>
      <c r="EC19" s="507">
        <f t="shared" si="298"/>
        <v>93.909914712153537</v>
      </c>
      <c r="ED19" s="507">
        <f t="shared" si="299"/>
        <v>125.21321961620471</v>
      </c>
      <c r="EE19" s="507">
        <f t="shared" si="300"/>
        <v>156.51652452025587</v>
      </c>
      <c r="EF19" s="507">
        <f t="shared" si="301"/>
        <v>187.81982942430704</v>
      </c>
      <c r="EG19" s="452">
        <f t="shared" si="302"/>
        <v>219.12313432835822</v>
      </c>
      <c r="EH19" s="722">
        <f t="shared" si="328"/>
        <v>0</v>
      </c>
      <c r="EI19" s="511">
        <f t="shared" si="303"/>
        <v>0</v>
      </c>
      <c r="EJ19" s="511">
        <f t="shared" si="304"/>
        <v>0</v>
      </c>
      <c r="EK19" s="511">
        <f t="shared" si="305"/>
        <v>0</v>
      </c>
      <c r="EL19" s="511">
        <f t="shared" si="306"/>
        <v>0</v>
      </c>
      <c r="EM19" s="511">
        <f t="shared" si="307"/>
        <v>0</v>
      </c>
      <c r="EN19" s="723">
        <f t="shared" si="308"/>
        <v>0</v>
      </c>
      <c r="EO19" s="977">
        <f t="shared" si="102"/>
        <v>208.79999999999998</v>
      </c>
      <c r="EP19" s="728">
        <f t="shared" si="103"/>
        <v>0</v>
      </c>
      <c r="EQ19" s="728">
        <f t="shared" si="104"/>
        <v>0</v>
      </c>
      <c r="ER19" s="728">
        <f t="shared" si="105"/>
        <v>175392</v>
      </c>
      <c r="ES19" s="728">
        <f t="shared" si="106"/>
        <v>0</v>
      </c>
      <c r="ET19" s="978">
        <f t="shared" si="107"/>
        <v>0</v>
      </c>
      <c r="EU19" s="978">
        <f t="shared" si="108"/>
        <v>219.12313432835822</v>
      </c>
      <c r="EV19" s="778">
        <f t="shared" si="109"/>
        <v>0</v>
      </c>
      <c r="EW19" s="10"/>
      <c r="EX19" s="10"/>
      <c r="EY19" s="10"/>
      <c r="EZ19" s="10"/>
      <c r="FA19" s="10"/>
      <c r="FB19" s="10"/>
      <c r="FC19" s="10"/>
      <c r="FD19" s="10"/>
      <c r="FE19" s="10"/>
    </row>
    <row r="20" spans="1:161" s="96" customFormat="1" ht="12.5">
      <c r="A20" s="661" t="s">
        <v>177</v>
      </c>
      <c r="B20" s="703" t="str">
        <f t="shared" si="245"/>
        <v>KU-Marketplace - Cooling</v>
      </c>
      <c r="C20" s="715" t="s">
        <v>1654</v>
      </c>
      <c r="D20" s="715" t="s">
        <v>1514</v>
      </c>
      <c r="E20" s="703" t="s">
        <v>1515</v>
      </c>
      <c r="F20" s="1134" t="s">
        <v>402</v>
      </c>
      <c r="G20" s="1183">
        <v>0</v>
      </c>
      <c r="H20" s="704">
        <v>0</v>
      </c>
      <c r="I20" s="706">
        <f t="shared" si="329"/>
        <v>0</v>
      </c>
      <c r="J20" s="704">
        <v>0</v>
      </c>
      <c r="K20" s="704" t="s">
        <v>378</v>
      </c>
      <c r="L20" s="704" t="s">
        <v>378</v>
      </c>
      <c r="M20" s="715">
        <v>0</v>
      </c>
      <c r="N20" s="1138">
        <f t="shared" si="246"/>
        <v>130</v>
      </c>
      <c r="O20" s="707">
        <v>0</v>
      </c>
      <c r="P20" s="707">
        <f t="shared" si="247"/>
        <v>36</v>
      </c>
      <c r="Q20" s="1191">
        <v>0</v>
      </c>
      <c r="R20" s="1185">
        <v>0.47974413646055442</v>
      </c>
      <c r="S20" s="715">
        <v>0</v>
      </c>
      <c r="T20" s="711" t="s">
        <v>1655</v>
      </c>
      <c r="U20" s="1124"/>
      <c r="V20" s="781">
        <v>1</v>
      </c>
      <c r="W20" s="781">
        <f t="shared" si="248"/>
        <v>522.5</v>
      </c>
      <c r="X20" s="781">
        <f t="shared" si="248"/>
        <v>1567.5</v>
      </c>
      <c r="Y20" s="781">
        <f>Y10*0.5</f>
        <v>3507.5</v>
      </c>
      <c r="Z20" s="781">
        <f t="shared" si="248"/>
        <v>7537.5</v>
      </c>
      <c r="AA20" s="781">
        <f t="shared" si="248"/>
        <v>13437.5</v>
      </c>
      <c r="AB20" s="781">
        <f t="shared" si="248"/>
        <v>19337.5</v>
      </c>
      <c r="AC20" s="781">
        <f t="shared" si="248"/>
        <v>25237.5</v>
      </c>
      <c r="AD20" s="711" t="s">
        <v>384</v>
      </c>
      <c r="AE20" s="711" t="s">
        <v>375</v>
      </c>
      <c r="AF20" s="1024" t="s">
        <v>377</v>
      </c>
      <c r="AG20" s="1126" t="s">
        <v>454</v>
      </c>
      <c r="AH20" s="711" t="s">
        <v>1</v>
      </c>
      <c r="AI20" s="711" t="s">
        <v>378</v>
      </c>
      <c r="AJ20" s="711" t="s">
        <v>378</v>
      </c>
      <c r="AK20" s="711" t="s">
        <v>378</v>
      </c>
      <c r="AL20" s="715" t="s">
        <v>406</v>
      </c>
      <c r="AM20" s="715" t="s">
        <v>380</v>
      </c>
      <c r="AN20" s="715" t="s">
        <v>385</v>
      </c>
      <c r="AO20" s="711">
        <v>1</v>
      </c>
      <c r="AP20" s="711">
        <v>1</v>
      </c>
      <c r="AQ20" s="711" t="s">
        <v>1534</v>
      </c>
      <c r="AR20" s="716">
        <v>1</v>
      </c>
      <c r="AS20" s="716">
        <v>1</v>
      </c>
      <c r="AT20" s="717">
        <v>0</v>
      </c>
      <c r="AU20" s="718">
        <f t="shared" si="249"/>
        <v>0</v>
      </c>
      <c r="AV20" s="499">
        <f t="shared" si="330"/>
        <v>0</v>
      </c>
      <c r="AW20" s="499">
        <f t="shared" si="331"/>
        <v>0</v>
      </c>
      <c r="AX20" s="499">
        <f t="shared" si="332"/>
        <v>0</v>
      </c>
      <c r="AY20" s="499">
        <f t="shared" si="333"/>
        <v>0</v>
      </c>
      <c r="AZ20" s="499">
        <f t="shared" si="334"/>
        <v>0</v>
      </c>
      <c r="BA20" s="719">
        <f t="shared" si="335"/>
        <v>0</v>
      </c>
      <c r="BB20" s="774">
        <f t="shared" si="311"/>
        <v>0</v>
      </c>
      <c r="BC20" s="499">
        <f t="shared" si="336"/>
        <v>0</v>
      </c>
      <c r="BD20" s="499">
        <f t="shared" si="337"/>
        <v>0</v>
      </c>
      <c r="BE20" s="499">
        <f t="shared" si="338"/>
        <v>0</v>
      </c>
      <c r="BF20" s="499">
        <f t="shared" si="339"/>
        <v>0</v>
      </c>
      <c r="BG20" s="499">
        <f t="shared" si="340"/>
        <v>0</v>
      </c>
      <c r="BH20" s="719">
        <f t="shared" si="341"/>
        <v>0</v>
      </c>
      <c r="BI20" s="774">
        <f t="shared" si="342"/>
        <v>180</v>
      </c>
      <c r="BJ20" s="503">
        <f t="shared" si="343"/>
        <v>163.33333333333334</v>
      </c>
      <c r="BK20" s="503">
        <f t="shared" si="254"/>
        <v>157.65502494654311</v>
      </c>
      <c r="BL20" s="503">
        <f t="shared" si="255"/>
        <v>156.7330016583748</v>
      </c>
      <c r="BM20" s="503">
        <f t="shared" si="256"/>
        <v>151.95348837209303</v>
      </c>
      <c r="BN20" s="503">
        <f t="shared" si="257"/>
        <v>145.25533290239173</v>
      </c>
      <c r="BO20" s="776">
        <f t="shared" si="258"/>
        <v>141.68895492818226</v>
      </c>
      <c r="BP20" s="774">
        <f t="shared" si="21"/>
        <v>36</v>
      </c>
      <c r="BQ20" s="503">
        <f t="shared" si="21"/>
        <v>36</v>
      </c>
      <c r="BR20" s="503">
        <f t="shared" si="21"/>
        <v>36</v>
      </c>
      <c r="BS20" s="503">
        <f t="shared" si="21"/>
        <v>36</v>
      </c>
      <c r="BT20" s="503">
        <f t="shared" si="21"/>
        <v>36</v>
      </c>
      <c r="BU20" s="503">
        <f t="shared" si="21"/>
        <v>36</v>
      </c>
      <c r="BV20" s="776">
        <f t="shared" si="21"/>
        <v>36</v>
      </c>
      <c r="BW20" s="722">
        <f t="shared" si="259"/>
        <v>0</v>
      </c>
      <c r="BX20" s="511"/>
      <c r="BY20" s="511"/>
      <c r="BZ20" s="511"/>
      <c r="CA20" s="511"/>
      <c r="CB20" s="511"/>
      <c r="CC20" s="723"/>
      <c r="CD20" s="511">
        <f t="shared" si="262"/>
        <v>0.47974413646055442</v>
      </c>
      <c r="CE20" s="511">
        <f t="shared" si="344"/>
        <v>0.47974413646055442</v>
      </c>
      <c r="CF20" s="511">
        <f t="shared" si="345"/>
        <v>0.47974413646055442</v>
      </c>
      <c r="CG20" s="511">
        <f t="shared" si="346"/>
        <v>0.47974413646055442</v>
      </c>
      <c r="CH20" s="511">
        <f t="shared" si="347"/>
        <v>0.47974413646055442</v>
      </c>
      <c r="CI20" s="511">
        <f t="shared" si="348"/>
        <v>0.47974413646055442</v>
      </c>
      <c r="CJ20" s="723">
        <f t="shared" si="349"/>
        <v>0.47974413646055442</v>
      </c>
      <c r="CK20" s="722">
        <f t="shared" si="265"/>
        <v>0</v>
      </c>
      <c r="CL20" s="511">
        <f t="shared" si="350"/>
        <v>0</v>
      </c>
      <c r="CM20" s="511">
        <f t="shared" si="351"/>
        <v>0</v>
      </c>
      <c r="CN20" s="511">
        <f t="shared" si="352"/>
        <v>0</v>
      </c>
      <c r="CO20" s="511">
        <f t="shared" si="353"/>
        <v>0</v>
      </c>
      <c r="CP20" s="511">
        <f t="shared" si="354"/>
        <v>0</v>
      </c>
      <c r="CQ20" s="539">
        <f t="shared" si="355"/>
        <v>0</v>
      </c>
      <c r="CR20" s="724">
        <f t="shared" si="321"/>
        <v>0</v>
      </c>
      <c r="CS20" s="508">
        <f t="shared" si="268"/>
        <v>0</v>
      </c>
      <c r="CT20" s="508">
        <f t="shared" si="269"/>
        <v>0</v>
      </c>
      <c r="CU20" s="508">
        <f t="shared" si="270"/>
        <v>0</v>
      </c>
      <c r="CV20" s="508">
        <f t="shared" si="271"/>
        <v>0</v>
      </c>
      <c r="CW20" s="508">
        <f t="shared" si="272"/>
        <v>0</v>
      </c>
      <c r="CX20" s="726">
        <f t="shared" si="273"/>
        <v>0</v>
      </c>
      <c r="CY20" s="724">
        <f t="shared" si="322"/>
        <v>0</v>
      </c>
      <c r="CZ20" s="508">
        <f t="shared" si="274"/>
        <v>0</v>
      </c>
      <c r="DA20" s="508">
        <f t="shared" si="275"/>
        <v>0</v>
      </c>
      <c r="DB20" s="508">
        <f t="shared" si="276"/>
        <v>0</v>
      </c>
      <c r="DC20" s="508">
        <f t="shared" si="277"/>
        <v>0</v>
      </c>
      <c r="DD20" s="508">
        <f t="shared" si="278"/>
        <v>0</v>
      </c>
      <c r="DE20" s="726">
        <f t="shared" si="279"/>
        <v>0</v>
      </c>
      <c r="DF20" s="724">
        <f t="shared" si="323"/>
        <v>94050</v>
      </c>
      <c r="DG20" s="508">
        <f t="shared" si="280"/>
        <v>256025.00000000003</v>
      </c>
      <c r="DH20" s="508">
        <f t="shared" si="281"/>
        <v>552975</v>
      </c>
      <c r="DI20" s="508">
        <f t="shared" si="282"/>
        <v>1181375</v>
      </c>
      <c r="DJ20" s="508">
        <f t="shared" si="283"/>
        <v>2041875.0000000002</v>
      </c>
      <c r="DK20" s="508">
        <f t="shared" si="284"/>
        <v>2808875</v>
      </c>
      <c r="DL20" s="726">
        <f t="shared" si="324"/>
        <v>3575874.9999999995</v>
      </c>
      <c r="DM20" s="724">
        <f t="shared" si="325"/>
        <v>18810</v>
      </c>
      <c r="DN20" s="508">
        <f t="shared" si="285"/>
        <v>56430</v>
      </c>
      <c r="DO20" s="508">
        <f t="shared" si="286"/>
        <v>126270</v>
      </c>
      <c r="DP20" s="508">
        <f t="shared" si="287"/>
        <v>271350</v>
      </c>
      <c r="DQ20" s="508">
        <f t="shared" si="288"/>
        <v>483750</v>
      </c>
      <c r="DR20" s="508">
        <f t="shared" si="289"/>
        <v>696150</v>
      </c>
      <c r="DS20" s="725">
        <f t="shared" si="290"/>
        <v>908550</v>
      </c>
      <c r="DT20" s="722">
        <f t="shared" si="326"/>
        <v>0</v>
      </c>
      <c r="DU20" s="507">
        <f t="shared" si="291"/>
        <v>0</v>
      </c>
      <c r="DV20" s="507">
        <f t="shared" si="292"/>
        <v>0</v>
      </c>
      <c r="DW20" s="507">
        <f t="shared" si="293"/>
        <v>0</v>
      </c>
      <c r="DX20" s="507">
        <f t="shared" si="294"/>
        <v>0</v>
      </c>
      <c r="DY20" s="507">
        <f t="shared" si="295"/>
        <v>0</v>
      </c>
      <c r="DZ20" s="453">
        <f t="shared" si="296"/>
        <v>0</v>
      </c>
      <c r="EA20" s="722">
        <f t="shared" si="327"/>
        <v>250.66631130063968</v>
      </c>
      <c r="EB20" s="507">
        <f t="shared" si="297"/>
        <v>751.99893390191903</v>
      </c>
      <c r="EC20" s="507">
        <f t="shared" si="298"/>
        <v>1682.7025586353946</v>
      </c>
      <c r="ED20" s="507">
        <f t="shared" si="299"/>
        <v>3616.0714285714289</v>
      </c>
      <c r="EE20" s="507">
        <f t="shared" si="300"/>
        <v>6446.5618336887001</v>
      </c>
      <c r="EF20" s="507">
        <f t="shared" si="301"/>
        <v>9277.0522388059708</v>
      </c>
      <c r="EG20" s="452">
        <f t="shared" si="302"/>
        <v>12107.542643923241</v>
      </c>
      <c r="EH20" s="722">
        <f t="shared" si="328"/>
        <v>0</v>
      </c>
      <c r="EI20" s="511">
        <f t="shared" si="303"/>
        <v>0</v>
      </c>
      <c r="EJ20" s="511">
        <f t="shared" si="304"/>
        <v>0</v>
      </c>
      <c r="EK20" s="511">
        <f t="shared" si="305"/>
        <v>0</v>
      </c>
      <c r="EL20" s="511">
        <f t="shared" si="306"/>
        <v>0</v>
      </c>
      <c r="EM20" s="511">
        <f t="shared" si="307"/>
        <v>0</v>
      </c>
      <c r="EN20" s="723">
        <f t="shared" si="308"/>
        <v>0</v>
      </c>
      <c r="EO20" s="977">
        <f t="shared" si="102"/>
        <v>10163.928571428571</v>
      </c>
      <c r="EP20" s="728">
        <f t="shared" si="103"/>
        <v>0</v>
      </c>
      <c r="EQ20" s="728">
        <f t="shared" si="104"/>
        <v>0</v>
      </c>
      <c r="ER20" s="728">
        <f t="shared" si="105"/>
        <v>10511050</v>
      </c>
      <c r="ES20" s="728">
        <f t="shared" si="106"/>
        <v>2561310</v>
      </c>
      <c r="ET20" s="978">
        <f t="shared" si="107"/>
        <v>0</v>
      </c>
      <c r="EU20" s="978">
        <f t="shared" si="108"/>
        <v>12107.542643923241</v>
      </c>
      <c r="EV20" s="778">
        <f t="shared" si="109"/>
        <v>0</v>
      </c>
      <c r="EW20" s="10"/>
      <c r="EX20" s="10"/>
      <c r="EY20" s="10"/>
      <c r="EZ20" s="10"/>
      <c r="FA20" s="10"/>
      <c r="FB20" s="10"/>
      <c r="FC20" s="10"/>
      <c r="FD20" s="10"/>
      <c r="FE20" s="10"/>
    </row>
    <row r="21" spans="1:161" s="96" customFormat="1" ht="12.5">
      <c r="A21" s="661" t="s">
        <v>178</v>
      </c>
      <c r="B21" s="703" t="str">
        <f t="shared" si="245"/>
        <v>KU-Marketplace - Heating</v>
      </c>
      <c r="C21" s="715" t="s">
        <v>1654</v>
      </c>
      <c r="D21" s="715" t="s">
        <v>1514</v>
      </c>
      <c r="E21" s="703" t="s">
        <v>1515</v>
      </c>
      <c r="F21" s="1134" t="s">
        <v>402</v>
      </c>
      <c r="G21" s="1183">
        <v>0</v>
      </c>
      <c r="H21" s="704">
        <v>0</v>
      </c>
      <c r="I21" s="706">
        <f t="shared" si="329"/>
        <v>0</v>
      </c>
      <c r="J21" s="704">
        <v>0</v>
      </c>
      <c r="K21" s="704" t="s">
        <v>378</v>
      </c>
      <c r="L21" s="704" t="s">
        <v>378</v>
      </c>
      <c r="M21" s="715">
        <v>0</v>
      </c>
      <c r="N21" s="1138">
        <f t="shared" si="246"/>
        <v>120</v>
      </c>
      <c r="O21" s="707">
        <v>0</v>
      </c>
      <c r="P21" s="707">
        <f t="shared" si="247"/>
        <v>0</v>
      </c>
      <c r="Q21" s="1191">
        <v>0</v>
      </c>
      <c r="R21" s="1185">
        <v>0.59968017057569301</v>
      </c>
      <c r="S21" s="715">
        <v>0</v>
      </c>
      <c r="T21" s="711" t="s">
        <v>1655</v>
      </c>
      <c r="U21" s="1124"/>
      <c r="V21" s="781">
        <v>1</v>
      </c>
      <c r="W21" s="781">
        <f t="shared" si="248"/>
        <v>104.5</v>
      </c>
      <c r="X21" s="781">
        <f t="shared" si="248"/>
        <v>313.5</v>
      </c>
      <c r="Y21" s="781">
        <f t="shared" si="248"/>
        <v>731.5</v>
      </c>
      <c r="Z21" s="781">
        <f t="shared" si="248"/>
        <v>1567.5</v>
      </c>
      <c r="AA21" s="781">
        <f t="shared" si="248"/>
        <v>2767.5</v>
      </c>
      <c r="AB21" s="781">
        <f t="shared" si="248"/>
        <v>3967.5</v>
      </c>
      <c r="AC21" s="781">
        <f t="shared" si="248"/>
        <v>5167.5</v>
      </c>
      <c r="AD21" s="711" t="s">
        <v>384</v>
      </c>
      <c r="AE21" s="711" t="s">
        <v>375</v>
      </c>
      <c r="AF21" s="1024" t="s">
        <v>377</v>
      </c>
      <c r="AG21" s="711" t="s">
        <v>1657</v>
      </c>
      <c r="AH21" s="711" t="s">
        <v>1</v>
      </c>
      <c r="AI21" s="711" t="s">
        <v>378</v>
      </c>
      <c r="AJ21" s="711" t="s">
        <v>378</v>
      </c>
      <c r="AK21" s="711" t="s">
        <v>378</v>
      </c>
      <c r="AL21" s="715" t="s">
        <v>943</v>
      </c>
      <c r="AM21" s="715" t="s">
        <v>380</v>
      </c>
      <c r="AN21" s="715" t="s">
        <v>385</v>
      </c>
      <c r="AO21" s="711">
        <v>1</v>
      </c>
      <c r="AP21" s="711">
        <v>1</v>
      </c>
      <c r="AQ21" s="711" t="s">
        <v>1534</v>
      </c>
      <c r="AR21" s="716">
        <v>1</v>
      </c>
      <c r="AS21" s="716">
        <v>1</v>
      </c>
      <c r="AT21" s="717">
        <v>0</v>
      </c>
      <c r="AU21" s="718">
        <f t="shared" si="249"/>
        <v>0</v>
      </c>
      <c r="AV21" s="499">
        <f t="shared" si="330"/>
        <v>0</v>
      </c>
      <c r="AW21" s="499">
        <f t="shared" si="331"/>
        <v>0</v>
      </c>
      <c r="AX21" s="499">
        <f t="shared" si="332"/>
        <v>0</v>
      </c>
      <c r="AY21" s="499">
        <f t="shared" si="333"/>
        <v>0</v>
      </c>
      <c r="AZ21" s="499">
        <f t="shared" si="334"/>
        <v>0</v>
      </c>
      <c r="BA21" s="719">
        <f t="shared" si="335"/>
        <v>0</v>
      </c>
      <c r="BB21" s="774">
        <f t="shared" si="311"/>
        <v>0</v>
      </c>
      <c r="BC21" s="499">
        <f t="shared" si="336"/>
        <v>0</v>
      </c>
      <c r="BD21" s="499">
        <f t="shared" si="337"/>
        <v>0</v>
      </c>
      <c r="BE21" s="499">
        <f t="shared" si="338"/>
        <v>0</v>
      </c>
      <c r="BF21" s="499">
        <f t="shared" si="339"/>
        <v>0</v>
      </c>
      <c r="BG21" s="499">
        <f t="shared" si="340"/>
        <v>0</v>
      </c>
      <c r="BH21" s="719">
        <f t="shared" si="341"/>
        <v>0</v>
      </c>
      <c r="BI21" s="774">
        <f>N21+O21</f>
        <v>120</v>
      </c>
      <c r="BJ21" s="503">
        <f>BI21</f>
        <v>120</v>
      </c>
      <c r="BK21" s="503">
        <f t="shared" ref="BK21:BO21" si="357">BJ21</f>
        <v>120</v>
      </c>
      <c r="BL21" s="503">
        <f t="shared" si="357"/>
        <v>120</v>
      </c>
      <c r="BM21" s="503">
        <f t="shared" si="357"/>
        <v>120</v>
      </c>
      <c r="BN21" s="503">
        <f t="shared" si="357"/>
        <v>120</v>
      </c>
      <c r="BO21" s="503">
        <f t="shared" si="357"/>
        <v>120</v>
      </c>
      <c r="BP21" s="774">
        <f t="shared" si="21"/>
        <v>0</v>
      </c>
      <c r="BQ21" s="503">
        <f t="shared" si="21"/>
        <v>0</v>
      </c>
      <c r="BR21" s="503">
        <f t="shared" si="21"/>
        <v>0</v>
      </c>
      <c r="BS21" s="503">
        <f t="shared" si="21"/>
        <v>0</v>
      </c>
      <c r="BT21" s="503">
        <f t="shared" si="21"/>
        <v>0</v>
      </c>
      <c r="BU21" s="503">
        <f t="shared" si="21"/>
        <v>0</v>
      </c>
      <c r="BV21" s="776">
        <f t="shared" si="21"/>
        <v>0</v>
      </c>
      <c r="BW21" s="722">
        <f t="shared" si="259"/>
        <v>0</v>
      </c>
      <c r="BX21" s="511"/>
      <c r="BY21" s="511"/>
      <c r="BZ21" s="511"/>
      <c r="CA21" s="511"/>
      <c r="CB21" s="511"/>
      <c r="CC21" s="723"/>
      <c r="CD21" s="511">
        <f t="shared" si="262"/>
        <v>0.59968017057569301</v>
      </c>
      <c r="CE21" s="511">
        <f t="shared" si="344"/>
        <v>0.59968017057569301</v>
      </c>
      <c r="CF21" s="511">
        <f t="shared" si="345"/>
        <v>0.59968017057569301</v>
      </c>
      <c r="CG21" s="511">
        <f t="shared" si="346"/>
        <v>0.59968017057569301</v>
      </c>
      <c r="CH21" s="511">
        <f t="shared" si="347"/>
        <v>0.59968017057569301</v>
      </c>
      <c r="CI21" s="511">
        <f t="shared" si="348"/>
        <v>0.59968017057569301</v>
      </c>
      <c r="CJ21" s="723">
        <f t="shared" si="349"/>
        <v>0.59968017057569301</v>
      </c>
      <c r="CK21" s="722">
        <f t="shared" si="265"/>
        <v>0</v>
      </c>
      <c r="CL21" s="511">
        <f t="shared" si="350"/>
        <v>0</v>
      </c>
      <c r="CM21" s="511">
        <f t="shared" si="351"/>
        <v>0</v>
      </c>
      <c r="CN21" s="511">
        <f t="shared" si="352"/>
        <v>0</v>
      </c>
      <c r="CO21" s="511">
        <f t="shared" si="353"/>
        <v>0</v>
      </c>
      <c r="CP21" s="511">
        <f t="shared" si="354"/>
        <v>0</v>
      </c>
      <c r="CQ21" s="539">
        <f t="shared" si="355"/>
        <v>0</v>
      </c>
      <c r="CR21" s="724">
        <f t="shared" si="321"/>
        <v>0</v>
      </c>
      <c r="CS21" s="508">
        <f t="shared" si="268"/>
        <v>0</v>
      </c>
      <c r="CT21" s="508">
        <f t="shared" si="269"/>
        <v>0</v>
      </c>
      <c r="CU21" s="508">
        <f t="shared" si="270"/>
        <v>0</v>
      </c>
      <c r="CV21" s="508">
        <f t="shared" si="271"/>
        <v>0</v>
      </c>
      <c r="CW21" s="508">
        <f t="shared" si="272"/>
        <v>0</v>
      </c>
      <c r="CX21" s="726">
        <f t="shared" si="273"/>
        <v>0</v>
      </c>
      <c r="CY21" s="724">
        <f t="shared" si="322"/>
        <v>0</v>
      </c>
      <c r="CZ21" s="508">
        <f t="shared" si="274"/>
        <v>0</v>
      </c>
      <c r="DA21" s="508">
        <f t="shared" si="275"/>
        <v>0</v>
      </c>
      <c r="DB21" s="508">
        <f t="shared" si="276"/>
        <v>0</v>
      </c>
      <c r="DC21" s="508">
        <f t="shared" si="277"/>
        <v>0</v>
      </c>
      <c r="DD21" s="508">
        <f t="shared" si="278"/>
        <v>0</v>
      </c>
      <c r="DE21" s="726">
        <f t="shared" si="279"/>
        <v>0</v>
      </c>
      <c r="DF21" s="724">
        <f t="shared" si="323"/>
        <v>12540</v>
      </c>
      <c r="DG21" s="508">
        <f t="shared" si="280"/>
        <v>37620</v>
      </c>
      <c r="DH21" s="508">
        <f t="shared" si="281"/>
        <v>87780</v>
      </c>
      <c r="DI21" s="508">
        <f t="shared" si="282"/>
        <v>188100</v>
      </c>
      <c r="DJ21" s="508">
        <f t="shared" si="283"/>
        <v>332100</v>
      </c>
      <c r="DK21" s="508">
        <f t="shared" si="284"/>
        <v>476100</v>
      </c>
      <c r="DL21" s="726">
        <f t="shared" si="324"/>
        <v>620100</v>
      </c>
      <c r="DM21" s="724">
        <f t="shared" si="325"/>
        <v>0</v>
      </c>
      <c r="DN21" s="508">
        <f t="shared" si="285"/>
        <v>0</v>
      </c>
      <c r="DO21" s="508">
        <f t="shared" si="286"/>
        <v>0</v>
      </c>
      <c r="DP21" s="508">
        <f t="shared" si="287"/>
        <v>0</v>
      </c>
      <c r="DQ21" s="508">
        <f t="shared" si="288"/>
        <v>0</v>
      </c>
      <c r="DR21" s="508">
        <f t="shared" si="289"/>
        <v>0</v>
      </c>
      <c r="DS21" s="725">
        <f t="shared" si="290"/>
        <v>0</v>
      </c>
      <c r="DT21" s="722">
        <f t="shared" si="326"/>
        <v>0</v>
      </c>
      <c r="DU21" s="507">
        <f t="shared" si="291"/>
        <v>0</v>
      </c>
      <c r="DV21" s="507">
        <f t="shared" si="292"/>
        <v>0</v>
      </c>
      <c r="DW21" s="507">
        <f t="shared" si="293"/>
        <v>0</v>
      </c>
      <c r="DX21" s="507">
        <f t="shared" si="294"/>
        <v>0</v>
      </c>
      <c r="DY21" s="507">
        <f t="shared" si="295"/>
        <v>0</v>
      </c>
      <c r="DZ21" s="453">
        <f t="shared" si="296"/>
        <v>0</v>
      </c>
      <c r="EA21" s="722">
        <f t="shared" si="327"/>
        <v>62.666577825159919</v>
      </c>
      <c r="EB21" s="507">
        <f t="shared" si="297"/>
        <v>187.99973347547976</v>
      </c>
      <c r="EC21" s="507">
        <f t="shared" si="298"/>
        <v>438.66604477611941</v>
      </c>
      <c r="ED21" s="507">
        <f t="shared" si="299"/>
        <v>939.99866737739876</v>
      </c>
      <c r="EE21" s="507">
        <f t="shared" si="300"/>
        <v>1659.6148720682304</v>
      </c>
      <c r="EF21" s="507">
        <f t="shared" si="301"/>
        <v>2379.231076759062</v>
      </c>
      <c r="EG21" s="452">
        <f t="shared" si="302"/>
        <v>3098.8472814498937</v>
      </c>
      <c r="EH21" s="722">
        <f t="shared" si="328"/>
        <v>0</v>
      </c>
      <c r="EI21" s="511">
        <f t="shared" si="303"/>
        <v>0</v>
      </c>
      <c r="EJ21" s="511">
        <f t="shared" si="304"/>
        <v>0</v>
      </c>
      <c r="EK21" s="511">
        <f t="shared" si="305"/>
        <v>0</v>
      </c>
      <c r="EL21" s="511">
        <f t="shared" si="306"/>
        <v>0</v>
      </c>
      <c r="EM21" s="511">
        <f t="shared" si="307"/>
        <v>0</v>
      </c>
      <c r="EN21" s="723">
        <f t="shared" si="308"/>
        <v>0</v>
      </c>
      <c r="EO21" s="977">
        <f t="shared" si="102"/>
        <v>2088.5</v>
      </c>
      <c r="EP21" s="728">
        <f t="shared" si="103"/>
        <v>0</v>
      </c>
      <c r="EQ21" s="728">
        <f t="shared" si="104"/>
        <v>0</v>
      </c>
      <c r="ER21" s="728">
        <f t="shared" si="105"/>
        <v>1754340</v>
      </c>
      <c r="ES21" s="728">
        <f t="shared" si="106"/>
        <v>0</v>
      </c>
      <c r="ET21" s="978">
        <f t="shared" si="107"/>
        <v>0</v>
      </c>
      <c r="EU21" s="978">
        <f t="shared" si="108"/>
        <v>3098.8472814498937</v>
      </c>
      <c r="EV21" s="778">
        <f t="shared" si="109"/>
        <v>0</v>
      </c>
      <c r="EW21" s="10"/>
      <c r="EX21" s="10"/>
      <c r="EY21" s="10"/>
      <c r="EZ21" s="10"/>
      <c r="FA21" s="10"/>
      <c r="FB21" s="10"/>
      <c r="FC21" s="10"/>
      <c r="FD21" s="10"/>
      <c r="FE21" s="10"/>
    </row>
    <row r="22" spans="1:161" s="96" customFormat="1" ht="12.5">
      <c r="A22" s="661" t="s">
        <v>183</v>
      </c>
      <c r="B22" s="703" t="str">
        <f t="shared" si="245"/>
        <v>KU-Small NonRes - Cooling</v>
      </c>
      <c r="C22" s="715" t="s">
        <v>1665</v>
      </c>
      <c r="D22" s="715" t="s">
        <v>1514</v>
      </c>
      <c r="E22" s="703" t="s">
        <v>1515</v>
      </c>
      <c r="F22" s="1134" t="s">
        <v>402</v>
      </c>
      <c r="G22" s="1183">
        <v>0</v>
      </c>
      <c r="H22" s="704">
        <v>0</v>
      </c>
      <c r="I22" s="706">
        <f t="shared" ref="I22" si="358">G22+H22</f>
        <v>0</v>
      </c>
      <c r="J22" s="704">
        <v>0</v>
      </c>
      <c r="K22" s="704" t="s">
        <v>378</v>
      </c>
      <c r="L22" s="704" t="s">
        <v>378</v>
      </c>
      <c r="M22" s="715">
        <v>0</v>
      </c>
      <c r="N22" s="1138">
        <f t="shared" si="246"/>
        <v>250</v>
      </c>
      <c r="O22" s="707">
        <v>0</v>
      </c>
      <c r="P22" s="707">
        <f t="shared" si="247"/>
        <v>36</v>
      </c>
      <c r="Q22" s="1191">
        <v>0</v>
      </c>
      <c r="R22" s="1123">
        <v>1.59</v>
      </c>
      <c r="S22" s="715">
        <v>0</v>
      </c>
      <c r="T22" s="711" t="s">
        <v>1655</v>
      </c>
      <c r="U22" s="1124"/>
      <c r="V22" s="781">
        <v>1</v>
      </c>
      <c r="W22" s="781">
        <f t="shared" si="248"/>
        <v>0</v>
      </c>
      <c r="X22" s="781">
        <f t="shared" si="248"/>
        <v>0</v>
      </c>
      <c r="Y22" s="781">
        <f>Y12*0.5</f>
        <v>150</v>
      </c>
      <c r="Z22" s="781">
        <f t="shared" si="248"/>
        <v>300</v>
      </c>
      <c r="AA22" s="781">
        <f t="shared" si="248"/>
        <v>400</v>
      </c>
      <c r="AB22" s="781">
        <f t="shared" si="248"/>
        <v>500</v>
      </c>
      <c r="AC22" s="781">
        <f t="shared" si="248"/>
        <v>600</v>
      </c>
      <c r="AD22" s="711" t="s">
        <v>384</v>
      </c>
      <c r="AE22" s="1126" t="s">
        <v>742</v>
      </c>
      <c r="AF22" s="1126" t="s">
        <v>1146</v>
      </c>
      <c r="AG22" s="1126" t="s">
        <v>1533</v>
      </c>
      <c r="AH22" s="711" t="s">
        <v>1</v>
      </c>
      <c r="AI22" s="711" t="s">
        <v>378</v>
      </c>
      <c r="AJ22" s="711" t="s">
        <v>378</v>
      </c>
      <c r="AK22" s="711" t="s">
        <v>378</v>
      </c>
      <c r="AL22" s="715" t="s">
        <v>1187</v>
      </c>
      <c r="AM22" s="715" t="s">
        <v>380</v>
      </c>
      <c r="AN22" s="715" t="s">
        <v>771</v>
      </c>
      <c r="AO22" s="711">
        <v>1</v>
      </c>
      <c r="AP22" s="711">
        <v>1</v>
      </c>
      <c r="AQ22" s="711" t="s">
        <v>1534</v>
      </c>
      <c r="AR22" s="716">
        <v>1</v>
      </c>
      <c r="AS22" s="716">
        <v>1</v>
      </c>
      <c r="AT22" s="717">
        <v>0</v>
      </c>
      <c r="AU22" s="718">
        <f t="shared" ref="AU22" si="359">I22</f>
        <v>0</v>
      </c>
      <c r="AV22" s="499">
        <f t="shared" ref="AV22" si="360">AU22</f>
        <v>0</v>
      </c>
      <c r="AW22" s="499">
        <f t="shared" ref="AW22" si="361">AV22</f>
        <v>0</v>
      </c>
      <c r="AX22" s="499">
        <f t="shared" ref="AX22" si="362">AU22</f>
        <v>0</v>
      </c>
      <c r="AY22" s="499">
        <f t="shared" ref="AY22" si="363">AV22</f>
        <v>0</v>
      </c>
      <c r="AZ22" s="499">
        <f t="shared" ref="AZ22" si="364">AW22</f>
        <v>0</v>
      </c>
      <c r="BA22" s="719">
        <f t="shared" ref="BA22" si="365">AX22</f>
        <v>0</v>
      </c>
      <c r="BB22" s="774">
        <f t="shared" ref="BB22" si="366">J22</f>
        <v>0</v>
      </c>
      <c r="BC22" s="499">
        <f t="shared" ref="BC22" si="367">BB22</f>
        <v>0</v>
      </c>
      <c r="BD22" s="499">
        <f t="shared" ref="BD22" si="368">BC22</f>
        <v>0</v>
      </c>
      <c r="BE22" s="499">
        <f t="shared" ref="BE22" si="369">BD22</f>
        <v>0</v>
      </c>
      <c r="BF22" s="499">
        <f t="shared" ref="BF22" si="370">BE22</f>
        <v>0</v>
      </c>
      <c r="BG22" s="499">
        <f t="shared" ref="BG22" si="371">BF22</f>
        <v>0</v>
      </c>
      <c r="BH22" s="719">
        <f t="shared" ref="BH22" si="372">BG22</f>
        <v>0</v>
      </c>
      <c r="BI22" s="774">
        <f t="shared" ref="BI22" si="373">IFERROR(N22+O22+W22*50/W22,0)</f>
        <v>0</v>
      </c>
      <c r="BJ22" s="503">
        <f t="shared" ref="BJ22" si="374">IFERROR($N22+$O22+(X22-W22)*50/X22,0)</f>
        <v>0</v>
      </c>
      <c r="BK22" s="503">
        <f t="shared" ref="BK22" si="375">IFERROR($N22+$O22+(Y22-X22)*50/Y22,0)</f>
        <v>300</v>
      </c>
      <c r="BL22" s="503">
        <f t="shared" ref="BL22" si="376">IFERROR($N22+$O22+(Z22-Y22)*50/Z22,0)</f>
        <v>275</v>
      </c>
      <c r="BM22" s="503">
        <f t="shared" ref="BM22" si="377">IFERROR($N22+$O22+(AA22-Z22)*50/AA22,0)</f>
        <v>262.5</v>
      </c>
      <c r="BN22" s="503">
        <f t="shared" ref="BN22" si="378">IFERROR($N22+$O22+(AB22-AA22)*50/AB22,0)</f>
        <v>260</v>
      </c>
      <c r="BO22" s="776">
        <f t="shared" ref="BO22" si="379">IFERROR($N22+$O22+(AC22-AB22)*50/AC22,0)</f>
        <v>258.33333333333331</v>
      </c>
      <c r="BP22" s="774">
        <f t="shared" si="21"/>
        <v>36</v>
      </c>
      <c r="BQ22" s="503">
        <f t="shared" si="21"/>
        <v>36</v>
      </c>
      <c r="BR22" s="503">
        <f t="shared" si="21"/>
        <v>36</v>
      </c>
      <c r="BS22" s="503">
        <f t="shared" si="21"/>
        <v>36</v>
      </c>
      <c r="BT22" s="503">
        <f t="shared" si="21"/>
        <v>36</v>
      </c>
      <c r="BU22" s="503">
        <f t="shared" si="21"/>
        <v>36</v>
      </c>
      <c r="BV22" s="776">
        <f t="shared" si="21"/>
        <v>36</v>
      </c>
      <c r="BW22" s="722">
        <f t="shared" ref="BW22" si="380">Q22*AS22</f>
        <v>0</v>
      </c>
      <c r="BX22" s="511"/>
      <c r="BY22" s="511"/>
      <c r="BZ22" s="511"/>
      <c r="CA22" s="511"/>
      <c r="CB22" s="511"/>
      <c r="CC22" s="723"/>
      <c r="CD22" s="511">
        <f t="shared" ref="CD22" si="381">R22*AS22</f>
        <v>1.59</v>
      </c>
      <c r="CE22" s="511">
        <f t="shared" ref="CE22" si="382">CD22</f>
        <v>1.59</v>
      </c>
      <c r="CF22" s="511">
        <f t="shared" ref="CF22" si="383">CE22</f>
        <v>1.59</v>
      </c>
      <c r="CG22" s="511">
        <f t="shared" ref="CG22" si="384">CF22</f>
        <v>1.59</v>
      </c>
      <c r="CH22" s="511">
        <f t="shared" ref="CH22" si="385">CG22</f>
        <v>1.59</v>
      </c>
      <c r="CI22" s="511">
        <f t="shared" ref="CI22" si="386">CH22</f>
        <v>1.59</v>
      </c>
      <c r="CJ22" s="723">
        <f t="shared" ref="CJ22" si="387">CI22</f>
        <v>1.59</v>
      </c>
      <c r="CK22" s="722">
        <f t="shared" ref="CK22" si="388">S22*AT22</f>
        <v>0</v>
      </c>
      <c r="CL22" s="511">
        <f t="shared" ref="CL22" si="389">CK22</f>
        <v>0</v>
      </c>
      <c r="CM22" s="511">
        <f t="shared" ref="CM22" si="390">CL22</f>
        <v>0</v>
      </c>
      <c r="CN22" s="511">
        <f t="shared" ref="CN22" si="391">CM22</f>
        <v>0</v>
      </c>
      <c r="CO22" s="511">
        <f t="shared" ref="CO22" si="392">CN22</f>
        <v>0</v>
      </c>
      <c r="CP22" s="511">
        <f t="shared" ref="CP22" si="393">CO22</f>
        <v>0</v>
      </c>
      <c r="CQ22" s="539">
        <f t="shared" ref="CQ22" si="394">CP22</f>
        <v>0</v>
      </c>
      <c r="CR22" s="724">
        <f t="shared" ref="CR22" si="395">W22*AU22</f>
        <v>0</v>
      </c>
      <c r="CS22" s="508">
        <f t="shared" ref="CS22" si="396">X22*AV22</f>
        <v>0</v>
      </c>
      <c r="CT22" s="508">
        <f t="shared" ref="CT22" si="397">Y22*AW22</f>
        <v>0</v>
      </c>
      <c r="CU22" s="508">
        <f t="shared" ref="CU22" si="398">Z22*AX22</f>
        <v>0</v>
      </c>
      <c r="CV22" s="508">
        <f t="shared" ref="CV22" si="399">AA22*AY22</f>
        <v>0</v>
      </c>
      <c r="CW22" s="508">
        <f t="shared" ref="CW22" si="400">AB22*AZ22</f>
        <v>0</v>
      </c>
      <c r="CX22" s="726">
        <f t="shared" ref="CX22" si="401">AC22*BA22</f>
        <v>0</v>
      </c>
      <c r="CY22" s="724">
        <f t="shared" ref="CY22" si="402">W22*BB22</f>
        <v>0</v>
      </c>
      <c r="CZ22" s="508">
        <f t="shared" ref="CZ22" si="403">X22*BC22</f>
        <v>0</v>
      </c>
      <c r="DA22" s="508">
        <f t="shared" ref="DA22" si="404">Y22*BD22</f>
        <v>0</v>
      </c>
      <c r="DB22" s="508">
        <f t="shared" ref="DB22" si="405">Z22*BE22</f>
        <v>0</v>
      </c>
      <c r="DC22" s="508">
        <f t="shared" ref="DC22" si="406">AA22*BF22</f>
        <v>0</v>
      </c>
      <c r="DD22" s="508">
        <f t="shared" ref="DD22" si="407">AB22*BG22</f>
        <v>0</v>
      </c>
      <c r="DE22" s="726">
        <f t="shared" ref="DE22" si="408">AC22*BH22</f>
        <v>0</v>
      </c>
      <c r="DF22" s="724">
        <f t="shared" ref="DF22" si="409">W22*BI22</f>
        <v>0</v>
      </c>
      <c r="DG22" s="508">
        <f t="shared" ref="DG22" si="410">X22*BJ22</f>
        <v>0</v>
      </c>
      <c r="DH22" s="508">
        <f t="shared" ref="DH22" si="411">Y22*BK22</f>
        <v>45000</v>
      </c>
      <c r="DI22" s="508">
        <f t="shared" ref="DI22" si="412">Z22*BL22</f>
        <v>82500</v>
      </c>
      <c r="DJ22" s="508">
        <f t="shared" ref="DJ22" si="413">AA22*BM22</f>
        <v>105000</v>
      </c>
      <c r="DK22" s="508">
        <f t="shared" ref="DK22" si="414">AB22*BN22</f>
        <v>130000</v>
      </c>
      <c r="DL22" s="726">
        <f t="shared" ref="DL22" si="415">AC22*BO22</f>
        <v>155000</v>
      </c>
      <c r="DM22" s="724">
        <f t="shared" ref="DM22" si="416">BP22*W22</f>
        <v>0</v>
      </c>
      <c r="DN22" s="508">
        <f t="shared" ref="DN22" si="417">BQ22*X22</f>
        <v>0</v>
      </c>
      <c r="DO22" s="508">
        <f t="shared" ref="DO22" si="418">BR22*Y22</f>
        <v>5400</v>
      </c>
      <c r="DP22" s="508">
        <f t="shared" ref="DP22" si="419">BS22*Z22</f>
        <v>10800</v>
      </c>
      <c r="DQ22" s="508">
        <f t="shared" ref="DQ22" si="420">BT22*AA22</f>
        <v>14400</v>
      </c>
      <c r="DR22" s="508">
        <f t="shared" ref="DR22" si="421">BU22*AB22</f>
        <v>18000</v>
      </c>
      <c r="DS22" s="725">
        <f t="shared" ref="DS22" si="422">BV22*AC22</f>
        <v>21600</v>
      </c>
      <c r="DT22" s="722">
        <f t="shared" ref="DT22" si="423">W22*BW22</f>
        <v>0</v>
      </c>
      <c r="DU22" s="507">
        <f t="shared" ref="DU22" si="424">X22*BX22</f>
        <v>0</v>
      </c>
      <c r="DV22" s="507">
        <f t="shared" ref="DV22" si="425">Y22*BY22</f>
        <v>0</v>
      </c>
      <c r="DW22" s="507">
        <f t="shared" ref="DW22" si="426">Z22*BZ22</f>
        <v>0</v>
      </c>
      <c r="DX22" s="507">
        <f t="shared" ref="DX22" si="427">AA22*CA22</f>
        <v>0</v>
      </c>
      <c r="DY22" s="507">
        <f t="shared" ref="DY22" si="428">AB22*CB22</f>
        <v>0</v>
      </c>
      <c r="DZ22" s="453">
        <f t="shared" ref="DZ22" si="429">AC22*CC22</f>
        <v>0</v>
      </c>
      <c r="EA22" s="722">
        <f t="shared" ref="EA22" si="430">W22*CD22</f>
        <v>0</v>
      </c>
      <c r="EB22" s="507">
        <f t="shared" ref="EB22" si="431">X22*CE22</f>
        <v>0</v>
      </c>
      <c r="EC22" s="507">
        <f t="shared" ref="EC22" si="432">Y22*CF22</f>
        <v>238.5</v>
      </c>
      <c r="ED22" s="507">
        <f t="shared" ref="ED22" si="433">Z22*CG22</f>
        <v>477</v>
      </c>
      <c r="EE22" s="507">
        <f t="shared" ref="EE22" si="434">AA22*CH22</f>
        <v>636</v>
      </c>
      <c r="EF22" s="507">
        <f t="shared" ref="EF22" si="435">AB22*CI22</f>
        <v>795</v>
      </c>
      <c r="EG22" s="452">
        <f>AC22*CJ22</f>
        <v>954</v>
      </c>
      <c r="EH22" s="722">
        <f t="shared" ref="EH22" si="436">W22*CK22</f>
        <v>0</v>
      </c>
      <c r="EI22" s="511">
        <f t="shared" ref="EI22" si="437">X22*CL22</f>
        <v>0</v>
      </c>
      <c r="EJ22" s="511">
        <f t="shared" ref="EJ22" si="438">Y22*CM22</f>
        <v>0</v>
      </c>
      <c r="EK22" s="511">
        <f t="shared" ref="EK22" si="439">Z22*CN22</f>
        <v>0</v>
      </c>
      <c r="EL22" s="511">
        <f t="shared" ref="EL22" si="440">AA22*CO22</f>
        <v>0</v>
      </c>
      <c r="EM22" s="511">
        <f t="shared" ref="EM22" si="441">AB22*CP22</f>
        <v>0</v>
      </c>
      <c r="EN22" s="723">
        <f t="shared" ref="EN22" si="442">AC22*CQ22</f>
        <v>0</v>
      </c>
      <c r="EO22" s="977">
        <f t="shared" ref="EO22" si="443">AVERAGE(W22:AC22)</f>
        <v>278.57142857142856</v>
      </c>
      <c r="EP22" s="728">
        <f t="shared" ref="EP22" si="444">SUM(CR22:CX22)</f>
        <v>0</v>
      </c>
      <c r="EQ22" s="728">
        <f t="shared" ref="EQ22" si="445">SUM(CY22:DE22)</f>
        <v>0</v>
      </c>
      <c r="ER22" s="728">
        <f t="shared" ref="ER22" si="446">SUM(DF22:DL22)</f>
        <v>517500</v>
      </c>
      <c r="ES22" s="728">
        <f t="shared" ref="ES22" si="447">SUM(DM22:DS22)</f>
        <v>70200</v>
      </c>
      <c r="ET22" s="978">
        <f t="shared" ref="ET22" si="448">SUM(DT22:DZ22)</f>
        <v>0</v>
      </c>
      <c r="EU22" s="978">
        <f t="shared" ref="EU22" si="449">MAX(EA22:EG22)</f>
        <v>954</v>
      </c>
      <c r="EV22" s="778">
        <f t="shared" ref="EV22" si="450">SUM(EH22:EN22)</f>
        <v>0</v>
      </c>
      <c r="EW22" s="10"/>
      <c r="EX22" s="10"/>
      <c r="EY22" s="10"/>
      <c r="EZ22" s="10"/>
      <c r="FA22" s="10"/>
      <c r="FB22" s="10"/>
      <c r="FC22" s="10"/>
      <c r="FD22" s="10"/>
      <c r="FE22" s="10"/>
    </row>
    <row r="23" spans="1:161" s="96" customFormat="1" ht="12.5">
      <c r="A23" s="661" t="s">
        <v>184</v>
      </c>
      <c r="B23" s="703" t="str">
        <f t="shared" si="245"/>
        <v>KU-Residential - BYOD - Room A/C - Summer</v>
      </c>
      <c r="C23" s="715" t="s">
        <v>1667</v>
      </c>
      <c r="D23" s="715" t="s">
        <v>1514</v>
      </c>
      <c r="E23" s="703" t="s">
        <v>1515</v>
      </c>
      <c r="F23" s="1134" t="s">
        <v>402</v>
      </c>
      <c r="G23" s="1183">
        <v>0</v>
      </c>
      <c r="H23" s="704">
        <v>0</v>
      </c>
      <c r="I23" s="706">
        <f t="shared" ref="I23:I24" si="451">G23+H23</f>
        <v>0</v>
      </c>
      <c r="J23" s="704">
        <v>0</v>
      </c>
      <c r="K23" s="704" t="s">
        <v>378</v>
      </c>
      <c r="L23" s="704" t="s">
        <v>378</v>
      </c>
      <c r="M23" s="715">
        <v>0</v>
      </c>
      <c r="N23" s="1138">
        <f t="shared" si="246"/>
        <v>250</v>
      </c>
      <c r="O23" s="707">
        <v>0</v>
      </c>
      <c r="P23" s="707">
        <f t="shared" si="247"/>
        <v>36</v>
      </c>
      <c r="Q23" s="1191">
        <v>0</v>
      </c>
      <c r="R23" s="1185">
        <f>J166</f>
        <v>0.5</v>
      </c>
      <c r="S23" s="715">
        <v>0</v>
      </c>
      <c r="T23" s="711" t="s">
        <v>1668</v>
      </c>
      <c r="U23" s="1124">
        <v>0.5</v>
      </c>
      <c r="V23" s="781">
        <v>1</v>
      </c>
      <c r="W23" s="781">
        <v>0</v>
      </c>
      <c r="X23" s="781">
        <v>0</v>
      </c>
      <c r="Y23" s="781">
        <f>Y13/2</f>
        <v>5</v>
      </c>
      <c r="Z23" s="781">
        <f>Y23*(1+$U$23)</f>
        <v>7.5</v>
      </c>
      <c r="AA23" s="781">
        <f t="shared" ref="AA23:AC23" si="452">Z23*(1+$U$23)</f>
        <v>11.25</v>
      </c>
      <c r="AB23" s="781">
        <f t="shared" si="452"/>
        <v>16.875</v>
      </c>
      <c r="AC23" s="781">
        <f t="shared" si="452"/>
        <v>25.3125</v>
      </c>
      <c r="AD23" s="711" t="s">
        <v>384</v>
      </c>
      <c r="AE23" s="711" t="s">
        <v>375</v>
      </c>
      <c r="AF23" s="1024" t="s">
        <v>377</v>
      </c>
      <c r="AG23" s="1126" t="s">
        <v>454</v>
      </c>
      <c r="AH23" s="711" t="s">
        <v>1</v>
      </c>
      <c r="AI23" s="711" t="s">
        <v>378</v>
      </c>
      <c r="AJ23" s="711" t="s">
        <v>378</v>
      </c>
      <c r="AK23" s="711" t="s">
        <v>378</v>
      </c>
      <c r="AL23" s="715" t="s">
        <v>406</v>
      </c>
      <c r="AM23" s="715" t="s">
        <v>380</v>
      </c>
      <c r="AN23" s="715" t="s">
        <v>385</v>
      </c>
      <c r="AO23" s="711">
        <v>1</v>
      </c>
      <c r="AP23" s="711">
        <v>1</v>
      </c>
      <c r="AQ23" s="711" t="s">
        <v>1534</v>
      </c>
      <c r="AR23" s="716">
        <v>1</v>
      </c>
      <c r="AS23" s="716">
        <v>1</v>
      </c>
      <c r="AT23" s="717">
        <v>0</v>
      </c>
      <c r="AU23" s="718">
        <f t="shared" si="249"/>
        <v>0</v>
      </c>
      <c r="AV23" s="499">
        <f t="shared" si="330"/>
        <v>0</v>
      </c>
      <c r="AW23" s="499">
        <f t="shared" ref="AW23:AW24" si="453">AV23</f>
        <v>0</v>
      </c>
      <c r="AX23" s="499">
        <f t="shared" ref="AX23:AX24" si="454">AU23</f>
        <v>0</v>
      </c>
      <c r="AY23" s="499">
        <f t="shared" ref="AY23:AY24" si="455">AV23</f>
        <v>0</v>
      </c>
      <c r="AZ23" s="499">
        <f t="shared" ref="AZ23:AZ24" si="456">AW23</f>
        <v>0</v>
      </c>
      <c r="BA23" s="719">
        <f t="shared" ref="BA23:BA24" si="457">AX23</f>
        <v>0</v>
      </c>
      <c r="BB23" s="774">
        <f t="shared" ref="BB23:BB24" si="458">J23</f>
        <v>0</v>
      </c>
      <c r="BC23" s="499">
        <f t="shared" ref="BC23:BC24" si="459">BB23</f>
        <v>0</v>
      </c>
      <c r="BD23" s="499">
        <f t="shared" ref="BD23:BD24" si="460">BC23</f>
        <v>0</v>
      </c>
      <c r="BE23" s="499">
        <f t="shared" ref="BE23:BE24" si="461">BD23</f>
        <v>0</v>
      </c>
      <c r="BF23" s="499">
        <f t="shared" ref="BF23:BF24" si="462">BE23</f>
        <v>0</v>
      </c>
      <c r="BG23" s="499">
        <f t="shared" ref="BG23:BG24" si="463">BF23</f>
        <v>0</v>
      </c>
      <c r="BH23" s="719">
        <f t="shared" ref="BH23:BH24" si="464">BG23</f>
        <v>0</v>
      </c>
      <c r="BI23" s="774">
        <f t="shared" si="342"/>
        <v>0</v>
      </c>
      <c r="BJ23" s="503">
        <f t="shared" si="343"/>
        <v>0</v>
      </c>
      <c r="BK23" s="503">
        <f t="shared" si="254"/>
        <v>300</v>
      </c>
      <c r="BL23" s="503">
        <f t="shared" si="255"/>
        <v>266.66666666666669</v>
      </c>
      <c r="BM23" s="503">
        <f t="shared" si="256"/>
        <v>266.66666666666669</v>
      </c>
      <c r="BN23" s="503">
        <f t="shared" si="257"/>
        <v>266.66666666666669</v>
      </c>
      <c r="BO23" s="776">
        <f t="shared" si="258"/>
        <v>266.66666666666669</v>
      </c>
      <c r="BP23" s="774">
        <f t="shared" si="21"/>
        <v>36</v>
      </c>
      <c r="BQ23" s="503">
        <f t="shared" si="21"/>
        <v>36</v>
      </c>
      <c r="BR23" s="503">
        <f t="shared" si="21"/>
        <v>36</v>
      </c>
      <c r="BS23" s="503">
        <f t="shared" si="21"/>
        <v>36</v>
      </c>
      <c r="BT23" s="503">
        <f t="shared" si="21"/>
        <v>36</v>
      </c>
      <c r="BU23" s="503">
        <f t="shared" si="21"/>
        <v>36</v>
      </c>
      <c r="BV23" s="776">
        <f t="shared" si="21"/>
        <v>36</v>
      </c>
      <c r="BW23" s="722">
        <f t="shared" si="259"/>
        <v>0</v>
      </c>
      <c r="BX23" s="511"/>
      <c r="BY23" s="511"/>
      <c r="BZ23" s="511"/>
      <c r="CA23" s="511"/>
      <c r="CB23" s="511"/>
      <c r="CC23" s="723"/>
      <c r="CD23" s="511">
        <f t="shared" si="262"/>
        <v>0.5</v>
      </c>
      <c r="CE23" s="511">
        <f t="shared" si="344"/>
        <v>0.5</v>
      </c>
      <c r="CF23" s="511">
        <f t="shared" si="345"/>
        <v>0.5</v>
      </c>
      <c r="CG23" s="511">
        <f t="shared" si="346"/>
        <v>0.5</v>
      </c>
      <c r="CH23" s="511">
        <f t="shared" si="347"/>
        <v>0.5</v>
      </c>
      <c r="CI23" s="511">
        <f t="shared" si="348"/>
        <v>0.5</v>
      </c>
      <c r="CJ23" s="723">
        <f t="shared" si="349"/>
        <v>0.5</v>
      </c>
      <c r="CK23" s="722">
        <f t="shared" si="265"/>
        <v>0</v>
      </c>
      <c r="CL23" s="511">
        <f t="shared" si="350"/>
        <v>0</v>
      </c>
      <c r="CM23" s="511">
        <f t="shared" si="351"/>
        <v>0</v>
      </c>
      <c r="CN23" s="511">
        <f t="shared" si="352"/>
        <v>0</v>
      </c>
      <c r="CO23" s="511">
        <f t="shared" si="353"/>
        <v>0</v>
      </c>
      <c r="CP23" s="511">
        <f t="shared" si="354"/>
        <v>0</v>
      </c>
      <c r="CQ23" s="539">
        <f t="shared" si="355"/>
        <v>0</v>
      </c>
      <c r="CR23" s="724">
        <f t="shared" si="321"/>
        <v>0</v>
      </c>
      <c r="CS23" s="508">
        <f t="shared" si="268"/>
        <v>0</v>
      </c>
      <c r="CT23" s="508">
        <f t="shared" si="269"/>
        <v>0</v>
      </c>
      <c r="CU23" s="508">
        <f t="shared" si="270"/>
        <v>0</v>
      </c>
      <c r="CV23" s="508">
        <f t="shared" si="271"/>
        <v>0</v>
      </c>
      <c r="CW23" s="508">
        <f t="shared" si="272"/>
        <v>0</v>
      </c>
      <c r="CX23" s="726">
        <f t="shared" si="273"/>
        <v>0</v>
      </c>
      <c r="CY23" s="724">
        <f t="shared" si="322"/>
        <v>0</v>
      </c>
      <c r="CZ23" s="508">
        <f t="shared" si="274"/>
        <v>0</v>
      </c>
      <c r="DA23" s="508">
        <f t="shared" si="275"/>
        <v>0</v>
      </c>
      <c r="DB23" s="508">
        <f t="shared" si="276"/>
        <v>0</v>
      </c>
      <c r="DC23" s="508">
        <f t="shared" si="277"/>
        <v>0</v>
      </c>
      <c r="DD23" s="508">
        <f t="shared" si="278"/>
        <v>0</v>
      </c>
      <c r="DE23" s="726">
        <f t="shared" si="279"/>
        <v>0</v>
      </c>
      <c r="DF23" s="724">
        <f t="shared" si="323"/>
        <v>0</v>
      </c>
      <c r="DG23" s="508">
        <f t="shared" si="280"/>
        <v>0</v>
      </c>
      <c r="DH23" s="508">
        <f t="shared" si="281"/>
        <v>1500</v>
      </c>
      <c r="DI23" s="508">
        <f t="shared" si="282"/>
        <v>2000.0000000000002</v>
      </c>
      <c r="DJ23" s="508">
        <f t="shared" si="283"/>
        <v>3000</v>
      </c>
      <c r="DK23" s="508">
        <f t="shared" si="284"/>
        <v>4500</v>
      </c>
      <c r="DL23" s="726">
        <f t="shared" si="324"/>
        <v>6750.0000000000009</v>
      </c>
      <c r="DM23" s="724">
        <f t="shared" si="325"/>
        <v>0</v>
      </c>
      <c r="DN23" s="508">
        <f t="shared" si="285"/>
        <v>0</v>
      </c>
      <c r="DO23" s="508">
        <f t="shared" si="286"/>
        <v>180</v>
      </c>
      <c r="DP23" s="508">
        <f t="shared" si="287"/>
        <v>270</v>
      </c>
      <c r="DQ23" s="508">
        <f t="shared" si="288"/>
        <v>405</v>
      </c>
      <c r="DR23" s="508">
        <f t="shared" si="289"/>
        <v>607.5</v>
      </c>
      <c r="DS23" s="725">
        <f t="shared" si="290"/>
        <v>911.25</v>
      </c>
      <c r="DT23" s="722">
        <f t="shared" si="326"/>
        <v>0</v>
      </c>
      <c r="DU23" s="507">
        <f t="shared" si="291"/>
        <v>0</v>
      </c>
      <c r="DV23" s="507">
        <f t="shared" si="292"/>
        <v>0</v>
      </c>
      <c r="DW23" s="507">
        <f t="shared" si="293"/>
        <v>0</v>
      </c>
      <c r="DX23" s="507">
        <f t="shared" si="294"/>
        <v>0</v>
      </c>
      <c r="DY23" s="507">
        <f t="shared" si="295"/>
        <v>0</v>
      </c>
      <c r="DZ23" s="453">
        <f t="shared" si="296"/>
        <v>0</v>
      </c>
      <c r="EA23" s="722">
        <f t="shared" si="327"/>
        <v>0</v>
      </c>
      <c r="EB23" s="507">
        <f t="shared" si="297"/>
        <v>0</v>
      </c>
      <c r="EC23" s="507">
        <f t="shared" si="298"/>
        <v>2.5</v>
      </c>
      <c r="ED23" s="507">
        <f t="shared" si="299"/>
        <v>3.75</v>
      </c>
      <c r="EE23" s="507">
        <f t="shared" si="300"/>
        <v>5.625</v>
      </c>
      <c r="EF23" s="507">
        <f t="shared" si="301"/>
        <v>8.4375</v>
      </c>
      <c r="EG23" s="452">
        <f t="shared" si="302"/>
        <v>12.65625</v>
      </c>
      <c r="EH23" s="722">
        <f t="shared" si="328"/>
        <v>0</v>
      </c>
      <c r="EI23" s="511">
        <f t="shared" si="303"/>
        <v>0</v>
      </c>
      <c r="EJ23" s="511">
        <f t="shared" si="304"/>
        <v>0</v>
      </c>
      <c r="EK23" s="511">
        <f t="shared" si="305"/>
        <v>0</v>
      </c>
      <c r="EL23" s="511">
        <f t="shared" si="306"/>
        <v>0</v>
      </c>
      <c r="EM23" s="511">
        <f t="shared" si="307"/>
        <v>0</v>
      </c>
      <c r="EN23" s="723">
        <f t="shared" si="308"/>
        <v>0</v>
      </c>
      <c r="EO23" s="977">
        <f t="shared" si="102"/>
        <v>9.4196428571428577</v>
      </c>
      <c r="EP23" s="728">
        <f t="shared" si="103"/>
        <v>0</v>
      </c>
      <c r="EQ23" s="728">
        <f t="shared" si="104"/>
        <v>0</v>
      </c>
      <c r="ER23" s="728">
        <f t="shared" si="105"/>
        <v>17750</v>
      </c>
      <c r="ES23" s="728">
        <f t="shared" si="106"/>
        <v>2373.75</v>
      </c>
      <c r="ET23" s="978">
        <f t="shared" si="107"/>
        <v>0</v>
      </c>
      <c r="EU23" s="978">
        <f t="shared" si="108"/>
        <v>12.65625</v>
      </c>
      <c r="EV23" s="778">
        <f t="shared" si="109"/>
        <v>0</v>
      </c>
      <c r="EW23" s="10"/>
      <c r="EX23" s="10"/>
      <c r="EY23" s="10"/>
      <c r="EZ23" s="10"/>
      <c r="FA23" s="10"/>
      <c r="FB23" s="10"/>
      <c r="FC23" s="10"/>
      <c r="FD23" s="10"/>
      <c r="FE23" s="10"/>
    </row>
    <row r="24" spans="1:161" s="96" customFormat="1" ht="12.5">
      <c r="A24" s="661" t="s">
        <v>185</v>
      </c>
      <c r="B24" s="703" t="str">
        <f t="shared" si="245"/>
        <v>KU-Residential - BYOD - Water Heating</v>
      </c>
      <c r="C24" s="715" t="s">
        <v>1670</v>
      </c>
      <c r="D24" s="715" t="s">
        <v>1514</v>
      </c>
      <c r="E24" s="703" t="s">
        <v>1515</v>
      </c>
      <c r="F24" s="1134" t="s">
        <v>402</v>
      </c>
      <c r="G24" s="1183">
        <v>0</v>
      </c>
      <c r="H24" s="704">
        <v>0</v>
      </c>
      <c r="I24" s="706">
        <f t="shared" si="451"/>
        <v>0</v>
      </c>
      <c r="J24" s="704">
        <v>0</v>
      </c>
      <c r="K24" s="704" t="s">
        <v>378</v>
      </c>
      <c r="L24" s="704" t="s">
        <v>378</v>
      </c>
      <c r="M24" s="715">
        <v>0</v>
      </c>
      <c r="N24" s="1138">
        <f t="shared" si="246"/>
        <v>125</v>
      </c>
      <c r="O24" s="707">
        <v>0</v>
      </c>
      <c r="P24" s="707">
        <f t="shared" si="247"/>
        <v>36</v>
      </c>
      <c r="Q24" s="1191">
        <v>0</v>
      </c>
      <c r="R24" s="1185">
        <f>J167</f>
        <v>0.5</v>
      </c>
      <c r="S24" s="715">
        <v>0</v>
      </c>
      <c r="T24" s="711" t="s">
        <v>1671</v>
      </c>
      <c r="U24" s="1124">
        <v>0.5</v>
      </c>
      <c r="V24" s="781">
        <v>1</v>
      </c>
      <c r="W24" s="781">
        <v>0</v>
      </c>
      <c r="X24" s="781">
        <v>0</v>
      </c>
      <c r="Y24" s="781">
        <f>Y14/2</f>
        <v>5</v>
      </c>
      <c r="Z24" s="781">
        <f>Y24*(1+$U$24)</f>
        <v>7.5</v>
      </c>
      <c r="AA24" s="781">
        <f t="shared" ref="AA24:AC24" si="465">Z24*(1+$U$24)</f>
        <v>11.25</v>
      </c>
      <c r="AB24" s="781">
        <f t="shared" si="465"/>
        <v>16.875</v>
      </c>
      <c r="AC24" s="781">
        <f t="shared" si="465"/>
        <v>25.3125</v>
      </c>
      <c r="AD24" s="711" t="s">
        <v>384</v>
      </c>
      <c r="AE24" s="711" t="s">
        <v>375</v>
      </c>
      <c r="AF24" s="1024" t="s">
        <v>377</v>
      </c>
      <c r="AG24" s="711" t="s">
        <v>753</v>
      </c>
      <c r="AH24" s="711" t="s">
        <v>1</v>
      </c>
      <c r="AI24" s="711" t="s">
        <v>378</v>
      </c>
      <c r="AJ24" s="711" t="s">
        <v>378</v>
      </c>
      <c r="AK24" s="711" t="s">
        <v>378</v>
      </c>
      <c r="AL24" s="715" t="s">
        <v>943</v>
      </c>
      <c r="AM24" s="715" t="s">
        <v>380</v>
      </c>
      <c r="AN24" s="715" t="s">
        <v>385</v>
      </c>
      <c r="AO24" s="711">
        <v>1</v>
      </c>
      <c r="AP24" s="711">
        <v>1</v>
      </c>
      <c r="AQ24" s="711" t="s">
        <v>1534</v>
      </c>
      <c r="AR24" s="716">
        <v>1</v>
      </c>
      <c r="AS24" s="716">
        <v>1</v>
      </c>
      <c r="AT24" s="717">
        <v>0</v>
      </c>
      <c r="AU24" s="718">
        <f t="shared" si="249"/>
        <v>0</v>
      </c>
      <c r="AV24" s="499">
        <f t="shared" si="330"/>
        <v>0</v>
      </c>
      <c r="AW24" s="499">
        <f t="shared" si="453"/>
        <v>0</v>
      </c>
      <c r="AX24" s="499">
        <f t="shared" si="454"/>
        <v>0</v>
      </c>
      <c r="AY24" s="499">
        <f t="shared" si="455"/>
        <v>0</v>
      </c>
      <c r="AZ24" s="499">
        <f t="shared" si="456"/>
        <v>0</v>
      </c>
      <c r="BA24" s="719">
        <f t="shared" si="457"/>
        <v>0</v>
      </c>
      <c r="BB24" s="774">
        <f t="shared" si="458"/>
        <v>0</v>
      </c>
      <c r="BC24" s="499">
        <f t="shared" si="459"/>
        <v>0</v>
      </c>
      <c r="BD24" s="499">
        <f t="shared" si="460"/>
        <v>0</v>
      </c>
      <c r="BE24" s="499">
        <f t="shared" si="461"/>
        <v>0</v>
      </c>
      <c r="BF24" s="499">
        <f t="shared" si="462"/>
        <v>0</v>
      </c>
      <c r="BG24" s="499">
        <f t="shared" si="463"/>
        <v>0</v>
      </c>
      <c r="BH24" s="719">
        <f t="shared" si="464"/>
        <v>0</v>
      </c>
      <c r="BI24" s="774">
        <f t="shared" si="342"/>
        <v>0</v>
      </c>
      <c r="BJ24" s="503">
        <f t="shared" si="343"/>
        <v>0</v>
      </c>
      <c r="BK24" s="503">
        <f t="shared" si="254"/>
        <v>175</v>
      </c>
      <c r="BL24" s="503">
        <f t="shared" si="255"/>
        <v>141.66666666666666</v>
      </c>
      <c r="BM24" s="503">
        <f t="shared" si="256"/>
        <v>141.66666666666666</v>
      </c>
      <c r="BN24" s="503">
        <f t="shared" si="257"/>
        <v>141.66666666666666</v>
      </c>
      <c r="BO24" s="776">
        <f t="shared" si="258"/>
        <v>141.66666666666666</v>
      </c>
      <c r="BP24" s="774">
        <f t="shared" si="21"/>
        <v>36</v>
      </c>
      <c r="BQ24" s="503">
        <f t="shared" si="21"/>
        <v>36</v>
      </c>
      <c r="BR24" s="503">
        <f t="shared" si="21"/>
        <v>36</v>
      </c>
      <c r="BS24" s="503">
        <f t="shared" si="21"/>
        <v>36</v>
      </c>
      <c r="BT24" s="503">
        <f t="shared" si="21"/>
        <v>36</v>
      </c>
      <c r="BU24" s="503">
        <f t="shared" si="21"/>
        <v>36</v>
      </c>
      <c r="BV24" s="776">
        <f t="shared" si="21"/>
        <v>36</v>
      </c>
      <c r="BW24" s="722">
        <f t="shared" si="259"/>
        <v>0</v>
      </c>
      <c r="BX24" s="511"/>
      <c r="BY24" s="511"/>
      <c r="BZ24" s="511"/>
      <c r="CA24" s="511"/>
      <c r="CB24" s="511"/>
      <c r="CC24" s="723"/>
      <c r="CD24" s="511">
        <f t="shared" si="262"/>
        <v>0.5</v>
      </c>
      <c r="CE24" s="511">
        <f t="shared" si="344"/>
        <v>0.5</v>
      </c>
      <c r="CF24" s="511">
        <f t="shared" si="345"/>
        <v>0.5</v>
      </c>
      <c r="CG24" s="511">
        <f t="shared" si="346"/>
        <v>0.5</v>
      </c>
      <c r="CH24" s="511">
        <f t="shared" si="347"/>
        <v>0.5</v>
      </c>
      <c r="CI24" s="511">
        <f t="shared" si="348"/>
        <v>0.5</v>
      </c>
      <c r="CJ24" s="723">
        <f t="shared" si="349"/>
        <v>0.5</v>
      </c>
      <c r="CK24" s="722">
        <f t="shared" si="265"/>
        <v>0</v>
      </c>
      <c r="CL24" s="511">
        <f t="shared" si="350"/>
        <v>0</v>
      </c>
      <c r="CM24" s="511">
        <f t="shared" si="351"/>
        <v>0</v>
      </c>
      <c r="CN24" s="511">
        <f t="shared" si="352"/>
        <v>0</v>
      </c>
      <c r="CO24" s="511">
        <f t="shared" si="353"/>
        <v>0</v>
      </c>
      <c r="CP24" s="511">
        <f t="shared" si="354"/>
        <v>0</v>
      </c>
      <c r="CQ24" s="539">
        <f t="shared" si="355"/>
        <v>0</v>
      </c>
      <c r="CR24" s="724">
        <f t="shared" si="321"/>
        <v>0</v>
      </c>
      <c r="CS24" s="508">
        <f t="shared" si="268"/>
        <v>0</v>
      </c>
      <c r="CT24" s="508">
        <f t="shared" si="269"/>
        <v>0</v>
      </c>
      <c r="CU24" s="508">
        <f t="shared" si="270"/>
        <v>0</v>
      </c>
      <c r="CV24" s="508">
        <f t="shared" si="271"/>
        <v>0</v>
      </c>
      <c r="CW24" s="508">
        <f t="shared" si="272"/>
        <v>0</v>
      </c>
      <c r="CX24" s="726">
        <f t="shared" si="273"/>
        <v>0</v>
      </c>
      <c r="CY24" s="724">
        <f t="shared" si="322"/>
        <v>0</v>
      </c>
      <c r="CZ24" s="508">
        <f t="shared" si="274"/>
        <v>0</v>
      </c>
      <c r="DA24" s="508">
        <f t="shared" si="275"/>
        <v>0</v>
      </c>
      <c r="DB24" s="508">
        <f t="shared" si="276"/>
        <v>0</v>
      </c>
      <c r="DC24" s="508">
        <f t="shared" si="277"/>
        <v>0</v>
      </c>
      <c r="DD24" s="508">
        <f t="shared" si="278"/>
        <v>0</v>
      </c>
      <c r="DE24" s="726">
        <f t="shared" si="279"/>
        <v>0</v>
      </c>
      <c r="DF24" s="724">
        <f t="shared" si="323"/>
        <v>0</v>
      </c>
      <c r="DG24" s="508">
        <f t="shared" si="280"/>
        <v>0</v>
      </c>
      <c r="DH24" s="508">
        <f t="shared" si="281"/>
        <v>875</v>
      </c>
      <c r="DI24" s="508">
        <f t="shared" si="282"/>
        <v>1062.5</v>
      </c>
      <c r="DJ24" s="508">
        <f t="shared" si="283"/>
        <v>1593.75</v>
      </c>
      <c r="DK24" s="508">
        <f t="shared" si="284"/>
        <v>2390.625</v>
      </c>
      <c r="DL24" s="726">
        <f t="shared" si="324"/>
        <v>3585.9374999999995</v>
      </c>
      <c r="DM24" s="724">
        <f t="shared" si="325"/>
        <v>0</v>
      </c>
      <c r="DN24" s="508">
        <f t="shared" si="285"/>
        <v>0</v>
      </c>
      <c r="DO24" s="508">
        <f t="shared" si="286"/>
        <v>180</v>
      </c>
      <c r="DP24" s="508">
        <f t="shared" si="287"/>
        <v>270</v>
      </c>
      <c r="DQ24" s="508">
        <f t="shared" si="288"/>
        <v>405</v>
      </c>
      <c r="DR24" s="508">
        <f t="shared" si="289"/>
        <v>607.5</v>
      </c>
      <c r="DS24" s="725">
        <f t="shared" si="290"/>
        <v>911.25</v>
      </c>
      <c r="DT24" s="722">
        <f t="shared" si="326"/>
        <v>0</v>
      </c>
      <c r="DU24" s="507">
        <f t="shared" si="291"/>
        <v>0</v>
      </c>
      <c r="DV24" s="507">
        <f t="shared" si="292"/>
        <v>0</v>
      </c>
      <c r="DW24" s="507">
        <f t="shared" si="293"/>
        <v>0</v>
      </c>
      <c r="DX24" s="507">
        <f t="shared" si="294"/>
        <v>0</v>
      </c>
      <c r="DY24" s="507">
        <f t="shared" si="295"/>
        <v>0</v>
      </c>
      <c r="DZ24" s="453">
        <f t="shared" si="296"/>
        <v>0</v>
      </c>
      <c r="EA24" s="722">
        <f t="shared" si="327"/>
        <v>0</v>
      </c>
      <c r="EB24" s="507">
        <f t="shared" si="297"/>
        <v>0</v>
      </c>
      <c r="EC24" s="507">
        <f t="shared" si="298"/>
        <v>2.5</v>
      </c>
      <c r="ED24" s="507">
        <f t="shared" si="299"/>
        <v>3.75</v>
      </c>
      <c r="EE24" s="507">
        <f t="shared" si="300"/>
        <v>5.625</v>
      </c>
      <c r="EF24" s="507">
        <f t="shared" si="301"/>
        <v>8.4375</v>
      </c>
      <c r="EG24" s="452">
        <f t="shared" si="302"/>
        <v>12.65625</v>
      </c>
      <c r="EH24" s="722">
        <f t="shared" si="328"/>
        <v>0</v>
      </c>
      <c r="EI24" s="511">
        <f t="shared" si="303"/>
        <v>0</v>
      </c>
      <c r="EJ24" s="511">
        <f t="shared" si="304"/>
        <v>0</v>
      </c>
      <c r="EK24" s="511">
        <f t="shared" si="305"/>
        <v>0</v>
      </c>
      <c r="EL24" s="511">
        <f t="shared" si="306"/>
        <v>0</v>
      </c>
      <c r="EM24" s="511">
        <f t="shared" si="307"/>
        <v>0</v>
      </c>
      <c r="EN24" s="723">
        <f t="shared" si="308"/>
        <v>0</v>
      </c>
      <c r="EO24" s="977">
        <f t="shared" si="102"/>
        <v>9.4196428571428577</v>
      </c>
      <c r="EP24" s="728">
        <f t="shared" si="103"/>
        <v>0</v>
      </c>
      <c r="EQ24" s="728">
        <f t="shared" si="104"/>
        <v>0</v>
      </c>
      <c r="ER24" s="728">
        <f t="shared" si="105"/>
        <v>9507.8125</v>
      </c>
      <c r="ES24" s="728">
        <f t="shared" si="106"/>
        <v>2373.75</v>
      </c>
      <c r="ET24" s="978">
        <f t="shared" si="107"/>
        <v>0</v>
      </c>
      <c r="EU24" s="978">
        <f t="shared" si="108"/>
        <v>12.65625</v>
      </c>
      <c r="EV24" s="778">
        <f t="shared" si="109"/>
        <v>0</v>
      </c>
      <c r="EW24" s="10"/>
      <c r="EX24" s="10"/>
      <c r="EY24" s="10"/>
      <c r="EZ24" s="10"/>
      <c r="FA24" s="10"/>
      <c r="FB24" s="10"/>
      <c r="FC24" s="10"/>
      <c r="FD24" s="10"/>
      <c r="FE24" s="10"/>
    </row>
    <row r="25" spans="1:161" s="123" customFormat="1">
      <c r="A25" s="504"/>
      <c r="B25" s="504"/>
      <c r="C25" s="504"/>
      <c r="D25" s="504"/>
      <c r="E25" s="504"/>
      <c r="F25" s="504"/>
      <c r="G25" s="504"/>
      <c r="H25" s="504"/>
      <c r="I25" s="504"/>
      <c r="J25" s="504"/>
      <c r="K25" s="504"/>
      <c r="L25" s="504"/>
      <c r="M25" s="504"/>
      <c r="N25" s="504"/>
      <c r="O25" s="504"/>
      <c r="P25" s="504"/>
      <c r="Q25" s="1187"/>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0"/>
      <c r="AU25" s="1188"/>
      <c r="AV25" s="504"/>
      <c r="AW25" s="504"/>
      <c r="AX25" s="504"/>
      <c r="AY25" s="504"/>
      <c r="AZ25" s="504"/>
      <c r="BA25" s="1189"/>
      <c r="BB25" s="1188"/>
      <c r="BC25" s="504"/>
      <c r="BD25" s="504"/>
      <c r="BE25" s="504"/>
      <c r="BF25" s="504"/>
      <c r="BG25" s="504"/>
      <c r="BH25" s="1189"/>
      <c r="BI25" s="1188"/>
      <c r="BJ25" s="504"/>
      <c r="BK25" s="504"/>
      <c r="BL25" s="504"/>
      <c r="BM25" s="504"/>
      <c r="BN25" s="504"/>
      <c r="BO25" s="1189"/>
      <c r="BP25" s="1188"/>
      <c r="BQ25" s="504"/>
      <c r="BR25" s="504"/>
      <c r="BS25" s="504"/>
      <c r="BT25" s="504"/>
      <c r="BU25" s="504"/>
      <c r="BV25" s="1189"/>
      <c r="BW25" s="1188"/>
      <c r="BX25" s="504"/>
      <c r="BY25" s="504"/>
      <c r="BZ25" s="504"/>
      <c r="CA25" s="504"/>
      <c r="CB25" s="504"/>
      <c r="CC25" s="1189"/>
      <c r="CD25" s="504"/>
      <c r="CE25" s="504"/>
      <c r="CF25" s="504"/>
      <c r="CG25" s="504"/>
      <c r="CH25" s="504"/>
      <c r="CI25" s="504"/>
      <c r="CJ25" s="1189"/>
      <c r="CK25" s="1188"/>
      <c r="CL25" s="504"/>
      <c r="CM25" s="504"/>
      <c r="CN25" s="504"/>
      <c r="CO25" s="504"/>
      <c r="CP25" s="504"/>
      <c r="CQ25" s="500"/>
      <c r="CR25" s="1188"/>
      <c r="CS25" s="504"/>
      <c r="CT25" s="504"/>
      <c r="CU25" s="504"/>
      <c r="CV25" s="504"/>
      <c r="CW25" s="504"/>
      <c r="CX25" s="500"/>
      <c r="CY25" s="1188"/>
      <c r="CZ25" s="504"/>
      <c r="DA25" s="504"/>
      <c r="DB25" s="504"/>
      <c r="DC25" s="504"/>
      <c r="DD25" s="504"/>
      <c r="DE25" s="500"/>
      <c r="DF25" s="1188"/>
      <c r="DG25" s="504"/>
      <c r="DH25" s="504"/>
      <c r="DI25" s="504"/>
      <c r="DJ25" s="504"/>
      <c r="DK25" s="504"/>
      <c r="DL25" s="500"/>
      <c r="DM25" s="1188"/>
      <c r="DN25" s="504"/>
      <c r="DO25" s="504"/>
      <c r="DP25" s="504"/>
      <c r="DQ25" s="504"/>
      <c r="DR25" s="504"/>
      <c r="DS25" s="1189"/>
      <c r="DT25" s="1188"/>
      <c r="DU25" s="504"/>
      <c r="DV25" s="504"/>
      <c r="DW25" s="504"/>
      <c r="DX25" s="504"/>
      <c r="DY25" s="504"/>
      <c r="DZ25" s="1189"/>
      <c r="EA25" s="1188"/>
      <c r="EB25" s="504"/>
      <c r="EC25" s="504"/>
      <c r="ED25" s="504"/>
      <c r="EE25" s="504"/>
      <c r="EF25" s="504"/>
      <c r="EG25" s="500"/>
      <c r="EH25" s="1188"/>
      <c r="EI25" s="504"/>
      <c r="EJ25" s="504"/>
      <c r="EK25" s="504"/>
      <c r="EL25" s="504"/>
      <c r="EM25" s="504"/>
      <c r="EN25" s="1189"/>
      <c r="EO25" s="1188"/>
      <c r="EP25" s="504"/>
      <c r="EQ25" s="504"/>
      <c r="ER25" s="504"/>
      <c r="ES25" s="504"/>
      <c r="ET25" s="504"/>
      <c r="EU25" s="1189"/>
      <c r="EV25" s="1189"/>
    </row>
    <row r="26" spans="1:161" s="96" customFormat="1" ht="12.5">
      <c r="A26" s="661" t="s">
        <v>172</v>
      </c>
      <c r="B26" s="703" t="str">
        <f t="shared" ref="B26:B34" si="466">"LG&amp;E-"&amp;B6</f>
        <v>LG&amp;E-Residential - BYOT - Cooling - Summer</v>
      </c>
      <c r="C26" s="715" t="s">
        <v>1654</v>
      </c>
      <c r="D26" s="715" t="s">
        <v>1514</v>
      </c>
      <c r="E26" s="703" t="s">
        <v>1515</v>
      </c>
      <c r="F26" s="1134" t="s">
        <v>402</v>
      </c>
      <c r="G26" s="1183">
        <v>0</v>
      </c>
      <c r="H26" s="704">
        <v>0</v>
      </c>
      <c r="I26" s="706">
        <f>G26+H26</f>
        <v>0</v>
      </c>
      <c r="J26" s="704">
        <v>0</v>
      </c>
      <c r="K26" s="704" t="s">
        <v>378</v>
      </c>
      <c r="L26" s="704" t="s">
        <v>378</v>
      </c>
      <c r="M26" s="715">
        <v>0</v>
      </c>
      <c r="N26" s="1138">
        <f t="shared" ref="N26:N34" si="467">N6</f>
        <v>130</v>
      </c>
      <c r="O26" s="707">
        <v>0</v>
      </c>
      <c r="P26" s="707">
        <f t="shared" ref="P26:P34" si="468">P6</f>
        <v>36</v>
      </c>
      <c r="Q26" s="1190">
        <v>0</v>
      </c>
      <c r="R26" s="1185">
        <v>0.47974413646055442</v>
      </c>
      <c r="S26" s="715">
        <v>0</v>
      </c>
      <c r="T26" s="711" t="s">
        <v>1655</v>
      </c>
      <c r="U26" s="1124"/>
      <c r="V26" s="781">
        <v>1</v>
      </c>
      <c r="W26" s="781">
        <f t="shared" ref="W26:AC32" si="469">W6*0.5</f>
        <v>616.5</v>
      </c>
      <c r="X26" s="781">
        <f t="shared" si="469"/>
        <v>810.5</v>
      </c>
      <c r="Y26" s="781">
        <f t="shared" si="469"/>
        <v>1309.5</v>
      </c>
      <c r="Z26" s="781">
        <f t="shared" si="469"/>
        <v>1309.5</v>
      </c>
      <c r="AA26" s="781">
        <f t="shared" si="469"/>
        <v>1309.5</v>
      </c>
      <c r="AB26" s="781">
        <f t="shared" si="469"/>
        <v>1309.5</v>
      </c>
      <c r="AC26" s="781">
        <f t="shared" si="469"/>
        <v>1309.5</v>
      </c>
      <c r="AD26" s="711" t="s">
        <v>384</v>
      </c>
      <c r="AE26" s="711" t="s">
        <v>375</v>
      </c>
      <c r="AF26" s="1024" t="s">
        <v>377</v>
      </c>
      <c r="AG26" s="1126" t="s">
        <v>454</v>
      </c>
      <c r="AH26" s="711" t="s">
        <v>1</v>
      </c>
      <c r="AI26" s="711" t="s">
        <v>378</v>
      </c>
      <c r="AJ26" s="711" t="s">
        <v>378</v>
      </c>
      <c r="AK26" s="711" t="s">
        <v>378</v>
      </c>
      <c r="AL26" s="715" t="s">
        <v>406</v>
      </c>
      <c r="AM26" s="715" t="s">
        <v>380</v>
      </c>
      <c r="AN26" s="715" t="s">
        <v>381</v>
      </c>
      <c r="AO26" s="711">
        <v>1</v>
      </c>
      <c r="AP26" s="711">
        <v>1</v>
      </c>
      <c r="AQ26" s="711" t="s">
        <v>1534</v>
      </c>
      <c r="AR26" s="716">
        <v>1</v>
      </c>
      <c r="AS26" s="716">
        <v>1</v>
      </c>
      <c r="AT26" s="717">
        <v>0</v>
      </c>
      <c r="AU26" s="718">
        <f t="shared" ref="AU26:AU34" si="470">I26</f>
        <v>0</v>
      </c>
      <c r="AV26" s="499">
        <f>AU26</f>
        <v>0</v>
      </c>
      <c r="AW26" s="499">
        <f t="shared" ref="AW26:AW27" si="471">AV26</f>
        <v>0</v>
      </c>
      <c r="AX26" s="499">
        <f>AU26</f>
        <v>0</v>
      </c>
      <c r="AY26" s="499">
        <f t="shared" ref="AY26:BA26" si="472">AV26</f>
        <v>0</v>
      </c>
      <c r="AZ26" s="499">
        <f t="shared" si="472"/>
        <v>0</v>
      </c>
      <c r="BA26" s="719">
        <f t="shared" si="472"/>
        <v>0</v>
      </c>
      <c r="BB26" s="774">
        <f>J26</f>
        <v>0</v>
      </c>
      <c r="BC26" s="499">
        <f t="shared" ref="BC26:BE27" si="473">BB26</f>
        <v>0</v>
      </c>
      <c r="BD26" s="499">
        <f t="shared" si="473"/>
        <v>0</v>
      </c>
      <c r="BE26" s="499">
        <f t="shared" si="473"/>
        <v>0</v>
      </c>
      <c r="BF26" s="499">
        <f t="shared" ref="BF26:BH26" si="474">BE26</f>
        <v>0</v>
      </c>
      <c r="BG26" s="499">
        <f t="shared" si="474"/>
        <v>0</v>
      </c>
      <c r="BH26" s="719">
        <f t="shared" si="474"/>
        <v>0</v>
      </c>
      <c r="BI26" s="774">
        <f>IFERROR(N26+O26+W26*50/W26,0)</f>
        <v>180</v>
      </c>
      <c r="BJ26" s="503">
        <f>IFERROR($N26+$O26+(X26-W26)*50/X26,0)</f>
        <v>141.96792103639729</v>
      </c>
      <c r="BK26" s="503">
        <f t="shared" ref="BK26:BK34" si="475">IFERROR($N26+$O26+(Y26-X26)*50/Y26,0)</f>
        <v>149.05307369224894</v>
      </c>
      <c r="BL26" s="503">
        <f t="shared" ref="BL26:BL34" si="476">IFERROR($N26+$O26+(Z26-Y26)*50/Z26,0)</f>
        <v>130</v>
      </c>
      <c r="BM26" s="503">
        <f t="shared" ref="BM26:BM34" si="477">IFERROR($N26+$O26+(AA26-Z26)*50/AA26,0)</f>
        <v>130</v>
      </c>
      <c r="BN26" s="503">
        <f t="shared" ref="BN26:BN34" si="478">IFERROR($N26+$O26+(AB26-AA26)*50/AB26,0)</f>
        <v>130</v>
      </c>
      <c r="BO26" s="776">
        <f t="shared" ref="BO26:BO34" si="479">IFERROR($N26+$O26+(AC26-AB26)*50/AC26,0)</f>
        <v>130</v>
      </c>
      <c r="BP26" s="774">
        <f t="shared" si="21"/>
        <v>36</v>
      </c>
      <c r="BQ26" s="503">
        <f t="shared" si="21"/>
        <v>36</v>
      </c>
      <c r="BR26" s="503">
        <f t="shared" si="21"/>
        <v>36</v>
      </c>
      <c r="BS26" s="503">
        <f t="shared" si="21"/>
        <v>36</v>
      </c>
      <c r="BT26" s="503">
        <f t="shared" si="21"/>
        <v>36</v>
      </c>
      <c r="BU26" s="503">
        <f t="shared" si="21"/>
        <v>36</v>
      </c>
      <c r="BV26" s="776">
        <f t="shared" si="21"/>
        <v>36</v>
      </c>
      <c r="BW26" s="722">
        <f t="shared" ref="BW26:BW34" si="480">Q26*AS26</f>
        <v>0</v>
      </c>
      <c r="BX26" s="511">
        <f t="shared" ref="BX26:BZ27" si="481">BW26</f>
        <v>0</v>
      </c>
      <c r="BY26" s="511">
        <f t="shared" si="481"/>
        <v>0</v>
      </c>
      <c r="BZ26" s="511">
        <f t="shared" si="481"/>
        <v>0</v>
      </c>
      <c r="CA26" s="511">
        <f t="shared" ref="CA26:CC26" si="482">BZ26</f>
        <v>0</v>
      </c>
      <c r="CB26" s="511">
        <f t="shared" si="482"/>
        <v>0</v>
      </c>
      <c r="CC26" s="723">
        <f t="shared" si="482"/>
        <v>0</v>
      </c>
      <c r="CD26" s="511">
        <f t="shared" ref="CD26:CD34" si="483">R26*AS26</f>
        <v>0.47974413646055442</v>
      </c>
      <c r="CE26" s="511">
        <f t="shared" ref="CE26:CG27" si="484">CD26</f>
        <v>0.47974413646055442</v>
      </c>
      <c r="CF26" s="511">
        <f t="shared" si="484"/>
        <v>0.47974413646055442</v>
      </c>
      <c r="CG26" s="511">
        <f t="shared" si="484"/>
        <v>0.47974413646055442</v>
      </c>
      <c r="CH26" s="511">
        <f t="shared" ref="CH26:CJ26" si="485">CG26</f>
        <v>0.47974413646055442</v>
      </c>
      <c r="CI26" s="511">
        <f t="shared" si="485"/>
        <v>0.47974413646055442</v>
      </c>
      <c r="CJ26" s="723">
        <f t="shared" si="485"/>
        <v>0.47974413646055442</v>
      </c>
      <c r="CK26" s="722">
        <f t="shared" ref="CK26:CK34" si="486">S26*AT26</f>
        <v>0</v>
      </c>
      <c r="CL26" s="511">
        <f t="shared" ref="CL26:CN27" si="487">CK26</f>
        <v>0</v>
      </c>
      <c r="CM26" s="511">
        <f t="shared" si="487"/>
        <v>0</v>
      </c>
      <c r="CN26" s="511">
        <f t="shared" si="487"/>
        <v>0</v>
      </c>
      <c r="CO26" s="511">
        <f t="shared" ref="CO26:CQ26" si="488">CN26</f>
        <v>0</v>
      </c>
      <c r="CP26" s="511">
        <f t="shared" si="488"/>
        <v>0</v>
      </c>
      <c r="CQ26" s="539">
        <f t="shared" si="488"/>
        <v>0</v>
      </c>
      <c r="CR26" s="724">
        <f>W26*AU26</f>
        <v>0</v>
      </c>
      <c r="CS26" s="508">
        <f t="shared" ref="CS26:CS34" si="489">X26*AV26</f>
        <v>0</v>
      </c>
      <c r="CT26" s="508">
        <f t="shared" ref="CT26:CT34" si="490">Y26*AW26</f>
        <v>0</v>
      </c>
      <c r="CU26" s="508">
        <f t="shared" ref="CU26:CU34" si="491">Z26*AX26</f>
        <v>0</v>
      </c>
      <c r="CV26" s="508">
        <f t="shared" ref="CV26:CV34" si="492">AA26*AY26</f>
        <v>0</v>
      </c>
      <c r="CW26" s="508">
        <f t="shared" ref="CW26:CW34" si="493">AB26*AZ26</f>
        <v>0</v>
      </c>
      <c r="CX26" s="726">
        <f t="shared" ref="CX26:CX34" si="494">AC26*BA26</f>
        <v>0</v>
      </c>
      <c r="CY26" s="724">
        <f>W26*BB26</f>
        <v>0</v>
      </c>
      <c r="CZ26" s="508">
        <f t="shared" ref="CZ26:CZ34" si="495">X26*BC26</f>
        <v>0</v>
      </c>
      <c r="DA26" s="508">
        <f t="shared" ref="DA26:DA34" si="496">Y26*BD26</f>
        <v>0</v>
      </c>
      <c r="DB26" s="508">
        <f t="shared" ref="DB26:DB34" si="497">Z26*BE26</f>
        <v>0</v>
      </c>
      <c r="DC26" s="508">
        <f t="shared" ref="DC26:DC34" si="498">AA26*BF26</f>
        <v>0</v>
      </c>
      <c r="DD26" s="508">
        <f t="shared" ref="DD26:DD34" si="499">AB26*BG26</f>
        <v>0</v>
      </c>
      <c r="DE26" s="726">
        <f t="shared" ref="DE26:DE34" si="500">AC26*BH26</f>
        <v>0</v>
      </c>
      <c r="DF26" s="724">
        <f>W26*BI26</f>
        <v>110970</v>
      </c>
      <c r="DG26" s="508">
        <f t="shared" ref="DG26:DG34" si="501">X26*BJ26</f>
        <v>115065</v>
      </c>
      <c r="DH26" s="508">
        <f t="shared" ref="DH26:DH34" si="502">Y26*BK26</f>
        <v>195185</v>
      </c>
      <c r="DI26" s="508">
        <f t="shared" ref="DI26:DI34" si="503">Z26*BL26</f>
        <v>170235</v>
      </c>
      <c r="DJ26" s="508">
        <f t="shared" ref="DJ26:DJ34" si="504">AA26*BM26</f>
        <v>170235</v>
      </c>
      <c r="DK26" s="508">
        <f t="shared" ref="DK26:DK34" si="505">AB26*BN26</f>
        <v>170235</v>
      </c>
      <c r="DL26" s="726">
        <f>AC26*BO26</f>
        <v>170235</v>
      </c>
      <c r="DM26" s="724">
        <f>BP26*W26</f>
        <v>22194</v>
      </c>
      <c r="DN26" s="508">
        <f t="shared" ref="DN26:DN34" si="506">BQ26*X26</f>
        <v>29178</v>
      </c>
      <c r="DO26" s="508">
        <f t="shared" ref="DO26:DO34" si="507">BR26*Y26</f>
        <v>47142</v>
      </c>
      <c r="DP26" s="508">
        <f t="shared" ref="DP26:DP34" si="508">BS26*Z26</f>
        <v>47142</v>
      </c>
      <c r="DQ26" s="508">
        <f t="shared" ref="DQ26:DQ34" si="509">BT26*AA26</f>
        <v>47142</v>
      </c>
      <c r="DR26" s="508">
        <f t="shared" ref="DR26:DR34" si="510">BU26*AB26</f>
        <v>47142</v>
      </c>
      <c r="DS26" s="725">
        <f t="shared" ref="DS26:DS34" si="511">BV26*AC26</f>
        <v>47142</v>
      </c>
      <c r="DT26" s="722">
        <f>W26*BW26</f>
        <v>0</v>
      </c>
      <c r="DU26" s="507">
        <f t="shared" ref="DU26:DU34" si="512">X26*BX26</f>
        <v>0</v>
      </c>
      <c r="DV26" s="507">
        <f t="shared" ref="DV26:DV34" si="513">Y26*BY26</f>
        <v>0</v>
      </c>
      <c r="DW26" s="507">
        <f t="shared" ref="DW26:DW34" si="514">Z26*BZ26</f>
        <v>0</v>
      </c>
      <c r="DX26" s="507">
        <f t="shared" ref="DX26:DX34" si="515">AA26*CA26</f>
        <v>0</v>
      </c>
      <c r="DY26" s="507">
        <f t="shared" ref="DY26:DY34" si="516">AB26*CB26</f>
        <v>0</v>
      </c>
      <c r="DZ26" s="453">
        <f t="shared" ref="DZ26:DZ34" si="517">AC26*CC26</f>
        <v>0</v>
      </c>
      <c r="EA26" s="722">
        <f>W26*CD26</f>
        <v>295.76226012793182</v>
      </c>
      <c r="EB26" s="507">
        <f t="shared" ref="EB26:EB34" si="518">X26*CE26</f>
        <v>388.83262260127935</v>
      </c>
      <c r="EC26" s="507">
        <f t="shared" ref="EC26:EC34" si="519">Y26*CF26</f>
        <v>628.22494669509604</v>
      </c>
      <c r="ED26" s="507">
        <f t="shared" ref="ED26:ED34" si="520">Z26*CG26</f>
        <v>628.22494669509604</v>
      </c>
      <c r="EE26" s="507">
        <f t="shared" ref="EE26:EE34" si="521">AA26*CH26</f>
        <v>628.22494669509604</v>
      </c>
      <c r="EF26" s="507">
        <f t="shared" ref="EF26:EF34" si="522">AB26*CI26</f>
        <v>628.22494669509604</v>
      </c>
      <c r="EG26" s="452">
        <f t="shared" ref="EG26:EG34" si="523">AC26*CJ26</f>
        <v>628.22494669509604</v>
      </c>
      <c r="EH26" s="722">
        <f>W26*CK26</f>
        <v>0</v>
      </c>
      <c r="EI26" s="511">
        <f t="shared" ref="EI26:EI34" si="524">X26*CL26</f>
        <v>0</v>
      </c>
      <c r="EJ26" s="511">
        <f t="shared" ref="EJ26:EJ34" si="525">Y26*CM26</f>
        <v>0</v>
      </c>
      <c r="EK26" s="511">
        <f t="shared" ref="EK26:EK34" si="526">Z26*CN26</f>
        <v>0</v>
      </c>
      <c r="EL26" s="511">
        <f t="shared" ref="EL26:EL34" si="527">AA26*CO26</f>
        <v>0</v>
      </c>
      <c r="EM26" s="511">
        <f t="shared" ref="EM26:EM34" si="528">AB26*CP26</f>
        <v>0</v>
      </c>
      <c r="EN26" s="723">
        <f t="shared" ref="EN26:EN34" si="529">AC26*CQ26</f>
        <v>0</v>
      </c>
      <c r="EO26" s="977">
        <f t="shared" si="102"/>
        <v>1139.2142857142858</v>
      </c>
      <c r="EP26" s="728">
        <f t="shared" si="103"/>
        <v>0</v>
      </c>
      <c r="EQ26" s="728">
        <f t="shared" si="104"/>
        <v>0</v>
      </c>
      <c r="ER26" s="728">
        <f t="shared" si="105"/>
        <v>1102160</v>
      </c>
      <c r="ES26" s="728">
        <f t="shared" si="106"/>
        <v>287082</v>
      </c>
      <c r="ET26" s="978">
        <f t="shared" si="107"/>
        <v>0</v>
      </c>
      <c r="EU26" s="978">
        <f t="shared" si="108"/>
        <v>628.22494669509604</v>
      </c>
      <c r="EV26" s="778">
        <f t="shared" si="109"/>
        <v>0</v>
      </c>
      <c r="EW26" s="10"/>
      <c r="EX26" s="10"/>
      <c r="EY26" s="10"/>
      <c r="EZ26" s="10"/>
      <c r="FA26" s="10"/>
      <c r="FB26" s="10"/>
      <c r="FC26" s="10"/>
      <c r="FD26" s="10"/>
      <c r="FE26" s="10"/>
    </row>
    <row r="27" spans="1:161" s="96" customFormat="1" ht="12.5">
      <c r="A27" s="661" t="s">
        <v>174</v>
      </c>
      <c r="B27" s="703" t="str">
        <f t="shared" si="466"/>
        <v>LG&amp;E-Residential - BYOT - Heating - Winter</v>
      </c>
      <c r="C27" s="715" t="s">
        <v>1654</v>
      </c>
      <c r="D27" s="715" t="s">
        <v>1514</v>
      </c>
      <c r="E27" s="703" t="s">
        <v>1515</v>
      </c>
      <c r="F27" s="1134" t="s">
        <v>402</v>
      </c>
      <c r="G27" s="1183">
        <v>0</v>
      </c>
      <c r="H27" s="704">
        <v>0</v>
      </c>
      <c r="I27" s="706">
        <f>G27+H27</f>
        <v>0</v>
      </c>
      <c r="J27" s="704">
        <v>0</v>
      </c>
      <c r="K27" s="704" t="s">
        <v>378</v>
      </c>
      <c r="L27" s="704" t="s">
        <v>378</v>
      </c>
      <c r="M27" s="715">
        <v>0</v>
      </c>
      <c r="N27" s="1138">
        <f t="shared" si="467"/>
        <v>120</v>
      </c>
      <c r="O27" s="707">
        <v>0</v>
      </c>
      <c r="P27" s="707">
        <f t="shared" si="468"/>
        <v>0</v>
      </c>
      <c r="Q27" s="1190">
        <v>0</v>
      </c>
      <c r="R27" s="1185">
        <v>0.59968017057569301</v>
      </c>
      <c r="S27" s="715">
        <v>0</v>
      </c>
      <c r="T27" s="711" t="s">
        <v>1655</v>
      </c>
      <c r="U27" s="1124"/>
      <c r="V27" s="781">
        <v>1</v>
      </c>
      <c r="W27" s="781">
        <f t="shared" si="469"/>
        <v>193.3</v>
      </c>
      <c r="X27" s="781">
        <f t="shared" si="469"/>
        <v>282.10000000000002</v>
      </c>
      <c r="Y27" s="781">
        <f t="shared" si="469"/>
        <v>511.90000000000009</v>
      </c>
      <c r="Z27" s="781">
        <f t="shared" si="469"/>
        <v>511.90000000000009</v>
      </c>
      <c r="AA27" s="781">
        <f t="shared" si="469"/>
        <v>511.90000000000009</v>
      </c>
      <c r="AB27" s="781">
        <f t="shared" si="469"/>
        <v>511.90000000000009</v>
      </c>
      <c r="AC27" s="781">
        <f t="shared" si="469"/>
        <v>511.90000000000009</v>
      </c>
      <c r="AD27" s="711" t="s">
        <v>384</v>
      </c>
      <c r="AE27" s="711" t="s">
        <v>375</v>
      </c>
      <c r="AF27" s="1024" t="s">
        <v>377</v>
      </c>
      <c r="AG27" s="711" t="s">
        <v>1657</v>
      </c>
      <c r="AH27" s="711" t="s">
        <v>1</v>
      </c>
      <c r="AI27" s="711" t="s">
        <v>378</v>
      </c>
      <c r="AJ27" s="711" t="s">
        <v>378</v>
      </c>
      <c r="AK27" s="711" t="s">
        <v>378</v>
      </c>
      <c r="AL27" s="715" t="s">
        <v>943</v>
      </c>
      <c r="AM27" s="715" t="s">
        <v>380</v>
      </c>
      <c r="AN27" s="715" t="s">
        <v>381</v>
      </c>
      <c r="AO27" s="711">
        <v>1</v>
      </c>
      <c r="AP27" s="711">
        <v>1</v>
      </c>
      <c r="AQ27" s="711" t="s">
        <v>1534</v>
      </c>
      <c r="AR27" s="716">
        <v>1</v>
      </c>
      <c r="AS27" s="716">
        <v>1</v>
      </c>
      <c r="AT27" s="717">
        <v>0</v>
      </c>
      <c r="AU27" s="718">
        <f t="shared" si="470"/>
        <v>0</v>
      </c>
      <c r="AV27" s="499">
        <f>AU27</f>
        <v>0</v>
      </c>
      <c r="AW27" s="499">
        <f t="shared" si="471"/>
        <v>0</v>
      </c>
      <c r="AX27" s="499">
        <f>AU27</f>
        <v>0</v>
      </c>
      <c r="AY27" s="499">
        <f t="shared" ref="AY27" si="530">AV27</f>
        <v>0</v>
      </c>
      <c r="AZ27" s="499">
        <f t="shared" ref="AZ27:BA27" si="531">AW27</f>
        <v>0</v>
      </c>
      <c r="BA27" s="719">
        <f t="shared" si="531"/>
        <v>0</v>
      </c>
      <c r="BB27" s="774">
        <f t="shared" ref="BB27:BB31" si="532">J27</f>
        <v>0</v>
      </c>
      <c r="BC27" s="499">
        <f t="shared" si="473"/>
        <v>0</v>
      </c>
      <c r="BD27" s="499">
        <f t="shared" si="473"/>
        <v>0</v>
      </c>
      <c r="BE27" s="499">
        <f t="shared" si="473"/>
        <v>0</v>
      </c>
      <c r="BF27" s="499">
        <f t="shared" ref="BF27" si="533">BE27</f>
        <v>0</v>
      </c>
      <c r="BG27" s="499">
        <f t="shared" ref="BG27:BH27" si="534">BF27</f>
        <v>0</v>
      </c>
      <c r="BH27" s="719">
        <f t="shared" si="534"/>
        <v>0</v>
      </c>
      <c r="BI27" s="774">
        <f>N27+O27</f>
        <v>120</v>
      </c>
      <c r="BJ27" s="503">
        <f>BI27</f>
        <v>120</v>
      </c>
      <c r="BK27" s="503">
        <f t="shared" ref="BK27:BO27" si="535">BJ27</f>
        <v>120</v>
      </c>
      <c r="BL27" s="503">
        <f t="shared" si="535"/>
        <v>120</v>
      </c>
      <c r="BM27" s="503">
        <f t="shared" si="535"/>
        <v>120</v>
      </c>
      <c r="BN27" s="503">
        <f t="shared" si="535"/>
        <v>120</v>
      </c>
      <c r="BO27" s="503">
        <f t="shared" si="535"/>
        <v>120</v>
      </c>
      <c r="BP27" s="774">
        <f t="shared" si="21"/>
        <v>0</v>
      </c>
      <c r="BQ27" s="503">
        <f t="shared" si="21"/>
        <v>0</v>
      </c>
      <c r="BR27" s="503">
        <f t="shared" si="21"/>
        <v>0</v>
      </c>
      <c r="BS27" s="503">
        <f t="shared" si="21"/>
        <v>0</v>
      </c>
      <c r="BT27" s="503">
        <f t="shared" si="21"/>
        <v>0</v>
      </c>
      <c r="BU27" s="503">
        <f t="shared" si="21"/>
        <v>0</v>
      </c>
      <c r="BV27" s="776">
        <f t="shared" si="21"/>
        <v>0</v>
      </c>
      <c r="BW27" s="722">
        <f t="shared" si="480"/>
        <v>0</v>
      </c>
      <c r="BX27" s="511">
        <f t="shared" si="481"/>
        <v>0</v>
      </c>
      <c r="BY27" s="511">
        <f t="shared" si="481"/>
        <v>0</v>
      </c>
      <c r="BZ27" s="511">
        <f t="shared" si="481"/>
        <v>0</v>
      </c>
      <c r="CA27" s="511">
        <f t="shared" ref="CA27" si="536">BZ27</f>
        <v>0</v>
      </c>
      <c r="CB27" s="511">
        <f t="shared" ref="CB27:CC27" si="537">CA27</f>
        <v>0</v>
      </c>
      <c r="CC27" s="723">
        <f t="shared" si="537"/>
        <v>0</v>
      </c>
      <c r="CD27" s="511">
        <f t="shared" si="483"/>
        <v>0.59968017057569301</v>
      </c>
      <c r="CE27" s="511">
        <f t="shared" si="484"/>
        <v>0.59968017057569301</v>
      </c>
      <c r="CF27" s="511">
        <f t="shared" si="484"/>
        <v>0.59968017057569301</v>
      </c>
      <c r="CG27" s="511">
        <f t="shared" si="484"/>
        <v>0.59968017057569301</v>
      </c>
      <c r="CH27" s="511">
        <f t="shared" ref="CH27" si="538">CG27</f>
        <v>0.59968017057569301</v>
      </c>
      <c r="CI27" s="511">
        <f t="shared" ref="CI27:CJ27" si="539">CH27</f>
        <v>0.59968017057569301</v>
      </c>
      <c r="CJ27" s="723">
        <f t="shared" si="539"/>
        <v>0.59968017057569301</v>
      </c>
      <c r="CK27" s="722">
        <f t="shared" si="486"/>
        <v>0</v>
      </c>
      <c r="CL27" s="511">
        <f t="shared" si="487"/>
        <v>0</v>
      </c>
      <c r="CM27" s="511">
        <f t="shared" si="487"/>
        <v>0</v>
      </c>
      <c r="CN27" s="511">
        <f t="shared" si="487"/>
        <v>0</v>
      </c>
      <c r="CO27" s="511">
        <f t="shared" ref="CO27" si="540">CN27</f>
        <v>0</v>
      </c>
      <c r="CP27" s="511">
        <f t="shared" ref="CP27:CQ27" si="541">CO27</f>
        <v>0</v>
      </c>
      <c r="CQ27" s="539">
        <f t="shared" si="541"/>
        <v>0</v>
      </c>
      <c r="CR27" s="724">
        <f t="shared" ref="CR27:CR34" si="542">W27*AU27</f>
        <v>0</v>
      </c>
      <c r="CS27" s="508">
        <f t="shared" si="489"/>
        <v>0</v>
      </c>
      <c r="CT27" s="508">
        <f t="shared" si="490"/>
        <v>0</v>
      </c>
      <c r="CU27" s="508">
        <f t="shared" si="491"/>
        <v>0</v>
      </c>
      <c r="CV27" s="508">
        <f t="shared" si="492"/>
        <v>0</v>
      </c>
      <c r="CW27" s="508">
        <f t="shared" si="493"/>
        <v>0</v>
      </c>
      <c r="CX27" s="726">
        <f t="shared" si="494"/>
        <v>0</v>
      </c>
      <c r="CY27" s="724">
        <f t="shared" ref="CY27:CY34" si="543">W27*BB27</f>
        <v>0</v>
      </c>
      <c r="CZ27" s="508">
        <f t="shared" si="495"/>
        <v>0</v>
      </c>
      <c r="DA27" s="508">
        <f t="shared" si="496"/>
        <v>0</v>
      </c>
      <c r="DB27" s="508">
        <f t="shared" si="497"/>
        <v>0</v>
      </c>
      <c r="DC27" s="508">
        <f t="shared" si="498"/>
        <v>0</v>
      </c>
      <c r="DD27" s="508">
        <f t="shared" si="499"/>
        <v>0</v>
      </c>
      <c r="DE27" s="726">
        <f t="shared" si="500"/>
        <v>0</v>
      </c>
      <c r="DF27" s="724">
        <f t="shared" ref="DF27:DF34" si="544">W27*BI27</f>
        <v>23196</v>
      </c>
      <c r="DG27" s="508">
        <f t="shared" si="501"/>
        <v>33852</v>
      </c>
      <c r="DH27" s="508">
        <f t="shared" si="502"/>
        <v>61428.000000000015</v>
      </c>
      <c r="DI27" s="508">
        <f t="shared" si="503"/>
        <v>61428.000000000015</v>
      </c>
      <c r="DJ27" s="508">
        <f t="shared" si="504"/>
        <v>61428.000000000015</v>
      </c>
      <c r="DK27" s="508">
        <f t="shared" si="505"/>
        <v>61428.000000000015</v>
      </c>
      <c r="DL27" s="726">
        <f t="shared" ref="DL27:DL34" si="545">AC27*BO27</f>
        <v>61428.000000000015</v>
      </c>
      <c r="DM27" s="724">
        <f t="shared" ref="DM27:DM34" si="546">BP27*W27</f>
        <v>0</v>
      </c>
      <c r="DN27" s="508">
        <f t="shared" si="506"/>
        <v>0</v>
      </c>
      <c r="DO27" s="508">
        <f t="shared" si="507"/>
        <v>0</v>
      </c>
      <c r="DP27" s="508">
        <f t="shared" si="508"/>
        <v>0</v>
      </c>
      <c r="DQ27" s="508">
        <f t="shared" si="509"/>
        <v>0</v>
      </c>
      <c r="DR27" s="508">
        <f t="shared" si="510"/>
        <v>0</v>
      </c>
      <c r="DS27" s="725">
        <f t="shared" si="511"/>
        <v>0</v>
      </c>
      <c r="DT27" s="722">
        <f t="shared" ref="DT27:DT34" si="547">W27*BW27</f>
        <v>0</v>
      </c>
      <c r="DU27" s="507">
        <f t="shared" si="512"/>
        <v>0</v>
      </c>
      <c r="DV27" s="507">
        <f t="shared" si="513"/>
        <v>0</v>
      </c>
      <c r="DW27" s="507">
        <f t="shared" si="514"/>
        <v>0</v>
      </c>
      <c r="DX27" s="507">
        <f t="shared" si="515"/>
        <v>0</v>
      </c>
      <c r="DY27" s="507">
        <f t="shared" si="516"/>
        <v>0</v>
      </c>
      <c r="DZ27" s="453">
        <f t="shared" si="517"/>
        <v>0</v>
      </c>
      <c r="EA27" s="722">
        <f t="shared" ref="EA27:EA34" si="548">W27*CD27</f>
        <v>115.91817697228146</v>
      </c>
      <c r="EB27" s="507">
        <f t="shared" si="518"/>
        <v>169.169776119403</v>
      </c>
      <c r="EC27" s="507">
        <f t="shared" si="519"/>
        <v>306.97627931769728</v>
      </c>
      <c r="ED27" s="507">
        <f t="shared" si="520"/>
        <v>306.97627931769728</v>
      </c>
      <c r="EE27" s="507">
        <f t="shared" si="521"/>
        <v>306.97627931769728</v>
      </c>
      <c r="EF27" s="507">
        <f t="shared" si="522"/>
        <v>306.97627931769728</v>
      </c>
      <c r="EG27" s="452">
        <f t="shared" si="523"/>
        <v>306.97627931769728</v>
      </c>
      <c r="EH27" s="722">
        <f t="shared" ref="EH27:EH34" si="549">W27*CK27</f>
        <v>0</v>
      </c>
      <c r="EI27" s="511">
        <f t="shared" si="524"/>
        <v>0</v>
      </c>
      <c r="EJ27" s="511">
        <f t="shared" si="525"/>
        <v>0</v>
      </c>
      <c r="EK27" s="511">
        <f t="shared" si="526"/>
        <v>0</v>
      </c>
      <c r="EL27" s="511">
        <f t="shared" si="527"/>
        <v>0</v>
      </c>
      <c r="EM27" s="511">
        <f t="shared" si="528"/>
        <v>0</v>
      </c>
      <c r="EN27" s="723">
        <f t="shared" si="529"/>
        <v>0</v>
      </c>
      <c r="EO27" s="977">
        <f t="shared" si="102"/>
        <v>433.55714285714294</v>
      </c>
      <c r="EP27" s="728">
        <f t="shared" si="103"/>
        <v>0</v>
      </c>
      <c r="EQ27" s="728">
        <f t="shared" si="104"/>
        <v>0</v>
      </c>
      <c r="ER27" s="728">
        <f t="shared" si="105"/>
        <v>364188.00000000006</v>
      </c>
      <c r="ES27" s="728">
        <f t="shared" si="106"/>
        <v>0</v>
      </c>
      <c r="ET27" s="978">
        <f t="shared" si="107"/>
        <v>0</v>
      </c>
      <c r="EU27" s="978">
        <f t="shared" si="108"/>
        <v>306.97627931769728</v>
      </c>
      <c r="EV27" s="778">
        <f t="shared" si="109"/>
        <v>0</v>
      </c>
      <c r="EW27" s="10"/>
      <c r="EX27" s="10"/>
      <c r="EY27" s="10"/>
      <c r="EZ27" s="10"/>
      <c r="FA27" s="10"/>
      <c r="FB27" s="10"/>
      <c r="FC27" s="10"/>
      <c r="FD27" s="10"/>
      <c r="FE27" s="10"/>
    </row>
    <row r="28" spans="1:161" s="96" customFormat="1" ht="12.5">
      <c r="A28" s="661" t="s">
        <v>179</v>
      </c>
      <c r="B28" s="703" t="str">
        <f t="shared" si="466"/>
        <v>LG&amp;E-LI - Cooling</v>
      </c>
      <c r="C28" s="715" t="s">
        <v>1654</v>
      </c>
      <c r="D28" s="715" t="s">
        <v>1514</v>
      </c>
      <c r="E28" s="703" t="s">
        <v>1515</v>
      </c>
      <c r="F28" s="1134" t="s">
        <v>402</v>
      </c>
      <c r="G28" s="1183">
        <v>0</v>
      </c>
      <c r="H28" s="704">
        <v>0</v>
      </c>
      <c r="I28" s="706">
        <f t="shared" ref="I28:I31" si="550">G28+H28</f>
        <v>0</v>
      </c>
      <c r="J28" s="704">
        <v>0</v>
      </c>
      <c r="K28" s="704" t="s">
        <v>378</v>
      </c>
      <c r="L28" s="704" t="s">
        <v>378</v>
      </c>
      <c r="M28" s="715">
        <v>0</v>
      </c>
      <c r="N28" s="1138">
        <f t="shared" si="467"/>
        <v>130</v>
      </c>
      <c r="O28" s="707">
        <v>0</v>
      </c>
      <c r="P28" s="707">
        <f t="shared" si="468"/>
        <v>36</v>
      </c>
      <c r="Q28" s="1191">
        <v>0</v>
      </c>
      <c r="R28" s="1185">
        <v>0.47974413646055442</v>
      </c>
      <c r="S28" s="715">
        <v>0</v>
      </c>
      <c r="T28" s="711" t="s">
        <v>1655</v>
      </c>
      <c r="U28" s="1124"/>
      <c r="V28" s="781"/>
      <c r="W28" s="781">
        <f t="shared" si="469"/>
        <v>261</v>
      </c>
      <c r="X28" s="781">
        <f t="shared" si="469"/>
        <v>522</v>
      </c>
      <c r="Y28" s="781">
        <f t="shared" si="469"/>
        <v>783</v>
      </c>
      <c r="Z28" s="781">
        <f t="shared" si="469"/>
        <v>1044</v>
      </c>
      <c r="AA28" s="781">
        <f t="shared" si="469"/>
        <v>1305</v>
      </c>
      <c r="AB28" s="781">
        <f t="shared" si="469"/>
        <v>1566</v>
      </c>
      <c r="AC28" s="781">
        <f t="shared" si="469"/>
        <v>1827</v>
      </c>
      <c r="AD28" s="711" t="s">
        <v>384</v>
      </c>
      <c r="AE28" s="711" t="s">
        <v>375</v>
      </c>
      <c r="AF28" s="1024" t="s">
        <v>377</v>
      </c>
      <c r="AG28" s="1126" t="s">
        <v>454</v>
      </c>
      <c r="AH28" s="711" t="s">
        <v>1</v>
      </c>
      <c r="AI28" s="711" t="s">
        <v>378</v>
      </c>
      <c r="AJ28" s="711" t="s">
        <v>378</v>
      </c>
      <c r="AK28" s="711" t="s">
        <v>378</v>
      </c>
      <c r="AL28" s="715" t="s">
        <v>406</v>
      </c>
      <c r="AM28" s="715" t="s">
        <v>380</v>
      </c>
      <c r="AN28" s="715" t="s">
        <v>381</v>
      </c>
      <c r="AO28" s="711">
        <v>1</v>
      </c>
      <c r="AP28" s="711">
        <v>1</v>
      </c>
      <c r="AQ28" s="711" t="s">
        <v>1534</v>
      </c>
      <c r="AR28" s="716">
        <v>1</v>
      </c>
      <c r="AS28" s="716">
        <v>1</v>
      </c>
      <c r="AT28" s="717">
        <v>0</v>
      </c>
      <c r="AU28" s="718">
        <f t="shared" si="470"/>
        <v>0</v>
      </c>
      <c r="AV28" s="499">
        <f t="shared" ref="AV28:AV34" si="551">AU28</f>
        <v>0</v>
      </c>
      <c r="AW28" s="499">
        <f t="shared" ref="AW28:AW31" si="552">AV28</f>
        <v>0</v>
      </c>
      <c r="AX28" s="499">
        <f t="shared" ref="AX28:AX31" si="553">AU28</f>
        <v>0</v>
      </c>
      <c r="AY28" s="499">
        <f t="shared" ref="AY28:AY31" si="554">AV28</f>
        <v>0</v>
      </c>
      <c r="AZ28" s="499">
        <f t="shared" ref="AZ28:AZ31" si="555">AW28</f>
        <v>0</v>
      </c>
      <c r="BA28" s="719">
        <f t="shared" ref="BA28:BA31" si="556">AX28</f>
        <v>0</v>
      </c>
      <c r="BB28" s="774">
        <f t="shared" si="532"/>
        <v>0</v>
      </c>
      <c r="BC28" s="499">
        <f t="shared" ref="BC28:BC31" si="557">BB28</f>
        <v>0</v>
      </c>
      <c r="BD28" s="499">
        <f t="shared" ref="BD28:BD31" si="558">BC28</f>
        <v>0</v>
      </c>
      <c r="BE28" s="499">
        <f t="shared" ref="BE28:BE31" si="559">BD28</f>
        <v>0</v>
      </c>
      <c r="BF28" s="499">
        <f t="shared" ref="BF28:BF31" si="560">BE28</f>
        <v>0</v>
      </c>
      <c r="BG28" s="499">
        <f t="shared" ref="BG28:BG31" si="561">BF28</f>
        <v>0</v>
      </c>
      <c r="BH28" s="719">
        <f t="shared" ref="BH28:BH31" si="562">BG28</f>
        <v>0</v>
      </c>
      <c r="BI28" s="774">
        <f t="shared" ref="BI28:BI34" si="563">IFERROR(N28+O28+W28*50/W28,0)</f>
        <v>180</v>
      </c>
      <c r="BJ28" s="503">
        <f t="shared" ref="BJ28:BJ34" si="564">IFERROR($N28+$O28+(X28-W28)*50/X28,0)</f>
        <v>155</v>
      </c>
      <c r="BK28" s="503">
        <f t="shared" si="475"/>
        <v>146.66666666666666</v>
      </c>
      <c r="BL28" s="503">
        <f t="shared" si="476"/>
        <v>142.5</v>
      </c>
      <c r="BM28" s="503">
        <f t="shared" si="477"/>
        <v>140</v>
      </c>
      <c r="BN28" s="503">
        <f t="shared" si="478"/>
        <v>138.33333333333334</v>
      </c>
      <c r="BO28" s="776">
        <f t="shared" si="479"/>
        <v>137.14285714285714</v>
      </c>
      <c r="BP28" s="774">
        <f t="shared" si="21"/>
        <v>36</v>
      </c>
      <c r="BQ28" s="503">
        <f t="shared" si="21"/>
        <v>36</v>
      </c>
      <c r="BR28" s="503">
        <f t="shared" si="21"/>
        <v>36</v>
      </c>
      <c r="BS28" s="503">
        <f t="shared" si="21"/>
        <v>36</v>
      </c>
      <c r="BT28" s="503">
        <f t="shared" si="21"/>
        <v>36</v>
      </c>
      <c r="BU28" s="503">
        <f t="shared" si="21"/>
        <v>36</v>
      </c>
      <c r="BV28" s="776">
        <f t="shared" si="21"/>
        <v>36</v>
      </c>
      <c r="BW28" s="722">
        <f t="shared" si="480"/>
        <v>0</v>
      </c>
      <c r="BX28" s="643"/>
      <c r="BY28" s="643"/>
      <c r="BZ28" s="643"/>
      <c r="CA28" s="643"/>
      <c r="CB28" s="643"/>
      <c r="CC28" s="644"/>
      <c r="CD28" s="511">
        <f t="shared" si="483"/>
        <v>0.47974413646055442</v>
      </c>
      <c r="CE28" s="511">
        <f t="shared" ref="CE28:CE34" si="565">CD28</f>
        <v>0.47974413646055442</v>
      </c>
      <c r="CF28" s="511">
        <f t="shared" ref="CF28:CF34" si="566">CE28</f>
        <v>0.47974413646055442</v>
      </c>
      <c r="CG28" s="511">
        <f t="shared" ref="CG28:CG34" si="567">CF28</f>
        <v>0.47974413646055442</v>
      </c>
      <c r="CH28" s="511">
        <f t="shared" ref="CH28:CH34" si="568">CG28</f>
        <v>0.47974413646055442</v>
      </c>
      <c r="CI28" s="511">
        <f t="shared" ref="CI28:CI34" si="569">CH28</f>
        <v>0.47974413646055442</v>
      </c>
      <c r="CJ28" s="723">
        <f t="shared" ref="CJ28:CJ34" si="570">CI28</f>
        <v>0.47974413646055442</v>
      </c>
      <c r="CK28" s="722">
        <f t="shared" si="486"/>
        <v>0</v>
      </c>
      <c r="CL28" s="511">
        <f t="shared" ref="CL28:CL34" si="571">CK28</f>
        <v>0</v>
      </c>
      <c r="CM28" s="511">
        <f t="shared" ref="CM28:CM34" si="572">CL28</f>
        <v>0</v>
      </c>
      <c r="CN28" s="511">
        <f t="shared" ref="CN28:CN34" si="573">CM28</f>
        <v>0</v>
      </c>
      <c r="CO28" s="511">
        <f t="shared" ref="CO28:CO34" si="574">CN28</f>
        <v>0</v>
      </c>
      <c r="CP28" s="511">
        <f t="shared" ref="CP28:CP34" si="575">CO28</f>
        <v>0</v>
      </c>
      <c r="CQ28" s="539">
        <f t="shared" ref="CQ28:CQ34" si="576">CP28</f>
        <v>0</v>
      </c>
      <c r="CR28" s="724">
        <f t="shared" si="542"/>
        <v>0</v>
      </c>
      <c r="CS28" s="508">
        <f t="shared" si="489"/>
        <v>0</v>
      </c>
      <c r="CT28" s="508">
        <f t="shared" si="490"/>
        <v>0</v>
      </c>
      <c r="CU28" s="508">
        <f t="shared" si="491"/>
        <v>0</v>
      </c>
      <c r="CV28" s="508">
        <f t="shared" si="492"/>
        <v>0</v>
      </c>
      <c r="CW28" s="508">
        <f t="shared" si="493"/>
        <v>0</v>
      </c>
      <c r="CX28" s="726">
        <f t="shared" si="494"/>
        <v>0</v>
      </c>
      <c r="CY28" s="724">
        <f t="shared" si="543"/>
        <v>0</v>
      </c>
      <c r="CZ28" s="508">
        <f t="shared" si="495"/>
        <v>0</v>
      </c>
      <c r="DA28" s="508">
        <f t="shared" si="496"/>
        <v>0</v>
      </c>
      <c r="DB28" s="508">
        <f t="shared" si="497"/>
        <v>0</v>
      </c>
      <c r="DC28" s="508">
        <f t="shared" si="498"/>
        <v>0</v>
      </c>
      <c r="DD28" s="508">
        <f t="shared" si="499"/>
        <v>0</v>
      </c>
      <c r="DE28" s="726">
        <f t="shared" si="500"/>
        <v>0</v>
      </c>
      <c r="DF28" s="724">
        <f t="shared" si="544"/>
        <v>46980</v>
      </c>
      <c r="DG28" s="508">
        <f t="shared" si="501"/>
        <v>80910</v>
      </c>
      <c r="DH28" s="508">
        <f t="shared" si="502"/>
        <v>114839.99999999999</v>
      </c>
      <c r="DI28" s="508">
        <f t="shared" si="503"/>
        <v>148770</v>
      </c>
      <c r="DJ28" s="508">
        <f t="shared" si="504"/>
        <v>182700</v>
      </c>
      <c r="DK28" s="508">
        <f t="shared" si="505"/>
        <v>216630.00000000003</v>
      </c>
      <c r="DL28" s="726">
        <f t="shared" si="545"/>
        <v>250560</v>
      </c>
      <c r="DM28" s="724">
        <f t="shared" si="546"/>
        <v>9396</v>
      </c>
      <c r="DN28" s="508">
        <f t="shared" si="506"/>
        <v>18792</v>
      </c>
      <c r="DO28" s="508">
        <f t="shared" si="507"/>
        <v>28188</v>
      </c>
      <c r="DP28" s="508">
        <f t="shared" si="508"/>
        <v>37584</v>
      </c>
      <c r="DQ28" s="508">
        <f t="shared" si="509"/>
        <v>46980</v>
      </c>
      <c r="DR28" s="508">
        <f t="shared" si="510"/>
        <v>56376</v>
      </c>
      <c r="DS28" s="725">
        <f t="shared" si="511"/>
        <v>65772</v>
      </c>
      <c r="DT28" s="722">
        <f t="shared" si="547"/>
        <v>0</v>
      </c>
      <c r="DU28" s="507">
        <f t="shared" si="512"/>
        <v>0</v>
      </c>
      <c r="DV28" s="507">
        <f t="shared" si="513"/>
        <v>0</v>
      </c>
      <c r="DW28" s="507">
        <f t="shared" si="514"/>
        <v>0</v>
      </c>
      <c r="DX28" s="507">
        <f t="shared" si="515"/>
        <v>0</v>
      </c>
      <c r="DY28" s="507">
        <f t="shared" si="516"/>
        <v>0</v>
      </c>
      <c r="DZ28" s="453">
        <f t="shared" si="517"/>
        <v>0</v>
      </c>
      <c r="EA28" s="722">
        <f t="shared" si="548"/>
        <v>125.2132196162047</v>
      </c>
      <c r="EB28" s="507">
        <f t="shared" si="518"/>
        <v>250.42643923240939</v>
      </c>
      <c r="EC28" s="507">
        <f t="shared" si="519"/>
        <v>375.63965884861409</v>
      </c>
      <c r="ED28" s="507">
        <f t="shared" si="520"/>
        <v>500.85287846481879</v>
      </c>
      <c r="EE28" s="507">
        <f t="shared" si="521"/>
        <v>626.06609808102348</v>
      </c>
      <c r="EF28" s="507">
        <f t="shared" si="522"/>
        <v>751.27931769722818</v>
      </c>
      <c r="EG28" s="452">
        <f t="shared" si="523"/>
        <v>876.49253731343288</v>
      </c>
      <c r="EH28" s="722">
        <f t="shared" si="549"/>
        <v>0</v>
      </c>
      <c r="EI28" s="511">
        <f t="shared" si="524"/>
        <v>0</v>
      </c>
      <c r="EJ28" s="511">
        <f t="shared" si="525"/>
        <v>0</v>
      </c>
      <c r="EK28" s="511">
        <f t="shared" si="526"/>
        <v>0</v>
      </c>
      <c r="EL28" s="511">
        <f t="shared" si="527"/>
        <v>0</v>
      </c>
      <c r="EM28" s="511">
        <f t="shared" si="528"/>
        <v>0</v>
      </c>
      <c r="EN28" s="723">
        <f t="shared" si="529"/>
        <v>0</v>
      </c>
      <c r="EO28" s="977">
        <f t="shared" si="102"/>
        <v>1044</v>
      </c>
      <c r="EP28" s="728">
        <f t="shared" si="103"/>
        <v>0</v>
      </c>
      <c r="EQ28" s="728">
        <f t="shared" si="104"/>
        <v>0</v>
      </c>
      <c r="ER28" s="728">
        <f t="shared" si="105"/>
        <v>1041390</v>
      </c>
      <c r="ES28" s="728">
        <f t="shared" si="106"/>
        <v>263088</v>
      </c>
      <c r="ET28" s="978">
        <f t="shared" si="107"/>
        <v>0</v>
      </c>
      <c r="EU28" s="978">
        <f t="shared" si="108"/>
        <v>876.49253731343288</v>
      </c>
      <c r="EV28" s="778">
        <f t="shared" si="109"/>
        <v>0</v>
      </c>
      <c r="EW28" s="10"/>
      <c r="EX28" s="10"/>
      <c r="EY28" s="10"/>
      <c r="EZ28" s="10"/>
      <c r="FA28" s="10"/>
      <c r="FB28" s="10"/>
      <c r="FC28" s="10"/>
      <c r="FD28" s="10"/>
      <c r="FE28" s="10"/>
    </row>
    <row r="29" spans="1:161" s="96" customFormat="1" ht="12.5">
      <c r="A29" s="661" t="s">
        <v>180</v>
      </c>
      <c r="B29" s="703" t="str">
        <f t="shared" si="466"/>
        <v>LG&amp;E-LI - Heating</v>
      </c>
      <c r="C29" s="715" t="s">
        <v>1654</v>
      </c>
      <c r="D29" s="715" t="s">
        <v>1514</v>
      </c>
      <c r="E29" s="703" t="s">
        <v>1515</v>
      </c>
      <c r="F29" s="1134" t="s">
        <v>402</v>
      </c>
      <c r="G29" s="1183">
        <v>0</v>
      </c>
      <c r="H29" s="704">
        <v>0</v>
      </c>
      <c r="I29" s="706">
        <f t="shared" si="550"/>
        <v>0</v>
      </c>
      <c r="J29" s="704">
        <v>0</v>
      </c>
      <c r="K29" s="704" t="s">
        <v>378</v>
      </c>
      <c r="L29" s="704" t="s">
        <v>378</v>
      </c>
      <c r="M29" s="715">
        <v>0</v>
      </c>
      <c r="N29" s="1138">
        <f t="shared" si="467"/>
        <v>120</v>
      </c>
      <c r="O29" s="707">
        <v>0</v>
      </c>
      <c r="P29" s="707">
        <f t="shared" si="468"/>
        <v>0</v>
      </c>
      <c r="Q29" s="1191">
        <v>0</v>
      </c>
      <c r="R29" s="1185">
        <v>0.59968017057569301</v>
      </c>
      <c r="S29" s="715">
        <v>0</v>
      </c>
      <c r="T29" s="711" t="s">
        <v>1655</v>
      </c>
      <c r="U29" s="1124"/>
      <c r="V29" s="781"/>
      <c r="W29" s="781">
        <f t="shared" si="469"/>
        <v>52.2</v>
      </c>
      <c r="X29" s="781">
        <f t="shared" si="469"/>
        <v>104.4</v>
      </c>
      <c r="Y29" s="781">
        <f t="shared" si="469"/>
        <v>156.60000000000002</v>
      </c>
      <c r="Z29" s="781">
        <f t="shared" si="469"/>
        <v>208.8</v>
      </c>
      <c r="AA29" s="781">
        <f t="shared" si="469"/>
        <v>261</v>
      </c>
      <c r="AB29" s="781">
        <f t="shared" si="469"/>
        <v>313.2</v>
      </c>
      <c r="AC29" s="781">
        <f t="shared" si="469"/>
        <v>365.4</v>
      </c>
      <c r="AD29" s="711" t="s">
        <v>384</v>
      </c>
      <c r="AE29" s="711" t="s">
        <v>375</v>
      </c>
      <c r="AF29" s="1024" t="s">
        <v>377</v>
      </c>
      <c r="AG29" s="711" t="s">
        <v>1657</v>
      </c>
      <c r="AH29" s="711" t="s">
        <v>1</v>
      </c>
      <c r="AI29" s="711" t="s">
        <v>378</v>
      </c>
      <c r="AJ29" s="711" t="s">
        <v>378</v>
      </c>
      <c r="AK29" s="711" t="s">
        <v>378</v>
      </c>
      <c r="AL29" s="715" t="s">
        <v>943</v>
      </c>
      <c r="AM29" s="715" t="s">
        <v>380</v>
      </c>
      <c r="AN29" s="715" t="s">
        <v>381</v>
      </c>
      <c r="AO29" s="711">
        <v>1</v>
      </c>
      <c r="AP29" s="711">
        <v>1</v>
      </c>
      <c r="AQ29" s="711" t="s">
        <v>1534</v>
      </c>
      <c r="AR29" s="716">
        <v>1</v>
      </c>
      <c r="AS29" s="716">
        <v>1</v>
      </c>
      <c r="AT29" s="717">
        <v>0</v>
      </c>
      <c r="AU29" s="718">
        <f t="shared" si="470"/>
        <v>0</v>
      </c>
      <c r="AV29" s="499">
        <f t="shared" si="551"/>
        <v>0</v>
      </c>
      <c r="AW29" s="499">
        <f t="shared" si="552"/>
        <v>0</v>
      </c>
      <c r="AX29" s="499">
        <f t="shared" si="553"/>
        <v>0</v>
      </c>
      <c r="AY29" s="499">
        <f t="shared" si="554"/>
        <v>0</v>
      </c>
      <c r="AZ29" s="499">
        <f t="shared" si="555"/>
        <v>0</v>
      </c>
      <c r="BA29" s="719">
        <f t="shared" si="556"/>
        <v>0</v>
      </c>
      <c r="BB29" s="774">
        <f t="shared" si="532"/>
        <v>0</v>
      </c>
      <c r="BC29" s="499">
        <f t="shared" si="557"/>
        <v>0</v>
      </c>
      <c r="BD29" s="499">
        <f t="shared" si="558"/>
        <v>0</v>
      </c>
      <c r="BE29" s="499">
        <f t="shared" si="559"/>
        <v>0</v>
      </c>
      <c r="BF29" s="499">
        <f t="shared" si="560"/>
        <v>0</v>
      </c>
      <c r="BG29" s="499">
        <f t="shared" si="561"/>
        <v>0</v>
      </c>
      <c r="BH29" s="719">
        <f t="shared" si="562"/>
        <v>0</v>
      </c>
      <c r="BI29" s="774">
        <f>N29+O29</f>
        <v>120</v>
      </c>
      <c r="BJ29" s="503">
        <f>BI29</f>
        <v>120</v>
      </c>
      <c r="BK29" s="503">
        <f t="shared" ref="BK29:BO29" si="577">BJ29</f>
        <v>120</v>
      </c>
      <c r="BL29" s="503">
        <f t="shared" si="577"/>
        <v>120</v>
      </c>
      <c r="BM29" s="503">
        <f t="shared" si="577"/>
        <v>120</v>
      </c>
      <c r="BN29" s="503">
        <f t="shared" si="577"/>
        <v>120</v>
      </c>
      <c r="BO29" s="503">
        <f t="shared" si="577"/>
        <v>120</v>
      </c>
      <c r="BP29" s="774">
        <f t="shared" ref="BP29:BV34" si="578">$P29</f>
        <v>0</v>
      </c>
      <c r="BQ29" s="503">
        <f t="shared" si="578"/>
        <v>0</v>
      </c>
      <c r="BR29" s="503">
        <f t="shared" si="578"/>
        <v>0</v>
      </c>
      <c r="BS29" s="503">
        <f t="shared" si="578"/>
        <v>0</v>
      </c>
      <c r="BT29" s="503">
        <f t="shared" si="578"/>
        <v>0</v>
      </c>
      <c r="BU29" s="503">
        <f t="shared" si="578"/>
        <v>0</v>
      </c>
      <c r="BV29" s="776">
        <f t="shared" si="578"/>
        <v>0</v>
      </c>
      <c r="BW29" s="722">
        <f t="shared" si="480"/>
        <v>0</v>
      </c>
      <c r="BX29" s="643"/>
      <c r="BY29" s="643"/>
      <c r="BZ29" s="643"/>
      <c r="CA29" s="643"/>
      <c r="CB29" s="643"/>
      <c r="CC29" s="644"/>
      <c r="CD29" s="511">
        <f t="shared" si="483"/>
        <v>0.59968017057569301</v>
      </c>
      <c r="CE29" s="511">
        <f t="shared" si="565"/>
        <v>0.59968017057569301</v>
      </c>
      <c r="CF29" s="511">
        <f t="shared" si="566"/>
        <v>0.59968017057569301</v>
      </c>
      <c r="CG29" s="511">
        <f t="shared" si="567"/>
        <v>0.59968017057569301</v>
      </c>
      <c r="CH29" s="511">
        <f t="shared" si="568"/>
        <v>0.59968017057569301</v>
      </c>
      <c r="CI29" s="511">
        <f t="shared" si="569"/>
        <v>0.59968017057569301</v>
      </c>
      <c r="CJ29" s="723">
        <f t="shared" si="570"/>
        <v>0.59968017057569301</v>
      </c>
      <c r="CK29" s="722">
        <f t="shared" si="486"/>
        <v>0</v>
      </c>
      <c r="CL29" s="511">
        <f t="shared" si="571"/>
        <v>0</v>
      </c>
      <c r="CM29" s="511">
        <f t="shared" si="572"/>
        <v>0</v>
      </c>
      <c r="CN29" s="511">
        <f t="shared" si="573"/>
        <v>0</v>
      </c>
      <c r="CO29" s="511">
        <f t="shared" si="574"/>
        <v>0</v>
      </c>
      <c r="CP29" s="511">
        <f t="shared" si="575"/>
        <v>0</v>
      </c>
      <c r="CQ29" s="539">
        <f t="shared" si="576"/>
        <v>0</v>
      </c>
      <c r="CR29" s="724">
        <f t="shared" si="542"/>
        <v>0</v>
      </c>
      <c r="CS29" s="508">
        <f t="shared" si="489"/>
        <v>0</v>
      </c>
      <c r="CT29" s="508">
        <f t="shared" si="490"/>
        <v>0</v>
      </c>
      <c r="CU29" s="508">
        <f t="shared" si="491"/>
        <v>0</v>
      </c>
      <c r="CV29" s="508">
        <f t="shared" si="492"/>
        <v>0</v>
      </c>
      <c r="CW29" s="508">
        <f t="shared" si="493"/>
        <v>0</v>
      </c>
      <c r="CX29" s="726">
        <f t="shared" si="494"/>
        <v>0</v>
      </c>
      <c r="CY29" s="724">
        <f t="shared" si="543"/>
        <v>0</v>
      </c>
      <c r="CZ29" s="508">
        <f t="shared" si="495"/>
        <v>0</v>
      </c>
      <c r="DA29" s="508">
        <f t="shared" si="496"/>
        <v>0</v>
      </c>
      <c r="DB29" s="508">
        <f t="shared" si="497"/>
        <v>0</v>
      </c>
      <c r="DC29" s="508">
        <f t="shared" si="498"/>
        <v>0</v>
      </c>
      <c r="DD29" s="508">
        <f t="shared" si="499"/>
        <v>0</v>
      </c>
      <c r="DE29" s="726">
        <f t="shared" si="500"/>
        <v>0</v>
      </c>
      <c r="DF29" s="724">
        <f t="shared" si="544"/>
        <v>6264</v>
      </c>
      <c r="DG29" s="508">
        <f t="shared" si="501"/>
        <v>12528</v>
      </c>
      <c r="DH29" s="508">
        <f t="shared" si="502"/>
        <v>18792.000000000004</v>
      </c>
      <c r="DI29" s="508">
        <f t="shared" si="503"/>
        <v>25056</v>
      </c>
      <c r="DJ29" s="508">
        <f t="shared" si="504"/>
        <v>31320</v>
      </c>
      <c r="DK29" s="508">
        <f t="shared" si="505"/>
        <v>37584</v>
      </c>
      <c r="DL29" s="726">
        <f t="shared" si="545"/>
        <v>43848</v>
      </c>
      <c r="DM29" s="724">
        <f t="shared" si="546"/>
        <v>0</v>
      </c>
      <c r="DN29" s="508">
        <f t="shared" si="506"/>
        <v>0</v>
      </c>
      <c r="DO29" s="508">
        <f t="shared" si="507"/>
        <v>0</v>
      </c>
      <c r="DP29" s="508">
        <f t="shared" si="508"/>
        <v>0</v>
      </c>
      <c r="DQ29" s="508">
        <f t="shared" si="509"/>
        <v>0</v>
      </c>
      <c r="DR29" s="508">
        <f t="shared" si="510"/>
        <v>0</v>
      </c>
      <c r="DS29" s="725">
        <f t="shared" si="511"/>
        <v>0</v>
      </c>
      <c r="DT29" s="722">
        <f t="shared" si="547"/>
        <v>0</v>
      </c>
      <c r="DU29" s="507">
        <f t="shared" si="512"/>
        <v>0</v>
      </c>
      <c r="DV29" s="507">
        <f t="shared" si="513"/>
        <v>0</v>
      </c>
      <c r="DW29" s="507">
        <f t="shared" si="514"/>
        <v>0</v>
      </c>
      <c r="DX29" s="507">
        <f t="shared" si="515"/>
        <v>0</v>
      </c>
      <c r="DY29" s="507">
        <f t="shared" si="516"/>
        <v>0</v>
      </c>
      <c r="DZ29" s="453">
        <f t="shared" si="517"/>
        <v>0</v>
      </c>
      <c r="EA29" s="722">
        <f t="shared" si="548"/>
        <v>31.303304904051178</v>
      </c>
      <c r="EB29" s="507">
        <f t="shared" si="518"/>
        <v>62.606609808102355</v>
      </c>
      <c r="EC29" s="507">
        <f t="shared" si="519"/>
        <v>93.909914712153537</v>
      </c>
      <c r="ED29" s="507">
        <f t="shared" si="520"/>
        <v>125.21321961620471</v>
      </c>
      <c r="EE29" s="507">
        <f t="shared" si="521"/>
        <v>156.51652452025587</v>
      </c>
      <c r="EF29" s="507">
        <f t="shared" si="522"/>
        <v>187.81982942430704</v>
      </c>
      <c r="EG29" s="452">
        <f t="shared" si="523"/>
        <v>219.12313432835822</v>
      </c>
      <c r="EH29" s="722">
        <f t="shared" si="549"/>
        <v>0</v>
      </c>
      <c r="EI29" s="511">
        <f t="shared" si="524"/>
        <v>0</v>
      </c>
      <c r="EJ29" s="511">
        <f t="shared" si="525"/>
        <v>0</v>
      </c>
      <c r="EK29" s="511">
        <f t="shared" si="526"/>
        <v>0</v>
      </c>
      <c r="EL29" s="511">
        <f t="shared" si="527"/>
        <v>0</v>
      </c>
      <c r="EM29" s="511">
        <f t="shared" si="528"/>
        <v>0</v>
      </c>
      <c r="EN29" s="723">
        <f t="shared" si="529"/>
        <v>0</v>
      </c>
      <c r="EO29" s="977">
        <f t="shared" si="102"/>
        <v>208.79999999999998</v>
      </c>
      <c r="EP29" s="728">
        <f t="shared" si="103"/>
        <v>0</v>
      </c>
      <c r="EQ29" s="728">
        <f t="shared" si="104"/>
        <v>0</v>
      </c>
      <c r="ER29" s="728">
        <f t="shared" si="105"/>
        <v>175392</v>
      </c>
      <c r="ES29" s="728">
        <f t="shared" si="106"/>
        <v>0</v>
      </c>
      <c r="ET29" s="978">
        <f t="shared" si="107"/>
        <v>0</v>
      </c>
      <c r="EU29" s="978">
        <f t="shared" si="108"/>
        <v>219.12313432835822</v>
      </c>
      <c r="EV29" s="778">
        <f t="shared" si="109"/>
        <v>0</v>
      </c>
      <c r="EW29" s="10"/>
      <c r="EX29" s="10"/>
      <c r="EY29" s="10"/>
      <c r="EZ29" s="10"/>
      <c r="FA29" s="10"/>
      <c r="FB29" s="10"/>
      <c r="FC29" s="10"/>
      <c r="FD29" s="10"/>
      <c r="FE29" s="10"/>
    </row>
    <row r="30" spans="1:161" s="96" customFormat="1" ht="12.5">
      <c r="A30" s="661" t="s">
        <v>181</v>
      </c>
      <c r="B30" s="703" t="str">
        <f t="shared" si="466"/>
        <v>LG&amp;E-Marketplace - Cooling</v>
      </c>
      <c r="C30" s="715" t="s">
        <v>1654</v>
      </c>
      <c r="D30" s="715" t="s">
        <v>1514</v>
      </c>
      <c r="E30" s="703" t="s">
        <v>1515</v>
      </c>
      <c r="F30" s="1134" t="s">
        <v>402</v>
      </c>
      <c r="G30" s="1183">
        <v>0</v>
      </c>
      <c r="H30" s="704">
        <v>0</v>
      </c>
      <c r="I30" s="706">
        <f t="shared" si="550"/>
        <v>0</v>
      </c>
      <c r="J30" s="704">
        <v>0</v>
      </c>
      <c r="K30" s="704" t="s">
        <v>378</v>
      </c>
      <c r="L30" s="704" t="s">
        <v>378</v>
      </c>
      <c r="M30" s="715">
        <v>0</v>
      </c>
      <c r="N30" s="1138">
        <f t="shared" si="467"/>
        <v>130</v>
      </c>
      <c r="O30" s="707">
        <v>0</v>
      </c>
      <c r="P30" s="707">
        <f t="shared" si="468"/>
        <v>36</v>
      </c>
      <c r="Q30" s="1191">
        <v>0</v>
      </c>
      <c r="R30" s="1185">
        <v>0.47974413646055442</v>
      </c>
      <c r="S30" s="715">
        <v>0</v>
      </c>
      <c r="T30" s="711" t="s">
        <v>1655</v>
      </c>
      <c r="U30" s="1124"/>
      <c r="V30" s="781"/>
      <c r="W30" s="781">
        <f t="shared" si="469"/>
        <v>522.5</v>
      </c>
      <c r="X30" s="781">
        <f t="shared" si="469"/>
        <v>1567.5</v>
      </c>
      <c r="Y30" s="781">
        <f t="shared" si="469"/>
        <v>3507.5</v>
      </c>
      <c r="Z30" s="781">
        <f t="shared" si="469"/>
        <v>7537.5</v>
      </c>
      <c r="AA30" s="781">
        <f t="shared" si="469"/>
        <v>13437.5</v>
      </c>
      <c r="AB30" s="781">
        <f t="shared" si="469"/>
        <v>19337.5</v>
      </c>
      <c r="AC30" s="781">
        <f t="shared" si="469"/>
        <v>25237.5</v>
      </c>
      <c r="AD30" s="711" t="s">
        <v>384</v>
      </c>
      <c r="AE30" s="711" t="s">
        <v>375</v>
      </c>
      <c r="AF30" s="1024" t="s">
        <v>377</v>
      </c>
      <c r="AG30" s="1126" t="s">
        <v>454</v>
      </c>
      <c r="AH30" s="711" t="s">
        <v>1</v>
      </c>
      <c r="AI30" s="711" t="s">
        <v>378</v>
      </c>
      <c r="AJ30" s="711" t="s">
        <v>378</v>
      </c>
      <c r="AK30" s="711" t="s">
        <v>378</v>
      </c>
      <c r="AL30" s="715" t="s">
        <v>406</v>
      </c>
      <c r="AM30" s="715" t="s">
        <v>380</v>
      </c>
      <c r="AN30" s="715" t="s">
        <v>381</v>
      </c>
      <c r="AO30" s="711">
        <v>1</v>
      </c>
      <c r="AP30" s="711">
        <v>1</v>
      </c>
      <c r="AQ30" s="711" t="s">
        <v>1534</v>
      </c>
      <c r="AR30" s="716">
        <v>1</v>
      </c>
      <c r="AS30" s="716">
        <v>1</v>
      </c>
      <c r="AT30" s="717">
        <v>0</v>
      </c>
      <c r="AU30" s="718">
        <f t="shared" si="470"/>
        <v>0</v>
      </c>
      <c r="AV30" s="499">
        <f t="shared" si="551"/>
        <v>0</v>
      </c>
      <c r="AW30" s="499">
        <f t="shared" si="552"/>
        <v>0</v>
      </c>
      <c r="AX30" s="499">
        <f t="shared" si="553"/>
        <v>0</v>
      </c>
      <c r="AY30" s="499">
        <f t="shared" si="554"/>
        <v>0</v>
      </c>
      <c r="AZ30" s="499">
        <f t="shared" si="555"/>
        <v>0</v>
      </c>
      <c r="BA30" s="719">
        <f t="shared" si="556"/>
        <v>0</v>
      </c>
      <c r="BB30" s="774">
        <f t="shared" si="532"/>
        <v>0</v>
      </c>
      <c r="BC30" s="499">
        <f t="shared" si="557"/>
        <v>0</v>
      </c>
      <c r="BD30" s="499">
        <f t="shared" si="558"/>
        <v>0</v>
      </c>
      <c r="BE30" s="499">
        <f t="shared" si="559"/>
        <v>0</v>
      </c>
      <c r="BF30" s="499">
        <f t="shared" si="560"/>
        <v>0</v>
      </c>
      <c r="BG30" s="499">
        <f t="shared" si="561"/>
        <v>0</v>
      </c>
      <c r="BH30" s="719">
        <f t="shared" si="562"/>
        <v>0</v>
      </c>
      <c r="BI30" s="774">
        <f t="shared" si="563"/>
        <v>180</v>
      </c>
      <c r="BJ30" s="503">
        <f t="shared" si="564"/>
        <v>163.33333333333334</v>
      </c>
      <c r="BK30" s="503">
        <f t="shared" si="475"/>
        <v>157.65502494654311</v>
      </c>
      <c r="BL30" s="503">
        <f t="shared" si="476"/>
        <v>156.7330016583748</v>
      </c>
      <c r="BM30" s="503">
        <f t="shared" si="477"/>
        <v>151.95348837209303</v>
      </c>
      <c r="BN30" s="503">
        <f t="shared" si="478"/>
        <v>145.25533290239173</v>
      </c>
      <c r="BO30" s="776">
        <f t="shared" si="479"/>
        <v>141.68895492818226</v>
      </c>
      <c r="BP30" s="774">
        <f t="shared" si="578"/>
        <v>36</v>
      </c>
      <c r="BQ30" s="503">
        <f t="shared" si="578"/>
        <v>36</v>
      </c>
      <c r="BR30" s="503">
        <f t="shared" si="578"/>
        <v>36</v>
      </c>
      <c r="BS30" s="503">
        <f t="shared" si="578"/>
        <v>36</v>
      </c>
      <c r="BT30" s="503">
        <f t="shared" si="578"/>
        <v>36</v>
      </c>
      <c r="BU30" s="503">
        <f t="shared" si="578"/>
        <v>36</v>
      </c>
      <c r="BV30" s="776">
        <f t="shared" si="578"/>
        <v>36</v>
      </c>
      <c r="BW30" s="722">
        <f t="shared" si="480"/>
        <v>0</v>
      </c>
      <c r="BX30" s="643"/>
      <c r="BY30" s="643"/>
      <c r="BZ30" s="643"/>
      <c r="CA30" s="643"/>
      <c r="CB30" s="643"/>
      <c r="CC30" s="644"/>
      <c r="CD30" s="511">
        <f t="shared" si="483"/>
        <v>0.47974413646055442</v>
      </c>
      <c r="CE30" s="511">
        <f t="shared" si="565"/>
        <v>0.47974413646055442</v>
      </c>
      <c r="CF30" s="511">
        <f t="shared" si="566"/>
        <v>0.47974413646055442</v>
      </c>
      <c r="CG30" s="511">
        <f t="shared" si="567"/>
        <v>0.47974413646055442</v>
      </c>
      <c r="CH30" s="511">
        <f t="shared" si="568"/>
        <v>0.47974413646055442</v>
      </c>
      <c r="CI30" s="511">
        <f t="shared" si="569"/>
        <v>0.47974413646055442</v>
      </c>
      <c r="CJ30" s="723">
        <f t="shared" si="570"/>
        <v>0.47974413646055442</v>
      </c>
      <c r="CK30" s="722">
        <f t="shared" si="486"/>
        <v>0</v>
      </c>
      <c r="CL30" s="511">
        <f t="shared" si="571"/>
        <v>0</v>
      </c>
      <c r="CM30" s="511">
        <f t="shared" si="572"/>
        <v>0</v>
      </c>
      <c r="CN30" s="511">
        <f t="shared" si="573"/>
        <v>0</v>
      </c>
      <c r="CO30" s="511">
        <f t="shared" si="574"/>
        <v>0</v>
      </c>
      <c r="CP30" s="511">
        <f t="shared" si="575"/>
        <v>0</v>
      </c>
      <c r="CQ30" s="539">
        <f t="shared" si="576"/>
        <v>0</v>
      </c>
      <c r="CR30" s="724">
        <f t="shared" si="542"/>
        <v>0</v>
      </c>
      <c r="CS30" s="508">
        <f t="shared" si="489"/>
        <v>0</v>
      </c>
      <c r="CT30" s="508">
        <f t="shared" si="490"/>
        <v>0</v>
      </c>
      <c r="CU30" s="508">
        <f t="shared" si="491"/>
        <v>0</v>
      </c>
      <c r="CV30" s="508">
        <f t="shared" si="492"/>
        <v>0</v>
      </c>
      <c r="CW30" s="508">
        <f t="shared" si="493"/>
        <v>0</v>
      </c>
      <c r="CX30" s="726">
        <f t="shared" si="494"/>
        <v>0</v>
      </c>
      <c r="CY30" s="724">
        <f t="shared" si="543"/>
        <v>0</v>
      </c>
      <c r="CZ30" s="508">
        <f t="shared" si="495"/>
        <v>0</v>
      </c>
      <c r="DA30" s="508">
        <f t="shared" si="496"/>
        <v>0</v>
      </c>
      <c r="DB30" s="508">
        <f t="shared" si="497"/>
        <v>0</v>
      </c>
      <c r="DC30" s="508">
        <f t="shared" si="498"/>
        <v>0</v>
      </c>
      <c r="DD30" s="508">
        <f t="shared" si="499"/>
        <v>0</v>
      </c>
      <c r="DE30" s="726">
        <f t="shared" si="500"/>
        <v>0</v>
      </c>
      <c r="DF30" s="724">
        <f t="shared" si="544"/>
        <v>94050</v>
      </c>
      <c r="DG30" s="508">
        <f t="shared" si="501"/>
        <v>256025.00000000003</v>
      </c>
      <c r="DH30" s="508">
        <f t="shared" si="502"/>
        <v>552975</v>
      </c>
      <c r="DI30" s="508">
        <f t="shared" si="503"/>
        <v>1181375</v>
      </c>
      <c r="DJ30" s="508">
        <f t="shared" si="504"/>
        <v>2041875.0000000002</v>
      </c>
      <c r="DK30" s="508">
        <f t="shared" si="505"/>
        <v>2808875</v>
      </c>
      <c r="DL30" s="726">
        <f t="shared" si="545"/>
        <v>3575874.9999999995</v>
      </c>
      <c r="DM30" s="724">
        <f t="shared" si="546"/>
        <v>18810</v>
      </c>
      <c r="DN30" s="508">
        <f t="shared" si="506"/>
        <v>56430</v>
      </c>
      <c r="DO30" s="508">
        <f t="shared" si="507"/>
        <v>126270</v>
      </c>
      <c r="DP30" s="508">
        <f t="shared" si="508"/>
        <v>271350</v>
      </c>
      <c r="DQ30" s="508">
        <f t="shared" si="509"/>
        <v>483750</v>
      </c>
      <c r="DR30" s="508">
        <f t="shared" si="510"/>
        <v>696150</v>
      </c>
      <c r="DS30" s="725">
        <f t="shared" si="511"/>
        <v>908550</v>
      </c>
      <c r="DT30" s="722">
        <f t="shared" si="547"/>
        <v>0</v>
      </c>
      <c r="DU30" s="507">
        <f t="shared" si="512"/>
        <v>0</v>
      </c>
      <c r="DV30" s="507">
        <f t="shared" si="513"/>
        <v>0</v>
      </c>
      <c r="DW30" s="507">
        <f t="shared" si="514"/>
        <v>0</v>
      </c>
      <c r="DX30" s="507">
        <f t="shared" si="515"/>
        <v>0</v>
      </c>
      <c r="DY30" s="507">
        <f t="shared" si="516"/>
        <v>0</v>
      </c>
      <c r="DZ30" s="453">
        <f t="shared" si="517"/>
        <v>0</v>
      </c>
      <c r="EA30" s="722">
        <f t="shared" si="548"/>
        <v>250.66631130063968</v>
      </c>
      <c r="EB30" s="507">
        <f t="shared" si="518"/>
        <v>751.99893390191903</v>
      </c>
      <c r="EC30" s="507">
        <f t="shared" si="519"/>
        <v>1682.7025586353946</v>
      </c>
      <c r="ED30" s="507">
        <f t="shared" si="520"/>
        <v>3616.0714285714289</v>
      </c>
      <c r="EE30" s="507">
        <f t="shared" si="521"/>
        <v>6446.5618336887001</v>
      </c>
      <c r="EF30" s="507">
        <f t="shared" si="522"/>
        <v>9277.0522388059708</v>
      </c>
      <c r="EG30" s="452">
        <f t="shared" si="523"/>
        <v>12107.542643923241</v>
      </c>
      <c r="EH30" s="722">
        <f t="shared" si="549"/>
        <v>0</v>
      </c>
      <c r="EI30" s="511">
        <f t="shared" si="524"/>
        <v>0</v>
      </c>
      <c r="EJ30" s="511">
        <f t="shared" si="525"/>
        <v>0</v>
      </c>
      <c r="EK30" s="511">
        <f t="shared" si="526"/>
        <v>0</v>
      </c>
      <c r="EL30" s="511">
        <f t="shared" si="527"/>
        <v>0</v>
      </c>
      <c r="EM30" s="511">
        <f t="shared" si="528"/>
        <v>0</v>
      </c>
      <c r="EN30" s="723">
        <f t="shared" si="529"/>
        <v>0</v>
      </c>
      <c r="EO30" s="977">
        <f t="shared" si="102"/>
        <v>10163.928571428571</v>
      </c>
      <c r="EP30" s="728">
        <f t="shared" si="103"/>
        <v>0</v>
      </c>
      <c r="EQ30" s="728">
        <f t="shared" si="104"/>
        <v>0</v>
      </c>
      <c r="ER30" s="728">
        <f t="shared" si="105"/>
        <v>10511050</v>
      </c>
      <c r="ES30" s="728">
        <f t="shared" si="106"/>
        <v>2561310</v>
      </c>
      <c r="ET30" s="978">
        <f t="shared" si="107"/>
        <v>0</v>
      </c>
      <c r="EU30" s="978">
        <f t="shared" si="108"/>
        <v>12107.542643923241</v>
      </c>
      <c r="EV30" s="778">
        <f t="shared" si="109"/>
        <v>0</v>
      </c>
      <c r="EW30" s="10"/>
      <c r="EX30" s="10"/>
      <c r="EY30" s="10"/>
      <c r="EZ30" s="10"/>
      <c r="FA30" s="10"/>
      <c r="FB30" s="10"/>
      <c r="FC30" s="10"/>
      <c r="FD30" s="10"/>
      <c r="FE30" s="10"/>
    </row>
    <row r="31" spans="1:161" s="96" customFormat="1" ht="12.5">
      <c r="A31" s="661" t="s">
        <v>182</v>
      </c>
      <c r="B31" s="703" t="str">
        <f t="shared" si="466"/>
        <v>LG&amp;E-Marketplace - Heating</v>
      </c>
      <c r="C31" s="715" t="s">
        <v>1654</v>
      </c>
      <c r="D31" s="715" t="s">
        <v>1514</v>
      </c>
      <c r="E31" s="703" t="s">
        <v>1515</v>
      </c>
      <c r="F31" s="1134" t="s">
        <v>402</v>
      </c>
      <c r="G31" s="1183">
        <v>0</v>
      </c>
      <c r="H31" s="704">
        <v>0</v>
      </c>
      <c r="I31" s="706">
        <f t="shared" si="550"/>
        <v>0</v>
      </c>
      <c r="J31" s="704">
        <v>0</v>
      </c>
      <c r="K31" s="704" t="s">
        <v>378</v>
      </c>
      <c r="L31" s="704" t="s">
        <v>378</v>
      </c>
      <c r="M31" s="715">
        <v>0</v>
      </c>
      <c r="N31" s="1138">
        <f t="shared" si="467"/>
        <v>120</v>
      </c>
      <c r="O31" s="707">
        <v>0</v>
      </c>
      <c r="P31" s="707">
        <f t="shared" si="468"/>
        <v>0</v>
      </c>
      <c r="Q31" s="1191">
        <v>0</v>
      </c>
      <c r="R31" s="1185">
        <v>0.59968017057569301</v>
      </c>
      <c r="S31" s="715">
        <v>0</v>
      </c>
      <c r="T31" s="711" t="s">
        <v>1655</v>
      </c>
      <c r="U31" s="1124"/>
      <c r="V31" s="781"/>
      <c r="W31" s="781">
        <f t="shared" si="469"/>
        <v>104.5</v>
      </c>
      <c r="X31" s="781">
        <f t="shared" si="469"/>
        <v>313.5</v>
      </c>
      <c r="Y31" s="781">
        <f t="shared" si="469"/>
        <v>731.5</v>
      </c>
      <c r="Z31" s="781">
        <f t="shared" si="469"/>
        <v>1567.5</v>
      </c>
      <c r="AA31" s="781">
        <f t="shared" si="469"/>
        <v>2767.5</v>
      </c>
      <c r="AB31" s="781">
        <f t="shared" si="469"/>
        <v>3967.5</v>
      </c>
      <c r="AC31" s="781">
        <f t="shared" si="469"/>
        <v>5167.5</v>
      </c>
      <c r="AD31" s="711" t="s">
        <v>384</v>
      </c>
      <c r="AE31" s="711" t="s">
        <v>375</v>
      </c>
      <c r="AF31" s="1024" t="s">
        <v>377</v>
      </c>
      <c r="AG31" s="711" t="s">
        <v>1657</v>
      </c>
      <c r="AH31" s="711" t="s">
        <v>1</v>
      </c>
      <c r="AI31" s="711" t="s">
        <v>378</v>
      </c>
      <c r="AJ31" s="711" t="s">
        <v>378</v>
      </c>
      <c r="AK31" s="711" t="s">
        <v>378</v>
      </c>
      <c r="AL31" s="715" t="s">
        <v>943</v>
      </c>
      <c r="AM31" s="715" t="s">
        <v>380</v>
      </c>
      <c r="AN31" s="715" t="s">
        <v>381</v>
      </c>
      <c r="AO31" s="711">
        <v>1</v>
      </c>
      <c r="AP31" s="711">
        <v>1</v>
      </c>
      <c r="AQ31" s="711" t="s">
        <v>1534</v>
      </c>
      <c r="AR31" s="716">
        <v>1</v>
      </c>
      <c r="AS31" s="716">
        <v>1</v>
      </c>
      <c r="AT31" s="717">
        <v>0</v>
      </c>
      <c r="AU31" s="718">
        <f t="shared" si="470"/>
        <v>0</v>
      </c>
      <c r="AV31" s="499">
        <f t="shared" si="551"/>
        <v>0</v>
      </c>
      <c r="AW31" s="499">
        <f t="shared" si="552"/>
        <v>0</v>
      </c>
      <c r="AX31" s="499">
        <f t="shared" si="553"/>
        <v>0</v>
      </c>
      <c r="AY31" s="499">
        <f t="shared" si="554"/>
        <v>0</v>
      </c>
      <c r="AZ31" s="499">
        <f t="shared" si="555"/>
        <v>0</v>
      </c>
      <c r="BA31" s="719">
        <f t="shared" si="556"/>
        <v>0</v>
      </c>
      <c r="BB31" s="774">
        <f t="shared" si="532"/>
        <v>0</v>
      </c>
      <c r="BC31" s="499">
        <f t="shared" si="557"/>
        <v>0</v>
      </c>
      <c r="BD31" s="499">
        <f t="shared" si="558"/>
        <v>0</v>
      </c>
      <c r="BE31" s="499">
        <f t="shared" si="559"/>
        <v>0</v>
      </c>
      <c r="BF31" s="499">
        <f t="shared" si="560"/>
        <v>0</v>
      </c>
      <c r="BG31" s="499">
        <f t="shared" si="561"/>
        <v>0</v>
      </c>
      <c r="BH31" s="719">
        <f t="shared" si="562"/>
        <v>0</v>
      </c>
      <c r="BI31" s="774">
        <f>N31+O31</f>
        <v>120</v>
      </c>
      <c r="BJ31" s="503">
        <f>BI31</f>
        <v>120</v>
      </c>
      <c r="BK31" s="503">
        <f t="shared" ref="BK31:BO31" si="579">BJ31</f>
        <v>120</v>
      </c>
      <c r="BL31" s="503">
        <f t="shared" si="579"/>
        <v>120</v>
      </c>
      <c r="BM31" s="503">
        <f t="shared" si="579"/>
        <v>120</v>
      </c>
      <c r="BN31" s="503">
        <f t="shared" si="579"/>
        <v>120</v>
      </c>
      <c r="BO31" s="503">
        <f t="shared" si="579"/>
        <v>120</v>
      </c>
      <c r="BP31" s="774">
        <f t="shared" si="578"/>
        <v>0</v>
      </c>
      <c r="BQ31" s="503">
        <f t="shared" si="578"/>
        <v>0</v>
      </c>
      <c r="BR31" s="503">
        <f t="shared" si="578"/>
        <v>0</v>
      </c>
      <c r="BS31" s="503">
        <f t="shared" si="578"/>
        <v>0</v>
      </c>
      <c r="BT31" s="503">
        <f t="shared" si="578"/>
        <v>0</v>
      </c>
      <c r="BU31" s="503">
        <f t="shared" si="578"/>
        <v>0</v>
      </c>
      <c r="BV31" s="776">
        <f t="shared" si="578"/>
        <v>0</v>
      </c>
      <c r="BW31" s="722">
        <f t="shared" si="480"/>
        <v>0</v>
      </c>
      <c r="BX31" s="643"/>
      <c r="BY31" s="643"/>
      <c r="BZ31" s="643"/>
      <c r="CA31" s="643"/>
      <c r="CB31" s="643"/>
      <c r="CC31" s="644"/>
      <c r="CD31" s="511">
        <f t="shared" si="483"/>
        <v>0.59968017057569301</v>
      </c>
      <c r="CE31" s="511">
        <f t="shared" si="565"/>
        <v>0.59968017057569301</v>
      </c>
      <c r="CF31" s="511">
        <f t="shared" si="566"/>
        <v>0.59968017057569301</v>
      </c>
      <c r="CG31" s="511">
        <f t="shared" si="567"/>
        <v>0.59968017057569301</v>
      </c>
      <c r="CH31" s="511">
        <f t="shared" si="568"/>
        <v>0.59968017057569301</v>
      </c>
      <c r="CI31" s="511">
        <f t="shared" si="569"/>
        <v>0.59968017057569301</v>
      </c>
      <c r="CJ31" s="723">
        <f t="shared" si="570"/>
        <v>0.59968017057569301</v>
      </c>
      <c r="CK31" s="722">
        <f t="shared" si="486"/>
        <v>0</v>
      </c>
      <c r="CL31" s="511">
        <f t="shared" si="571"/>
        <v>0</v>
      </c>
      <c r="CM31" s="511">
        <f t="shared" si="572"/>
        <v>0</v>
      </c>
      <c r="CN31" s="511">
        <f t="shared" si="573"/>
        <v>0</v>
      </c>
      <c r="CO31" s="511">
        <f t="shared" si="574"/>
        <v>0</v>
      </c>
      <c r="CP31" s="511">
        <f t="shared" si="575"/>
        <v>0</v>
      </c>
      <c r="CQ31" s="539">
        <f t="shared" si="576"/>
        <v>0</v>
      </c>
      <c r="CR31" s="724">
        <f t="shared" si="542"/>
        <v>0</v>
      </c>
      <c r="CS31" s="508">
        <f t="shared" si="489"/>
        <v>0</v>
      </c>
      <c r="CT31" s="508">
        <f t="shared" si="490"/>
        <v>0</v>
      </c>
      <c r="CU31" s="508">
        <f t="shared" si="491"/>
        <v>0</v>
      </c>
      <c r="CV31" s="508">
        <f t="shared" si="492"/>
        <v>0</v>
      </c>
      <c r="CW31" s="508">
        <f t="shared" si="493"/>
        <v>0</v>
      </c>
      <c r="CX31" s="726">
        <f t="shared" si="494"/>
        <v>0</v>
      </c>
      <c r="CY31" s="724">
        <f t="shared" si="543"/>
        <v>0</v>
      </c>
      <c r="CZ31" s="508">
        <f t="shared" si="495"/>
        <v>0</v>
      </c>
      <c r="DA31" s="508">
        <f t="shared" si="496"/>
        <v>0</v>
      </c>
      <c r="DB31" s="508">
        <f t="shared" si="497"/>
        <v>0</v>
      </c>
      <c r="DC31" s="508">
        <f t="shared" si="498"/>
        <v>0</v>
      </c>
      <c r="DD31" s="508">
        <f t="shared" si="499"/>
        <v>0</v>
      </c>
      <c r="DE31" s="726">
        <f t="shared" si="500"/>
        <v>0</v>
      </c>
      <c r="DF31" s="724">
        <f t="shared" si="544"/>
        <v>12540</v>
      </c>
      <c r="DG31" s="508">
        <f t="shared" si="501"/>
        <v>37620</v>
      </c>
      <c r="DH31" s="508">
        <f t="shared" si="502"/>
        <v>87780</v>
      </c>
      <c r="DI31" s="508">
        <f t="shared" si="503"/>
        <v>188100</v>
      </c>
      <c r="DJ31" s="508">
        <f t="shared" si="504"/>
        <v>332100</v>
      </c>
      <c r="DK31" s="508">
        <f t="shared" si="505"/>
        <v>476100</v>
      </c>
      <c r="DL31" s="726">
        <f t="shared" si="545"/>
        <v>620100</v>
      </c>
      <c r="DM31" s="724">
        <f t="shared" si="546"/>
        <v>0</v>
      </c>
      <c r="DN31" s="508">
        <f t="shared" si="506"/>
        <v>0</v>
      </c>
      <c r="DO31" s="508">
        <f t="shared" si="507"/>
        <v>0</v>
      </c>
      <c r="DP31" s="508">
        <f t="shared" si="508"/>
        <v>0</v>
      </c>
      <c r="DQ31" s="508">
        <f t="shared" si="509"/>
        <v>0</v>
      </c>
      <c r="DR31" s="508">
        <f t="shared" si="510"/>
        <v>0</v>
      </c>
      <c r="DS31" s="725">
        <f t="shared" si="511"/>
        <v>0</v>
      </c>
      <c r="DT31" s="722">
        <f t="shared" si="547"/>
        <v>0</v>
      </c>
      <c r="DU31" s="507">
        <f t="shared" si="512"/>
        <v>0</v>
      </c>
      <c r="DV31" s="507">
        <f t="shared" si="513"/>
        <v>0</v>
      </c>
      <c r="DW31" s="507">
        <f t="shared" si="514"/>
        <v>0</v>
      </c>
      <c r="DX31" s="507">
        <f t="shared" si="515"/>
        <v>0</v>
      </c>
      <c r="DY31" s="507">
        <f t="shared" si="516"/>
        <v>0</v>
      </c>
      <c r="DZ31" s="453">
        <f t="shared" si="517"/>
        <v>0</v>
      </c>
      <c r="EA31" s="722">
        <f t="shared" si="548"/>
        <v>62.666577825159919</v>
      </c>
      <c r="EB31" s="507">
        <f t="shared" si="518"/>
        <v>187.99973347547976</v>
      </c>
      <c r="EC31" s="507">
        <f t="shared" si="519"/>
        <v>438.66604477611941</v>
      </c>
      <c r="ED31" s="507">
        <f t="shared" si="520"/>
        <v>939.99866737739876</v>
      </c>
      <c r="EE31" s="507">
        <f t="shared" si="521"/>
        <v>1659.6148720682304</v>
      </c>
      <c r="EF31" s="507">
        <f t="shared" si="522"/>
        <v>2379.231076759062</v>
      </c>
      <c r="EG31" s="452">
        <f t="shared" si="523"/>
        <v>3098.8472814498937</v>
      </c>
      <c r="EH31" s="722">
        <f t="shared" si="549"/>
        <v>0</v>
      </c>
      <c r="EI31" s="511">
        <f t="shared" si="524"/>
        <v>0</v>
      </c>
      <c r="EJ31" s="511">
        <f t="shared" si="525"/>
        <v>0</v>
      </c>
      <c r="EK31" s="511">
        <f t="shared" si="526"/>
        <v>0</v>
      </c>
      <c r="EL31" s="511">
        <f t="shared" si="527"/>
        <v>0</v>
      </c>
      <c r="EM31" s="511">
        <f t="shared" si="528"/>
        <v>0</v>
      </c>
      <c r="EN31" s="723">
        <f t="shared" si="529"/>
        <v>0</v>
      </c>
      <c r="EO31" s="977">
        <f t="shared" si="102"/>
        <v>2088.5</v>
      </c>
      <c r="EP31" s="728">
        <f t="shared" si="103"/>
        <v>0</v>
      </c>
      <c r="EQ31" s="728">
        <f t="shared" si="104"/>
        <v>0</v>
      </c>
      <c r="ER31" s="728">
        <f t="shared" si="105"/>
        <v>1754340</v>
      </c>
      <c r="ES31" s="728">
        <f t="shared" si="106"/>
        <v>0</v>
      </c>
      <c r="ET31" s="978">
        <f t="shared" si="107"/>
        <v>0</v>
      </c>
      <c r="EU31" s="978">
        <f t="shared" si="108"/>
        <v>3098.8472814498937</v>
      </c>
      <c r="EV31" s="778">
        <f t="shared" si="109"/>
        <v>0</v>
      </c>
      <c r="EW31" s="10"/>
      <c r="EX31" s="10"/>
      <c r="EY31" s="10"/>
      <c r="EZ31" s="10"/>
      <c r="FA31" s="10"/>
      <c r="FB31" s="10"/>
      <c r="FC31" s="10"/>
      <c r="FD31" s="10"/>
      <c r="FE31" s="10"/>
    </row>
    <row r="32" spans="1:161" s="96" customFormat="1" ht="12.5">
      <c r="A32" s="661" t="s">
        <v>191</v>
      </c>
      <c r="B32" s="703" t="str">
        <f t="shared" si="466"/>
        <v>LG&amp;E-Small NonRes - Cooling</v>
      </c>
      <c r="C32" s="715" t="s">
        <v>1665</v>
      </c>
      <c r="D32" s="715" t="s">
        <v>1514</v>
      </c>
      <c r="E32" s="703" t="s">
        <v>1515</v>
      </c>
      <c r="F32" s="1134" t="s">
        <v>402</v>
      </c>
      <c r="G32" s="1183">
        <v>0</v>
      </c>
      <c r="H32" s="704">
        <v>0</v>
      </c>
      <c r="I32" s="706">
        <f t="shared" ref="I32" si="580">G32+H32</f>
        <v>0</v>
      </c>
      <c r="J32" s="704">
        <v>0</v>
      </c>
      <c r="K32" s="704" t="s">
        <v>378</v>
      </c>
      <c r="L32" s="704" t="s">
        <v>378</v>
      </c>
      <c r="M32" s="715">
        <v>0</v>
      </c>
      <c r="N32" s="1138">
        <f t="shared" si="467"/>
        <v>250</v>
      </c>
      <c r="O32" s="707">
        <v>0</v>
      </c>
      <c r="P32" s="707">
        <f t="shared" si="468"/>
        <v>36</v>
      </c>
      <c r="Q32" s="1191">
        <v>0</v>
      </c>
      <c r="R32" s="1123">
        <v>1.59</v>
      </c>
      <c r="S32" s="715">
        <v>0</v>
      </c>
      <c r="T32" s="711" t="s">
        <v>1655</v>
      </c>
      <c r="U32" s="1124"/>
      <c r="V32" s="781"/>
      <c r="W32" s="781">
        <f t="shared" si="469"/>
        <v>0</v>
      </c>
      <c r="X32" s="781">
        <f t="shared" si="469"/>
        <v>0</v>
      </c>
      <c r="Y32" s="781">
        <f t="shared" si="469"/>
        <v>150</v>
      </c>
      <c r="Z32" s="781">
        <f t="shared" si="469"/>
        <v>300</v>
      </c>
      <c r="AA32" s="781">
        <f t="shared" si="469"/>
        <v>400</v>
      </c>
      <c r="AB32" s="781">
        <f t="shared" si="469"/>
        <v>500</v>
      </c>
      <c r="AC32" s="781">
        <f t="shared" si="469"/>
        <v>600</v>
      </c>
      <c r="AD32" s="711" t="s">
        <v>384</v>
      </c>
      <c r="AE32" s="1126" t="s">
        <v>742</v>
      </c>
      <c r="AF32" s="1126" t="s">
        <v>1146</v>
      </c>
      <c r="AG32" s="1126" t="s">
        <v>1533</v>
      </c>
      <c r="AH32" s="711" t="s">
        <v>1</v>
      </c>
      <c r="AI32" s="711" t="s">
        <v>378</v>
      </c>
      <c r="AJ32" s="711" t="s">
        <v>378</v>
      </c>
      <c r="AK32" s="711" t="s">
        <v>378</v>
      </c>
      <c r="AL32" s="715" t="s">
        <v>1187</v>
      </c>
      <c r="AM32" s="715" t="s">
        <v>380</v>
      </c>
      <c r="AN32" s="715" t="s">
        <v>746</v>
      </c>
      <c r="AO32" s="711">
        <v>1</v>
      </c>
      <c r="AP32" s="711">
        <v>1</v>
      </c>
      <c r="AQ32" s="711" t="s">
        <v>1534</v>
      </c>
      <c r="AR32" s="716">
        <v>1</v>
      </c>
      <c r="AS32" s="716">
        <v>1</v>
      </c>
      <c r="AT32" s="717">
        <v>0</v>
      </c>
      <c r="AU32" s="718">
        <f t="shared" ref="AU32" si="581">I32</f>
        <v>0</v>
      </c>
      <c r="AV32" s="499">
        <f t="shared" ref="AV32" si="582">AU32</f>
        <v>0</v>
      </c>
      <c r="AW32" s="499">
        <f t="shared" ref="AW32" si="583">AV32</f>
        <v>0</v>
      </c>
      <c r="AX32" s="499">
        <f t="shared" ref="AX32" si="584">AU32</f>
        <v>0</v>
      </c>
      <c r="AY32" s="499">
        <f t="shared" ref="AY32" si="585">AV32</f>
        <v>0</v>
      </c>
      <c r="AZ32" s="499">
        <f t="shared" ref="AZ32" si="586">AW32</f>
        <v>0</v>
      </c>
      <c r="BA32" s="719">
        <f t="shared" ref="BA32" si="587">AX32</f>
        <v>0</v>
      </c>
      <c r="BB32" s="774">
        <f t="shared" ref="BB32" si="588">J32</f>
        <v>0</v>
      </c>
      <c r="BC32" s="499">
        <f t="shared" ref="BC32" si="589">BB32</f>
        <v>0</v>
      </c>
      <c r="BD32" s="499">
        <f t="shared" ref="BD32" si="590">BC32</f>
        <v>0</v>
      </c>
      <c r="BE32" s="499">
        <f t="shared" ref="BE32" si="591">BD32</f>
        <v>0</v>
      </c>
      <c r="BF32" s="499">
        <f t="shared" ref="BF32" si="592">BE32</f>
        <v>0</v>
      </c>
      <c r="BG32" s="499">
        <f t="shared" ref="BG32" si="593">BF32</f>
        <v>0</v>
      </c>
      <c r="BH32" s="719">
        <f t="shared" ref="BH32" si="594">BG32</f>
        <v>0</v>
      </c>
      <c r="BI32" s="774">
        <f t="shared" ref="BI32" si="595">IFERROR(N32+O32+W32*50/W32,0)</f>
        <v>0</v>
      </c>
      <c r="BJ32" s="503">
        <f t="shared" ref="BJ32" si="596">IFERROR($N32+$O32+(X32-W32)*50/X32,0)</f>
        <v>0</v>
      </c>
      <c r="BK32" s="503">
        <f t="shared" ref="BK32" si="597">IFERROR($N32+$O32+(Y32-X32)*50/Y32,0)</f>
        <v>300</v>
      </c>
      <c r="BL32" s="503">
        <f t="shared" ref="BL32" si="598">IFERROR($N32+$O32+(Z32-Y32)*50/Z32,0)</f>
        <v>275</v>
      </c>
      <c r="BM32" s="503">
        <f t="shared" ref="BM32" si="599">IFERROR($N32+$O32+(AA32-Z32)*50/AA32,0)</f>
        <v>262.5</v>
      </c>
      <c r="BN32" s="503">
        <f t="shared" ref="BN32" si="600">IFERROR($N32+$O32+(AB32-AA32)*50/AB32,0)</f>
        <v>260</v>
      </c>
      <c r="BO32" s="776">
        <f t="shared" ref="BO32" si="601">IFERROR($N32+$O32+(AC32-AB32)*50/AC32,0)</f>
        <v>258.33333333333331</v>
      </c>
      <c r="BP32" s="774">
        <f t="shared" si="578"/>
        <v>36</v>
      </c>
      <c r="BQ32" s="503">
        <f t="shared" si="578"/>
        <v>36</v>
      </c>
      <c r="BR32" s="503">
        <f t="shared" si="578"/>
        <v>36</v>
      </c>
      <c r="BS32" s="503">
        <f t="shared" si="578"/>
        <v>36</v>
      </c>
      <c r="BT32" s="503">
        <f t="shared" si="578"/>
        <v>36</v>
      </c>
      <c r="BU32" s="503">
        <f t="shared" si="578"/>
        <v>36</v>
      </c>
      <c r="BV32" s="776">
        <f t="shared" si="578"/>
        <v>36</v>
      </c>
      <c r="BW32" s="722">
        <f t="shared" ref="BW32" si="602">Q32*AS32</f>
        <v>0</v>
      </c>
      <c r="BX32" s="643"/>
      <c r="BY32" s="643"/>
      <c r="BZ32" s="643"/>
      <c r="CA32" s="643"/>
      <c r="CB32" s="643"/>
      <c r="CC32" s="644"/>
      <c r="CD32" s="511">
        <f t="shared" ref="CD32" si="603">R32*AS32</f>
        <v>1.59</v>
      </c>
      <c r="CE32" s="511">
        <f t="shared" ref="CE32" si="604">CD32</f>
        <v>1.59</v>
      </c>
      <c r="CF32" s="511">
        <f t="shared" ref="CF32" si="605">CE32</f>
        <v>1.59</v>
      </c>
      <c r="CG32" s="511">
        <f t="shared" ref="CG32" si="606">CF32</f>
        <v>1.59</v>
      </c>
      <c r="CH32" s="511">
        <f t="shared" ref="CH32" si="607">CG32</f>
        <v>1.59</v>
      </c>
      <c r="CI32" s="511">
        <f t="shared" ref="CI32" si="608">CH32</f>
        <v>1.59</v>
      </c>
      <c r="CJ32" s="723">
        <f t="shared" ref="CJ32" si="609">CI32</f>
        <v>1.59</v>
      </c>
      <c r="CK32" s="722">
        <f t="shared" ref="CK32" si="610">S32*AT32</f>
        <v>0</v>
      </c>
      <c r="CL32" s="511">
        <f t="shared" ref="CL32" si="611">CK32</f>
        <v>0</v>
      </c>
      <c r="CM32" s="511">
        <f t="shared" ref="CM32" si="612">CL32</f>
        <v>0</v>
      </c>
      <c r="CN32" s="511">
        <f t="shared" ref="CN32" si="613">CM32</f>
        <v>0</v>
      </c>
      <c r="CO32" s="511">
        <f t="shared" ref="CO32" si="614">CN32</f>
        <v>0</v>
      </c>
      <c r="CP32" s="511">
        <f t="shared" ref="CP32" si="615">CO32</f>
        <v>0</v>
      </c>
      <c r="CQ32" s="539">
        <f t="shared" ref="CQ32" si="616">CP32</f>
        <v>0</v>
      </c>
      <c r="CR32" s="724">
        <f t="shared" ref="CR32" si="617">W32*AU32</f>
        <v>0</v>
      </c>
      <c r="CS32" s="508">
        <f t="shared" ref="CS32" si="618">X32*AV32</f>
        <v>0</v>
      </c>
      <c r="CT32" s="508">
        <f t="shared" ref="CT32" si="619">Y32*AW32</f>
        <v>0</v>
      </c>
      <c r="CU32" s="508">
        <f t="shared" ref="CU32" si="620">Z32*AX32</f>
        <v>0</v>
      </c>
      <c r="CV32" s="508">
        <f t="shared" ref="CV32" si="621">AA32*AY32</f>
        <v>0</v>
      </c>
      <c r="CW32" s="508">
        <f t="shared" ref="CW32" si="622">AB32*AZ32</f>
        <v>0</v>
      </c>
      <c r="CX32" s="726">
        <f t="shared" ref="CX32" si="623">AC32*BA32</f>
        <v>0</v>
      </c>
      <c r="CY32" s="724">
        <f t="shared" ref="CY32" si="624">W32*BB32</f>
        <v>0</v>
      </c>
      <c r="CZ32" s="508">
        <f t="shared" ref="CZ32" si="625">X32*BC32</f>
        <v>0</v>
      </c>
      <c r="DA32" s="508">
        <f t="shared" ref="DA32" si="626">Y32*BD32</f>
        <v>0</v>
      </c>
      <c r="DB32" s="508">
        <f t="shared" ref="DB32" si="627">Z32*BE32</f>
        <v>0</v>
      </c>
      <c r="DC32" s="508">
        <f t="shared" ref="DC32" si="628">AA32*BF32</f>
        <v>0</v>
      </c>
      <c r="DD32" s="508">
        <f t="shared" ref="DD32" si="629">AB32*BG32</f>
        <v>0</v>
      </c>
      <c r="DE32" s="726">
        <f t="shared" ref="DE32" si="630">AC32*BH32</f>
        <v>0</v>
      </c>
      <c r="DF32" s="724">
        <f t="shared" ref="DF32" si="631">W32*BI32</f>
        <v>0</v>
      </c>
      <c r="DG32" s="508">
        <f t="shared" ref="DG32" si="632">X32*BJ32</f>
        <v>0</v>
      </c>
      <c r="DH32" s="508">
        <f t="shared" ref="DH32" si="633">Y32*BK32</f>
        <v>45000</v>
      </c>
      <c r="DI32" s="508">
        <f t="shared" ref="DI32" si="634">Z32*BL32</f>
        <v>82500</v>
      </c>
      <c r="DJ32" s="508">
        <f t="shared" ref="DJ32" si="635">AA32*BM32</f>
        <v>105000</v>
      </c>
      <c r="DK32" s="508">
        <f t="shared" ref="DK32" si="636">AB32*BN32</f>
        <v>130000</v>
      </c>
      <c r="DL32" s="726">
        <f t="shared" ref="DL32" si="637">AC32*BO32</f>
        <v>155000</v>
      </c>
      <c r="DM32" s="724">
        <f t="shared" ref="DM32" si="638">BP32*W32</f>
        <v>0</v>
      </c>
      <c r="DN32" s="508">
        <f t="shared" ref="DN32" si="639">BQ32*X32</f>
        <v>0</v>
      </c>
      <c r="DO32" s="508">
        <f t="shared" ref="DO32" si="640">BR32*Y32</f>
        <v>5400</v>
      </c>
      <c r="DP32" s="508">
        <f t="shared" ref="DP32" si="641">BS32*Z32</f>
        <v>10800</v>
      </c>
      <c r="DQ32" s="508">
        <f t="shared" ref="DQ32" si="642">BT32*AA32</f>
        <v>14400</v>
      </c>
      <c r="DR32" s="508">
        <f t="shared" ref="DR32" si="643">BU32*AB32</f>
        <v>18000</v>
      </c>
      <c r="DS32" s="725">
        <f t="shared" ref="DS32" si="644">BV32*AC32</f>
        <v>21600</v>
      </c>
      <c r="DT32" s="722">
        <f t="shared" ref="DT32" si="645">W32*BW32</f>
        <v>0</v>
      </c>
      <c r="DU32" s="507">
        <f t="shared" ref="DU32" si="646">X32*BX32</f>
        <v>0</v>
      </c>
      <c r="DV32" s="507">
        <f t="shared" ref="DV32" si="647">Y32*BY32</f>
        <v>0</v>
      </c>
      <c r="DW32" s="507">
        <f t="shared" ref="DW32" si="648">Z32*BZ32</f>
        <v>0</v>
      </c>
      <c r="DX32" s="507">
        <f t="shared" ref="DX32" si="649">AA32*CA32</f>
        <v>0</v>
      </c>
      <c r="DY32" s="507">
        <f t="shared" ref="DY32" si="650">AB32*CB32</f>
        <v>0</v>
      </c>
      <c r="DZ32" s="453">
        <f t="shared" ref="DZ32" si="651">AC32*CC32</f>
        <v>0</v>
      </c>
      <c r="EA32" s="722">
        <f t="shared" ref="EA32" si="652">W32*CD32</f>
        <v>0</v>
      </c>
      <c r="EB32" s="507">
        <f t="shared" ref="EB32" si="653">X32*CE32</f>
        <v>0</v>
      </c>
      <c r="EC32" s="507">
        <f t="shared" ref="EC32" si="654">Y32*CF32</f>
        <v>238.5</v>
      </c>
      <c r="ED32" s="507">
        <f t="shared" ref="ED32" si="655">Z32*CG32</f>
        <v>477</v>
      </c>
      <c r="EE32" s="507">
        <f t="shared" ref="EE32" si="656">AA32*CH32</f>
        <v>636</v>
      </c>
      <c r="EF32" s="507">
        <f t="shared" ref="EF32" si="657">AB32*CI32</f>
        <v>795</v>
      </c>
      <c r="EG32" s="452">
        <f t="shared" ref="EG32" si="658">AC32*CJ32</f>
        <v>954</v>
      </c>
      <c r="EH32" s="722">
        <f t="shared" ref="EH32" si="659">W32*CK32</f>
        <v>0</v>
      </c>
      <c r="EI32" s="511">
        <f t="shared" ref="EI32" si="660">X32*CL32</f>
        <v>0</v>
      </c>
      <c r="EJ32" s="511">
        <f t="shared" ref="EJ32" si="661">Y32*CM32</f>
        <v>0</v>
      </c>
      <c r="EK32" s="511">
        <f t="shared" ref="EK32" si="662">Z32*CN32</f>
        <v>0</v>
      </c>
      <c r="EL32" s="511">
        <f t="shared" ref="EL32" si="663">AA32*CO32</f>
        <v>0</v>
      </c>
      <c r="EM32" s="511">
        <f t="shared" ref="EM32" si="664">AB32*CP32</f>
        <v>0</v>
      </c>
      <c r="EN32" s="723">
        <f t="shared" ref="EN32" si="665">AC32*CQ32</f>
        <v>0</v>
      </c>
      <c r="EO32" s="977">
        <f t="shared" ref="EO32" si="666">AVERAGE(W32:AC32)</f>
        <v>278.57142857142856</v>
      </c>
      <c r="EP32" s="728">
        <f t="shared" ref="EP32" si="667">SUM(CR32:CX32)</f>
        <v>0</v>
      </c>
      <c r="EQ32" s="728">
        <f t="shared" ref="EQ32" si="668">SUM(CY32:DE32)</f>
        <v>0</v>
      </c>
      <c r="ER32" s="728">
        <f t="shared" ref="ER32" si="669">SUM(DF32:DL32)</f>
        <v>517500</v>
      </c>
      <c r="ES32" s="728">
        <f t="shared" ref="ES32" si="670">SUM(DM32:DS32)</f>
        <v>70200</v>
      </c>
      <c r="ET32" s="978">
        <f t="shared" ref="ET32" si="671">SUM(DT32:DZ32)</f>
        <v>0</v>
      </c>
      <c r="EU32" s="978">
        <f t="shared" ref="EU32" si="672">MAX(EA32:EG32)</f>
        <v>954</v>
      </c>
      <c r="EV32" s="778">
        <f t="shared" ref="EV32" si="673">SUM(EH32:EN32)</f>
        <v>0</v>
      </c>
      <c r="EW32" s="10"/>
      <c r="EX32" s="10"/>
      <c r="EY32" s="10"/>
      <c r="EZ32" s="10"/>
      <c r="FA32" s="10"/>
      <c r="FB32" s="10"/>
      <c r="FC32" s="10"/>
      <c r="FD32" s="10"/>
      <c r="FE32" s="10"/>
    </row>
    <row r="33" spans="1:161" s="96" customFormat="1" ht="12.5">
      <c r="A33" s="661" t="s">
        <v>192</v>
      </c>
      <c r="B33" s="703" t="str">
        <f t="shared" si="466"/>
        <v>LG&amp;E-Residential - BYOD - Room A/C - Summer</v>
      </c>
      <c r="C33" s="715" t="s">
        <v>1667</v>
      </c>
      <c r="D33" s="715" t="s">
        <v>1514</v>
      </c>
      <c r="E33" s="703" t="s">
        <v>1515</v>
      </c>
      <c r="F33" s="1134" t="s">
        <v>402</v>
      </c>
      <c r="G33" s="1183">
        <v>0</v>
      </c>
      <c r="H33" s="704">
        <v>0</v>
      </c>
      <c r="I33" s="706">
        <f t="shared" ref="I33:I34" si="674">G33+H33</f>
        <v>0</v>
      </c>
      <c r="J33" s="704">
        <v>0</v>
      </c>
      <c r="K33" s="704" t="s">
        <v>378</v>
      </c>
      <c r="L33" s="704" t="s">
        <v>378</v>
      </c>
      <c r="M33" s="715">
        <v>0</v>
      </c>
      <c r="N33" s="1138">
        <f t="shared" si="467"/>
        <v>250</v>
      </c>
      <c r="O33" s="707">
        <v>0</v>
      </c>
      <c r="P33" s="707">
        <f t="shared" si="468"/>
        <v>36</v>
      </c>
      <c r="Q33" s="1191">
        <v>0</v>
      </c>
      <c r="R33" s="1185">
        <f>J166</f>
        <v>0.5</v>
      </c>
      <c r="S33" s="715">
        <v>0</v>
      </c>
      <c r="T33" s="711" t="s">
        <v>1668</v>
      </c>
      <c r="U33" s="1124">
        <v>0.5</v>
      </c>
      <c r="V33" s="781">
        <v>1</v>
      </c>
      <c r="W33" s="781">
        <v>0</v>
      </c>
      <c r="X33" s="781">
        <v>0</v>
      </c>
      <c r="Y33" s="781">
        <f>Y13/2</f>
        <v>5</v>
      </c>
      <c r="Z33" s="781">
        <f>Y33*(1+$U$33)</f>
        <v>7.5</v>
      </c>
      <c r="AA33" s="781">
        <f t="shared" ref="AA33:AC33" si="675">Z33*(1+$U$33)</f>
        <v>11.25</v>
      </c>
      <c r="AB33" s="781">
        <f t="shared" si="675"/>
        <v>16.875</v>
      </c>
      <c r="AC33" s="781">
        <f t="shared" si="675"/>
        <v>25.3125</v>
      </c>
      <c r="AD33" s="711" t="s">
        <v>384</v>
      </c>
      <c r="AE33" s="711" t="s">
        <v>375</v>
      </c>
      <c r="AF33" s="1024" t="s">
        <v>377</v>
      </c>
      <c r="AG33" s="1126" t="s">
        <v>454</v>
      </c>
      <c r="AH33" s="711" t="s">
        <v>1</v>
      </c>
      <c r="AI33" s="711" t="s">
        <v>378</v>
      </c>
      <c r="AJ33" s="711" t="s">
        <v>378</v>
      </c>
      <c r="AK33" s="711" t="s">
        <v>378</v>
      </c>
      <c r="AL33" s="715" t="s">
        <v>406</v>
      </c>
      <c r="AM33" s="715" t="s">
        <v>380</v>
      </c>
      <c r="AN33" s="715" t="s">
        <v>381</v>
      </c>
      <c r="AO33" s="711">
        <v>1</v>
      </c>
      <c r="AP33" s="711">
        <v>1</v>
      </c>
      <c r="AQ33" s="711" t="s">
        <v>1534</v>
      </c>
      <c r="AR33" s="716">
        <v>1</v>
      </c>
      <c r="AS33" s="716">
        <v>1</v>
      </c>
      <c r="AT33" s="717">
        <v>0</v>
      </c>
      <c r="AU33" s="718">
        <f t="shared" si="470"/>
        <v>0</v>
      </c>
      <c r="AV33" s="499">
        <f t="shared" si="551"/>
        <v>0</v>
      </c>
      <c r="AW33" s="499">
        <f t="shared" ref="AW33:AW34" si="676">AV33</f>
        <v>0</v>
      </c>
      <c r="AX33" s="499">
        <f t="shared" ref="AX33:AX34" si="677">AU33</f>
        <v>0</v>
      </c>
      <c r="AY33" s="499">
        <f t="shared" ref="AY33:AY34" si="678">AV33</f>
        <v>0</v>
      </c>
      <c r="AZ33" s="499">
        <f t="shared" ref="AZ33:AZ34" si="679">AW33</f>
        <v>0</v>
      </c>
      <c r="BA33" s="719">
        <f t="shared" ref="BA33:BA34" si="680">AX33</f>
        <v>0</v>
      </c>
      <c r="BB33" s="774">
        <f t="shared" ref="BB33:BB34" si="681">J33</f>
        <v>0</v>
      </c>
      <c r="BC33" s="499">
        <f t="shared" ref="BC33:BC34" si="682">BB33</f>
        <v>0</v>
      </c>
      <c r="BD33" s="499">
        <f t="shared" ref="BD33:BD34" si="683">BC33</f>
        <v>0</v>
      </c>
      <c r="BE33" s="499">
        <f t="shared" ref="BE33:BE34" si="684">BD33</f>
        <v>0</v>
      </c>
      <c r="BF33" s="499">
        <f t="shared" ref="BF33:BF34" si="685">BE33</f>
        <v>0</v>
      </c>
      <c r="BG33" s="499">
        <f t="shared" ref="BG33:BG34" si="686">BF33</f>
        <v>0</v>
      </c>
      <c r="BH33" s="719">
        <f t="shared" ref="BH33:BH34" si="687">BG33</f>
        <v>0</v>
      </c>
      <c r="BI33" s="774">
        <f t="shared" si="563"/>
        <v>0</v>
      </c>
      <c r="BJ33" s="503">
        <f t="shared" si="564"/>
        <v>0</v>
      </c>
      <c r="BK33" s="503">
        <f t="shared" si="475"/>
        <v>300</v>
      </c>
      <c r="BL33" s="503">
        <f t="shared" si="476"/>
        <v>266.66666666666669</v>
      </c>
      <c r="BM33" s="503">
        <f t="shared" si="477"/>
        <v>266.66666666666669</v>
      </c>
      <c r="BN33" s="503">
        <f t="shared" si="478"/>
        <v>266.66666666666669</v>
      </c>
      <c r="BO33" s="776">
        <f t="shared" si="479"/>
        <v>266.66666666666669</v>
      </c>
      <c r="BP33" s="774">
        <f t="shared" si="578"/>
        <v>36</v>
      </c>
      <c r="BQ33" s="503">
        <f t="shared" si="578"/>
        <v>36</v>
      </c>
      <c r="BR33" s="503">
        <f t="shared" si="578"/>
        <v>36</v>
      </c>
      <c r="BS33" s="503">
        <f t="shared" si="578"/>
        <v>36</v>
      </c>
      <c r="BT33" s="503">
        <f t="shared" si="578"/>
        <v>36</v>
      </c>
      <c r="BU33" s="503">
        <f t="shared" si="578"/>
        <v>36</v>
      </c>
      <c r="BV33" s="776">
        <f t="shared" si="578"/>
        <v>36</v>
      </c>
      <c r="BW33" s="722">
        <f t="shared" si="480"/>
        <v>0</v>
      </c>
      <c r="BX33" s="643"/>
      <c r="BY33" s="643"/>
      <c r="BZ33" s="643"/>
      <c r="CA33" s="643"/>
      <c r="CB33" s="643"/>
      <c r="CC33" s="644"/>
      <c r="CD33" s="511">
        <f t="shared" si="483"/>
        <v>0.5</v>
      </c>
      <c r="CE33" s="511">
        <f t="shared" si="565"/>
        <v>0.5</v>
      </c>
      <c r="CF33" s="511">
        <f t="shared" si="566"/>
        <v>0.5</v>
      </c>
      <c r="CG33" s="511">
        <f t="shared" si="567"/>
        <v>0.5</v>
      </c>
      <c r="CH33" s="511">
        <f t="shared" si="568"/>
        <v>0.5</v>
      </c>
      <c r="CI33" s="511">
        <f t="shared" si="569"/>
        <v>0.5</v>
      </c>
      <c r="CJ33" s="723">
        <f t="shared" si="570"/>
        <v>0.5</v>
      </c>
      <c r="CK33" s="722">
        <f t="shared" si="486"/>
        <v>0</v>
      </c>
      <c r="CL33" s="511">
        <f t="shared" si="571"/>
        <v>0</v>
      </c>
      <c r="CM33" s="511">
        <f t="shared" si="572"/>
        <v>0</v>
      </c>
      <c r="CN33" s="511">
        <f t="shared" si="573"/>
        <v>0</v>
      </c>
      <c r="CO33" s="511">
        <f t="shared" si="574"/>
        <v>0</v>
      </c>
      <c r="CP33" s="511">
        <f t="shared" si="575"/>
        <v>0</v>
      </c>
      <c r="CQ33" s="539">
        <f t="shared" si="576"/>
        <v>0</v>
      </c>
      <c r="CR33" s="724">
        <f t="shared" si="542"/>
        <v>0</v>
      </c>
      <c r="CS33" s="508">
        <f t="shared" si="489"/>
        <v>0</v>
      </c>
      <c r="CT33" s="508">
        <f t="shared" si="490"/>
        <v>0</v>
      </c>
      <c r="CU33" s="508">
        <f t="shared" si="491"/>
        <v>0</v>
      </c>
      <c r="CV33" s="508">
        <f t="shared" si="492"/>
        <v>0</v>
      </c>
      <c r="CW33" s="508">
        <f t="shared" si="493"/>
        <v>0</v>
      </c>
      <c r="CX33" s="726">
        <f t="shared" si="494"/>
        <v>0</v>
      </c>
      <c r="CY33" s="724">
        <f t="shared" si="543"/>
        <v>0</v>
      </c>
      <c r="CZ33" s="508">
        <f t="shared" si="495"/>
        <v>0</v>
      </c>
      <c r="DA33" s="508">
        <f t="shared" si="496"/>
        <v>0</v>
      </c>
      <c r="DB33" s="508">
        <f t="shared" si="497"/>
        <v>0</v>
      </c>
      <c r="DC33" s="508">
        <f t="shared" si="498"/>
        <v>0</v>
      </c>
      <c r="DD33" s="508">
        <f t="shared" si="499"/>
        <v>0</v>
      </c>
      <c r="DE33" s="726">
        <f t="shared" si="500"/>
        <v>0</v>
      </c>
      <c r="DF33" s="724">
        <f t="shared" si="544"/>
        <v>0</v>
      </c>
      <c r="DG33" s="508">
        <f t="shared" si="501"/>
        <v>0</v>
      </c>
      <c r="DH33" s="508">
        <f t="shared" si="502"/>
        <v>1500</v>
      </c>
      <c r="DI33" s="508">
        <f t="shared" si="503"/>
        <v>2000.0000000000002</v>
      </c>
      <c r="DJ33" s="508">
        <f t="shared" si="504"/>
        <v>3000</v>
      </c>
      <c r="DK33" s="508">
        <f t="shared" si="505"/>
        <v>4500</v>
      </c>
      <c r="DL33" s="726">
        <f t="shared" si="545"/>
        <v>6750.0000000000009</v>
      </c>
      <c r="DM33" s="724">
        <f t="shared" si="546"/>
        <v>0</v>
      </c>
      <c r="DN33" s="508">
        <f t="shared" si="506"/>
        <v>0</v>
      </c>
      <c r="DO33" s="508">
        <f t="shared" si="507"/>
        <v>180</v>
      </c>
      <c r="DP33" s="508">
        <f t="shared" si="508"/>
        <v>270</v>
      </c>
      <c r="DQ33" s="508">
        <f t="shared" si="509"/>
        <v>405</v>
      </c>
      <c r="DR33" s="508">
        <f t="shared" si="510"/>
        <v>607.5</v>
      </c>
      <c r="DS33" s="725">
        <f t="shared" si="511"/>
        <v>911.25</v>
      </c>
      <c r="DT33" s="722">
        <f t="shared" si="547"/>
        <v>0</v>
      </c>
      <c r="DU33" s="507">
        <f t="shared" si="512"/>
        <v>0</v>
      </c>
      <c r="DV33" s="507">
        <f t="shared" si="513"/>
        <v>0</v>
      </c>
      <c r="DW33" s="507">
        <f t="shared" si="514"/>
        <v>0</v>
      </c>
      <c r="DX33" s="507">
        <f t="shared" si="515"/>
        <v>0</v>
      </c>
      <c r="DY33" s="507">
        <f t="shared" si="516"/>
        <v>0</v>
      </c>
      <c r="DZ33" s="453">
        <f t="shared" si="517"/>
        <v>0</v>
      </c>
      <c r="EA33" s="722">
        <f t="shared" si="548"/>
        <v>0</v>
      </c>
      <c r="EB33" s="507">
        <f t="shared" si="518"/>
        <v>0</v>
      </c>
      <c r="EC33" s="507">
        <f t="shared" si="519"/>
        <v>2.5</v>
      </c>
      <c r="ED33" s="507">
        <f t="shared" si="520"/>
        <v>3.75</v>
      </c>
      <c r="EE33" s="507">
        <f t="shared" si="521"/>
        <v>5.625</v>
      </c>
      <c r="EF33" s="507">
        <f t="shared" si="522"/>
        <v>8.4375</v>
      </c>
      <c r="EG33" s="452">
        <f t="shared" si="523"/>
        <v>12.65625</v>
      </c>
      <c r="EH33" s="722">
        <f t="shared" si="549"/>
        <v>0</v>
      </c>
      <c r="EI33" s="511">
        <f t="shared" si="524"/>
        <v>0</v>
      </c>
      <c r="EJ33" s="511">
        <f t="shared" si="525"/>
        <v>0</v>
      </c>
      <c r="EK33" s="511">
        <f t="shared" si="526"/>
        <v>0</v>
      </c>
      <c r="EL33" s="511">
        <f t="shared" si="527"/>
        <v>0</v>
      </c>
      <c r="EM33" s="511">
        <f t="shared" si="528"/>
        <v>0</v>
      </c>
      <c r="EN33" s="723">
        <f t="shared" si="529"/>
        <v>0</v>
      </c>
      <c r="EO33" s="977">
        <f t="shared" si="102"/>
        <v>9.4196428571428577</v>
      </c>
      <c r="EP33" s="728">
        <f t="shared" si="103"/>
        <v>0</v>
      </c>
      <c r="EQ33" s="728">
        <f t="shared" si="104"/>
        <v>0</v>
      </c>
      <c r="ER33" s="728">
        <f t="shared" si="105"/>
        <v>17750</v>
      </c>
      <c r="ES33" s="728">
        <f t="shared" si="106"/>
        <v>2373.75</v>
      </c>
      <c r="ET33" s="978">
        <f t="shared" si="107"/>
        <v>0</v>
      </c>
      <c r="EU33" s="978">
        <f t="shared" si="108"/>
        <v>12.65625</v>
      </c>
      <c r="EV33" s="778">
        <f t="shared" si="109"/>
        <v>0</v>
      </c>
      <c r="EW33" s="10"/>
      <c r="EX33" s="10"/>
      <c r="EY33" s="10"/>
      <c r="EZ33" s="10"/>
      <c r="FA33" s="10"/>
      <c r="FB33" s="10"/>
      <c r="FC33" s="10"/>
      <c r="FD33" s="10"/>
      <c r="FE33" s="10"/>
    </row>
    <row r="34" spans="1:161" s="96" customFormat="1" thickBot="1">
      <c r="A34" s="661" t="s">
        <v>193</v>
      </c>
      <c r="B34" s="703" t="str">
        <f t="shared" si="466"/>
        <v>LG&amp;E-Residential - BYOD - Water Heating</v>
      </c>
      <c r="C34" s="715" t="s">
        <v>1670</v>
      </c>
      <c r="D34" s="715" t="s">
        <v>1514</v>
      </c>
      <c r="E34" s="703" t="s">
        <v>1515</v>
      </c>
      <c r="F34" s="1134" t="s">
        <v>402</v>
      </c>
      <c r="G34" s="1183">
        <v>0</v>
      </c>
      <c r="H34" s="704">
        <v>0</v>
      </c>
      <c r="I34" s="706">
        <f t="shared" si="674"/>
        <v>0</v>
      </c>
      <c r="J34" s="704">
        <v>0</v>
      </c>
      <c r="K34" s="704" t="s">
        <v>378</v>
      </c>
      <c r="L34" s="704" t="s">
        <v>378</v>
      </c>
      <c r="M34" s="715">
        <v>0</v>
      </c>
      <c r="N34" s="1138">
        <f t="shared" si="467"/>
        <v>125</v>
      </c>
      <c r="O34" s="707">
        <v>0</v>
      </c>
      <c r="P34" s="707">
        <f t="shared" si="468"/>
        <v>36</v>
      </c>
      <c r="Q34" s="1191">
        <v>0</v>
      </c>
      <c r="R34" s="1185">
        <f>J167</f>
        <v>0.5</v>
      </c>
      <c r="S34" s="715">
        <v>0</v>
      </c>
      <c r="T34" s="711" t="s">
        <v>1671</v>
      </c>
      <c r="U34" s="1124">
        <v>0.5</v>
      </c>
      <c r="V34" s="781">
        <v>1</v>
      </c>
      <c r="W34" s="781">
        <v>0</v>
      </c>
      <c r="X34" s="781">
        <v>0</v>
      </c>
      <c r="Y34" s="781">
        <f>Y14/2</f>
        <v>5</v>
      </c>
      <c r="Z34" s="781">
        <f>Y34*(1+$U$34)</f>
        <v>7.5</v>
      </c>
      <c r="AA34" s="781">
        <f t="shared" ref="AA34:AB34" si="688">Z34*(1+$U$34)</f>
        <v>11.25</v>
      </c>
      <c r="AB34" s="781">
        <f t="shared" si="688"/>
        <v>16.875</v>
      </c>
      <c r="AC34" s="781">
        <f>AB34*(1+$U$34)</f>
        <v>25.3125</v>
      </c>
      <c r="AD34" s="711" t="s">
        <v>384</v>
      </c>
      <c r="AE34" s="711" t="s">
        <v>375</v>
      </c>
      <c r="AF34" s="1024" t="s">
        <v>377</v>
      </c>
      <c r="AG34" s="711" t="s">
        <v>753</v>
      </c>
      <c r="AH34" s="711" t="s">
        <v>1</v>
      </c>
      <c r="AI34" s="711" t="s">
        <v>378</v>
      </c>
      <c r="AJ34" s="711" t="s">
        <v>378</v>
      </c>
      <c r="AK34" s="711" t="s">
        <v>378</v>
      </c>
      <c r="AL34" s="715" t="s">
        <v>943</v>
      </c>
      <c r="AM34" s="715" t="s">
        <v>380</v>
      </c>
      <c r="AN34" s="715" t="s">
        <v>381</v>
      </c>
      <c r="AO34" s="711">
        <v>1</v>
      </c>
      <c r="AP34" s="711">
        <v>1</v>
      </c>
      <c r="AQ34" s="711" t="s">
        <v>1534</v>
      </c>
      <c r="AR34" s="716">
        <v>1</v>
      </c>
      <c r="AS34" s="716">
        <v>1</v>
      </c>
      <c r="AT34" s="717">
        <v>0</v>
      </c>
      <c r="AU34" s="1192">
        <f t="shared" si="470"/>
        <v>0</v>
      </c>
      <c r="AV34" s="1070">
        <f t="shared" si="551"/>
        <v>0</v>
      </c>
      <c r="AW34" s="1070">
        <f t="shared" si="676"/>
        <v>0</v>
      </c>
      <c r="AX34" s="1070">
        <f t="shared" si="677"/>
        <v>0</v>
      </c>
      <c r="AY34" s="1070">
        <f t="shared" si="678"/>
        <v>0</v>
      </c>
      <c r="AZ34" s="1070">
        <f t="shared" si="679"/>
        <v>0</v>
      </c>
      <c r="BA34" s="1193">
        <f t="shared" si="680"/>
        <v>0</v>
      </c>
      <c r="BB34" s="1071">
        <f t="shared" si="681"/>
        <v>0</v>
      </c>
      <c r="BC34" s="1070">
        <f t="shared" si="682"/>
        <v>0</v>
      </c>
      <c r="BD34" s="1070">
        <f t="shared" si="683"/>
        <v>0</v>
      </c>
      <c r="BE34" s="1070">
        <f t="shared" si="684"/>
        <v>0</v>
      </c>
      <c r="BF34" s="1070">
        <f t="shared" si="685"/>
        <v>0</v>
      </c>
      <c r="BG34" s="1070">
        <f t="shared" si="686"/>
        <v>0</v>
      </c>
      <c r="BH34" s="1193">
        <f t="shared" si="687"/>
        <v>0</v>
      </c>
      <c r="BI34" s="774">
        <f t="shared" si="563"/>
        <v>0</v>
      </c>
      <c r="BJ34" s="503">
        <f t="shared" si="564"/>
        <v>0</v>
      </c>
      <c r="BK34" s="503">
        <f t="shared" si="475"/>
        <v>175</v>
      </c>
      <c r="BL34" s="503">
        <f t="shared" si="476"/>
        <v>141.66666666666666</v>
      </c>
      <c r="BM34" s="503">
        <f t="shared" si="477"/>
        <v>141.66666666666666</v>
      </c>
      <c r="BN34" s="503">
        <f t="shared" si="478"/>
        <v>141.66666666666666</v>
      </c>
      <c r="BO34" s="776">
        <f t="shared" si="479"/>
        <v>141.66666666666666</v>
      </c>
      <c r="BP34" s="1071">
        <f t="shared" si="578"/>
        <v>36</v>
      </c>
      <c r="BQ34" s="1072">
        <f t="shared" si="578"/>
        <v>36</v>
      </c>
      <c r="BR34" s="1072">
        <f t="shared" si="578"/>
        <v>36</v>
      </c>
      <c r="BS34" s="1072">
        <f t="shared" si="578"/>
        <v>36</v>
      </c>
      <c r="BT34" s="1072">
        <f t="shared" si="578"/>
        <v>36</v>
      </c>
      <c r="BU34" s="1072">
        <f t="shared" si="578"/>
        <v>36</v>
      </c>
      <c r="BV34" s="1194">
        <f t="shared" si="578"/>
        <v>36</v>
      </c>
      <c r="BW34" s="1073">
        <f t="shared" si="480"/>
        <v>0</v>
      </c>
      <c r="BX34" s="1074"/>
      <c r="BY34" s="1074"/>
      <c r="BZ34" s="1074"/>
      <c r="CA34" s="1074"/>
      <c r="CB34" s="1074"/>
      <c r="CC34" s="1081"/>
      <c r="CD34" s="511">
        <f t="shared" si="483"/>
        <v>0.5</v>
      </c>
      <c r="CE34" s="1074">
        <f t="shared" si="565"/>
        <v>0.5</v>
      </c>
      <c r="CF34" s="1074">
        <f t="shared" si="566"/>
        <v>0.5</v>
      </c>
      <c r="CG34" s="1074">
        <f t="shared" si="567"/>
        <v>0.5</v>
      </c>
      <c r="CH34" s="1074">
        <f t="shared" si="568"/>
        <v>0.5</v>
      </c>
      <c r="CI34" s="1074">
        <f t="shared" si="569"/>
        <v>0.5</v>
      </c>
      <c r="CJ34" s="1081">
        <f t="shared" si="570"/>
        <v>0.5</v>
      </c>
      <c r="CK34" s="1073">
        <f t="shared" si="486"/>
        <v>0</v>
      </c>
      <c r="CL34" s="1074">
        <f t="shared" si="571"/>
        <v>0</v>
      </c>
      <c r="CM34" s="1074">
        <f t="shared" si="572"/>
        <v>0</v>
      </c>
      <c r="CN34" s="1074">
        <f t="shared" si="573"/>
        <v>0</v>
      </c>
      <c r="CO34" s="1074">
        <f t="shared" si="574"/>
        <v>0</v>
      </c>
      <c r="CP34" s="1074">
        <f t="shared" si="575"/>
        <v>0</v>
      </c>
      <c r="CQ34" s="1075">
        <f t="shared" si="576"/>
        <v>0</v>
      </c>
      <c r="CR34" s="1076">
        <f t="shared" si="542"/>
        <v>0</v>
      </c>
      <c r="CS34" s="1077">
        <f t="shared" si="489"/>
        <v>0</v>
      </c>
      <c r="CT34" s="1077">
        <f t="shared" si="490"/>
        <v>0</v>
      </c>
      <c r="CU34" s="1077">
        <f t="shared" si="491"/>
        <v>0</v>
      </c>
      <c r="CV34" s="1077">
        <f t="shared" si="492"/>
        <v>0</v>
      </c>
      <c r="CW34" s="1077">
        <f t="shared" si="493"/>
        <v>0</v>
      </c>
      <c r="CX34" s="1078">
        <f t="shared" si="494"/>
        <v>0</v>
      </c>
      <c r="CY34" s="1076">
        <f t="shared" si="543"/>
        <v>0</v>
      </c>
      <c r="CZ34" s="1077">
        <f t="shared" si="495"/>
        <v>0</v>
      </c>
      <c r="DA34" s="1077">
        <f t="shared" si="496"/>
        <v>0</v>
      </c>
      <c r="DB34" s="1077">
        <f t="shared" si="497"/>
        <v>0</v>
      </c>
      <c r="DC34" s="1077">
        <f t="shared" si="498"/>
        <v>0</v>
      </c>
      <c r="DD34" s="1077">
        <f t="shared" si="499"/>
        <v>0</v>
      </c>
      <c r="DE34" s="1078">
        <f t="shared" si="500"/>
        <v>0</v>
      </c>
      <c r="DF34" s="1076">
        <f t="shared" si="544"/>
        <v>0</v>
      </c>
      <c r="DG34" s="1077">
        <f t="shared" si="501"/>
        <v>0</v>
      </c>
      <c r="DH34" s="1077">
        <f t="shared" si="502"/>
        <v>875</v>
      </c>
      <c r="DI34" s="1077">
        <f t="shared" si="503"/>
        <v>1062.5</v>
      </c>
      <c r="DJ34" s="1077">
        <f t="shared" si="504"/>
        <v>1593.75</v>
      </c>
      <c r="DK34" s="1077">
        <f t="shared" si="505"/>
        <v>2390.625</v>
      </c>
      <c r="DL34" s="1078">
        <f t="shared" si="545"/>
        <v>3585.9374999999995</v>
      </c>
      <c r="DM34" s="1076">
        <f t="shared" si="546"/>
        <v>0</v>
      </c>
      <c r="DN34" s="1077">
        <f t="shared" si="506"/>
        <v>0</v>
      </c>
      <c r="DO34" s="1077">
        <f t="shared" si="507"/>
        <v>180</v>
      </c>
      <c r="DP34" s="1077">
        <f t="shared" si="508"/>
        <v>270</v>
      </c>
      <c r="DQ34" s="1077">
        <f t="shared" si="509"/>
        <v>405</v>
      </c>
      <c r="DR34" s="1077">
        <f t="shared" si="510"/>
        <v>607.5</v>
      </c>
      <c r="DS34" s="1195">
        <f t="shared" si="511"/>
        <v>911.25</v>
      </c>
      <c r="DT34" s="1073">
        <f t="shared" si="547"/>
        <v>0</v>
      </c>
      <c r="DU34" s="1196">
        <f t="shared" si="512"/>
        <v>0</v>
      </c>
      <c r="DV34" s="1196">
        <f t="shared" si="513"/>
        <v>0</v>
      </c>
      <c r="DW34" s="1196">
        <f t="shared" si="514"/>
        <v>0</v>
      </c>
      <c r="DX34" s="1196">
        <f t="shared" si="515"/>
        <v>0</v>
      </c>
      <c r="DY34" s="1196">
        <f t="shared" si="516"/>
        <v>0</v>
      </c>
      <c r="DZ34" s="1197">
        <f t="shared" si="517"/>
        <v>0</v>
      </c>
      <c r="EA34" s="1073">
        <f t="shared" si="548"/>
        <v>0</v>
      </c>
      <c r="EB34" s="1196">
        <f t="shared" si="518"/>
        <v>0</v>
      </c>
      <c r="EC34" s="1196">
        <f t="shared" si="519"/>
        <v>2.5</v>
      </c>
      <c r="ED34" s="1196">
        <f t="shared" si="520"/>
        <v>3.75</v>
      </c>
      <c r="EE34" s="1196">
        <f t="shared" si="521"/>
        <v>5.625</v>
      </c>
      <c r="EF34" s="1196">
        <f t="shared" si="522"/>
        <v>8.4375</v>
      </c>
      <c r="EG34" s="1198">
        <f t="shared" si="523"/>
        <v>12.65625</v>
      </c>
      <c r="EH34" s="1073">
        <f t="shared" si="549"/>
        <v>0</v>
      </c>
      <c r="EI34" s="1074">
        <f t="shared" si="524"/>
        <v>0</v>
      </c>
      <c r="EJ34" s="1074">
        <f t="shared" si="525"/>
        <v>0</v>
      </c>
      <c r="EK34" s="1074">
        <f t="shared" si="526"/>
        <v>0</v>
      </c>
      <c r="EL34" s="1074">
        <f t="shared" si="527"/>
        <v>0</v>
      </c>
      <c r="EM34" s="1074">
        <f t="shared" si="528"/>
        <v>0</v>
      </c>
      <c r="EN34" s="1081">
        <f t="shared" si="529"/>
        <v>0</v>
      </c>
      <c r="EO34" s="977">
        <f t="shared" si="102"/>
        <v>9.4196428571428577</v>
      </c>
      <c r="EP34" s="728">
        <f t="shared" si="103"/>
        <v>0</v>
      </c>
      <c r="EQ34" s="728">
        <f t="shared" si="104"/>
        <v>0</v>
      </c>
      <c r="ER34" s="728">
        <f t="shared" si="105"/>
        <v>9507.8125</v>
      </c>
      <c r="ES34" s="728">
        <f t="shared" si="106"/>
        <v>2373.75</v>
      </c>
      <c r="ET34" s="978">
        <f t="shared" si="107"/>
        <v>0</v>
      </c>
      <c r="EU34" s="978">
        <f t="shared" si="108"/>
        <v>12.65625</v>
      </c>
      <c r="EV34" s="778">
        <f t="shared" si="109"/>
        <v>0</v>
      </c>
      <c r="EW34" s="10"/>
      <c r="EX34" s="10"/>
      <c r="EY34" s="10"/>
      <c r="EZ34" s="10"/>
      <c r="FA34" s="10"/>
      <c r="FB34" s="10"/>
      <c r="FC34" s="10"/>
      <c r="FD34" s="10"/>
      <c r="FE34" s="10"/>
    </row>
    <row r="35" spans="1:161" s="93" customFormat="1">
      <c r="A35" s="2"/>
      <c r="B35" s="2"/>
      <c r="C35" s="356"/>
      <c r="D35" s="2"/>
      <c r="E35" s="2"/>
      <c r="F35" s="2"/>
      <c r="G35" s="2"/>
      <c r="H35" s="2"/>
      <c r="I35" s="2"/>
      <c r="J35" s="2"/>
      <c r="K35" s="2"/>
      <c r="L35" s="2"/>
      <c r="M35" s="2"/>
      <c r="N35" s="318"/>
      <c r="O35" s="2"/>
      <c r="P35" s="2"/>
      <c r="Q35" s="2"/>
      <c r="R35" s="2"/>
      <c r="S35" s="2"/>
      <c r="T35" s="3"/>
      <c r="U35" s="3"/>
      <c r="V35" s="2"/>
      <c r="W35" s="3"/>
      <c r="X35" s="3"/>
      <c r="Y35" s="3"/>
      <c r="Z35" s="3"/>
      <c r="AA35" s="3"/>
      <c r="AB35" s="3"/>
      <c r="AC35" s="3"/>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row>
    <row r="36" spans="1:161" s="318" customFormat="1">
      <c r="B36" s="320"/>
      <c r="T36" s="312"/>
      <c r="U36" s="312"/>
      <c r="V36" s="2"/>
      <c r="W36" s="107">
        <f t="shared" ref="W36:AC36" si="689">SUM(W6:W7)</f>
        <v>1619.6</v>
      </c>
      <c r="X36" s="107">
        <f t="shared" si="689"/>
        <v>2185.1999999999998</v>
      </c>
      <c r="Y36" s="107">
        <f t="shared" si="689"/>
        <v>3642.8</v>
      </c>
      <c r="Z36" s="107">
        <f t="shared" si="689"/>
        <v>3642.8</v>
      </c>
      <c r="AA36" s="107">
        <f t="shared" si="689"/>
        <v>3642.8</v>
      </c>
      <c r="AB36" s="107">
        <f t="shared" si="689"/>
        <v>3642.8</v>
      </c>
      <c r="AC36" s="107">
        <f t="shared" si="689"/>
        <v>3642.8</v>
      </c>
    </row>
    <row r="37" spans="1:161" s="318" customFormat="1">
      <c r="B37" s="280"/>
      <c r="K37" s="123"/>
      <c r="L37" s="2"/>
      <c r="M37" s="2"/>
      <c r="N37" s="2"/>
      <c r="O37" s="3"/>
      <c r="P37" s="2"/>
      <c r="Q37" s="2"/>
      <c r="R37" s="3"/>
      <c r="S37" s="2"/>
      <c r="T37" s="2"/>
      <c r="V37" s="2" t="s">
        <v>1672</v>
      </c>
      <c r="W37" s="106">
        <v>1</v>
      </c>
      <c r="X37" s="106">
        <v>1</v>
      </c>
      <c r="Y37" s="106">
        <v>1</v>
      </c>
      <c r="Z37" s="106">
        <v>1</v>
      </c>
      <c r="AA37" s="106">
        <v>1</v>
      </c>
      <c r="AB37" s="106">
        <v>1</v>
      </c>
      <c r="AC37" s="106">
        <v>1</v>
      </c>
    </row>
    <row r="38" spans="1:161" s="318" customFormat="1">
      <c r="B38" s="280"/>
      <c r="K38" s="2"/>
      <c r="L38" s="2"/>
      <c r="M38" s="637"/>
      <c r="N38" s="636"/>
      <c r="O38" s="3"/>
      <c r="P38" s="2"/>
      <c r="Q38" s="2"/>
      <c r="R38" s="3"/>
      <c r="S38" s="638"/>
      <c r="T38" s="639"/>
      <c r="V38" s="2" t="s">
        <v>1673</v>
      </c>
      <c r="W38" s="106">
        <v>0.2</v>
      </c>
      <c r="X38" s="106">
        <v>0.2</v>
      </c>
      <c r="Y38" s="106">
        <v>0.2</v>
      </c>
      <c r="Z38" s="106">
        <v>0.2</v>
      </c>
      <c r="AA38" s="106">
        <v>0.2</v>
      </c>
      <c r="AB38" s="106">
        <v>0.2</v>
      </c>
      <c r="AC38" s="106">
        <v>0.2</v>
      </c>
    </row>
    <row r="39" spans="1:161" s="93" customFormat="1">
      <c r="A39" s="2"/>
      <c r="B39" s="280"/>
      <c r="C39" s="2"/>
      <c r="D39" s="2"/>
      <c r="E39" s="2"/>
      <c r="F39" s="2"/>
      <c r="G39" s="2"/>
      <c r="H39" s="2"/>
      <c r="I39" s="2"/>
      <c r="J39" s="2"/>
      <c r="K39" s="2"/>
      <c r="L39" s="2"/>
      <c r="M39" s="637"/>
      <c r="N39" s="636"/>
      <c r="O39" s="195"/>
      <c r="P39" s="123"/>
      <c r="Q39" s="2"/>
      <c r="R39" s="195"/>
      <c r="S39" s="640"/>
      <c r="T39" s="641"/>
      <c r="U39" s="2"/>
      <c r="V39" s="2"/>
      <c r="W39" s="3"/>
      <c r="X39" s="3"/>
      <c r="Y39" s="3"/>
      <c r="Z39" s="3"/>
      <c r="AA39" s="3"/>
      <c r="AB39" s="3"/>
      <c r="AC39" s="3"/>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row>
    <row r="40" spans="1:161" s="93" customFormat="1">
      <c r="A40" s="2"/>
      <c r="B40" s="280"/>
      <c r="C40" s="2"/>
      <c r="D40" s="2"/>
      <c r="E40" s="2"/>
      <c r="F40" s="2"/>
      <c r="G40" s="2"/>
      <c r="H40" s="2"/>
      <c r="I40" s="2"/>
      <c r="J40" s="2"/>
      <c r="K40" s="123"/>
      <c r="L40" s="123"/>
      <c r="M40" s="637"/>
      <c r="N40" s="636"/>
      <c r="O40" s="195"/>
      <c r="P40" s="123"/>
      <c r="Q40" s="2"/>
      <c r="R40" s="195"/>
      <c r="S40" s="640"/>
      <c r="T40" s="641"/>
      <c r="U40" s="2"/>
      <c r="V40" s="2"/>
      <c r="W40" s="3"/>
      <c r="X40" s="3"/>
      <c r="Y40" s="3"/>
      <c r="Z40" s="3"/>
      <c r="AA40" s="3"/>
      <c r="AB40" s="3"/>
      <c r="AC40" s="3"/>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row>
    <row r="41" spans="1:161" s="93" customFormat="1">
      <c r="A41" s="2"/>
      <c r="B41" s="2"/>
      <c r="C41" s="2"/>
      <c r="D41" s="2"/>
      <c r="E41" s="2"/>
      <c r="F41" s="2"/>
      <c r="G41" s="2"/>
      <c r="H41" s="2"/>
      <c r="I41" s="2"/>
      <c r="J41" s="2"/>
      <c r="K41" s="123"/>
      <c r="L41" s="123"/>
      <c r="M41" s="637"/>
      <c r="N41" s="636"/>
      <c r="O41" s="195"/>
      <c r="P41" s="123"/>
      <c r="Q41" s="2"/>
      <c r="R41" s="195"/>
      <c r="S41" s="640"/>
      <c r="T41" s="641"/>
      <c r="U41" s="2"/>
      <c r="V41" s="2"/>
      <c r="W41" s="3"/>
      <c r="X41" s="3"/>
      <c r="Y41" s="3"/>
      <c r="Z41" s="3"/>
      <c r="AA41" s="3"/>
      <c r="AB41" s="3"/>
      <c r="AC41" s="3"/>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row>
    <row r="42" spans="1:161" s="93" customFormat="1">
      <c r="A42" s="2"/>
      <c r="B42" s="2"/>
      <c r="C42" s="2"/>
      <c r="D42" s="2"/>
      <c r="E42" s="2"/>
      <c r="F42" s="2"/>
      <c r="G42" s="2"/>
      <c r="H42" s="2"/>
      <c r="I42" s="2"/>
      <c r="J42" s="2"/>
      <c r="K42" s="123"/>
      <c r="L42" s="123"/>
      <c r="M42" s="637"/>
      <c r="N42" s="636"/>
      <c r="O42" s="195"/>
      <c r="P42" s="123"/>
      <c r="Q42" s="2"/>
      <c r="R42" s="195"/>
      <c r="S42" s="640"/>
      <c r="T42" s="641"/>
      <c r="U42" s="2"/>
      <c r="V42" s="3"/>
      <c r="W42" s="218" t="s">
        <v>432</v>
      </c>
      <c r="X42" s="103"/>
      <c r="Y42" s="3"/>
      <c r="Z42" s="3"/>
      <c r="AA42" s="3"/>
      <c r="AB42" s="3"/>
      <c r="AC42" s="3"/>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row>
    <row r="43" spans="1:161" s="93" customFormat="1">
      <c r="A43" s="2"/>
      <c r="B43" s="2"/>
      <c r="C43" s="2"/>
      <c r="D43" s="2"/>
      <c r="E43" s="2"/>
      <c r="F43" s="2"/>
      <c r="G43" s="2"/>
      <c r="H43" s="2"/>
      <c r="I43" s="2"/>
      <c r="J43" s="2"/>
      <c r="K43" s="123"/>
      <c r="L43" s="123"/>
      <c r="M43" s="637"/>
      <c r="N43" s="636"/>
      <c r="O43" s="195"/>
      <c r="P43" s="123"/>
      <c r="Q43" s="2"/>
      <c r="R43" s="195"/>
      <c r="S43" s="640"/>
      <c r="T43" s="641"/>
      <c r="U43" s="2"/>
      <c r="V43" s="3"/>
      <c r="W43" s="218" t="s">
        <v>433</v>
      </c>
      <c r="X43" s="103"/>
      <c r="Y43" s="3"/>
      <c r="Z43" s="3"/>
      <c r="AA43" s="217"/>
      <c r="AB43" s="3"/>
      <c r="AC43" s="3"/>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row>
    <row r="44" spans="1:161" s="93" customFormat="1">
      <c r="A44" s="2"/>
      <c r="B44" s="2"/>
      <c r="C44" s="2"/>
      <c r="D44" s="2"/>
      <c r="E44" s="2"/>
      <c r="F44" s="2"/>
      <c r="G44" s="2"/>
      <c r="H44" s="2"/>
      <c r="I44" s="2"/>
      <c r="J44" s="2"/>
      <c r="K44" s="123"/>
      <c r="L44" s="123"/>
      <c r="M44" s="637"/>
      <c r="N44" s="636"/>
      <c r="O44" s="195"/>
      <c r="P44" s="123"/>
      <c r="Q44" s="2"/>
      <c r="R44" s="195"/>
      <c r="S44" s="640"/>
      <c r="T44" s="641"/>
      <c r="U44" s="2"/>
      <c r="V44" s="3"/>
      <c r="W44" s="218" t="s">
        <v>434</v>
      </c>
      <c r="X44" s="3"/>
      <c r="Y44" s="3"/>
      <c r="Z44" s="3"/>
      <c r="AA44" s="3"/>
      <c r="AB44" s="3"/>
      <c r="AC44" s="3"/>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row>
    <row r="45" spans="1:161" s="93" customFormat="1" ht="14.5">
      <c r="A45" s="2"/>
      <c r="B45" s="16" t="s">
        <v>436</v>
      </c>
      <c r="C45" s="2"/>
      <c r="D45" s="2"/>
      <c r="E45" s="16" t="s">
        <v>437</v>
      </c>
      <c r="F45" s="2"/>
      <c r="G45" s="2"/>
      <c r="H45" s="2"/>
      <c r="I45" s="2"/>
      <c r="J45" s="2"/>
      <c r="K45" s="123"/>
      <c r="L45" s="2"/>
      <c r="M45" s="637"/>
      <c r="N45" s="636"/>
      <c r="O45" s="195"/>
      <c r="P45" s="123"/>
      <c r="Q45" s="2"/>
      <c r="R45" s="195"/>
      <c r="S45" s="640"/>
      <c r="T45" s="641"/>
      <c r="U45" s="2"/>
      <c r="V45" s="3"/>
      <c r="W45" s="218" t="s">
        <v>435</v>
      </c>
      <c r="X45" s="3"/>
      <c r="Y45" s="3"/>
      <c r="Z45" s="3"/>
      <c r="AA45" s="3"/>
      <c r="AB45" s="3"/>
      <c r="AC45" s="3"/>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row>
    <row r="46" spans="1:161" s="95" customFormat="1" ht="14.5">
      <c r="A46" s="3"/>
      <c r="B46" s="17" t="s">
        <v>439</v>
      </c>
      <c r="C46" s="3"/>
      <c r="D46" s="3"/>
      <c r="E46" s="17" t="s">
        <v>440</v>
      </c>
      <c r="F46" s="3"/>
      <c r="G46" s="2"/>
      <c r="H46" s="2"/>
      <c r="I46" s="2"/>
      <c r="J46" s="2"/>
      <c r="K46" s="2"/>
      <c r="L46" s="2"/>
      <c r="M46" s="2"/>
      <c r="N46" s="2"/>
      <c r="O46" s="2"/>
      <c r="P46" s="2"/>
      <c r="Q46" s="2"/>
      <c r="R46" s="2"/>
      <c r="S46" s="2"/>
      <c r="T46" s="3"/>
      <c r="U46" s="3"/>
      <c r="V46" s="3"/>
      <c r="W46" s="156" t="s">
        <v>438</v>
      </c>
      <c r="X46" s="3"/>
      <c r="Y46" s="3"/>
      <c r="Z46" s="3"/>
      <c r="AA46" s="3"/>
      <c r="AB46" s="3"/>
      <c r="AC46" s="3"/>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3"/>
      <c r="EX46" s="3"/>
      <c r="EY46" s="3"/>
      <c r="EZ46" s="3"/>
      <c r="FA46" s="3"/>
      <c r="FB46" s="3"/>
      <c r="FC46" s="3"/>
      <c r="FD46" s="3"/>
      <c r="FE46" s="3"/>
    </row>
    <row r="47" spans="1:161" s="95" customFormat="1" ht="14.5">
      <c r="A47" s="3"/>
      <c r="B47" s="3"/>
      <c r="C47" s="3"/>
      <c r="D47" s="3"/>
      <c r="E47" s="3"/>
      <c r="F47" s="3"/>
      <c r="G47" s="2"/>
      <c r="H47" s="2"/>
      <c r="I47" s="2"/>
      <c r="J47" s="2"/>
      <c r="K47" s="2"/>
      <c r="L47" s="2"/>
      <c r="M47" s="2"/>
      <c r="N47" s="2"/>
      <c r="O47" s="2"/>
      <c r="P47" s="2"/>
      <c r="Q47" s="2"/>
      <c r="R47" s="2"/>
      <c r="S47" s="2"/>
      <c r="T47" s="3"/>
      <c r="U47" s="3"/>
      <c r="V47" s="3"/>
      <c r="W47" s="156" t="s">
        <v>441</v>
      </c>
      <c r="X47" s="3"/>
      <c r="Y47" s="3"/>
      <c r="Z47" s="3"/>
      <c r="AA47" s="3"/>
      <c r="AB47" s="3"/>
      <c r="AC47" s="3"/>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3"/>
      <c r="EX47" s="3"/>
      <c r="EY47" s="3"/>
      <c r="EZ47" s="3"/>
      <c r="FA47" s="3"/>
      <c r="FB47" s="3"/>
      <c r="FC47" s="3"/>
      <c r="FD47" s="3"/>
      <c r="FE47" s="3"/>
    </row>
    <row r="48" spans="1:161" s="93" customFormat="1">
      <c r="A48" s="2"/>
      <c r="B48" s="2"/>
      <c r="C48" s="2"/>
      <c r="D48" s="2"/>
      <c r="E48" s="2"/>
      <c r="F48" s="2"/>
      <c r="G48" s="2"/>
      <c r="H48" s="2"/>
      <c r="I48" s="2"/>
      <c r="J48" s="2"/>
      <c r="K48" s="2"/>
      <c r="L48" s="2"/>
      <c r="M48" s="2"/>
      <c r="N48" s="2"/>
      <c r="O48" s="2"/>
      <c r="P48" s="2"/>
      <c r="Q48" s="2"/>
      <c r="R48" s="2"/>
      <c r="S48" s="2"/>
      <c r="T48" s="2"/>
      <c r="U48" s="2"/>
      <c r="V48" s="3"/>
      <c r="W48" s="3"/>
      <c r="X48" s="3"/>
      <c r="Y48" s="3"/>
      <c r="Z48" s="3"/>
      <c r="AA48" s="3"/>
      <c r="AB48" s="3"/>
      <c r="AC48" s="3"/>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row>
    <row r="49" spans="1:161" s="93" customFormat="1">
      <c r="A49" s="2"/>
      <c r="B49" s="2"/>
      <c r="C49" s="2"/>
      <c r="D49" s="2"/>
      <c r="E49" s="2"/>
      <c r="F49" s="2"/>
      <c r="G49" s="2"/>
      <c r="H49" s="2"/>
      <c r="I49" s="2"/>
      <c r="J49" s="2"/>
      <c r="K49" s="2"/>
      <c r="L49" s="2"/>
      <c r="M49" s="2"/>
      <c r="N49" s="2"/>
      <c r="O49" s="2"/>
      <c r="P49" s="2"/>
      <c r="Q49" s="2"/>
      <c r="R49" s="2"/>
      <c r="S49" s="2"/>
      <c r="T49" s="3"/>
      <c r="U49" s="3"/>
      <c r="V49" s="3"/>
      <c r="W49" s="3"/>
      <c r="X49" s="3"/>
      <c r="Y49" s="3"/>
      <c r="Z49" s="3"/>
      <c r="AA49" s="3"/>
      <c r="AB49" s="3"/>
      <c r="AC49" s="3"/>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row>
    <row r="50" spans="1:161" s="93" customFormat="1">
      <c r="A50" s="2"/>
      <c r="B50" s="2"/>
      <c r="C50" s="2"/>
      <c r="D50" s="2"/>
      <c r="E50" s="2"/>
      <c r="F50" s="2"/>
      <c r="G50" s="2"/>
      <c r="H50" s="2"/>
      <c r="I50" s="2"/>
      <c r="J50" s="2"/>
      <c r="K50" s="2"/>
      <c r="L50" s="2"/>
      <c r="M50" s="2"/>
      <c r="N50" s="2"/>
      <c r="O50" s="2"/>
      <c r="P50" s="2"/>
      <c r="Q50" s="2"/>
      <c r="R50" s="2"/>
      <c r="S50" s="2"/>
      <c r="T50" s="3"/>
      <c r="U50" s="3"/>
      <c r="V50" s="3"/>
      <c r="W50" s="3"/>
      <c r="X50" s="3"/>
      <c r="Y50" s="3"/>
      <c r="Z50" s="3"/>
      <c r="AA50" s="3"/>
      <c r="AB50" s="3"/>
      <c r="AC50" s="3"/>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row>
    <row r="51" spans="1:161" s="93" customFormat="1">
      <c r="A51" s="2"/>
      <c r="B51" s="3"/>
      <c r="C51" s="3"/>
      <c r="D51" s="3"/>
      <c r="E51" s="3"/>
      <c r="F51" s="3"/>
      <c r="G51" s="2"/>
      <c r="H51" s="2"/>
      <c r="I51" s="2"/>
      <c r="J51" s="2"/>
      <c r="K51" s="2"/>
      <c r="L51" s="2"/>
      <c r="M51" s="2"/>
      <c r="N51" s="2"/>
      <c r="O51" s="2"/>
      <c r="P51" s="2"/>
      <c r="Q51" s="2"/>
      <c r="R51" s="2"/>
      <c r="S51" s="2"/>
      <c r="T51" s="3"/>
      <c r="U51" s="3"/>
      <c r="V51" s="3"/>
      <c r="W51" s="3"/>
      <c r="X51" s="3"/>
      <c r="Y51" s="3"/>
      <c r="Z51" s="3"/>
      <c r="AA51" s="3"/>
      <c r="AB51" s="3"/>
      <c r="AC51" s="3"/>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row>
    <row r="52" spans="1:161" s="93" customFormat="1">
      <c r="A52" s="2"/>
      <c r="B52" s="3"/>
      <c r="C52" s="542"/>
      <c r="D52" s="542"/>
      <c r="E52" s="1310"/>
      <c r="F52" s="402"/>
      <c r="G52" s="2"/>
      <c r="H52" s="2"/>
      <c r="I52" s="2"/>
      <c r="J52" s="2"/>
      <c r="K52" s="2"/>
      <c r="L52" s="2"/>
      <c r="M52" s="2"/>
      <c r="N52" s="2"/>
      <c r="O52" s="2"/>
      <c r="P52" s="2"/>
      <c r="Q52" s="2"/>
      <c r="R52" s="2"/>
      <c r="S52" s="2"/>
      <c r="T52" s="3"/>
      <c r="U52" s="3"/>
      <c r="V52" s="3"/>
      <c r="W52" s="3"/>
      <c r="X52" s="3"/>
      <c r="Y52" s="3"/>
      <c r="Z52" s="3"/>
      <c r="AA52" s="3"/>
      <c r="AB52" s="3"/>
      <c r="AC52" s="3"/>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row>
    <row r="53" spans="1:161" s="93" customFormat="1">
      <c r="A53" s="2"/>
      <c r="B53" s="3"/>
      <c r="C53" s="103"/>
      <c r="D53" s="3"/>
      <c r="E53" s="3"/>
      <c r="F53" s="3"/>
      <c r="G53" s="2"/>
      <c r="H53" s="2"/>
      <c r="I53" s="2"/>
      <c r="J53" s="2"/>
      <c r="K53" s="2"/>
      <c r="L53" s="2"/>
      <c r="M53" s="2"/>
      <c r="N53" s="2"/>
      <c r="O53" s="2"/>
      <c r="P53" s="2"/>
      <c r="Q53" s="2"/>
      <c r="R53" s="2"/>
      <c r="S53" s="2"/>
      <c r="T53" s="3"/>
      <c r="U53" s="3"/>
      <c r="V53" s="3"/>
      <c r="W53" s="3"/>
      <c r="X53" s="3"/>
      <c r="Y53" s="3"/>
      <c r="Z53" s="3"/>
      <c r="AA53" s="3"/>
      <c r="AB53" s="3"/>
      <c r="AC53" s="3"/>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row>
    <row r="54" spans="1:161" s="93" customFormat="1">
      <c r="A54" s="2"/>
      <c r="B54" s="2"/>
      <c r="C54" s="2"/>
      <c r="D54" s="2"/>
      <c r="E54" s="2"/>
      <c r="F54" s="2"/>
      <c r="G54" s="2"/>
      <c r="H54" s="2"/>
      <c r="I54" s="2"/>
      <c r="J54" s="2"/>
      <c r="K54" s="2"/>
      <c r="L54" s="2"/>
      <c r="M54" s="2"/>
      <c r="N54" s="2"/>
      <c r="O54" s="2"/>
      <c r="P54" s="2"/>
      <c r="Q54" s="2"/>
      <c r="R54" s="2"/>
      <c r="S54" s="2"/>
      <c r="T54" s="3"/>
      <c r="U54" s="3"/>
      <c r="V54" s="3"/>
      <c r="W54" s="3"/>
      <c r="X54" s="3"/>
      <c r="Y54" s="3"/>
      <c r="Z54" s="3"/>
      <c r="AA54" s="3"/>
      <c r="AB54" s="3"/>
      <c r="AC54" s="3"/>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row>
    <row r="55" spans="1:161" s="93" customFormat="1">
      <c r="A55" s="2"/>
      <c r="B55" s="2"/>
      <c r="C55" s="2"/>
      <c r="D55" s="2"/>
      <c r="E55" s="2"/>
      <c r="F55" s="2"/>
      <c r="G55" s="2"/>
      <c r="H55" s="2"/>
      <c r="I55" s="2"/>
      <c r="J55" s="2"/>
      <c r="K55" s="2"/>
      <c r="L55" s="2"/>
      <c r="M55" s="2"/>
      <c r="N55" s="2"/>
      <c r="O55" s="2"/>
      <c r="P55" s="2"/>
      <c r="Q55" s="2"/>
      <c r="R55" s="2"/>
      <c r="S55" s="2"/>
      <c r="T55" s="3"/>
      <c r="U55" s="3"/>
      <c r="V55" s="3"/>
      <c r="W55" s="3"/>
      <c r="X55" s="3"/>
      <c r="Y55" s="3"/>
      <c r="Z55" s="3"/>
      <c r="AA55" s="3"/>
      <c r="AB55" s="3"/>
      <c r="AC55" s="3"/>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row>
    <row r="56" spans="1:161" s="93" customFormat="1">
      <c r="A56" s="2"/>
      <c r="B56" s="1311"/>
      <c r="C56" s="1311"/>
      <c r="D56" s="1311"/>
      <c r="E56" s="1311"/>
      <c r="F56" s="1311"/>
      <c r="G56" s="1311"/>
      <c r="H56" s="1311"/>
      <c r="I56" s="2"/>
      <c r="J56" s="2"/>
      <c r="K56" s="2"/>
      <c r="L56" s="2"/>
      <c r="M56" s="2"/>
      <c r="N56" s="2"/>
      <c r="O56" s="2"/>
      <c r="P56" s="2"/>
      <c r="Q56" s="2"/>
      <c r="R56" s="2"/>
      <c r="S56" s="2"/>
      <c r="T56" s="3"/>
      <c r="U56" s="3"/>
      <c r="V56" s="3"/>
      <c r="W56" s="3"/>
      <c r="X56" s="3"/>
      <c r="Y56" s="3"/>
      <c r="Z56" s="3"/>
      <c r="AA56" s="3"/>
      <c r="AB56" s="3"/>
      <c r="AC56" s="3"/>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row>
    <row r="57" spans="1:161" s="93" customFormat="1">
      <c r="A57" s="2"/>
      <c r="B57" s="91"/>
      <c r="C57" s="1309"/>
      <c r="D57" s="1309"/>
      <c r="E57" s="1309"/>
      <c r="F57" s="131"/>
      <c r="G57" s="268"/>
      <c r="H57" s="1312"/>
      <c r="I57" s="2"/>
      <c r="J57" s="2"/>
      <c r="K57" s="2"/>
      <c r="L57" s="2"/>
      <c r="M57" s="2"/>
      <c r="N57" s="2"/>
      <c r="O57" s="2"/>
      <c r="P57" s="2"/>
      <c r="Q57" s="2"/>
      <c r="R57" s="2"/>
      <c r="S57" s="2"/>
      <c r="T57" s="3"/>
      <c r="U57" s="3"/>
      <c r="V57" s="3"/>
      <c r="W57" s="3"/>
      <c r="X57" s="3"/>
      <c r="Y57" s="3"/>
      <c r="Z57" s="3"/>
      <c r="AA57" s="3"/>
      <c r="AB57" s="3"/>
      <c r="AC57" s="3"/>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row>
    <row r="58" spans="1:161" s="93" customFormat="1">
      <c r="A58" s="2"/>
      <c r="B58" s="91"/>
      <c r="C58" s="131"/>
      <c r="D58" s="131"/>
      <c r="E58" s="131"/>
      <c r="F58" s="131"/>
      <c r="G58" s="268"/>
      <c r="H58" s="1312"/>
      <c r="I58" s="2"/>
      <c r="J58" s="2"/>
      <c r="K58" s="2"/>
      <c r="L58" s="2"/>
      <c r="M58" s="2"/>
      <c r="N58" s="2"/>
      <c r="O58" s="2"/>
      <c r="P58" s="2"/>
      <c r="Q58" s="2"/>
      <c r="R58" s="2"/>
      <c r="S58" s="2"/>
      <c r="T58" s="3"/>
      <c r="U58" s="3"/>
      <c r="V58" s="3"/>
      <c r="W58" s="3"/>
      <c r="X58" s="3"/>
      <c r="Y58" s="3"/>
      <c r="Z58" s="3"/>
      <c r="AA58" s="3"/>
      <c r="AB58" s="3"/>
      <c r="AC58" s="3"/>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row>
    <row r="59" spans="1:161" s="93" customFormat="1">
      <c r="A59" s="2"/>
      <c r="B59" s="2"/>
      <c r="C59" s="2"/>
      <c r="D59" s="2"/>
      <c r="E59" s="2"/>
      <c r="F59" s="2"/>
      <c r="G59" s="2"/>
      <c r="H59" s="2"/>
      <c r="I59" s="2"/>
      <c r="J59" s="2"/>
      <c r="K59" s="2"/>
      <c r="L59" s="2"/>
      <c r="M59" s="2"/>
      <c r="N59" s="2"/>
      <c r="O59" s="2"/>
      <c r="P59" s="2"/>
      <c r="Q59" s="2"/>
      <c r="R59" s="2"/>
      <c r="S59" s="2"/>
      <c r="T59" s="3"/>
      <c r="U59" s="3"/>
      <c r="V59" s="3"/>
      <c r="W59" s="3"/>
      <c r="X59" s="3"/>
      <c r="Y59" s="3"/>
      <c r="Z59" s="3"/>
      <c r="AA59" s="3"/>
      <c r="AB59" s="3"/>
      <c r="AC59" s="3"/>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row>
    <row r="60" spans="1:161" s="93" customFormat="1">
      <c r="A60" s="2"/>
      <c r="B60" s="2"/>
      <c r="C60" s="2"/>
      <c r="D60" s="2"/>
      <c r="E60" s="2"/>
      <c r="F60" s="2"/>
      <c r="G60" s="2"/>
      <c r="H60" s="2"/>
      <c r="I60" s="2"/>
      <c r="J60" s="2"/>
      <c r="K60" s="2"/>
      <c r="L60" s="2"/>
      <c r="M60" s="2"/>
      <c r="N60" s="2"/>
      <c r="O60" s="2"/>
      <c r="P60" s="2"/>
      <c r="Q60" s="2"/>
      <c r="R60" s="2"/>
      <c r="S60" s="2"/>
      <c r="T60" s="3"/>
      <c r="U60" s="3"/>
      <c r="V60" s="3"/>
      <c r="W60" s="3"/>
      <c r="X60" s="3"/>
      <c r="Y60" s="3"/>
      <c r="Z60" s="3"/>
      <c r="AA60" s="3"/>
      <c r="AB60" s="3"/>
      <c r="AC60" s="3"/>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row>
    <row r="61" spans="1:161" s="93" customFormat="1">
      <c r="A61" s="2"/>
      <c r="B61" s="2"/>
      <c r="C61" s="2"/>
      <c r="D61" s="2"/>
      <c r="E61" s="2"/>
      <c r="F61" s="2"/>
      <c r="G61" s="2"/>
      <c r="H61" s="2"/>
      <c r="I61" s="2"/>
      <c r="J61" s="2"/>
      <c r="K61" s="2"/>
      <c r="L61" s="2"/>
      <c r="M61" s="2"/>
      <c r="N61" s="2"/>
      <c r="O61" s="2"/>
      <c r="P61" s="2"/>
      <c r="Q61" s="2"/>
      <c r="R61" s="2"/>
      <c r="S61" s="2"/>
      <c r="T61" s="3"/>
      <c r="U61" s="3"/>
      <c r="V61" s="3"/>
      <c r="W61" s="3"/>
      <c r="X61" s="3"/>
      <c r="Y61" s="3"/>
      <c r="Z61" s="3"/>
      <c r="AA61" s="3"/>
      <c r="AB61" s="3"/>
      <c r="AC61" s="3"/>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row>
    <row r="62" spans="1:161" s="93" customFormat="1">
      <c r="A62" s="18" t="s">
        <v>334</v>
      </c>
      <c r="B62" s="3"/>
      <c r="C62" s="2"/>
      <c r="D62" s="2"/>
      <c r="E62" s="2"/>
      <c r="F62" s="2"/>
      <c r="G62" s="2"/>
      <c r="H62" s="2"/>
      <c r="I62" s="2"/>
      <c r="J62" s="2"/>
      <c r="K62" s="2"/>
      <c r="L62" s="2"/>
      <c r="M62" s="2"/>
      <c r="N62" s="2"/>
      <c r="O62" s="2"/>
      <c r="P62" s="2"/>
      <c r="Q62" s="2"/>
      <c r="R62" s="2"/>
      <c r="S62" s="2"/>
      <c r="T62" s="3"/>
      <c r="U62" s="3"/>
      <c r="V62" s="3"/>
      <c r="W62" s="3"/>
      <c r="X62" s="3"/>
      <c r="Y62" s="3"/>
      <c r="Z62" s="3"/>
      <c r="AA62" s="3"/>
      <c r="AB62" s="3"/>
      <c r="AC62" s="3"/>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row>
    <row r="63" spans="1:161" s="93" customFormat="1">
      <c r="A63" s="20">
        <v>1</v>
      </c>
      <c r="B63" s="19" t="s">
        <v>444</v>
      </c>
      <c r="C63" s="2"/>
      <c r="D63" s="2"/>
      <c r="E63" s="2"/>
      <c r="F63" s="2"/>
      <c r="G63" s="2"/>
      <c r="H63" s="2"/>
      <c r="I63" s="2"/>
      <c r="J63" s="2"/>
      <c r="K63" s="2"/>
      <c r="L63" s="2"/>
      <c r="M63" s="2"/>
      <c r="N63" s="2"/>
      <c r="O63" s="2"/>
      <c r="P63" s="2"/>
      <c r="Q63" s="2"/>
      <c r="R63" s="2"/>
      <c r="S63" s="2"/>
      <c r="T63" s="3"/>
      <c r="U63" s="3"/>
      <c r="V63" s="3"/>
      <c r="W63" s="3"/>
      <c r="X63" s="3"/>
      <c r="Y63" s="3"/>
      <c r="Z63" s="3"/>
      <c r="AA63" s="3"/>
      <c r="AB63" s="3"/>
      <c r="AC63" s="3"/>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row>
    <row r="64" spans="1:161" s="93" customFormat="1">
      <c r="A64" s="20">
        <v>2</v>
      </c>
      <c r="B64" s="18" t="s">
        <v>445</v>
      </c>
      <c r="C64" s="2"/>
      <c r="D64" s="2"/>
      <c r="E64" s="2"/>
      <c r="F64" s="2"/>
      <c r="G64" s="2"/>
      <c r="H64" s="2"/>
      <c r="I64" s="2"/>
      <c r="J64" s="2"/>
      <c r="K64" s="2"/>
      <c r="L64" s="2"/>
      <c r="M64" s="2"/>
      <c r="N64" s="2"/>
      <c r="O64" s="2"/>
      <c r="P64" s="2"/>
      <c r="Q64" s="2"/>
      <c r="R64" s="2"/>
      <c r="S64" s="2"/>
      <c r="T64" s="3"/>
      <c r="U64" s="3"/>
      <c r="V64" s="3"/>
      <c r="W64" s="3"/>
      <c r="X64" s="3"/>
      <c r="Y64" s="3"/>
      <c r="Z64" s="3"/>
      <c r="AA64" s="3"/>
      <c r="AB64" s="3"/>
      <c r="AC64" s="3"/>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row>
    <row r="65" spans="1:161" s="93" customFormat="1">
      <c r="A65" s="20">
        <v>3</v>
      </c>
      <c r="B65" s="19" t="s">
        <v>446</v>
      </c>
      <c r="C65" s="2"/>
      <c r="D65" s="2"/>
      <c r="E65" s="2"/>
      <c r="F65" s="2"/>
      <c r="G65" s="2"/>
      <c r="H65" s="2"/>
      <c r="I65" s="2"/>
      <c r="J65" s="2"/>
      <c r="K65" s="2"/>
      <c r="L65" s="2"/>
      <c r="M65" s="2"/>
      <c r="N65" s="2"/>
      <c r="O65" s="2"/>
      <c r="P65" s="2"/>
      <c r="Q65" s="2"/>
      <c r="R65" s="2"/>
      <c r="S65" s="2"/>
      <c r="T65" s="3"/>
      <c r="U65" s="3"/>
      <c r="V65" s="3"/>
      <c r="W65" s="3"/>
      <c r="X65" s="3"/>
      <c r="Y65" s="3"/>
      <c r="Z65" s="3"/>
      <c r="AA65" s="3"/>
      <c r="AB65" s="3"/>
      <c r="AC65" s="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row>
    <row r="66" spans="1:161" s="93" customFormat="1">
      <c r="A66" s="2">
        <v>4</v>
      </c>
      <c r="B66" s="2" t="s">
        <v>447</v>
      </c>
      <c r="C66" s="2"/>
      <c r="D66" s="2"/>
      <c r="E66" s="2"/>
      <c r="F66" s="2"/>
      <c r="G66" s="2"/>
      <c r="H66" s="2"/>
      <c r="I66" s="2"/>
      <c r="J66" s="2"/>
      <c r="K66" s="2"/>
      <c r="L66" s="2"/>
      <c r="M66" s="2"/>
      <c r="N66" s="2"/>
      <c r="O66" s="2"/>
      <c r="P66" s="2"/>
      <c r="Q66" s="2"/>
      <c r="R66" s="2"/>
      <c r="S66" s="2"/>
      <c r="T66" s="3"/>
      <c r="U66" s="3"/>
      <c r="V66" s="3"/>
      <c r="W66" s="3"/>
      <c r="X66" s="3"/>
      <c r="Y66" s="3"/>
      <c r="Z66" s="3"/>
      <c r="AA66" s="3"/>
      <c r="AB66" s="3"/>
      <c r="AC66" s="3"/>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row>
    <row r="67" spans="1:161" s="93" customFormat="1">
      <c r="A67" s="2">
        <v>5</v>
      </c>
      <c r="B67" s="2" t="s">
        <v>448</v>
      </c>
      <c r="C67" s="2"/>
      <c r="D67" s="2"/>
      <c r="E67" s="2"/>
      <c r="F67" s="2"/>
      <c r="G67" s="2"/>
      <c r="H67" s="2"/>
      <c r="I67" s="2"/>
      <c r="J67" s="2"/>
      <c r="K67" s="2"/>
      <c r="L67" s="2"/>
      <c r="M67" s="2"/>
      <c r="N67" s="2"/>
      <c r="O67" s="2"/>
      <c r="P67" s="2"/>
      <c r="Q67" s="2"/>
      <c r="R67" s="2"/>
      <c r="S67" s="2"/>
      <c r="T67" s="3"/>
      <c r="U67" s="3"/>
      <c r="V67" s="3"/>
      <c r="W67" s="3"/>
      <c r="X67" s="3"/>
      <c r="Y67" s="3"/>
      <c r="Z67" s="3"/>
      <c r="AA67" s="3"/>
      <c r="AB67" s="3"/>
      <c r="AC67" s="3"/>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row>
    <row r="68" spans="1:161" s="93" customFormat="1">
      <c r="A68" s="2"/>
      <c r="B68" s="2"/>
      <c r="C68" s="2"/>
      <c r="D68" s="2"/>
      <c r="E68" s="2"/>
      <c r="F68" s="2"/>
      <c r="G68" s="2"/>
      <c r="H68" s="2"/>
      <c r="I68" s="2"/>
      <c r="J68" s="2"/>
      <c r="K68" s="2"/>
      <c r="L68" s="2"/>
      <c r="M68" s="2"/>
      <c r="N68" s="2"/>
      <c r="O68" s="2"/>
      <c r="P68" s="2"/>
      <c r="Q68" s="2"/>
      <c r="R68" s="2"/>
      <c r="S68" s="2"/>
      <c r="T68" s="3"/>
      <c r="U68" s="3"/>
      <c r="V68" s="3"/>
      <c r="W68" s="3"/>
      <c r="X68" s="3"/>
      <c r="Y68" s="3"/>
      <c r="Z68" s="3"/>
      <c r="AA68" s="3"/>
      <c r="AB68" s="3"/>
      <c r="AC68" s="3"/>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row>
    <row r="69" spans="1:161" s="93" customFormat="1">
      <c r="A69" s="2"/>
      <c r="B69" s="2"/>
      <c r="C69" s="2"/>
      <c r="D69" s="2"/>
      <c r="E69" s="2"/>
      <c r="F69" s="2"/>
      <c r="G69" s="2"/>
      <c r="H69" s="2"/>
      <c r="I69" s="2"/>
      <c r="J69" s="2"/>
      <c r="K69" s="2"/>
      <c r="L69" s="2"/>
      <c r="M69" s="2"/>
      <c r="N69" s="2"/>
      <c r="O69" s="2"/>
      <c r="P69" s="2"/>
      <c r="Q69" s="2"/>
      <c r="R69" s="2"/>
      <c r="S69" s="2"/>
      <c r="T69" s="3"/>
      <c r="U69" s="3"/>
      <c r="V69" s="3"/>
      <c r="W69" s="3"/>
      <c r="X69" s="3"/>
      <c r="Y69" s="3"/>
      <c r="Z69" s="3"/>
      <c r="AA69" s="3"/>
      <c r="AB69" s="3"/>
      <c r="AC69" s="3"/>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row>
    <row r="70" spans="1:161" s="93" customFormat="1">
      <c r="A70" s="2"/>
      <c r="B70" s="2"/>
      <c r="C70" s="2"/>
      <c r="D70" s="2"/>
      <c r="E70" s="2"/>
      <c r="F70" s="2"/>
      <c r="G70" s="2"/>
      <c r="H70" s="2"/>
      <c r="I70" s="2"/>
      <c r="J70" s="2"/>
      <c r="K70" s="2"/>
      <c r="L70" s="2"/>
      <c r="M70" s="2"/>
      <c r="N70" s="2"/>
      <c r="O70" s="2"/>
      <c r="P70" s="2"/>
      <c r="Q70" s="2"/>
      <c r="R70" s="2"/>
      <c r="S70" s="2"/>
      <c r="T70" s="3"/>
      <c r="U70" s="3"/>
      <c r="V70" s="3"/>
      <c r="W70" s="3"/>
      <c r="X70" s="3"/>
      <c r="Y70" s="3"/>
      <c r="Z70" s="3"/>
      <c r="AA70" s="3"/>
      <c r="AB70" s="3"/>
      <c r="AC70" s="3"/>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row>
    <row r="71" spans="1:161" s="93" customFormat="1">
      <c r="A71" s="2"/>
      <c r="B71" s="2"/>
      <c r="C71" s="2"/>
      <c r="D71" s="2"/>
      <c r="E71" s="2"/>
      <c r="F71" s="2"/>
      <c r="G71" s="2"/>
      <c r="H71" s="2"/>
      <c r="I71" s="2"/>
      <c r="J71" s="2"/>
      <c r="K71" s="2"/>
      <c r="L71" s="2"/>
      <c r="M71" s="2"/>
      <c r="N71" s="2"/>
      <c r="O71" s="2"/>
      <c r="P71" s="2"/>
      <c r="Q71" s="2"/>
      <c r="R71" s="2"/>
      <c r="S71" s="2"/>
      <c r="T71" s="3"/>
      <c r="U71" s="3"/>
      <c r="V71" s="3"/>
      <c r="W71" s="3"/>
      <c r="X71" s="3"/>
      <c r="Y71" s="3"/>
      <c r="Z71" s="3"/>
      <c r="AA71" s="3"/>
      <c r="AB71" s="3"/>
      <c r="AC71" s="3"/>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row>
    <row r="72" spans="1:161" s="93" customFormat="1">
      <c r="A72" s="2"/>
      <c r="B72" s="2"/>
      <c r="C72" s="2"/>
      <c r="D72" s="2"/>
      <c r="E72" s="2"/>
      <c r="F72" s="2"/>
      <c r="G72" s="2"/>
      <c r="H72" s="2"/>
      <c r="I72" s="2"/>
      <c r="J72" s="2"/>
      <c r="K72" s="2"/>
      <c r="L72" s="2"/>
      <c r="M72" s="2"/>
      <c r="N72" s="2"/>
      <c r="O72" s="2"/>
      <c r="P72" s="2"/>
      <c r="Q72" s="2"/>
      <c r="R72" s="2"/>
      <c r="S72" s="2"/>
      <c r="T72" s="3"/>
      <c r="U72" s="3"/>
      <c r="V72" s="3"/>
      <c r="W72" s="3"/>
      <c r="X72" s="3"/>
      <c r="Y72" s="3"/>
      <c r="Z72" s="3"/>
      <c r="AA72" s="3"/>
      <c r="AB72" s="3"/>
      <c r="AC72" s="3"/>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row>
    <row r="73" spans="1:161" s="93" customFormat="1">
      <c r="A73" s="2"/>
      <c r="B73" s="2"/>
      <c r="C73" s="2"/>
      <c r="D73" s="2"/>
      <c r="E73" s="2"/>
      <c r="F73" s="2"/>
      <c r="G73" s="2"/>
      <c r="H73" s="2"/>
      <c r="I73" s="2"/>
      <c r="J73" s="2"/>
      <c r="K73" s="2"/>
      <c r="L73" s="2"/>
      <c r="M73" s="2"/>
      <c r="N73" s="2"/>
      <c r="O73" s="2"/>
      <c r="P73" s="2"/>
      <c r="Q73" s="2"/>
      <c r="R73" s="2"/>
      <c r="S73" s="2"/>
      <c r="T73" s="3"/>
      <c r="U73" s="3"/>
      <c r="V73" s="3"/>
      <c r="W73" s="3"/>
      <c r="X73" s="3"/>
      <c r="Y73" s="3"/>
      <c r="Z73" s="3"/>
      <c r="AA73" s="3"/>
      <c r="AB73" s="3"/>
      <c r="AC73" s="3"/>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row>
    <row r="74" spans="1:161" s="93" customFormat="1">
      <c r="A74" s="2"/>
      <c r="B74" s="2"/>
      <c r="C74" s="2"/>
      <c r="D74" s="2"/>
      <c r="E74" s="2"/>
      <c r="F74" s="2"/>
      <c r="G74" s="2"/>
      <c r="H74" s="2"/>
      <c r="I74" s="2"/>
      <c r="J74" s="2"/>
      <c r="K74" s="2"/>
      <c r="L74" s="2"/>
      <c r="M74" s="2"/>
      <c r="N74" s="2"/>
      <c r="O74" s="2"/>
      <c r="P74" s="2"/>
      <c r="Q74" s="2"/>
      <c r="R74" s="2"/>
      <c r="S74" s="2"/>
      <c r="T74" s="3"/>
      <c r="U74" s="3"/>
      <c r="V74" s="3"/>
      <c r="W74" s="3"/>
      <c r="X74" s="3"/>
      <c r="Y74" s="3"/>
      <c r="Z74" s="3"/>
      <c r="AA74" s="3"/>
      <c r="AB74" s="3"/>
      <c r="AC74" s="3"/>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row>
    <row r="75" spans="1:161" s="93" customFormat="1">
      <c r="A75" s="2"/>
      <c r="B75" s="2"/>
      <c r="C75" s="2"/>
      <c r="D75" s="2"/>
      <c r="E75" s="2"/>
      <c r="F75" s="2"/>
      <c r="G75" s="2"/>
      <c r="H75" s="2"/>
      <c r="I75" s="2"/>
      <c r="J75" s="2"/>
      <c r="K75" s="2"/>
      <c r="L75" s="2"/>
      <c r="M75" s="2"/>
      <c r="N75" s="2"/>
      <c r="O75" s="2"/>
      <c r="P75" s="2"/>
      <c r="Q75" s="2"/>
      <c r="R75" s="2"/>
      <c r="S75" s="2"/>
      <c r="T75" s="3"/>
      <c r="U75" s="3"/>
      <c r="V75" s="3"/>
      <c r="W75" s="3"/>
      <c r="X75" s="3"/>
      <c r="Y75" s="3"/>
      <c r="Z75" s="3"/>
      <c r="AA75" s="3"/>
      <c r="AB75" s="3"/>
      <c r="AC75" s="3"/>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row>
    <row r="76" spans="1:161" s="93" customFormat="1">
      <c r="A76" s="2"/>
      <c r="B76" s="2"/>
      <c r="C76" s="2"/>
      <c r="D76" s="2"/>
      <c r="E76" s="2"/>
      <c r="F76" s="2"/>
      <c r="G76" s="2"/>
      <c r="H76" s="2"/>
      <c r="I76" s="2"/>
      <c r="J76" s="2"/>
      <c r="K76" s="2"/>
      <c r="L76" s="2"/>
      <c r="M76" s="2"/>
      <c r="N76" s="2"/>
      <c r="O76" s="2"/>
      <c r="P76" s="2"/>
      <c r="Q76" s="2"/>
      <c r="R76" s="2"/>
      <c r="S76" s="2"/>
      <c r="T76" s="3"/>
      <c r="U76" s="3"/>
      <c r="V76" s="3"/>
      <c r="W76" s="3"/>
      <c r="X76" s="3"/>
      <c r="Y76" s="3"/>
      <c r="Z76" s="3"/>
      <c r="AA76" s="3"/>
      <c r="AB76" s="3"/>
      <c r="AC76" s="3"/>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row>
    <row r="77" spans="1:161" s="93" customFormat="1" ht="14.5">
      <c r="A77" s="2"/>
      <c r="B77" s="2"/>
      <c r="C77" s="2"/>
      <c r="D77" s="2"/>
      <c r="E77" s="16" t="s">
        <v>449</v>
      </c>
      <c r="F77" s="2"/>
      <c r="G77" s="2"/>
      <c r="H77" s="2"/>
      <c r="I77" s="2"/>
      <c r="J77" s="2"/>
      <c r="K77" s="2"/>
      <c r="L77" s="2"/>
      <c r="M77" s="2"/>
      <c r="N77" s="2"/>
      <c r="O77" s="2"/>
      <c r="P77" s="2"/>
      <c r="Q77" s="2"/>
      <c r="R77" s="2"/>
      <c r="S77" s="2"/>
      <c r="T77" s="3"/>
      <c r="U77" s="3"/>
      <c r="V77" s="3"/>
      <c r="W77" s="3"/>
      <c r="X77" s="3"/>
      <c r="Y77" s="3"/>
      <c r="Z77" s="3"/>
      <c r="AA77" s="3"/>
      <c r="AB77" s="3"/>
      <c r="AC77" s="3"/>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row>
    <row r="78" spans="1:161" s="93" customFormat="1" ht="14.5">
      <c r="A78" s="2"/>
      <c r="B78" s="2"/>
      <c r="C78" s="2"/>
      <c r="D78" s="2"/>
      <c r="E78" s="17" t="s">
        <v>440</v>
      </c>
      <c r="F78" s="2"/>
      <c r="G78" s="2"/>
      <c r="H78" s="2"/>
      <c r="I78" s="2"/>
      <c r="J78" s="2"/>
      <c r="K78" s="2"/>
      <c r="L78" s="2"/>
      <c r="M78" s="2"/>
      <c r="N78" s="2"/>
      <c r="O78" s="2"/>
      <c r="P78" s="2"/>
      <c r="Q78" s="2"/>
      <c r="R78" s="2"/>
      <c r="S78" s="2"/>
      <c r="T78" s="3"/>
      <c r="U78" s="3"/>
      <c r="V78" s="3"/>
      <c r="W78" s="3"/>
      <c r="X78" s="3"/>
      <c r="Y78" s="3"/>
      <c r="Z78" s="3"/>
      <c r="AA78" s="3"/>
      <c r="AB78" s="3"/>
      <c r="AC78" s="3"/>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row>
    <row r="79" spans="1:161" s="93" customFormat="1">
      <c r="A79" s="2"/>
      <c r="B79" s="2"/>
      <c r="C79" s="2"/>
      <c r="D79" s="2"/>
      <c r="E79" s="2"/>
      <c r="F79" s="2"/>
      <c r="G79" s="2"/>
      <c r="H79" s="2"/>
      <c r="I79" s="2"/>
      <c r="J79" s="2"/>
      <c r="K79" s="2"/>
      <c r="L79" s="2"/>
      <c r="M79" s="2"/>
      <c r="N79" s="2"/>
      <c r="O79" s="2"/>
      <c r="P79" s="2"/>
      <c r="Q79" s="2"/>
      <c r="R79" s="2"/>
      <c r="S79" s="2"/>
      <c r="T79" s="3"/>
      <c r="U79" s="3"/>
      <c r="V79" s="3"/>
      <c r="W79" s="3"/>
      <c r="X79" s="3"/>
      <c r="Y79" s="3"/>
      <c r="Z79" s="3"/>
      <c r="AA79" s="3"/>
      <c r="AB79" s="3"/>
      <c r="AC79" s="3"/>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row>
    <row r="80" spans="1:161" s="93" customFormat="1">
      <c r="A80" s="2"/>
      <c r="B80" s="2"/>
      <c r="C80" s="2"/>
      <c r="D80" s="2"/>
      <c r="E80" s="2"/>
      <c r="F80" s="2"/>
      <c r="G80" s="2"/>
      <c r="H80" s="2"/>
      <c r="I80" s="2"/>
      <c r="J80" s="2"/>
      <c r="K80" s="2"/>
      <c r="L80" s="2"/>
      <c r="M80" s="2"/>
      <c r="N80" s="2"/>
      <c r="O80" s="2"/>
      <c r="P80" s="2"/>
      <c r="Q80" s="2"/>
      <c r="R80" s="2"/>
      <c r="S80" s="2"/>
      <c r="T80" s="3"/>
      <c r="U80" s="3"/>
      <c r="V80" s="3"/>
      <c r="W80" s="3"/>
      <c r="X80" s="3"/>
      <c r="Y80" s="3"/>
      <c r="Z80" s="3"/>
      <c r="AA80" s="3"/>
      <c r="AB80" s="3"/>
      <c r="AC80" s="3"/>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row>
    <row r="81" spans="1:152" s="93" customFormat="1">
      <c r="A81" s="2"/>
      <c r="B81" s="2"/>
      <c r="C81" s="2"/>
      <c r="D81" s="2"/>
      <c r="E81" s="2"/>
      <c r="F81" s="2"/>
      <c r="G81" s="2"/>
      <c r="H81" s="2"/>
      <c r="I81" s="2"/>
      <c r="J81" s="2"/>
      <c r="K81" s="2"/>
      <c r="L81" s="2"/>
      <c r="M81" s="2"/>
      <c r="N81" s="2"/>
      <c r="O81" s="2"/>
      <c r="P81" s="2"/>
      <c r="Q81" s="2"/>
      <c r="R81" s="2"/>
      <c r="S81" s="2"/>
      <c r="T81" s="3"/>
      <c r="U81" s="3"/>
      <c r="V81" s="3"/>
      <c r="W81" s="3"/>
      <c r="X81" s="3"/>
      <c r="Y81" s="3"/>
      <c r="Z81" s="3"/>
      <c r="AA81" s="3"/>
      <c r="AB81" s="3"/>
      <c r="AC81" s="3"/>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row>
    <row r="82" spans="1:152" s="93" customFormat="1">
      <c r="A82" s="2"/>
      <c r="B82" s="2"/>
      <c r="C82" s="2"/>
      <c r="D82" s="2"/>
      <c r="E82" s="2"/>
      <c r="F82" s="2"/>
      <c r="G82" s="2"/>
      <c r="H82" s="2"/>
      <c r="I82" s="2"/>
      <c r="J82" s="2"/>
      <c r="K82" s="2"/>
      <c r="L82" s="2"/>
      <c r="M82" s="2"/>
      <c r="N82" s="2"/>
      <c r="O82" s="2"/>
      <c r="P82" s="2"/>
      <c r="Q82" s="2"/>
      <c r="R82" s="2"/>
      <c r="S82" s="2"/>
      <c r="T82" s="3"/>
      <c r="U82" s="3"/>
      <c r="V82" s="3"/>
      <c r="W82" s="3"/>
      <c r="X82" s="3"/>
      <c r="Y82" s="3"/>
      <c r="Z82" s="3"/>
      <c r="AA82" s="3"/>
      <c r="AB82" s="3"/>
      <c r="AC82" s="3"/>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row>
    <row r="83" spans="1:152" s="93" customFormat="1">
      <c r="A83" s="2"/>
      <c r="B83" s="2"/>
      <c r="C83" s="2"/>
      <c r="D83" s="2"/>
      <c r="E83" s="2"/>
      <c r="F83" s="2"/>
      <c r="G83" s="2"/>
      <c r="H83" s="2"/>
      <c r="I83" s="2"/>
      <c r="J83" s="2"/>
      <c r="K83" s="2"/>
      <c r="L83" s="2"/>
      <c r="M83" s="2"/>
      <c r="N83" s="2"/>
      <c r="O83" s="2"/>
      <c r="P83" s="2"/>
      <c r="Q83" s="2"/>
      <c r="R83" s="2"/>
      <c r="S83" s="2"/>
      <c r="T83" s="3"/>
      <c r="U83" s="3"/>
      <c r="V83" s="3"/>
      <c r="W83" s="3"/>
      <c r="X83" s="3"/>
      <c r="Y83" s="3"/>
      <c r="Z83" s="3"/>
      <c r="AA83" s="3"/>
      <c r="AB83" s="3"/>
      <c r="AC83" s="3"/>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row>
    <row r="84" spans="1:152" s="93" customFormat="1">
      <c r="A84" s="2"/>
      <c r="B84" s="2"/>
      <c r="C84" s="2"/>
      <c r="D84" s="2"/>
      <c r="E84" s="2"/>
      <c r="F84" s="2"/>
      <c r="G84" s="2"/>
      <c r="H84" s="2"/>
      <c r="I84" s="2"/>
      <c r="J84" s="2"/>
      <c r="K84" s="2"/>
      <c r="L84" s="2"/>
      <c r="M84" s="2"/>
      <c r="N84" s="2"/>
      <c r="O84" s="2"/>
      <c r="P84" s="2"/>
      <c r="Q84" s="2"/>
      <c r="R84" s="2"/>
      <c r="S84" s="2"/>
      <c r="T84" s="3"/>
      <c r="U84" s="3"/>
      <c r="V84" s="3"/>
      <c r="W84" s="3"/>
      <c r="X84" s="3"/>
      <c r="Y84" s="3"/>
      <c r="Z84" s="3"/>
      <c r="AA84" s="3"/>
      <c r="AB84" s="3"/>
      <c r="AC84" s="3"/>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row>
    <row r="85" spans="1:152" s="93" customFormat="1">
      <c r="A85" s="2"/>
      <c r="B85" s="2"/>
      <c r="C85" s="2"/>
      <c r="D85" s="2"/>
      <c r="E85" s="2"/>
      <c r="F85" s="2"/>
      <c r="G85" s="2"/>
      <c r="H85" s="2"/>
      <c r="I85" s="2"/>
      <c r="J85" s="2"/>
      <c r="K85" s="2"/>
      <c r="L85" s="2"/>
      <c r="M85" s="2"/>
      <c r="N85" s="2"/>
      <c r="O85" s="2"/>
      <c r="P85" s="2"/>
      <c r="Q85" s="2"/>
      <c r="R85" s="2"/>
      <c r="S85" s="2"/>
      <c r="T85" s="3"/>
      <c r="U85" s="3"/>
      <c r="V85" s="3"/>
      <c r="W85" s="3"/>
      <c r="X85" s="3"/>
      <c r="Y85" s="3"/>
      <c r="Z85" s="3"/>
      <c r="AA85" s="3"/>
      <c r="AB85" s="3"/>
      <c r="AC85" s="3"/>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row>
    <row r="86" spans="1:152" s="93" customFormat="1">
      <c r="A86" s="2"/>
      <c r="B86" s="2"/>
      <c r="C86" s="2"/>
      <c r="D86" s="2"/>
      <c r="E86" s="2"/>
      <c r="F86" s="2"/>
      <c r="G86" s="2"/>
      <c r="H86" s="2"/>
      <c r="I86" s="2"/>
      <c r="J86" s="2"/>
      <c r="K86" s="2"/>
      <c r="L86" s="2"/>
      <c r="M86" s="2"/>
      <c r="N86" s="2"/>
      <c r="O86" s="2"/>
      <c r="P86" s="2"/>
      <c r="Q86" s="2"/>
      <c r="R86" s="2"/>
      <c r="S86" s="2"/>
      <c r="T86" s="3"/>
      <c r="U86" s="3"/>
      <c r="V86" s="3"/>
      <c r="W86" s="3"/>
      <c r="X86" s="3"/>
      <c r="Y86" s="3"/>
      <c r="Z86" s="3"/>
      <c r="AA86" s="3"/>
      <c r="AB86" s="3"/>
      <c r="AC86" s="3"/>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row>
    <row r="87" spans="1:152" s="93" customFormat="1">
      <c r="A87" s="2"/>
      <c r="B87" s="2"/>
      <c r="C87" s="2"/>
      <c r="D87" s="2"/>
      <c r="E87" s="2"/>
      <c r="F87" s="2"/>
      <c r="G87" s="2"/>
      <c r="H87" s="2"/>
      <c r="I87" s="2"/>
      <c r="J87" s="2"/>
      <c r="K87" s="2"/>
      <c r="L87" s="2"/>
      <c r="M87" s="2"/>
      <c r="N87" s="2"/>
      <c r="O87" s="2"/>
      <c r="P87" s="2"/>
      <c r="Q87" s="2"/>
      <c r="R87" s="2"/>
      <c r="S87" s="2"/>
      <c r="T87" s="3"/>
      <c r="U87" s="3"/>
      <c r="V87" s="3"/>
      <c r="W87" s="3"/>
      <c r="X87" s="3"/>
      <c r="Y87" s="3"/>
      <c r="Z87" s="3"/>
      <c r="AA87" s="3"/>
      <c r="AB87" s="3"/>
      <c r="AC87" s="3"/>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row>
    <row r="88" spans="1:152" s="93" customFormat="1">
      <c r="A88" s="2"/>
      <c r="B88" s="2"/>
      <c r="C88" s="2"/>
      <c r="D88" s="2"/>
      <c r="E88" s="2"/>
      <c r="F88" s="2"/>
      <c r="G88" s="2"/>
      <c r="H88" s="2"/>
      <c r="I88" s="2"/>
      <c r="J88" s="2"/>
      <c r="K88" s="2"/>
      <c r="L88" s="2"/>
      <c r="M88" s="2"/>
      <c r="N88" s="2"/>
      <c r="O88" s="2"/>
      <c r="P88" s="2"/>
      <c r="Q88" s="2"/>
      <c r="R88" s="2"/>
      <c r="S88" s="2"/>
      <c r="T88" s="3"/>
      <c r="U88" s="3"/>
      <c r="V88" s="3"/>
      <c r="W88" s="3"/>
      <c r="X88" s="3"/>
      <c r="Y88" s="3"/>
      <c r="Z88" s="3"/>
      <c r="AA88" s="3"/>
      <c r="AB88" s="3"/>
      <c r="AC88" s="3"/>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row>
    <row r="89" spans="1:152" s="93" customFormat="1">
      <c r="A89" s="2"/>
      <c r="B89" s="2"/>
      <c r="C89" s="2"/>
      <c r="D89" s="2"/>
      <c r="E89" s="2"/>
      <c r="F89" s="2"/>
      <c r="G89" s="2"/>
      <c r="H89" s="2"/>
      <c r="I89" s="2"/>
      <c r="J89" s="2"/>
      <c r="K89" s="2"/>
      <c r="L89" s="2"/>
      <c r="M89" s="2"/>
      <c r="N89" s="2"/>
      <c r="O89" s="2"/>
      <c r="P89" s="2"/>
      <c r="Q89" s="2"/>
      <c r="R89" s="2"/>
      <c r="S89" s="2"/>
      <c r="T89" s="3"/>
      <c r="U89" s="3"/>
      <c r="V89" s="3"/>
      <c r="W89" s="3"/>
      <c r="X89" s="3"/>
      <c r="Y89" s="3"/>
      <c r="Z89" s="3"/>
      <c r="AA89" s="3"/>
      <c r="AB89" s="3"/>
      <c r="AC89" s="3"/>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row>
    <row r="90" spans="1:152" s="93" customFormat="1">
      <c r="A90" s="2"/>
      <c r="B90" s="2"/>
      <c r="C90" s="2"/>
      <c r="D90" s="2"/>
      <c r="E90" s="2"/>
      <c r="F90" s="2"/>
      <c r="G90" s="2"/>
      <c r="H90" s="2"/>
      <c r="I90" s="2"/>
      <c r="J90" s="2"/>
      <c r="K90" s="2"/>
      <c r="L90" s="2"/>
      <c r="M90" s="2"/>
      <c r="N90" s="2"/>
      <c r="O90" s="2"/>
      <c r="P90" s="2"/>
      <c r="Q90" s="2"/>
      <c r="R90" s="2"/>
      <c r="S90" s="2"/>
      <c r="T90" s="3"/>
      <c r="U90" s="3"/>
      <c r="V90" s="3"/>
      <c r="W90" s="3"/>
      <c r="X90" s="3"/>
      <c r="Y90" s="3"/>
      <c r="Z90" s="3"/>
      <c r="AA90" s="3"/>
      <c r="AB90" s="3"/>
      <c r="AC90" s="3"/>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row>
    <row r="91" spans="1:152" s="93" customFormat="1">
      <c r="A91" s="2"/>
      <c r="B91" s="2"/>
      <c r="C91" s="2"/>
      <c r="D91" s="2"/>
      <c r="E91" s="2"/>
      <c r="F91" s="2"/>
      <c r="G91" s="2"/>
      <c r="H91" s="2"/>
      <c r="I91" s="2"/>
      <c r="J91" s="2"/>
      <c r="K91" s="2"/>
      <c r="L91" s="2"/>
      <c r="M91" s="2"/>
      <c r="N91" s="2"/>
      <c r="O91" s="2"/>
      <c r="P91" s="2"/>
      <c r="Q91" s="2"/>
      <c r="R91" s="2"/>
      <c r="S91" s="2"/>
      <c r="T91" s="3"/>
      <c r="U91" s="3"/>
      <c r="V91" s="3"/>
      <c r="W91" s="3"/>
      <c r="X91" s="3"/>
      <c r="Y91" s="3"/>
      <c r="Z91" s="3"/>
      <c r="AA91" s="3"/>
      <c r="AB91" s="3"/>
      <c r="AC91" s="3"/>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row>
    <row r="92" spans="1:152" s="93" customFormat="1">
      <c r="A92" s="2"/>
      <c r="B92" s="2"/>
      <c r="C92" s="2"/>
      <c r="D92" s="2"/>
      <c r="E92" s="2"/>
      <c r="F92" s="2"/>
      <c r="G92" s="2"/>
      <c r="H92" s="2"/>
      <c r="I92" s="2"/>
      <c r="J92" s="2"/>
      <c r="K92" s="2"/>
      <c r="L92" s="2"/>
      <c r="M92" s="2"/>
      <c r="N92" s="2"/>
      <c r="O92" s="2"/>
      <c r="P92" s="2"/>
      <c r="Q92" s="2"/>
      <c r="R92" s="2"/>
      <c r="S92" s="2"/>
      <c r="T92" s="3"/>
      <c r="U92" s="3"/>
      <c r="V92" s="3"/>
      <c r="W92" s="3"/>
      <c r="X92" s="3"/>
      <c r="Y92" s="3"/>
      <c r="Z92" s="3"/>
      <c r="AA92" s="3"/>
      <c r="AB92" s="3"/>
      <c r="AC92" s="3"/>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row>
    <row r="93" spans="1:152" s="93" customFormat="1">
      <c r="A93" s="2"/>
      <c r="B93" s="2"/>
      <c r="C93" s="2"/>
      <c r="D93" s="2"/>
      <c r="E93" s="2"/>
      <c r="F93" s="2"/>
      <c r="G93" s="2"/>
      <c r="H93" s="2"/>
      <c r="I93" s="2"/>
      <c r="J93" s="2" t="s">
        <v>450</v>
      </c>
      <c r="K93" s="2"/>
      <c r="L93" s="2"/>
      <c r="M93" s="2"/>
      <c r="N93" s="2"/>
      <c r="O93" s="2"/>
      <c r="P93" s="2"/>
      <c r="Q93" s="2"/>
      <c r="R93" s="2"/>
      <c r="S93" s="2"/>
      <c r="T93" s="3"/>
      <c r="U93" s="3"/>
      <c r="V93" s="3"/>
      <c r="W93" s="3"/>
      <c r="X93" s="3"/>
      <c r="Y93" s="3"/>
      <c r="Z93" s="3"/>
      <c r="AA93" s="3"/>
      <c r="AB93" s="3"/>
      <c r="AC93" s="3"/>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row>
    <row r="94" spans="1:152" s="93" customFormat="1">
      <c r="A94" s="2"/>
      <c r="B94" s="2"/>
      <c r="C94" s="2"/>
      <c r="D94" s="2"/>
      <c r="E94" s="2"/>
      <c r="F94" s="2"/>
      <c r="G94" s="2"/>
      <c r="H94" s="2" t="s">
        <v>451</v>
      </c>
      <c r="I94" s="2" t="s">
        <v>452</v>
      </c>
      <c r="J94" s="2">
        <v>2023</v>
      </c>
      <c r="K94" s="2">
        <v>2024</v>
      </c>
      <c r="L94" s="2">
        <v>2025</v>
      </c>
      <c r="M94" s="2">
        <v>2026</v>
      </c>
      <c r="N94" s="2">
        <v>2027</v>
      </c>
      <c r="O94" s="2">
        <v>2028</v>
      </c>
      <c r="P94" s="2">
        <v>2029</v>
      </c>
      <c r="Q94" s="2"/>
      <c r="R94" s="2"/>
      <c r="S94" s="2"/>
      <c r="T94" s="3"/>
      <c r="U94" s="3"/>
      <c r="V94" s="3"/>
      <c r="W94" s="3"/>
      <c r="X94" s="3"/>
      <c r="Y94" s="3"/>
      <c r="Z94" s="3"/>
      <c r="AA94" s="3"/>
      <c r="AB94" s="3"/>
      <c r="AC94" s="3"/>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row>
    <row r="95" spans="1:152" s="93" customFormat="1" ht="14.5">
      <c r="A95" s="2"/>
      <c r="B95" s="2"/>
      <c r="C95" s="2"/>
      <c r="D95" s="2"/>
      <c r="E95" s="2"/>
      <c r="F95" s="791" t="s">
        <v>453</v>
      </c>
      <c r="G95" s="792">
        <f>5178+69655+263725</f>
        <v>338558</v>
      </c>
      <c r="H95" s="793">
        <v>0.1</v>
      </c>
      <c r="I95" s="792">
        <f>G95*(1-H95)</f>
        <v>304702.2</v>
      </c>
      <c r="J95" s="267">
        <f>G95*H95</f>
        <v>33855.800000000003</v>
      </c>
      <c r="K95" s="267">
        <f t="shared" ref="K95:P97" si="690">J95*3.3%+J95</f>
        <v>34973.041400000002</v>
      </c>
      <c r="L95" s="214">
        <f t="shared" si="690"/>
        <v>36127.151766200004</v>
      </c>
      <c r="M95" s="214">
        <f t="shared" si="690"/>
        <v>37319.347774484602</v>
      </c>
      <c r="N95" s="214">
        <f t="shared" si="690"/>
        <v>38550.886251042597</v>
      </c>
      <c r="O95" s="214">
        <f t="shared" si="690"/>
        <v>39823.065497326999</v>
      </c>
      <c r="P95" s="214">
        <f t="shared" si="690"/>
        <v>41137.226658738793</v>
      </c>
      <c r="Q95" s="2"/>
      <c r="R95" s="2"/>
      <c r="S95" s="2"/>
      <c r="T95" s="3"/>
      <c r="U95" s="3"/>
      <c r="V95" s="3"/>
      <c r="W95" s="3"/>
      <c r="X95" s="3"/>
      <c r="Y95" s="3"/>
      <c r="Z95" s="3"/>
      <c r="AA95" s="3"/>
      <c r="AB95" s="3"/>
      <c r="AC95" s="3"/>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row>
    <row r="96" spans="1:152" s="93" customFormat="1" ht="14.5">
      <c r="A96" s="2"/>
      <c r="B96" s="2"/>
      <c r="C96" s="2"/>
      <c r="D96" s="2"/>
      <c r="E96" s="2"/>
      <c r="F96" s="794" t="s">
        <v>454</v>
      </c>
      <c r="G96" s="792">
        <f>G95*0.712</f>
        <v>241053.296</v>
      </c>
      <c r="H96" s="793">
        <v>0.1</v>
      </c>
      <c r="I96" s="792">
        <f>G96*(1-H96)</f>
        <v>216947.9664</v>
      </c>
      <c r="J96" s="214">
        <f>G96*H96</f>
        <v>24105.329600000001</v>
      </c>
      <c r="K96" s="214">
        <f t="shared" si="690"/>
        <v>24900.8054768</v>
      </c>
      <c r="L96" s="214">
        <f t="shared" si="690"/>
        <v>25722.532057534401</v>
      </c>
      <c r="M96" s="214">
        <f t="shared" si="690"/>
        <v>26571.375615433037</v>
      </c>
      <c r="N96" s="214">
        <f t="shared" si="690"/>
        <v>27448.231010742325</v>
      </c>
      <c r="O96" s="214">
        <f t="shared" si="690"/>
        <v>28354.022634096822</v>
      </c>
      <c r="P96" s="214">
        <f t="shared" si="690"/>
        <v>29289.705381022017</v>
      </c>
      <c r="Q96" s="2"/>
      <c r="R96" s="2"/>
      <c r="S96" s="2"/>
      <c r="T96" s="3"/>
      <c r="U96" s="3"/>
      <c r="V96" s="3"/>
      <c r="W96" s="3"/>
      <c r="X96" s="3"/>
      <c r="Y96" s="3"/>
      <c r="Z96" s="3"/>
      <c r="AA96" s="3"/>
      <c r="AB96" s="3"/>
      <c r="AC96" s="3"/>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row>
    <row r="97" spans="2:29" s="93" customFormat="1" ht="14.5">
      <c r="B97" s="2"/>
      <c r="C97" s="2"/>
      <c r="D97" s="2"/>
      <c r="E97" s="2"/>
      <c r="F97" s="794" t="s">
        <v>455</v>
      </c>
      <c r="G97" s="792">
        <f>G95*0.234</f>
        <v>79222.572</v>
      </c>
      <c r="H97" s="793">
        <v>0.1</v>
      </c>
      <c r="I97" s="792">
        <f>G97*(1-H97)</f>
        <v>71300.314800000007</v>
      </c>
      <c r="J97" s="214">
        <f>G97*H97</f>
        <v>7922.2572</v>
      </c>
      <c r="K97" s="214">
        <f t="shared" si="690"/>
        <v>8183.6916875999996</v>
      </c>
      <c r="L97" s="214">
        <f t="shared" si="690"/>
        <v>8453.7535132907997</v>
      </c>
      <c r="M97" s="214">
        <f t="shared" si="690"/>
        <v>8732.7273792293963</v>
      </c>
      <c r="N97" s="214">
        <f t="shared" si="690"/>
        <v>9020.9073827439661</v>
      </c>
      <c r="O97" s="214">
        <f t="shared" si="690"/>
        <v>9318.5973263745163</v>
      </c>
      <c r="P97" s="214">
        <f t="shared" si="690"/>
        <v>9626.1110381448761</v>
      </c>
      <c r="Q97" s="2"/>
      <c r="R97" s="2"/>
      <c r="S97" s="2"/>
      <c r="T97" s="3"/>
      <c r="U97" s="3"/>
      <c r="V97" s="3"/>
      <c r="W97" s="3"/>
      <c r="X97" s="3"/>
      <c r="Y97" s="3"/>
      <c r="Z97" s="3"/>
      <c r="AA97" s="3"/>
      <c r="AB97" s="3"/>
      <c r="AC97" s="3"/>
    </row>
    <row r="98" spans="2:29" s="93" customFormat="1" ht="14.5">
      <c r="B98" s="2"/>
      <c r="C98" s="2"/>
      <c r="D98" s="2"/>
      <c r="E98" s="168"/>
      <c r="F98" s="175"/>
      <c r="G98" s="180"/>
      <c r="H98" s="215"/>
      <c r="I98" s="180"/>
      <c r="J98" s="2"/>
      <c r="K98" s="2"/>
      <c r="L98" s="2"/>
      <c r="M98" s="2"/>
      <c r="N98" s="123"/>
      <c r="O98" s="123"/>
      <c r="P98" s="123"/>
      <c r="Q98" s="2"/>
      <c r="R98" s="2"/>
      <c r="S98" s="2"/>
      <c r="T98" s="3"/>
      <c r="U98" s="3"/>
      <c r="V98" s="3"/>
      <c r="W98" s="3"/>
      <c r="X98" s="3"/>
      <c r="Y98" s="3"/>
      <c r="Z98" s="3"/>
      <c r="AA98" s="3"/>
      <c r="AB98" s="3"/>
      <c r="AC98" s="3"/>
    </row>
    <row r="99" spans="2:29" s="93" customFormat="1" ht="14.5">
      <c r="B99" s="2"/>
      <c r="C99" s="2"/>
      <c r="D99" s="2"/>
      <c r="E99"/>
      <c r="F99" s="791" t="s">
        <v>456</v>
      </c>
      <c r="G99" s="792">
        <f>44205+48794+334094</f>
        <v>427093</v>
      </c>
      <c r="H99" s="793">
        <v>0.1</v>
      </c>
      <c r="I99" s="792">
        <f>G99*(1-H99)</f>
        <v>384383.7</v>
      </c>
      <c r="J99" s="214">
        <f>G99*H99</f>
        <v>42709.3</v>
      </c>
      <c r="K99" s="214">
        <f t="shared" ref="K99:P101" si="691">J99*3.3%+J99</f>
        <v>44118.706900000005</v>
      </c>
      <c r="L99" s="214">
        <f t="shared" si="691"/>
        <v>45574.624227700006</v>
      </c>
      <c r="M99" s="214">
        <f t="shared" si="691"/>
        <v>47078.586827214109</v>
      </c>
      <c r="N99" s="214">
        <f t="shared" si="691"/>
        <v>48632.180192512176</v>
      </c>
      <c r="O99" s="214">
        <f t="shared" si="691"/>
        <v>50237.042138865079</v>
      </c>
      <c r="P99" s="214">
        <f t="shared" si="691"/>
        <v>51894.86452944763</v>
      </c>
      <c r="Q99" s="2"/>
      <c r="R99" s="2"/>
      <c r="S99" s="2"/>
      <c r="T99" s="3"/>
      <c r="U99" s="3"/>
      <c r="V99" s="3"/>
      <c r="W99" s="3"/>
      <c r="X99" s="3"/>
      <c r="Y99" s="3"/>
      <c r="Z99" s="3"/>
      <c r="AA99" s="3"/>
      <c r="AB99" s="3"/>
      <c r="AC99" s="3"/>
    </row>
    <row r="100" spans="2:29" s="93" customFormat="1" ht="14.5">
      <c r="B100" s="170" t="s">
        <v>457</v>
      </c>
      <c r="C100" s="154"/>
      <c r="D100" s="2"/>
      <c r="E100"/>
      <c r="F100" s="794" t="s">
        <v>454</v>
      </c>
      <c r="G100" s="792">
        <f>G99*0.712</f>
        <v>304090.21599999996</v>
      </c>
      <c r="H100" s="793">
        <v>0.1</v>
      </c>
      <c r="I100" s="792">
        <f>G100*(1-H100)</f>
        <v>273681.19439999998</v>
      </c>
      <c r="J100" s="214">
        <f>G100*H100</f>
        <v>30409.021599999996</v>
      </c>
      <c r="K100" s="214">
        <f t="shared" si="691"/>
        <v>31412.519312799996</v>
      </c>
      <c r="L100" s="214">
        <f t="shared" si="691"/>
        <v>32449.132450122397</v>
      </c>
      <c r="M100" s="214">
        <f t="shared" si="691"/>
        <v>33519.953820976436</v>
      </c>
      <c r="N100" s="214">
        <f t="shared" si="691"/>
        <v>34626.112297068656</v>
      </c>
      <c r="O100" s="214">
        <f t="shared" si="691"/>
        <v>35768.77400287192</v>
      </c>
      <c r="P100" s="214">
        <f t="shared" si="691"/>
        <v>36949.14354496669</v>
      </c>
      <c r="Q100" s="2"/>
      <c r="R100" s="2"/>
      <c r="S100" s="2"/>
      <c r="T100" s="3"/>
      <c r="U100" s="3"/>
      <c r="V100" s="3"/>
      <c r="W100" s="3"/>
      <c r="X100" s="3"/>
      <c r="Y100" s="3"/>
      <c r="Z100" s="3"/>
      <c r="AA100" s="3"/>
      <c r="AB100" s="3"/>
      <c r="AC100" s="3"/>
    </row>
    <row r="101" spans="2:29" s="93" customFormat="1" ht="14.5">
      <c r="B101" s="794" t="s">
        <v>458</v>
      </c>
      <c r="C101" s="794">
        <v>84.8</v>
      </c>
      <c r="D101" s="2"/>
      <c r="E101"/>
      <c r="F101" s="794" t="s">
        <v>455</v>
      </c>
      <c r="G101" s="792">
        <f>G99*0.234</f>
        <v>99939.762000000002</v>
      </c>
      <c r="H101" s="793">
        <v>0.1</v>
      </c>
      <c r="I101" s="792">
        <f>G101*(1-H101)</f>
        <v>89945.785799999998</v>
      </c>
      <c r="J101" s="214">
        <f>G101*H101</f>
        <v>9993.976200000001</v>
      </c>
      <c r="K101" s="214">
        <f t="shared" si="691"/>
        <v>10323.777414600001</v>
      </c>
      <c r="L101" s="214">
        <f t="shared" si="691"/>
        <v>10664.462069281801</v>
      </c>
      <c r="M101" s="214">
        <f t="shared" si="691"/>
        <v>11016.389317568101</v>
      </c>
      <c r="N101" s="214">
        <f t="shared" si="691"/>
        <v>11379.930165047848</v>
      </c>
      <c r="O101" s="214">
        <f t="shared" si="691"/>
        <v>11755.467860494427</v>
      </c>
      <c r="P101" s="214">
        <f t="shared" si="691"/>
        <v>12143.398299890743</v>
      </c>
      <c r="Q101" s="2"/>
      <c r="R101" s="2"/>
      <c r="S101" s="2"/>
      <c r="T101" s="3"/>
      <c r="U101" s="3"/>
      <c r="V101" s="3"/>
      <c r="W101" s="3"/>
      <c r="X101" s="3"/>
      <c r="Y101" s="3"/>
      <c r="Z101" s="3"/>
      <c r="AA101" s="3"/>
      <c r="AB101" s="3"/>
      <c r="AC101" s="3"/>
    </row>
    <row r="102" spans="2:29" s="93" customFormat="1" ht="14.5">
      <c r="B102" s="794" t="s">
        <v>459</v>
      </c>
      <c r="C102" s="794">
        <f>C101*10</f>
        <v>848</v>
      </c>
      <c r="D102" s="2"/>
      <c r="E102"/>
      <c r="F102" s="179" t="s">
        <v>460</v>
      </c>
      <c r="G102" s="180"/>
      <c r="H102"/>
      <c r="I102"/>
      <c r="J102" s="2"/>
      <c r="K102" s="2"/>
      <c r="L102" s="202"/>
      <c r="M102" s="180"/>
      <c r="N102" s="2"/>
      <c r="O102" s="2"/>
      <c r="P102" s="2"/>
      <c r="Q102" s="2"/>
      <c r="R102" s="2"/>
      <c r="S102" s="2"/>
      <c r="T102" s="3"/>
      <c r="U102" s="3"/>
      <c r="V102" s="3"/>
      <c r="W102" s="3"/>
      <c r="X102" s="3"/>
      <c r="Y102" s="3"/>
      <c r="Z102" s="3"/>
      <c r="AA102" s="3"/>
      <c r="AB102" s="3"/>
      <c r="AC102" s="3"/>
    </row>
    <row r="103" spans="2:29" s="93" customFormat="1" ht="14.5">
      <c r="B103" s="794" t="s">
        <v>461</v>
      </c>
      <c r="C103" s="794">
        <v>4950</v>
      </c>
      <c r="D103" s="2"/>
      <c r="E103"/>
      <c r="F103" s="2"/>
      <c r="G103"/>
      <c r="H103"/>
      <c r="I103" t="s">
        <v>462</v>
      </c>
      <c r="J103" s="267">
        <f t="shared" ref="J103:P103" si="692">SUM(J99,J95)</f>
        <v>76565.100000000006</v>
      </c>
      <c r="K103" s="214">
        <f t="shared" si="692"/>
        <v>79091.748300000007</v>
      </c>
      <c r="L103" s="214">
        <f t="shared" si="692"/>
        <v>81701.77599390001</v>
      </c>
      <c r="M103" s="214">
        <f t="shared" si="692"/>
        <v>84397.934601698711</v>
      </c>
      <c r="N103" s="214">
        <f t="shared" si="692"/>
        <v>87183.066443554766</v>
      </c>
      <c r="O103" s="214">
        <f t="shared" si="692"/>
        <v>90060.107636192086</v>
      </c>
      <c r="P103" s="214">
        <f t="shared" si="692"/>
        <v>93032.09118818643</v>
      </c>
      <c r="Q103" s="2"/>
      <c r="R103" s="2"/>
      <c r="S103" s="2"/>
      <c r="T103" s="3"/>
      <c r="U103" s="3"/>
      <c r="V103" s="3"/>
      <c r="W103" s="3"/>
      <c r="X103" s="3"/>
      <c r="Y103" s="3"/>
      <c r="Z103" s="3"/>
      <c r="AA103" s="3"/>
      <c r="AB103" s="3"/>
      <c r="AC103" s="3"/>
    </row>
    <row r="104" spans="2:29" s="93" customFormat="1" ht="14.5">
      <c r="B104" s="794" t="s">
        <v>463</v>
      </c>
      <c r="C104" s="792">
        <f>C103*8.2/3.412</f>
        <v>11896.248534583821</v>
      </c>
      <c r="D104" s="2"/>
      <c r="E104" s="2"/>
      <c r="F104" s="2"/>
      <c r="G104" s="2"/>
      <c r="H104" s="2"/>
      <c r="I104" t="s">
        <v>464</v>
      </c>
      <c r="J104" s="268">
        <f>(K103-J103)*2</f>
        <v>5053.2966000000015</v>
      </c>
      <c r="K104" s="216">
        <f t="shared" ref="K104:P104" si="693">MIN(J104*150%,15000)</f>
        <v>7579.9449000000022</v>
      </c>
      <c r="L104" s="216">
        <f t="shared" si="693"/>
        <v>11369.917350000003</v>
      </c>
      <c r="M104" s="216">
        <f t="shared" si="693"/>
        <v>15000</v>
      </c>
      <c r="N104" s="216">
        <f t="shared" si="693"/>
        <v>15000</v>
      </c>
      <c r="O104" s="216">
        <f t="shared" si="693"/>
        <v>15000</v>
      </c>
      <c r="P104" s="216">
        <f t="shared" si="693"/>
        <v>15000</v>
      </c>
      <c r="Q104" s="2"/>
      <c r="R104" s="2"/>
      <c r="S104" s="2"/>
      <c r="T104" s="3"/>
      <c r="U104" s="3"/>
      <c r="V104" s="3"/>
      <c r="W104" s="3"/>
      <c r="X104" s="3"/>
      <c r="Y104" s="3"/>
      <c r="Z104" s="3"/>
      <c r="AA104" s="3"/>
      <c r="AB104" s="3"/>
      <c r="AC104" s="3"/>
    </row>
    <row r="105" spans="2:29" s="93" customFormat="1" ht="14.5">
      <c r="B105" s="2"/>
      <c r="C105" s="2"/>
      <c r="D105" s="2"/>
      <c r="E105"/>
      <c r="F105"/>
      <c r="G105"/>
      <c r="H105"/>
      <c r="I105" s="2"/>
      <c r="J105" s="2"/>
      <c r="K105" s="2"/>
      <c r="L105" s="2"/>
      <c r="M105" s="2"/>
      <c r="N105" s="2"/>
      <c r="O105" s="2"/>
      <c r="P105" s="2"/>
      <c r="Q105" s="2"/>
      <c r="R105" s="2"/>
      <c r="S105" s="2"/>
      <c r="T105" s="3"/>
      <c r="U105" s="3"/>
      <c r="V105" s="3"/>
      <c r="W105" s="3"/>
      <c r="X105" s="3"/>
      <c r="Y105" s="3"/>
      <c r="Z105" s="3"/>
      <c r="AA105" s="3"/>
      <c r="AB105" s="3"/>
      <c r="AC105" s="3"/>
    </row>
    <row r="106" spans="2:29" s="93" customFormat="1" ht="14.5">
      <c r="B106" s="170" t="s">
        <v>465</v>
      </c>
      <c r="C106" s="2"/>
      <c r="D106" s="2"/>
      <c r="E106" s="17" t="s">
        <v>466</v>
      </c>
      <c r="F106" s="154"/>
      <c r="G106" s="169" t="s">
        <v>467</v>
      </c>
      <c r="H106"/>
      <c r="I106"/>
      <c r="J106" s="2"/>
      <c r="K106" s="2"/>
      <c r="L106" s="202"/>
      <c r="M106" s="180"/>
      <c r="N106" s="2"/>
      <c r="O106" s="2"/>
      <c r="P106" s="2"/>
      <c r="Q106" s="2"/>
      <c r="R106" s="2"/>
      <c r="S106" s="2"/>
      <c r="T106" s="3"/>
      <c r="U106" s="3"/>
      <c r="V106" s="3"/>
      <c r="W106" s="3"/>
      <c r="X106" s="3"/>
      <c r="Y106" s="3"/>
      <c r="Z106" s="3"/>
      <c r="AA106" s="3"/>
      <c r="AB106" s="3"/>
      <c r="AC106" s="3"/>
    </row>
    <row r="107" spans="2:29" s="93" customFormat="1" ht="14.5">
      <c r="B107" s="795" t="s">
        <v>468</v>
      </c>
      <c r="C107" s="796">
        <v>1715</v>
      </c>
      <c r="D107" s="2"/>
      <c r="E107" s="175"/>
      <c r="F107" s="169"/>
      <c r="G107" s="175"/>
      <c r="H107" s="168"/>
      <c r="I107" s="168"/>
      <c r="J107" s="2"/>
      <c r="K107" s="2"/>
      <c r="L107" s="202"/>
      <c r="M107" s="2"/>
      <c r="N107" s="2"/>
      <c r="O107" s="2"/>
      <c r="P107" s="2"/>
      <c r="Q107" s="2"/>
      <c r="R107" s="2"/>
      <c r="S107" s="2"/>
      <c r="T107" s="3"/>
      <c r="U107" s="3"/>
      <c r="V107" s="3"/>
      <c r="W107" s="3"/>
      <c r="X107" s="3"/>
      <c r="Y107" s="3"/>
      <c r="Z107" s="3"/>
      <c r="AA107" s="3"/>
      <c r="AB107" s="3"/>
      <c r="AC107" s="3"/>
    </row>
    <row r="108" spans="2:29" s="93" customFormat="1" ht="14.5">
      <c r="B108" s="795" t="s">
        <v>469</v>
      </c>
      <c r="C108" s="796">
        <v>2353</v>
      </c>
      <c r="D108" s="2"/>
      <c r="E108" s="168"/>
      <c r="F108" s="168"/>
      <c r="G108" s="168"/>
      <c r="H108" s="168"/>
      <c r="I108" s="168"/>
      <c r="J108" s="2"/>
      <c r="K108" s="2"/>
      <c r="L108" s="179"/>
      <c r="M108" s="2"/>
      <c r="N108" s="2"/>
      <c r="O108" s="2"/>
      <c r="P108" s="2"/>
      <c r="Q108" s="2"/>
      <c r="R108" s="2"/>
      <c r="S108" s="2"/>
      <c r="T108" s="3"/>
      <c r="U108" s="3"/>
      <c r="V108" s="3"/>
      <c r="W108" s="3"/>
      <c r="X108" s="3"/>
      <c r="Y108" s="3"/>
      <c r="Z108" s="3"/>
      <c r="AA108" s="3"/>
      <c r="AB108" s="3"/>
      <c r="AC108" s="3"/>
    </row>
    <row r="109" spans="2:29" s="93" customFormat="1" ht="14.5">
      <c r="B109" s="2"/>
      <c r="C109" s="2"/>
      <c r="D109" s="2"/>
      <c r="E109" s="169"/>
      <c r="F109" s="168"/>
      <c r="G109" s="168"/>
      <c r="H109" s="168"/>
      <c r="I109" s="168"/>
      <c r="J109" s="2"/>
      <c r="K109" s="2"/>
      <c r="L109" s="2"/>
      <c r="M109" s="2"/>
      <c r="N109" s="2"/>
      <c r="O109" s="2"/>
      <c r="P109" s="2"/>
      <c r="Q109" s="2"/>
      <c r="R109" s="2"/>
      <c r="S109" s="2"/>
      <c r="T109" s="3"/>
      <c r="U109" s="3"/>
      <c r="V109" s="3"/>
      <c r="W109" s="3"/>
      <c r="X109" s="3"/>
      <c r="Y109" s="3"/>
      <c r="Z109" s="3"/>
      <c r="AA109" s="3"/>
      <c r="AB109" s="3"/>
      <c r="AC109" s="3"/>
    </row>
    <row r="110" spans="2:29" s="93" customFormat="1" ht="14.5">
      <c r="B110" s="797" t="s">
        <v>470</v>
      </c>
      <c r="C110" s="798">
        <v>7.0000000000000007E-2</v>
      </c>
      <c r="D110" s="2"/>
      <c r="E110" s="2"/>
      <c r="F110" s="2"/>
      <c r="G110" s="2"/>
      <c r="H110" s="168"/>
      <c r="I110" s="168"/>
      <c r="J110" s="2"/>
      <c r="K110" s="2"/>
      <c r="L110" s="2"/>
      <c r="M110" s="2"/>
      <c r="N110" s="2"/>
      <c r="O110" s="2"/>
      <c r="P110" s="2"/>
      <c r="Q110" s="2"/>
      <c r="R110" s="2"/>
      <c r="S110" s="2"/>
      <c r="T110" s="3"/>
      <c r="U110" s="3"/>
      <c r="V110" s="3"/>
      <c r="W110" s="3"/>
      <c r="X110" s="3"/>
      <c r="Y110" s="3"/>
      <c r="Z110" s="3"/>
      <c r="AA110" s="3"/>
      <c r="AB110" s="3"/>
      <c r="AC110" s="3"/>
    </row>
    <row r="111" spans="2:29" s="93" customFormat="1" ht="14.5">
      <c r="B111" s="797" t="s">
        <v>471</v>
      </c>
      <c r="C111" s="798">
        <v>0.06</v>
      </c>
      <c r="D111" s="2"/>
      <c r="E111" s="168"/>
      <c r="F111" s="168"/>
      <c r="G111" s="168"/>
      <c r="H111" s="168"/>
      <c r="I111" s="168"/>
      <c r="J111" s="2"/>
      <c r="K111" s="2"/>
      <c r="L111" s="2"/>
      <c r="M111" s="2"/>
      <c r="N111" s="2"/>
      <c r="O111" s="2"/>
      <c r="P111" s="2"/>
      <c r="Q111" s="2"/>
      <c r="R111" s="2"/>
      <c r="S111" s="2"/>
      <c r="T111" s="3"/>
      <c r="U111" s="3"/>
      <c r="V111" s="3"/>
      <c r="W111" s="3"/>
      <c r="X111" s="3"/>
      <c r="Y111" s="3"/>
      <c r="Z111" s="3"/>
      <c r="AA111" s="3"/>
      <c r="AB111" s="3"/>
      <c r="AC111" s="3"/>
    </row>
    <row r="112" spans="2:29" s="93" customFormat="1" ht="14.5">
      <c r="B112" s="2"/>
      <c r="C112" s="2"/>
      <c r="D112" s="2"/>
      <c r="E112" s="168"/>
      <c r="F112" s="168"/>
      <c r="G112" s="168"/>
      <c r="H112" s="168"/>
      <c r="I112" s="168"/>
      <c r="J112" s="2"/>
      <c r="K112" s="2"/>
      <c r="L112" s="2"/>
      <c r="M112" s="2"/>
      <c r="N112" s="2"/>
      <c r="O112" s="2"/>
      <c r="P112" s="2"/>
      <c r="Q112" s="2"/>
      <c r="R112" s="2"/>
      <c r="S112" s="2"/>
      <c r="T112" s="3"/>
      <c r="U112" s="3"/>
      <c r="V112" s="3"/>
      <c r="W112" s="3"/>
      <c r="X112" s="3"/>
      <c r="Y112" s="3"/>
      <c r="Z112" s="3"/>
      <c r="AA112" s="3"/>
      <c r="AB112" s="3"/>
      <c r="AC112" s="3"/>
    </row>
    <row r="113" spans="2:29" s="93" customFormat="1" ht="14.5">
      <c r="B113" s="170" t="s">
        <v>472</v>
      </c>
      <c r="C113" s="168"/>
      <c r="D113" s="2"/>
      <c r="E113" s="2"/>
      <c r="F113" s="2"/>
      <c r="G113" s="2"/>
      <c r="H113" s="2"/>
      <c r="I113" s="2"/>
      <c r="J113" s="2"/>
      <c r="K113" s="2"/>
      <c r="L113" s="2"/>
      <c r="M113" s="2"/>
      <c r="N113" s="268"/>
      <c r="O113" s="2"/>
      <c r="P113" s="2"/>
      <c r="Q113" s="2"/>
      <c r="R113" s="2"/>
      <c r="S113" s="2"/>
      <c r="T113" s="3"/>
      <c r="U113" s="3"/>
      <c r="V113" s="3"/>
      <c r="W113" s="3"/>
      <c r="X113" s="3"/>
      <c r="Y113" s="3"/>
      <c r="Z113" s="3"/>
      <c r="AA113" s="3"/>
      <c r="AB113" s="3"/>
      <c r="AC113" s="3"/>
    </row>
    <row r="114" spans="2:29" s="93" customFormat="1" ht="14.5">
      <c r="B114" s="795" t="s">
        <v>473</v>
      </c>
      <c r="C114" s="796">
        <f>C102*C111</f>
        <v>50.879999999999995</v>
      </c>
      <c r="D114" s="2"/>
      <c r="E114" s="17" t="s">
        <v>474</v>
      </c>
      <c r="F114" s="2"/>
      <c r="G114" s="169" t="s">
        <v>475</v>
      </c>
      <c r="H114" s="2"/>
      <c r="I114" s="2"/>
      <c r="J114" s="2"/>
      <c r="K114" s="2"/>
      <c r="L114" s="2"/>
      <c r="M114" s="2"/>
      <c r="N114" s="268"/>
      <c r="O114" s="2"/>
      <c r="P114" s="2"/>
      <c r="Q114" s="2"/>
      <c r="R114" s="2"/>
      <c r="S114" s="2"/>
      <c r="T114" s="3"/>
      <c r="U114" s="3"/>
      <c r="V114" s="3"/>
      <c r="W114" s="3"/>
      <c r="X114" s="3"/>
      <c r="Y114" s="3"/>
      <c r="Z114" s="3"/>
      <c r="AA114" s="3"/>
      <c r="AB114" s="3"/>
      <c r="AC114" s="3"/>
    </row>
    <row r="115" spans="2:29" s="93" customFormat="1" ht="14.5">
      <c r="B115" s="795" t="s">
        <v>476</v>
      </c>
      <c r="C115" s="796">
        <f>C103*C111</f>
        <v>297</v>
      </c>
      <c r="D115" s="2"/>
      <c r="E115" s="2"/>
      <c r="F115" s="2"/>
      <c r="G115" s="2"/>
      <c r="H115" s="2"/>
      <c r="I115" s="2"/>
      <c r="J115" s="2"/>
      <c r="K115" s="2"/>
      <c r="L115" s="2"/>
      <c r="M115" s="2"/>
      <c r="N115" s="2"/>
      <c r="O115" s="2"/>
      <c r="P115" s="2"/>
      <c r="Q115" s="2"/>
      <c r="R115" s="2"/>
      <c r="S115" s="2"/>
      <c r="T115" s="3"/>
      <c r="U115" s="3"/>
      <c r="V115" s="3"/>
      <c r="W115" s="3"/>
      <c r="X115" s="3"/>
      <c r="Y115" s="3"/>
      <c r="Z115" s="3"/>
      <c r="AA115" s="3"/>
      <c r="AB115" s="3"/>
      <c r="AC115" s="3"/>
    </row>
    <row r="116" spans="2:29" s="93" customFormat="1" ht="14.5">
      <c r="B116" s="795" t="s">
        <v>477</v>
      </c>
      <c r="C116" s="799">
        <f>C104*C111</f>
        <v>713.77491207502931</v>
      </c>
      <c r="D116" s="2"/>
      <c r="E116" s="2"/>
      <c r="F116" s="2"/>
      <c r="G116" s="2"/>
      <c r="H116" s="2"/>
      <c r="I116" s="2"/>
      <c r="J116" s="2"/>
      <c r="K116" s="2"/>
      <c r="L116" s="2"/>
      <c r="M116" s="2"/>
      <c r="N116" s="2"/>
      <c r="O116" s="2"/>
      <c r="P116" s="2"/>
      <c r="Q116" s="2"/>
      <c r="R116" s="2"/>
      <c r="S116" s="2"/>
      <c r="T116" s="3"/>
      <c r="U116" s="3"/>
      <c r="V116" s="3"/>
      <c r="W116" s="3"/>
      <c r="X116" s="3"/>
      <c r="Y116" s="3"/>
      <c r="Z116" s="3"/>
      <c r="AA116" s="3"/>
      <c r="AB116" s="3"/>
      <c r="AC116" s="3"/>
    </row>
    <row r="117" spans="2:29" s="93" customFormat="1">
      <c r="B117" s="2"/>
      <c r="C117" s="2"/>
      <c r="D117" s="2"/>
      <c r="E117" s="2"/>
      <c r="F117" s="2"/>
      <c r="G117" s="2"/>
      <c r="H117" s="2"/>
      <c r="I117" s="2"/>
      <c r="J117" s="2"/>
      <c r="K117" s="2"/>
      <c r="L117" s="2"/>
      <c r="M117" s="2"/>
      <c r="N117" s="2"/>
      <c r="O117" s="2"/>
      <c r="P117" s="2"/>
      <c r="Q117" s="2"/>
      <c r="R117" s="2"/>
      <c r="S117" s="2"/>
      <c r="T117" s="3"/>
      <c r="U117" s="3"/>
      <c r="V117" s="3"/>
      <c r="W117" s="3"/>
      <c r="X117" s="3"/>
      <c r="Y117" s="3"/>
      <c r="Z117" s="3"/>
      <c r="AA117" s="3"/>
      <c r="AB117" s="3"/>
      <c r="AC117" s="3"/>
    </row>
    <row r="118" spans="2:29" s="93" customFormat="1" ht="14.5">
      <c r="B118" s="170" t="s">
        <v>478</v>
      </c>
      <c r="C118" s="2"/>
      <c r="D118" s="2"/>
      <c r="E118" s="2"/>
      <c r="F118" s="2"/>
      <c r="G118" s="2"/>
      <c r="H118" s="2"/>
      <c r="I118" s="2"/>
      <c r="J118" s="2"/>
      <c r="K118" s="2"/>
      <c r="L118" s="2"/>
      <c r="M118" s="2"/>
      <c r="N118" s="2"/>
      <c r="O118" s="2"/>
      <c r="P118" s="2"/>
      <c r="Q118" s="2"/>
      <c r="R118" s="2"/>
      <c r="S118" s="2"/>
      <c r="T118" s="3"/>
      <c r="U118" s="3"/>
      <c r="V118" s="3"/>
      <c r="W118" s="3"/>
      <c r="X118" s="3"/>
      <c r="Y118" s="3"/>
      <c r="Z118" s="3"/>
      <c r="AA118" s="3"/>
      <c r="AB118" s="3"/>
      <c r="AC118" s="3"/>
    </row>
    <row r="119" spans="2:29" s="93" customFormat="1" ht="14.5">
      <c r="B119" s="795" t="s">
        <v>479</v>
      </c>
      <c r="C119" s="796">
        <f>C107*C110</f>
        <v>120.05000000000001</v>
      </c>
      <c r="D119" s="2"/>
      <c r="E119" s="2"/>
      <c r="F119" s="2"/>
      <c r="G119" s="2"/>
      <c r="H119" s="2"/>
      <c r="I119" s="2"/>
      <c r="J119" s="2"/>
      <c r="K119" s="2"/>
      <c r="L119" s="2"/>
      <c r="M119" s="2"/>
      <c r="N119" s="2"/>
      <c r="O119" s="2"/>
      <c r="P119" s="2"/>
      <c r="Q119" s="2"/>
      <c r="R119" s="2"/>
      <c r="S119" s="2"/>
      <c r="T119" s="3"/>
      <c r="U119" s="3"/>
      <c r="V119" s="3"/>
      <c r="W119" s="3"/>
      <c r="X119" s="3"/>
      <c r="Y119" s="3"/>
      <c r="Z119" s="3"/>
      <c r="AA119" s="3"/>
      <c r="AB119" s="3"/>
      <c r="AC119" s="3"/>
    </row>
    <row r="120" spans="2:29" s="93" customFormat="1" ht="14.5">
      <c r="B120" s="795" t="s">
        <v>480</v>
      </c>
      <c r="C120" s="796">
        <f>C108*C110</f>
        <v>164.71</v>
      </c>
      <c r="D120" s="2"/>
      <c r="E120" s="2"/>
      <c r="F120" s="2"/>
      <c r="G120" s="2"/>
      <c r="H120" s="2"/>
      <c r="I120" s="2"/>
      <c r="J120" s="2"/>
      <c r="K120" s="2"/>
      <c r="L120" s="2"/>
      <c r="M120" s="2"/>
      <c r="N120" s="2"/>
      <c r="O120" s="2"/>
      <c r="P120" s="2"/>
      <c r="Q120" s="2"/>
      <c r="R120" s="2"/>
      <c r="S120" s="2"/>
      <c r="T120" s="3"/>
      <c r="U120" s="3"/>
      <c r="V120" s="3"/>
      <c r="W120" s="3"/>
      <c r="X120" s="3"/>
      <c r="Y120" s="3"/>
      <c r="Z120" s="3"/>
      <c r="AA120" s="3"/>
      <c r="AB120" s="3"/>
      <c r="AC120" s="3"/>
    </row>
    <row r="121" spans="2:29" s="93" customFormat="1" ht="14.5">
      <c r="B121" s="170"/>
      <c r="C121" s="169"/>
      <c r="D121" s="169"/>
      <c r="E121" s="2"/>
      <c r="F121" s="2"/>
      <c r="G121" s="2"/>
      <c r="H121" s="2"/>
      <c r="I121" s="2"/>
      <c r="J121" s="2"/>
      <c r="K121" s="2"/>
      <c r="L121" s="2"/>
      <c r="M121" s="2"/>
      <c r="N121" s="268"/>
      <c r="O121" s="2"/>
      <c r="P121" s="2"/>
      <c r="Q121" s="2"/>
      <c r="R121" s="2"/>
      <c r="S121" s="2"/>
      <c r="T121" s="3"/>
      <c r="U121" s="3"/>
      <c r="V121" s="3"/>
      <c r="W121" s="3"/>
      <c r="X121" s="3"/>
      <c r="Y121" s="3"/>
      <c r="Z121" s="3"/>
      <c r="AA121" s="3"/>
      <c r="AB121" s="3"/>
      <c r="AC121" s="3"/>
    </row>
    <row r="122" spans="2:29" s="93" customFormat="1" ht="14.5">
      <c r="B122" s="175"/>
      <c r="C122" s="169"/>
      <c r="D122" s="175"/>
      <c r="E122" s="168"/>
      <c r="F122" s="2"/>
      <c r="G122" s="2"/>
      <c r="H122" s="2"/>
      <c r="I122" s="2"/>
      <c r="J122" s="2"/>
      <c r="K122" s="2"/>
      <c r="L122" s="2"/>
      <c r="M122" s="2"/>
      <c r="N122" s="268"/>
      <c r="O122" s="2"/>
      <c r="P122" s="2"/>
      <c r="Q122" s="2"/>
      <c r="R122" s="2"/>
      <c r="S122" s="2"/>
      <c r="T122" s="3"/>
      <c r="U122" s="3"/>
      <c r="V122" s="3"/>
      <c r="W122" s="3"/>
      <c r="X122" s="3"/>
      <c r="Y122" s="3"/>
      <c r="Z122" s="3"/>
      <c r="AA122" s="3"/>
      <c r="AB122" s="3"/>
      <c r="AC122" s="3"/>
    </row>
    <row r="123" spans="2:29" s="93" customFormat="1" ht="14.5">
      <c r="B123" s="175"/>
      <c r="C123" s="169"/>
      <c r="D123" s="175"/>
      <c r="E123" s="168"/>
      <c r="F123" s="2"/>
      <c r="G123" s="2"/>
      <c r="H123" s="2"/>
      <c r="I123" s="2"/>
      <c r="J123" s="2"/>
      <c r="K123" s="2"/>
      <c r="L123" s="2"/>
      <c r="M123" s="2"/>
      <c r="N123" s="2"/>
      <c r="O123" s="2"/>
      <c r="P123" s="2"/>
      <c r="Q123" s="2"/>
      <c r="R123" s="2"/>
      <c r="S123" s="2"/>
      <c r="T123" s="3"/>
      <c r="U123" s="3"/>
      <c r="V123" s="3"/>
      <c r="W123" s="3"/>
      <c r="X123" s="3"/>
      <c r="Y123" s="3"/>
      <c r="Z123" s="3"/>
      <c r="AA123" s="3"/>
      <c r="AB123" s="3"/>
      <c r="AC123" s="3"/>
    </row>
    <row r="124" spans="2:29" s="93" customFormat="1" ht="14.5">
      <c r="B124" s="800" t="s">
        <v>481</v>
      </c>
      <c r="C124" s="801"/>
      <c r="D124" s="800" t="s">
        <v>482</v>
      </c>
      <c r="E124" s="801"/>
      <c r="F124" s="2"/>
      <c r="G124" s="2"/>
      <c r="H124" s="2"/>
      <c r="I124" s="2"/>
      <c r="J124" s="2"/>
      <c r="K124" s="179"/>
      <c r="L124" s="2"/>
      <c r="M124" s="2"/>
      <c r="N124" s="2"/>
      <c r="O124" s="2"/>
      <c r="P124" s="2"/>
      <c r="Q124" s="2"/>
      <c r="R124" s="2"/>
      <c r="S124" s="2"/>
      <c r="T124" s="3"/>
      <c r="U124" s="3"/>
      <c r="V124" s="3"/>
      <c r="W124" s="3"/>
      <c r="X124" s="3"/>
      <c r="Y124" s="3"/>
      <c r="Z124" s="3"/>
      <c r="AA124" s="3"/>
      <c r="AB124" s="3"/>
      <c r="AC124" s="3"/>
    </row>
    <row r="125" spans="2:29" s="93" customFormat="1" ht="14.5">
      <c r="B125" s="800" t="s">
        <v>483</v>
      </c>
      <c r="C125" s="802">
        <v>0.16400000000000001</v>
      </c>
      <c r="D125" s="800" t="s">
        <v>483</v>
      </c>
      <c r="E125" s="802">
        <v>0.16400000000000001</v>
      </c>
      <c r="F125" s="2"/>
      <c r="G125" s="2"/>
      <c r="H125" s="2"/>
      <c r="I125" s="2"/>
      <c r="J125" s="2"/>
      <c r="K125" s="179"/>
      <c r="L125" s="2"/>
      <c r="M125" s="2"/>
      <c r="N125" s="2"/>
      <c r="O125" s="2"/>
      <c r="P125" s="2"/>
      <c r="Q125" s="2"/>
      <c r="R125" s="2"/>
      <c r="S125" s="2"/>
      <c r="T125" s="3"/>
      <c r="U125" s="3"/>
      <c r="V125" s="3"/>
      <c r="W125" s="3"/>
      <c r="X125" s="3"/>
      <c r="Y125" s="3"/>
      <c r="Z125" s="3"/>
      <c r="AA125" s="3"/>
      <c r="AB125" s="3"/>
      <c r="AC125" s="3"/>
    </row>
    <row r="126" spans="2:29" s="93" customFormat="1" ht="14.5">
      <c r="B126" s="800" t="s">
        <v>484</v>
      </c>
      <c r="C126" s="802">
        <v>0.54</v>
      </c>
      <c r="D126" s="800" t="s">
        <v>484</v>
      </c>
      <c r="E126" s="802">
        <v>0.54</v>
      </c>
      <c r="F126" s="2"/>
      <c r="G126" s="2"/>
      <c r="H126" s="2"/>
      <c r="I126" s="2"/>
      <c r="J126" s="2"/>
      <c r="K126" s="179"/>
      <c r="L126" s="2"/>
      <c r="M126" s="2"/>
      <c r="N126" s="2"/>
      <c r="O126" s="2"/>
      <c r="P126" s="2"/>
      <c r="Q126" s="2"/>
      <c r="R126" s="2"/>
      <c r="S126" s="2"/>
      <c r="T126" s="3"/>
      <c r="U126" s="3"/>
      <c r="V126" s="3"/>
      <c r="W126" s="3"/>
      <c r="X126" s="3"/>
      <c r="Y126" s="3"/>
      <c r="Z126" s="3"/>
      <c r="AA126" s="3"/>
      <c r="AB126" s="3"/>
      <c r="AC126" s="3"/>
    </row>
    <row r="127" spans="2:29" s="93" customFormat="1" ht="14.5">
      <c r="B127" s="800" t="s">
        <v>454</v>
      </c>
      <c r="C127" s="802">
        <v>0.71199999999999997</v>
      </c>
      <c r="D127" s="800" t="s">
        <v>454</v>
      </c>
      <c r="E127" s="802">
        <v>0.71199999999999997</v>
      </c>
      <c r="F127" s="2"/>
      <c r="G127" s="2"/>
      <c r="H127" s="2"/>
      <c r="I127" s="2"/>
      <c r="J127" s="2"/>
      <c r="K127" s="179"/>
      <c r="L127" s="2"/>
      <c r="M127" s="2"/>
      <c r="N127" s="2"/>
      <c r="O127" s="2"/>
      <c r="P127" s="2"/>
      <c r="Q127" s="2"/>
      <c r="R127" s="2"/>
      <c r="S127" s="2"/>
      <c r="T127" s="3"/>
      <c r="U127" s="3"/>
      <c r="V127" s="3"/>
      <c r="W127" s="3"/>
      <c r="X127" s="3"/>
      <c r="Y127" s="3"/>
      <c r="Z127" s="3"/>
      <c r="AA127" s="3"/>
      <c r="AB127" s="3"/>
      <c r="AC127" s="3"/>
    </row>
    <row r="128" spans="2:29" s="93" customFormat="1" ht="14.5">
      <c r="B128" s="800" t="s">
        <v>485</v>
      </c>
      <c r="C128" s="802">
        <v>0.23400000000000001</v>
      </c>
      <c r="D128" s="800" t="s">
        <v>485</v>
      </c>
      <c r="E128" s="802">
        <v>0.23400000000000001</v>
      </c>
      <c r="F128" s="2"/>
      <c r="G128" s="2"/>
      <c r="H128" s="2"/>
      <c r="I128" s="2"/>
      <c r="J128" s="2"/>
      <c r="K128" s="179"/>
      <c r="L128" s="2"/>
      <c r="M128" s="2"/>
      <c r="N128" s="2"/>
      <c r="O128" s="2"/>
      <c r="P128" s="2"/>
      <c r="Q128" s="2"/>
      <c r="R128" s="2"/>
      <c r="S128" s="2"/>
      <c r="T128" s="3"/>
      <c r="U128" s="3"/>
      <c r="V128" s="3"/>
      <c r="W128" s="3"/>
      <c r="X128" s="3"/>
      <c r="Y128" s="3"/>
      <c r="Z128" s="3"/>
      <c r="AA128" s="3"/>
      <c r="AB128" s="3"/>
      <c r="AC128" s="3"/>
    </row>
    <row r="129" spans="2:29" s="93" customFormat="1" ht="14.5">
      <c r="B129" s="175"/>
      <c r="C129" s="169"/>
      <c r="D129" s="175"/>
      <c r="E129" s="2"/>
      <c r="F129" s="2"/>
      <c r="G129" s="2"/>
      <c r="H129" s="2"/>
      <c r="I129" s="2"/>
      <c r="J129" s="2"/>
      <c r="K129" s="179"/>
      <c r="L129" s="2"/>
      <c r="M129" s="2"/>
      <c r="N129" s="2"/>
      <c r="O129" s="2"/>
      <c r="P129" s="2"/>
      <c r="Q129" s="2"/>
      <c r="R129" s="2"/>
      <c r="S129" s="2"/>
      <c r="T129" s="3"/>
      <c r="U129" s="3"/>
      <c r="V129" s="3"/>
      <c r="W129" s="3"/>
      <c r="X129" s="3"/>
      <c r="Y129" s="3"/>
      <c r="Z129" s="3"/>
      <c r="AA129" s="3"/>
      <c r="AB129" s="3"/>
      <c r="AC129" s="3"/>
    </row>
    <row r="130" spans="2:29" s="93" customFormat="1" ht="14.5">
      <c r="B130" s="800" t="s">
        <v>486</v>
      </c>
      <c r="C130" s="475">
        <f>(C115*C128)+(C116*C125)+(C119*C127)+(C120*C128)</f>
        <v>310.57482558030483</v>
      </c>
      <c r="D130" s="800" t="s">
        <v>487</v>
      </c>
      <c r="E130" s="475">
        <f>(C115*E128)+(C116*E125)+(C119*E127)+(C120*E128)</f>
        <v>310.57482558030483</v>
      </c>
      <c r="F130" s="2"/>
      <c r="G130" s="2"/>
      <c r="H130" s="2"/>
      <c r="I130" s="2"/>
      <c r="J130" s="2"/>
      <c r="K130" s="179"/>
      <c r="L130" s="2"/>
      <c r="M130" s="2"/>
      <c r="N130" s="2"/>
      <c r="O130" s="2"/>
      <c r="P130" s="2"/>
      <c r="Q130" s="2"/>
      <c r="R130" s="2"/>
      <c r="S130" s="2"/>
      <c r="T130" s="3"/>
      <c r="U130" s="3"/>
      <c r="V130" s="3"/>
      <c r="W130" s="3"/>
      <c r="X130" s="3"/>
      <c r="Y130" s="3"/>
      <c r="Z130" s="3"/>
      <c r="AA130" s="3"/>
      <c r="AB130" s="3"/>
      <c r="AC130" s="3"/>
    </row>
    <row r="131" spans="2:29" s="93" customFormat="1" ht="14.5">
      <c r="B131" s="800" t="s">
        <v>488</v>
      </c>
      <c r="C131" s="475">
        <f>C114*C126</f>
        <v>27.475200000000001</v>
      </c>
      <c r="D131" s="800" t="s">
        <v>489</v>
      </c>
      <c r="E131" s="475">
        <v>0</v>
      </c>
      <c r="F131" s="2"/>
      <c r="G131" s="2"/>
      <c r="H131" s="2"/>
      <c r="I131" s="2"/>
      <c r="J131" s="2"/>
      <c r="K131" s="179"/>
      <c r="L131" s="2"/>
      <c r="M131" s="2"/>
      <c r="N131" s="2"/>
      <c r="O131" s="2"/>
      <c r="P131" s="2"/>
      <c r="Q131" s="2"/>
      <c r="R131" s="2"/>
      <c r="S131" s="2"/>
      <c r="T131" s="3"/>
      <c r="U131" s="3"/>
      <c r="V131" s="3"/>
      <c r="W131" s="3"/>
      <c r="X131" s="3"/>
      <c r="Y131" s="3"/>
      <c r="Z131" s="3"/>
      <c r="AA131" s="3"/>
      <c r="AB131" s="3"/>
      <c r="AC131" s="3"/>
    </row>
    <row r="132" spans="2:29" s="93" customFormat="1">
      <c r="B132" s="2"/>
      <c r="C132" s="2"/>
      <c r="D132" s="2"/>
      <c r="E132" s="2"/>
      <c r="F132" s="2"/>
      <c r="G132" s="2"/>
      <c r="H132" s="2"/>
      <c r="I132" s="2"/>
      <c r="J132" s="2"/>
      <c r="K132" s="179"/>
      <c r="L132" s="2"/>
      <c r="M132" s="2"/>
      <c r="N132" s="2"/>
      <c r="O132" s="2"/>
      <c r="P132" s="2"/>
      <c r="Q132" s="2"/>
      <c r="R132" s="2"/>
      <c r="S132" s="2"/>
      <c r="T132" s="3"/>
      <c r="U132" s="3"/>
      <c r="V132" s="3"/>
      <c r="W132" s="3"/>
      <c r="X132" s="3"/>
      <c r="Y132" s="3"/>
      <c r="Z132" s="3"/>
      <c r="AA132" s="3"/>
      <c r="AB132" s="3"/>
      <c r="AC132" s="3"/>
    </row>
    <row r="133" spans="2:29" s="93" customFormat="1" ht="14.5">
      <c r="B133" s="201" t="s">
        <v>490</v>
      </c>
      <c r="C133" s="171" t="s">
        <v>491</v>
      </c>
      <c r="D133" s="2"/>
      <c r="E133" s="2"/>
      <c r="F133" s="2"/>
      <c r="G133" s="2"/>
      <c r="H133" s="2"/>
      <c r="I133" s="2"/>
      <c r="J133" s="2"/>
      <c r="K133" s="179"/>
      <c r="L133" s="2"/>
      <c r="M133" s="2"/>
      <c r="N133" s="2"/>
      <c r="O133" s="2"/>
      <c r="P133" s="2"/>
      <c r="Q133" s="2"/>
      <c r="R133" s="2"/>
      <c r="S133" s="2"/>
      <c r="T133" s="3"/>
      <c r="U133" s="3"/>
      <c r="V133" s="3"/>
      <c r="W133" s="3"/>
      <c r="X133" s="3"/>
      <c r="Y133" s="3"/>
      <c r="Z133" s="3"/>
      <c r="AA133" s="3"/>
      <c r="AB133" s="3"/>
      <c r="AC133" s="3"/>
    </row>
    <row r="134" spans="2:29" s="93" customFormat="1" ht="14.5">
      <c r="B134" s="201" t="s">
        <v>492</v>
      </c>
      <c r="C134" s="201"/>
      <c r="D134" s="2"/>
      <c r="E134" s="2"/>
      <c r="F134" s="2"/>
      <c r="G134" s="2"/>
      <c r="H134" s="2"/>
      <c r="I134" s="2"/>
      <c r="J134" s="2"/>
      <c r="K134" s="179"/>
      <c r="L134" s="2"/>
      <c r="M134" s="2"/>
      <c r="N134" s="2"/>
      <c r="O134" s="2"/>
      <c r="P134" s="2"/>
      <c r="Q134" s="2"/>
      <c r="R134" s="2"/>
      <c r="S134" s="2"/>
      <c r="T134" s="3"/>
      <c r="U134" s="3"/>
      <c r="V134" s="3"/>
      <c r="W134" s="3"/>
      <c r="X134" s="3"/>
      <c r="Y134" s="3"/>
      <c r="Z134" s="3"/>
      <c r="AA134" s="3"/>
      <c r="AB134" s="3"/>
      <c r="AC134" s="3"/>
    </row>
    <row r="135" spans="2:29" s="93" customFormat="1">
      <c r="B135" s="2"/>
      <c r="C135" s="2"/>
      <c r="D135" s="2"/>
      <c r="E135" s="2"/>
      <c r="F135" s="2"/>
      <c r="G135" s="2"/>
      <c r="H135" s="2"/>
      <c r="I135" s="2"/>
      <c r="J135" s="2"/>
      <c r="K135" s="179"/>
      <c r="L135" s="2"/>
      <c r="M135" s="2"/>
      <c r="N135" s="2"/>
      <c r="O135" s="2"/>
      <c r="P135" s="2"/>
      <c r="Q135" s="2"/>
      <c r="R135" s="2"/>
      <c r="S135" s="2"/>
      <c r="T135" s="3"/>
      <c r="U135" s="3"/>
      <c r="V135" s="3"/>
      <c r="W135" s="3"/>
      <c r="X135" s="3"/>
      <c r="Y135" s="3"/>
      <c r="Z135" s="3"/>
      <c r="AA135" s="3"/>
      <c r="AB135" s="3"/>
      <c r="AC135" s="3"/>
    </row>
    <row r="136" spans="2:29" s="93" customFormat="1">
      <c r="B136" s="2"/>
      <c r="C136" s="2"/>
      <c r="D136" s="2"/>
      <c r="E136" s="2"/>
      <c r="F136" s="2"/>
      <c r="G136" s="2"/>
      <c r="H136" s="2"/>
      <c r="I136" s="2"/>
      <c r="J136" s="2"/>
      <c r="K136" s="179"/>
      <c r="L136" s="2"/>
      <c r="M136" s="2"/>
      <c r="N136" s="2"/>
      <c r="O136" s="2"/>
      <c r="P136" s="2"/>
      <c r="Q136" s="2"/>
      <c r="R136" s="2"/>
      <c r="S136" s="2"/>
      <c r="T136" s="3"/>
      <c r="U136" s="3"/>
      <c r="V136" s="3"/>
      <c r="W136" s="3"/>
      <c r="X136" s="3"/>
      <c r="Y136" s="3"/>
      <c r="Z136" s="3"/>
      <c r="AA136" s="3"/>
      <c r="AB136" s="3"/>
      <c r="AC136" s="3"/>
    </row>
    <row r="137" spans="2:29" s="93" customFormat="1">
      <c r="B137" s="2"/>
      <c r="C137" s="2"/>
      <c r="D137" s="2"/>
      <c r="E137" s="2"/>
      <c r="F137" s="2"/>
      <c r="G137" s="2"/>
      <c r="H137" s="2"/>
      <c r="I137" s="2"/>
      <c r="J137" s="2"/>
      <c r="K137" s="2"/>
      <c r="L137" s="2"/>
      <c r="M137" s="2"/>
      <c r="N137" s="2"/>
      <c r="O137" s="2"/>
      <c r="P137" s="2"/>
      <c r="Q137" s="2"/>
      <c r="R137" s="2"/>
      <c r="S137" s="2"/>
      <c r="T137" s="3"/>
      <c r="U137" s="3"/>
      <c r="V137" s="3"/>
      <c r="W137" s="3"/>
      <c r="X137" s="3"/>
      <c r="Y137" s="3"/>
      <c r="Z137" s="3"/>
      <c r="AA137" s="3"/>
      <c r="AB137" s="3"/>
      <c r="AC137" s="3"/>
    </row>
    <row r="138" spans="2:29" s="93" customFormat="1" ht="14.5">
      <c r="B138" s="178" t="s">
        <v>1674</v>
      </c>
      <c r="C138" s="2"/>
      <c r="D138" s="2"/>
      <c r="E138" s="2"/>
      <c r="F138" s="2"/>
      <c r="G138" s="2"/>
      <c r="H138" s="268"/>
      <c r="I138" s="2"/>
      <c r="J138" s="2"/>
      <c r="K138" s="2"/>
      <c r="L138" s="2"/>
      <c r="M138" s="2"/>
      <c r="N138" s="2"/>
      <c r="O138" s="2"/>
      <c r="P138" s="2"/>
      <c r="Q138" s="2"/>
      <c r="R138" s="2"/>
      <c r="S138" s="2"/>
      <c r="T138" s="3"/>
      <c r="U138" s="3"/>
      <c r="V138" s="3"/>
      <c r="W138" s="3"/>
      <c r="X138" s="3"/>
      <c r="Y138" s="3"/>
      <c r="Z138" s="3"/>
      <c r="AA138" s="3"/>
      <c r="AB138" s="3"/>
      <c r="AC138" s="3"/>
    </row>
    <row r="139" spans="2:29" s="93" customFormat="1">
      <c r="B139" s="2"/>
      <c r="C139" s="2"/>
      <c r="D139" s="2"/>
      <c r="E139" s="2"/>
      <c r="F139" s="2"/>
      <c r="G139" s="2"/>
      <c r="H139" s="268"/>
      <c r="I139" s="2"/>
      <c r="J139" s="2"/>
      <c r="K139" s="2"/>
      <c r="L139" s="2"/>
      <c r="M139" s="2"/>
      <c r="N139" s="2"/>
      <c r="O139" s="2"/>
      <c r="P139" s="2"/>
      <c r="Q139" s="2"/>
      <c r="R139" s="2"/>
      <c r="S139" s="2"/>
      <c r="T139" s="3"/>
      <c r="U139" s="3"/>
      <c r="V139" s="3"/>
      <c r="W139" s="3"/>
      <c r="X139" s="3"/>
      <c r="Y139" s="3"/>
      <c r="Z139" s="3"/>
      <c r="AA139" s="3"/>
      <c r="AB139" s="3"/>
      <c r="AC139" s="3"/>
    </row>
    <row r="140" spans="2:29" s="93" customFormat="1" ht="14.5">
      <c r="B140" s="172" t="s">
        <v>1675</v>
      </c>
      <c r="C140" s="174">
        <v>249</v>
      </c>
      <c r="D140" s="175" t="s">
        <v>1676</v>
      </c>
      <c r="E140" s="2"/>
      <c r="F140" s="2"/>
      <c r="G140" s="2"/>
      <c r="H140" s="2"/>
      <c r="I140" s="2"/>
      <c r="J140" s="2"/>
      <c r="K140" s="2"/>
      <c r="L140" s="2"/>
      <c r="M140" s="2"/>
      <c r="N140" s="2"/>
      <c r="O140" s="2"/>
      <c r="P140" s="2"/>
      <c r="Q140" s="2"/>
      <c r="R140" s="2"/>
      <c r="S140" s="2"/>
      <c r="T140" s="3"/>
      <c r="U140" s="3"/>
      <c r="V140" s="3"/>
      <c r="W140" s="3"/>
      <c r="X140" s="3"/>
      <c r="Y140" s="3"/>
      <c r="Z140" s="3"/>
      <c r="AA140" s="3"/>
      <c r="AB140" s="3"/>
      <c r="AC140" s="3"/>
    </row>
    <row r="141" spans="2:29" s="93" customFormat="1" ht="29">
      <c r="B141" s="173" t="s">
        <v>1677</v>
      </c>
      <c r="C141" s="174">
        <v>214.99</v>
      </c>
      <c r="D141" s="175" t="s">
        <v>1678</v>
      </c>
      <c r="E141" s="2"/>
      <c r="F141" s="2"/>
      <c r="G141" s="2"/>
      <c r="H141" s="2"/>
      <c r="I141" s="2"/>
      <c r="J141" s="2"/>
      <c r="K141" s="2"/>
      <c r="L141" s="2"/>
      <c r="M141" s="2"/>
      <c r="N141" s="2"/>
      <c r="O141" s="2"/>
      <c r="P141" s="2"/>
      <c r="Q141" s="2"/>
      <c r="R141" s="2"/>
      <c r="S141" s="2"/>
      <c r="T141" s="3"/>
      <c r="U141" s="3"/>
      <c r="V141" s="3"/>
      <c r="W141" s="3"/>
      <c r="X141" s="3"/>
      <c r="Y141" s="3"/>
      <c r="Z141" s="3"/>
      <c r="AA141" s="3"/>
      <c r="AB141" s="3"/>
      <c r="AC141" s="3"/>
    </row>
    <row r="142" spans="2:29" s="93" customFormat="1" ht="29">
      <c r="B142" s="176" t="s">
        <v>1679</v>
      </c>
      <c r="C142" s="174">
        <v>129.99</v>
      </c>
      <c r="D142" s="175" t="s">
        <v>1680</v>
      </c>
      <c r="E142" s="2"/>
      <c r="F142" s="2"/>
      <c r="G142" s="2"/>
      <c r="H142" s="2"/>
      <c r="I142" s="2"/>
      <c r="J142" s="2"/>
      <c r="K142" s="2"/>
      <c r="L142" s="2"/>
      <c r="M142" s="2"/>
      <c r="N142" s="2"/>
      <c r="O142" s="2"/>
      <c r="P142" s="2"/>
      <c r="Q142" s="2"/>
      <c r="R142" s="2"/>
      <c r="S142" s="2"/>
      <c r="T142" s="3"/>
      <c r="U142" s="3"/>
      <c r="V142" s="3"/>
      <c r="W142" s="3"/>
      <c r="X142" s="3"/>
      <c r="Y142" s="3"/>
      <c r="Z142" s="3"/>
      <c r="AA142" s="3"/>
      <c r="AB142" s="3"/>
      <c r="AC142" s="3"/>
    </row>
    <row r="143" spans="2:29" s="93" customFormat="1" ht="29">
      <c r="B143" s="176" t="s">
        <v>1681</v>
      </c>
      <c r="C143" s="174">
        <v>249.99</v>
      </c>
      <c r="D143" s="175" t="s">
        <v>1682</v>
      </c>
      <c r="E143" s="2"/>
      <c r="F143" s="2"/>
      <c r="G143" s="2"/>
      <c r="H143" s="2"/>
      <c r="I143" s="2"/>
      <c r="J143" s="2"/>
      <c r="K143" s="2"/>
      <c r="L143" s="2"/>
      <c r="M143" s="2"/>
      <c r="N143" s="2"/>
      <c r="O143" s="2"/>
      <c r="P143" s="2"/>
      <c r="Q143" s="2"/>
      <c r="R143" s="2"/>
      <c r="S143" s="2"/>
      <c r="T143" s="3"/>
      <c r="U143" s="3"/>
      <c r="V143" s="3"/>
      <c r="W143" s="3"/>
      <c r="X143" s="3"/>
      <c r="Y143" s="3"/>
      <c r="Z143" s="3"/>
      <c r="AA143" s="3"/>
      <c r="AB143" s="3"/>
      <c r="AC143" s="3"/>
    </row>
    <row r="144" spans="2:29" s="93" customFormat="1" ht="14.5">
      <c r="B144" s="177" t="s">
        <v>1683</v>
      </c>
      <c r="C144" s="174">
        <v>199</v>
      </c>
      <c r="D144" s="175" t="s">
        <v>1684</v>
      </c>
      <c r="E144" s="2"/>
      <c r="F144" s="2"/>
      <c r="G144" s="2"/>
      <c r="H144" s="2"/>
      <c r="I144" s="2"/>
      <c r="J144" s="2"/>
      <c r="K144" s="2"/>
      <c r="L144" s="2"/>
      <c r="M144" s="2"/>
      <c r="N144" s="2"/>
      <c r="O144" s="2"/>
      <c r="P144" s="2"/>
      <c r="Q144" s="2"/>
      <c r="R144" s="2"/>
      <c r="S144" s="2"/>
      <c r="T144" s="3"/>
      <c r="U144" s="3"/>
      <c r="V144" s="3"/>
      <c r="W144" s="3"/>
      <c r="X144" s="3"/>
      <c r="Y144" s="3"/>
      <c r="Z144" s="3"/>
      <c r="AA144" s="3"/>
      <c r="AB144" s="3"/>
      <c r="AC144" s="3"/>
    </row>
    <row r="145" spans="2:29" s="93" customFormat="1" ht="14.5">
      <c r="B145" s="175" t="s">
        <v>1123</v>
      </c>
      <c r="C145" s="174">
        <f>AVERAGE(C140:C144)</f>
        <v>208.59399999999999</v>
      </c>
      <c r="D145" s="175"/>
      <c r="E145" s="2"/>
      <c r="F145" s="2"/>
      <c r="G145" s="2"/>
      <c r="H145" s="2"/>
      <c r="I145" s="2"/>
      <c r="J145" s="2"/>
      <c r="K145" s="2"/>
      <c r="L145" s="2"/>
      <c r="M145" s="2"/>
      <c r="N145" s="2"/>
      <c r="O145" s="2"/>
      <c r="P145" s="2"/>
      <c r="Q145" s="2"/>
      <c r="R145" s="2"/>
      <c r="S145" s="2"/>
      <c r="T145" s="3"/>
      <c r="U145" s="3"/>
      <c r="V145" s="3"/>
      <c r="W145" s="3"/>
      <c r="X145" s="3"/>
      <c r="Y145" s="3"/>
      <c r="Z145" s="3"/>
      <c r="AA145" s="3"/>
      <c r="AB145" s="3"/>
      <c r="AC145" s="3"/>
    </row>
    <row r="146" spans="2:29" s="93" customFormat="1" ht="14.5">
      <c r="B146" s="175"/>
      <c r="C146" s="175"/>
      <c r="D146" s="175"/>
      <c r="E146" s="2"/>
      <c r="F146" s="2"/>
      <c r="G146" s="2"/>
      <c r="H146" s="2"/>
      <c r="I146" s="2"/>
      <c r="J146" s="2"/>
      <c r="K146" s="2"/>
      <c r="L146" s="2"/>
      <c r="M146" s="2"/>
      <c r="N146" s="2"/>
      <c r="O146" s="2"/>
      <c r="P146" s="2"/>
      <c r="Q146" s="2"/>
      <c r="R146" s="2"/>
      <c r="S146" s="2"/>
      <c r="T146" s="3"/>
      <c r="U146" s="3"/>
      <c r="V146" s="3"/>
      <c r="W146" s="3"/>
      <c r="X146" s="3"/>
      <c r="Y146" s="3"/>
      <c r="Z146" s="3"/>
      <c r="AA146" s="3"/>
      <c r="AB146" s="3"/>
      <c r="AC146" s="3"/>
    </row>
    <row r="147" spans="2:29" s="93" customFormat="1" ht="14.5">
      <c r="B147" s="175"/>
      <c r="C147" s="175"/>
      <c r="D147" s="175"/>
      <c r="E147" s="2"/>
      <c r="F147" s="2"/>
      <c r="G147" s="2"/>
      <c r="H147" s="2"/>
      <c r="I147" s="2"/>
      <c r="J147" s="2"/>
      <c r="K147" s="2"/>
      <c r="L147" s="2"/>
      <c r="M147" s="2"/>
      <c r="N147" s="2"/>
      <c r="O147" s="2"/>
      <c r="P147" s="2"/>
      <c r="Q147" s="2"/>
      <c r="R147" s="2"/>
      <c r="S147" s="2"/>
      <c r="T147" s="3"/>
      <c r="U147" s="3"/>
      <c r="V147" s="3"/>
      <c r="W147" s="3"/>
      <c r="X147" s="3"/>
      <c r="Y147" s="3"/>
      <c r="Z147" s="3"/>
      <c r="AA147" s="3"/>
      <c r="AB147" s="3"/>
      <c r="AC147" s="3"/>
    </row>
    <row r="148" spans="2:29" s="93" customFormat="1" ht="14.5">
      <c r="B148" s="175" t="s">
        <v>1685</v>
      </c>
      <c r="C148" s="174">
        <v>74.8</v>
      </c>
      <c r="D148" s="175" t="s">
        <v>1686</v>
      </c>
      <c r="E148" s="2"/>
      <c r="F148" s="2"/>
      <c r="G148" s="2"/>
      <c r="H148" s="2"/>
      <c r="I148" s="2"/>
      <c r="J148" s="2"/>
      <c r="K148" s="2"/>
      <c r="L148" s="2"/>
      <c r="M148" s="2"/>
      <c r="N148" s="2"/>
      <c r="O148" s="2"/>
      <c r="P148" s="2"/>
      <c r="Q148" s="2"/>
      <c r="R148" s="2"/>
      <c r="S148" s="2"/>
      <c r="T148" s="3"/>
      <c r="U148" s="3"/>
      <c r="V148" s="3"/>
      <c r="W148" s="3"/>
      <c r="X148" s="3"/>
      <c r="Y148" s="3"/>
      <c r="Z148" s="3"/>
      <c r="AA148" s="3"/>
      <c r="AB148" s="3"/>
      <c r="AC148" s="3"/>
    </row>
    <row r="149" spans="2:29" s="93" customFormat="1" ht="14.5">
      <c r="B149" s="175" t="s">
        <v>1687</v>
      </c>
      <c r="C149" s="174">
        <v>79.98</v>
      </c>
      <c r="D149" s="175" t="s">
        <v>1688</v>
      </c>
      <c r="E149" s="2"/>
      <c r="F149" s="2"/>
      <c r="G149" s="2"/>
      <c r="H149" s="2"/>
      <c r="I149" s="2"/>
      <c r="J149" s="2"/>
      <c r="K149" s="2"/>
      <c r="L149" s="2"/>
      <c r="M149" s="2"/>
      <c r="N149" s="2"/>
      <c r="O149" s="2"/>
      <c r="P149" s="2"/>
      <c r="Q149" s="2"/>
      <c r="R149" s="2"/>
      <c r="S149" s="2"/>
      <c r="T149" s="3"/>
      <c r="U149" s="3"/>
      <c r="V149" s="3"/>
      <c r="W149" s="3"/>
      <c r="X149" s="3"/>
      <c r="Y149" s="3"/>
      <c r="Z149" s="3"/>
      <c r="AA149" s="3"/>
      <c r="AB149" s="3"/>
      <c r="AC149" s="3"/>
    </row>
    <row r="150" spans="2:29" s="93" customFormat="1" ht="14.5">
      <c r="B150" s="175" t="s">
        <v>1689</v>
      </c>
      <c r="C150" s="174">
        <v>25.85</v>
      </c>
      <c r="D150" s="175" t="s">
        <v>1690</v>
      </c>
      <c r="E150" s="2"/>
      <c r="F150" s="2"/>
      <c r="G150" s="2"/>
      <c r="H150" s="2"/>
      <c r="I150" s="2"/>
      <c r="J150" s="2"/>
      <c r="K150" s="2"/>
      <c r="L150" s="2"/>
      <c r="M150" s="2"/>
      <c r="N150" s="2"/>
      <c r="O150" s="2"/>
      <c r="P150" s="2"/>
      <c r="Q150" s="2"/>
      <c r="R150" s="2"/>
      <c r="S150" s="2"/>
      <c r="T150" s="3"/>
      <c r="U150" s="3"/>
      <c r="V150" s="3"/>
      <c r="W150" s="3"/>
      <c r="X150" s="3"/>
      <c r="Y150" s="3"/>
      <c r="Z150" s="3"/>
      <c r="AA150" s="3"/>
      <c r="AB150" s="3"/>
      <c r="AC150" s="3"/>
    </row>
    <row r="151" spans="2:29" s="93" customFormat="1" ht="14.5">
      <c r="B151" s="175" t="s">
        <v>1691</v>
      </c>
      <c r="C151" s="174">
        <v>20.65</v>
      </c>
      <c r="D151" s="175" t="s">
        <v>1692</v>
      </c>
      <c r="E151" s="2"/>
      <c r="F151" s="2"/>
      <c r="G151" s="2"/>
      <c r="H151" s="2"/>
      <c r="I151" s="2"/>
      <c r="J151" s="2"/>
      <c r="K151" s="2"/>
      <c r="L151" s="2"/>
      <c r="M151" s="2"/>
      <c r="N151" s="2"/>
      <c r="O151" s="2"/>
      <c r="P151" s="2"/>
      <c r="Q151" s="2"/>
      <c r="R151" s="2"/>
      <c r="S151" s="2"/>
      <c r="T151" s="3"/>
      <c r="U151" s="3"/>
      <c r="V151" s="3"/>
      <c r="W151" s="3"/>
      <c r="X151" s="3"/>
      <c r="Y151" s="3"/>
      <c r="Z151" s="3"/>
      <c r="AA151" s="3"/>
      <c r="AB151" s="3"/>
      <c r="AC151" s="3"/>
    </row>
    <row r="152" spans="2:29" s="93" customFormat="1" ht="14.5">
      <c r="B152" s="175" t="s">
        <v>1693</v>
      </c>
      <c r="C152" s="174">
        <v>47.22</v>
      </c>
      <c r="D152" s="175" t="s">
        <v>1694</v>
      </c>
      <c r="E152" s="2"/>
      <c r="F152" s="2"/>
      <c r="G152" s="2"/>
      <c r="H152" s="2"/>
      <c r="I152" s="2"/>
      <c r="J152" s="2"/>
      <c r="K152" s="2"/>
      <c r="L152" s="2"/>
      <c r="M152" s="2"/>
      <c r="N152" s="2"/>
      <c r="O152" s="2"/>
      <c r="P152" s="2"/>
      <c r="Q152" s="2"/>
      <c r="R152" s="2"/>
      <c r="S152" s="2"/>
      <c r="T152" s="3"/>
      <c r="U152" s="3"/>
      <c r="V152" s="3"/>
      <c r="W152" s="3"/>
      <c r="X152" s="3"/>
      <c r="Y152" s="3"/>
      <c r="Z152" s="3"/>
      <c r="AA152" s="3"/>
      <c r="AB152" s="3"/>
      <c r="AC152" s="3"/>
    </row>
    <row r="153" spans="2:29" s="93" customFormat="1" ht="14.5">
      <c r="B153" s="175" t="s">
        <v>1123</v>
      </c>
      <c r="C153" s="174">
        <f>AVERAGE(C148:C152)</f>
        <v>49.7</v>
      </c>
      <c r="D153" s="175"/>
      <c r="E153" s="2"/>
      <c r="F153" s="2"/>
      <c r="G153" s="2"/>
      <c r="H153" s="2"/>
      <c r="I153" s="2"/>
      <c r="J153" s="2"/>
      <c r="K153" s="2"/>
      <c r="L153" s="2"/>
      <c r="M153" s="2"/>
      <c r="N153" s="2"/>
      <c r="O153" s="2"/>
      <c r="P153" s="2"/>
      <c r="Q153" s="2"/>
      <c r="R153" s="2"/>
      <c r="S153" s="2"/>
      <c r="T153" s="3"/>
      <c r="U153" s="3"/>
      <c r="V153" s="3"/>
      <c r="W153" s="3"/>
      <c r="X153" s="3"/>
      <c r="Y153" s="3"/>
      <c r="Z153" s="3"/>
      <c r="AA153" s="3"/>
      <c r="AB153" s="3"/>
      <c r="AC153" s="3"/>
    </row>
    <row r="154" spans="2:29" s="93" customFormat="1" ht="14.5">
      <c r="B154" s="175"/>
      <c r="C154" s="175"/>
      <c r="D154" s="175"/>
      <c r="E154" s="2"/>
      <c r="F154" s="2"/>
      <c r="G154" s="2"/>
      <c r="H154" s="2"/>
      <c r="I154" s="2"/>
      <c r="J154" s="2"/>
      <c r="K154" s="2"/>
      <c r="L154" s="2"/>
      <c r="M154" s="2"/>
      <c r="N154" s="2"/>
      <c r="O154" s="2"/>
      <c r="P154" s="2"/>
      <c r="Q154" s="2"/>
      <c r="R154" s="2"/>
      <c r="S154" s="2"/>
      <c r="T154" s="3"/>
      <c r="U154" s="3"/>
      <c r="V154" s="3"/>
      <c r="W154" s="3"/>
      <c r="X154" s="3"/>
      <c r="Y154" s="3"/>
      <c r="Z154" s="3"/>
      <c r="AA154" s="3"/>
      <c r="AB154" s="3"/>
      <c r="AC154" s="3"/>
    </row>
    <row r="155" spans="2:29" s="93" customFormat="1" ht="14.5">
      <c r="B155" s="175" t="s">
        <v>1695</v>
      </c>
      <c r="C155" s="174">
        <v>24.53</v>
      </c>
      <c r="D155" s="175" t="s">
        <v>1696</v>
      </c>
      <c r="E155" s="2"/>
      <c r="F155" s="2"/>
      <c r="G155" s="2"/>
      <c r="H155" s="2"/>
      <c r="I155" s="2"/>
      <c r="J155" s="2"/>
      <c r="K155" s="2"/>
      <c r="L155" s="2"/>
      <c r="M155" s="2"/>
      <c r="N155" s="2"/>
      <c r="O155" s="2"/>
      <c r="P155" s="2"/>
      <c r="Q155" s="2"/>
      <c r="R155" s="2"/>
      <c r="S155" s="2"/>
      <c r="T155" s="3"/>
      <c r="U155" s="3"/>
      <c r="V155" s="3"/>
      <c r="W155" s="3"/>
      <c r="X155" s="3"/>
      <c r="Y155" s="3"/>
      <c r="Z155" s="3"/>
      <c r="AA155" s="3"/>
      <c r="AB155" s="3"/>
      <c r="AC155" s="3"/>
    </row>
    <row r="156" spans="2:29" s="93" customFormat="1" ht="14.5">
      <c r="B156" s="175" t="s">
        <v>1697</v>
      </c>
      <c r="C156" s="175">
        <v>2</v>
      </c>
      <c r="D156" s="175" t="s">
        <v>1698</v>
      </c>
      <c r="E156" s="2"/>
      <c r="F156" s="2"/>
      <c r="G156" s="2"/>
      <c r="H156" s="2"/>
      <c r="I156" s="2"/>
      <c r="J156" s="2"/>
      <c r="K156" s="2"/>
      <c r="L156" s="2"/>
      <c r="M156" s="2"/>
      <c r="N156" s="2"/>
      <c r="O156" s="2"/>
      <c r="P156" s="2"/>
      <c r="Q156" s="2"/>
      <c r="R156" s="2"/>
      <c r="S156" s="2"/>
      <c r="T156" s="3"/>
      <c r="U156" s="3"/>
      <c r="V156" s="3"/>
      <c r="W156" s="3"/>
      <c r="X156" s="3"/>
      <c r="Y156" s="3"/>
      <c r="Z156" s="3"/>
      <c r="AA156" s="3"/>
      <c r="AB156" s="3"/>
      <c r="AC156" s="3"/>
    </row>
    <row r="157" spans="2:29" s="93" customFormat="1" ht="14.5">
      <c r="B157" s="175" t="s">
        <v>1699</v>
      </c>
      <c r="C157" s="175">
        <f>C155*C156</f>
        <v>49.06</v>
      </c>
      <c r="D157" s="2"/>
      <c r="E157" s="2"/>
      <c r="F157" s="2"/>
      <c r="G157" s="2"/>
      <c r="H157" s="2"/>
      <c r="I157" s="2"/>
      <c r="J157" s="2"/>
      <c r="K157" s="2"/>
      <c r="L157" s="2"/>
      <c r="M157" s="2"/>
      <c r="N157" s="2"/>
      <c r="O157" s="2"/>
      <c r="P157" s="2"/>
      <c r="Q157" s="2"/>
      <c r="R157" s="2"/>
      <c r="S157" s="2"/>
      <c r="T157" s="3"/>
      <c r="U157" s="3"/>
      <c r="V157" s="3"/>
      <c r="W157" s="3"/>
      <c r="X157" s="3"/>
      <c r="Y157" s="3"/>
      <c r="Z157" s="3"/>
      <c r="AA157" s="3"/>
      <c r="AB157" s="3"/>
      <c r="AC157" s="3"/>
    </row>
    <row r="158" spans="2:29" s="93" customFormat="1" ht="14.5">
      <c r="B158" s="2"/>
      <c r="C158" s="2"/>
      <c r="D158" s="175"/>
      <c r="E158" s="2"/>
      <c r="F158" s="2"/>
      <c r="G158" s="2"/>
      <c r="H158" s="2"/>
      <c r="I158" s="2"/>
      <c r="J158" s="2"/>
      <c r="K158" s="2"/>
      <c r="L158" s="2"/>
      <c r="M158" s="2"/>
      <c r="N158" s="2"/>
      <c r="O158" s="2"/>
      <c r="P158" s="2"/>
      <c r="Q158" s="2"/>
      <c r="R158" s="2"/>
      <c r="S158" s="2"/>
      <c r="T158" s="3"/>
      <c r="U158" s="3"/>
      <c r="V158" s="3"/>
      <c r="W158" s="3"/>
      <c r="X158" s="3"/>
      <c r="Y158" s="3"/>
      <c r="Z158" s="3"/>
      <c r="AA158" s="3"/>
      <c r="AB158" s="3"/>
      <c r="AC158" s="3"/>
    </row>
    <row r="159" spans="2:29" s="93" customFormat="1">
      <c r="B159" s="2"/>
      <c r="C159" s="2"/>
      <c r="D159" s="2"/>
      <c r="E159" s="2"/>
      <c r="F159" s="2"/>
      <c r="G159" s="2"/>
      <c r="H159" s="2"/>
      <c r="I159" s="2"/>
      <c r="J159" s="2"/>
      <c r="K159" s="2"/>
      <c r="L159" s="2"/>
      <c r="M159" s="2"/>
      <c r="N159" s="2"/>
      <c r="O159" s="2"/>
      <c r="P159" s="2"/>
      <c r="Q159" s="2"/>
      <c r="R159" s="2"/>
      <c r="S159" s="2"/>
      <c r="T159" s="3"/>
      <c r="U159" s="3"/>
      <c r="V159" s="3"/>
      <c r="W159" s="3"/>
      <c r="X159" s="3"/>
      <c r="Y159" s="3"/>
      <c r="Z159" s="3"/>
      <c r="AA159" s="3"/>
      <c r="AB159" s="3"/>
      <c r="AC159" s="3"/>
    </row>
    <row r="160" spans="2:29" s="93" customFormat="1">
      <c r="B160" s="2"/>
      <c r="C160" s="2"/>
      <c r="D160" s="2"/>
      <c r="E160" s="2"/>
      <c r="F160" s="2"/>
      <c r="G160" s="2"/>
      <c r="H160" s="2"/>
      <c r="I160" s="2"/>
      <c r="J160" s="2"/>
      <c r="K160" s="2"/>
      <c r="L160" s="2"/>
      <c r="M160" s="2"/>
      <c r="N160" s="2"/>
      <c r="O160" s="2"/>
      <c r="P160" s="2"/>
      <c r="Q160" s="2"/>
      <c r="R160" s="2"/>
      <c r="S160" s="2"/>
      <c r="T160" s="3"/>
      <c r="U160" s="3"/>
      <c r="V160" s="3"/>
      <c r="W160" s="3"/>
      <c r="X160" s="3"/>
      <c r="Y160" s="3"/>
      <c r="Z160" s="3"/>
      <c r="AA160" s="3"/>
      <c r="AB160" s="3"/>
      <c r="AC160" s="3"/>
    </row>
    <row r="161" spans="2:29" s="93" customFormat="1">
      <c r="B161" s="2"/>
      <c r="C161" s="2"/>
      <c r="D161" s="2"/>
      <c r="E161" s="2"/>
      <c r="F161" s="2"/>
      <c r="G161" s="2"/>
      <c r="H161" s="2"/>
      <c r="I161" s="2"/>
      <c r="J161" s="2"/>
      <c r="K161" s="2"/>
      <c r="L161" s="2"/>
      <c r="M161" s="2"/>
      <c r="N161" s="2"/>
      <c r="O161" s="2"/>
      <c r="P161" s="2"/>
      <c r="Q161" s="2"/>
      <c r="R161" s="2"/>
      <c r="S161" s="2"/>
      <c r="T161" s="3"/>
      <c r="U161" s="3"/>
      <c r="V161" s="3"/>
      <c r="W161" s="3"/>
      <c r="X161" s="3"/>
      <c r="Y161" s="3"/>
      <c r="Z161" s="3"/>
      <c r="AA161" s="3"/>
      <c r="AB161" s="3"/>
      <c r="AC161" s="3"/>
    </row>
    <row r="162" spans="2:29" s="93" customFormat="1">
      <c r="B162" s="356" t="s">
        <v>1700</v>
      </c>
      <c r="C162" s="2"/>
      <c r="D162" s="2"/>
      <c r="E162" s="2"/>
      <c r="F162" s="2"/>
      <c r="G162" s="2"/>
      <c r="H162" s="2"/>
      <c r="I162" s="2"/>
      <c r="J162" s="2"/>
      <c r="K162" s="2"/>
      <c r="L162" s="2"/>
      <c r="M162" s="2"/>
      <c r="N162" s="2"/>
      <c r="O162" s="2"/>
      <c r="P162" s="2"/>
      <c r="Q162" s="2"/>
      <c r="R162" s="2"/>
      <c r="S162" s="2"/>
      <c r="T162" s="3"/>
      <c r="U162" s="3"/>
      <c r="V162" s="3"/>
      <c r="W162" s="3"/>
      <c r="X162" s="3"/>
      <c r="Y162" s="3"/>
      <c r="Z162" s="3"/>
      <c r="AA162" s="3"/>
      <c r="AB162" s="3"/>
      <c r="AC162" s="3"/>
    </row>
    <row r="163" spans="2:29" s="93" customFormat="1">
      <c r="B163" s="2" t="s">
        <v>1701</v>
      </c>
      <c r="C163" s="2"/>
      <c r="D163" s="2"/>
      <c r="E163" s="2"/>
      <c r="F163" s="2"/>
      <c r="G163" s="2"/>
      <c r="H163" s="2"/>
      <c r="I163" s="2"/>
      <c r="J163" s="2"/>
      <c r="K163" s="2"/>
      <c r="L163" s="2"/>
      <c r="M163" s="2"/>
      <c r="N163" s="2"/>
      <c r="O163" s="2"/>
      <c r="P163" s="2"/>
      <c r="Q163" s="2"/>
      <c r="R163" s="2"/>
      <c r="S163" s="2"/>
      <c r="T163" s="3"/>
      <c r="U163" s="3"/>
      <c r="V163" s="3"/>
      <c r="W163" s="3"/>
      <c r="X163" s="3"/>
      <c r="Y163" s="3"/>
      <c r="Z163" s="3"/>
      <c r="AA163" s="3"/>
      <c r="AB163" s="3"/>
      <c r="AC163" s="3"/>
    </row>
    <row r="164" spans="2:29" s="93" customFormat="1" ht="24">
      <c r="B164" s="1199" t="s">
        <v>136</v>
      </c>
      <c r="C164" s="1199" t="s">
        <v>1702</v>
      </c>
      <c r="D164" s="1200" t="s">
        <v>154</v>
      </c>
      <c r="E164" s="1201" t="s">
        <v>1703</v>
      </c>
      <c r="F164" s="1201" t="s">
        <v>1704</v>
      </c>
      <c r="G164" s="1201" t="s">
        <v>331</v>
      </c>
      <c r="H164" s="2"/>
      <c r="I164" s="356" t="s">
        <v>1705</v>
      </c>
      <c r="J164" s="2"/>
      <c r="K164" s="2"/>
      <c r="L164" s="2"/>
      <c r="M164" s="2"/>
      <c r="N164" s="2"/>
      <c r="O164" s="2"/>
      <c r="P164" s="2"/>
      <c r="Q164" s="2"/>
      <c r="R164" s="2"/>
      <c r="S164" s="2"/>
      <c r="T164" s="3"/>
      <c r="U164" s="3"/>
      <c r="V164" s="3"/>
      <c r="W164" s="3"/>
      <c r="X164" s="3"/>
      <c r="Y164" s="3"/>
      <c r="Z164" s="3"/>
      <c r="AA164" s="3"/>
      <c r="AB164" s="3"/>
      <c r="AC164" s="3"/>
    </row>
    <row r="165" spans="2:29" s="93" customFormat="1">
      <c r="B165" s="1202" t="s">
        <v>996</v>
      </c>
      <c r="C165" s="1202" t="s">
        <v>1706</v>
      </c>
      <c r="D165" s="1203">
        <v>18</v>
      </c>
      <c r="E165" s="1204">
        <v>0.71657564245810057</v>
      </c>
      <c r="F165" s="1205">
        <v>0</v>
      </c>
      <c r="G165" s="1206" t="s">
        <v>76</v>
      </c>
      <c r="H165" s="2"/>
      <c r="I165" s="803" t="s">
        <v>1707</v>
      </c>
      <c r="J165" s="803" t="s">
        <v>1708</v>
      </c>
      <c r="K165" s="2"/>
      <c r="L165" s="2"/>
      <c r="M165" s="2"/>
      <c r="N165" s="2"/>
      <c r="O165" s="2"/>
      <c r="P165" s="2"/>
      <c r="Q165" s="2"/>
      <c r="R165" s="2"/>
      <c r="S165" s="2"/>
      <c r="T165" s="3"/>
      <c r="U165" s="3"/>
      <c r="V165" s="3"/>
      <c r="W165" s="3"/>
      <c r="X165" s="3"/>
      <c r="Y165" s="3"/>
      <c r="Z165" s="3"/>
      <c r="AA165" s="3"/>
      <c r="AB165" s="3"/>
      <c r="AC165" s="3"/>
    </row>
    <row r="166" spans="2:29" s="93" customFormat="1">
      <c r="B166" s="1202" t="s">
        <v>1709</v>
      </c>
      <c r="C166" s="1202" t="s">
        <v>1710</v>
      </c>
      <c r="D166" s="1203">
        <v>18</v>
      </c>
      <c r="E166" s="1204">
        <v>9.6602252953567308E-2</v>
      </c>
      <c r="F166" s="1205">
        <v>0</v>
      </c>
      <c r="G166" s="1206" t="s">
        <v>76</v>
      </c>
      <c r="H166" s="2"/>
      <c r="I166" s="803" t="str">
        <f>B308</f>
        <v>Room Air Conditioner DLC - BYOD</v>
      </c>
      <c r="J166" s="788">
        <f>E308</f>
        <v>0.5</v>
      </c>
      <c r="K166" s="2"/>
      <c r="L166" s="2"/>
      <c r="M166" s="2"/>
      <c r="N166" s="2"/>
      <c r="O166" s="2"/>
      <c r="P166" s="2"/>
      <c r="Q166" s="2"/>
      <c r="R166" s="2"/>
      <c r="S166" s="2"/>
      <c r="T166" s="3"/>
      <c r="U166" s="3"/>
      <c r="V166" s="3"/>
      <c r="W166" s="3"/>
      <c r="X166" s="3"/>
      <c r="Y166" s="3"/>
      <c r="Z166" s="3"/>
      <c r="AA166" s="3"/>
      <c r="AB166" s="3"/>
      <c r="AC166" s="3"/>
    </row>
    <row r="167" spans="2:29" s="93" customFormat="1">
      <c r="B167" s="1202" t="s">
        <v>1711</v>
      </c>
      <c r="C167" s="1202" t="s">
        <v>1712</v>
      </c>
      <c r="D167" s="1203">
        <v>25</v>
      </c>
      <c r="E167" s="1204">
        <v>0.96716354450794273</v>
      </c>
      <c r="F167" s="1205">
        <v>0</v>
      </c>
      <c r="G167" s="1206" t="s">
        <v>76</v>
      </c>
      <c r="H167" s="2"/>
      <c r="I167" s="803" t="str">
        <f>B304</f>
        <v>DLC Water End Uses - Water Heating</v>
      </c>
      <c r="J167" s="788">
        <f>E304</f>
        <v>0.5</v>
      </c>
      <c r="K167" s="2"/>
      <c r="L167" s="2"/>
      <c r="M167" s="2"/>
      <c r="N167" s="2"/>
      <c r="O167" s="2"/>
      <c r="P167" s="2"/>
      <c r="Q167" s="2"/>
      <c r="R167" s="2"/>
      <c r="S167" s="2"/>
      <c r="T167" s="3"/>
      <c r="U167" s="3"/>
      <c r="V167" s="3"/>
      <c r="W167" s="3"/>
      <c r="X167" s="3"/>
      <c r="Y167" s="3"/>
      <c r="Z167" s="3"/>
      <c r="AA167" s="3"/>
      <c r="AB167" s="3"/>
      <c r="AC167" s="3"/>
    </row>
    <row r="168" spans="2:29" s="93" customFormat="1">
      <c r="B168" s="1202" t="s">
        <v>1711</v>
      </c>
      <c r="C168" s="1202" t="s">
        <v>1713</v>
      </c>
      <c r="D168" s="1203">
        <v>25</v>
      </c>
      <c r="E168" s="1204">
        <v>1.2163569554447127</v>
      </c>
      <c r="F168" s="1205">
        <v>0</v>
      </c>
      <c r="G168" s="1206" t="s">
        <v>76</v>
      </c>
      <c r="H168" s="2"/>
      <c r="I168" s="2"/>
      <c r="J168" s="2"/>
      <c r="K168" s="2"/>
      <c r="L168" s="2"/>
      <c r="M168" s="2"/>
      <c r="N168" s="2"/>
      <c r="O168" s="2"/>
      <c r="P168" s="2"/>
      <c r="Q168" s="2"/>
      <c r="R168" s="2"/>
      <c r="S168" s="2"/>
      <c r="T168" s="3"/>
      <c r="U168" s="3"/>
      <c r="V168" s="3"/>
      <c r="W168" s="3"/>
      <c r="X168" s="3"/>
      <c r="Y168" s="3"/>
      <c r="Z168" s="3"/>
      <c r="AA168" s="3"/>
      <c r="AB168" s="3"/>
      <c r="AC168" s="3"/>
    </row>
    <row r="169" spans="2:29" s="93" customFormat="1">
      <c r="B169" s="1202" t="s">
        <v>1714</v>
      </c>
      <c r="C169" s="1202" t="s">
        <v>1715</v>
      </c>
      <c r="D169" s="1203">
        <v>18</v>
      </c>
      <c r="E169" s="1204">
        <v>0.73954134095821333</v>
      </c>
      <c r="F169" s="1205">
        <v>0</v>
      </c>
      <c r="G169" s="1206" t="s">
        <v>76</v>
      </c>
      <c r="H169" s="2"/>
      <c r="I169" s="2"/>
      <c r="J169" s="2"/>
      <c r="K169" s="2"/>
      <c r="L169" s="2"/>
      <c r="M169" s="2"/>
      <c r="N169" s="2"/>
      <c r="O169" s="2"/>
      <c r="P169" s="2"/>
      <c r="Q169" s="2"/>
      <c r="R169" s="2"/>
      <c r="S169" s="2"/>
      <c r="T169" s="3"/>
      <c r="U169" s="3"/>
      <c r="V169" s="3"/>
      <c r="W169" s="3"/>
      <c r="X169" s="3"/>
      <c r="Y169" s="3"/>
      <c r="Z169" s="3"/>
      <c r="AA169" s="3"/>
      <c r="AB169" s="3"/>
      <c r="AC169" s="3"/>
    </row>
    <row r="170" spans="2:29" s="93" customFormat="1">
      <c r="B170" s="1202" t="s">
        <v>1716</v>
      </c>
      <c r="C170" s="1202" t="s">
        <v>1717</v>
      </c>
      <c r="D170" s="1203">
        <v>10</v>
      </c>
      <c r="E170" s="1204">
        <v>0.1770707882155689</v>
      </c>
      <c r="F170" s="1205">
        <v>0</v>
      </c>
      <c r="G170" s="1206" t="s">
        <v>76</v>
      </c>
      <c r="H170" s="2"/>
      <c r="I170" s="2"/>
      <c r="J170" s="2"/>
      <c r="K170" s="2"/>
      <c r="L170" s="2"/>
      <c r="M170" s="2"/>
      <c r="N170" s="2"/>
      <c r="O170" s="2"/>
      <c r="P170" s="2"/>
      <c r="Q170" s="2"/>
      <c r="R170" s="2"/>
      <c r="S170" s="2"/>
      <c r="T170" s="3"/>
      <c r="U170" s="3"/>
      <c r="V170" s="3"/>
      <c r="W170" s="3"/>
      <c r="X170" s="3"/>
      <c r="Y170" s="3"/>
      <c r="Z170" s="3"/>
      <c r="AA170" s="3"/>
      <c r="AB170" s="3"/>
      <c r="AC170" s="3"/>
    </row>
    <row r="171" spans="2:29">
      <c r="B171" s="1202" t="s">
        <v>1718</v>
      </c>
      <c r="C171" s="1202" t="s">
        <v>1717</v>
      </c>
      <c r="D171" s="1203">
        <v>10</v>
      </c>
      <c r="E171" s="1204">
        <v>0.1770707882155689</v>
      </c>
      <c r="F171" s="1205">
        <v>0.61780489573500019</v>
      </c>
      <c r="G171" s="1206" t="s">
        <v>76</v>
      </c>
    </row>
    <row r="172" spans="2:29">
      <c r="B172" s="1202" t="s">
        <v>1719</v>
      </c>
      <c r="C172" s="1202" t="s">
        <v>1717</v>
      </c>
      <c r="D172" s="1203">
        <v>10</v>
      </c>
      <c r="E172" s="1204">
        <v>0.1770707882155689</v>
      </c>
      <c r="F172" s="1205">
        <v>0.58073660199090005</v>
      </c>
      <c r="G172" s="1206" t="s">
        <v>76</v>
      </c>
    </row>
    <row r="173" spans="2:29">
      <c r="B173" s="1202" t="s">
        <v>974</v>
      </c>
      <c r="C173" s="1202" t="s">
        <v>1720</v>
      </c>
      <c r="D173" s="1203">
        <v>13</v>
      </c>
      <c r="E173" s="1204">
        <v>0.12117194861631894</v>
      </c>
      <c r="F173" s="1205">
        <v>0</v>
      </c>
      <c r="G173" s="1206" t="s">
        <v>76</v>
      </c>
    </row>
    <row r="174" spans="2:29">
      <c r="B174" s="1202" t="s">
        <v>59</v>
      </c>
      <c r="C174" s="1202" t="s">
        <v>1721</v>
      </c>
      <c r="D174" s="1203">
        <v>7</v>
      </c>
      <c r="E174" s="1207">
        <v>0.12330000000000001</v>
      </c>
      <c r="F174" s="1207">
        <v>-3.3179723502304151E-2</v>
      </c>
      <c r="G174" s="1206" t="s">
        <v>76</v>
      </c>
    </row>
    <row r="175" spans="2:29">
      <c r="B175" s="1202" t="s">
        <v>59</v>
      </c>
      <c r="C175" s="1202" t="s">
        <v>1722</v>
      </c>
      <c r="D175" s="1203">
        <v>7</v>
      </c>
      <c r="E175" s="1207">
        <v>0.14080000000000001</v>
      </c>
      <c r="F175" s="1207">
        <v>-1.4746543778801843E-2</v>
      </c>
      <c r="G175" s="1206" t="s">
        <v>76</v>
      </c>
    </row>
    <row r="176" spans="2:29">
      <c r="B176" s="1202" t="s">
        <v>1723</v>
      </c>
      <c r="C176" s="1202" t="s">
        <v>1724</v>
      </c>
      <c r="D176" s="1203">
        <v>17</v>
      </c>
      <c r="E176" s="1208">
        <v>0.1</v>
      </c>
      <c r="F176" s="1205">
        <v>0</v>
      </c>
      <c r="G176" s="1206" t="s">
        <v>76</v>
      </c>
    </row>
    <row r="177" spans="2:7">
      <c r="B177" s="1202" t="s">
        <v>1725</v>
      </c>
      <c r="C177" s="1202" t="s">
        <v>1724</v>
      </c>
      <c r="D177" s="1203">
        <v>12</v>
      </c>
      <c r="E177" s="1208">
        <v>5.5999999999999994E-2</v>
      </c>
      <c r="F177" s="1205">
        <v>0</v>
      </c>
      <c r="G177" s="1206" t="s">
        <v>76</v>
      </c>
    </row>
    <row r="178" spans="2:7">
      <c r="B178" s="1202" t="s">
        <v>1726</v>
      </c>
      <c r="C178" s="1202" t="s">
        <v>1724</v>
      </c>
      <c r="D178" s="1203">
        <v>20</v>
      </c>
      <c r="E178" s="1208">
        <v>7.2126220886551459E-3</v>
      </c>
      <c r="F178" s="1205">
        <v>6.1607813673929375E-2</v>
      </c>
      <c r="G178" s="1206" t="s">
        <v>1727</v>
      </c>
    </row>
    <row r="179" spans="2:7">
      <c r="B179" s="1202" t="s">
        <v>1728</v>
      </c>
      <c r="C179" s="1202" t="s">
        <v>1724</v>
      </c>
      <c r="D179" s="1203">
        <v>20</v>
      </c>
      <c r="E179" s="1208">
        <v>9.8163452708907251E-2</v>
      </c>
      <c r="F179" s="1205">
        <v>0.49586776859504134</v>
      </c>
      <c r="G179" s="1206" t="s">
        <v>1727</v>
      </c>
    </row>
    <row r="180" spans="2:7">
      <c r="B180" s="1202" t="s">
        <v>1729</v>
      </c>
      <c r="C180" s="1202" t="s">
        <v>1724</v>
      </c>
      <c r="D180" s="1203">
        <v>20</v>
      </c>
      <c r="E180" s="1208">
        <v>0.10479192938209331</v>
      </c>
      <c r="F180" s="1205">
        <v>0.57755359394703654</v>
      </c>
      <c r="G180" s="1206" t="s">
        <v>1727</v>
      </c>
    </row>
    <row r="181" spans="2:7">
      <c r="B181" s="1202" t="s">
        <v>1730</v>
      </c>
      <c r="C181" s="1202" t="s">
        <v>1724</v>
      </c>
      <c r="D181" s="1203">
        <v>20</v>
      </c>
      <c r="E181" s="1208">
        <v>2.2295805739514351E-2</v>
      </c>
      <c r="F181" s="1205">
        <v>0.11037527593818984</v>
      </c>
      <c r="G181" s="1206" t="s">
        <v>1727</v>
      </c>
    </row>
    <row r="182" spans="2:7">
      <c r="B182" s="1202" t="s">
        <v>1731</v>
      </c>
      <c r="C182" s="1202" t="s">
        <v>1732</v>
      </c>
      <c r="D182" s="1203">
        <v>8</v>
      </c>
      <c r="E182" s="1208">
        <v>6.5749119999999994E-2</v>
      </c>
      <c r="F182" s="1204">
        <v>-2.549628807106599E-3</v>
      </c>
      <c r="G182" s="1206" t="s">
        <v>76</v>
      </c>
    </row>
    <row r="183" spans="2:7">
      <c r="B183" s="1202" t="s">
        <v>1733</v>
      </c>
      <c r="C183" s="1202" t="s">
        <v>1732</v>
      </c>
      <c r="D183" s="1203">
        <v>8</v>
      </c>
      <c r="E183" s="1208">
        <v>0.18271334399999997</v>
      </c>
      <c r="F183" s="1204">
        <v>-6.2638020304568529E-3</v>
      </c>
      <c r="G183" s="1206" t="s">
        <v>76</v>
      </c>
    </row>
    <row r="184" spans="2:7">
      <c r="B184" s="1202" t="s">
        <v>1734</v>
      </c>
      <c r="C184" s="1202" t="s">
        <v>1732</v>
      </c>
      <c r="D184" s="1203">
        <v>8</v>
      </c>
      <c r="E184" s="1208">
        <v>5.1561151999999999E-2</v>
      </c>
      <c r="F184" s="1204">
        <v>-2.173310596446701E-3</v>
      </c>
      <c r="G184" s="1206" t="s">
        <v>76</v>
      </c>
    </row>
    <row r="185" spans="2:7">
      <c r="B185" s="1202" t="s">
        <v>1735</v>
      </c>
      <c r="C185" s="1202" t="s">
        <v>1736</v>
      </c>
      <c r="D185" s="1203">
        <v>12</v>
      </c>
      <c r="E185" s="1208">
        <v>8.1939999999999957E-2</v>
      </c>
      <c r="F185" s="1205">
        <v>0</v>
      </c>
      <c r="G185" s="1206" t="s">
        <v>76</v>
      </c>
    </row>
    <row r="186" spans="2:7">
      <c r="B186" s="1202" t="s">
        <v>1737</v>
      </c>
      <c r="C186" s="1202" t="s">
        <v>1738</v>
      </c>
      <c r="D186" s="1203">
        <v>7</v>
      </c>
      <c r="E186" s="1208">
        <v>2.07E-2</v>
      </c>
      <c r="F186" s="1205">
        <v>0</v>
      </c>
      <c r="G186" s="1206" t="s">
        <v>76</v>
      </c>
    </row>
    <row r="187" spans="2:7">
      <c r="B187" s="1202" t="s">
        <v>1739</v>
      </c>
      <c r="C187" s="1202" t="s">
        <v>1740</v>
      </c>
      <c r="D187" s="1203">
        <v>9</v>
      </c>
      <c r="E187" s="1208">
        <v>2.8000000000000001E-2</v>
      </c>
      <c r="F187" s="1205">
        <v>0</v>
      </c>
      <c r="G187" s="1206" t="s">
        <v>76</v>
      </c>
    </row>
    <row r="188" spans="2:7">
      <c r="B188" s="1202" t="s">
        <v>1741</v>
      </c>
      <c r="C188" s="1202" t="s">
        <v>1742</v>
      </c>
      <c r="D188" s="1209">
        <v>12</v>
      </c>
      <c r="E188" s="1208">
        <v>1.0159152081311473E-2</v>
      </c>
      <c r="F188" s="1210">
        <v>0</v>
      </c>
      <c r="G188" s="1206" t="s">
        <v>76</v>
      </c>
    </row>
    <row r="189" spans="2:7">
      <c r="B189" s="1202" t="s">
        <v>1741</v>
      </c>
      <c r="C189" s="1202" t="s">
        <v>1742</v>
      </c>
      <c r="D189" s="1203">
        <v>9</v>
      </c>
      <c r="E189" s="1208">
        <v>7.3322940287225941E-2</v>
      </c>
      <c r="F189" s="1205">
        <v>0</v>
      </c>
      <c r="G189" s="1206" t="s">
        <v>76</v>
      </c>
    </row>
    <row r="190" spans="2:7">
      <c r="B190" s="1202" t="s">
        <v>1743</v>
      </c>
      <c r="C190" s="1202" t="s">
        <v>1743</v>
      </c>
      <c r="D190" s="1203">
        <v>12</v>
      </c>
      <c r="E190" s="1208">
        <v>0.03</v>
      </c>
      <c r="F190" s="1205">
        <v>0</v>
      </c>
      <c r="G190" s="1206" t="s">
        <v>76</v>
      </c>
    </row>
    <row r="191" spans="2:7">
      <c r="B191" s="1202" t="s">
        <v>1744</v>
      </c>
      <c r="C191" s="1202" t="s">
        <v>1745</v>
      </c>
      <c r="D191" s="1203">
        <v>13</v>
      </c>
      <c r="E191" s="1208">
        <v>2.4955377791999998E-2</v>
      </c>
      <c r="F191" s="1204">
        <v>-4.3916626903553304E-3</v>
      </c>
      <c r="G191" s="1206" t="s">
        <v>76</v>
      </c>
    </row>
    <row r="192" spans="2:7">
      <c r="B192" s="1202" t="s">
        <v>1744</v>
      </c>
      <c r="C192" s="1202" t="s">
        <v>1746</v>
      </c>
      <c r="D192" s="1203">
        <v>13</v>
      </c>
      <c r="E192" s="1208">
        <v>4.3993501056000001E-2</v>
      </c>
      <c r="F192" s="1204">
        <v>-7.7420032994923848E-3</v>
      </c>
      <c r="G192" s="1206" t="s">
        <v>76</v>
      </c>
    </row>
    <row r="193" spans="2:7">
      <c r="B193" s="1202" t="s">
        <v>1744</v>
      </c>
      <c r="C193" s="1202" t="s">
        <v>1747</v>
      </c>
      <c r="D193" s="1203">
        <v>13</v>
      </c>
      <c r="E193" s="1208">
        <v>6.5089799808000004E-2</v>
      </c>
      <c r="F193" s="1204">
        <v>-1.1454542893401016E-2</v>
      </c>
      <c r="G193" s="1206" t="s">
        <v>76</v>
      </c>
    </row>
    <row r="194" spans="2:7">
      <c r="B194" s="1202" t="s">
        <v>1744</v>
      </c>
      <c r="C194" s="1202" t="s">
        <v>1748</v>
      </c>
      <c r="D194" s="1203">
        <v>13</v>
      </c>
      <c r="E194" s="1208">
        <v>8.5157010815999995E-2</v>
      </c>
      <c r="F194" s="1204">
        <v>-1.4985982994923857E-2</v>
      </c>
      <c r="G194" s="1206" t="s">
        <v>76</v>
      </c>
    </row>
    <row r="195" spans="2:7">
      <c r="B195" s="1202" t="s">
        <v>1744</v>
      </c>
      <c r="C195" s="1202" t="s">
        <v>1749</v>
      </c>
      <c r="D195" s="1203">
        <v>13</v>
      </c>
      <c r="E195" s="1208">
        <v>0.12211841228800001</v>
      </c>
      <c r="F195" s="1204">
        <v>-2.1490473096446701E-2</v>
      </c>
      <c r="G195" s="1206" t="s">
        <v>76</v>
      </c>
    </row>
    <row r="196" spans="2:7">
      <c r="B196" s="1202" t="s">
        <v>1744</v>
      </c>
      <c r="C196" s="1202" t="s">
        <v>1750</v>
      </c>
      <c r="D196" s="1203">
        <v>13</v>
      </c>
      <c r="E196" s="1208">
        <v>0.21413600806399999</v>
      </c>
      <c r="F196" s="1204">
        <v>-3.7683786040609138E-2</v>
      </c>
      <c r="G196" s="1206" t="s">
        <v>76</v>
      </c>
    </row>
    <row r="197" spans="2:7">
      <c r="B197" s="1202" t="s">
        <v>1744</v>
      </c>
      <c r="C197" s="1202" t="s">
        <v>1751</v>
      </c>
      <c r="D197" s="1203">
        <v>13</v>
      </c>
      <c r="E197" s="1208">
        <v>0.21782357247999998</v>
      </c>
      <c r="F197" s="1204">
        <v>-3.833272588832487E-2</v>
      </c>
      <c r="G197" s="1206" t="s">
        <v>76</v>
      </c>
    </row>
    <row r="198" spans="2:7">
      <c r="B198" s="1202" t="s">
        <v>1744</v>
      </c>
      <c r="C198" s="1202" t="s">
        <v>1752</v>
      </c>
      <c r="D198" s="1203">
        <v>13</v>
      </c>
      <c r="E198" s="1208">
        <v>0.45751525951999994</v>
      </c>
      <c r="F198" s="1204">
        <v>-8.0513815989847706E-2</v>
      </c>
      <c r="G198" s="1206" t="s">
        <v>76</v>
      </c>
    </row>
    <row r="199" spans="2:7">
      <c r="B199" s="1202" t="s">
        <v>1753</v>
      </c>
      <c r="C199" s="1202" t="s">
        <v>1754</v>
      </c>
      <c r="D199" s="1203">
        <v>13</v>
      </c>
      <c r="E199" s="1208">
        <v>6.8177063039999999E-2</v>
      </c>
      <c r="F199" s="1204">
        <v>-1.1997841370558376E-2</v>
      </c>
      <c r="G199" s="1206" t="s">
        <v>76</v>
      </c>
    </row>
    <row r="200" spans="2:7">
      <c r="B200" s="1202" t="s">
        <v>1753</v>
      </c>
      <c r="C200" s="1202" t="s">
        <v>1755</v>
      </c>
      <c r="D200" s="1203">
        <v>13</v>
      </c>
      <c r="E200" s="1208">
        <v>0.11294237990399998</v>
      </c>
      <c r="F200" s="1204">
        <v>-1.9875669289340099E-2</v>
      </c>
      <c r="G200" s="1206" t="s">
        <v>76</v>
      </c>
    </row>
    <row r="201" spans="2:7">
      <c r="B201" s="1202" t="s">
        <v>1753</v>
      </c>
      <c r="C201" s="1202" t="s">
        <v>1756</v>
      </c>
      <c r="D201" s="1203">
        <v>13</v>
      </c>
      <c r="E201" s="1208">
        <v>0.150332567936</v>
      </c>
      <c r="F201" s="1204">
        <v>-2.6455617512690356E-2</v>
      </c>
      <c r="G201" s="1206" t="s">
        <v>76</v>
      </c>
    </row>
    <row r="202" spans="2:7">
      <c r="B202" s="1202" t="s">
        <v>1753</v>
      </c>
      <c r="C202" s="1202" t="s">
        <v>1757</v>
      </c>
      <c r="D202" s="1203">
        <v>13</v>
      </c>
      <c r="E202" s="1208">
        <v>0.23205928627199998</v>
      </c>
      <c r="F202" s="1204">
        <v>-4.0837935532994925E-2</v>
      </c>
      <c r="G202" s="1206" t="s">
        <v>76</v>
      </c>
    </row>
    <row r="203" spans="2:7">
      <c r="B203" s="1202" t="s">
        <v>1758</v>
      </c>
      <c r="C203" s="1202" t="s">
        <v>1759</v>
      </c>
      <c r="D203" s="1203">
        <v>10</v>
      </c>
      <c r="E203" s="1208">
        <v>0.30524999999999997</v>
      </c>
      <c r="F203" s="1204">
        <v>-3.6643401015228429E-2</v>
      </c>
      <c r="G203" s="1206" t="s">
        <v>76</v>
      </c>
    </row>
    <row r="204" spans="2:7">
      <c r="B204" s="1202" t="s">
        <v>1758</v>
      </c>
      <c r="C204" s="1202" t="s">
        <v>1760</v>
      </c>
      <c r="D204" s="1203">
        <v>10</v>
      </c>
      <c r="E204" s="1208">
        <v>0.36629999999999996</v>
      </c>
      <c r="F204" s="1204">
        <v>-4.3972081218274117E-2</v>
      </c>
      <c r="G204" s="1206" t="s">
        <v>76</v>
      </c>
    </row>
    <row r="205" spans="2:7">
      <c r="B205" s="1202" t="s">
        <v>1758</v>
      </c>
      <c r="C205" s="1202" t="s">
        <v>1761</v>
      </c>
      <c r="D205" s="1203">
        <v>10</v>
      </c>
      <c r="E205" s="1208">
        <v>0.45787499999999992</v>
      </c>
      <c r="F205" s="1204">
        <v>-5.496510152284264E-2</v>
      </c>
      <c r="G205" s="1206" t="s">
        <v>76</v>
      </c>
    </row>
    <row r="206" spans="2:7">
      <c r="B206" s="1202" t="s">
        <v>1758</v>
      </c>
      <c r="C206" s="1202" t="s">
        <v>1762</v>
      </c>
      <c r="D206" s="1203">
        <v>10</v>
      </c>
      <c r="E206" s="1208">
        <v>0.57497999999999994</v>
      </c>
      <c r="F206" s="1204">
        <v>-6.902284263959392E-2</v>
      </c>
      <c r="G206" s="1206" t="s">
        <v>76</v>
      </c>
    </row>
    <row r="207" spans="2:7">
      <c r="B207" s="1202" t="s">
        <v>1763</v>
      </c>
      <c r="C207" s="1202" t="s">
        <v>1764</v>
      </c>
      <c r="D207" s="1203">
        <v>10</v>
      </c>
      <c r="E207" s="1208">
        <v>4.1072881982981873</v>
      </c>
      <c r="F207" s="1205">
        <v>0</v>
      </c>
      <c r="G207" s="1206" t="s">
        <v>76</v>
      </c>
    </row>
    <row r="208" spans="2:7">
      <c r="B208" s="1202" t="s">
        <v>1765</v>
      </c>
      <c r="C208" s="1202" t="s">
        <v>1766</v>
      </c>
      <c r="D208" s="1203">
        <v>15</v>
      </c>
      <c r="E208" s="1208">
        <v>1.8810485933503835</v>
      </c>
      <c r="F208" s="1205">
        <v>0</v>
      </c>
      <c r="G208" s="1206" t="s">
        <v>76</v>
      </c>
    </row>
    <row r="209" spans="2:7">
      <c r="B209" s="1202" t="s">
        <v>1767</v>
      </c>
      <c r="C209" s="1202" t="s">
        <v>1768</v>
      </c>
      <c r="D209" s="1203">
        <v>15</v>
      </c>
      <c r="E209" s="1208">
        <v>8.2981560025800007</v>
      </c>
      <c r="F209" s="1205">
        <v>0</v>
      </c>
      <c r="G209" s="1206" t="s">
        <v>76</v>
      </c>
    </row>
    <row r="210" spans="2:7">
      <c r="B210" s="1202" t="s">
        <v>1769</v>
      </c>
      <c r="C210" s="1202" t="s">
        <v>1770</v>
      </c>
      <c r="D210" s="1203">
        <v>7</v>
      </c>
      <c r="E210" s="1208">
        <v>7.8E-2</v>
      </c>
      <c r="F210" s="1204">
        <v>0</v>
      </c>
      <c r="G210" s="1206" t="s">
        <v>76</v>
      </c>
    </row>
    <row r="211" spans="2:7">
      <c r="B211" s="1202" t="s">
        <v>1769</v>
      </c>
      <c r="C211" s="1202" t="s">
        <v>1771</v>
      </c>
      <c r="D211" s="1203">
        <v>7</v>
      </c>
      <c r="E211" s="1208">
        <v>0.16700000000000001</v>
      </c>
      <c r="F211" s="1204">
        <v>0</v>
      </c>
      <c r="G211" s="1206" t="s">
        <v>76</v>
      </c>
    </row>
    <row r="212" spans="2:7">
      <c r="B212" s="1202" t="s">
        <v>1769</v>
      </c>
      <c r="C212" s="1202" t="s">
        <v>1772</v>
      </c>
      <c r="D212" s="1203">
        <v>7</v>
      </c>
      <c r="E212" s="1208">
        <v>0.314</v>
      </c>
      <c r="F212" s="1204">
        <v>0</v>
      </c>
      <c r="G212" s="1206" t="s">
        <v>76</v>
      </c>
    </row>
    <row r="213" spans="2:7">
      <c r="B213" s="1202" t="s">
        <v>1769</v>
      </c>
      <c r="C213" s="1202" t="s">
        <v>1773</v>
      </c>
      <c r="D213" s="1203">
        <v>7</v>
      </c>
      <c r="E213" s="1208">
        <v>0.312</v>
      </c>
      <c r="F213" s="1204">
        <v>0</v>
      </c>
      <c r="G213" s="1206" t="s">
        <v>76</v>
      </c>
    </row>
    <row r="214" spans="2:7">
      <c r="B214" s="1202" t="s">
        <v>1774</v>
      </c>
      <c r="C214" s="1202" t="s">
        <v>1775</v>
      </c>
      <c r="D214" s="1203">
        <v>10</v>
      </c>
      <c r="E214" s="1208">
        <v>6.8000000000000005E-2</v>
      </c>
      <c r="F214" s="1204">
        <v>0</v>
      </c>
      <c r="G214" s="1211" t="s">
        <v>76</v>
      </c>
    </row>
    <row r="215" spans="2:7">
      <c r="B215" s="1202" t="s">
        <v>1774</v>
      </c>
      <c r="C215" s="1202" t="s">
        <v>1776</v>
      </c>
      <c r="D215" s="1203">
        <v>10</v>
      </c>
      <c r="E215" s="1208">
        <v>0.17499999999999999</v>
      </c>
      <c r="F215" s="1204">
        <v>0</v>
      </c>
      <c r="G215" s="1211" t="s">
        <v>76</v>
      </c>
    </row>
    <row r="216" spans="2:7">
      <c r="B216" s="1202" t="s">
        <v>1774</v>
      </c>
      <c r="C216" s="1202" t="s">
        <v>1777</v>
      </c>
      <c r="D216" s="1203">
        <v>10</v>
      </c>
      <c r="E216" s="1208">
        <v>0.28100000000000003</v>
      </c>
      <c r="F216" s="1204">
        <v>0</v>
      </c>
      <c r="G216" s="1211" t="s">
        <v>76</v>
      </c>
    </row>
    <row r="217" spans="2:7">
      <c r="B217" s="1202" t="s">
        <v>1774</v>
      </c>
      <c r="C217" s="1202" t="s">
        <v>1778</v>
      </c>
      <c r="D217" s="1203">
        <v>10</v>
      </c>
      <c r="E217" s="1208">
        <v>0.36499999999999999</v>
      </c>
      <c r="F217" s="1204">
        <v>0</v>
      </c>
      <c r="G217" s="1211" t="s">
        <v>76</v>
      </c>
    </row>
    <row r="218" spans="2:7">
      <c r="B218" s="1202" t="s">
        <v>1779</v>
      </c>
      <c r="C218" s="1202" t="s">
        <v>1736</v>
      </c>
      <c r="D218" s="1203">
        <v>12</v>
      </c>
      <c r="E218" s="1208">
        <v>2.329666666666667E-2</v>
      </c>
      <c r="F218" s="1205">
        <v>0</v>
      </c>
      <c r="G218" s="1206" t="s">
        <v>76</v>
      </c>
    </row>
    <row r="219" spans="2:7">
      <c r="B219" s="1202" t="s">
        <v>1780</v>
      </c>
      <c r="C219" s="1202" t="s">
        <v>1781</v>
      </c>
      <c r="D219" s="1203">
        <v>15</v>
      </c>
      <c r="E219" s="1204">
        <v>0.21976190476190463</v>
      </c>
      <c r="F219" s="1205">
        <v>0</v>
      </c>
      <c r="G219" s="1206" t="s">
        <v>76</v>
      </c>
    </row>
    <row r="220" spans="2:7">
      <c r="B220" s="1202" t="s">
        <v>1780</v>
      </c>
      <c r="C220" s="1202" t="s">
        <v>1782</v>
      </c>
      <c r="D220" s="1203">
        <v>15</v>
      </c>
      <c r="E220" s="1204">
        <v>0.24729347556437592</v>
      </c>
      <c r="F220" s="1205">
        <v>0</v>
      </c>
      <c r="G220" s="1206" t="s">
        <v>76</v>
      </c>
    </row>
    <row r="221" spans="2:7">
      <c r="B221" s="1202" t="s">
        <v>1780</v>
      </c>
      <c r="C221" s="1202" t="s">
        <v>1783</v>
      </c>
      <c r="D221" s="1203">
        <v>15</v>
      </c>
      <c r="E221" s="1204">
        <v>0.65928571428571425</v>
      </c>
      <c r="F221" s="1205">
        <v>0</v>
      </c>
      <c r="G221" s="1206" t="s">
        <v>76</v>
      </c>
    </row>
    <row r="222" spans="2:7">
      <c r="B222" s="1202" t="s">
        <v>1780</v>
      </c>
      <c r="C222" s="1202" t="s">
        <v>1784</v>
      </c>
      <c r="D222" s="1203">
        <v>15</v>
      </c>
      <c r="E222" s="1204">
        <v>2.02032520325203</v>
      </c>
      <c r="F222" s="1205">
        <v>0</v>
      </c>
      <c r="G222" s="1206" t="s">
        <v>76</v>
      </c>
    </row>
    <row r="223" spans="2:7">
      <c r="B223" s="1202" t="s">
        <v>1711</v>
      </c>
      <c r="C223" s="1202" t="s">
        <v>1785</v>
      </c>
      <c r="D223" s="1203">
        <v>25</v>
      </c>
      <c r="E223" s="1204">
        <v>3.8043753963221314</v>
      </c>
      <c r="F223" s="1204">
        <v>0</v>
      </c>
      <c r="G223" s="1206" t="s">
        <v>76</v>
      </c>
    </row>
    <row r="224" spans="2:7">
      <c r="B224" s="1202" t="s">
        <v>1711</v>
      </c>
      <c r="C224" s="1202" t="s">
        <v>1786</v>
      </c>
      <c r="D224" s="1203">
        <v>25</v>
      </c>
      <c r="E224" s="1204">
        <v>3.8043753963221314</v>
      </c>
      <c r="F224" s="1204">
        <v>0</v>
      </c>
      <c r="G224" s="1206" t="s">
        <v>76</v>
      </c>
    </row>
    <row r="225" spans="2:7">
      <c r="B225" s="1202" t="s">
        <v>1787</v>
      </c>
      <c r="C225" s="1202" t="s">
        <v>1788</v>
      </c>
      <c r="D225" s="1203">
        <v>8</v>
      </c>
      <c r="E225" s="1204">
        <v>2.5854341736694663E-2</v>
      </c>
      <c r="F225" s="1205">
        <v>0</v>
      </c>
      <c r="G225" s="1206" t="s">
        <v>76</v>
      </c>
    </row>
    <row r="226" spans="2:7">
      <c r="B226" s="1202" t="s">
        <v>1787</v>
      </c>
      <c r="C226" s="1202" t="s">
        <v>1789</v>
      </c>
      <c r="D226" s="1203">
        <v>8</v>
      </c>
      <c r="E226" s="1204">
        <v>4.8603817742997123E-2</v>
      </c>
      <c r="F226" s="1205">
        <v>0</v>
      </c>
      <c r="G226" s="1206" t="s">
        <v>76</v>
      </c>
    </row>
    <row r="227" spans="2:7">
      <c r="B227" s="1202" t="s">
        <v>1787</v>
      </c>
      <c r="C227" s="1202" t="s">
        <v>1790</v>
      </c>
      <c r="D227" s="1203">
        <v>8</v>
      </c>
      <c r="E227" s="1204">
        <v>5.8264469585178058E-2</v>
      </c>
      <c r="F227" s="1205">
        <v>0</v>
      </c>
      <c r="G227" s="1206" t="s">
        <v>76</v>
      </c>
    </row>
    <row r="228" spans="2:7">
      <c r="B228" s="1202" t="s">
        <v>1787</v>
      </c>
      <c r="C228" s="1202" t="s">
        <v>1791</v>
      </c>
      <c r="D228" s="1203">
        <v>8</v>
      </c>
      <c r="E228" s="1204">
        <v>6.6617932821319462E-2</v>
      </c>
      <c r="F228" s="1205">
        <v>0</v>
      </c>
      <c r="G228" s="1206" t="s">
        <v>76</v>
      </c>
    </row>
    <row r="229" spans="2:7">
      <c r="B229" s="1202" t="s">
        <v>1787</v>
      </c>
      <c r="C229" s="1202" t="s">
        <v>1792</v>
      </c>
      <c r="D229" s="1203">
        <v>8</v>
      </c>
      <c r="E229" s="1204">
        <v>7.607142857142854E-2</v>
      </c>
      <c r="F229" s="1205">
        <v>0</v>
      </c>
      <c r="G229" s="1206" t="s">
        <v>76</v>
      </c>
    </row>
    <row r="230" spans="2:7">
      <c r="B230" s="1202" t="s">
        <v>1793</v>
      </c>
      <c r="C230" s="1202" t="s">
        <v>1794</v>
      </c>
      <c r="D230" s="1203">
        <v>8</v>
      </c>
      <c r="E230" s="1204">
        <v>2.5854341736694663E-2</v>
      </c>
      <c r="F230" s="1205">
        <v>0</v>
      </c>
      <c r="G230" s="1206" t="s">
        <v>76</v>
      </c>
    </row>
    <row r="231" spans="2:7">
      <c r="B231" s="1202" t="s">
        <v>1793</v>
      </c>
      <c r="C231" s="1202" t="s">
        <v>1795</v>
      </c>
      <c r="D231" s="1203">
        <v>8</v>
      </c>
      <c r="E231" s="1204">
        <v>4.8603817742997123E-2</v>
      </c>
      <c r="F231" s="1205">
        <v>0</v>
      </c>
      <c r="G231" s="1206" t="s">
        <v>76</v>
      </c>
    </row>
    <row r="232" spans="2:7">
      <c r="B232" s="1202" t="s">
        <v>1793</v>
      </c>
      <c r="C232" s="1202" t="s">
        <v>1796</v>
      </c>
      <c r="D232" s="1203">
        <v>8</v>
      </c>
      <c r="E232" s="1204">
        <v>5.8264469585178058E-2</v>
      </c>
      <c r="F232" s="1205">
        <v>0</v>
      </c>
      <c r="G232" s="1206" t="s">
        <v>76</v>
      </c>
    </row>
    <row r="233" spans="2:7">
      <c r="B233" s="1202" t="s">
        <v>1793</v>
      </c>
      <c r="C233" s="1202" t="s">
        <v>1797</v>
      </c>
      <c r="D233" s="1203">
        <v>8</v>
      </c>
      <c r="E233" s="1204">
        <v>6.6617932821319462E-2</v>
      </c>
      <c r="F233" s="1205">
        <v>0</v>
      </c>
      <c r="G233" s="1206" t="s">
        <v>76</v>
      </c>
    </row>
    <row r="234" spans="2:7">
      <c r="B234" s="1202" t="s">
        <v>1793</v>
      </c>
      <c r="C234" s="1202" t="s">
        <v>1798</v>
      </c>
      <c r="D234" s="1203">
        <v>8</v>
      </c>
      <c r="E234" s="1204">
        <v>7.607142857142854E-2</v>
      </c>
      <c r="F234" s="1205">
        <v>0</v>
      </c>
      <c r="G234" s="1206" t="s">
        <v>76</v>
      </c>
    </row>
    <row r="235" spans="2:7">
      <c r="B235" s="1202" t="s">
        <v>1799</v>
      </c>
      <c r="C235" s="1202" t="s">
        <v>1800</v>
      </c>
      <c r="D235" s="1203">
        <v>15</v>
      </c>
      <c r="E235" s="1204">
        <v>0.56800000000000039</v>
      </c>
      <c r="F235" s="1205">
        <v>0</v>
      </c>
      <c r="G235" s="1206" t="s">
        <v>76</v>
      </c>
    </row>
    <row r="236" spans="2:7">
      <c r="B236" s="1202" t="s">
        <v>1799</v>
      </c>
      <c r="C236" s="1202" t="s">
        <v>1801</v>
      </c>
      <c r="D236" s="1203">
        <v>15</v>
      </c>
      <c r="E236" s="1204">
        <v>0.79979611341191492</v>
      </c>
      <c r="F236" s="1205">
        <v>0</v>
      </c>
      <c r="G236" s="1206" t="s">
        <v>76</v>
      </c>
    </row>
    <row r="237" spans="2:7">
      <c r="B237" s="1202" t="s">
        <v>1799</v>
      </c>
      <c r="C237" s="1202" t="s">
        <v>1802</v>
      </c>
      <c r="D237" s="1203">
        <v>15</v>
      </c>
      <c r="E237" s="1204">
        <v>1.4240571428571438</v>
      </c>
      <c r="F237" s="1205">
        <v>0</v>
      </c>
      <c r="G237" s="1206" t="s">
        <v>76</v>
      </c>
    </row>
    <row r="238" spans="2:7">
      <c r="B238" s="1202" t="s">
        <v>1799</v>
      </c>
      <c r="C238" s="1202" t="s">
        <v>1803</v>
      </c>
      <c r="D238" s="1203">
        <v>15</v>
      </c>
      <c r="E238" s="1205">
        <v>4.3732561200315887</v>
      </c>
      <c r="F238" s="1205">
        <v>0</v>
      </c>
      <c r="G238" s="1206" t="s">
        <v>76</v>
      </c>
    </row>
    <row r="239" spans="2:7">
      <c r="B239" s="1202" t="s">
        <v>1804</v>
      </c>
      <c r="C239" s="1202" t="s">
        <v>1805</v>
      </c>
      <c r="D239" s="1203">
        <v>15</v>
      </c>
      <c r="E239" s="1204">
        <v>0.26371428571428557</v>
      </c>
      <c r="F239" s="1205">
        <v>0</v>
      </c>
      <c r="G239" s="1206" t="s">
        <v>76</v>
      </c>
    </row>
    <row r="240" spans="2:7">
      <c r="B240" s="1202" t="s">
        <v>1806</v>
      </c>
      <c r="C240" s="1202" t="s">
        <v>1807</v>
      </c>
      <c r="D240" s="1203">
        <v>15</v>
      </c>
      <c r="E240" s="1204">
        <v>0.29523043119157488</v>
      </c>
      <c r="F240" s="1204">
        <v>0</v>
      </c>
      <c r="G240" s="1206" t="s">
        <v>76</v>
      </c>
    </row>
    <row r="241" spans="2:7">
      <c r="B241" s="1202" t="s">
        <v>1808</v>
      </c>
      <c r="C241" s="1202" t="s">
        <v>1809</v>
      </c>
      <c r="D241" s="1203">
        <v>13</v>
      </c>
      <c r="E241" s="1204">
        <v>3.1472933503999996E-2</v>
      </c>
      <c r="F241" s="1204">
        <v>-5.5386261421319794E-3</v>
      </c>
      <c r="G241" s="1206" t="s">
        <v>76</v>
      </c>
    </row>
    <row r="242" spans="2:7">
      <c r="B242" s="1202" t="s">
        <v>1810</v>
      </c>
      <c r="C242" s="1202" t="s">
        <v>1811</v>
      </c>
      <c r="D242" s="1203">
        <v>13</v>
      </c>
      <c r="E242" s="1204">
        <v>4.1335024383999996E-2</v>
      </c>
      <c r="F242" s="1204">
        <v>-7.2741629441624364E-3</v>
      </c>
      <c r="G242" s="1206" t="s">
        <v>76</v>
      </c>
    </row>
    <row r="243" spans="2:7">
      <c r="B243" s="1202" t="s">
        <v>1810</v>
      </c>
      <c r="C243" s="1202" t="s">
        <v>1812</v>
      </c>
      <c r="D243" s="1203">
        <v>13</v>
      </c>
      <c r="E243" s="1204">
        <v>8.0611873279999979E-3</v>
      </c>
      <c r="F243" s="1204">
        <v>-1.4186126903553296E-3</v>
      </c>
      <c r="G243" s="1206" t="s">
        <v>76</v>
      </c>
    </row>
    <row r="244" spans="2:7">
      <c r="B244" s="1202" t="s">
        <v>1813</v>
      </c>
      <c r="C244" s="1202" t="s">
        <v>1814</v>
      </c>
      <c r="D244" s="1203">
        <v>13</v>
      </c>
      <c r="E244" s="1204">
        <v>6.9034636159999996E-2</v>
      </c>
      <c r="F244" s="1204">
        <v>-1.2148757614213199E-2</v>
      </c>
      <c r="G244" s="1212" t="s">
        <v>76</v>
      </c>
    </row>
    <row r="245" spans="2:7">
      <c r="B245" s="1202" t="s">
        <v>1813</v>
      </c>
      <c r="C245" s="1202" t="s">
        <v>1815</v>
      </c>
      <c r="D245" s="1203">
        <v>13</v>
      </c>
      <c r="E245" s="1204">
        <v>6.9034636159999996E-2</v>
      </c>
      <c r="F245" s="1204">
        <v>-1.2148757614213199E-2</v>
      </c>
      <c r="G245" s="1212" t="s">
        <v>76</v>
      </c>
    </row>
    <row r="246" spans="2:7">
      <c r="B246" s="1202" t="s">
        <v>1813</v>
      </c>
      <c r="C246" s="1202" t="s">
        <v>1816</v>
      </c>
      <c r="D246" s="1203">
        <v>13</v>
      </c>
      <c r="E246" s="1204">
        <v>2.4012047360000004E-2</v>
      </c>
      <c r="F246" s="1204">
        <v>-4.2256548223350262E-3</v>
      </c>
      <c r="G246" s="1212" t="s">
        <v>76</v>
      </c>
    </row>
    <row r="247" spans="2:7">
      <c r="B247" s="1202" t="s">
        <v>1813</v>
      </c>
      <c r="C247" s="1202" t="s">
        <v>1817</v>
      </c>
      <c r="D247" s="1203">
        <v>13</v>
      </c>
      <c r="E247" s="1204">
        <v>3.1515812160000004E-2</v>
      </c>
      <c r="F247" s="1204">
        <v>-5.5461719543147209E-3</v>
      </c>
      <c r="G247" s="1212" t="s">
        <v>76</v>
      </c>
    </row>
    <row r="248" spans="2:7">
      <c r="B248" s="1202" t="s">
        <v>1813</v>
      </c>
      <c r="C248" s="1202" t="s">
        <v>1818</v>
      </c>
      <c r="D248" s="1203">
        <v>13</v>
      </c>
      <c r="E248" s="1204">
        <v>4.4228136882129281E-2</v>
      </c>
      <c r="F248" s="1205">
        <v>0</v>
      </c>
      <c r="G248" s="1212" t="s">
        <v>76</v>
      </c>
    </row>
    <row r="249" spans="2:7">
      <c r="B249" s="1202" t="s">
        <v>1819</v>
      </c>
      <c r="C249" s="1202" t="s">
        <v>1820</v>
      </c>
      <c r="D249" s="1203">
        <v>13</v>
      </c>
      <c r="E249" s="1204">
        <v>5.2311960319999995E-3</v>
      </c>
      <c r="F249" s="1204">
        <v>-9.2058908629441614E-4</v>
      </c>
      <c r="G249" s="1206" t="s">
        <v>76</v>
      </c>
    </row>
    <row r="250" spans="2:7">
      <c r="B250" s="1202" t="s">
        <v>1819</v>
      </c>
      <c r="C250" s="1202" t="s">
        <v>1821</v>
      </c>
      <c r="D250" s="1203">
        <v>13</v>
      </c>
      <c r="E250" s="1204">
        <v>1.0633906687999998E-2</v>
      </c>
      <c r="F250" s="1204">
        <v>-1.8713614213197965E-3</v>
      </c>
      <c r="G250" s="1206" t="s">
        <v>76</v>
      </c>
    </row>
    <row r="251" spans="2:7">
      <c r="B251" s="1202" t="s">
        <v>1819</v>
      </c>
      <c r="C251" s="1202" t="s">
        <v>1822</v>
      </c>
      <c r="D251" s="1203">
        <v>13</v>
      </c>
      <c r="E251" s="1204">
        <v>1.6379646592000002E-2</v>
      </c>
      <c r="F251" s="1204">
        <v>-2.8825002538071074E-3</v>
      </c>
      <c r="G251" s="1206" t="s">
        <v>76</v>
      </c>
    </row>
    <row r="252" spans="2:7">
      <c r="B252" s="1202" t="s">
        <v>1823</v>
      </c>
      <c r="C252" s="1202" t="s">
        <v>1824</v>
      </c>
      <c r="D252" s="1203">
        <v>13</v>
      </c>
      <c r="E252" s="1204">
        <v>2.71764921728E-2</v>
      </c>
      <c r="F252" s="1204">
        <v>-4.7825357614213193E-3</v>
      </c>
      <c r="G252" s="1206" t="s">
        <v>76</v>
      </c>
    </row>
    <row r="253" spans="2:7">
      <c r="B253" s="1202" t="s">
        <v>1823</v>
      </c>
      <c r="C253" s="1202" t="s">
        <v>1825</v>
      </c>
      <c r="D253" s="1203">
        <v>13</v>
      </c>
      <c r="E253" s="1204">
        <v>4.0991995135999992E-2</v>
      </c>
      <c r="F253" s="1204">
        <v>-7.2137964467005071E-3</v>
      </c>
      <c r="G253" s="1206" t="s">
        <v>76</v>
      </c>
    </row>
    <row r="254" spans="2:7">
      <c r="B254" s="1202" t="s">
        <v>1823</v>
      </c>
      <c r="C254" s="1202" t="s">
        <v>1826</v>
      </c>
      <c r="D254" s="1203">
        <v>13</v>
      </c>
      <c r="E254" s="1204">
        <v>2.0401664524800002E-2</v>
      </c>
      <c r="F254" s="1204">
        <v>-3.5902974365482243E-3</v>
      </c>
      <c r="G254" s="1206" t="s">
        <v>76</v>
      </c>
    </row>
    <row r="255" spans="2:7">
      <c r="B255" s="1202" t="s">
        <v>1823</v>
      </c>
      <c r="C255" s="1202" t="s">
        <v>1827</v>
      </c>
      <c r="D255" s="1203">
        <v>13</v>
      </c>
      <c r="E255" s="1204">
        <v>3.4045652864000006E-2</v>
      </c>
      <c r="F255" s="1204">
        <v>-5.9913748730964474E-3</v>
      </c>
      <c r="G255" s="1206" t="s">
        <v>76</v>
      </c>
    </row>
    <row r="256" spans="2:7">
      <c r="B256" s="1202" t="s">
        <v>1823</v>
      </c>
      <c r="C256" s="1202" t="s">
        <v>1828</v>
      </c>
      <c r="D256" s="1203">
        <v>13</v>
      </c>
      <c r="E256" s="1204">
        <v>4.7509550847999987E-2</v>
      </c>
      <c r="F256" s="1204">
        <v>-8.3607598984771561E-3</v>
      </c>
      <c r="G256" s="1206" t="s">
        <v>76</v>
      </c>
    </row>
    <row r="257" spans="2:7">
      <c r="B257" s="1202" t="s">
        <v>1823</v>
      </c>
      <c r="C257" s="1202" t="s">
        <v>1829</v>
      </c>
      <c r="D257" s="1203">
        <v>13</v>
      </c>
      <c r="E257" s="1204">
        <v>6.3031624319999976E-3</v>
      </c>
      <c r="F257" s="1204">
        <v>-1.1092343908629437E-3</v>
      </c>
      <c r="G257" s="1206" t="s">
        <v>76</v>
      </c>
    </row>
    <row r="258" spans="2:7">
      <c r="B258" s="1202" t="s">
        <v>1823</v>
      </c>
      <c r="C258" s="1202" t="s">
        <v>1830</v>
      </c>
      <c r="D258" s="1203">
        <v>13</v>
      </c>
      <c r="E258" s="1204">
        <v>2.0058635276800001E-2</v>
      </c>
      <c r="F258" s="1204">
        <v>-3.5299309390862945E-3</v>
      </c>
      <c r="G258" s="1206" t="s">
        <v>76</v>
      </c>
    </row>
    <row r="259" spans="2:7">
      <c r="B259" s="1202" t="s">
        <v>1823</v>
      </c>
      <c r="C259" s="1202" t="s">
        <v>1831</v>
      </c>
      <c r="D259" s="1203">
        <v>13</v>
      </c>
      <c r="E259" s="1204">
        <v>3.5332012544000001E-2</v>
      </c>
      <c r="F259" s="1204">
        <v>-6.217749238578681E-3</v>
      </c>
      <c r="G259" s="1206" t="s">
        <v>76</v>
      </c>
    </row>
    <row r="260" spans="2:7">
      <c r="B260" s="1202" t="s">
        <v>1832</v>
      </c>
      <c r="C260" s="1202" t="s">
        <v>1833</v>
      </c>
      <c r="D260" s="1203">
        <v>13</v>
      </c>
      <c r="E260" s="1204">
        <v>8.2755806079999987E-3</v>
      </c>
      <c r="F260" s="1204">
        <v>-1.4563417512690354E-3</v>
      </c>
      <c r="G260" s="1206" t="s">
        <v>76</v>
      </c>
    </row>
    <row r="261" spans="2:7">
      <c r="B261" s="1202" t="s">
        <v>1832</v>
      </c>
      <c r="C261" s="1202" t="s">
        <v>1834</v>
      </c>
      <c r="D261" s="1203">
        <v>13</v>
      </c>
      <c r="E261" s="1204">
        <v>2.14307522688E-2</v>
      </c>
      <c r="F261" s="1204">
        <v>-3.7713969289340102E-3</v>
      </c>
      <c r="G261" s="1206" t="s">
        <v>76</v>
      </c>
    </row>
    <row r="262" spans="2:7">
      <c r="B262" s="1202" t="s">
        <v>1832</v>
      </c>
      <c r="C262" s="1202" t="s">
        <v>1835</v>
      </c>
      <c r="D262" s="1203">
        <v>13</v>
      </c>
      <c r="E262" s="1204">
        <v>3.5160497919999999E-2</v>
      </c>
      <c r="F262" s="1204">
        <v>-6.1875659898477159E-3</v>
      </c>
      <c r="G262" s="1206" t="s">
        <v>76</v>
      </c>
    </row>
    <row r="263" spans="2:7">
      <c r="B263" s="1202" t="s">
        <v>1832</v>
      </c>
      <c r="C263" s="1202" t="s">
        <v>1836</v>
      </c>
      <c r="D263" s="1203">
        <v>13</v>
      </c>
      <c r="E263" s="1204">
        <v>5.4627407744000003E-2</v>
      </c>
      <c r="F263" s="1204">
        <v>-9.6133647208121835E-3</v>
      </c>
      <c r="G263" s="1206" t="s">
        <v>76</v>
      </c>
    </row>
    <row r="264" spans="2:7">
      <c r="B264" s="1202" t="s">
        <v>1832</v>
      </c>
      <c r="C264" s="1202" t="s">
        <v>1837</v>
      </c>
      <c r="D264" s="1203">
        <v>13</v>
      </c>
      <c r="E264" s="1204">
        <v>8.3356107264000015E-2</v>
      </c>
      <c r="F264" s="1204">
        <v>-1.4669058883248732E-2</v>
      </c>
      <c r="G264" s="1206" t="s">
        <v>76</v>
      </c>
    </row>
    <row r="265" spans="2:7">
      <c r="B265" s="1202" t="s">
        <v>1838</v>
      </c>
      <c r="C265" s="1202" t="s">
        <v>1839</v>
      </c>
      <c r="D265" s="1203">
        <v>13</v>
      </c>
      <c r="E265" s="1204">
        <v>8.1812475647999996E-2</v>
      </c>
      <c r="F265" s="1204">
        <v>-1.4397409644670053E-2</v>
      </c>
      <c r="G265" s="1206" t="s">
        <v>76</v>
      </c>
    </row>
    <row r="266" spans="2:7">
      <c r="B266" s="1202" t="s">
        <v>1840</v>
      </c>
      <c r="C266" s="1202" t="s">
        <v>1841</v>
      </c>
      <c r="D266" s="1203">
        <v>13</v>
      </c>
      <c r="E266" s="1204">
        <v>8.2755806079999994E-2</v>
      </c>
      <c r="F266" s="1204">
        <v>-1.4563417512690356E-2</v>
      </c>
      <c r="G266" s="1206" t="s">
        <v>76</v>
      </c>
    </row>
    <row r="267" spans="2:7">
      <c r="B267" s="1202" t="s">
        <v>1840</v>
      </c>
      <c r="C267" s="1202" t="s">
        <v>1842</v>
      </c>
      <c r="D267" s="1203">
        <v>13</v>
      </c>
      <c r="E267" s="1204">
        <v>0.13189474585600003</v>
      </c>
      <c r="F267" s="1204">
        <v>-2.3210918274111678E-2</v>
      </c>
      <c r="G267" s="1206" t="s">
        <v>76</v>
      </c>
    </row>
    <row r="268" spans="2:7">
      <c r="B268" s="1202" t="s">
        <v>1840</v>
      </c>
      <c r="C268" s="1202" t="s">
        <v>1843</v>
      </c>
      <c r="D268" s="1203">
        <v>13</v>
      </c>
      <c r="E268" s="1204">
        <v>0.16997099238399999</v>
      </c>
      <c r="F268" s="1204">
        <v>-2.9911599492385782E-2</v>
      </c>
      <c r="G268" s="1206" t="s">
        <v>76</v>
      </c>
    </row>
    <row r="269" spans="2:7">
      <c r="B269" s="1202" t="s">
        <v>1753</v>
      </c>
      <c r="C269" s="1202" t="s">
        <v>1754</v>
      </c>
      <c r="D269" s="1203">
        <v>13</v>
      </c>
      <c r="E269" s="1204">
        <v>6.8177063039999999E-2</v>
      </c>
      <c r="F269" s="1204">
        <v>-1.1997841370558376E-2</v>
      </c>
      <c r="G269" s="1206" t="s">
        <v>76</v>
      </c>
    </row>
    <row r="270" spans="2:7">
      <c r="B270" s="1202" t="s">
        <v>1753</v>
      </c>
      <c r="C270" s="1202" t="s">
        <v>1844</v>
      </c>
      <c r="D270" s="1203">
        <v>13</v>
      </c>
      <c r="E270" s="1204">
        <v>0.11294237990399998</v>
      </c>
      <c r="F270" s="1204">
        <v>-1.9875669289340099E-2</v>
      </c>
      <c r="G270" s="1206" t="s">
        <v>76</v>
      </c>
    </row>
    <row r="271" spans="2:7">
      <c r="B271" s="1202" t="s">
        <v>1753</v>
      </c>
      <c r="C271" s="1202" t="s">
        <v>1841</v>
      </c>
      <c r="D271" s="1203">
        <v>13</v>
      </c>
      <c r="E271" s="1204">
        <v>0.150332567936</v>
      </c>
      <c r="F271" s="1204">
        <v>-2.6455617512690356E-2</v>
      </c>
      <c r="G271" s="1206" t="s">
        <v>76</v>
      </c>
    </row>
    <row r="272" spans="2:7">
      <c r="B272" s="1202" t="s">
        <v>1753</v>
      </c>
      <c r="C272" s="1202" t="s">
        <v>1757</v>
      </c>
      <c r="D272" s="1203">
        <v>13</v>
      </c>
      <c r="E272" s="1204">
        <v>0.23205928627199998</v>
      </c>
      <c r="F272" s="1204">
        <v>-4.0837935532994925E-2</v>
      </c>
      <c r="G272" s="1206" t="s">
        <v>76</v>
      </c>
    </row>
    <row r="273" spans="2:7">
      <c r="B273" s="1202" t="s">
        <v>1845</v>
      </c>
      <c r="C273" s="1202" t="s">
        <v>1846</v>
      </c>
      <c r="D273" s="1203">
        <v>8</v>
      </c>
      <c r="E273" s="1204">
        <v>0.16840857859913302</v>
      </c>
      <c r="F273" s="1205">
        <v>0</v>
      </c>
      <c r="G273" s="1206" t="s">
        <v>76</v>
      </c>
    </row>
    <row r="274" spans="2:7">
      <c r="B274" s="1202" t="s">
        <v>1847</v>
      </c>
      <c r="C274" s="1202" t="s">
        <v>1848</v>
      </c>
      <c r="D274" s="1203">
        <v>10</v>
      </c>
      <c r="E274" s="1204">
        <v>0.19674532023952099</v>
      </c>
      <c r="F274" s="1204">
        <v>0.6452628911010001</v>
      </c>
      <c r="G274" s="1206" t="s">
        <v>76</v>
      </c>
    </row>
    <row r="275" spans="2:7">
      <c r="B275" s="1202" t="s">
        <v>1847</v>
      </c>
      <c r="C275" s="1202" t="s">
        <v>1849</v>
      </c>
      <c r="D275" s="1203">
        <v>10</v>
      </c>
      <c r="E275" s="1205">
        <v>0.19674532023952099</v>
      </c>
      <c r="F275" s="1205">
        <v>0.41942087921565008</v>
      </c>
      <c r="G275" s="1206" t="s">
        <v>76</v>
      </c>
    </row>
    <row r="276" spans="2:7">
      <c r="B276" s="1202" t="s">
        <v>1737</v>
      </c>
      <c r="C276" s="1202" t="s">
        <v>1850</v>
      </c>
      <c r="D276" s="1203">
        <v>7</v>
      </c>
      <c r="E276" s="1204">
        <v>6.398541169869547E-3</v>
      </c>
      <c r="F276" s="1205">
        <v>0</v>
      </c>
      <c r="G276" s="1206" t="s">
        <v>76</v>
      </c>
    </row>
    <row r="277" spans="2:7">
      <c r="B277" s="1202" t="s">
        <v>1851</v>
      </c>
      <c r="C277" s="1202" t="s">
        <v>1852</v>
      </c>
      <c r="D277" s="1203">
        <v>3</v>
      </c>
      <c r="E277" s="1204">
        <v>0.15841176470588231</v>
      </c>
      <c r="F277" s="1205">
        <v>0</v>
      </c>
      <c r="G277" s="1206" t="s">
        <v>76</v>
      </c>
    </row>
    <row r="278" spans="2:7">
      <c r="B278" s="1202" t="s">
        <v>1851</v>
      </c>
      <c r="C278" s="1202" t="s">
        <v>1853</v>
      </c>
      <c r="D278" s="1203">
        <v>3</v>
      </c>
      <c r="E278" s="1204">
        <v>0.10781052631578958</v>
      </c>
      <c r="F278" s="1205">
        <v>0</v>
      </c>
      <c r="G278" s="1206" t="s">
        <v>76</v>
      </c>
    </row>
    <row r="279" spans="2:7">
      <c r="B279" s="1202" t="s">
        <v>1851</v>
      </c>
      <c r="C279" s="1202" t="s">
        <v>1854</v>
      </c>
      <c r="D279" s="1203">
        <v>3</v>
      </c>
      <c r="E279" s="1204">
        <v>0.16850000000000001</v>
      </c>
      <c r="F279" s="1205">
        <v>0</v>
      </c>
      <c r="G279" s="1206" t="s">
        <v>76</v>
      </c>
    </row>
    <row r="280" spans="2:7">
      <c r="B280" s="1202" t="s">
        <v>1851</v>
      </c>
      <c r="C280" s="1202" t="s">
        <v>1855</v>
      </c>
      <c r="D280" s="1203">
        <v>3</v>
      </c>
      <c r="E280" s="1204">
        <v>7.1693181818181815</v>
      </c>
      <c r="F280" s="1205">
        <v>0</v>
      </c>
      <c r="G280" s="1206" t="s">
        <v>76</v>
      </c>
    </row>
    <row r="281" spans="2:7">
      <c r="B281" s="1202" t="s">
        <v>1856</v>
      </c>
      <c r="C281" s="1202" t="s">
        <v>1857</v>
      </c>
      <c r="D281" s="1203">
        <v>3</v>
      </c>
      <c r="E281" s="1213">
        <v>0.12535477178423177</v>
      </c>
      <c r="F281" s="1205">
        <v>0</v>
      </c>
      <c r="G281" s="1206" t="s">
        <v>76</v>
      </c>
    </row>
    <row r="282" spans="2:7">
      <c r="B282" s="1202" t="s">
        <v>1858</v>
      </c>
      <c r="C282" s="1202" t="s">
        <v>1859</v>
      </c>
      <c r="D282" s="1203">
        <v>3</v>
      </c>
      <c r="E282" s="1214">
        <v>0.11069565217391306</v>
      </c>
      <c r="F282" s="1205">
        <v>0</v>
      </c>
      <c r="G282" s="1206" t="s">
        <v>76</v>
      </c>
    </row>
    <row r="283" spans="2:7">
      <c r="B283" s="1202" t="s">
        <v>1860</v>
      </c>
      <c r="C283" s="1202" t="s">
        <v>1861</v>
      </c>
      <c r="D283" s="1209">
        <v>10</v>
      </c>
      <c r="E283" s="1204">
        <v>6.8367704280155657</v>
      </c>
      <c r="F283" s="1204">
        <v>0</v>
      </c>
      <c r="G283" s="1212" t="s">
        <v>1862</v>
      </c>
    </row>
    <row r="284" spans="2:7">
      <c r="B284" s="1202" t="s">
        <v>1863</v>
      </c>
      <c r="C284" s="1202" t="s">
        <v>1864</v>
      </c>
      <c r="D284" s="1209">
        <v>10</v>
      </c>
      <c r="E284" s="1204">
        <v>8.9495853658536593</v>
      </c>
      <c r="F284" s="1204">
        <v>0</v>
      </c>
      <c r="G284" s="1212" t="s">
        <v>1862</v>
      </c>
    </row>
    <row r="285" spans="2:7">
      <c r="B285" s="1202" t="s">
        <v>1865</v>
      </c>
      <c r="C285" s="1202" t="s">
        <v>1865</v>
      </c>
      <c r="D285" s="1203">
        <v>7</v>
      </c>
      <c r="E285" s="1205">
        <v>105.05833333333332</v>
      </c>
      <c r="F285" s="1205">
        <v>0</v>
      </c>
      <c r="G285" s="1212" t="s">
        <v>1862</v>
      </c>
    </row>
    <row r="286" spans="2:7">
      <c r="B286" s="1202" t="s">
        <v>1866</v>
      </c>
      <c r="C286" s="1202" t="s">
        <v>1867</v>
      </c>
      <c r="D286" s="1203">
        <v>15</v>
      </c>
      <c r="E286" s="1204">
        <v>35.295924857801587</v>
      </c>
      <c r="F286" s="1204">
        <v>0</v>
      </c>
      <c r="G286" s="1212" t="s">
        <v>1862</v>
      </c>
    </row>
    <row r="287" spans="2:7">
      <c r="B287" s="1202" t="s">
        <v>1868</v>
      </c>
      <c r="C287" s="1202" t="s">
        <v>1868</v>
      </c>
      <c r="D287" s="1203">
        <v>15</v>
      </c>
      <c r="E287" s="1204">
        <v>152.38999999999999</v>
      </c>
      <c r="F287" s="1204">
        <v>0</v>
      </c>
      <c r="G287" s="1211" t="s">
        <v>1862</v>
      </c>
    </row>
    <row r="288" spans="2:7">
      <c r="B288" s="1202" t="s">
        <v>1869</v>
      </c>
      <c r="C288" s="1202" t="s">
        <v>1869</v>
      </c>
      <c r="D288" s="1203">
        <v>15</v>
      </c>
      <c r="E288" s="1204">
        <v>16.774937389770727</v>
      </c>
      <c r="F288" s="1204">
        <v>0</v>
      </c>
      <c r="G288" s="1211" t="s">
        <v>1862</v>
      </c>
    </row>
    <row r="289" spans="1:7">
      <c r="B289" s="1202" t="s">
        <v>1870</v>
      </c>
      <c r="C289" s="1202" t="s">
        <v>1870</v>
      </c>
      <c r="D289" s="1203">
        <v>15</v>
      </c>
      <c r="E289" s="1204">
        <v>108.98387061498173</v>
      </c>
      <c r="F289" s="1204">
        <v>0</v>
      </c>
      <c r="G289" s="1211" t="s">
        <v>1862</v>
      </c>
    </row>
    <row r="290" spans="1:7">
      <c r="B290" s="1202" t="s">
        <v>1871</v>
      </c>
      <c r="C290" s="1202" t="s">
        <v>1871</v>
      </c>
      <c r="D290" s="1203">
        <v>15</v>
      </c>
      <c r="E290" s="1204">
        <v>83.096560846560848</v>
      </c>
      <c r="F290" s="1204">
        <v>0</v>
      </c>
      <c r="G290" s="1211" t="s">
        <v>1862</v>
      </c>
    </row>
    <row r="291" spans="1:7">
      <c r="B291" s="1202" t="s">
        <v>1737</v>
      </c>
      <c r="C291" s="1202" t="s">
        <v>1850</v>
      </c>
      <c r="D291" s="1203">
        <v>7</v>
      </c>
      <c r="E291" s="1204">
        <v>6.398541169869547E-3</v>
      </c>
      <c r="F291" s="1205">
        <v>0</v>
      </c>
      <c r="G291" s="1206" t="s">
        <v>76</v>
      </c>
    </row>
    <row r="292" spans="1:7">
      <c r="B292" s="1202" t="s">
        <v>1723</v>
      </c>
      <c r="C292" s="1202" t="s">
        <v>1724</v>
      </c>
      <c r="D292" s="1203">
        <v>17</v>
      </c>
      <c r="E292" s="1205">
        <v>0.1</v>
      </c>
      <c r="F292" s="1205">
        <v>0</v>
      </c>
      <c r="G292" s="1206" t="s">
        <v>76</v>
      </c>
    </row>
    <row r="293" spans="1:7">
      <c r="B293" s="1202" t="s">
        <v>1725</v>
      </c>
      <c r="C293" s="1202" t="s">
        <v>1724</v>
      </c>
      <c r="D293" s="1203">
        <v>12</v>
      </c>
      <c r="E293" s="1205">
        <v>5.5999999999999994E-2</v>
      </c>
      <c r="F293" s="1205">
        <v>0</v>
      </c>
      <c r="G293" s="1206" t="s">
        <v>76</v>
      </c>
    </row>
    <row r="294" spans="1:7">
      <c r="B294" s="1202" t="s">
        <v>1726</v>
      </c>
      <c r="C294" s="1202" t="s">
        <v>1724</v>
      </c>
      <c r="D294" s="1203">
        <v>20</v>
      </c>
      <c r="E294" s="1205">
        <v>7.2126220886551459E-3</v>
      </c>
      <c r="F294" s="1205">
        <v>6.1607813673929375E-2</v>
      </c>
      <c r="G294" s="1212" t="s">
        <v>1727</v>
      </c>
    </row>
    <row r="295" spans="1:7">
      <c r="B295" s="1202" t="s">
        <v>1728</v>
      </c>
      <c r="C295" s="1202" t="s">
        <v>1724</v>
      </c>
      <c r="D295" s="1203">
        <v>20</v>
      </c>
      <c r="E295" s="1205">
        <v>9.8163452708907251E-2</v>
      </c>
      <c r="F295" s="1205">
        <v>0.49586776859504134</v>
      </c>
      <c r="G295" s="1212" t="s">
        <v>1727</v>
      </c>
    </row>
    <row r="296" spans="1:7">
      <c r="B296" s="1202" t="s">
        <v>1729</v>
      </c>
      <c r="C296" s="1202" t="s">
        <v>1724</v>
      </c>
      <c r="D296" s="1203">
        <v>20</v>
      </c>
      <c r="E296" s="1205">
        <v>0.10479192938209331</v>
      </c>
      <c r="F296" s="1205">
        <v>0.57755359394703654</v>
      </c>
      <c r="G296" s="1212" t="s">
        <v>1727</v>
      </c>
    </row>
    <row r="297" spans="1:7">
      <c r="B297" s="1202" t="s">
        <v>1730</v>
      </c>
      <c r="C297" s="1202" t="s">
        <v>1724</v>
      </c>
      <c r="D297" s="1203">
        <v>20</v>
      </c>
      <c r="E297" s="1205">
        <v>2.2295805739514351E-2</v>
      </c>
      <c r="F297" s="1205">
        <v>0.11037527593818984</v>
      </c>
      <c r="G297" s="1212" t="s">
        <v>1727</v>
      </c>
    </row>
    <row r="298" spans="1:7">
      <c r="B298" s="1202" t="s">
        <v>1872</v>
      </c>
      <c r="C298" s="1202" t="s">
        <v>1873</v>
      </c>
      <c r="D298" s="1203">
        <v>20</v>
      </c>
      <c r="E298" s="1205">
        <v>4.4832341269841265E-2</v>
      </c>
      <c r="F298" s="1205">
        <v>0</v>
      </c>
      <c r="G298" s="1212" t="s">
        <v>1727</v>
      </c>
    </row>
    <row r="299" spans="1:7">
      <c r="B299" s="1202" t="s">
        <v>1872</v>
      </c>
      <c r="C299" s="1202" t="s">
        <v>1873</v>
      </c>
      <c r="D299" s="1203">
        <v>20</v>
      </c>
      <c r="E299" s="1205">
        <v>4.4832341269841265E-2</v>
      </c>
      <c r="F299" s="1205">
        <v>0</v>
      </c>
      <c r="G299" s="1212" t="s">
        <v>1727</v>
      </c>
    </row>
    <row r="300" spans="1:7">
      <c r="B300" s="1202" t="s">
        <v>1874</v>
      </c>
      <c r="C300" s="1202" t="s">
        <v>1874</v>
      </c>
      <c r="D300" s="1203">
        <v>10</v>
      </c>
      <c r="E300" s="1204">
        <v>0.79999999999999993</v>
      </c>
      <c r="F300" s="1204">
        <v>0</v>
      </c>
      <c r="G300" s="1211" t="s">
        <v>1862</v>
      </c>
    </row>
    <row r="301" spans="1:7">
      <c r="B301" s="1202" t="s">
        <v>1875</v>
      </c>
      <c r="C301" s="1202" t="s">
        <v>1875</v>
      </c>
      <c r="D301" s="1203">
        <v>10</v>
      </c>
      <c r="E301" s="1204">
        <v>0.96208938547486034</v>
      </c>
      <c r="F301" s="1204">
        <v>0</v>
      </c>
      <c r="G301" s="1211" t="s">
        <v>1862</v>
      </c>
    </row>
    <row r="302" spans="1:7">
      <c r="B302" s="1202" t="s">
        <v>1876</v>
      </c>
      <c r="C302" s="1202" t="s">
        <v>1876</v>
      </c>
      <c r="D302" s="1203">
        <v>20</v>
      </c>
      <c r="E302" s="1204">
        <v>1510.0671140939598</v>
      </c>
      <c r="F302" s="1204">
        <v>0</v>
      </c>
      <c r="G302" s="1211" t="s">
        <v>1862</v>
      </c>
    </row>
    <row r="303" spans="1:7">
      <c r="B303" s="1202" t="s">
        <v>1877</v>
      </c>
      <c r="C303" s="1202" t="s">
        <v>1877</v>
      </c>
      <c r="D303" s="1203">
        <v>10</v>
      </c>
      <c r="E303" s="1204">
        <v>10.098226856740583</v>
      </c>
      <c r="F303" s="1204">
        <v>0</v>
      </c>
      <c r="G303" s="1211" t="s">
        <v>1862</v>
      </c>
    </row>
    <row r="304" spans="1:7">
      <c r="A304" s="2" t="s">
        <v>1878</v>
      </c>
      <c r="B304" s="1202" t="s">
        <v>1879</v>
      </c>
      <c r="C304" s="1202" t="s">
        <v>1879</v>
      </c>
      <c r="D304" s="1203">
        <v>10</v>
      </c>
      <c r="E304" s="1204">
        <v>0.5</v>
      </c>
      <c r="F304" s="1204">
        <v>0</v>
      </c>
      <c r="G304" s="1211" t="s">
        <v>1862</v>
      </c>
    </row>
    <row r="305" spans="1:7">
      <c r="A305" s="2" t="s">
        <v>1878</v>
      </c>
      <c r="B305" s="1202" t="s">
        <v>1880</v>
      </c>
      <c r="C305" s="1202" t="s">
        <v>1880</v>
      </c>
      <c r="D305" s="1203">
        <v>10</v>
      </c>
      <c r="E305" s="1204">
        <v>2</v>
      </c>
      <c r="F305" s="1204">
        <v>0</v>
      </c>
      <c r="G305" s="1211" t="s">
        <v>1862</v>
      </c>
    </row>
    <row r="306" spans="1:7">
      <c r="B306" s="1202" t="s">
        <v>1880</v>
      </c>
      <c r="C306" s="1202" t="s">
        <v>1880</v>
      </c>
      <c r="D306" s="1203">
        <v>10</v>
      </c>
      <c r="E306" s="1204">
        <v>2</v>
      </c>
      <c r="F306" s="1204">
        <v>0</v>
      </c>
      <c r="G306" s="1211" t="s">
        <v>1862</v>
      </c>
    </row>
    <row r="307" spans="1:7">
      <c r="B307" s="1202" t="s">
        <v>1881</v>
      </c>
      <c r="C307" s="1202" t="s">
        <v>1881</v>
      </c>
      <c r="D307" s="1203">
        <v>8</v>
      </c>
      <c r="E307" s="1204">
        <v>1.1258492808748368</v>
      </c>
      <c r="F307" s="1204">
        <v>0</v>
      </c>
      <c r="G307" s="1211" t="s">
        <v>1862</v>
      </c>
    </row>
    <row r="308" spans="1:7">
      <c r="B308" s="1202" t="s">
        <v>1882</v>
      </c>
      <c r="C308" s="1202" t="s">
        <v>1882</v>
      </c>
      <c r="D308" s="1203">
        <v>9</v>
      </c>
      <c r="E308" s="1204">
        <v>0.5</v>
      </c>
      <c r="F308" s="1204">
        <v>0</v>
      </c>
      <c r="G308" s="1211" t="s">
        <v>1862</v>
      </c>
    </row>
    <row r="309" spans="1:7">
      <c r="B309" s="1202" t="s">
        <v>1883</v>
      </c>
      <c r="C309" s="1202" t="s">
        <v>1884</v>
      </c>
      <c r="D309" s="1203">
        <v>4</v>
      </c>
      <c r="E309" s="1205">
        <v>0.1055</v>
      </c>
      <c r="F309" s="1205">
        <v>0</v>
      </c>
      <c r="G309" s="1206" t="s">
        <v>76</v>
      </c>
    </row>
    <row r="310" spans="1:7">
      <c r="B310" s="1202" t="s">
        <v>1847</v>
      </c>
      <c r="C310" s="1202" t="s">
        <v>1848</v>
      </c>
      <c r="D310" s="1203">
        <v>10</v>
      </c>
      <c r="E310" s="1204">
        <v>0.19674532023952099</v>
      </c>
      <c r="F310" s="1204">
        <v>0.6452628911010001</v>
      </c>
      <c r="G310" s="1206" t="s">
        <v>76</v>
      </c>
    </row>
    <row r="311" spans="1:7">
      <c r="B311" s="1202" t="s">
        <v>1885</v>
      </c>
      <c r="C311" s="1202" t="s">
        <v>1886</v>
      </c>
      <c r="D311" s="1203">
        <v>10</v>
      </c>
      <c r="E311" s="1204">
        <v>1.7679558011049725E-2</v>
      </c>
      <c r="F311" s="1204">
        <v>3.7292817679558019E-3</v>
      </c>
      <c r="G311" s="1206" t="s">
        <v>76</v>
      </c>
    </row>
    <row r="312" spans="1:7">
      <c r="B312" s="1202" t="s">
        <v>1885</v>
      </c>
      <c r="C312" s="1202" t="s">
        <v>1887</v>
      </c>
      <c r="D312" s="1203">
        <v>10</v>
      </c>
      <c r="E312" s="1204">
        <v>1.5006570302233907E-2</v>
      </c>
      <c r="F312" s="1204">
        <v>4.572930354796321E-3</v>
      </c>
      <c r="G312" s="1206" t="s">
        <v>76</v>
      </c>
    </row>
    <row r="313" spans="1:7">
      <c r="B313" s="1202" t="s">
        <v>1888</v>
      </c>
      <c r="C313" s="1202" t="s">
        <v>1889</v>
      </c>
      <c r="D313" s="1203">
        <v>10</v>
      </c>
      <c r="E313" s="1204">
        <v>9.4397076735688191E-3</v>
      </c>
      <c r="F313" s="1204">
        <v>1.0207064555420219E-2</v>
      </c>
      <c r="G313" s="1206" t="s">
        <v>76</v>
      </c>
    </row>
    <row r="314" spans="1:7">
      <c r="B314" s="1202" t="s">
        <v>1737</v>
      </c>
      <c r="C314" s="1202" t="s">
        <v>1890</v>
      </c>
      <c r="D314" s="1203">
        <v>7</v>
      </c>
      <c r="E314" s="1204">
        <v>7.4999999999999997E-3</v>
      </c>
      <c r="F314" s="1204">
        <v>0</v>
      </c>
      <c r="G314" s="1206" t="s">
        <v>76</v>
      </c>
    </row>
    <row r="315" spans="1:7">
      <c r="B315" s="1202" t="s">
        <v>1891</v>
      </c>
      <c r="C315" s="1202" t="s">
        <v>1892</v>
      </c>
      <c r="D315" s="1203">
        <v>15</v>
      </c>
      <c r="E315" s="1204">
        <v>0.15655172413793103</v>
      </c>
      <c r="F315" s="1204">
        <v>0</v>
      </c>
      <c r="G315" s="1212" t="s">
        <v>1862</v>
      </c>
    </row>
    <row r="316" spans="1:7">
      <c r="B316" s="1202" t="s">
        <v>1893</v>
      </c>
      <c r="C316" s="1202" t="s">
        <v>1894</v>
      </c>
      <c r="D316" s="1203">
        <v>13</v>
      </c>
      <c r="E316" s="1205">
        <v>6.2665413828204529E-3</v>
      </c>
      <c r="F316" s="1205">
        <v>0</v>
      </c>
      <c r="G316" s="1206" t="s">
        <v>76</v>
      </c>
    </row>
  </sheetData>
  <mergeCells count="14">
    <mergeCell ref="EO4:EV4"/>
    <mergeCell ref="EA2:EF2"/>
    <mergeCell ref="EH2:EM2"/>
    <mergeCell ref="F4:P4"/>
    <mergeCell ref="Q4:T4"/>
    <mergeCell ref="U4:AA4"/>
    <mergeCell ref="AD4:AQ4"/>
    <mergeCell ref="AS4:AT4"/>
    <mergeCell ref="AU2:BU2"/>
    <mergeCell ref="BW2:CB2"/>
    <mergeCell ref="CD2:CI2"/>
    <mergeCell ref="CK2:CP2"/>
    <mergeCell ref="CR2:DR2"/>
    <mergeCell ref="DT2:DY2"/>
  </mergeCells>
  <phoneticPr fontId="78" type="noConversion"/>
  <dataValidations count="1">
    <dataValidation type="list" allowBlank="1" showInputMessage="1" showErrorMessage="1" sqref="AL16:AN24 AL6:AN14 AL26:AN34" xr:uid="{D50854A2-2478-47B3-8C05-2BB1F49FEFC0}">
      <formula1>#REF!</formula1>
    </dataValidation>
  </dataValidations>
  <hyperlinks>
    <hyperlink ref="C133" r:id="rId1" xr:uid="{04EE8162-CBC9-4238-AABC-D5AE2F0AA7BF}"/>
    <hyperlink ref="W46" r:id="rId2" xr:uid="{E488CCF2-33A9-4748-AAD3-D25596FBC088}"/>
    <hyperlink ref="W47" r:id="rId3" xr:uid="{1EE1BEEE-6676-4B87-8DBA-0D7F9898F53F}"/>
  </hyperlinks>
  <pageMargins left="0.7" right="0.7" top="0.75" bottom="0.75" header="0.3" footer="0.3"/>
  <pageSetup orientation="portrait" horizontalDpi="1200" verticalDpi="1200" r:id="rId4"/>
  <headerFooter>
    <oddFooter>&amp;L&amp;1#&amp;"Calibri"&amp;14&amp;K000000Business Use</oddFooter>
  </headerFooter>
  <drawing r:id="rId5"/>
  <legacy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462A3-B24D-42DC-BA06-8D0F8BB9CEE9}">
  <sheetPr>
    <tabColor theme="5"/>
  </sheetPr>
  <dimension ref="A1:FE226"/>
  <sheetViews>
    <sheetView zoomScale="98" zoomScaleNormal="98" workbookViewId="0">
      <selection activeCell="R6" sqref="R6"/>
    </sheetView>
  </sheetViews>
  <sheetFormatPr defaultColWidth="9.1796875" defaultRowHeight="13"/>
  <cols>
    <col min="1" max="1" width="9.1796875" style="2" customWidth="1"/>
    <col min="2" max="2" width="55.7265625" style="2" customWidth="1"/>
    <col min="3" max="3" width="40.54296875" style="2" customWidth="1"/>
    <col min="4" max="4" width="17.54296875" style="2" bestFit="1" customWidth="1"/>
    <col min="5" max="5" width="21.1796875" style="2" customWidth="1"/>
    <col min="6" max="6" width="12.54296875" style="2" customWidth="1"/>
    <col min="7" max="7" width="12.453125" style="2" customWidth="1"/>
    <col min="8" max="8" width="11.81640625" style="2" customWidth="1"/>
    <col min="9" max="9" width="11.54296875" style="2" customWidth="1"/>
    <col min="10" max="10" width="14.54296875" style="2" customWidth="1"/>
    <col min="11" max="11" width="15.453125" style="2" customWidth="1"/>
    <col min="12" max="13" width="15.26953125" style="2" customWidth="1"/>
    <col min="14" max="14" width="15" style="2" customWidth="1"/>
    <col min="15" max="16" width="10.7265625" style="2" customWidth="1"/>
    <col min="17" max="17" width="13.453125" style="2" customWidth="1"/>
    <col min="18" max="19" width="12.1796875" style="2" customWidth="1"/>
    <col min="20" max="20" width="15.7265625" style="3" customWidth="1"/>
    <col min="21" max="22" width="10.81640625" style="3" customWidth="1"/>
    <col min="23" max="23" width="18.453125" style="3" customWidth="1"/>
    <col min="24" max="29" width="10.1796875" style="3" customWidth="1"/>
    <col min="30" max="37" width="14.453125" style="2" customWidth="1"/>
    <col min="38" max="38" width="20.81640625" style="2" customWidth="1"/>
    <col min="39" max="39" width="14.453125" style="2" customWidth="1"/>
    <col min="40" max="40" width="16.453125" style="2" customWidth="1"/>
    <col min="41" max="46" width="12" style="2" customWidth="1"/>
    <col min="47" max="49" width="17.81640625" style="2" customWidth="1"/>
    <col min="50" max="53" width="15.7265625" style="2" customWidth="1"/>
    <col min="54" max="60" width="12" style="2" customWidth="1"/>
    <col min="61" max="74" width="11.7265625" style="2" customWidth="1"/>
    <col min="75" max="152" width="15.54296875" style="2" customWidth="1"/>
    <col min="153" max="16384" width="9.1796875" style="2"/>
  </cols>
  <sheetData>
    <row r="1" spans="1:161" ht="15" thickBot="1">
      <c r="A1" t="str">
        <f>A3&amp;"_"&amp;A4&amp;"_"&amp;A5</f>
        <v>_Measure Details_Measure ID</v>
      </c>
      <c r="B1" t="str">
        <f t="shared" ref="B1:BV1" si="0">B3&amp;"_"&amp;B4&amp;"_"&amp;B5</f>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t="str">
        <f t="shared" si="0"/>
        <v>__Number of Unit Per Participant</v>
      </c>
      <c r="W1" t="str">
        <f t="shared" si="0"/>
        <v>__Participation 2024</v>
      </c>
      <c r="X1" t="str">
        <f t="shared" si="0"/>
        <v>__Participation 2025</v>
      </c>
      <c r="Y1" t="str">
        <f t="shared" si="0"/>
        <v>__Participation 2026</v>
      </c>
      <c r="Z1" t="str">
        <f t="shared" si="0"/>
        <v>__Participation 2027</v>
      </c>
      <c r="AA1" t="str">
        <f>AA3&amp;"_"&amp;AA4&amp;"_"&amp;AA5</f>
        <v>__Participation 2028</v>
      </c>
      <c r="AB1" t="str">
        <f t="shared" si="0"/>
        <v>__Participation 2029</v>
      </c>
      <c r="AC1" t="str">
        <f t="shared" si="0"/>
        <v>__Participation 2030</v>
      </c>
      <c r="AD1" t="str">
        <f t="shared" si="0"/>
        <v>_Modeling Measure-level Inputs_Fuel Type</v>
      </c>
      <c r="AE1" t="str">
        <f t="shared" si="0"/>
        <v>__Sector</v>
      </c>
      <c r="AF1" t="str">
        <f t="shared" si="0"/>
        <v>__Segment</v>
      </c>
      <c r="AG1" t="str">
        <f t="shared" si="0"/>
        <v>__Enduse</v>
      </c>
      <c r="AH1" t="str">
        <f t="shared" si="0"/>
        <v>__Construction Type</v>
      </c>
      <c r="AI1" t="str">
        <f t="shared" si="0"/>
        <v>__Potential Study Measure Name</v>
      </c>
      <c r="AJ1" t="str">
        <f t="shared" si="0"/>
        <v>__Potential Study Measure Description</v>
      </c>
      <c r="AK1" t="str">
        <f t="shared" si="0"/>
        <v>__Potential Study Baseline Description</v>
      </c>
      <c r="AL1" t="str">
        <f t="shared" si="0"/>
        <v>__Electric Load Shape</v>
      </c>
      <c r="AM1" t="str">
        <f t="shared" si="0"/>
        <v>__Natural Gas Load Shape</v>
      </c>
      <c r="AN1" t="str">
        <f t="shared" si="0"/>
        <v>__Customer Rate Class</v>
      </c>
      <c r="AO1" t="str">
        <f t="shared" si="0"/>
        <v>__Measure Life</v>
      </c>
      <c r="AP1" t="str">
        <f t="shared" si="0"/>
        <v>__Baseline Life</v>
      </c>
      <c r="AQ1" t="str">
        <f t="shared" si="0"/>
        <v>__Life Source</v>
      </c>
      <c r="AR1" t="str">
        <f t="shared" si="0"/>
        <v>_Measure Tier Share_Tier Share</v>
      </c>
      <c r="AS1" t="str">
        <f t="shared" si="0"/>
        <v>_Measure Fuel Weights_Electric Share</v>
      </c>
      <c r="AT1" t="str">
        <f t="shared" si="0"/>
        <v>__Natural Gas Share</v>
      </c>
      <c r="AU1" t="str">
        <f t="shared" si="0"/>
        <v>Per Unit_Incremental Costs_2024</v>
      </c>
      <c r="AV1" t="str">
        <f>AV3&amp;"_"&amp;AV4&amp;"_"&amp;AV5</f>
        <v>Per Unit_Incremental Costs_2025</v>
      </c>
      <c r="AW1" t="str">
        <f t="shared" si="0"/>
        <v>Per Unit_Incremental Costs_2026</v>
      </c>
      <c r="AX1" t="str">
        <f t="shared" si="0"/>
        <v>Per Unit_Incremental Costs_2027</v>
      </c>
      <c r="AY1" t="str">
        <f t="shared" si="0"/>
        <v>Per Unit_Incremental Costs_2028</v>
      </c>
      <c r="AZ1" t="str">
        <f t="shared" si="0"/>
        <v>Per Unit_Incremental Costs_2029</v>
      </c>
      <c r="BA1" t="str">
        <f t="shared" si="0"/>
        <v>Per Unit_Incremental Costs_2030</v>
      </c>
      <c r="BB1" t="str">
        <f t="shared" si="0"/>
        <v>Per Unit_Incremental Annual O&amp;M_2024</v>
      </c>
      <c r="BC1" t="str">
        <f t="shared" si="0"/>
        <v>Per Unit_Incremental Annual O&amp;M_2025</v>
      </c>
      <c r="BD1" t="str">
        <f t="shared" si="0"/>
        <v>Per Unit_Incremental Annual O&amp;M_2026</v>
      </c>
      <c r="BE1" t="str">
        <f t="shared" si="0"/>
        <v>Per Unit_Incremental Annual O&amp;M_2027</v>
      </c>
      <c r="BF1" t="str">
        <f t="shared" si="0"/>
        <v>Per Unit_Incremental Annual O&amp;M_2028</v>
      </c>
      <c r="BG1" t="str">
        <f t="shared" si="0"/>
        <v>Per Unit_Incremental Annual O&amp;M_2029</v>
      </c>
      <c r="BH1" t="str">
        <f t="shared" si="0"/>
        <v>Per Unit_Incremental Annual O&amp;M_2030</v>
      </c>
      <c r="BI1" t="str">
        <f t="shared" si="0"/>
        <v>Per Unit_Customer &amp; Dealer Incentives_2024</v>
      </c>
      <c r="BJ1" t="str">
        <f t="shared" si="0"/>
        <v>Per Unit_Customer &amp; Dealer Incentives_2025</v>
      </c>
      <c r="BK1" t="str">
        <f t="shared" si="0"/>
        <v>Per Unit_Customer &amp; Dealer Incentives_2026</v>
      </c>
      <c r="BL1" t="str">
        <f t="shared" si="0"/>
        <v>Per Unit_Customer &amp; Dealer Incentives_2027</v>
      </c>
      <c r="BM1" t="str">
        <f t="shared" si="0"/>
        <v>Per Unit_Customer &amp; Dealer Incentives_2028</v>
      </c>
      <c r="BN1" t="str">
        <f t="shared" si="0"/>
        <v>Per Unit_Customer &amp; Dealer Incentives_2029</v>
      </c>
      <c r="BO1" t="str">
        <f t="shared" si="0"/>
        <v>Per Unit_Customer &amp; Dealer Incentives_2030</v>
      </c>
      <c r="BP1" t="str">
        <f t="shared" si="0"/>
        <v>Per Unit_Implementation Cost_2024</v>
      </c>
      <c r="BQ1" t="str">
        <f t="shared" si="0"/>
        <v>Per Unit_Implementation Cost_2025</v>
      </c>
      <c r="BR1" t="str">
        <f t="shared" si="0"/>
        <v>Per Unit_Implementation Cost_2026</v>
      </c>
      <c r="BS1" t="str">
        <f t="shared" si="0"/>
        <v>Per Unit_Implementation Cost_2027</v>
      </c>
      <c r="BT1" t="str">
        <f t="shared" si="0"/>
        <v>Per Unit_Implementation Cost_2028</v>
      </c>
      <c r="BU1" t="str">
        <f t="shared" si="0"/>
        <v>Per Unit_Implementation Cost_2029</v>
      </c>
      <c r="BV1" t="str">
        <f t="shared" si="0"/>
        <v>Per Unit_Implementation Cost_2030</v>
      </c>
      <c r="BW1" t="str">
        <f t="shared" ref="BW1:EV1" si="1">BW3&amp;"_"&amp;BW4&amp;"_"&amp;BW5</f>
        <v>Per Unit_kWh _2024</v>
      </c>
      <c r="BX1" t="str">
        <f t="shared" si="1"/>
        <v>Per Unit_kWh _2025</v>
      </c>
      <c r="BY1" t="str">
        <f t="shared" si="1"/>
        <v>Per Unit_kWh _2026</v>
      </c>
      <c r="BZ1" t="str">
        <f t="shared" si="1"/>
        <v>Per Unit_kWh _2027</v>
      </c>
      <c r="CA1" t="str">
        <f t="shared" si="1"/>
        <v>Per Unit_kWh _2028</v>
      </c>
      <c r="CB1" t="str">
        <f t="shared" si="1"/>
        <v>Per Unit_kWh _2029</v>
      </c>
      <c r="CC1" t="str">
        <f t="shared" si="1"/>
        <v>Per Unit_kWh _2030</v>
      </c>
      <c r="CD1" t="str">
        <f t="shared" si="1"/>
        <v>Per Unit_kW_2024</v>
      </c>
      <c r="CE1" t="str">
        <f t="shared" si="1"/>
        <v>Per Unit_kW_2025</v>
      </c>
      <c r="CF1" t="str">
        <f t="shared" si="1"/>
        <v>Per Unit_kW_2026</v>
      </c>
      <c r="CG1" t="str">
        <f t="shared" si="1"/>
        <v>Per Unit_kW_2027</v>
      </c>
      <c r="CH1" t="str">
        <f t="shared" si="1"/>
        <v>Per Unit_kW_2028</v>
      </c>
      <c r="CI1" t="str">
        <f t="shared" si="1"/>
        <v>Per Unit_kW_2029</v>
      </c>
      <c r="CJ1" t="str">
        <f t="shared" si="1"/>
        <v>Per Unit_kW_2030</v>
      </c>
      <c r="CK1" t="str">
        <f t="shared" si="1"/>
        <v>Per Unit_Therms_2024</v>
      </c>
      <c r="CL1" t="str">
        <f t="shared" si="1"/>
        <v>Per Unit_Therms_2025</v>
      </c>
      <c r="CM1" t="str">
        <f t="shared" si="1"/>
        <v>Per Unit_Therms_2026</v>
      </c>
      <c r="CN1" t="str">
        <f t="shared" si="1"/>
        <v>Per Unit_Therms_2027</v>
      </c>
      <c r="CO1" t="str">
        <f t="shared" si="1"/>
        <v>Per Unit_Therms_2028</v>
      </c>
      <c r="CP1" t="str">
        <f t="shared" si="1"/>
        <v>Per Unit_Therms_2029</v>
      </c>
      <c r="CQ1" t="str">
        <f t="shared" si="1"/>
        <v>Per Unit_Therms_2030</v>
      </c>
      <c r="CR1" t="str">
        <f t="shared" si="1"/>
        <v>Program_Incremental Costs_2024</v>
      </c>
      <c r="CS1" t="str">
        <f t="shared" si="1"/>
        <v>Program_Incremental Costs_2025</v>
      </c>
      <c r="CT1" t="str">
        <f t="shared" si="1"/>
        <v>Program_Incremental Costs_2026</v>
      </c>
      <c r="CU1" t="str">
        <f t="shared" si="1"/>
        <v>Program_Incremental Costs_2027</v>
      </c>
      <c r="CV1" t="str">
        <f t="shared" si="1"/>
        <v>Program_Incremental Costs_2028</v>
      </c>
      <c r="CW1" t="str">
        <f t="shared" si="1"/>
        <v>Program_Incremental Costs_2029</v>
      </c>
      <c r="CX1" t="str">
        <f t="shared" si="1"/>
        <v>Program_Incremental Costs_2030</v>
      </c>
      <c r="CY1" t="str">
        <f t="shared" si="1"/>
        <v>Program_Incremental Annual O&amp;M_2024</v>
      </c>
      <c r="CZ1" t="str">
        <f t="shared" si="1"/>
        <v>Program_Incremental Annual O&amp;M_2025</v>
      </c>
      <c r="DA1" t="str">
        <f t="shared" si="1"/>
        <v>Program_Incremental Annual O&amp;M_2026</v>
      </c>
      <c r="DB1" t="str">
        <f t="shared" si="1"/>
        <v>Program_Incremental Annual O&amp;M_2027</v>
      </c>
      <c r="DC1" t="str">
        <f t="shared" si="1"/>
        <v>Program_Incremental Annual O&amp;M_2028</v>
      </c>
      <c r="DD1" t="str">
        <f t="shared" si="1"/>
        <v>Program_Incremental Annual O&amp;M_2029</v>
      </c>
      <c r="DE1" t="str">
        <f t="shared" si="1"/>
        <v>Program_Incremental Annual O&amp;M_2030</v>
      </c>
      <c r="DF1" t="str">
        <f t="shared" si="1"/>
        <v>Program_Customer &amp; Dealer Incentives_2024</v>
      </c>
      <c r="DG1" t="str">
        <f t="shared" si="1"/>
        <v>Program_Customer &amp; Dealer Incentives_2025</v>
      </c>
      <c r="DH1" t="str">
        <f t="shared" si="1"/>
        <v>Program_Customer &amp; Dealer Incentives_2026</v>
      </c>
      <c r="DI1" t="str">
        <f t="shared" si="1"/>
        <v>Program_Customer &amp; Dealer Incentives_2027</v>
      </c>
      <c r="DJ1" t="str">
        <f t="shared" si="1"/>
        <v>Program_Customer &amp; Dealer Incentives_2028</v>
      </c>
      <c r="DK1" t="str">
        <f t="shared" si="1"/>
        <v>Program_Customer &amp; Dealer Incentives_2029</v>
      </c>
      <c r="DL1" t="str">
        <f t="shared" si="1"/>
        <v>Program_Customer &amp; Dealer Incentives_2030</v>
      </c>
      <c r="DM1" t="str">
        <f t="shared" si="1"/>
        <v>Program_Implementation Costs_2024</v>
      </c>
      <c r="DN1" t="str">
        <f t="shared" si="1"/>
        <v>Program_Implementation Costs_2025</v>
      </c>
      <c r="DO1" t="str">
        <f t="shared" si="1"/>
        <v>Program_Implementation Costs_2026</v>
      </c>
      <c r="DP1" t="str">
        <f t="shared" si="1"/>
        <v>Program_Implementation Costs_2027</v>
      </c>
      <c r="DQ1" t="str">
        <f t="shared" si="1"/>
        <v>Program_Implementation Costs_2028</v>
      </c>
      <c r="DR1" t="str">
        <f t="shared" si="1"/>
        <v>Program_Implementation Costs_2029</v>
      </c>
      <c r="DS1" t="str">
        <f t="shared" si="1"/>
        <v>Program_Implementation Costs_2030</v>
      </c>
      <c r="DT1" t="str">
        <f t="shared" si="1"/>
        <v>Program_kWh _2024</v>
      </c>
      <c r="DU1" t="str">
        <f t="shared" si="1"/>
        <v>Program_kWh _2025</v>
      </c>
      <c r="DV1" t="str">
        <f t="shared" si="1"/>
        <v>Program_kWh _2026</v>
      </c>
      <c r="DW1" t="str">
        <f t="shared" si="1"/>
        <v>Program_kWh _2027</v>
      </c>
      <c r="DX1" t="str">
        <f t="shared" si="1"/>
        <v>Program_kWh _2028</v>
      </c>
      <c r="DY1" t="str">
        <f t="shared" si="1"/>
        <v>Program_kWh _2029</v>
      </c>
      <c r="DZ1" t="str">
        <f t="shared" si="1"/>
        <v>Program_kWh _2030</v>
      </c>
      <c r="EA1" t="str">
        <f t="shared" si="1"/>
        <v>Program_kW_2024</v>
      </c>
      <c r="EB1" t="str">
        <f t="shared" si="1"/>
        <v>Program_kW_2025</v>
      </c>
      <c r="EC1" t="str">
        <f t="shared" si="1"/>
        <v>Program_kW_2026</v>
      </c>
      <c r="ED1" t="str">
        <f t="shared" si="1"/>
        <v>Program_kW_2027</v>
      </c>
      <c r="EE1" t="str">
        <f t="shared" si="1"/>
        <v>Program_kW_2028</v>
      </c>
      <c r="EF1" t="str">
        <f t="shared" si="1"/>
        <v>Program_kW_2029</v>
      </c>
      <c r="EG1" t="str">
        <f t="shared" si="1"/>
        <v>Program_kW_2030</v>
      </c>
      <c r="EH1" t="str">
        <f t="shared" si="1"/>
        <v>Program_Therms_2024</v>
      </c>
      <c r="EI1" t="str">
        <f t="shared" si="1"/>
        <v>Program_Therms_2025</v>
      </c>
      <c r="EJ1" t="str">
        <f t="shared" si="1"/>
        <v>Program_Therms_2026</v>
      </c>
      <c r="EK1" t="str">
        <f t="shared" si="1"/>
        <v>Program_Therms_2027</v>
      </c>
      <c r="EL1" t="str">
        <f t="shared" si="1"/>
        <v>Program_Therms_2028</v>
      </c>
      <c r="EM1" t="str">
        <f t="shared" si="1"/>
        <v>Program_Therms_2029</v>
      </c>
      <c r="EN1" t="str">
        <f t="shared" si="1"/>
        <v>Program_Therms_2030</v>
      </c>
      <c r="EO1" t="str">
        <f>EO3&amp;"_"&amp;EO4&amp;"_"&amp;EO5</f>
        <v>_Total Plan Summary 2024-2030_Participation</v>
      </c>
      <c r="EP1" t="str">
        <f>EP3&amp;"_"&amp;EP4&amp;"_"&amp;EP5</f>
        <v>__Incremental Costs ($)</v>
      </c>
      <c r="EQ1" t="str">
        <f t="shared" si="1"/>
        <v>__Incremental Annual O&amp;M ($)</v>
      </c>
      <c r="ER1" t="str">
        <f t="shared" si="1"/>
        <v>__Customer &amp; Dealer Incentives ($)</v>
      </c>
      <c r="ES1" t="str">
        <f t="shared" si="1"/>
        <v>__Implementation Costs ($)</v>
      </c>
      <c r="ET1" t="str">
        <f t="shared" si="1"/>
        <v>__Electric kWh  Benefits</v>
      </c>
      <c r="EU1" t="str">
        <f t="shared" si="1"/>
        <v>__Electric kW Peak Demand Benefits</v>
      </c>
      <c r="EV1" t="str">
        <f t="shared" si="1"/>
        <v>__Natural Gas Therms Benefits</v>
      </c>
    </row>
    <row r="2" spans="1:161" s="5" customFormat="1" ht="16" thickBot="1">
      <c r="A2" s="1" t="s">
        <v>1895</v>
      </c>
      <c r="B2" s="4"/>
      <c r="C2" s="4"/>
      <c r="U2" s="6"/>
      <c r="V2" s="6"/>
      <c r="W2" s="6"/>
      <c r="X2" s="6"/>
      <c r="Y2" s="6"/>
      <c r="Z2" s="6"/>
      <c r="AA2" s="6"/>
      <c r="AB2" s="6"/>
      <c r="AC2" s="6"/>
      <c r="AD2" s="6"/>
      <c r="AE2" s="6"/>
      <c r="AF2" s="6"/>
      <c r="AG2" s="7"/>
      <c r="AH2" s="7"/>
      <c r="AI2" s="7"/>
      <c r="AJ2" s="7"/>
      <c r="AK2" s="7"/>
      <c r="AL2" s="7"/>
      <c r="AM2" s="7"/>
      <c r="AN2" s="7"/>
      <c r="AU2" s="1384" t="s">
        <v>327</v>
      </c>
      <c r="AV2" s="1385"/>
      <c r="AW2" s="1385"/>
      <c r="AX2" s="1385"/>
      <c r="AY2" s="1385"/>
      <c r="AZ2" s="1385"/>
      <c r="BA2" s="1385"/>
      <c r="BB2" s="1385"/>
      <c r="BC2" s="1385"/>
      <c r="BD2" s="1385"/>
      <c r="BE2" s="1385"/>
      <c r="BF2" s="1385"/>
      <c r="BG2" s="1385"/>
      <c r="BH2" s="1385"/>
      <c r="BI2" s="1385"/>
      <c r="BJ2" s="1385"/>
      <c r="BK2" s="1385"/>
      <c r="BL2" s="1385"/>
      <c r="BM2" s="1385"/>
      <c r="BN2" s="1385"/>
      <c r="BO2" s="1385"/>
      <c r="BP2" s="1385"/>
      <c r="BQ2" s="1385"/>
      <c r="BR2" s="1385"/>
      <c r="BS2" s="1385"/>
      <c r="BT2" s="1385"/>
      <c r="BU2" s="1385"/>
      <c r="BV2" s="1386"/>
      <c r="BW2" s="1381" t="s">
        <v>328</v>
      </c>
      <c r="BX2" s="1382"/>
      <c r="BY2" s="1382"/>
      <c r="BZ2" s="1382"/>
      <c r="CA2" s="1382"/>
      <c r="CB2" s="1382"/>
      <c r="CC2" s="1383"/>
      <c r="CD2" s="1382" t="s">
        <v>329</v>
      </c>
      <c r="CE2" s="1382"/>
      <c r="CF2" s="1382"/>
      <c r="CG2" s="1382"/>
      <c r="CH2" s="1382"/>
      <c r="CI2" s="1382"/>
      <c r="CJ2" s="1383"/>
      <c r="CK2" s="1381" t="s">
        <v>330</v>
      </c>
      <c r="CL2" s="1382"/>
      <c r="CM2" s="1382"/>
      <c r="CN2" s="1382"/>
      <c r="CO2" s="1382"/>
      <c r="CP2" s="1382"/>
      <c r="CQ2" s="1383"/>
      <c r="CR2" s="1384" t="s">
        <v>327</v>
      </c>
      <c r="CS2" s="1385"/>
      <c r="CT2" s="1385"/>
      <c r="CU2" s="1385"/>
      <c r="CV2" s="1385"/>
      <c r="CW2" s="1385"/>
      <c r="CX2" s="1385"/>
      <c r="CY2" s="1385"/>
      <c r="CZ2" s="1385"/>
      <c r="DA2" s="1385"/>
      <c r="DB2" s="1385"/>
      <c r="DC2" s="1385"/>
      <c r="DD2" s="1385"/>
      <c r="DE2" s="1385"/>
      <c r="DF2" s="1385"/>
      <c r="DG2" s="1385"/>
      <c r="DH2" s="1385"/>
      <c r="DI2" s="1385"/>
      <c r="DJ2" s="1385"/>
      <c r="DK2" s="1385"/>
      <c r="DL2" s="1385"/>
      <c r="DM2" s="1385"/>
      <c r="DN2" s="1385"/>
      <c r="DO2" s="1385"/>
      <c r="DP2" s="1385"/>
      <c r="DQ2" s="1385"/>
      <c r="DR2" s="1385"/>
      <c r="DS2" s="1386"/>
      <c r="DT2" s="1381" t="s">
        <v>328</v>
      </c>
      <c r="DU2" s="1382"/>
      <c r="DV2" s="1382"/>
      <c r="DW2" s="1382"/>
      <c r="DX2" s="1382"/>
      <c r="DY2" s="1382"/>
      <c r="DZ2" s="1382"/>
      <c r="EA2" s="1381" t="s">
        <v>329</v>
      </c>
      <c r="EB2" s="1382"/>
      <c r="EC2" s="1382"/>
      <c r="ED2" s="1382"/>
      <c r="EE2" s="1382"/>
      <c r="EF2" s="1382"/>
      <c r="EG2" s="1383"/>
      <c r="EH2" s="1381" t="s">
        <v>330</v>
      </c>
      <c r="EI2" s="1382"/>
      <c r="EJ2" s="1382"/>
      <c r="EK2" s="1382"/>
      <c r="EL2" s="1382"/>
      <c r="EM2" s="1382"/>
      <c r="EN2" s="1383"/>
    </row>
    <row r="3" spans="1:161">
      <c r="B3" s="8"/>
      <c r="C3" s="8"/>
      <c r="T3" s="2"/>
      <c r="AD3" s="3"/>
      <c r="AE3" s="3"/>
      <c r="AF3" s="3"/>
      <c r="AG3" s="9"/>
      <c r="AH3" s="9"/>
      <c r="AI3" s="9"/>
      <c r="AJ3" s="9"/>
      <c r="AK3" s="9"/>
      <c r="AL3" s="9"/>
      <c r="AM3" s="9"/>
      <c r="AN3" s="9"/>
      <c r="AU3" s="109" t="s">
        <v>331</v>
      </c>
      <c r="AV3" s="110" t="s">
        <v>331</v>
      </c>
      <c r="AW3" s="110" t="s">
        <v>331</v>
      </c>
      <c r="AX3" s="110" t="s">
        <v>331</v>
      </c>
      <c r="AY3" s="110" t="s">
        <v>331</v>
      </c>
      <c r="AZ3" s="110" t="s">
        <v>331</v>
      </c>
      <c r="BA3" s="111" t="s">
        <v>331</v>
      </c>
      <c r="BB3" s="110" t="s">
        <v>331</v>
      </c>
      <c r="BC3" s="110" t="s">
        <v>331</v>
      </c>
      <c r="BD3" s="110" t="s">
        <v>331</v>
      </c>
      <c r="BE3" s="110" t="s">
        <v>331</v>
      </c>
      <c r="BF3" s="110" t="s">
        <v>331</v>
      </c>
      <c r="BG3" s="110" t="s">
        <v>331</v>
      </c>
      <c r="BH3" s="282" t="s">
        <v>331</v>
      </c>
      <c r="BI3" s="109" t="s">
        <v>331</v>
      </c>
      <c r="BJ3" s="110" t="s">
        <v>331</v>
      </c>
      <c r="BK3" s="110" t="s">
        <v>331</v>
      </c>
      <c r="BL3" s="110" t="s">
        <v>331</v>
      </c>
      <c r="BM3" s="110" t="s">
        <v>331</v>
      </c>
      <c r="BN3" s="110" t="s">
        <v>331</v>
      </c>
      <c r="BO3" s="111" t="s">
        <v>331</v>
      </c>
      <c r="BP3" s="109" t="s">
        <v>331</v>
      </c>
      <c r="BQ3" s="110" t="s">
        <v>331</v>
      </c>
      <c r="BR3" s="110" t="s">
        <v>331</v>
      </c>
      <c r="BS3" s="110" t="s">
        <v>331</v>
      </c>
      <c r="BT3" s="110" t="s">
        <v>331</v>
      </c>
      <c r="BU3" s="110" t="s">
        <v>331</v>
      </c>
      <c r="BV3" s="111" t="s">
        <v>331</v>
      </c>
      <c r="BW3" s="112" t="s">
        <v>331</v>
      </c>
      <c r="BX3" s="113" t="s">
        <v>331</v>
      </c>
      <c r="BY3" s="113" t="s">
        <v>331</v>
      </c>
      <c r="BZ3" s="113" t="s">
        <v>331</v>
      </c>
      <c r="CA3" s="113" t="s">
        <v>331</v>
      </c>
      <c r="CB3" s="113" t="s">
        <v>331</v>
      </c>
      <c r="CC3" s="114" t="s">
        <v>331</v>
      </c>
      <c r="CD3" s="112" t="s">
        <v>331</v>
      </c>
      <c r="CE3" s="113" t="s">
        <v>331</v>
      </c>
      <c r="CF3" s="113" t="s">
        <v>331</v>
      </c>
      <c r="CG3" s="113" t="s">
        <v>331</v>
      </c>
      <c r="CH3" s="113" t="s">
        <v>331</v>
      </c>
      <c r="CI3" s="113" t="s">
        <v>331</v>
      </c>
      <c r="CJ3" s="114" t="s">
        <v>331</v>
      </c>
      <c r="CK3" s="112" t="s">
        <v>331</v>
      </c>
      <c r="CL3" s="113" t="s">
        <v>331</v>
      </c>
      <c r="CM3" s="113" t="s">
        <v>331</v>
      </c>
      <c r="CN3" s="113" t="s">
        <v>331</v>
      </c>
      <c r="CO3" s="113" t="s">
        <v>331</v>
      </c>
      <c r="CP3" s="113" t="s">
        <v>331</v>
      </c>
      <c r="CQ3" s="114" t="s">
        <v>331</v>
      </c>
      <c r="CR3" s="109" t="s">
        <v>0</v>
      </c>
      <c r="CS3" s="110" t="s">
        <v>0</v>
      </c>
      <c r="CT3" s="110" t="s">
        <v>0</v>
      </c>
      <c r="CU3" s="110" t="s">
        <v>0</v>
      </c>
      <c r="CV3" s="110" t="s">
        <v>0</v>
      </c>
      <c r="CW3" s="110" t="s">
        <v>0</v>
      </c>
      <c r="CX3" s="111" t="s">
        <v>0</v>
      </c>
      <c r="CY3" s="109" t="s">
        <v>0</v>
      </c>
      <c r="CZ3" s="110" t="s">
        <v>0</v>
      </c>
      <c r="DA3" s="110" t="s">
        <v>0</v>
      </c>
      <c r="DB3" s="110" t="s">
        <v>0</v>
      </c>
      <c r="DC3" s="110" t="s">
        <v>0</v>
      </c>
      <c r="DD3" s="110" t="s">
        <v>0</v>
      </c>
      <c r="DE3" s="111" t="s">
        <v>0</v>
      </c>
      <c r="DF3" s="109" t="s">
        <v>0</v>
      </c>
      <c r="DG3" s="110" t="s">
        <v>0</v>
      </c>
      <c r="DH3" s="110" t="s">
        <v>0</v>
      </c>
      <c r="DI3" s="110" t="s">
        <v>0</v>
      </c>
      <c r="DJ3" s="110" t="s">
        <v>0</v>
      </c>
      <c r="DK3" s="110" t="s">
        <v>0</v>
      </c>
      <c r="DL3" s="111" t="s">
        <v>0</v>
      </c>
      <c r="DM3" s="288" t="s">
        <v>0</v>
      </c>
      <c r="DN3" s="110" t="s">
        <v>0</v>
      </c>
      <c r="DO3" s="110" t="s">
        <v>0</v>
      </c>
      <c r="DP3" s="110" t="s">
        <v>0</v>
      </c>
      <c r="DQ3" s="110" t="s">
        <v>0</v>
      </c>
      <c r="DR3" s="110" t="s">
        <v>0</v>
      </c>
      <c r="DS3" s="111" t="s">
        <v>0</v>
      </c>
      <c r="DT3" s="116" t="s">
        <v>0</v>
      </c>
      <c r="DU3" s="116" t="s">
        <v>0</v>
      </c>
      <c r="DV3" s="116" t="s">
        <v>0</v>
      </c>
      <c r="DW3" s="116" t="s">
        <v>0</v>
      </c>
      <c r="DX3" s="116" t="s">
        <v>0</v>
      </c>
      <c r="DY3" s="116" t="s">
        <v>0</v>
      </c>
      <c r="DZ3" s="284" t="s">
        <v>0</v>
      </c>
      <c r="EA3" s="115" t="s">
        <v>0</v>
      </c>
      <c r="EB3" s="116" t="s">
        <v>0</v>
      </c>
      <c r="EC3" s="116" t="s">
        <v>0</v>
      </c>
      <c r="ED3" s="116" t="s">
        <v>0</v>
      </c>
      <c r="EE3" s="116" t="s">
        <v>0</v>
      </c>
      <c r="EF3" s="116" t="s">
        <v>0</v>
      </c>
      <c r="EG3" s="117" t="s">
        <v>0</v>
      </c>
      <c r="EH3" s="115" t="s">
        <v>0</v>
      </c>
      <c r="EI3" s="116" t="s">
        <v>0</v>
      </c>
      <c r="EJ3" s="116" t="s">
        <v>0</v>
      </c>
      <c r="EK3" s="116" t="s">
        <v>0</v>
      </c>
      <c r="EL3" s="116" t="s">
        <v>0</v>
      </c>
      <c r="EM3" s="116" t="s">
        <v>0</v>
      </c>
      <c r="EN3" s="117" t="s">
        <v>0</v>
      </c>
    </row>
    <row r="4" spans="1:161"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440"/>
      <c r="AB4" s="440"/>
      <c r="AC4" s="440"/>
      <c r="AD4" s="1376" t="s">
        <v>335</v>
      </c>
      <c r="AE4" s="1377"/>
      <c r="AF4" s="1377"/>
      <c r="AG4" s="1377"/>
      <c r="AH4" s="1377"/>
      <c r="AI4" s="1377"/>
      <c r="AJ4" s="1377"/>
      <c r="AK4" s="1377"/>
      <c r="AL4" s="1377"/>
      <c r="AM4" s="1377"/>
      <c r="AN4" s="1377"/>
      <c r="AO4" s="1377"/>
      <c r="AP4" s="1377"/>
      <c r="AQ4" s="1378"/>
      <c r="AR4" s="687" t="s">
        <v>336</v>
      </c>
      <c r="AS4" s="1376" t="s">
        <v>337</v>
      </c>
      <c r="AT4" s="1377"/>
      <c r="AU4" s="688" t="s">
        <v>128</v>
      </c>
      <c r="AV4" s="476" t="s">
        <v>128</v>
      </c>
      <c r="AW4" s="476" t="s">
        <v>128</v>
      </c>
      <c r="AX4" s="476" t="s">
        <v>128</v>
      </c>
      <c r="AY4" s="476" t="s">
        <v>128</v>
      </c>
      <c r="AZ4" s="476" t="s">
        <v>128</v>
      </c>
      <c r="BA4" s="689" t="s">
        <v>128</v>
      </c>
      <c r="BB4" s="476" t="s">
        <v>129</v>
      </c>
      <c r="BC4" s="476" t="s">
        <v>129</v>
      </c>
      <c r="BD4" s="476" t="s">
        <v>129</v>
      </c>
      <c r="BE4" s="476" t="s">
        <v>129</v>
      </c>
      <c r="BF4" s="476" t="s">
        <v>129</v>
      </c>
      <c r="BG4" s="476" t="s">
        <v>129</v>
      </c>
      <c r="BH4" s="502" t="s">
        <v>129</v>
      </c>
      <c r="BI4" s="688" t="s">
        <v>130</v>
      </c>
      <c r="BJ4" s="476" t="s">
        <v>130</v>
      </c>
      <c r="BK4" s="476" t="s">
        <v>130</v>
      </c>
      <c r="BL4" s="476" t="s">
        <v>130</v>
      </c>
      <c r="BM4" s="476" t="s">
        <v>130</v>
      </c>
      <c r="BN4" s="476" t="s">
        <v>130</v>
      </c>
      <c r="BO4" s="689" t="s">
        <v>130</v>
      </c>
      <c r="BP4" s="688" t="s">
        <v>338</v>
      </c>
      <c r="BQ4" s="476" t="s">
        <v>338</v>
      </c>
      <c r="BR4" s="476" t="s">
        <v>338</v>
      </c>
      <c r="BS4" s="476" t="s">
        <v>338</v>
      </c>
      <c r="BT4" s="476" t="s">
        <v>338</v>
      </c>
      <c r="BU4" s="476" t="s">
        <v>338</v>
      </c>
      <c r="BV4" s="689" t="s">
        <v>338</v>
      </c>
      <c r="BW4" s="690" t="s">
        <v>131</v>
      </c>
      <c r="BX4" s="477" t="s">
        <v>131</v>
      </c>
      <c r="BY4" s="477" t="s">
        <v>131</v>
      </c>
      <c r="BZ4" s="477" t="s">
        <v>131</v>
      </c>
      <c r="CA4" s="477" t="s">
        <v>131</v>
      </c>
      <c r="CB4" s="477" t="s">
        <v>131</v>
      </c>
      <c r="CC4" s="691" t="s">
        <v>131</v>
      </c>
      <c r="CD4" s="690" t="s">
        <v>132</v>
      </c>
      <c r="CE4" s="477" t="s">
        <v>132</v>
      </c>
      <c r="CF4" s="477" t="s">
        <v>132</v>
      </c>
      <c r="CG4" s="477" t="s">
        <v>132</v>
      </c>
      <c r="CH4" s="477" t="s">
        <v>132</v>
      </c>
      <c r="CI4" s="477" t="s">
        <v>132</v>
      </c>
      <c r="CJ4" s="691" t="s">
        <v>132</v>
      </c>
      <c r="CK4" s="690" t="s">
        <v>133</v>
      </c>
      <c r="CL4" s="477" t="s">
        <v>133</v>
      </c>
      <c r="CM4" s="477" t="s">
        <v>133</v>
      </c>
      <c r="CN4" s="477" t="s">
        <v>133</v>
      </c>
      <c r="CO4" s="477" t="s">
        <v>133</v>
      </c>
      <c r="CP4" s="477" t="s">
        <v>133</v>
      </c>
      <c r="CQ4" s="691" t="s">
        <v>133</v>
      </c>
      <c r="CR4" s="688" t="s">
        <v>128</v>
      </c>
      <c r="CS4" s="476" t="s">
        <v>128</v>
      </c>
      <c r="CT4" s="476" t="s">
        <v>128</v>
      </c>
      <c r="CU4" s="476" t="s">
        <v>128</v>
      </c>
      <c r="CV4" s="476" t="s">
        <v>128</v>
      </c>
      <c r="CW4" s="476" t="s">
        <v>128</v>
      </c>
      <c r="CX4" s="689" t="s">
        <v>128</v>
      </c>
      <c r="CY4" s="688" t="s">
        <v>129</v>
      </c>
      <c r="CZ4" s="476" t="s">
        <v>129</v>
      </c>
      <c r="DA4" s="476" t="s">
        <v>129</v>
      </c>
      <c r="DB4" s="476" t="s">
        <v>129</v>
      </c>
      <c r="DC4" s="476" t="s">
        <v>129</v>
      </c>
      <c r="DD4" s="476" t="s">
        <v>129</v>
      </c>
      <c r="DE4" s="689" t="s">
        <v>129</v>
      </c>
      <c r="DF4" s="688" t="s">
        <v>130</v>
      </c>
      <c r="DG4" s="476" t="s">
        <v>130</v>
      </c>
      <c r="DH4" s="476" t="s">
        <v>130</v>
      </c>
      <c r="DI4" s="476" t="s">
        <v>130</v>
      </c>
      <c r="DJ4" s="476" t="s">
        <v>130</v>
      </c>
      <c r="DK4" s="476" t="s">
        <v>130</v>
      </c>
      <c r="DL4" s="689" t="s">
        <v>130</v>
      </c>
      <c r="DM4" s="490" t="s">
        <v>165</v>
      </c>
      <c r="DN4" s="476" t="s">
        <v>165</v>
      </c>
      <c r="DO4" s="476" t="s">
        <v>165</v>
      </c>
      <c r="DP4" s="476" t="s">
        <v>165</v>
      </c>
      <c r="DQ4" s="476" t="s">
        <v>165</v>
      </c>
      <c r="DR4" s="476" t="s">
        <v>165</v>
      </c>
      <c r="DS4" s="689" t="s">
        <v>165</v>
      </c>
      <c r="DT4" s="477" t="s">
        <v>131</v>
      </c>
      <c r="DU4" s="477" t="s">
        <v>131</v>
      </c>
      <c r="DV4" s="477" t="s">
        <v>131</v>
      </c>
      <c r="DW4" s="477" t="s">
        <v>131</v>
      </c>
      <c r="DX4" s="477" t="s">
        <v>131</v>
      </c>
      <c r="DY4" s="477" t="s">
        <v>131</v>
      </c>
      <c r="DZ4" s="512" t="s">
        <v>131</v>
      </c>
      <c r="EA4" s="690" t="s">
        <v>132</v>
      </c>
      <c r="EB4" s="477" t="s">
        <v>132</v>
      </c>
      <c r="EC4" s="477" t="s">
        <v>132</v>
      </c>
      <c r="ED4" s="477" t="s">
        <v>132</v>
      </c>
      <c r="EE4" s="477" t="s">
        <v>132</v>
      </c>
      <c r="EF4" s="477" t="s">
        <v>132</v>
      </c>
      <c r="EG4" s="691" t="s">
        <v>132</v>
      </c>
      <c r="EH4" s="690" t="s">
        <v>133</v>
      </c>
      <c r="EI4" s="477" t="s">
        <v>133</v>
      </c>
      <c r="EJ4" s="477" t="s">
        <v>133</v>
      </c>
      <c r="EK4" s="477" t="s">
        <v>133</v>
      </c>
      <c r="EL4" s="477" t="s">
        <v>133</v>
      </c>
      <c r="EM4" s="477" t="s">
        <v>133</v>
      </c>
      <c r="EN4" s="691" t="s">
        <v>133</v>
      </c>
      <c r="EO4" s="1345" t="s">
        <v>134</v>
      </c>
      <c r="EP4" s="1342"/>
      <c r="EQ4" s="1342"/>
      <c r="ER4" s="1342"/>
      <c r="ES4" s="1342"/>
      <c r="ET4" s="1342"/>
      <c r="EU4" s="1342"/>
      <c r="EV4" s="1342"/>
    </row>
    <row r="5" spans="1:161"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5" t="s">
        <v>15</v>
      </c>
      <c r="X5" s="695" t="s">
        <v>16</v>
      </c>
      <c r="Y5" s="695" t="s">
        <v>17</v>
      </c>
      <c r="Z5" s="695" t="s">
        <v>18</v>
      </c>
      <c r="AA5" s="695" t="s">
        <v>19</v>
      </c>
      <c r="AB5" s="695" t="s">
        <v>20</v>
      </c>
      <c r="AC5" s="695" t="s">
        <v>21</v>
      </c>
      <c r="AD5" s="697" t="s">
        <v>359</v>
      </c>
      <c r="AE5" s="697" t="s">
        <v>166</v>
      </c>
      <c r="AF5" s="697" t="s">
        <v>360</v>
      </c>
      <c r="AG5" s="697" t="s">
        <v>361</v>
      </c>
      <c r="AH5" s="697" t="s">
        <v>362</v>
      </c>
      <c r="AI5" s="697" t="s">
        <v>363</v>
      </c>
      <c r="AJ5" s="697" t="s">
        <v>364</v>
      </c>
      <c r="AK5" s="697" t="s">
        <v>365</v>
      </c>
      <c r="AL5" s="698" t="s">
        <v>167</v>
      </c>
      <c r="AM5" s="698" t="s">
        <v>168</v>
      </c>
      <c r="AN5" s="698" t="s">
        <v>169</v>
      </c>
      <c r="AO5" s="697" t="s">
        <v>170</v>
      </c>
      <c r="AP5" s="697" t="s">
        <v>366</v>
      </c>
      <c r="AQ5" s="699" t="s">
        <v>367</v>
      </c>
      <c r="AR5" s="699" t="s">
        <v>368</v>
      </c>
      <c r="AS5" s="699" t="s">
        <v>369</v>
      </c>
      <c r="AT5" s="699" t="s">
        <v>370</v>
      </c>
      <c r="AU5" s="700">
        <v>2024</v>
      </c>
      <c r="AV5" s="486">
        <v>2025</v>
      </c>
      <c r="AW5" s="486">
        <v>2026</v>
      </c>
      <c r="AX5" s="486">
        <v>2027</v>
      </c>
      <c r="AY5" s="486">
        <v>2028</v>
      </c>
      <c r="AZ5" s="486">
        <v>2029</v>
      </c>
      <c r="BA5" s="910">
        <v>2030</v>
      </c>
      <c r="BB5" s="486">
        <v>2024</v>
      </c>
      <c r="BC5" s="486">
        <v>2025</v>
      </c>
      <c r="BD5" s="486">
        <v>2026</v>
      </c>
      <c r="BE5" s="486">
        <v>2027</v>
      </c>
      <c r="BF5" s="486">
        <v>2028</v>
      </c>
      <c r="BG5" s="486">
        <v>2029</v>
      </c>
      <c r="BH5" s="479">
        <v>2030</v>
      </c>
      <c r="BI5" s="700">
        <v>2024</v>
      </c>
      <c r="BJ5" s="486">
        <v>2025</v>
      </c>
      <c r="BK5" s="486">
        <v>2026</v>
      </c>
      <c r="BL5" s="486">
        <v>2027</v>
      </c>
      <c r="BM5" s="486">
        <v>2028</v>
      </c>
      <c r="BN5" s="486">
        <v>2029</v>
      </c>
      <c r="BO5" s="910">
        <v>2030</v>
      </c>
      <c r="BP5" s="700">
        <v>2024</v>
      </c>
      <c r="BQ5" s="486">
        <v>2025</v>
      </c>
      <c r="BR5" s="486">
        <v>2026</v>
      </c>
      <c r="BS5" s="486">
        <v>2027</v>
      </c>
      <c r="BT5" s="486">
        <v>2028</v>
      </c>
      <c r="BU5" s="486">
        <v>2029</v>
      </c>
      <c r="BV5" s="910">
        <v>2030</v>
      </c>
      <c r="BW5" s="700">
        <v>2024</v>
      </c>
      <c r="BX5" s="486">
        <v>2025</v>
      </c>
      <c r="BY5" s="486">
        <v>2026</v>
      </c>
      <c r="BZ5" s="486">
        <v>2027</v>
      </c>
      <c r="CA5" s="486">
        <v>2028</v>
      </c>
      <c r="CB5" s="486">
        <v>2029</v>
      </c>
      <c r="CC5" s="910">
        <v>2030</v>
      </c>
      <c r="CD5" s="700">
        <v>2024</v>
      </c>
      <c r="CE5" s="486">
        <v>2025</v>
      </c>
      <c r="CF5" s="486">
        <v>2026</v>
      </c>
      <c r="CG5" s="486">
        <v>2027</v>
      </c>
      <c r="CH5" s="486">
        <v>2028</v>
      </c>
      <c r="CI5" s="486">
        <v>2029</v>
      </c>
      <c r="CJ5" s="910">
        <v>2030</v>
      </c>
      <c r="CK5" s="700">
        <v>2024</v>
      </c>
      <c r="CL5" s="486">
        <v>2025</v>
      </c>
      <c r="CM5" s="486">
        <v>2026</v>
      </c>
      <c r="CN5" s="486">
        <v>2027</v>
      </c>
      <c r="CO5" s="486">
        <v>2028</v>
      </c>
      <c r="CP5" s="486">
        <v>2029</v>
      </c>
      <c r="CQ5" s="910">
        <v>2030</v>
      </c>
      <c r="CR5" s="700">
        <v>2024</v>
      </c>
      <c r="CS5" s="486">
        <v>2025</v>
      </c>
      <c r="CT5" s="486">
        <v>2026</v>
      </c>
      <c r="CU5" s="486">
        <v>2027</v>
      </c>
      <c r="CV5" s="486">
        <v>2028</v>
      </c>
      <c r="CW5" s="486">
        <v>2029</v>
      </c>
      <c r="CX5" s="910">
        <v>2030</v>
      </c>
      <c r="CY5" s="700">
        <v>2024</v>
      </c>
      <c r="CZ5" s="486">
        <v>2025</v>
      </c>
      <c r="DA5" s="486">
        <v>2026</v>
      </c>
      <c r="DB5" s="486">
        <v>2027</v>
      </c>
      <c r="DC5" s="486">
        <v>2028</v>
      </c>
      <c r="DD5" s="486">
        <v>2029</v>
      </c>
      <c r="DE5" s="910">
        <v>2030</v>
      </c>
      <c r="DF5" s="700">
        <v>2024</v>
      </c>
      <c r="DG5" s="486">
        <v>2025</v>
      </c>
      <c r="DH5" s="486">
        <v>2026</v>
      </c>
      <c r="DI5" s="486">
        <v>2027</v>
      </c>
      <c r="DJ5" s="486">
        <v>2028</v>
      </c>
      <c r="DK5" s="486">
        <v>2029</v>
      </c>
      <c r="DL5" s="910">
        <v>2030</v>
      </c>
      <c r="DM5" s="485">
        <v>2024</v>
      </c>
      <c r="DN5" s="486">
        <v>2025</v>
      </c>
      <c r="DO5" s="486">
        <v>2026</v>
      </c>
      <c r="DP5" s="486">
        <v>2027</v>
      </c>
      <c r="DQ5" s="486">
        <v>2028</v>
      </c>
      <c r="DR5" s="486">
        <v>2029</v>
      </c>
      <c r="DS5" s="910">
        <v>2030</v>
      </c>
      <c r="DT5" s="486">
        <v>2024</v>
      </c>
      <c r="DU5" s="486">
        <v>2025</v>
      </c>
      <c r="DV5" s="486">
        <v>2026</v>
      </c>
      <c r="DW5" s="486">
        <v>2027</v>
      </c>
      <c r="DX5" s="486">
        <v>2028</v>
      </c>
      <c r="DY5" s="486">
        <v>2029</v>
      </c>
      <c r="DZ5" s="479">
        <v>2030</v>
      </c>
      <c r="EA5" s="700">
        <v>2024</v>
      </c>
      <c r="EB5" s="486">
        <v>2025</v>
      </c>
      <c r="EC5" s="486">
        <v>2026</v>
      </c>
      <c r="ED5" s="486">
        <v>2027</v>
      </c>
      <c r="EE5" s="486">
        <v>2028</v>
      </c>
      <c r="EF5" s="486">
        <v>2029</v>
      </c>
      <c r="EG5" s="910">
        <v>2030</v>
      </c>
      <c r="EH5" s="700">
        <v>2024</v>
      </c>
      <c r="EI5" s="486">
        <v>2025</v>
      </c>
      <c r="EJ5" s="486">
        <v>2026</v>
      </c>
      <c r="EK5" s="486">
        <v>2027</v>
      </c>
      <c r="EL5" s="486">
        <v>2028</v>
      </c>
      <c r="EM5" s="486">
        <v>2029</v>
      </c>
      <c r="EN5" s="910">
        <v>2030</v>
      </c>
      <c r="EO5" s="514" t="s">
        <v>9</v>
      </c>
      <c r="EP5" s="659" t="s">
        <v>139</v>
      </c>
      <c r="EQ5" s="659" t="s">
        <v>140</v>
      </c>
      <c r="ER5" s="659" t="s">
        <v>141</v>
      </c>
      <c r="ES5" s="659" t="s">
        <v>142</v>
      </c>
      <c r="ET5" s="659" t="s">
        <v>12</v>
      </c>
      <c r="EU5" s="659" t="s">
        <v>13</v>
      </c>
      <c r="EV5" s="659" t="s">
        <v>14</v>
      </c>
    </row>
    <row r="6" spans="1:161" s="10" customFormat="1" ht="12.75" customHeight="1">
      <c r="A6" s="662">
        <v>1</v>
      </c>
      <c r="B6" s="703" t="s">
        <v>1896</v>
      </c>
      <c r="C6" s="715" t="s">
        <v>1897</v>
      </c>
      <c r="D6" s="715" t="s">
        <v>1514</v>
      </c>
      <c r="E6" s="703" t="s">
        <v>1515</v>
      </c>
      <c r="F6" s="1215" t="s">
        <v>402</v>
      </c>
      <c r="G6" s="1216">
        <v>0</v>
      </c>
      <c r="H6" s="704">
        <v>0</v>
      </c>
      <c r="I6" s="706">
        <f>G6+H6</f>
        <v>0</v>
      </c>
      <c r="J6" s="704">
        <v>0</v>
      </c>
      <c r="K6" s="704" t="s">
        <v>378</v>
      </c>
      <c r="L6" s="704" t="s">
        <v>378</v>
      </c>
      <c r="M6" s="715">
        <v>0</v>
      </c>
      <c r="N6" s="1122">
        <v>60</v>
      </c>
      <c r="O6" s="707">
        <v>0</v>
      </c>
      <c r="P6" s="709">
        <f>10*12</f>
        <v>120</v>
      </c>
      <c r="Q6" s="710">
        <v>0</v>
      </c>
      <c r="R6" s="710">
        <v>0.4</v>
      </c>
      <c r="S6" s="710">
        <v>0</v>
      </c>
      <c r="T6" s="913"/>
      <c r="U6" s="712">
        <v>0.05</v>
      </c>
      <c r="V6" s="713">
        <v>1</v>
      </c>
      <c r="W6" s="714">
        <f>$AC$6*W13</f>
        <v>750</v>
      </c>
      <c r="X6" s="714">
        <f t="shared" ref="X6:AB6" si="2">$AC$6*X13</f>
        <v>1500</v>
      </c>
      <c r="Y6" s="714">
        <f t="shared" si="2"/>
        <v>2250</v>
      </c>
      <c r="Z6" s="714">
        <f t="shared" si="2"/>
        <v>3000</v>
      </c>
      <c r="AA6" s="714">
        <f t="shared" si="2"/>
        <v>4500</v>
      </c>
      <c r="AB6" s="714">
        <f t="shared" si="2"/>
        <v>6000</v>
      </c>
      <c r="AC6" s="714">
        <f>AB25</f>
        <v>7500</v>
      </c>
      <c r="AD6" s="711" t="s">
        <v>384</v>
      </c>
      <c r="AE6" s="711" t="s">
        <v>375</v>
      </c>
      <c r="AF6" s="711" t="s">
        <v>377</v>
      </c>
      <c r="AG6" s="711" t="s">
        <v>1898</v>
      </c>
      <c r="AH6" s="711" t="s">
        <v>1</v>
      </c>
      <c r="AI6" s="711" t="s">
        <v>378</v>
      </c>
      <c r="AJ6" s="711" t="s">
        <v>378</v>
      </c>
      <c r="AK6" s="711" t="s">
        <v>378</v>
      </c>
      <c r="AL6" s="715" t="s">
        <v>872</v>
      </c>
      <c r="AM6" s="715" t="s">
        <v>380</v>
      </c>
      <c r="AN6" s="715" t="s">
        <v>381</v>
      </c>
      <c r="AO6" s="661">
        <v>1</v>
      </c>
      <c r="AP6" s="661">
        <f>AO6</f>
        <v>1</v>
      </c>
      <c r="AQ6" s="711" t="s">
        <v>382</v>
      </c>
      <c r="AR6" s="716">
        <v>1</v>
      </c>
      <c r="AS6" s="716">
        <v>1</v>
      </c>
      <c r="AT6" s="717">
        <v>0</v>
      </c>
      <c r="AU6" s="774">
        <f t="shared" ref="AU6" si="3">I6</f>
        <v>0</v>
      </c>
      <c r="AV6" s="503">
        <f t="shared" ref="AV6:AW6" si="4">AU6</f>
        <v>0</v>
      </c>
      <c r="AW6" s="503">
        <f t="shared" si="4"/>
        <v>0</v>
      </c>
      <c r="AX6" s="503">
        <f t="shared" ref="AX6:BA6" si="5">AU6</f>
        <v>0</v>
      </c>
      <c r="AY6" s="503">
        <f t="shared" si="5"/>
        <v>0</v>
      </c>
      <c r="AZ6" s="503">
        <f t="shared" si="5"/>
        <v>0</v>
      </c>
      <c r="BA6" s="776">
        <f t="shared" si="5"/>
        <v>0</v>
      </c>
      <c r="BB6" s="503">
        <f t="shared" ref="BB6" si="6">J6</f>
        <v>0</v>
      </c>
      <c r="BC6" s="503">
        <f t="shared" ref="BC6:BD6" si="7">BB6</f>
        <v>0</v>
      </c>
      <c r="BD6" s="503">
        <f t="shared" si="7"/>
        <v>0</v>
      </c>
      <c r="BE6" s="503">
        <f>BD6</f>
        <v>0</v>
      </c>
      <c r="BF6" s="503">
        <f t="shared" ref="BF6" si="8">BE6</f>
        <v>0</v>
      </c>
      <c r="BG6" s="503">
        <f>BF6</f>
        <v>0</v>
      </c>
      <c r="BH6" s="645">
        <f>BG6</f>
        <v>0</v>
      </c>
      <c r="BI6" s="774">
        <f>IFERROR(N6+O6+W6*50/W6,0)</f>
        <v>110</v>
      </c>
      <c r="BJ6" s="503">
        <f>IFERROR($N6+$O6+(X6-W6)*50/X6,0)</f>
        <v>85</v>
      </c>
      <c r="BK6" s="503">
        <f>IFERROR($N6+$O6+(Y6-X6)*50/Y6,0)</f>
        <v>76.666666666666671</v>
      </c>
      <c r="BL6" s="503">
        <f t="shared" ref="BL6:BO10" si="9">IFERROR($N6+$O6+(Z6-Y6)*50/Z6,0)</f>
        <v>72.5</v>
      </c>
      <c r="BM6" s="503">
        <f t="shared" si="9"/>
        <v>76.666666666666671</v>
      </c>
      <c r="BN6" s="503">
        <f t="shared" si="9"/>
        <v>72.5</v>
      </c>
      <c r="BO6" s="776">
        <f>IFERROR($N6+$O6+(AC6-AB6)*50/AC6,0)</f>
        <v>70</v>
      </c>
      <c r="BP6" s="774">
        <f t="shared" ref="BP6:BV10" si="10">$P6</f>
        <v>120</v>
      </c>
      <c r="BQ6" s="503">
        <f t="shared" si="10"/>
        <v>120</v>
      </c>
      <c r="BR6" s="503">
        <f t="shared" si="10"/>
        <v>120</v>
      </c>
      <c r="BS6" s="503">
        <f t="shared" si="10"/>
        <v>120</v>
      </c>
      <c r="BT6" s="503">
        <f t="shared" si="10"/>
        <v>120</v>
      </c>
      <c r="BU6" s="503">
        <f t="shared" si="10"/>
        <v>120</v>
      </c>
      <c r="BV6" s="776">
        <f t="shared" si="10"/>
        <v>120</v>
      </c>
      <c r="BW6" s="722">
        <f t="shared" ref="BW6" si="11">Q6*AS6</f>
        <v>0</v>
      </c>
      <c r="BX6" s="511">
        <f t="shared" ref="BX6:BY6" si="12">BW6</f>
        <v>0</v>
      </c>
      <c r="BY6" s="511">
        <f t="shared" si="12"/>
        <v>0</v>
      </c>
      <c r="BZ6" s="511">
        <f>BY6</f>
        <v>0</v>
      </c>
      <c r="CA6" s="511">
        <f t="shared" ref="CA6:CC6" si="13">BZ6</f>
        <v>0</v>
      </c>
      <c r="CB6" s="511">
        <f t="shared" si="13"/>
        <v>0</v>
      </c>
      <c r="CC6" s="723">
        <f t="shared" si="13"/>
        <v>0</v>
      </c>
      <c r="CD6" s="722">
        <f t="shared" ref="CD6" si="14">R6*AS6</f>
        <v>0.4</v>
      </c>
      <c r="CE6" s="511">
        <f t="shared" ref="CE6:CF6" si="15">CD6</f>
        <v>0.4</v>
      </c>
      <c r="CF6" s="511">
        <f t="shared" si="15"/>
        <v>0.4</v>
      </c>
      <c r="CG6" s="511">
        <f>CF6</f>
        <v>0.4</v>
      </c>
      <c r="CH6" s="511">
        <f t="shared" ref="CH6:CJ6" si="16">CG6</f>
        <v>0.4</v>
      </c>
      <c r="CI6" s="511">
        <f t="shared" si="16"/>
        <v>0.4</v>
      </c>
      <c r="CJ6" s="723">
        <f t="shared" si="16"/>
        <v>0.4</v>
      </c>
      <c r="CK6" s="722">
        <f t="shared" ref="CK6" si="17">S6*AT6</f>
        <v>0</v>
      </c>
      <c r="CL6" s="511">
        <f t="shared" ref="CL6:CM6" si="18">CK6</f>
        <v>0</v>
      </c>
      <c r="CM6" s="511">
        <f t="shared" si="18"/>
        <v>0</v>
      </c>
      <c r="CN6" s="511">
        <f>CM6</f>
        <v>0</v>
      </c>
      <c r="CO6" s="511">
        <f t="shared" ref="CO6:CQ6" si="19">CN6</f>
        <v>0</v>
      </c>
      <c r="CP6" s="511">
        <f t="shared" si="19"/>
        <v>0</v>
      </c>
      <c r="CQ6" s="723">
        <f t="shared" si="19"/>
        <v>0</v>
      </c>
      <c r="CR6" s="774">
        <f t="shared" ref="CR6:CX6" si="20">W6*AU6</f>
        <v>0</v>
      </c>
      <c r="CS6" s="503">
        <f t="shared" si="20"/>
        <v>0</v>
      </c>
      <c r="CT6" s="503">
        <f t="shared" si="20"/>
        <v>0</v>
      </c>
      <c r="CU6" s="503">
        <f t="shared" si="20"/>
        <v>0</v>
      </c>
      <c r="CV6" s="503">
        <f t="shared" si="20"/>
        <v>0</v>
      </c>
      <c r="CW6" s="503">
        <f t="shared" si="20"/>
        <v>0</v>
      </c>
      <c r="CX6" s="776">
        <f t="shared" si="20"/>
        <v>0</v>
      </c>
      <c r="CY6" s="774">
        <f t="shared" ref="CY6:DE6" si="21">W6*BB6</f>
        <v>0</v>
      </c>
      <c r="CZ6" s="503">
        <f t="shared" si="21"/>
        <v>0</v>
      </c>
      <c r="DA6" s="503">
        <f t="shared" si="21"/>
        <v>0</v>
      </c>
      <c r="DB6" s="503">
        <f t="shared" si="21"/>
        <v>0</v>
      </c>
      <c r="DC6" s="503">
        <f t="shared" si="21"/>
        <v>0</v>
      </c>
      <c r="DD6" s="503">
        <f t="shared" si="21"/>
        <v>0</v>
      </c>
      <c r="DE6" s="776">
        <f t="shared" si="21"/>
        <v>0</v>
      </c>
      <c r="DF6" s="774">
        <f t="shared" ref="DF6:DL6" si="22">W6*BI6</f>
        <v>82500</v>
      </c>
      <c r="DG6" s="503">
        <f t="shared" si="22"/>
        <v>127500</v>
      </c>
      <c r="DH6" s="503">
        <f t="shared" si="22"/>
        <v>172500</v>
      </c>
      <c r="DI6" s="503">
        <f t="shared" si="22"/>
        <v>217500</v>
      </c>
      <c r="DJ6" s="503">
        <f t="shared" si="22"/>
        <v>345000</v>
      </c>
      <c r="DK6" s="503">
        <f t="shared" si="22"/>
        <v>435000</v>
      </c>
      <c r="DL6" s="776">
        <f t="shared" si="22"/>
        <v>525000</v>
      </c>
      <c r="DM6" s="497">
        <f>BP6*W6</f>
        <v>90000</v>
      </c>
      <c r="DN6" s="503">
        <f t="shared" ref="DN6:DS6" si="23">BQ6*X6</f>
        <v>180000</v>
      </c>
      <c r="DO6" s="503">
        <f t="shared" si="23"/>
        <v>270000</v>
      </c>
      <c r="DP6" s="503">
        <f t="shared" si="23"/>
        <v>360000</v>
      </c>
      <c r="DQ6" s="503">
        <f t="shared" si="23"/>
        <v>540000</v>
      </c>
      <c r="DR6" s="503">
        <f t="shared" si="23"/>
        <v>720000</v>
      </c>
      <c r="DS6" s="776">
        <f t="shared" si="23"/>
        <v>900000</v>
      </c>
      <c r="DT6" s="511">
        <f t="shared" ref="DT6:DZ6" si="24">W6*BW6</f>
        <v>0</v>
      </c>
      <c r="DU6" s="511">
        <f t="shared" si="24"/>
        <v>0</v>
      </c>
      <c r="DV6" s="511">
        <f t="shared" si="24"/>
        <v>0</v>
      </c>
      <c r="DW6" s="511">
        <f t="shared" si="24"/>
        <v>0</v>
      </c>
      <c r="DX6" s="511">
        <f t="shared" si="24"/>
        <v>0</v>
      </c>
      <c r="DY6" s="511">
        <f t="shared" si="24"/>
        <v>0</v>
      </c>
      <c r="DZ6" s="539">
        <f t="shared" si="24"/>
        <v>0</v>
      </c>
      <c r="EA6" s="722">
        <f t="shared" ref="EA6:EG6" si="25">W6*CD6</f>
        <v>300</v>
      </c>
      <c r="EB6" s="511">
        <f t="shared" si="25"/>
        <v>600</v>
      </c>
      <c r="EC6" s="511">
        <f t="shared" si="25"/>
        <v>900</v>
      </c>
      <c r="ED6" s="511">
        <f t="shared" si="25"/>
        <v>1200</v>
      </c>
      <c r="EE6" s="511">
        <f t="shared" si="25"/>
        <v>1800</v>
      </c>
      <c r="EF6" s="511">
        <f t="shared" si="25"/>
        <v>2400</v>
      </c>
      <c r="EG6" s="723">
        <f t="shared" si="25"/>
        <v>3000</v>
      </c>
      <c r="EH6" s="722">
        <f t="shared" ref="EH6:EN6" si="26">W6*CK6</f>
        <v>0</v>
      </c>
      <c r="EI6" s="511">
        <f t="shared" si="26"/>
        <v>0</v>
      </c>
      <c r="EJ6" s="511">
        <f t="shared" si="26"/>
        <v>0</v>
      </c>
      <c r="EK6" s="511">
        <f t="shared" si="26"/>
        <v>0</v>
      </c>
      <c r="EL6" s="511">
        <f t="shared" si="26"/>
        <v>0</v>
      </c>
      <c r="EM6" s="511">
        <f t="shared" si="26"/>
        <v>0</v>
      </c>
      <c r="EN6" s="723">
        <f t="shared" si="26"/>
        <v>0</v>
      </c>
      <c r="EO6" s="507">
        <f>SUM(W6:AC6)</f>
        <v>25500</v>
      </c>
      <c r="EP6" s="503">
        <f>SUM(CR6:CX6)</f>
        <v>0</v>
      </c>
      <c r="EQ6" s="503">
        <f>SUM(CY6:DE6)</f>
        <v>0</v>
      </c>
      <c r="ER6" s="503">
        <f>SUM(DF6:DL6)</f>
        <v>1905000</v>
      </c>
      <c r="ES6" s="503">
        <f>SUM(DM6:DS6)</f>
        <v>3060000</v>
      </c>
      <c r="ET6" s="978">
        <f>SUM(DT6:DZ6)</f>
        <v>0</v>
      </c>
      <c r="EU6" s="978">
        <f>MAX(EA6:EG6)</f>
        <v>3000</v>
      </c>
      <c r="EV6" s="511">
        <f>SUM(EH6:EN6)</f>
        <v>0</v>
      </c>
      <c r="EX6" s="10" t="b">
        <f t="shared" ref="EX6:FE6" si="27">EO6=SUM(EO8,EO10)</f>
        <v>1</v>
      </c>
      <c r="EY6" s="10" t="b">
        <f t="shared" si="27"/>
        <v>1</v>
      </c>
      <c r="EZ6" s="10" t="b">
        <f t="shared" si="27"/>
        <v>1</v>
      </c>
      <c r="FA6" s="10" t="b">
        <f t="shared" si="27"/>
        <v>1</v>
      </c>
      <c r="FB6" s="10" t="b">
        <f t="shared" si="27"/>
        <v>1</v>
      </c>
      <c r="FC6" s="10" t="b">
        <f t="shared" si="27"/>
        <v>1</v>
      </c>
      <c r="FD6" s="10" t="b">
        <f t="shared" si="27"/>
        <v>1</v>
      </c>
      <c r="FE6" s="10" t="b">
        <f t="shared" si="27"/>
        <v>1</v>
      </c>
    </row>
    <row r="7" spans="1:161" s="10" customFormat="1" ht="12.75" customHeight="1">
      <c r="A7" s="729"/>
      <c r="B7" s="730"/>
      <c r="C7" s="730"/>
      <c r="D7" s="730"/>
      <c r="E7" s="730"/>
      <c r="F7" s="731"/>
      <c r="G7" s="731"/>
      <c r="H7" s="731"/>
      <c r="I7" s="732"/>
      <c r="J7" s="731"/>
      <c r="K7" s="732"/>
      <c r="L7" s="733"/>
      <c r="M7" s="734"/>
      <c r="N7" s="734"/>
      <c r="O7" s="734"/>
      <c r="P7" s="735"/>
      <c r="Q7" s="736"/>
      <c r="R7" s="737"/>
      <c r="S7" s="737"/>
      <c r="T7" s="733"/>
      <c r="U7" s="738"/>
      <c r="V7" s="739"/>
      <c r="W7" s="742"/>
      <c r="X7" s="742"/>
      <c r="Y7" s="742"/>
      <c r="Z7" s="742"/>
      <c r="AA7" s="742"/>
      <c r="AB7" s="742"/>
      <c r="AC7" s="742"/>
      <c r="AD7" s="733"/>
      <c r="AE7" s="733"/>
      <c r="AF7" s="733"/>
      <c r="AG7" s="733"/>
      <c r="AH7" s="733"/>
      <c r="AI7" s="733"/>
      <c r="AJ7" s="733"/>
      <c r="AK7" s="733"/>
      <c r="AL7" s="743"/>
      <c r="AM7" s="743"/>
      <c r="AN7" s="743"/>
      <c r="AO7" s="740"/>
      <c r="AP7" s="740"/>
      <c r="AQ7" s="733"/>
      <c r="AR7" s="733"/>
      <c r="AS7" s="733"/>
      <c r="AT7" s="744"/>
      <c r="AU7" s="745"/>
      <c r="AV7" s="746"/>
      <c r="AW7" s="746"/>
      <c r="AX7" s="746"/>
      <c r="AY7" s="746"/>
      <c r="AZ7" s="746"/>
      <c r="BA7" s="747"/>
      <c r="BB7" s="746"/>
      <c r="BC7" s="746"/>
      <c r="BD7" s="746"/>
      <c r="BE7" s="746"/>
      <c r="BF7" s="746"/>
      <c r="BG7" s="746"/>
      <c r="BH7" s="749"/>
      <c r="BI7" s="745"/>
      <c r="BJ7" s="746"/>
      <c r="BK7" s="746"/>
      <c r="BL7" s="746"/>
      <c r="BM7" s="746"/>
      <c r="BN7" s="746"/>
      <c r="BO7" s="747"/>
      <c r="BP7" s="745"/>
      <c r="BQ7" s="746"/>
      <c r="BR7" s="746"/>
      <c r="BS7" s="746"/>
      <c r="BT7" s="746"/>
      <c r="BU7" s="746"/>
      <c r="BV7" s="747"/>
      <c r="BW7" s="750"/>
      <c r="BX7" s="487"/>
      <c r="BY7" s="487"/>
      <c r="BZ7" s="487"/>
      <c r="CA7" s="487"/>
      <c r="CB7" s="487"/>
      <c r="CC7" s="751"/>
      <c r="CD7" s="750"/>
      <c r="CE7" s="487"/>
      <c r="CF7" s="487"/>
      <c r="CG7" s="487"/>
      <c r="CH7" s="487"/>
      <c r="CI7" s="487"/>
      <c r="CJ7" s="751"/>
      <c r="CK7" s="750"/>
      <c r="CL7" s="487"/>
      <c r="CM7" s="487"/>
      <c r="CN7" s="487"/>
      <c r="CO7" s="487"/>
      <c r="CP7" s="487"/>
      <c r="CQ7" s="751"/>
      <c r="CR7" s="752"/>
      <c r="CS7" s="492"/>
      <c r="CT7" s="492"/>
      <c r="CU7" s="492"/>
      <c r="CV7" s="492"/>
      <c r="CW7" s="492"/>
      <c r="CX7" s="753"/>
      <c r="CY7" s="752"/>
      <c r="CZ7" s="492"/>
      <c r="DA7" s="492"/>
      <c r="DB7" s="492"/>
      <c r="DC7" s="492"/>
      <c r="DD7" s="492"/>
      <c r="DE7" s="753"/>
      <c r="DF7" s="752"/>
      <c r="DG7" s="492"/>
      <c r="DH7" s="492"/>
      <c r="DI7" s="492"/>
      <c r="DJ7" s="492"/>
      <c r="DK7" s="492"/>
      <c r="DL7" s="753"/>
      <c r="DM7" s="491"/>
      <c r="DN7" s="492"/>
      <c r="DO7" s="492"/>
      <c r="DP7" s="492"/>
      <c r="DQ7" s="492"/>
      <c r="DR7" s="492"/>
      <c r="DS7" s="753"/>
      <c r="DT7" s="487"/>
      <c r="DU7" s="487"/>
      <c r="DV7" s="487"/>
      <c r="DW7" s="487"/>
      <c r="DX7" s="487"/>
      <c r="DY7" s="487"/>
      <c r="DZ7" s="513"/>
      <c r="EA7" s="750"/>
      <c r="EB7" s="487"/>
      <c r="EC7" s="487"/>
      <c r="ED7" s="487"/>
      <c r="EE7" s="487"/>
      <c r="EF7" s="487"/>
      <c r="EG7" s="751"/>
      <c r="EH7" s="750"/>
      <c r="EI7" s="487"/>
      <c r="EJ7" s="487"/>
      <c r="EK7" s="487"/>
      <c r="EL7" s="487"/>
      <c r="EM7" s="487"/>
      <c r="EN7" s="751"/>
      <c r="EO7" s="515"/>
      <c r="EP7" s="755"/>
      <c r="EQ7" s="755"/>
      <c r="ER7" s="755"/>
      <c r="ES7" s="755"/>
      <c r="ET7" s="756"/>
      <c r="EU7" s="756"/>
      <c r="EV7" s="757"/>
    </row>
    <row r="8" spans="1:161" s="10" customFormat="1" ht="12.75" customHeight="1">
      <c r="A8" s="661" t="s">
        <v>171</v>
      </c>
      <c r="B8" s="703" t="str">
        <f>"KU-"&amp;B6</f>
        <v>KU-Residential - EV Charger Demand Conservation</v>
      </c>
      <c r="C8" s="703" t="str">
        <f t="shared" ref="C8:V8" si="28">C6</f>
        <v>This product targets customers with EV chargers and pays participants an incentive to curtail load all year round</v>
      </c>
      <c r="D8" s="703" t="str">
        <f t="shared" si="28"/>
        <v>No demand conservation</v>
      </c>
      <c r="E8" s="703" t="str">
        <f t="shared" si="28"/>
        <v>Per Customer</v>
      </c>
      <c r="F8" s="703" t="str">
        <f t="shared" si="28"/>
        <v>Incremental Cost</v>
      </c>
      <c r="G8" s="703">
        <f t="shared" si="28"/>
        <v>0</v>
      </c>
      <c r="H8" s="703">
        <f t="shared" si="28"/>
        <v>0</v>
      </c>
      <c r="I8" s="703">
        <f t="shared" si="28"/>
        <v>0</v>
      </c>
      <c r="J8" s="703">
        <f t="shared" si="28"/>
        <v>0</v>
      </c>
      <c r="K8" s="703" t="str">
        <f t="shared" si="28"/>
        <v>NA</v>
      </c>
      <c r="L8" s="703" t="str">
        <f t="shared" si="28"/>
        <v>NA</v>
      </c>
      <c r="M8" s="703">
        <f t="shared" si="28"/>
        <v>0</v>
      </c>
      <c r="N8" s="1122">
        <f>N6</f>
        <v>60</v>
      </c>
      <c r="O8" s="703">
        <f t="shared" si="28"/>
        <v>0</v>
      </c>
      <c r="P8" s="709">
        <f t="shared" si="28"/>
        <v>120</v>
      </c>
      <c r="Q8" s="703">
        <f t="shared" si="28"/>
        <v>0</v>
      </c>
      <c r="R8" s="703">
        <f t="shared" si="28"/>
        <v>0.4</v>
      </c>
      <c r="S8" s="703">
        <f t="shared" si="28"/>
        <v>0</v>
      </c>
      <c r="T8" s="703"/>
      <c r="U8" s="703">
        <f t="shared" si="28"/>
        <v>0.05</v>
      </c>
      <c r="V8" s="703">
        <f t="shared" si="28"/>
        <v>1</v>
      </c>
      <c r="W8" s="714">
        <f t="shared" ref="W8:AC8" si="29">W6*0.5</f>
        <v>375</v>
      </c>
      <c r="X8" s="714">
        <f t="shared" si="29"/>
        <v>750</v>
      </c>
      <c r="Y8" s="714">
        <f t="shared" si="29"/>
        <v>1125</v>
      </c>
      <c r="Z8" s="714">
        <f t="shared" si="29"/>
        <v>1500</v>
      </c>
      <c r="AA8" s="714">
        <f t="shared" si="29"/>
        <v>2250</v>
      </c>
      <c r="AB8" s="714">
        <f t="shared" si="29"/>
        <v>3000</v>
      </c>
      <c r="AC8" s="714">
        <f t="shared" si="29"/>
        <v>3750</v>
      </c>
      <c r="AD8" s="711" t="s">
        <v>384</v>
      </c>
      <c r="AE8" s="711" t="str">
        <f>AE6</f>
        <v>Residential</v>
      </c>
      <c r="AF8" s="711" t="str">
        <f>AF6</f>
        <v>All</v>
      </c>
      <c r="AG8" s="711" t="str">
        <f>AG6</f>
        <v>Plug Load</v>
      </c>
      <c r="AH8" s="711" t="str">
        <f>AH6</f>
        <v>Existing</v>
      </c>
      <c r="AI8" s="711" t="s">
        <v>378</v>
      </c>
      <c r="AJ8" s="711" t="s">
        <v>378</v>
      </c>
      <c r="AK8" s="711" t="s">
        <v>378</v>
      </c>
      <c r="AL8" s="715" t="s">
        <v>872</v>
      </c>
      <c r="AM8" s="715" t="s">
        <v>380</v>
      </c>
      <c r="AN8" s="715" t="s">
        <v>385</v>
      </c>
      <c r="AO8" s="661">
        <v>1</v>
      </c>
      <c r="AP8" s="661">
        <v>1</v>
      </c>
      <c r="AQ8" s="711" t="s">
        <v>382</v>
      </c>
      <c r="AR8" s="716">
        <v>1</v>
      </c>
      <c r="AS8" s="716">
        <v>1</v>
      </c>
      <c r="AT8" s="717">
        <v>0</v>
      </c>
      <c r="AU8" s="774">
        <f t="shared" ref="AU8" si="30">I8</f>
        <v>0</v>
      </c>
      <c r="AV8" s="503">
        <f t="shared" ref="AV8:AW8" si="31">AU8</f>
        <v>0</v>
      </c>
      <c r="AW8" s="503">
        <f t="shared" si="31"/>
        <v>0</v>
      </c>
      <c r="AX8" s="503">
        <f t="shared" ref="AX8:BA8" si="32">AU8</f>
        <v>0</v>
      </c>
      <c r="AY8" s="503">
        <f t="shared" si="32"/>
        <v>0</v>
      </c>
      <c r="AZ8" s="503">
        <f t="shared" si="32"/>
        <v>0</v>
      </c>
      <c r="BA8" s="776">
        <f t="shared" si="32"/>
        <v>0</v>
      </c>
      <c r="BB8" s="503">
        <f t="shared" ref="BB8" si="33">J8</f>
        <v>0</v>
      </c>
      <c r="BC8" s="503">
        <f t="shared" ref="BC8:BD8" si="34">BB8</f>
        <v>0</v>
      </c>
      <c r="BD8" s="503">
        <f t="shared" si="34"/>
        <v>0</v>
      </c>
      <c r="BE8" s="503">
        <f>BD8</f>
        <v>0</v>
      </c>
      <c r="BF8" s="503">
        <f t="shared" ref="BF8" si="35">BE8</f>
        <v>0</v>
      </c>
      <c r="BG8" s="503">
        <f>BF8</f>
        <v>0</v>
      </c>
      <c r="BH8" s="645">
        <f>BG8</f>
        <v>0</v>
      </c>
      <c r="BI8" s="774">
        <f t="shared" ref="BI8:BI10" si="36">IFERROR(N8+O8+W8*50/W8,0)</f>
        <v>110</v>
      </c>
      <c r="BJ8" s="503">
        <f t="shared" ref="BJ8:BJ10" si="37">IFERROR($N8+$O8+(X8-W8)*50/X8,0)</f>
        <v>85</v>
      </c>
      <c r="BK8" s="503">
        <f t="shared" ref="BK8:BK10" si="38">IFERROR($N8+$O8+(Y8-X8)*50/Y8,0)</f>
        <v>76.666666666666671</v>
      </c>
      <c r="BL8" s="503">
        <f t="shared" si="9"/>
        <v>72.5</v>
      </c>
      <c r="BM8" s="503">
        <f t="shared" si="9"/>
        <v>76.666666666666671</v>
      </c>
      <c r="BN8" s="503">
        <f t="shared" si="9"/>
        <v>72.5</v>
      </c>
      <c r="BO8" s="776">
        <f t="shared" si="9"/>
        <v>70</v>
      </c>
      <c r="BP8" s="774">
        <f t="shared" si="10"/>
        <v>120</v>
      </c>
      <c r="BQ8" s="503">
        <f t="shared" si="10"/>
        <v>120</v>
      </c>
      <c r="BR8" s="503">
        <f t="shared" si="10"/>
        <v>120</v>
      </c>
      <c r="BS8" s="503">
        <f t="shared" si="10"/>
        <v>120</v>
      </c>
      <c r="BT8" s="503">
        <f t="shared" si="10"/>
        <v>120</v>
      </c>
      <c r="BU8" s="503">
        <f t="shared" si="10"/>
        <v>120</v>
      </c>
      <c r="BV8" s="776">
        <f t="shared" si="10"/>
        <v>120</v>
      </c>
      <c r="BW8" s="722">
        <f t="shared" ref="BW8" si="39">Q8*AS8</f>
        <v>0</v>
      </c>
      <c r="BX8" s="511">
        <f t="shared" ref="BX8:BY8" si="40">BW8</f>
        <v>0</v>
      </c>
      <c r="BY8" s="511">
        <f t="shared" si="40"/>
        <v>0</v>
      </c>
      <c r="BZ8" s="511">
        <f>BY8</f>
        <v>0</v>
      </c>
      <c r="CA8" s="511">
        <f t="shared" ref="CA8:CC8" si="41">BZ8</f>
        <v>0</v>
      </c>
      <c r="CB8" s="511">
        <f t="shared" si="41"/>
        <v>0</v>
      </c>
      <c r="CC8" s="723">
        <f t="shared" si="41"/>
        <v>0</v>
      </c>
      <c r="CD8" s="722">
        <f t="shared" ref="CD8" si="42">R8*AS8</f>
        <v>0.4</v>
      </c>
      <c r="CE8" s="511">
        <f t="shared" ref="CE8:CF8" si="43">CD8</f>
        <v>0.4</v>
      </c>
      <c r="CF8" s="511">
        <f t="shared" si="43"/>
        <v>0.4</v>
      </c>
      <c r="CG8" s="511">
        <f>CF8</f>
        <v>0.4</v>
      </c>
      <c r="CH8" s="511">
        <f t="shared" ref="CH8:CJ8" si="44">CG8</f>
        <v>0.4</v>
      </c>
      <c r="CI8" s="511">
        <f t="shared" si="44"/>
        <v>0.4</v>
      </c>
      <c r="CJ8" s="723">
        <f t="shared" si="44"/>
        <v>0.4</v>
      </c>
      <c r="CK8" s="722">
        <f t="shared" ref="CK8" si="45">S8*AT8</f>
        <v>0</v>
      </c>
      <c r="CL8" s="511">
        <f t="shared" ref="CL8:CM8" si="46">CK8</f>
        <v>0</v>
      </c>
      <c r="CM8" s="511">
        <f t="shared" si="46"/>
        <v>0</v>
      </c>
      <c r="CN8" s="511">
        <f>CM8</f>
        <v>0</v>
      </c>
      <c r="CO8" s="511">
        <f t="shared" ref="CO8:CQ8" si="47">CN8</f>
        <v>0</v>
      </c>
      <c r="CP8" s="511">
        <f t="shared" si="47"/>
        <v>0</v>
      </c>
      <c r="CQ8" s="723">
        <f t="shared" si="47"/>
        <v>0</v>
      </c>
      <c r="CR8" s="774">
        <f t="shared" ref="CR8:CX8" si="48">W8*AU8</f>
        <v>0</v>
      </c>
      <c r="CS8" s="503">
        <f t="shared" si="48"/>
        <v>0</v>
      </c>
      <c r="CT8" s="503">
        <f t="shared" si="48"/>
        <v>0</v>
      </c>
      <c r="CU8" s="503">
        <f t="shared" si="48"/>
        <v>0</v>
      </c>
      <c r="CV8" s="503">
        <f t="shared" si="48"/>
        <v>0</v>
      </c>
      <c r="CW8" s="503">
        <f t="shared" si="48"/>
        <v>0</v>
      </c>
      <c r="CX8" s="776">
        <f t="shared" si="48"/>
        <v>0</v>
      </c>
      <c r="CY8" s="774">
        <f t="shared" ref="CY8:DE8" si="49">W8*BB8</f>
        <v>0</v>
      </c>
      <c r="CZ8" s="503">
        <f t="shared" si="49"/>
        <v>0</v>
      </c>
      <c r="DA8" s="503">
        <f t="shared" si="49"/>
        <v>0</v>
      </c>
      <c r="DB8" s="503">
        <f t="shared" si="49"/>
        <v>0</v>
      </c>
      <c r="DC8" s="503">
        <f t="shared" si="49"/>
        <v>0</v>
      </c>
      <c r="DD8" s="503">
        <f t="shared" si="49"/>
        <v>0</v>
      </c>
      <c r="DE8" s="776">
        <f t="shared" si="49"/>
        <v>0</v>
      </c>
      <c r="DF8" s="774">
        <f t="shared" ref="DF8:DL8" si="50">W8*BI8</f>
        <v>41250</v>
      </c>
      <c r="DG8" s="503">
        <f t="shared" si="50"/>
        <v>63750</v>
      </c>
      <c r="DH8" s="503">
        <f t="shared" si="50"/>
        <v>86250</v>
      </c>
      <c r="DI8" s="503">
        <f t="shared" si="50"/>
        <v>108750</v>
      </c>
      <c r="DJ8" s="503">
        <f t="shared" si="50"/>
        <v>172500</v>
      </c>
      <c r="DK8" s="503">
        <f t="shared" si="50"/>
        <v>217500</v>
      </c>
      <c r="DL8" s="776">
        <f t="shared" si="50"/>
        <v>262500</v>
      </c>
      <c r="DM8" s="497">
        <f t="shared" ref="DM8:DS8" si="51">BP8*W8</f>
        <v>45000</v>
      </c>
      <c r="DN8" s="503">
        <f t="shared" si="51"/>
        <v>90000</v>
      </c>
      <c r="DO8" s="503">
        <f t="shared" si="51"/>
        <v>135000</v>
      </c>
      <c r="DP8" s="503">
        <f t="shared" si="51"/>
        <v>180000</v>
      </c>
      <c r="DQ8" s="503">
        <f t="shared" si="51"/>
        <v>270000</v>
      </c>
      <c r="DR8" s="503">
        <f t="shared" si="51"/>
        <v>360000</v>
      </c>
      <c r="DS8" s="776">
        <f t="shared" si="51"/>
        <v>450000</v>
      </c>
      <c r="DT8" s="511">
        <f t="shared" ref="DT8:DZ8" si="52">W8*BW8</f>
        <v>0</v>
      </c>
      <c r="DU8" s="511">
        <f t="shared" si="52"/>
        <v>0</v>
      </c>
      <c r="DV8" s="511">
        <f t="shared" si="52"/>
        <v>0</v>
      </c>
      <c r="DW8" s="511">
        <f t="shared" si="52"/>
        <v>0</v>
      </c>
      <c r="DX8" s="511">
        <f t="shared" si="52"/>
        <v>0</v>
      </c>
      <c r="DY8" s="511">
        <f t="shared" si="52"/>
        <v>0</v>
      </c>
      <c r="DZ8" s="539">
        <f t="shared" si="52"/>
        <v>0</v>
      </c>
      <c r="EA8" s="722">
        <f t="shared" ref="EA8:EG8" si="53">W8*CD8</f>
        <v>150</v>
      </c>
      <c r="EB8" s="511">
        <f t="shared" si="53"/>
        <v>300</v>
      </c>
      <c r="EC8" s="511">
        <f t="shared" si="53"/>
        <v>450</v>
      </c>
      <c r="ED8" s="511">
        <f t="shared" si="53"/>
        <v>600</v>
      </c>
      <c r="EE8" s="511">
        <f t="shared" si="53"/>
        <v>900</v>
      </c>
      <c r="EF8" s="511">
        <f t="shared" si="53"/>
        <v>1200</v>
      </c>
      <c r="EG8" s="723">
        <f t="shared" si="53"/>
        <v>1500</v>
      </c>
      <c r="EH8" s="722">
        <f t="shared" ref="EH8:EN8" si="54">W8*CK8</f>
        <v>0</v>
      </c>
      <c r="EI8" s="511">
        <f t="shared" si="54"/>
        <v>0</v>
      </c>
      <c r="EJ8" s="511">
        <f t="shared" si="54"/>
        <v>0</v>
      </c>
      <c r="EK8" s="511">
        <f t="shared" si="54"/>
        <v>0</v>
      </c>
      <c r="EL8" s="511">
        <f t="shared" si="54"/>
        <v>0</v>
      </c>
      <c r="EM8" s="511">
        <f t="shared" si="54"/>
        <v>0</v>
      </c>
      <c r="EN8" s="723">
        <f t="shared" si="54"/>
        <v>0</v>
      </c>
      <c r="EO8" s="507">
        <f>SUM(W8:AC8)</f>
        <v>12750</v>
      </c>
      <c r="EP8" s="503">
        <f>SUM(CR8:CX8)</f>
        <v>0</v>
      </c>
      <c r="EQ8" s="503">
        <f>SUM(CY8:DE8)</f>
        <v>0</v>
      </c>
      <c r="ER8" s="503">
        <f>SUM(DF8:DL8)</f>
        <v>952500</v>
      </c>
      <c r="ES8" s="503">
        <f>SUM(DM8:DS8)</f>
        <v>1530000</v>
      </c>
      <c r="ET8" s="978">
        <f>SUM(DT8:DZ8)</f>
        <v>0</v>
      </c>
      <c r="EU8" s="978">
        <f>MAX(EA8:EG8)</f>
        <v>1500</v>
      </c>
      <c r="EV8" s="511">
        <f>SUM(EH8:EN8)</f>
        <v>0</v>
      </c>
    </row>
    <row r="9" spans="1:161" s="10" customFormat="1" ht="12.75" customHeight="1">
      <c r="A9" s="740"/>
      <c r="B9" s="730"/>
      <c r="C9" s="730"/>
      <c r="D9" s="730"/>
      <c r="E9" s="730"/>
      <c r="F9" s="731"/>
      <c r="G9" s="731"/>
      <c r="H9" s="731"/>
      <c r="I9" s="732"/>
      <c r="J9" s="731"/>
      <c r="K9" s="732"/>
      <c r="L9" s="733"/>
      <c r="M9" s="734"/>
      <c r="N9" s="734"/>
      <c r="O9" s="734"/>
      <c r="P9" s="735"/>
      <c r="Q9" s="736"/>
      <c r="R9" s="758"/>
      <c r="S9" s="737"/>
      <c r="T9" s="733"/>
      <c r="U9" s="738"/>
      <c r="V9" s="739"/>
      <c r="W9" s="742"/>
      <c r="X9" s="742"/>
      <c r="Y9" s="742"/>
      <c r="Z9" s="742"/>
      <c r="AA9" s="742"/>
      <c r="AB9" s="742"/>
      <c r="AC9" s="742"/>
      <c r="AD9" s="733"/>
      <c r="AE9" s="733"/>
      <c r="AF9" s="733"/>
      <c r="AG9" s="733"/>
      <c r="AH9" s="733"/>
      <c r="AI9" s="733"/>
      <c r="AJ9" s="733"/>
      <c r="AK9" s="733"/>
      <c r="AL9" s="743"/>
      <c r="AM9" s="743"/>
      <c r="AN9" s="743"/>
      <c r="AO9" s="733"/>
      <c r="AP9" s="733"/>
      <c r="AQ9" s="733"/>
      <c r="AR9" s="733"/>
      <c r="AS9" s="733"/>
      <c r="AT9" s="744"/>
      <c r="AU9" s="745"/>
      <c r="AV9" s="746"/>
      <c r="AW9" s="746"/>
      <c r="AX9" s="746"/>
      <c r="AY9" s="746"/>
      <c r="AZ9" s="746"/>
      <c r="BA9" s="747"/>
      <c r="BB9" s="746"/>
      <c r="BC9" s="746"/>
      <c r="BD9" s="746"/>
      <c r="BE9" s="746"/>
      <c r="BF9" s="746"/>
      <c r="BG9" s="746"/>
      <c r="BH9" s="749"/>
      <c r="BI9" s="745"/>
      <c r="BJ9" s="746"/>
      <c r="BK9" s="746"/>
      <c r="BL9" s="746"/>
      <c r="BM9" s="746"/>
      <c r="BN9" s="746"/>
      <c r="BO9" s="747"/>
      <c r="BP9" s="745"/>
      <c r="BQ9" s="746"/>
      <c r="BR9" s="746"/>
      <c r="BS9" s="746"/>
      <c r="BT9" s="746"/>
      <c r="BU9" s="746"/>
      <c r="BV9" s="747"/>
      <c r="BW9" s="750"/>
      <c r="BX9" s="487"/>
      <c r="BY9" s="487"/>
      <c r="BZ9" s="487"/>
      <c r="CA9" s="487"/>
      <c r="CB9" s="487"/>
      <c r="CC9" s="751"/>
      <c r="CD9" s="750"/>
      <c r="CE9" s="487"/>
      <c r="CF9" s="487"/>
      <c r="CG9" s="487"/>
      <c r="CH9" s="487"/>
      <c r="CI9" s="487"/>
      <c r="CJ9" s="751"/>
      <c r="CK9" s="750"/>
      <c r="CL9" s="487"/>
      <c r="CM9" s="487"/>
      <c r="CN9" s="487"/>
      <c r="CO9" s="487"/>
      <c r="CP9" s="487"/>
      <c r="CQ9" s="751"/>
      <c r="CR9" s="752"/>
      <c r="CS9" s="492"/>
      <c r="CT9" s="492"/>
      <c r="CU9" s="492"/>
      <c r="CV9" s="492"/>
      <c r="CW9" s="492"/>
      <c r="CX9" s="753"/>
      <c r="CY9" s="752"/>
      <c r="CZ9" s="492"/>
      <c r="DA9" s="492"/>
      <c r="DB9" s="492"/>
      <c r="DC9" s="492"/>
      <c r="DD9" s="492"/>
      <c r="DE9" s="753"/>
      <c r="DF9" s="752"/>
      <c r="DG9" s="492"/>
      <c r="DH9" s="492"/>
      <c r="DI9" s="492"/>
      <c r="DJ9" s="492"/>
      <c r="DK9" s="492"/>
      <c r="DL9" s="753"/>
      <c r="DM9" s="491"/>
      <c r="DN9" s="492"/>
      <c r="DO9" s="492"/>
      <c r="DP9" s="492"/>
      <c r="DQ9" s="492"/>
      <c r="DR9" s="492"/>
      <c r="DS9" s="753"/>
      <c r="DT9" s="487"/>
      <c r="DU9" s="487"/>
      <c r="DV9" s="487"/>
      <c r="DW9" s="487"/>
      <c r="DX9" s="487"/>
      <c r="DY9" s="487"/>
      <c r="DZ9" s="513"/>
      <c r="EA9" s="750"/>
      <c r="EB9" s="487"/>
      <c r="EC9" s="487"/>
      <c r="ED9" s="487"/>
      <c r="EE9" s="487"/>
      <c r="EF9" s="487"/>
      <c r="EG9" s="751"/>
      <c r="EH9" s="750"/>
      <c r="EI9" s="487"/>
      <c r="EJ9" s="487"/>
      <c r="EK9" s="487"/>
      <c r="EL9" s="487"/>
      <c r="EM9" s="487"/>
      <c r="EN9" s="751"/>
      <c r="EO9" s="515"/>
      <c r="EP9" s="755"/>
      <c r="EQ9" s="755"/>
      <c r="ER9" s="755"/>
      <c r="ES9" s="755"/>
      <c r="ET9" s="756"/>
      <c r="EU9" s="756"/>
      <c r="EV9" s="757"/>
    </row>
    <row r="10" spans="1:161" s="10" customFormat="1" ht="12.75" customHeight="1">
      <c r="A10" s="661" t="s">
        <v>172</v>
      </c>
      <c r="B10" s="703" t="str">
        <f>"LG&amp;E-"&amp;B6</f>
        <v>LG&amp;E-Residential - EV Charger Demand Conservation</v>
      </c>
      <c r="C10" s="703" t="str">
        <f t="shared" ref="C10:U10" si="55">C6</f>
        <v>This product targets customers with EV chargers and pays participants an incentive to curtail load all year round</v>
      </c>
      <c r="D10" s="703" t="str">
        <f t="shared" si="55"/>
        <v>No demand conservation</v>
      </c>
      <c r="E10" s="703" t="str">
        <f t="shared" si="55"/>
        <v>Per Customer</v>
      </c>
      <c r="F10" s="703" t="str">
        <f t="shared" si="55"/>
        <v>Incremental Cost</v>
      </c>
      <c r="G10" s="703">
        <f t="shared" si="55"/>
        <v>0</v>
      </c>
      <c r="H10" s="703">
        <f t="shared" si="55"/>
        <v>0</v>
      </c>
      <c r="I10" s="703">
        <f t="shared" si="55"/>
        <v>0</v>
      </c>
      <c r="J10" s="703">
        <f t="shared" si="55"/>
        <v>0</v>
      </c>
      <c r="K10" s="703" t="str">
        <f t="shared" si="55"/>
        <v>NA</v>
      </c>
      <c r="L10" s="703" t="str">
        <f t="shared" si="55"/>
        <v>NA</v>
      </c>
      <c r="M10" s="703">
        <f t="shared" si="55"/>
        <v>0</v>
      </c>
      <c r="N10" s="1122">
        <f>N6</f>
        <v>60</v>
      </c>
      <c r="O10" s="703">
        <f t="shared" si="55"/>
        <v>0</v>
      </c>
      <c r="P10" s="709">
        <f t="shared" si="55"/>
        <v>120</v>
      </c>
      <c r="Q10" s="703">
        <f t="shared" si="55"/>
        <v>0</v>
      </c>
      <c r="R10" s="703">
        <f t="shared" si="55"/>
        <v>0.4</v>
      </c>
      <c r="S10" s="703">
        <f t="shared" si="55"/>
        <v>0</v>
      </c>
      <c r="T10" s="703"/>
      <c r="U10" s="703">
        <f t="shared" si="55"/>
        <v>0.05</v>
      </c>
      <c r="V10" s="713">
        <v>1</v>
      </c>
      <c r="W10" s="714">
        <f t="shared" ref="W10:AC10" si="56">W6*0.5</f>
        <v>375</v>
      </c>
      <c r="X10" s="714">
        <f t="shared" si="56"/>
        <v>750</v>
      </c>
      <c r="Y10" s="714">
        <f t="shared" si="56"/>
        <v>1125</v>
      </c>
      <c r="Z10" s="714">
        <f t="shared" si="56"/>
        <v>1500</v>
      </c>
      <c r="AA10" s="714">
        <f t="shared" si="56"/>
        <v>2250</v>
      </c>
      <c r="AB10" s="714">
        <f t="shared" si="56"/>
        <v>3000</v>
      </c>
      <c r="AC10" s="714">
        <f t="shared" si="56"/>
        <v>3750</v>
      </c>
      <c r="AD10" s="711" t="s">
        <v>384</v>
      </c>
      <c r="AE10" s="711" t="str">
        <f>AE6</f>
        <v>Residential</v>
      </c>
      <c r="AF10" s="711" t="str">
        <f>AF6</f>
        <v>All</v>
      </c>
      <c r="AG10" s="711" t="str">
        <f>AG6</f>
        <v>Plug Load</v>
      </c>
      <c r="AH10" s="711" t="str">
        <f>AH6</f>
        <v>Existing</v>
      </c>
      <c r="AI10" s="711" t="s">
        <v>378</v>
      </c>
      <c r="AJ10" s="711" t="s">
        <v>378</v>
      </c>
      <c r="AK10" s="711" t="s">
        <v>378</v>
      </c>
      <c r="AL10" s="715" t="s">
        <v>872</v>
      </c>
      <c r="AM10" s="715" t="s">
        <v>380</v>
      </c>
      <c r="AN10" s="715" t="s">
        <v>381</v>
      </c>
      <c r="AO10" s="661">
        <v>1</v>
      </c>
      <c r="AP10" s="661">
        <v>1</v>
      </c>
      <c r="AQ10" s="711" t="s">
        <v>382</v>
      </c>
      <c r="AR10" s="716">
        <v>1</v>
      </c>
      <c r="AS10" s="716">
        <v>1</v>
      </c>
      <c r="AT10" s="717">
        <v>0</v>
      </c>
      <c r="AU10" s="774">
        <f t="shared" ref="AU10" si="57">I10</f>
        <v>0</v>
      </c>
      <c r="AV10" s="503">
        <f t="shared" ref="AV10:AW10" si="58">AU10</f>
        <v>0</v>
      </c>
      <c r="AW10" s="503">
        <f t="shared" si="58"/>
        <v>0</v>
      </c>
      <c r="AX10" s="503">
        <f t="shared" ref="AX10:BA10" si="59">AU10</f>
        <v>0</v>
      </c>
      <c r="AY10" s="503">
        <f t="shared" si="59"/>
        <v>0</v>
      </c>
      <c r="AZ10" s="503">
        <f t="shared" si="59"/>
        <v>0</v>
      </c>
      <c r="BA10" s="776">
        <f t="shared" si="59"/>
        <v>0</v>
      </c>
      <c r="BB10" s="503">
        <f t="shared" ref="BB10" si="60">J10</f>
        <v>0</v>
      </c>
      <c r="BC10" s="503">
        <f t="shared" ref="BC10:BD10" si="61">BB10</f>
        <v>0</v>
      </c>
      <c r="BD10" s="503">
        <f t="shared" si="61"/>
        <v>0</v>
      </c>
      <c r="BE10" s="503">
        <f>BD10</f>
        <v>0</v>
      </c>
      <c r="BF10" s="503">
        <f t="shared" ref="BF10" si="62">BE10</f>
        <v>0</v>
      </c>
      <c r="BG10" s="503">
        <f>BF10</f>
        <v>0</v>
      </c>
      <c r="BH10" s="645">
        <f>BG10</f>
        <v>0</v>
      </c>
      <c r="BI10" s="774">
        <f t="shared" si="36"/>
        <v>110</v>
      </c>
      <c r="BJ10" s="503">
        <f t="shared" si="37"/>
        <v>85</v>
      </c>
      <c r="BK10" s="503">
        <f t="shared" si="38"/>
        <v>76.666666666666671</v>
      </c>
      <c r="BL10" s="503">
        <f t="shared" si="9"/>
        <v>72.5</v>
      </c>
      <c r="BM10" s="503">
        <f t="shared" si="9"/>
        <v>76.666666666666671</v>
      </c>
      <c r="BN10" s="503">
        <f t="shared" si="9"/>
        <v>72.5</v>
      </c>
      <c r="BO10" s="776">
        <f t="shared" si="9"/>
        <v>70</v>
      </c>
      <c r="BP10" s="774">
        <f t="shared" si="10"/>
        <v>120</v>
      </c>
      <c r="BQ10" s="503">
        <f t="shared" si="10"/>
        <v>120</v>
      </c>
      <c r="BR10" s="503">
        <f t="shared" si="10"/>
        <v>120</v>
      </c>
      <c r="BS10" s="503">
        <f t="shared" si="10"/>
        <v>120</v>
      </c>
      <c r="BT10" s="503">
        <f t="shared" si="10"/>
        <v>120</v>
      </c>
      <c r="BU10" s="503">
        <f t="shared" si="10"/>
        <v>120</v>
      </c>
      <c r="BV10" s="776">
        <f t="shared" si="10"/>
        <v>120</v>
      </c>
      <c r="BW10" s="722">
        <f t="shared" ref="BW10" si="63">Q10*AS10</f>
        <v>0</v>
      </c>
      <c r="BX10" s="511">
        <f t="shared" ref="BX10:BY10" si="64">BW10</f>
        <v>0</v>
      </c>
      <c r="BY10" s="511">
        <f t="shared" si="64"/>
        <v>0</v>
      </c>
      <c r="BZ10" s="511">
        <f>BY10</f>
        <v>0</v>
      </c>
      <c r="CA10" s="511">
        <f t="shared" ref="CA10:CC10" si="65">BZ10</f>
        <v>0</v>
      </c>
      <c r="CB10" s="511">
        <f t="shared" si="65"/>
        <v>0</v>
      </c>
      <c r="CC10" s="723">
        <f t="shared" si="65"/>
        <v>0</v>
      </c>
      <c r="CD10" s="722">
        <f t="shared" ref="CD10" si="66">R10*AS10</f>
        <v>0.4</v>
      </c>
      <c r="CE10" s="511">
        <f t="shared" ref="CE10:CF10" si="67">CD10</f>
        <v>0.4</v>
      </c>
      <c r="CF10" s="511">
        <f t="shared" si="67"/>
        <v>0.4</v>
      </c>
      <c r="CG10" s="511">
        <f>CF10</f>
        <v>0.4</v>
      </c>
      <c r="CH10" s="511">
        <f t="shared" ref="CH10:CJ10" si="68">CG10</f>
        <v>0.4</v>
      </c>
      <c r="CI10" s="511">
        <f t="shared" si="68"/>
        <v>0.4</v>
      </c>
      <c r="CJ10" s="723">
        <f t="shared" si="68"/>
        <v>0.4</v>
      </c>
      <c r="CK10" s="722">
        <f t="shared" ref="CK10" si="69">S10*AT10</f>
        <v>0</v>
      </c>
      <c r="CL10" s="511">
        <f t="shared" ref="CL10:CM10" si="70">CK10</f>
        <v>0</v>
      </c>
      <c r="CM10" s="511">
        <f t="shared" si="70"/>
        <v>0</v>
      </c>
      <c r="CN10" s="511">
        <f>CM10</f>
        <v>0</v>
      </c>
      <c r="CO10" s="511">
        <f t="shared" ref="CO10:CQ10" si="71">CN10</f>
        <v>0</v>
      </c>
      <c r="CP10" s="511">
        <f t="shared" si="71"/>
        <v>0</v>
      </c>
      <c r="CQ10" s="723">
        <f t="shared" si="71"/>
        <v>0</v>
      </c>
      <c r="CR10" s="774">
        <f t="shared" ref="CR10:CX10" si="72">W10*AU10</f>
        <v>0</v>
      </c>
      <c r="CS10" s="503">
        <f t="shared" si="72"/>
        <v>0</v>
      </c>
      <c r="CT10" s="503">
        <f t="shared" si="72"/>
        <v>0</v>
      </c>
      <c r="CU10" s="503">
        <f t="shared" si="72"/>
        <v>0</v>
      </c>
      <c r="CV10" s="503">
        <f t="shared" si="72"/>
        <v>0</v>
      </c>
      <c r="CW10" s="503">
        <f t="shared" si="72"/>
        <v>0</v>
      </c>
      <c r="CX10" s="776">
        <f t="shared" si="72"/>
        <v>0</v>
      </c>
      <c r="CY10" s="774">
        <f t="shared" ref="CY10:DE10" si="73">W10*BB10</f>
        <v>0</v>
      </c>
      <c r="CZ10" s="503">
        <f t="shared" si="73"/>
        <v>0</v>
      </c>
      <c r="DA10" s="503">
        <f t="shared" si="73"/>
        <v>0</v>
      </c>
      <c r="DB10" s="503">
        <f t="shared" si="73"/>
        <v>0</v>
      </c>
      <c r="DC10" s="503">
        <f t="shared" si="73"/>
        <v>0</v>
      </c>
      <c r="DD10" s="503">
        <f t="shared" si="73"/>
        <v>0</v>
      </c>
      <c r="DE10" s="776">
        <f t="shared" si="73"/>
        <v>0</v>
      </c>
      <c r="DF10" s="774">
        <f t="shared" ref="DF10:DL10" si="74">W10*BI10</f>
        <v>41250</v>
      </c>
      <c r="DG10" s="503">
        <f t="shared" si="74"/>
        <v>63750</v>
      </c>
      <c r="DH10" s="503">
        <f t="shared" si="74"/>
        <v>86250</v>
      </c>
      <c r="DI10" s="503">
        <f t="shared" si="74"/>
        <v>108750</v>
      </c>
      <c r="DJ10" s="503">
        <f t="shared" si="74"/>
        <v>172500</v>
      </c>
      <c r="DK10" s="503">
        <f t="shared" si="74"/>
        <v>217500</v>
      </c>
      <c r="DL10" s="776">
        <f t="shared" si="74"/>
        <v>262500</v>
      </c>
      <c r="DM10" s="497">
        <f t="shared" ref="DM10:DS10" si="75">BP10*W10</f>
        <v>45000</v>
      </c>
      <c r="DN10" s="503">
        <f t="shared" si="75"/>
        <v>90000</v>
      </c>
      <c r="DO10" s="503">
        <f t="shared" si="75"/>
        <v>135000</v>
      </c>
      <c r="DP10" s="503">
        <f t="shared" si="75"/>
        <v>180000</v>
      </c>
      <c r="DQ10" s="503">
        <f t="shared" si="75"/>
        <v>270000</v>
      </c>
      <c r="DR10" s="503">
        <f t="shared" si="75"/>
        <v>360000</v>
      </c>
      <c r="DS10" s="776">
        <f t="shared" si="75"/>
        <v>450000</v>
      </c>
      <c r="DT10" s="511">
        <f t="shared" ref="DT10:DZ10" si="76">W10*BW10</f>
        <v>0</v>
      </c>
      <c r="DU10" s="511">
        <f t="shared" si="76"/>
        <v>0</v>
      </c>
      <c r="DV10" s="511">
        <f t="shared" si="76"/>
        <v>0</v>
      </c>
      <c r="DW10" s="511">
        <f t="shared" si="76"/>
        <v>0</v>
      </c>
      <c r="DX10" s="511">
        <f t="shared" si="76"/>
        <v>0</v>
      </c>
      <c r="DY10" s="511">
        <f t="shared" si="76"/>
        <v>0</v>
      </c>
      <c r="DZ10" s="539">
        <f t="shared" si="76"/>
        <v>0</v>
      </c>
      <c r="EA10" s="722">
        <f t="shared" ref="EA10:EG10" si="77">W10*CD10</f>
        <v>150</v>
      </c>
      <c r="EB10" s="511">
        <f t="shared" si="77"/>
        <v>300</v>
      </c>
      <c r="EC10" s="511">
        <f t="shared" si="77"/>
        <v>450</v>
      </c>
      <c r="ED10" s="511">
        <f t="shared" si="77"/>
        <v>600</v>
      </c>
      <c r="EE10" s="511">
        <f t="shared" si="77"/>
        <v>900</v>
      </c>
      <c r="EF10" s="511">
        <f t="shared" si="77"/>
        <v>1200</v>
      </c>
      <c r="EG10" s="723">
        <f t="shared" si="77"/>
        <v>1500</v>
      </c>
      <c r="EH10" s="722">
        <f t="shared" ref="EH10:EN10" si="78">W10*CK10</f>
        <v>0</v>
      </c>
      <c r="EI10" s="511">
        <f t="shared" si="78"/>
        <v>0</v>
      </c>
      <c r="EJ10" s="511">
        <f t="shared" si="78"/>
        <v>0</v>
      </c>
      <c r="EK10" s="511">
        <f t="shared" si="78"/>
        <v>0</v>
      </c>
      <c r="EL10" s="511">
        <f t="shared" si="78"/>
        <v>0</v>
      </c>
      <c r="EM10" s="511">
        <f t="shared" si="78"/>
        <v>0</v>
      </c>
      <c r="EN10" s="723">
        <f t="shared" si="78"/>
        <v>0</v>
      </c>
      <c r="EO10" s="507">
        <f>SUM(W10:AC10)</f>
        <v>12750</v>
      </c>
      <c r="EP10" s="503">
        <f>SUM(CR10:CX10)</f>
        <v>0</v>
      </c>
      <c r="EQ10" s="503">
        <f>SUM(CY10:DE10)</f>
        <v>0</v>
      </c>
      <c r="ER10" s="503">
        <f>SUM(DF10:DL10)</f>
        <v>952500</v>
      </c>
      <c r="ES10" s="503">
        <f>SUM(DM10:DS10)</f>
        <v>1530000</v>
      </c>
      <c r="ET10" s="978">
        <f>SUM(DT10:DZ10)</f>
        <v>0</v>
      </c>
      <c r="EU10" s="978">
        <f>MAX(EA10:EG10)</f>
        <v>1500</v>
      </c>
      <c r="EV10" s="511">
        <f>SUM(EH10:EN10)</f>
        <v>0</v>
      </c>
    </row>
    <row r="11" spans="1:161" s="10" customFormat="1" ht="12.75" customHeight="1" thickBot="1">
      <c r="A11" s="729"/>
      <c r="B11" s="759"/>
      <c r="C11" s="759"/>
      <c r="D11" s="759"/>
      <c r="E11" s="759"/>
      <c r="F11" s="731"/>
      <c r="G11" s="731"/>
      <c r="H11" s="731"/>
      <c r="I11" s="731"/>
      <c r="J11" s="731"/>
      <c r="K11" s="731"/>
      <c r="L11" s="733"/>
      <c r="M11" s="734"/>
      <c r="N11" s="734"/>
      <c r="O11" s="734"/>
      <c r="P11" s="734"/>
      <c r="Q11" s="736"/>
      <c r="R11" s="758"/>
      <c r="S11" s="737"/>
      <c r="T11" s="733"/>
      <c r="U11" s="738"/>
      <c r="V11" s="739"/>
      <c r="W11" s="742"/>
      <c r="X11" s="742"/>
      <c r="Y11" s="742"/>
      <c r="Z11" s="742"/>
      <c r="AA11" s="742"/>
      <c r="AB11" s="742"/>
      <c r="AC11" s="742"/>
      <c r="AD11" s="733"/>
      <c r="AE11" s="733"/>
      <c r="AF11" s="733"/>
      <c r="AG11" s="733"/>
      <c r="AH11" s="733"/>
      <c r="AI11" s="733"/>
      <c r="AJ11" s="733"/>
      <c r="AK11" s="733"/>
      <c r="AL11" s="760"/>
      <c r="AM11" s="760"/>
      <c r="AN11" s="760"/>
      <c r="AO11" s="733"/>
      <c r="AP11" s="733"/>
      <c r="AQ11" s="733"/>
      <c r="AR11" s="733"/>
      <c r="AS11" s="733"/>
      <c r="AT11" s="733"/>
      <c r="AU11" s="746"/>
      <c r="AV11" s="746"/>
      <c r="AW11" s="746"/>
      <c r="AX11" s="746"/>
      <c r="AY11" s="746"/>
      <c r="AZ11" s="746"/>
      <c r="BA11" s="746"/>
      <c r="BB11" s="746"/>
      <c r="BC11" s="746"/>
      <c r="BD11" s="746"/>
      <c r="BE11" s="746"/>
      <c r="BF11" s="746"/>
      <c r="BG11" s="746"/>
      <c r="BH11" s="749"/>
      <c r="BI11" s="761"/>
      <c r="BJ11" s="762"/>
      <c r="BK11" s="762"/>
      <c r="BL11" s="762"/>
      <c r="BM11" s="762"/>
      <c r="BN11" s="762"/>
      <c r="BO11" s="763"/>
      <c r="BP11" s="761"/>
      <c r="BQ11" s="762"/>
      <c r="BR11" s="762"/>
      <c r="BS11" s="762"/>
      <c r="BT11" s="762"/>
      <c r="BU11" s="762"/>
      <c r="BV11" s="763"/>
      <c r="BW11" s="488"/>
      <c r="BX11" s="766"/>
      <c r="BY11" s="766"/>
      <c r="BZ11" s="766"/>
      <c r="CA11" s="766"/>
      <c r="CB11" s="766"/>
      <c r="CC11" s="489"/>
      <c r="CD11" s="488"/>
      <c r="CE11" s="766"/>
      <c r="CF11" s="766"/>
      <c r="CG11" s="766"/>
      <c r="CH11" s="766"/>
      <c r="CI11" s="766"/>
      <c r="CJ11" s="489"/>
      <c r="CK11" s="488"/>
      <c r="CL11" s="766"/>
      <c r="CM11" s="766"/>
      <c r="CN11" s="766"/>
      <c r="CO11" s="766"/>
      <c r="CP11" s="766"/>
      <c r="CQ11" s="489"/>
      <c r="CR11" s="493"/>
      <c r="CS11" s="769"/>
      <c r="CT11" s="769"/>
      <c r="CU11" s="769"/>
      <c r="CV11" s="769"/>
      <c r="CW11" s="769"/>
      <c r="CX11" s="494"/>
      <c r="CY11" s="493"/>
      <c r="CZ11" s="769"/>
      <c r="DA11" s="769"/>
      <c r="DB11" s="769"/>
      <c r="DC11" s="769"/>
      <c r="DD11" s="769"/>
      <c r="DE11" s="494"/>
      <c r="DF11" s="493"/>
      <c r="DG11" s="769"/>
      <c r="DH11" s="769"/>
      <c r="DI11" s="769"/>
      <c r="DJ11" s="769"/>
      <c r="DK11" s="769"/>
      <c r="DL11" s="494"/>
      <c r="DM11" s="491"/>
      <c r="DN11" s="492"/>
      <c r="DO11" s="492"/>
      <c r="DP11" s="492"/>
      <c r="DQ11" s="492"/>
      <c r="DR11" s="492"/>
      <c r="DS11" s="492"/>
      <c r="DT11" s="487"/>
      <c r="DU11" s="487"/>
      <c r="DV11" s="487"/>
      <c r="DW11" s="487"/>
      <c r="DX11" s="487"/>
      <c r="DY11" s="487"/>
      <c r="DZ11" s="513"/>
      <c r="EA11" s="488"/>
      <c r="EB11" s="766"/>
      <c r="EC11" s="766"/>
      <c r="ED11" s="766"/>
      <c r="EE11" s="766"/>
      <c r="EF11" s="766"/>
      <c r="EG11" s="489"/>
      <c r="EH11" s="488"/>
      <c r="EI11" s="766"/>
      <c r="EJ11" s="766"/>
      <c r="EK11" s="766"/>
      <c r="EL11" s="766"/>
      <c r="EM11" s="766"/>
      <c r="EN11" s="489"/>
      <c r="EO11" s="515"/>
      <c r="EP11" s="755"/>
      <c r="EQ11" s="755"/>
      <c r="ER11" s="755"/>
      <c r="ES11" s="755"/>
      <c r="ET11" s="756"/>
      <c r="EU11" s="756"/>
      <c r="EV11" s="487"/>
    </row>
    <row r="12" spans="1:161" s="10" customFormat="1" ht="12.75" customHeight="1">
      <c r="A12" s="104"/>
      <c r="B12" s="91"/>
      <c r="C12" s="91"/>
      <c r="D12" s="91"/>
      <c r="E12" s="91"/>
      <c r="F12" s="125"/>
      <c r="G12" s="125"/>
      <c r="H12" s="125"/>
      <c r="I12" s="125"/>
      <c r="J12" s="125"/>
      <c r="K12" s="125"/>
      <c r="L12" s="129"/>
      <c r="M12" s="378"/>
      <c r="N12" s="378"/>
      <c r="O12" s="378"/>
      <c r="P12" s="378"/>
      <c r="Q12" s="379"/>
      <c r="R12" s="380"/>
      <c r="S12" s="381"/>
      <c r="T12" s="129"/>
      <c r="U12" s="382"/>
      <c r="V12" s="383"/>
      <c r="W12" s="131"/>
      <c r="X12" s="131"/>
      <c r="Y12" s="131"/>
      <c r="Z12" s="131"/>
      <c r="AA12" s="131"/>
      <c r="AB12" s="131"/>
      <c r="AC12" s="131"/>
      <c r="AD12" s="129"/>
      <c r="AE12" s="129"/>
      <c r="AF12" s="129"/>
      <c r="AG12" s="129"/>
      <c r="AH12" s="129"/>
      <c r="AI12" s="129"/>
      <c r="AJ12" s="129"/>
      <c r="AK12" s="129"/>
      <c r="AL12"/>
      <c r="AM12"/>
      <c r="AN12"/>
      <c r="AO12" s="129"/>
      <c r="AP12" s="129"/>
      <c r="AQ12" s="129"/>
      <c r="AR12" s="129"/>
      <c r="AS12" s="129"/>
      <c r="AT12" s="129"/>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7"/>
      <c r="EP12" s="138"/>
      <c r="EQ12" s="138"/>
      <c r="ER12" s="138"/>
      <c r="ES12" s="138"/>
      <c r="ET12" s="137"/>
      <c r="EU12" s="137"/>
      <c r="EV12" s="135"/>
    </row>
    <row r="13" spans="1:161" s="175" customFormat="1" ht="14.5">
      <c r="B13" s="22"/>
      <c r="C13" s="69"/>
      <c r="D13" s="69"/>
      <c r="T13" s="374"/>
      <c r="U13" s="374"/>
      <c r="V13" s="374"/>
      <c r="W13" s="429">
        <v>0.1</v>
      </c>
      <c r="X13" s="429">
        <v>0.2</v>
      </c>
      <c r="Y13" s="429">
        <v>0.3</v>
      </c>
      <c r="Z13" s="429">
        <v>0.4</v>
      </c>
      <c r="AA13" s="429">
        <v>0.6</v>
      </c>
      <c r="AB13" s="429">
        <v>0.8</v>
      </c>
      <c r="AC13" s="429">
        <v>1</v>
      </c>
      <c r="AD13" s="374"/>
    </row>
    <row r="14" spans="1:161" s="175" customFormat="1" ht="14.5">
      <c r="A14" s="69"/>
      <c r="B14" s="376"/>
      <c r="D14" s="69"/>
      <c r="L14" s="376"/>
      <c r="R14" s="376"/>
      <c r="T14" s="374"/>
      <c r="U14" s="374"/>
      <c r="V14" s="375"/>
      <c r="W14" s="483"/>
      <c r="X14" s="483"/>
      <c r="Y14" s="483"/>
      <c r="Z14" s="483"/>
      <c r="AA14" s="483"/>
      <c r="AB14" s="483"/>
      <c r="AC14" s="483"/>
      <c r="AD14" s="483"/>
    </row>
    <row r="15" spans="1:161" s="175" customFormat="1" ht="14.5">
      <c r="D15" s="69"/>
      <c r="K15"/>
      <c r="T15" s="374"/>
      <c r="U15" s="374"/>
      <c r="V15" s="374"/>
      <c r="W15" s="374"/>
      <c r="X15" s="374"/>
      <c r="Y15" s="374"/>
      <c r="Z15" s="374"/>
      <c r="AA15" s="374"/>
      <c r="AB15" s="374"/>
      <c r="AC15" s="374"/>
      <c r="AD15" s="483"/>
    </row>
    <row r="16" spans="1:161" s="175" customFormat="1" ht="14.5">
      <c r="A16" s="69"/>
      <c r="B16" s="69"/>
      <c r="C16" s="69"/>
      <c r="D16" s="69"/>
      <c r="T16" s="374"/>
      <c r="U16" s="374"/>
      <c r="AD16" s="374"/>
    </row>
    <row r="17" spans="1:31" s="175" customFormat="1" ht="14.5">
      <c r="A17" s="69"/>
      <c r="T17" s="374"/>
      <c r="U17" s="374"/>
      <c r="V17" s="374"/>
      <c r="W17" s="374"/>
      <c r="X17" s="374"/>
      <c r="Y17" s="374"/>
      <c r="Z17" s="374"/>
      <c r="AA17" s="374"/>
      <c r="AB17" s="374"/>
      <c r="AC17" s="374"/>
    </row>
    <row r="18" spans="1:31" s="175" customFormat="1" ht="14.5">
      <c r="T18" s="374"/>
      <c r="U18" s="374"/>
      <c r="V18" s="374"/>
      <c r="W18" s="374"/>
      <c r="X18" s="428" t="s">
        <v>1899</v>
      </c>
      <c r="Y18" s="374"/>
      <c r="Z18" s="374"/>
      <c r="AA18" s="374"/>
      <c r="AB18" s="374"/>
      <c r="AC18" s="374"/>
      <c r="AD18" s="374"/>
      <c r="AE18" s="374"/>
    </row>
    <row r="19" spans="1:31" s="175" customFormat="1" ht="14.5">
      <c r="T19" s="374"/>
      <c r="U19" s="374"/>
      <c r="V19" s="374"/>
      <c r="W19" s="374"/>
      <c r="X19" s="374" t="s">
        <v>1900</v>
      </c>
      <c r="Y19" s="374" t="s">
        <v>1901</v>
      </c>
      <c r="Z19" s="374"/>
      <c r="AA19" s="374"/>
      <c r="AB19" s="374"/>
      <c r="AC19" s="374"/>
      <c r="AD19" s="374"/>
      <c r="AE19" s="374"/>
    </row>
    <row r="20" spans="1:31" s="175" customFormat="1" ht="14.5">
      <c r="T20" s="374"/>
      <c r="U20" s="374"/>
      <c r="V20" s="374"/>
      <c r="W20" s="374"/>
      <c r="X20" s="374">
        <v>8000</v>
      </c>
      <c r="Y20" s="374">
        <v>2022</v>
      </c>
      <c r="Z20" s="374"/>
      <c r="AA20" s="374"/>
      <c r="AB20" s="374"/>
      <c r="AC20" s="374"/>
      <c r="AD20" s="374"/>
      <c r="AE20" s="374"/>
    </row>
    <row r="21" spans="1:31" s="175" customFormat="1" ht="14.5">
      <c r="T21" s="374"/>
      <c r="U21" s="374"/>
      <c r="V21" s="374"/>
      <c r="W21" s="374"/>
      <c r="X21" s="374">
        <v>30000</v>
      </c>
      <c r="Y21" s="374">
        <v>2030</v>
      </c>
      <c r="Z21" s="374"/>
      <c r="AA21" s="374"/>
      <c r="AB21" s="374"/>
      <c r="AC21" s="374"/>
      <c r="AD21" s="374"/>
      <c r="AE21" s="374"/>
    </row>
    <row r="22" spans="1:31" s="175" customFormat="1" ht="14.5">
      <c r="A22" s="69"/>
      <c r="T22" s="374"/>
      <c r="U22" s="374"/>
      <c r="V22" s="374"/>
      <c r="W22" s="374"/>
      <c r="X22" s="372" t="s">
        <v>1902</v>
      </c>
      <c r="Y22" s="371"/>
      <c r="Z22" s="371"/>
      <c r="AA22" s="371"/>
      <c r="AB22" s="371">
        <v>0.25</v>
      </c>
      <c r="AC22" s="372"/>
      <c r="AD22" s="374"/>
      <c r="AE22" s="374"/>
    </row>
    <row r="23" spans="1:31" s="175" customFormat="1" ht="14.5">
      <c r="A23" s="69"/>
      <c r="L23" s="376"/>
      <c r="T23" s="374"/>
      <c r="U23" s="374"/>
      <c r="V23" s="374"/>
      <c r="W23" s="374"/>
      <c r="X23" s="372"/>
      <c r="Y23" s="371"/>
      <c r="Z23" s="371"/>
      <c r="AA23" s="371"/>
      <c r="AB23" s="371"/>
      <c r="AC23" s="371"/>
      <c r="AD23" s="374"/>
      <c r="AE23" s="374"/>
    </row>
    <row r="24" spans="1:31" s="175" customFormat="1" ht="14.5">
      <c r="A24" s="69"/>
      <c r="T24" s="374"/>
      <c r="U24" s="374"/>
      <c r="V24" s="374"/>
      <c r="W24" s="374"/>
      <c r="X24" s="372" t="s">
        <v>1903</v>
      </c>
      <c r="Y24" s="371"/>
      <c r="Z24" s="371">
        <v>2022</v>
      </c>
      <c r="AA24" s="371"/>
      <c r="AB24" s="371">
        <f>X20*AB22</f>
        <v>2000</v>
      </c>
      <c r="AC24" s="371"/>
      <c r="AD24" s="374"/>
      <c r="AE24" s="374"/>
    </row>
    <row r="25" spans="1:31" s="175" customFormat="1" ht="14.5">
      <c r="A25" s="69"/>
      <c r="T25" s="374"/>
      <c r="U25" s="374"/>
      <c r="V25" s="374"/>
      <c r="W25" s="374"/>
      <c r="X25" s="372" t="s">
        <v>1903</v>
      </c>
      <c r="Y25" s="374"/>
      <c r="Z25" s="371">
        <v>2030</v>
      </c>
      <c r="AA25" s="374"/>
      <c r="AB25" s="371">
        <f>X21*AB22</f>
        <v>7500</v>
      </c>
      <c r="AC25" s="374"/>
      <c r="AD25" s="374"/>
      <c r="AE25" s="374"/>
    </row>
    <row r="26" spans="1:31" s="175" customFormat="1" ht="14.5">
      <c r="A26" s="69"/>
      <c r="T26" s="374"/>
      <c r="U26" s="374"/>
      <c r="V26" s="374"/>
      <c r="W26" s="374"/>
      <c r="X26" s="374"/>
      <c r="Y26" s="374"/>
      <c r="Z26" s="374"/>
      <c r="AA26" s="374"/>
      <c r="AB26" s="374"/>
      <c r="AC26" s="374"/>
      <c r="AD26" s="374"/>
      <c r="AE26" s="374"/>
    </row>
    <row r="27" spans="1:31" s="175" customFormat="1" ht="14.5">
      <c r="A27" s="69"/>
      <c r="T27" s="374"/>
      <c r="U27" s="374"/>
      <c r="V27" s="374"/>
      <c r="W27" s="374"/>
      <c r="X27" s="374"/>
      <c r="Y27" s="374"/>
      <c r="Z27" s="374"/>
      <c r="AA27" s="374"/>
      <c r="AB27" s="374"/>
      <c r="AC27" s="374"/>
      <c r="AD27" s="374"/>
      <c r="AE27" s="374"/>
    </row>
    <row r="28" spans="1:31" s="175" customFormat="1" ht="14.5">
      <c r="A28" s="69"/>
      <c r="T28" s="374"/>
      <c r="U28" s="374"/>
      <c r="V28" s="374"/>
      <c r="W28" s="374"/>
      <c r="X28" s="374"/>
      <c r="Y28" s="374"/>
      <c r="Z28" s="374"/>
      <c r="AA28" s="374"/>
      <c r="AB28" s="374"/>
      <c r="AC28" s="374"/>
      <c r="AD28" s="374"/>
      <c r="AE28" s="374"/>
    </row>
    <row r="29" spans="1:31" s="175" customFormat="1" ht="14.5">
      <c r="A29" s="69"/>
      <c r="T29" s="374"/>
      <c r="U29" s="374"/>
      <c r="V29" s="374"/>
      <c r="W29" s="374"/>
      <c r="X29" s="374"/>
      <c r="Y29" s="374"/>
      <c r="Z29" s="374"/>
      <c r="AA29" s="374"/>
      <c r="AB29" s="374"/>
      <c r="AC29" s="374"/>
      <c r="AD29" s="374"/>
      <c r="AE29" s="374"/>
    </row>
    <row r="30" spans="1:31" s="175" customFormat="1" ht="14.5">
      <c r="A30" s="69"/>
      <c r="T30" s="374"/>
      <c r="U30" s="374"/>
      <c r="V30" s="374"/>
      <c r="W30" s="374"/>
      <c r="X30" s="374"/>
      <c r="Y30" s="374"/>
      <c r="Z30" s="374"/>
      <c r="AA30" s="374"/>
      <c r="AB30" s="374"/>
      <c r="AC30" s="374"/>
      <c r="AD30" s="374"/>
      <c r="AE30" s="374"/>
    </row>
    <row r="31" spans="1:31" s="175" customFormat="1" ht="14.5">
      <c r="T31" s="374"/>
      <c r="U31" s="374"/>
      <c r="V31" s="374"/>
      <c r="W31" s="374"/>
      <c r="X31" s="374"/>
      <c r="Y31" s="374"/>
      <c r="Z31" s="374"/>
      <c r="AA31" s="374"/>
      <c r="AB31" s="374"/>
      <c r="AC31" s="374"/>
      <c r="AD31" s="374"/>
      <c r="AE31" s="374"/>
    </row>
    <row r="32" spans="1:31" s="175" customFormat="1" ht="14.5">
      <c r="T32" s="374"/>
      <c r="U32" s="374"/>
      <c r="V32" s="374"/>
      <c r="W32" s="374"/>
      <c r="X32" s="374"/>
      <c r="Y32" s="374"/>
      <c r="Z32" s="374"/>
      <c r="AA32" s="374"/>
      <c r="AB32" s="374"/>
      <c r="AC32" s="374"/>
      <c r="AD32" s="374"/>
      <c r="AE32" s="374"/>
    </row>
    <row r="33" spans="20:34" s="175" customFormat="1" ht="14.5">
      <c r="T33" s="374"/>
      <c r="U33" s="374"/>
      <c r="V33" s="374"/>
      <c r="W33" s="374"/>
      <c r="X33" s="371"/>
      <c r="Y33" s="371"/>
      <c r="Z33" s="372"/>
      <c r="AA33" s="374"/>
      <c r="AB33" s="374"/>
      <c r="AC33" s="374"/>
      <c r="AD33" s="374"/>
      <c r="AE33" s="374"/>
    </row>
    <row r="34" spans="20:34" s="175" customFormat="1" ht="14.5">
      <c r="T34" s="374"/>
      <c r="U34" s="374"/>
      <c r="V34" s="374"/>
      <c r="W34" s="374"/>
      <c r="X34" s="372"/>
      <c r="Y34" s="374"/>
      <c r="Z34" s="374"/>
      <c r="AA34" s="374"/>
      <c r="AB34" s="374"/>
      <c r="AC34" s="374"/>
      <c r="AD34" s="374"/>
      <c r="AE34" s="374"/>
    </row>
    <row r="35" spans="20:34" s="175" customFormat="1" ht="14.5">
      <c r="T35" s="374"/>
      <c r="U35" s="374"/>
      <c r="V35" s="374"/>
      <c r="W35" s="374"/>
      <c r="X35" s="427"/>
    </row>
    <row r="36" spans="20:34" s="175" customFormat="1" ht="14.5">
      <c r="T36" s="374"/>
      <c r="U36" s="374"/>
      <c r="V36" s="374"/>
      <c r="W36" s="374"/>
      <c r="X36" s="371"/>
      <c r="Y36" s="373"/>
      <c r="Z36" s="372"/>
    </row>
    <row r="37" spans="20:34" s="175" customFormat="1" ht="14.5">
      <c r="T37" s="374"/>
      <c r="U37" s="374"/>
      <c r="V37" s="374"/>
      <c r="W37" s="374"/>
      <c r="X37" s="372"/>
    </row>
    <row r="38" spans="20:34" s="175" customFormat="1" ht="14.5">
      <c r="T38" s="374"/>
      <c r="U38" s="374"/>
      <c r="V38" s="374"/>
      <c r="W38" s="374"/>
      <c r="X38" s="371"/>
      <c r="Y38" s="377"/>
      <c r="Z38" s="322"/>
      <c r="AA38" s="322"/>
      <c r="AG38" s="322"/>
      <c r="AH38" s="322"/>
    </row>
    <row r="39" spans="20:34" s="175" customFormat="1" ht="14.5">
      <c r="T39" s="374"/>
      <c r="U39" s="374"/>
      <c r="V39" s="374"/>
      <c r="W39" s="374"/>
      <c r="X39" s="371"/>
      <c r="Y39" s="371"/>
      <c r="Z39" s="371"/>
      <c r="AA39" s="371"/>
      <c r="AB39" s="374"/>
      <c r="AC39" s="374"/>
      <c r="AD39" s="374"/>
      <c r="AE39" s="374"/>
      <c r="AG39" s="322"/>
      <c r="AH39" s="322"/>
    </row>
    <row r="40" spans="20:34" s="175" customFormat="1" ht="14.5">
      <c r="T40" s="374"/>
      <c r="U40" s="374"/>
      <c r="V40" s="374"/>
      <c r="W40" s="374"/>
      <c r="X40" s="372"/>
      <c r="Y40" s="371"/>
      <c r="Z40" s="371"/>
      <c r="AA40" s="371"/>
      <c r="AB40" s="374"/>
      <c r="AC40" s="374"/>
      <c r="AD40" s="374"/>
      <c r="AE40" s="374"/>
      <c r="AG40" s="322"/>
      <c r="AH40" s="322"/>
    </row>
    <row r="41" spans="20:34" s="175" customFormat="1" ht="14.5">
      <c r="T41" s="374"/>
      <c r="U41" s="374"/>
      <c r="V41" s="374"/>
      <c r="W41" s="374"/>
      <c r="X41" s="372"/>
      <c r="Y41" s="372"/>
      <c r="Z41" s="372"/>
      <c r="AA41" s="372"/>
      <c r="AB41" s="374"/>
      <c r="AC41" s="374"/>
      <c r="AD41" s="374"/>
      <c r="AE41" s="374"/>
      <c r="AG41" s="322"/>
      <c r="AH41" s="322"/>
    </row>
    <row r="42" spans="20:34" s="175" customFormat="1" ht="14.5">
      <c r="T42" s="374"/>
      <c r="U42" s="374"/>
      <c r="V42" s="374"/>
      <c r="W42" s="374"/>
      <c r="X42" s="372"/>
      <c r="Y42" s="372"/>
      <c r="Z42" s="372"/>
      <c r="AA42" s="372"/>
      <c r="AB42" s="374"/>
      <c r="AC42" s="374"/>
      <c r="AD42" s="374"/>
      <c r="AE42" s="374"/>
    </row>
    <row r="43" spans="20:34" s="175" customFormat="1" ht="14.5">
      <c r="T43" s="374"/>
      <c r="U43" s="374"/>
      <c r="V43" s="374"/>
      <c r="W43" s="374"/>
      <c r="X43" s="374"/>
      <c r="Y43" s="374"/>
      <c r="Z43" s="374"/>
      <c r="AA43" s="374"/>
      <c r="AB43" s="374"/>
      <c r="AC43" s="374"/>
      <c r="AD43" s="374"/>
      <c r="AE43" s="374"/>
    </row>
    <row r="44" spans="20:34" s="175" customFormat="1" ht="14.5">
      <c r="T44" s="374"/>
      <c r="U44" s="374"/>
      <c r="V44" s="374"/>
      <c r="W44" s="374"/>
      <c r="X44"/>
      <c r="Y44"/>
      <c r="Z44"/>
      <c r="AA44"/>
      <c r="AB44" s="374"/>
      <c r="AC44" s="374"/>
      <c r="AD44" s="374"/>
      <c r="AE44" s="374"/>
    </row>
    <row r="45" spans="20:34" s="175" customFormat="1" ht="14.5">
      <c r="T45" s="374"/>
      <c r="U45" s="374"/>
      <c r="V45" s="374"/>
      <c r="W45" s="374"/>
      <c r="X45"/>
      <c r="Y45"/>
      <c r="Z45"/>
      <c r="AA45"/>
      <c r="AB45" s="374"/>
      <c r="AC45" s="374"/>
      <c r="AD45" s="374"/>
      <c r="AE45" s="374"/>
    </row>
    <row r="46" spans="20:34" s="175" customFormat="1" ht="14.5">
      <c r="T46" s="374"/>
      <c r="U46" s="374"/>
      <c r="V46" s="374"/>
      <c r="W46" s="374"/>
      <c r="X46"/>
      <c r="Y46"/>
      <c r="Z46"/>
      <c r="AA46"/>
      <c r="AB46" s="374"/>
      <c r="AC46" s="374"/>
      <c r="AD46" s="374"/>
      <c r="AE46" s="374"/>
    </row>
    <row r="47" spans="20:34" s="175" customFormat="1" ht="14.5">
      <c r="T47" s="374"/>
      <c r="U47" s="374"/>
      <c r="V47" s="374"/>
      <c r="W47" s="374"/>
      <c r="X47" s="374"/>
      <c r="Y47" s="374"/>
      <c r="Z47" s="374"/>
      <c r="AA47" s="374"/>
      <c r="AB47" s="374"/>
      <c r="AC47" s="374"/>
      <c r="AD47" s="374"/>
      <c r="AE47" s="374"/>
    </row>
    <row r="48" spans="20:34" s="175" customFormat="1" ht="14.5">
      <c r="T48" s="374"/>
      <c r="U48" s="374"/>
      <c r="V48" s="374"/>
      <c r="W48" s="374"/>
      <c r="X48" s="374"/>
      <c r="Y48" s="374"/>
      <c r="Z48" s="374"/>
      <c r="AA48" s="374"/>
      <c r="AB48" s="374"/>
      <c r="AC48" s="374"/>
      <c r="AD48" s="374"/>
      <c r="AE48" s="374"/>
    </row>
    <row r="49" spans="20:31" s="175" customFormat="1" ht="14.5">
      <c r="T49" s="374"/>
      <c r="U49" s="374"/>
      <c r="V49" s="374"/>
      <c r="W49" s="374"/>
      <c r="X49" s="374"/>
      <c r="Y49" s="374"/>
      <c r="Z49" s="374"/>
      <c r="AA49" s="374"/>
      <c r="AB49" s="374"/>
      <c r="AC49" s="374"/>
      <c r="AD49" s="374"/>
      <c r="AE49" s="374"/>
    </row>
    <row r="50" spans="20:31" s="175" customFormat="1" ht="14.5">
      <c r="T50" s="374"/>
      <c r="U50" s="374"/>
      <c r="V50" s="374"/>
      <c r="W50" s="374"/>
      <c r="X50" s="374"/>
      <c r="Y50" s="374"/>
      <c r="Z50" s="374"/>
      <c r="AA50" s="374"/>
      <c r="AB50" s="374"/>
      <c r="AC50" s="374"/>
      <c r="AD50" s="374"/>
      <c r="AE50" s="374"/>
    </row>
    <row r="51" spans="20:31" s="175" customFormat="1" ht="14.5">
      <c r="T51" s="374"/>
      <c r="U51" s="374"/>
      <c r="V51" s="374"/>
      <c r="W51" s="374"/>
      <c r="X51" s="374"/>
      <c r="Y51" s="374"/>
      <c r="Z51" s="374"/>
      <c r="AA51" s="374"/>
      <c r="AB51" s="374"/>
      <c r="AC51" s="374"/>
      <c r="AD51" s="374"/>
      <c r="AE51" s="374"/>
    </row>
    <row r="52" spans="20:31" s="175" customFormat="1" ht="14.5">
      <c r="T52" s="374"/>
      <c r="U52" s="374"/>
      <c r="V52" s="374"/>
      <c r="W52" s="374"/>
      <c r="X52" s="374"/>
      <c r="Y52" s="374"/>
      <c r="Z52" s="374"/>
      <c r="AA52" s="374"/>
      <c r="AB52" s="374"/>
      <c r="AC52" s="374"/>
      <c r="AD52" s="374"/>
      <c r="AE52" s="374"/>
    </row>
    <row r="53" spans="20:31" s="175" customFormat="1" ht="14.5">
      <c r="T53" s="374"/>
      <c r="U53" s="374"/>
      <c r="V53" s="374"/>
      <c r="W53" s="374"/>
      <c r="X53" s="374"/>
      <c r="Y53" s="374"/>
      <c r="Z53" s="374"/>
      <c r="AA53" s="374"/>
      <c r="AB53" s="374"/>
      <c r="AC53" s="374"/>
      <c r="AD53" s="374"/>
      <c r="AE53" s="374"/>
    </row>
    <row r="54" spans="20:31" s="175" customFormat="1" ht="14.5">
      <c r="T54" s="374"/>
      <c r="U54" s="374"/>
      <c r="V54" s="374"/>
      <c r="W54" s="374"/>
      <c r="X54" s="374"/>
      <c r="Y54" s="374"/>
      <c r="Z54" s="374"/>
      <c r="AA54" s="374"/>
      <c r="AB54" s="374"/>
      <c r="AC54" s="374"/>
      <c r="AD54" s="374"/>
      <c r="AE54" s="374"/>
    </row>
    <row r="55" spans="20:31" s="175" customFormat="1" ht="14.5">
      <c r="T55" s="374"/>
      <c r="U55" s="374"/>
      <c r="V55" s="374"/>
      <c r="W55" s="374"/>
      <c r="X55" s="374"/>
      <c r="Y55" s="374"/>
      <c r="Z55" s="374"/>
      <c r="AA55" s="374"/>
      <c r="AB55" s="374"/>
      <c r="AC55" s="374"/>
      <c r="AD55" s="374"/>
      <c r="AE55" s="374"/>
    </row>
    <row r="56" spans="20:31" s="175" customFormat="1" ht="14.5">
      <c r="T56" s="374"/>
      <c r="U56" s="374"/>
      <c r="V56" s="374"/>
      <c r="W56" s="374"/>
      <c r="X56" s="374"/>
      <c r="Y56" s="374"/>
      <c r="Z56" s="374"/>
      <c r="AA56" s="374"/>
      <c r="AB56" s="374"/>
      <c r="AC56" s="374"/>
      <c r="AD56" s="374"/>
      <c r="AE56" s="374"/>
    </row>
    <row r="57" spans="20:31" s="175" customFormat="1" ht="14.5">
      <c r="T57" s="374"/>
      <c r="U57" s="374"/>
      <c r="V57" s="374"/>
      <c r="W57" s="374"/>
      <c r="X57" s="374"/>
      <c r="Y57" s="374"/>
      <c r="Z57" s="374"/>
      <c r="AA57" s="374"/>
      <c r="AB57" s="374"/>
      <c r="AC57" s="374"/>
      <c r="AD57" s="374"/>
      <c r="AE57" s="374"/>
    </row>
    <row r="58" spans="20:31" s="175" customFormat="1" ht="14.5">
      <c r="T58" s="374"/>
      <c r="U58" s="374"/>
      <c r="V58" s="374"/>
      <c r="W58" s="374"/>
      <c r="X58" s="374"/>
      <c r="Y58" s="374"/>
      <c r="Z58" s="374"/>
      <c r="AA58" s="374"/>
      <c r="AB58" s="374"/>
      <c r="AC58" s="374"/>
      <c r="AD58" s="374"/>
      <c r="AE58" s="374"/>
    </row>
    <row r="59" spans="20:31" s="175" customFormat="1" ht="14.5">
      <c r="T59" s="374"/>
      <c r="U59" s="374"/>
      <c r="V59" s="374"/>
      <c r="W59" s="374"/>
      <c r="X59" s="372"/>
      <c r="Y59" s="371"/>
      <c r="Z59" s="371"/>
      <c r="AA59" s="371"/>
      <c r="AB59" s="371"/>
      <c r="AC59" s="371"/>
      <c r="AD59" s="371"/>
      <c r="AE59" s="371"/>
    </row>
    <row r="60" spans="20:31" s="175" customFormat="1" ht="14.5">
      <c r="T60" s="374"/>
      <c r="U60" s="374"/>
      <c r="V60" s="374"/>
      <c r="W60" s="374"/>
      <c r="X60" s="372"/>
      <c r="Y60" s="371"/>
      <c r="Z60" s="371"/>
      <c r="AA60" s="371"/>
      <c r="AB60" s="371"/>
      <c r="AC60" s="372"/>
      <c r="AD60" s="371"/>
      <c r="AE60" s="371"/>
    </row>
    <row r="61" spans="20:31" s="175" customFormat="1" ht="14.5">
      <c r="T61" s="374"/>
      <c r="U61" s="374"/>
      <c r="V61" s="374"/>
      <c r="W61" s="374"/>
      <c r="X61" s="372"/>
      <c r="Y61" s="371"/>
      <c r="Z61" s="371"/>
      <c r="AA61" s="371"/>
      <c r="AB61" s="371"/>
      <c r="AC61" s="371"/>
      <c r="AD61" s="371"/>
      <c r="AE61" s="371"/>
    </row>
    <row r="62" spans="20:31" s="175" customFormat="1" ht="14.5">
      <c r="T62" s="374"/>
      <c r="U62" s="374"/>
      <c r="V62" s="374"/>
      <c r="W62" s="374"/>
      <c r="X62" s="372"/>
      <c r="Y62" s="371"/>
      <c r="Z62" s="371"/>
      <c r="AA62" s="371"/>
      <c r="AB62" s="371"/>
      <c r="AC62" s="371"/>
      <c r="AD62" s="371"/>
      <c r="AE62" s="371"/>
    </row>
    <row r="63" spans="20:31" s="175" customFormat="1" ht="14.5">
      <c r="T63" s="374"/>
      <c r="U63" s="374"/>
      <c r="V63" s="374"/>
      <c r="W63" s="374"/>
      <c r="X63" s="374"/>
      <c r="Y63" s="374"/>
      <c r="Z63" s="374"/>
      <c r="AA63" s="374"/>
      <c r="AB63" s="374"/>
      <c r="AC63" s="374"/>
      <c r="AD63" s="374"/>
      <c r="AE63" s="374"/>
    </row>
    <row r="64" spans="20:31" s="175" customFormat="1" ht="14.5">
      <c r="T64" s="374"/>
      <c r="U64" s="374"/>
      <c r="V64" s="374"/>
      <c r="W64" s="374"/>
      <c r="X64" s="374"/>
      <c r="Y64" s="374"/>
      <c r="Z64" s="374"/>
      <c r="AA64" s="374"/>
      <c r="AB64" s="374"/>
      <c r="AC64" s="374"/>
      <c r="AD64" s="374"/>
      <c r="AE64" s="374"/>
    </row>
    <row r="65" spans="20:31" s="175" customFormat="1" ht="14.5">
      <c r="T65" s="374"/>
      <c r="U65" s="374"/>
      <c r="V65" s="374"/>
      <c r="W65" s="374"/>
      <c r="X65" s="374"/>
      <c r="Y65" s="374"/>
      <c r="Z65" s="374"/>
      <c r="AA65" s="374"/>
      <c r="AB65" s="374"/>
      <c r="AC65" s="374"/>
      <c r="AD65" s="374"/>
      <c r="AE65" s="374"/>
    </row>
    <row r="66" spans="20:31" s="175" customFormat="1" ht="14.5">
      <c r="T66" s="374"/>
      <c r="U66" s="374"/>
      <c r="V66" s="374"/>
      <c r="W66" s="374"/>
      <c r="X66" s="374"/>
      <c r="Y66" s="374"/>
      <c r="Z66" s="374"/>
      <c r="AA66" s="374"/>
      <c r="AB66" s="374"/>
      <c r="AC66" s="374"/>
      <c r="AD66" s="374"/>
      <c r="AE66" s="374"/>
    </row>
    <row r="67" spans="20:31" s="175" customFormat="1" ht="14.5">
      <c r="T67" s="374"/>
      <c r="U67" s="374"/>
      <c r="V67" s="374"/>
      <c r="W67" s="374"/>
      <c r="X67" s="374"/>
      <c r="Y67" s="374"/>
      <c r="Z67" s="374"/>
      <c r="AA67" s="374"/>
      <c r="AB67" s="374"/>
      <c r="AC67" s="374"/>
      <c r="AD67" s="374"/>
      <c r="AE67" s="374"/>
    </row>
    <row r="68" spans="20:31" s="175" customFormat="1" ht="14.5">
      <c r="T68" s="374"/>
      <c r="U68" s="374"/>
      <c r="V68" s="374"/>
      <c r="W68" s="374"/>
      <c r="X68" s="374"/>
      <c r="Y68" s="374"/>
      <c r="Z68" s="374"/>
      <c r="AA68" s="374"/>
      <c r="AB68" s="374"/>
      <c r="AC68" s="374"/>
      <c r="AD68" s="374"/>
      <c r="AE68" s="374"/>
    </row>
    <row r="69" spans="20:31" s="175" customFormat="1" ht="14.5">
      <c r="T69" s="374"/>
      <c r="U69" s="374"/>
      <c r="V69" s="374"/>
      <c r="W69" s="374"/>
      <c r="X69" s="374"/>
      <c r="Y69" s="374"/>
      <c r="Z69" s="374"/>
      <c r="AA69" s="374"/>
      <c r="AB69" s="374"/>
      <c r="AC69" s="374"/>
      <c r="AD69" s="374"/>
      <c r="AE69" s="374"/>
    </row>
    <row r="70" spans="20:31" s="175" customFormat="1" ht="14.5">
      <c r="T70" s="374"/>
      <c r="U70" s="374"/>
      <c r="V70" s="374"/>
      <c r="W70" s="374"/>
      <c r="X70" s="374"/>
      <c r="Y70" s="374"/>
      <c r="Z70" s="374"/>
      <c r="AA70" s="374"/>
      <c r="AB70" s="374"/>
      <c r="AC70" s="374"/>
      <c r="AD70" s="374"/>
      <c r="AE70" s="374"/>
    </row>
    <row r="71" spans="20:31" s="175" customFormat="1" ht="14.5">
      <c r="T71" s="374"/>
      <c r="U71" s="374"/>
      <c r="V71" s="374"/>
      <c r="W71" s="374"/>
      <c r="X71" s="374"/>
      <c r="Y71" s="374"/>
      <c r="Z71" s="374"/>
      <c r="AA71" s="374"/>
      <c r="AB71" s="374"/>
      <c r="AC71" s="374"/>
      <c r="AD71" s="374"/>
      <c r="AE71" s="374"/>
    </row>
    <row r="72" spans="20:31" s="175" customFormat="1" ht="14.5">
      <c r="T72" s="374"/>
      <c r="U72" s="374"/>
      <c r="V72" s="374"/>
      <c r="W72" s="374"/>
      <c r="X72" s="374"/>
      <c r="Y72" s="374"/>
      <c r="Z72" s="374"/>
      <c r="AA72" s="374"/>
      <c r="AB72" s="374"/>
      <c r="AC72" s="374"/>
      <c r="AD72" s="374"/>
      <c r="AE72" s="374"/>
    </row>
    <row r="73" spans="20:31" s="175" customFormat="1" ht="14.5">
      <c r="T73" s="374"/>
      <c r="U73" s="374"/>
      <c r="V73" s="374"/>
      <c r="W73" s="374"/>
      <c r="X73" s="374"/>
      <c r="Y73" s="374"/>
      <c r="Z73" s="374"/>
      <c r="AA73" s="374"/>
      <c r="AB73" s="374"/>
      <c r="AC73" s="374"/>
      <c r="AD73" s="374"/>
      <c r="AE73" s="374"/>
    </row>
    <row r="74" spans="20:31" s="175" customFormat="1" ht="14.5">
      <c r="T74" s="374"/>
      <c r="U74" s="374"/>
      <c r="V74" s="374"/>
      <c r="W74" s="374"/>
      <c r="X74" s="374"/>
      <c r="Y74" s="374"/>
      <c r="Z74" s="374"/>
      <c r="AA74" s="374"/>
      <c r="AB74" s="374"/>
      <c r="AC74" s="374"/>
      <c r="AD74" s="374"/>
      <c r="AE74" s="374"/>
    </row>
    <row r="75" spans="20:31" s="175" customFormat="1" ht="14.5">
      <c r="T75" s="374"/>
      <c r="U75" s="374"/>
      <c r="V75" s="374"/>
      <c r="W75" s="374"/>
      <c r="X75" s="374"/>
      <c r="Y75" s="374"/>
      <c r="Z75" s="374"/>
      <c r="AA75" s="374"/>
      <c r="AB75" s="374"/>
      <c r="AC75" s="374"/>
      <c r="AD75" s="374"/>
    </row>
    <row r="76" spans="20:31" s="175" customFormat="1" ht="14.5">
      <c r="T76" s="374"/>
      <c r="U76" s="374"/>
      <c r="V76" s="374"/>
      <c r="W76" s="374"/>
      <c r="X76" s="374"/>
      <c r="Y76" s="374"/>
      <c r="Z76" s="374"/>
      <c r="AA76" s="374"/>
      <c r="AB76" s="374"/>
      <c r="AC76" s="374"/>
      <c r="AD76" s="374"/>
    </row>
    <row r="77" spans="20:31" s="175" customFormat="1" ht="14.5">
      <c r="T77" s="374"/>
      <c r="U77" s="374"/>
      <c r="V77" s="374"/>
      <c r="W77" s="374"/>
      <c r="X77" s="374"/>
      <c r="Y77" s="374"/>
      <c r="Z77" s="374"/>
      <c r="AA77" s="374"/>
      <c r="AB77" s="374"/>
      <c r="AC77" s="374"/>
      <c r="AD77" s="374"/>
    </row>
    <row r="78" spans="20:31" s="175" customFormat="1" ht="14.5">
      <c r="T78" s="374"/>
      <c r="U78" s="374"/>
      <c r="V78" s="374"/>
      <c r="W78" s="374"/>
      <c r="X78" s="374"/>
      <c r="Y78" s="374"/>
      <c r="Z78" s="374"/>
      <c r="AA78" s="374"/>
      <c r="AB78" s="374"/>
      <c r="AC78" s="374"/>
      <c r="AD78" s="374"/>
    </row>
    <row r="79" spans="20:31" s="175" customFormat="1" ht="14.5">
      <c r="T79" s="374"/>
      <c r="U79" s="374"/>
      <c r="V79" s="374"/>
      <c r="W79" s="374"/>
      <c r="X79" s="374"/>
      <c r="Y79" s="374"/>
      <c r="Z79" s="374"/>
      <c r="AA79" s="374"/>
      <c r="AB79" s="374"/>
      <c r="AC79" s="374"/>
      <c r="AD79" s="374"/>
    </row>
    <row r="80" spans="20:31" s="175" customFormat="1" ht="14.5">
      <c r="T80" s="374"/>
      <c r="U80" s="374"/>
      <c r="V80" s="374"/>
      <c r="W80" s="374"/>
      <c r="X80" s="374"/>
      <c r="Y80" s="374"/>
      <c r="Z80" s="374"/>
      <c r="AA80" s="374"/>
      <c r="AB80" s="374"/>
      <c r="AC80" s="374"/>
      <c r="AD80" s="374"/>
    </row>
    <row r="81" spans="2:30" s="175" customFormat="1" ht="14.5">
      <c r="T81" s="374"/>
      <c r="U81" s="374"/>
      <c r="V81" s="374"/>
      <c r="W81" s="374"/>
      <c r="X81" s="374"/>
      <c r="Y81" s="374"/>
      <c r="Z81" s="374"/>
      <c r="AA81" s="374"/>
      <c r="AB81" s="374"/>
      <c r="AC81" s="374"/>
      <c r="AD81" s="374"/>
    </row>
    <row r="82" spans="2:30" s="175" customFormat="1" ht="14.5">
      <c r="T82" s="374"/>
      <c r="U82" s="374"/>
      <c r="V82" s="374"/>
      <c r="W82" s="374"/>
      <c r="X82" s="374"/>
      <c r="Y82" s="374"/>
      <c r="Z82" s="374"/>
      <c r="AA82" s="374"/>
      <c r="AB82" s="374"/>
      <c r="AC82" s="374"/>
      <c r="AD82" s="374"/>
    </row>
    <row r="83" spans="2:30" s="175" customFormat="1" ht="14.5">
      <c r="T83" s="374"/>
      <c r="U83" s="374"/>
      <c r="V83" s="374"/>
      <c r="W83" s="374"/>
      <c r="X83" s="374"/>
      <c r="Y83" s="374"/>
      <c r="Z83" s="374"/>
      <c r="AA83" s="374"/>
      <c r="AB83" s="374"/>
      <c r="AC83" s="374"/>
      <c r="AD83" s="374"/>
    </row>
    <row r="84" spans="2:30" s="175" customFormat="1" ht="14.5">
      <c r="B84" s="22"/>
      <c r="C84" s="69"/>
      <c r="D84" s="69"/>
      <c r="T84" s="374"/>
      <c r="U84" s="374"/>
      <c r="V84" s="374"/>
      <c r="W84" s="374"/>
      <c r="X84" s="374"/>
      <c r="Y84" s="374"/>
      <c r="Z84" s="374"/>
      <c r="AA84" s="374"/>
      <c r="AB84" s="374"/>
      <c r="AC84" s="374"/>
      <c r="AD84" s="374"/>
    </row>
    <row r="85" spans="2:30" s="175" customFormat="1" ht="14.5">
      <c r="B85" s="69"/>
      <c r="C85" s="69"/>
      <c r="D85" s="69"/>
      <c r="T85" s="374"/>
      <c r="U85" s="374"/>
      <c r="V85" s="374"/>
      <c r="W85" s="374"/>
      <c r="X85" s="374"/>
      <c r="Y85" s="374"/>
      <c r="Z85" s="374"/>
      <c r="AA85" s="374"/>
      <c r="AB85" s="374"/>
      <c r="AC85" s="374"/>
      <c r="AD85" s="374"/>
    </row>
    <row r="86" spans="2:30" s="175" customFormat="1" ht="14.5">
      <c r="B86"/>
      <c r="C86" s="69"/>
      <c r="D86" s="69"/>
      <c r="T86" s="374"/>
      <c r="U86" s="374"/>
      <c r="V86" s="374"/>
      <c r="W86" s="374"/>
      <c r="X86" s="374"/>
      <c r="Y86" s="374"/>
      <c r="Z86" s="374"/>
      <c r="AA86" s="374"/>
      <c r="AB86" s="374"/>
      <c r="AC86" s="374"/>
      <c r="AD86" s="374"/>
    </row>
    <row r="87" spans="2:30" s="175" customFormat="1" ht="14.5">
      <c r="B87" s="69"/>
      <c r="C87" s="69"/>
      <c r="D87" s="69"/>
      <c r="T87" s="374"/>
      <c r="U87" s="374"/>
      <c r="V87" s="374"/>
      <c r="W87" s="374"/>
      <c r="X87" s="374"/>
      <c r="Y87" s="374"/>
      <c r="Z87" s="374"/>
      <c r="AA87" s="374"/>
      <c r="AB87" s="374"/>
      <c r="AC87" s="374"/>
      <c r="AD87" s="374"/>
    </row>
    <row r="88" spans="2:30" s="175" customFormat="1" ht="14.5">
      <c r="B88" s="69"/>
      <c r="C88" s="69"/>
      <c r="D88" s="69"/>
      <c r="T88" s="374"/>
      <c r="U88" s="374"/>
      <c r="V88" s="374"/>
      <c r="W88" s="374"/>
      <c r="X88" s="374"/>
      <c r="Y88" s="374"/>
      <c r="Z88" s="374"/>
      <c r="AA88" s="374"/>
      <c r="AB88" s="374"/>
      <c r="AC88" s="374"/>
      <c r="AD88" s="374"/>
    </row>
    <row r="89" spans="2:30" s="175" customFormat="1" ht="14.5">
      <c r="B89" s="69"/>
      <c r="C89" s="69"/>
      <c r="D89" s="69"/>
      <c r="T89" s="374"/>
      <c r="U89" s="374"/>
      <c r="V89" s="374"/>
      <c r="W89" s="374"/>
      <c r="X89" s="374"/>
      <c r="Y89" s="374"/>
      <c r="Z89" s="374"/>
      <c r="AA89" s="374"/>
      <c r="AB89" s="374"/>
      <c r="AC89" s="374"/>
      <c r="AD89" s="374"/>
    </row>
    <row r="90" spans="2:30" s="175" customFormat="1" ht="14.5">
      <c r="B90" s="69"/>
      <c r="C90" s="69"/>
      <c r="D90" s="69"/>
      <c r="T90" s="374"/>
      <c r="U90" s="374"/>
      <c r="V90" s="374"/>
      <c r="W90" s="374"/>
      <c r="X90" s="374"/>
      <c r="Y90" s="374"/>
      <c r="Z90" s="374"/>
      <c r="AA90" s="374"/>
      <c r="AB90" s="374"/>
      <c r="AC90" s="374"/>
      <c r="AD90" s="374"/>
    </row>
    <row r="91" spans="2:30" s="175" customFormat="1" ht="14.5">
      <c r="B91" s="69"/>
      <c r="C91" s="69"/>
      <c r="D91" s="69"/>
      <c r="T91" s="374"/>
      <c r="U91" s="374"/>
      <c r="V91" s="374"/>
      <c r="W91" s="374"/>
      <c r="X91" s="374"/>
      <c r="Y91" s="374"/>
      <c r="Z91" s="374"/>
      <c r="AA91" s="374"/>
      <c r="AB91" s="374"/>
      <c r="AC91" s="374"/>
      <c r="AD91" s="374"/>
    </row>
    <row r="92" spans="2:30" s="175" customFormat="1" ht="14.5">
      <c r="T92" s="374"/>
      <c r="U92" s="374"/>
      <c r="V92" s="374"/>
      <c r="W92" s="374"/>
      <c r="X92" s="374"/>
      <c r="Y92" s="374"/>
      <c r="Z92" s="374"/>
      <c r="AA92" s="374"/>
      <c r="AB92" s="374"/>
      <c r="AC92" s="374"/>
      <c r="AD92" s="374"/>
    </row>
    <row r="93" spans="2:30" s="175" customFormat="1" ht="14.5">
      <c r="T93" s="374"/>
      <c r="U93" s="374"/>
      <c r="V93" s="374"/>
      <c r="W93" s="374"/>
      <c r="X93" s="374"/>
      <c r="Y93" s="374"/>
      <c r="Z93" s="374"/>
      <c r="AA93" s="374"/>
      <c r="AB93" s="374"/>
      <c r="AC93" s="374"/>
      <c r="AD93" s="374"/>
    </row>
    <row r="94" spans="2:30" s="175" customFormat="1" ht="14.5">
      <c r="T94" s="374"/>
      <c r="U94" s="374"/>
      <c r="V94" s="374"/>
      <c r="W94" s="374"/>
      <c r="X94" s="374"/>
      <c r="Y94" s="374"/>
      <c r="Z94" s="374"/>
      <c r="AA94" s="374"/>
      <c r="AB94" s="374"/>
      <c r="AC94" s="374"/>
      <c r="AD94" s="374"/>
    </row>
    <row r="95" spans="2:30" s="175" customFormat="1" ht="14.5">
      <c r="T95" s="374"/>
      <c r="U95" s="374"/>
      <c r="V95" s="374"/>
      <c r="W95" s="374"/>
      <c r="X95" s="374"/>
      <c r="Y95" s="374"/>
      <c r="Z95" s="374"/>
      <c r="AA95" s="374"/>
      <c r="AB95" s="374"/>
      <c r="AC95" s="374"/>
      <c r="AD95" s="374"/>
    </row>
    <row r="96" spans="2:30" s="175" customFormat="1" ht="14.5">
      <c r="T96" s="374"/>
      <c r="U96" s="374"/>
      <c r="V96" s="374"/>
      <c r="W96" s="374"/>
      <c r="X96" s="374"/>
      <c r="Y96" s="374"/>
      <c r="Z96" s="374"/>
      <c r="AA96" s="374"/>
      <c r="AB96" s="374"/>
      <c r="AC96" s="374"/>
      <c r="AD96" s="374"/>
    </row>
    <row r="97" spans="20:30" s="175" customFormat="1" ht="14.5">
      <c r="T97" s="374"/>
      <c r="U97" s="374"/>
      <c r="V97" s="374"/>
      <c r="W97" s="374"/>
      <c r="X97" s="374"/>
      <c r="Y97" s="374"/>
      <c r="Z97" s="374"/>
      <c r="AA97" s="374"/>
      <c r="AB97" s="374"/>
      <c r="AC97" s="374"/>
      <c r="AD97" s="374"/>
    </row>
    <row r="98" spans="20:30" s="175" customFormat="1" ht="14.5">
      <c r="T98" s="374"/>
      <c r="U98" s="374"/>
      <c r="V98" s="374"/>
      <c r="W98" s="374"/>
      <c r="X98" s="374"/>
      <c r="Y98" s="374"/>
      <c r="Z98" s="374"/>
      <c r="AA98" s="374"/>
      <c r="AB98" s="374"/>
      <c r="AC98" s="374"/>
      <c r="AD98" s="374"/>
    </row>
    <row r="99" spans="20:30" s="175" customFormat="1" ht="14.5">
      <c r="T99" s="374"/>
      <c r="U99" s="374"/>
      <c r="V99" s="374"/>
      <c r="W99" s="374"/>
      <c r="X99" s="374"/>
      <c r="Y99" s="374"/>
      <c r="Z99" s="374"/>
      <c r="AA99" s="374"/>
      <c r="AB99" s="374"/>
      <c r="AC99" s="374"/>
      <c r="AD99" s="374"/>
    </row>
    <row r="100" spans="20:30" s="175" customFormat="1" ht="14.5">
      <c r="T100" s="374"/>
      <c r="U100" s="374"/>
      <c r="V100" s="374"/>
      <c r="W100" s="374"/>
      <c r="X100" s="374"/>
      <c r="Y100" s="374"/>
      <c r="Z100" s="374"/>
      <c r="AA100" s="374"/>
      <c r="AB100" s="374"/>
      <c r="AC100" s="374"/>
      <c r="AD100" s="374"/>
    </row>
    <row r="101" spans="20:30" s="175" customFormat="1" ht="14.5">
      <c r="T101" s="374"/>
      <c r="U101" s="374"/>
      <c r="V101" s="374"/>
      <c r="W101" s="374"/>
      <c r="X101" s="374"/>
      <c r="Y101" s="374"/>
      <c r="Z101" s="374"/>
      <c r="AA101" s="374"/>
      <c r="AB101" s="374"/>
      <c r="AC101" s="374"/>
      <c r="AD101" s="374"/>
    </row>
    <row r="102" spans="20:30" s="175" customFormat="1" ht="14.5">
      <c r="T102" s="374"/>
      <c r="U102" s="374"/>
      <c r="V102" s="374"/>
      <c r="W102" s="374"/>
      <c r="X102" s="374"/>
      <c r="Y102" s="374"/>
      <c r="Z102" s="374"/>
      <c r="AA102" s="374"/>
      <c r="AB102" s="374"/>
      <c r="AC102" s="374"/>
      <c r="AD102" s="374"/>
    </row>
    <row r="103" spans="20:30" s="175" customFormat="1" ht="14.5">
      <c r="T103" s="374"/>
      <c r="U103" s="374"/>
      <c r="V103" s="374"/>
      <c r="W103" s="374"/>
      <c r="X103" s="374"/>
      <c r="Y103" s="374"/>
      <c r="Z103" s="374"/>
      <c r="AA103" s="374"/>
      <c r="AB103" s="374"/>
      <c r="AC103" s="374"/>
      <c r="AD103" s="374"/>
    </row>
    <row r="104" spans="20:30" s="175" customFormat="1" ht="14.5">
      <c r="T104" s="374"/>
      <c r="U104" s="374"/>
      <c r="V104" s="374"/>
      <c r="W104" s="374"/>
      <c r="X104" s="374"/>
      <c r="Y104" s="374"/>
      <c r="Z104" s="374"/>
      <c r="AA104" s="374"/>
      <c r="AB104" s="374"/>
      <c r="AC104" s="374"/>
      <c r="AD104" s="374"/>
    </row>
    <row r="105" spans="20:30" s="175" customFormat="1" ht="14.5">
      <c r="T105" s="374"/>
      <c r="U105" s="374"/>
      <c r="V105" s="374"/>
      <c r="W105" s="374"/>
      <c r="X105" s="374"/>
      <c r="Y105" s="374"/>
      <c r="Z105" s="374"/>
      <c r="AA105" s="374"/>
      <c r="AB105" s="374"/>
      <c r="AC105" s="374"/>
      <c r="AD105" s="374"/>
    </row>
    <row r="106" spans="20:30" s="175" customFormat="1" ht="14.5">
      <c r="T106" s="374"/>
      <c r="U106" s="374"/>
      <c r="V106" s="374"/>
      <c r="W106" s="374"/>
      <c r="X106" s="374"/>
      <c r="Y106" s="374"/>
      <c r="Z106" s="374"/>
      <c r="AA106" s="374"/>
      <c r="AB106" s="374"/>
      <c r="AC106" s="374"/>
      <c r="AD106" s="374"/>
    </row>
    <row r="107" spans="20:30" s="175" customFormat="1" ht="14.5">
      <c r="T107" s="374"/>
      <c r="U107" s="374"/>
      <c r="V107" s="374"/>
      <c r="W107" s="374"/>
      <c r="X107" s="374"/>
      <c r="Y107" s="374"/>
      <c r="Z107" s="374"/>
      <c r="AA107" s="374"/>
      <c r="AB107" s="374"/>
      <c r="AC107" s="374"/>
      <c r="AD107" s="374"/>
    </row>
    <row r="108" spans="20:30" s="175" customFormat="1" ht="14.5">
      <c r="T108" s="374"/>
      <c r="U108" s="374"/>
      <c r="V108" s="374"/>
      <c r="W108" s="374"/>
      <c r="X108" s="374"/>
      <c r="Y108" s="374"/>
      <c r="Z108" s="374"/>
      <c r="AA108" s="374"/>
      <c r="AB108" s="374"/>
      <c r="AC108" s="374"/>
      <c r="AD108" s="374"/>
    </row>
    <row r="109" spans="20:30" s="175" customFormat="1" ht="14.5">
      <c r="T109" s="374"/>
      <c r="U109" s="374"/>
      <c r="V109" s="374"/>
      <c r="W109" s="374"/>
      <c r="X109" s="374"/>
      <c r="Y109" s="374"/>
      <c r="Z109" s="374"/>
      <c r="AA109" s="374"/>
      <c r="AB109" s="374"/>
      <c r="AC109" s="374"/>
      <c r="AD109" s="374"/>
    </row>
    <row r="110" spans="20:30" s="175" customFormat="1" ht="14.5">
      <c r="T110" s="374"/>
      <c r="U110" s="374"/>
      <c r="V110" s="374"/>
      <c r="W110" s="374"/>
      <c r="X110" s="374"/>
      <c r="Y110" s="374"/>
      <c r="Z110" s="374"/>
      <c r="AA110" s="374"/>
      <c r="AB110" s="374"/>
      <c r="AC110" s="374"/>
      <c r="AD110" s="374"/>
    </row>
    <row r="111" spans="20:30" s="175" customFormat="1" ht="14.5">
      <c r="T111" s="374"/>
      <c r="U111" s="374"/>
      <c r="V111" s="374"/>
      <c r="W111" s="374"/>
      <c r="X111" s="374"/>
      <c r="Y111" s="374"/>
      <c r="Z111" s="374"/>
      <c r="AA111" s="374"/>
      <c r="AB111" s="374"/>
      <c r="AC111" s="374"/>
      <c r="AD111" s="374"/>
    </row>
    <row r="112" spans="20:30" s="175" customFormat="1" ht="14.5">
      <c r="T112" s="374"/>
      <c r="U112" s="374"/>
      <c r="V112" s="374"/>
      <c r="W112" s="374"/>
      <c r="X112" s="374"/>
      <c r="Y112" s="374"/>
      <c r="Z112" s="374"/>
      <c r="AA112" s="374"/>
      <c r="AB112" s="374"/>
      <c r="AC112" s="374"/>
      <c r="AD112" s="374"/>
    </row>
    <row r="113" spans="20:30" s="175" customFormat="1" ht="14.5">
      <c r="T113" s="374"/>
      <c r="U113" s="374"/>
      <c r="V113" s="374"/>
      <c r="W113" s="374"/>
      <c r="X113" s="374"/>
      <c r="Y113" s="374"/>
      <c r="Z113" s="374"/>
      <c r="AA113" s="374"/>
      <c r="AB113" s="374"/>
      <c r="AC113" s="374"/>
      <c r="AD113" s="374"/>
    </row>
    <row r="114" spans="20:30" s="175" customFormat="1" ht="14.5">
      <c r="T114" s="374"/>
      <c r="U114" s="374"/>
      <c r="V114" s="374"/>
      <c r="W114" s="374"/>
      <c r="X114" s="374"/>
      <c r="Y114" s="374"/>
      <c r="Z114" s="374"/>
      <c r="AA114" s="374"/>
      <c r="AB114" s="374"/>
      <c r="AC114" s="374"/>
      <c r="AD114" s="374"/>
    </row>
    <row r="115" spans="20:30" s="175" customFormat="1" ht="14.5">
      <c r="T115" s="374"/>
      <c r="U115" s="374"/>
      <c r="V115" s="374"/>
      <c r="W115" s="374"/>
      <c r="X115" s="374"/>
      <c r="Y115" s="374"/>
      <c r="Z115" s="374"/>
      <c r="AA115" s="374"/>
      <c r="AB115" s="374"/>
      <c r="AC115" s="374"/>
      <c r="AD115" s="374"/>
    </row>
    <row r="116" spans="20:30" s="175" customFormat="1" ht="14.5">
      <c r="T116" s="374"/>
      <c r="U116" s="374"/>
      <c r="V116" s="374"/>
      <c r="W116" s="374"/>
      <c r="X116" s="374"/>
      <c r="Y116" s="374"/>
      <c r="Z116" s="374"/>
      <c r="AA116" s="374"/>
      <c r="AB116" s="374"/>
      <c r="AC116" s="374"/>
      <c r="AD116" s="374"/>
    </row>
    <row r="117" spans="20:30" s="175" customFormat="1" ht="14.5">
      <c r="T117" s="374"/>
      <c r="U117" s="374"/>
      <c r="V117" s="374"/>
      <c r="W117" s="374"/>
      <c r="X117" s="374"/>
      <c r="Y117" s="374"/>
      <c r="Z117" s="374"/>
      <c r="AA117" s="374"/>
      <c r="AB117" s="374"/>
      <c r="AC117" s="374"/>
      <c r="AD117" s="374"/>
    </row>
    <row r="118" spans="20:30" s="175" customFormat="1" ht="14.5">
      <c r="T118" s="374"/>
      <c r="U118" s="374"/>
      <c r="V118" s="374"/>
      <c r="W118" s="374"/>
      <c r="X118" s="374"/>
      <c r="Y118" s="374"/>
      <c r="Z118" s="374"/>
      <c r="AA118" s="374"/>
      <c r="AB118" s="374"/>
      <c r="AC118" s="374"/>
      <c r="AD118" s="374"/>
    </row>
    <row r="119" spans="20:30" s="175" customFormat="1" ht="14.5">
      <c r="T119" s="374"/>
      <c r="U119" s="374"/>
      <c r="V119" s="374"/>
      <c r="W119" s="374"/>
      <c r="X119" s="374"/>
      <c r="Y119" s="374"/>
      <c r="Z119" s="374"/>
      <c r="AA119" s="374"/>
      <c r="AB119" s="374"/>
      <c r="AC119" s="374"/>
      <c r="AD119" s="374"/>
    </row>
    <row r="120" spans="20:30" s="175" customFormat="1" ht="14.5">
      <c r="T120" s="374"/>
      <c r="U120" s="374"/>
      <c r="V120" s="374"/>
      <c r="W120" s="374"/>
      <c r="X120" s="374"/>
      <c r="Y120" s="374"/>
      <c r="Z120" s="374"/>
      <c r="AA120" s="374"/>
      <c r="AB120" s="374"/>
      <c r="AC120" s="374"/>
      <c r="AD120" s="374"/>
    </row>
    <row r="121" spans="20:30" s="175" customFormat="1" ht="14.5">
      <c r="T121" s="374"/>
      <c r="U121" s="374"/>
      <c r="V121" s="374"/>
      <c r="W121" s="374"/>
      <c r="X121" s="374"/>
      <c r="Y121" s="374"/>
      <c r="Z121" s="374"/>
      <c r="AA121" s="374"/>
      <c r="AB121" s="374"/>
      <c r="AC121" s="374"/>
      <c r="AD121" s="374"/>
    </row>
    <row r="122" spans="20:30" s="175" customFormat="1" ht="14.5">
      <c r="T122" s="374"/>
      <c r="U122" s="374"/>
      <c r="V122" s="374"/>
      <c r="W122" s="374"/>
      <c r="X122" s="374"/>
      <c r="Y122" s="374"/>
      <c r="Z122" s="374"/>
      <c r="AA122" s="374"/>
      <c r="AB122" s="374"/>
      <c r="AC122" s="374"/>
      <c r="AD122" s="374"/>
    </row>
    <row r="123" spans="20:30" s="175" customFormat="1" ht="14.5">
      <c r="T123" s="374"/>
      <c r="U123" s="374"/>
      <c r="V123" s="374"/>
      <c r="W123" s="374"/>
      <c r="X123" s="374"/>
      <c r="Y123" s="374"/>
      <c r="Z123" s="374"/>
      <c r="AA123" s="374"/>
      <c r="AB123" s="374"/>
      <c r="AC123" s="374"/>
      <c r="AD123" s="374"/>
    </row>
    <row r="124" spans="20:30" s="175" customFormat="1" ht="14.5">
      <c r="T124" s="374"/>
      <c r="U124" s="374"/>
      <c r="V124" s="374"/>
      <c r="W124" s="374"/>
      <c r="X124" s="374"/>
      <c r="Y124" s="374"/>
      <c r="Z124" s="374"/>
      <c r="AA124" s="374"/>
      <c r="AB124" s="374"/>
      <c r="AC124" s="374"/>
      <c r="AD124" s="374"/>
    </row>
    <row r="125" spans="20:30" s="175" customFormat="1" ht="14.5">
      <c r="T125" s="374"/>
      <c r="U125" s="374"/>
      <c r="V125" s="374"/>
      <c r="W125" s="374"/>
      <c r="X125" s="374"/>
      <c r="Y125" s="374"/>
      <c r="Z125" s="374"/>
      <c r="AA125" s="374"/>
      <c r="AB125" s="374"/>
      <c r="AC125" s="374"/>
      <c r="AD125" s="374"/>
    </row>
    <row r="126" spans="20:30" s="175" customFormat="1" ht="14.5">
      <c r="T126" s="374"/>
      <c r="U126" s="374"/>
      <c r="V126" s="374"/>
      <c r="W126" s="374"/>
      <c r="X126" s="374"/>
      <c r="Y126" s="374"/>
      <c r="Z126" s="374"/>
      <c r="AA126" s="374"/>
      <c r="AB126" s="374"/>
      <c r="AC126" s="374"/>
      <c r="AD126" s="374"/>
    </row>
    <row r="127" spans="20:30" s="175" customFormat="1" ht="14.5">
      <c r="T127" s="374"/>
      <c r="U127" s="374"/>
      <c r="V127" s="374"/>
      <c r="W127" s="374"/>
      <c r="X127" s="374"/>
      <c r="Y127" s="374"/>
      <c r="Z127" s="374"/>
      <c r="AA127" s="374"/>
      <c r="AB127" s="374"/>
      <c r="AC127" s="374"/>
      <c r="AD127" s="374"/>
    </row>
    <row r="128" spans="20:30" s="175" customFormat="1" ht="14.5">
      <c r="T128" s="374"/>
      <c r="U128" s="374"/>
      <c r="V128" s="374"/>
      <c r="W128" s="374"/>
      <c r="X128" s="374"/>
      <c r="Y128" s="374"/>
      <c r="Z128" s="374"/>
      <c r="AA128" s="374"/>
      <c r="AB128" s="374"/>
      <c r="AC128" s="374"/>
      <c r="AD128" s="374"/>
    </row>
    <row r="129" spans="20:30" s="175" customFormat="1" ht="14.5">
      <c r="T129" s="374"/>
      <c r="U129" s="374"/>
      <c r="V129" s="374"/>
      <c r="W129" s="374"/>
      <c r="X129" s="374"/>
      <c r="Y129" s="374"/>
      <c r="Z129" s="374"/>
      <c r="AA129" s="374"/>
      <c r="AB129" s="374"/>
      <c r="AC129" s="374"/>
      <c r="AD129" s="374"/>
    </row>
    <row r="130" spans="20:30" s="175" customFormat="1" ht="14.5">
      <c r="T130" s="374"/>
      <c r="U130" s="374"/>
      <c r="V130" s="374"/>
      <c r="W130" s="374"/>
      <c r="X130" s="374"/>
      <c r="Y130" s="374"/>
      <c r="Z130" s="374"/>
      <c r="AA130" s="374"/>
      <c r="AB130" s="374"/>
      <c r="AC130" s="374"/>
      <c r="AD130" s="374"/>
    </row>
    <row r="131" spans="20:30" s="175" customFormat="1" ht="14.5">
      <c r="T131" s="374"/>
      <c r="U131" s="374"/>
      <c r="V131" s="374"/>
      <c r="W131" s="374"/>
      <c r="X131" s="374"/>
      <c r="Y131" s="374"/>
      <c r="Z131" s="374"/>
      <c r="AA131" s="374"/>
      <c r="AB131" s="374"/>
      <c r="AC131" s="374"/>
      <c r="AD131" s="374"/>
    </row>
    <row r="132" spans="20:30" s="175" customFormat="1" ht="14.5">
      <c r="T132" s="374"/>
      <c r="U132" s="374"/>
      <c r="V132" s="374"/>
      <c r="W132" s="374"/>
      <c r="X132" s="374"/>
      <c r="Y132" s="374"/>
      <c r="Z132" s="374"/>
      <c r="AA132" s="374"/>
      <c r="AB132" s="374"/>
      <c r="AC132" s="374"/>
    </row>
    <row r="133" spans="20:30" s="175" customFormat="1" ht="14.5">
      <c r="T133" s="374"/>
      <c r="U133" s="374"/>
      <c r="V133" s="374"/>
      <c r="W133" s="374"/>
      <c r="X133" s="374"/>
      <c r="Y133" s="374"/>
      <c r="Z133" s="374"/>
      <c r="AA133" s="374"/>
      <c r="AB133" s="374"/>
      <c r="AC133" s="374"/>
    </row>
    <row r="134" spans="20:30" s="175" customFormat="1" ht="14.5">
      <c r="T134" s="374"/>
      <c r="U134" s="374"/>
      <c r="V134" s="374"/>
      <c r="W134" s="374"/>
      <c r="X134" s="374"/>
      <c r="Y134" s="374"/>
      <c r="Z134" s="374"/>
      <c r="AA134" s="374"/>
      <c r="AB134" s="374"/>
      <c r="AC134" s="374"/>
    </row>
    <row r="135" spans="20:30" s="175" customFormat="1" ht="14.5">
      <c r="T135" s="374"/>
      <c r="U135" s="374"/>
      <c r="V135" s="374"/>
      <c r="W135" s="374"/>
      <c r="X135" s="374"/>
      <c r="Y135" s="374"/>
      <c r="Z135" s="374"/>
      <c r="AA135" s="374"/>
      <c r="AB135" s="374"/>
      <c r="AC135" s="374"/>
    </row>
    <row r="136" spans="20:30" s="175" customFormat="1" ht="14.5">
      <c r="T136" s="374"/>
      <c r="U136" s="374"/>
      <c r="V136" s="374"/>
      <c r="W136" s="374"/>
      <c r="X136" s="374"/>
      <c r="Y136" s="374"/>
      <c r="Z136" s="374"/>
      <c r="AA136" s="374"/>
      <c r="AB136" s="374"/>
      <c r="AC136" s="374"/>
    </row>
    <row r="137" spans="20:30" s="175" customFormat="1" ht="14.5">
      <c r="T137" s="374"/>
      <c r="U137" s="374"/>
      <c r="V137" s="374"/>
      <c r="W137" s="374"/>
      <c r="X137" s="374"/>
      <c r="Y137" s="374"/>
      <c r="Z137" s="374"/>
      <c r="AA137" s="374"/>
      <c r="AB137" s="374"/>
      <c r="AC137" s="374"/>
    </row>
    <row r="138" spans="20:30" s="175" customFormat="1" ht="14.5">
      <c r="T138" s="374"/>
      <c r="U138" s="374"/>
      <c r="V138" s="374"/>
      <c r="W138" s="374"/>
      <c r="X138" s="374"/>
      <c r="Y138" s="374"/>
      <c r="Z138" s="374"/>
      <c r="AA138" s="374"/>
      <c r="AB138" s="374"/>
      <c r="AC138" s="374"/>
    </row>
    <row r="139" spans="20:30" s="175" customFormat="1" ht="14.5">
      <c r="T139" s="374"/>
      <c r="U139" s="374"/>
      <c r="V139" s="374"/>
      <c r="W139" s="374"/>
      <c r="X139" s="374"/>
      <c r="Y139" s="374"/>
      <c r="Z139" s="374"/>
      <c r="AA139" s="374"/>
      <c r="AB139" s="374"/>
      <c r="AC139" s="374"/>
    </row>
    <row r="140" spans="20:30" s="175" customFormat="1" ht="14.5">
      <c r="T140" s="374"/>
      <c r="U140" s="374"/>
      <c r="V140" s="374"/>
      <c r="W140" s="374"/>
      <c r="X140" s="374"/>
      <c r="Y140" s="374"/>
      <c r="Z140" s="374"/>
      <c r="AA140" s="374"/>
      <c r="AB140" s="374"/>
      <c r="AC140" s="374"/>
    </row>
    <row r="141" spans="20:30" s="175" customFormat="1" ht="14.5">
      <c r="T141" s="374"/>
      <c r="U141" s="374"/>
      <c r="V141" s="374"/>
      <c r="W141" s="374"/>
      <c r="X141" s="374"/>
      <c r="Y141" s="374"/>
      <c r="Z141" s="374"/>
      <c r="AA141" s="374"/>
      <c r="AB141" s="374"/>
      <c r="AC141" s="374"/>
    </row>
    <row r="142" spans="20:30" s="175" customFormat="1" ht="14.5">
      <c r="T142" s="374"/>
      <c r="U142" s="374"/>
      <c r="V142" s="374"/>
      <c r="W142" s="374"/>
      <c r="X142" s="374"/>
      <c r="Y142" s="374"/>
      <c r="Z142" s="374"/>
      <c r="AA142" s="374"/>
      <c r="AB142" s="374"/>
      <c r="AC142" s="374"/>
    </row>
    <row r="143" spans="20:30" s="175" customFormat="1" ht="14.5">
      <c r="T143" s="374"/>
      <c r="U143" s="374"/>
      <c r="V143" s="374"/>
      <c r="W143" s="374"/>
      <c r="X143" s="374"/>
      <c r="Y143" s="374"/>
      <c r="Z143" s="374"/>
      <c r="AA143" s="374"/>
      <c r="AB143" s="374"/>
      <c r="AC143" s="374"/>
    </row>
    <row r="144" spans="20:30" s="175" customFormat="1" ht="14.5">
      <c r="T144" s="374"/>
      <c r="U144" s="374"/>
      <c r="V144" s="374"/>
      <c r="W144" s="374"/>
      <c r="X144" s="374"/>
      <c r="Y144" s="374"/>
      <c r="Z144" s="374"/>
      <c r="AA144" s="374"/>
      <c r="AB144" s="374"/>
      <c r="AC144" s="374"/>
    </row>
    <row r="145" spans="20:29" s="175" customFormat="1" ht="14.5">
      <c r="T145" s="374"/>
      <c r="U145" s="374"/>
      <c r="V145" s="374"/>
      <c r="W145" s="374"/>
      <c r="X145" s="374"/>
      <c r="Y145" s="374"/>
      <c r="Z145" s="374"/>
      <c r="AA145" s="374"/>
      <c r="AB145" s="374"/>
      <c r="AC145" s="374"/>
    </row>
    <row r="146" spans="20:29" s="175" customFormat="1" ht="14.5">
      <c r="T146" s="374"/>
      <c r="U146" s="374"/>
      <c r="V146" s="374"/>
      <c r="W146" s="374"/>
      <c r="X146" s="374"/>
      <c r="Y146" s="374"/>
      <c r="Z146" s="374"/>
      <c r="AA146" s="374"/>
      <c r="AB146" s="374"/>
      <c r="AC146" s="374"/>
    </row>
    <row r="147" spans="20:29" s="175" customFormat="1" ht="14.5">
      <c r="T147" s="374"/>
      <c r="U147" s="374"/>
      <c r="V147" s="374"/>
      <c r="W147" s="374"/>
      <c r="X147" s="374"/>
      <c r="Y147" s="374"/>
      <c r="Z147" s="374"/>
      <c r="AA147" s="374"/>
      <c r="AB147" s="374"/>
      <c r="AC147" s="374"/>
    </row>
    <row r="148" spans="20:29" s="175" customFormat="1" ht="14.5">
      <c r="T148" s="374"/>
      <c r="U148" s="374"/>
      <c r="V148" s="374"/>
      <c r="W148" s="374"/>
      <c r="X148" s="374"/>
      <c r="Y148" s="374"/>
      <c r="Z148" s="374"/>
      <c r="AA148" s="374"/>
      <c r="AB148" s="374"/>
      <c r="AC148" s="374"/>
    </row>
    <row r="149" spans="20:29" s="175" customFormat="1" ht="14.5">
      <c r="T149" s="374"/>
      <c r="U149" s="374"/>
      <c r="V149" s="374"/>
      <c r="W149" s="374"/>
      <c r="X149" s="374"/>
      <c r="Y149" s="374"/>
      <c r="Z149" s="374"/>
      <c r="AA149" s="374"/>
      <c r="AB149" s="374"/>
      <c r="AC149" s="374"/>
    </row>
    <row r="150" spans="20:29" s="175" customFormat="1" ht="14.5">
      <c r="T150" s="374"/>
      <c r="U150" s="374"/>
      <c r="V150" s="374"/>
      <c r="W150" s="374"/>
      <c r="X150" s="374"/>
      <c r="Y150" s="374"/>
      <c r="Z150" s="374"/>
      <c r="AA150" s="374"/>
      <c r="AB150" s="374"/>
      <c r="AC150" s="374"/>
    </row>
    <row r="151" spans="20:29" s="175" customFormat="1" ht="14.5">
      <c r="T151" s="374"/>
      <c r="U151" s="374"/>
      <c r="V151" s="374"/>
      <c r="W151" s="374"/>
      <c r="X151" s="374"/>
      <c r="Y151" s="374"/>
      <c r="Z151" s="374"/>
      <c r="AA151" s="374"/>
      <c r="AB151" s="374"/>
      <c r="AC151" s="374"/>
    </row>
    <row r="152" spans="20:29" s="175" customFormat="1" ht="14.5">
      <c r="T152" s="374"/>
      <c r="U152" s="374"/>
      <c r="V152" s="374"/>
      <c r="W152" s="374"/>
      <c r="X152" s="374"/>
      <c r="Y152" s="374"/>
      <c r="Z152" s="374"/>
      <c r="AA152" s="374"/>
      <c r="AB152" s="374"/>
      <c r="AC152" s="374"/>
    </row>
    <row r="153" spans="20:29" s="175" customFormat="1" ht="14.5">
      <c r="T153" s="374"/>
      <c r="U153" s="374"/>
      <c r="V153" s="374"/>
      <c r="W153" s="374"/>
      <c r="X153" s="374"/>
      <c r="Y153" s="374"/>
      <c r="Z153" s="374"/>
      <c r="AA153" s="374"/>
      <c r="AB153" s="374"/>
      <c r="AC153" s="374"/>
    </row>
    <row r="154" spans="20:29" s="175" customFormat="1" ht="14.5">
      <c r="T154" s="374"/>
      <c r="U154" s="374"/>
      <c r="V154" s="374"/>
      <c r="W154" s="374"/>
      <c r="X154" s="374"/>
      <c r="Y154" s="374"/>
      <c r="Z154" s="374"/>
      <c r="AA154" s="374"/>
      <c r="AB154" s="374"/>
      <c r="AC154" s="374"/>
    </row>
    <row r="155" spans="20:29" s="175" customFormat="1" ht="14.5">
      <c r="T155" s="374"/>
      <c r="U155" s="374"/>
      <c r="V155" s="374"/>
      <c r="W155" s="374"/>
      <c r="X155" s="374"/>
      <c r="Y155" s="374"/>
      <c r="Z155" s="374"/>
      <c r="AA155" s="374"/>
      <c r="AB155" s="374"/>
      <c r="AC155" s="374"/>
    </row>
    <row r="156" spans="20:29" s="175" customFormat="1" ht="14.5">
      <c r="T156" s="374"/>
      <c r="U156" s="374"/>
      <c r="V156" s="374"/>
      <c r="W156" s="374"/>
      <c r="X156" s="374"/>
      <c r="Y156" s="374"/>
      <c r="Z156" s="374"/>
      <c r="AA156" s="374"/>
      <c r="AB156" s="374"/>
      <c r="AC156" s="374"/>
    </row>
    <row r="157" spans="20:29" s="175" customFormat="1" ht="14.5">
      <c r="T157" s="374"/>
      <c r="U157" s="374"/>
      <c r="V157" s="374"/>
      <c r="W157" s="374"/>
      <c r="X157" s="374"/>
      <c r="Y157" s="374"/>
      <c r="Z157" s="374"/>
      <c r="AA157" s="374"/>
      <c r="AB157" s="374"/>
      <c r="AC157" s="374"/>
    </row>
    <row r="158" spans="20:29" s="175" customFormat="1" ht="14.5">
      <c r="T158" s="374"/>
      <c r="U158" s="374"/>
      <c r="V158" s="374"/>
      <c r="W158" s="374"/>
      <c r="X158" s="374"/>
      <c r="Y158" s="374"/>
      <c r="Z158" s="374"/>
      <c r="AA158" s="374"/>
      <c r="AB158" s="374"/>
      <c r="AC158" s="374"/>
    </row>
    <row r="159" spans="20:29" s="175" customFormat="1" ht="14.5">
      <c r="T159" s="374"/>
      <c r="U159" s="374"/>
      <c r="V159" s="374"/>
      <c r="W159" s="374"/>
      <c r="X159" s="374"/>
      <c r="Y159" s="374"/>
      <c r="Z159" s="374"/>
      <c r="AA159" s="374"/>
      <c r="AB159" s="374"/>
      <c r="AC159" s="374"/>
    </row>
    <row r="160" spans="20:29" s="175" customFormat="1" ht="14.5">
      <c r="T160" s="374"/>
      <c r="U160" s="374"/>
      <c r="V160" s="374"/>
      <c r="W160" s="374"/>
      <c r="X160" s="374"/>
      <c r="Y160" s="374"/>
      <c r="Z160" s="374"/>
      <c r="AA160" s="374"/>
      <c r="AB160" s="374"/>
      <c r="AC160" s="374"/>
    </row>
    <row r="161" spans="20:29" s="175" customFormat="1" ht="14.5">
      <c r="T161" s="374"/>
      <c r="U161" s="374"/>
      <c r="V161" s="374"/>
      <c r="W161" s="374"/>
      <c r="X161" s="374"/>
      <c r="Y161" s="374"/>
      <c r="Z161" s="374"/>
      <c r="AA161" s="374"/>
      <c r="AB161" s="374"/>
      <c r="AC161" s="374"/>
    </row>
    <row r="162" spans="20:29" s="175" customFormat="1" ht="14.5">
      <c r="T162" s="374"/>
      <c r="U162" s="374"/>
      <c r="V162" s="374"/>
      <c r="W162" s="374"/>
      <c r="X162" s="374"/>
      <c r="Y162" s="374"/>
      <c r="Z162" s="374"/>
      <c r="AA162" s="374"/>
      <c r="AB162" s="374"/>
      <c r="AC162" s="374"/>
    </row>
    <row r="163" spans="20:29" s="175" customFormat="1" ht="14.5">
      <c r="T163" s="374"/>
      <c r="U163" s="374"/>
      <c r="V163" s="374"/>
      <c r="W163" s="374"/>
      <c r="X163" s="374"/>
      <c r="Y163" s="374"/>
      <c r="Z163" s="374"/>
      <c r="AA163" s="374"/>
      <c r="AB163" s="374"/>
      <c r="AC163" s="374"/>
    </row>
    <row r="164" spans="20:29" s="175" customFormat="1" ht="14.5">
      <c r="T164" s="374"/>
      <c r="U164" s="374"/>
      <c r="V164" s="374"/>
      <c r="W164" s="374"/>
      <c r="X164" s="374"/>
      <c r="Y164" s="374"/>
      <c r="Z164" s="374"/>
      <c r="AA164" s="374"/>
      <c r="AB164" s="374"/>
      <c r="AC164" s="374"/>
    </row>
    <row r="165" spans="20:29" s="175" customFormat="1" ht="14.5">
      <c r="T165" s="374"/>
      <c r="U165" s="374"/>
      <c r="V165" s="374"/>
      <c r="W165" s="374"/>
      <c r="X165" s="374"/>
      <c r="Y165" s="374"/>
      <c r="Z165" s="374"/>
      <c r="AA165" s="374"/>
      <c r="AB165" s="374"/>
      <c r="AC165" s="374"/>
    </row>
    <row r="166" spans="20:29" s="175" customFormat="1" ht="14.5">
      <c r="T166" s="374"/>
      <c r="U166" s="374"/>
      <c r="V166" s="374"/>
      <c r="W166" s="374"/>
      <c r="X166" s="374"/>
      <c r="Y166" s="374"/>
      <c r="Z166" s="374"/>
      <c r="AA166" s="374"/>
      <c r="AB166" s="374"/>
      <c r="AC166" s="374"/>
    </row>
    <row r="167" spans="20:29" s="175" customFormat="1" ht="14.5">
      <c r="T167" s="374"/>
      <c r="U167" s="374"/>
      <c r="V167" s="374"/>
      <c r="W167" s="374"/>
      <c r="X167" s="374"/>
      <c r="Y167" s="374"/>
      <c r="Z167" s="374"/>
      <c r="AA167" s="374"/>
      <c r="AB167" s="374"/>
      <c r="AC167" s="374"/>
    </row>
    <row r="168" spans="20:29" s="175" customFormat="1" ht="14.5">
      <c r="T168" s="374"/>
      <c r="U168" s="374"/>
      <c r="V168" s="374"/>
      <c r="W168" s="374"/>
      <c r="X168" s="374"/>
      <c r="Y168" s="374"/>
      <c r="Z168" s="374"/>
      <c r="AA168" s="374"/>
      <c r="AB168" s="374"/>
      <c r="AC168" s="374"/>
    </row>
    <row r="169" spans="20:29" s="175" customFormat="1" ht="14.5">
      <c r="T169" s="374"/>
      <c r="U169" s="374"/>
      <c r="V169" s="374"/>
      <c r="W169" s="374"/>
      <c r="X169" s="374"/>
      <c r="Y169" s="374"/>
      <c r="Z169" s="374"/>
      <c r="AA169" s="374"/>
      <c r="AB169" s="374"/>
      <c r="AC169" s="374"/>
    </row>
    <row r="170" spans="20:29" s="175" customFormat="1" ht="14.5">
      <c r="T170" s="374"/>
      <c r="U170" s="374"/>
      <c r="V170" s="374"/>
      <c r="W170" s="374"/>
      <c r="X170" s="374"/>
      <c r="Y170" s="374"/>
      <c r="Z170" s="374"/>
      <c r="AA170" s="374"/>
      <c r="AB170" s="374"/>
      <c r="AC170" s="374"/>
    </row>
    <row r="171" spans="20:29" s="175" customFormat="1" ht="14.5">
      <c r="T171" s="374"/>
      <c r="U171" s="374"/>
      <c r="V171" s="374"/>
      <c r="W171" s="374"/>
      <c r="X171" s="374"/>
      <c r="Y171" s="374"/>
      <c r="Z171" s="374"/>
      <c r="AA171" s="374"/>
      <c r="AB171" s="374"/>
      <c r="AC171" s="374"/>
    </row>
    <row r="172" spans="20:29" s="175" customFormat="1" ht="14.5">
      <c r="T172" s="374"/>
      <c r="U172" s="374"/>
      <c r="V172" s="374"/>
      <c r="W172" s="374"/>
      <c r="X172" s="374"/>
      <c r="Y172" s="374"/>
      <c r="Z172" s="374"/>
      <c r="AA172" s="374"/>
      <c r="AB172" s="374"/>
      <c r="AC172" s="374"/>
    </row>
    <row r="173" spans="20:29" s="175" customFormat="1" ht="14.5">
      <c r="T173" s="374"/>
      <c r="U173" s="374"/>
      <c r="V173" s="374"/>
      <c r="W173" s="374"/>
      <c r="X173" s="374"/>
      <c r="Y173" s="374"/>
      <c r="Z173" s="374"/>
      <c r="AA173" s="374"/>
      <c r="AB173" s="374"/>
      <c r="AC173" s="374"/>
    </row>
    <row r="174" spans="20:29" s="175" customFormat="1" ht="14.5">
      <c r="T174" s="374"/>
      <c r="U174" s="374"/>
      <c r="V174" s="374"/>
      <c r="W174" s="374"/>
      <c r="X174" s="374"/>
      <c r="Y174" s="374"/>
      <c r="Z174" s="374"/>
      <c r="AA174" s="374"/>
      <c r="AB174" s="374"/>
      <c r="AC174" s="374"/>
    </row>
    <row r="175" spans="20:29" s="175" customFormat="1" ht="14.5">
      <c r="T175" s="374"/>
      <c r="U175" s="374"/>
      <c r="V175" s="374"/>
      <c r="W175" s="374"/>
      <c r="X175" s="374"/>
      <c r="Y175" s="374"/>
      <c r="Z175" s="374"/>
      <c r="AA175" s="374"/>
      <c r="AB175" s="374"/>
      <c r="AC175" s="374"/>
    </row>
    <row r="176" spans="20:29" s="175" customFormat="1" ht="14.5">
      <c r="T176" s="374"/>
      <c r="U176" s="374"/>
      <c r="V176" s="374"/>
      <c r="W176" s="374"/>
      <c r="X176" s="374"/>
      <c r="Y176" s="374"/>
      <c r="Z176" s="374"/>
      <c r="AA176" s="374"/>
      <c r="AB176" s="374"/>
      <c r="AC176" s="374"/>
    </row>
    <row r="177" spans="2:29" s="175" customFormat="1" ht="14.5">
      <c r="T177" s="374"/>
      <c r="U177" s="374"/>
      <c r="V177" s="374"/>
      <c r="W177" s="374"/>
      <c r="X177" s="374"/>
      <c r="Y177" s="374"/>
      <c r="Z177" s="374"/>
      <c r="AA177" s="374"/>
      <c r="AB177" s="374"/>
      <c r="AC177" s="374"/>
    </row>
    <row r="178" spans="2:29" s="175" customFormat="1" ht="14.5">
      <c r="T178" s="374"/>
      <c r="U178" s="374"/>
      <c r="V178" s="374"/>
      <c r="W178" s="374"/>
      <c r="X178" s="374"/>
      <c r="Y178" s="374"/>
      <c r="Z178" s="374"/>
      <c r="AA178" s="374"/>
      <c r="AB178" s="374"/>
      <c r="AC178" s="374"/>
    </row>
    <row r="179" spans="2:29" s="175" customFormat="1" ht="14.5">
      <c r="T179" s="374"/>
      <c r="U179" s="374"/>
      <c r="V179" s="374"/>
      <c r="W179" s="374"/>
      <c r="X179" s="374"/>
      <c r="Y179" s="374"/>
      <c r="Z179" s="374"/>
      <c r="AA179" s="374"/>
      <c r="AB179" s="374"/>
      <c r="AC179" s="374"/>
    </row>
    <row r="180" spans="2:29" s="175" customFormat="1" ht="14.5">
      <c r="B180" s="2"/>
      <c r="C180" s="2"/>
      <c r="D180" s="2"/>
      <c r="E180" s="2"/>
      <c r="F180" s="2"/>
      <c r="G180" s="2"/>
      <c r="H180" s="2"/>
      <c r="I180" s="2"/>
      <c r="J180" s="2"/>
      <c r="K180" s="2"/>
      <c r="T180" s="374"/>
      <c r="U180" s="374"/>
      <c r="V180" s="374"/>
      <c r="W180" s="374"/>
      <c r="X180" s="374"/>
      <c r="Y180" s="374"/>
      <c r="Z180" s="374"/>
      <c r="AA180" s="374"/>
      <c r="AB180" s="374"/>
      <c r="AC180" s="374"/>
    </row>
    <row r="181" spans="2:29" s="175" customFormat="1" ht="14.5">
      <c r="B181" s="2"/>
      <c r="C181" s="2"/>
      <c r="D181" s="2"/>
      <c r="E181" s="2"/>
      <c r="F181" s="2"/>
      <c r="G181" s="2"/>
      <c r="H181" s="2"/>
      <c r="I181" s="2"/>
      <c r="J181" s="2"/>
      <c r="K181" s="2"/>
      <c r="T181" s="374"/>
      <c r="U181" s="374"/>
      <c r="V181" s="374"/>
      <c r="W181" s="374"/>
      <c r="X181" s="374"/>
      <c r="Y181" s="374"/>
      <c r="Z181" s="374"/>
      <c r="AA181" s="374"/>
      <c r="AB181" s="374"/>
      <c r="AC181" s="374"/>
    </row>
    <row r="182" spans="2:29" s="175" customFormat="1" ht="14.5">
      <c r="B182" s="2"/>
      <c r="C182" s="2"/>
      <c r="D182" s="2"/>
      <c r="E182" s="2"/>
      <c r="F182" s="2"/>
      <c r="G182" s="2"/>
      <c r="H182" s="2"/>
      <c r="I182" s="2"/>
      <c r="J182" s="2"/>
      <c r="K182" s="2"/>
      <c r="T182" s="374"/>
      <c r="U182" s="374"/>
      <c r="V182" s="374"/>
      <c r="W182" s="374"/>
      <c r="X182" s="374"/>
      <c r="Y182" s="374"/>
      <c r="Z182" s="374"/>
      <c r="AA182" s="374"/>
      <c r="AB182" s="374"/>
      <c r="AC182" s="374"/>
    </row>
    <row r="183" spans="2:29" s="175" customFormat="1" ht="14.5">
      <c r="B183" s="2"/>
      <c r="C183" s="2"/>
      <c r="D183" s="2"/>
      <c r="E183" s="2"/>
      <c r="F183" s="2"/>
      <c r="G183" s="2"/>
      <c r="H183" s="2"/>
      <c r="I183" s="2"/>
      <c r="J183" s="2"/>
      <c r="K183" s="2"/>
      <c r="T183" s="374"/>
      <c r="U183" s="374"/>
      <c r="V183" s="374"/>
      <c r="W183" s="374"/>
      <c r="X183" s="374"/>
      <c r="Y183" s="374"/>
      <c r="Z183" s="374"/>
      <c r="AA183" s="374"/>
      <c r="AB183" s="374"/>
      <c r="AC183" s="374"/>
    </row>
    <row r="184" spans="2:29" s="175" customFormat="1" ht="14.5">
      <c r="B184" s="2"/>
      <c r="C184" s="2"/>
      <c r="D184" s="2"/>
      <c r="E184" s="2"/>
      <c r="F184" s="2"/>
      <c r="G184" s="2"/>
      <c r="H184" s="2"/>
      <c r="I184" s="2"/>
      <c r="J184" s="2"/>
      <c r="K184" s="2"/>
      <c r="T184" s="374"/>
      <c r="U184" s="374"/>
      <c r="V184" s="374"/>
      <c r="W184" s="374"/>
      <c r="X184" s="374"/>
      <c r="Y184" s="374"/>
      <c r="Z184" s="374"/>
      <c r="AA184" s="374"/>
      <c r="AB184" s="374"/>
      <c r="AC184" s="374"/>
    </row>
    <row r="185" spans="2:29" s="175" customFormat="1" ht="14.5">
      <c r="B185" s="2"/>
      <c r="C185" s="2"/>
      <c r="D185" s="2"/>
      <c r="E185" s="2"/>
      <c r="F185" s="2"/>
      <c r="G185" s="2"/>
      <c r="H185" s="2"/>
      <c r="I185" s="2"/>
      <c r="J185" s="2"/>
      <c r="K185" s="2"/>
      <c r="T185" s="374"/>
      <c r="U185" s="374"/>
      <c r="V185" s="374"/>
      <c r="W185" s="374"/>
      <c r="X185" s="374"/>
      <c r="Y185" s="374"/>
      <c r="Z185" s="374"/>
      <c r="AA185" s="374"/>
      <c r="AB185" s="374"/>
      <c r="AC185" s="374"/>
    </row>
    <row r="186" spans="2:29" s="175" customFormat="1" ht="14.5">
      <c r="B186" s="2"/>
      <c r="C186" s="2"/>
      <c r="D186" s="2"/>
      <c r="E186" s="2"/>
      <c r="F186" s="2"/>
      <c r="G186" s="2"/>
      <c r="H186" s="2"/>
      <c r="I186" s="2"/>
      <c r="J186" s="2"/>
      <c r="K186" s="2"/>
      <c r="T186" s="374"/>
      <c r="U186" s="374"/>
      <c r="V186" s="374"/>
      <c r="W186" s="374"/>
      <c r="X186" s="374"/>
      <c r="Y186" s="374"/>
      <c r="Z186" s="374"/>
      <c r="AA186" s="374"/>
      <c r="AB186" s="374"/>
      <c r="AC186" s="374"/>
    </row>
    <row r="187" spans="2:29" s="175" customFormat="1" ht="14.5">
      <c r="B187" s="2"/>
      <c r="C187" s="2"/>
      <c r="D187" s="2"/>
      <c r="E187" s="2"/>
      <c r="F187" s="2"/>
      <c r="G187" s="2"/>
      <c r="H187" s="2"/>
      <c r="I187" s="2"/>
      <c r="J187" s="2"/>
      <c r="K187" s="2"/>
      <c r="T187" s="374"/>
      <c r="U187" s="374"/>
      <c r="V187" s="374"/>
      <c r="W187" s="374"/>
      <c r="X187" s="374"/>
      <c r="Y187" s="374"/>
      <c r="Z187" s="374"/>
      <c r="AA187" s="374"/>
      <c r="AB187" s="374"/>
      <c r="AC187" s="374"/>
    </row>
    <row r="188" spans="2:29" s="175" customFormat="1" ht="14.5">
      <c r="B188" s="2"/>
      <c r="C188" s="2"/>
      <c r="D188" s="2"/>
      <c r="E188" s="2"/>
      <c r="F188" s="2"/>
      <c r="G188" s="2"/>
      <c r="H188" s="2"/>
      <c r="I188" s="2"/>
      <c r="J188" s="2"/>
      <c r="K188" s="2"/>
      <c r="T188" s="374"/>
      <c r="U188" s="374"/>
      <c r="V188" s="374"/>
      <c r="W188" s="374"/>
      <c r="X188" s="374"/>
      <c r="Y188" s="374"/>
      <c r="Z188" s="374"/>
      <c r="AA188" s="374"/>
      <c r="AB188" s="374"/>
      <c r="AC188" s="374"/>
    </row>
    <row r="189" spans="2:29" s="175" customFormat="1" ht="14.5">
      <c r="B189" s="2"/>
      <c r="C189" s="2"/>
      <c r="D189" s="2"/>
      <c r="E189" s="2"/>
      <c r="F189" s="2"/>
      <c r="G189" s="2"/>
      <c r="H189" s="2"/>
      <c r="I189" s="2"/>
      <c r="J189" s="2"/>
      <c r="K189" s="2"/>
      <c r="T189" s="374"/>
      <c r="U189" s="374"/>
      <c r="V189" s="374"/>
      <c r="W189" s="374"/>
      <c r="X189" s="374"/>
      <c r="Y189" s="374"/>
      <c r="Z189" s="374"/>
      <c r="AA189" s="374"/>
      <c r="AB189" s="374"/>
      <c r="AC189" s="374"/>
    </row>
    <row r="190" spans="2:29" s="175" customFormat="1" ht="14.5">
      <c r="B190" s="2"/>
      <c r="C190" s="2"/>
      <c r="D190" s="2"/>
      <c r="E190" s="2"/>
      <c r="F190" s="2"/>
      <c r="G190" s="2"/>
      <c r="H190" s="2"/>
      <c r="I190" s="2"/>
      <c r="J190" s="2"/>
      <c r="K190" s="2"/>
      <c r="T190" s="374"/>
      <c r="U190" s="374"/>
      <c r="V190" s="374"/>
      <c r="W190" s="374"/>
      <c r="X190" s="374"/>
      <c r="Y190" s="374"/>
      <c r="Z190" s="374"/>
      <c r="AA190" s="374"/>
      <c r="AB190" s="374"/>
      <c r="AC190" s="374"/>
    </row>
    <row r="191" spans="2:29" s="175" customFormat="1" ht="14.5">
      <c r="B191" s="2"/>
      <c r="C191" s="2"/>
      <c r="D191" s="2"/>
      <c r="E191" s="2"/>
      <c r="F191" s="2"/>
      <c r="G191" s="2"/>
      <c r="H191" s="2"/>
      <c r="I191" s="2"/>
      <c r="J191" s="2"/>
      <c r="K191" s="2"/>
      <c r="T191" s="374"/>
      <c r="U191" s="374"/>
      <c r="V191" s="374"/>
      <c r="W191" s="374"/>
      <c r="X191" s="374"/>
      <c r="Y191" s="374"/>
      <c r="Z191" s="374"/>
      <c r="AA191" s="374"/>
      <c r="AB191" s="374"/>
      <c r="AC191" s="374"/>
    </row>
    <row r="192" spans="2:29" s="175" customFormat="1" ht="14.5">
      <c r="B192" s="2"/>
      <c r="C192" s="2"/>
      <c r="D192" s="2"/>
      <c r="E192" s="2"/>
      <c r="F192" s="2"/>
      <c r="G192" s="2"/>
      <c r="H192" s="2"/>
      <c r="I192" s="2"/>
      <c r="J192" s="2"/>
      <c r="K192" s="2"/>
      <c r="T192" s="374"/>
      <c r="U192" s="374"/>
      <c r="V192" s="374"/>
      <c r="W192" s="374"/>
      <c r="X192" s="374"/>
      <c r="Y192" s="374"/>
      <c r="Z192" s="374"/>
      <c r="AA192" s="374"/>
      <c r="AB192" s="374"/>
      <c r="AC192" s="374"/>
    </row>
    <row r="193" spans="2:30" s="175" customFormat="1" ht="14.5">
      <c r="B193" s="2"/>
      <c r="C193" s="2"/>
      <c r="D193" s="2"/>
      <c r="E193" s="2"/>
      <c r="F193" s="2"/>
      <c r="G193" s="2"/>
      <c r="H193" s="2"/>
      <c r="I193" s="2"/>
      <c r="J193" s="2"/>
      <c r="K193" s="2"/>
      <c r="T193" s="374"/>
      <c r="U193" s="374"/>
      <c r="V193" s="374"/>
      <c r="W193" s="374"/>
      <c r="X193" s="374"/>
      <c r="Y193" s="374"/>
      <c r="Z193" s="374"/>
      <c r="AA193" s="374"/>
      <c r="AB193" s="374"/>
      <c r="AC193" s="374"/>
    </row>
    <row r="194" spans="2:30" s="175" customFormat="1" ht="14.5">
      <c r="B194" s="2"/>
      <c r="C194" s="2"/>
      <c r="D194" s="2"/>
      <c r="E194" s="2"/>
      <c r="F194" s="2"/>
      <c r="G194" s="2"/>
      <c r="H194" s="2"/>
      <c r="I194" s="2"/>
      <c r="J194" s="2"/>
      <c r="K194" s="2"/>
      <c r="T194" s="374"/>
      <c r="U194" s="374"/>
      <c r="V194" s="374"/>
      <c r="W194" s="374"/>
      <c r="X194" s="374"/>
      <c r="Y194" s="374"/>
      <c r="Z194" s="374"/>
      <c r="AA194" s="374"/>
      <c r="AB194" s="374"/>
      <c r="AC194" s="374"/>
    </row>
    <row r="195" spans="2:30" s="175" customFormat="1" ht="14.5">
      <c r="B195" s="2"/>
      <c r="C195" s="2"/>
      <c r="D195" s="2"/>
      <c r="E195" s="2"/>
      <c r="F195" s="2"/>
      <c r="G195" s="2"/>
      <c r="H195" s="2"/>
      <c r="I195" s="2"/>
      <c r="J195" s="2"/>
      <c r="K195" s="2"/>
      <c r="T195" s="374"/>
      <c r="U195" s="374"/>
      <c r="V195" s="374"/>
      <c r="W195" s="374"/>
      <c r="X195" s="374"/>
      <c r="Y195" s="374"/>
      <c r="Z195" s="374"/>
      <c r="AA195" s="374"/>
      <c r="AB195" s="374"/>
      <c r="AC195" s="374"/>
    </row>
    <row r="196" spans="2:30" s="175" customFormat="1" ht="14.5">
      <c r="B196" s="2"/>
      <c r="C196" s="2"/>
      <c r="D196" s="2"/>
      <c r="E196" s="2"/>
      <c r="F196" s="2"/>
      <c r="G196" s="2"/>
      <c r="H196" s="2"/>
      <c r="I196" s="2"/>
      <c r="J196" s="2"/>
      <c r="K196" s="2"/>
      <c r="T196" s="374"/>
      <c r="U196" s="374"/>
      <c r="V196" s="374"/>
      <c r="W196" s="374"/>
      <c r="X196" s="374"/>
      <c r="Y196" s="374"/>
      <c r="Z196" s="374"/>
      <c r="AA196" s="374"/>
      <c r="AB196" s="374"/>
      <c r="AC196" s="374"/>
    </row>
    <row r="197" spans="2:30" s="175" customFormat="1" ht="14.5">
      <c r="B197" s="2"/>
      <c r="C197" s="2"/>
      <c r="D197" s="2"/>
      <c r="E197" s="2"/>
      <c r="F197" s="2"/>
      <c r="G197" s="2"/>
      <c r="H197" s="2"/>
      <c r="I197" s="2"/>
      <c r="J197" s="2"/>
      <c r="K197" s="2"/>
      <c r="T197" s="374"/>
      <c r="U197" s="374"/>
      <c r="V197" s="374"/>
      <c r="W197" s="374"/>
      <c r="X197" s="374"/>
      <c r="Y197" s="374"/>
      <c r="Z197" s="374"/>
      <c r="AA197" s="374"/>
      <c r="AB197" s="374"/>
      <c r="AC197" s="374"/>
    </row>
    <row r="198" spans="2:30" s="175" customFormat="1" ht="14.5">
      <c r="B198" s="2"/>
      <c r="C198" s="2"/>
      <c r="D198" s="2"/>
      <c r="E198" s="2"/>
      <c r="F198" s="2"/>
      <c r="G198" s="2"/>
      <c r="H198" s="2"/>
      <c r="I198" s="2"/>
      <c r="J198" s="2"/>
      <c r="K198" s="2"/>
      <c r="T198" s="374"/>
      <c r="U198" s="374"/>
      <c r="V198" s="3"/>
      <c r="W198" s="3"/>
      <c r="X198" s="3"/>
      <c r="Y198" s="3"/>
      <c r="Z198" s="3"/>
      <c r="AA198" s="3"/>
      <c r="AB198" s="3"/>
      <c r="AC198" s="3"/>
      <c r="AD198" s="2"/>
    </row>
    <row r="199" spans="2:30" s="175" customFormat="1" ht="14.5">
      <c r="B199" s="2"/>
      <c r="C199" s="2"/>
      <c r="D199" s="2"/>
      <c r="E199" s="2"/>
      <c r="F199" s="2"/>
      <c r="G199" s="2"/>
      <c r="H199" s="2"/>
      <c r="I199" s="2"/>
      <c r="J199" s="2"/>
      <c r="K199" s="2"/>
      <c r="T199" s="374"/>
      <c r="U199" s="374"/>
      <c r="V199" s="3"/>
      <c r="W199" s="3"/>
      <c r="X199" s="3"/>
      <c r="Y199" s="3"/>
      <c r="Z199" s="3"/>
      <c r="AA199" s="3"/>
      <c r="AB199" s="3"/>
      <c r="AC199" s="3"/>
      <c r="AD199" s="2"/>
    </row>
    <row r="200" spans="2:30" s="175" customFormat="1" ht="14.5">
      <c r="B200" s="2"/>
      <c r="C200" s="2"/>
      <c r="D200" s="2"/>
      <c r="E200" s="2"/>
      <c r="F200" s="2"/>
      <c r="G200" s="2"/>
      <c r="H200" s="2"/>
      <c r="I200" s="2"/>
      <c r="J200" s="2"/>
      <c r="K200" s="2"/>
      <c r="T200" s="374"/>
      <c r="U200" s="374"/>
      <c r="V200" s="3"/>
      <c r="W200" s="3"/>
      <c r="X200" s="3"/>
      <c r="Y200" s="3"/>
      <c r="Z200" s="3"/>
      <c r="AA200" s="3"/>
      <c r="AB200" s="3"/>
      <c r="AC200" s="3"/>
      <c r="AD200" s="2"/>
    </row>
    <row r="201" spans="2:30" s="175" customFormat="1" ht="14.5">
      <c r="B201" s="2"/>
      <c r="C201" s="2"/>
      <c r="D201" s="2"/>
      <c r="E201" s="2"/>
      <c r="F201" s="2"/>
      <c r="G201" s="2"/>
      <c r="H201" s="2"/>
      <c r="I201" s="2"/>
      <c r="J201" s="2"/>
      <c r="K201" s="2"/>
      <c r="T201" s="374"/>
      <c r="U201" s="374"/>
      <c r="V201" s="3"/>
      <c r="W201" s="3"/>
      <c r="X201" s="3"/>
      <c r="Y201" s="3"/>
      <c r="Z201" s="3"/>
      <c r="AA201" s="3"/>
      <c r="AB201" s="3"/>
      <c r="AC201" s="3"/>
      <c r="AD201" s="2"/>
    </row>
    <row r="202" spans="2:30" s="175" customFormat="1" ht="14.5">
      <c r="B202" s="2"/>
      <c r="C202" s="2"/>
      <c r="D202" s="2"/>
      <c r="E202" s="2"/>
      <c r="F202" s="2"/>
      <c r="G202" s="2"/>
      <c r="H202" s="2"/>
      <c r="I202" s="2"/>
      <c r="J202" s="2"/>
      <c r="K202" s="2"/>
      <c r="T202" s="374"/>
      <c r="U202" s="374"/>
      <c r="V202" s="3"/>
      <c r="W202" s="3"/>
      <c r="X202" s="3"/>
      <c r="Y202" s="3"/>
      <c r="Z202" s="3"/>
      <c r="AA202" s="3"/>
      <c r="AB202" s="3"/>
      <c r="AC202" s="3"/>
      <c r="AD202" s="2"/>
    </row>
    <row r="203" spans="2:30" s="175" customFormat="1" ht="14.5">
      <c r="B203" s="2"/>
      <c r="C203" s="2"/>
      <c r="D203" s="2"/>
      <c r="E203" s="2"/>
      <c r="F203" s="2"/>
      <c r="G203" s="2"/>
      <c r="H203" s="2"/>
      <c r="I203" s="2"/>
      <c r="J203" s="2"/>
      <c r="K203" s="2"/>
      <c r="T203" s="374"/>
      <c r="U203" s="374"/>
      <c r="V203" s="3"/>
      <c r="W203" s="3"/>
      <c r="X203" s="3"/>
      <c r="Y203" s="3"/>
      <c r="Z203" s="3"/>
      <c r="AA203" s="3"/>
      <c r="AB203" s="3"/>
      <c r="AC203" s="3"/>
      <c r="AD203" s="2"/>
    </row>
    <row r="204" spans="2:30" s="175" customFormat="1" ht="14.5">
      <c r="B204" s="2"/>
      <c r="C204" s="2"/>
      <c r="D204" s="2"/>
      <c r="E204" s="2"/>
      <c r="F204" s="2"/>
      <c r="G204" s="2"/>
      <c r="H204" s="2"/>
      <c r="I204" s="2"/>
      <c r="J204" s="2"/>
      <c r="K204" s="2"/>
      <c r="T204" s="374"/>
      <c r="U204" s="374"/>
      <c r="V204" s="3"/>
      <c r="W204" s="3"/>
      <c r="X204" s="3"/>
      <c r="Y204" s="3"/>
      <c r="Z204" s="3"/>
      <c r="AA204" s="3"/>
      <c r="AB204" s="3"/>
      <c r="AC204" s="3"/>
      <c r="AD204" s="2"/>
    </row>
    <row r="205" spans="2:30" s="175" customFormat="1" ht="14.5">
      <c r="B205" s="2"/>
      <c r="C205" s="2"/>
      <c r="D205" s="2"/>
      <c r="E205" s="2"/>
      <c r="F205" s="2"/>
      <c r="G205" s="2"/>
      <c r="H205" s="2"/>
      <c r="I205" s="2"/>
      <c r="J205" s="2"/>
      <c r="K205" s="2"/>
      <c r="T205" s="374"/>
      <c r="U205" s="374"/>
      <c r="V205" s="3"/>
      <c r="W205" s="3"/>
      <c r="X205" s="3"/>
      <c r="Y205" s="3"/>
      <c r="Z205" s="3"/>
      <c r="AA205" s="3"/>
      <c r="AB205" s="3"/>
      <c r="AC205" s="3"/>
      <c r="AD205" s="2"/>
    </row>
    <row r="206" spans="2:30" s="175" customFormat="1" ht="14.5">
      <c r="B206" s="2"/>
      <c r="C206" s="2"/>
      <c r="D206" s="2"/>
      <c r="E206" s="2"/>
      <c r="F206" s="2"/>
      <c r="G206" s="2"/>
      <c r="H206" s="2"/>
      <c r="I206" s="2"/>
      <c r="J206" s="2"/>
      <c r="K206" s="2"/>
      <c r="T206" s="374"/>
      <c r="U206" s="374"/>
      <c r="V206" s="3"/>
      <c r="W206" s="3"/>
      <c r="X206" s="3"/>
      <c r="Y206" s="3"/>
      <c r="Z206" s="3"/>
      <c r="AA206" s="3"/>
      <c r="AB206" s="3"/>
      <c r="AC206" s="3"/>
      <c r="AD206" s="2"/>
    </row>
    <row r="207" spans="2:30" s="175" customFormat="1" ht="14.5">
      <c r="B207" s="2"/>
      <c r="C207" s="2"/>
      <c r="D207" s="2"/>
      <c r="E207" s="2"/>
      <c r="F207" s="2"/>
      <c r="G207" s="2"/>
      <c r="H207" s="2"/>
      <c r="I207" s="2"/>
      <c r="J207" s="2"/>
      <c r="K207" s="2"/>
      <c r="T207" s="374"/>
      <c r="U207" s="374"/>
      <c r="V207" s="3"/>
      <c r="W207" s="3"/>
      <c r="X207" s="3"/>
      <c r="Y207" s="3"/>
      <c r="Z207" s="3"/>
      <c r="AA207" s="3"/>
      <c r="AB207" s="3"/>
      <c r="AC207" s="3"/>
      <c r="AD207" s="2"/>
    </row>
    <row r="208" spans="2:30" s="175" customFormat="1" ht="14.5">
      <c r="B208" s="2"/>
      <c r="C208" s="2"/>
      <c r="D208" s="2"/>
      <c r="E208" s="2"/>
      <c r="F208" s="2"/>
      <c r="G208" s="2"/>
      <c r="H208" s="2"/>
      <c r="I208" s="2"/>
      <c r="J208" s="2"/>
      <c r="K208" s="2"/>
      <c r="T208" s="374"/>
      <c r="U208" s="374"/>
      <c r="V208" s="3"/>
      <c r="W208" s="3"/>
      <c r="X208" s="3"/>
      <c r="Y208" s="3"/>
      <c r="Z208" s="3"/>
      <c r="AA208" s="3"/>
      <c r="AB208" s="3"/>
      <c r="AC208" s="3"/>
      <c r="AD208" s="2"/>
    </row>
    <row r="209" spans="2:32" s="175" customFormat="1" ht="14.5">
      <c r="B209" s="2"/>
      <c r="C209" s="2"/>
      <c r="D209" s="2"/>
      <c r="E209" s="2"/>
      <c r="F209" s="2"/>
      <c r="G209" s="2"/>
      <c r="H209" s="2"/>
      <c r="I209" s="2"/>
      <c r="J209" s="2"/>
      <c r="K209" s="2"/>
      <c r="T209" s="374"/>
      <c r="U209" s="374"/>
      <c r="V209" s="3"/>
      <c r="W209" s="3"/>
      <c r="X209" s="3"/>
      <c r="Y209" s="3"/>
      <c r="Z209" s="3"/>
      <c r="AA209" s="3"/>
      <c r="AB209" s="3"/>
      <c r="AC209" s="3"/>
      <c r="AD209" s="2"/>
    </row>
    <row r="210" spans="2:32" s="175" customFormat="1" ht="14.5">
      <c r="B210" s="2"/>
      <c r="C210" s="2"/>
      <c r="D210" s="2"/>
      <c r="E210" s="2"/>
      <c r="F210" s="2"/>
      <c r="G210" s="2"/>
      <c r="H210" s="2"/>
      <c r="I210" s="2"/>
      <c r="J210" s="2"/>
      <c r="K210" s="2"/>
      <c r="T210" s="374"/>
      <c r="U210" s="374"/>
      <c r="V210" s="3"/>
      <c r="W210" s="3"/>
      <c r="X210" s="3"/>
      <c r="Y210" s="3"/>
      <c r="Z210" s="3"/>
      <c r="AA210" s="3"/>
      <c r="AB210" s="3"/>
      <c r="AC210" s="3"/>
      <c r="AD210" s="2"/>
    </row>
    <row r="211" spans="2:32" s="175" customFormat="1" ht="14.5">
      <c r="B211" s="2"/>
      <c r="C211" s="2"/>
      <c r="D211" s="2"/>
      <c r="E211" s="2"/>
      <c r="F211" s="2"/>
      <c r="G211" s="2"/>
      <c r="H211" s="2"/>
      <c r="I211" s="2"/>
      <c r="J211" s="2"/>
      <c r="K211" s="2"/>
      <c r="T211" s="374"/>
      <c r="U211" s="374"/>
      <c r="V211" s="3"/>
      <c r="W211" s="3"/>
      <c r="X211" s="3"/>
      <c r="Y211" s="3"/>
      <c r="Z211" s="3"/>
      <c r="AA211" s="3"/>
      <c r="AB211" s="3"/>
      <c r="AC211" s="3"/>
      <c r="AD211" s="2"/>
    </row>
    <row r="212" spans="2:32" s="175" customFormat="1" ht="14.5">
      <c r="B212" s="2"/>
      <c r="C212" s="2"/>
      <c r="D212" s="2"/>
      <c r="E212" s="2"/>
      <c r="F212" s="2"/>
      <c r="G212" s="2"/>
      <c r="H212" s="2"/>
      <c r="I212" s="2"/>
      <c r="J212" s="2"/>
      <c r="K212" s="2"/>
      <c r="T212" s="374"/>
      <c r="U212" s="374"/>
      <c r="V212" s="3"/>
      <c r="W212" s="3"/>
      <c r="X212" s="3"/>
      <c r="Y212" s="3"/>
      <c r="Z212" s="3"/>
      <c r="AA212" s="3"/>
      <c r="AB212" s="3"/>
      <c r="AC212" s="3"/>
      <c r="AD212" s="2"/>
    </row>
    <row r="213" spans="2:32" s="175" customFormat="1" ht="14.5">
      <c r="B213" s="2"/>
      <c r="C213" s="2"/>
      <c r="D213" s="2"/>
      <c r="E213" s="2"/>
      <c r="F213" s="2"/>
      <c r="G213" s="2"/>
      <c r="H213" s="2"/>
      <c r="I213" s="2"/>
      <c r="J213" s="2"/>
      <c r="K213" s="2"/>
      <c r="T213" s="374"/>
      <c r="U213" s="374"/>
      <c r="V213" s="3"/>
      <c r="W213" s="3"/>
      <c r="X213" s="3"/>
      <c r="Y213" s="3"/>
      <c r="Z213" s="3"/>
      <c r="AA213" s="3"/>
      <c r="AB213" s="3"/>
      <c r="AC213" s="3"/>
      <c r="AD213" s="2"/>
    </row>
    <row r="214" spans="2:32" s="175" customFormat="1" ht="14.5">
      <c r="B214" s="2"/>
      <c r="C214" s="2"/>
      <c r="D214" s="2"/>
      <c r="E214" s="2"/>
      <c r="F214" s="2"/>
      <c r="G214" s="2"/>
      <c r="H214" s="2"/>
      <c r="I214" s="2"/>
      <c r="J214" s="2"/>
      <c r="K214" s="2"/>
      <c r="T214" s="374"/>
      <c r="U214" s="374"/>
      <c r="V214" s="3"/>
      <c r="W214" s="3"/>
      <c r="X214" s="3"/>
      <c r="Y214" s="3"/>
      <c r="Z214" s="3"/>
      <c r="AA214" s="3"/>
      <c r="AB214" s="3"/>
      <c r="AC214" s="3"/>
      <c r="AD214" s="2"/>
    </row>
    <row r="215" spans="2:32" s="175" customFormat="1" ht="14.5">
      <c r="B215" s="2"/>
      <c r="C215" s="2"/>
      <c r="D215" s="2"/>
      <c r="E215" s="2"/>
      <c r="F215" s="2"/>
      <c r="G215" s="2"/>
      <c r="H215" s="2"/>
      <c r="I215" s="2"/>
      <c r="J215" s="2"/>
      <c r="K215" s="2"/>
      <c r="T215" s="374"/>
      <c r="U215" s="374"/>
      <c r="V215" s="3"/>
      <c r="W215" s="3"/>
      <c r="X215" s="3"/>
      <c r="Y215" s="3"/>
      <c r="Z215" s="3"/>
      <c r="AA215" s="3"/>
      <c r="AB215" s="3"/>
      <c r="AC215" s="3"/>
      <c r="AD215" s="2"/>
    </row>
    <row r="216" spans="2:32" s="175" customFormat="1" ht="14.5">
      <c r="B216" s="2"/>
      <c r="C216" s="2"/>
      <c r="D216" s="2"/>
      <c r="E216" s="2"/>
      <c r="F216" s="2"/>
      <c r="G216" s="2"/>
      <c r="H216" s="2"/>
      <c r="I216" s="2"/>
      <c r="J216" s="2"/>
      <c r="K216" s="2"/>
      <c r="T216" s="374"/>
      <c r="U216" s="374"/>
      <c r="V216" s="3"/>
      <c r="W216" s="3"/>
      <c r="X216" s="3"/>
      <c r="Y216" s="3"/>
      <c r="Z216" s="3"/>
      <c r="AA216" s="3"/>
      <c r="AB216" s="3"/>
      <c r="AC216" s="3"/>
      <c r="AD216" s="2"/>
    </row>
    <row r="217" spans="2:32" s="175" customFormat="1" ht="14.5">
      <c r="B217" s="2"/>
      <c r="C217" s="2"/>
      <c r="D217" s="2"/>
      <c r="E217" s="2"/>
      <c r="F217" s="2"/>
      <c r="G217" s="2"/>
      <c r="H217" s="2"/>
      <c r="I217" s="2"/>
      <c r="J217" s="2"/>
      <c r="K217" s="2"/>
      <c r="T217" s="374"/>
      <c r="U217" s="374"/>
      <c r="V217" s="3"/>
      <c r="W217" s="3"/>
      <c r="X217" s="3"/>
      <c r="Y217" s="3"/>
      <c r="Z217" s="3"/>
      <c r="AA217" s="3"/>
      <c r="AB217" s="3"/>
      <c r="AC217" s="3"/>
      <c r="AD217" s="2"/>
    </row>
    <row r="218" spans="2:32" s="175" customFormat="1" ht="14.5">
      <c r="B218" s="2"/>
      <c r="C218" s="2"/>
      <c r="D218" s="2"/>
      <c r="E218" s="2"/>
      <c r="F218" s="2"/>
      <c r="G218" s="2"/>
      <c r="H218" s="2"/>
      <c r="I218" s="2"/>
      <c r="J218" s="2"/>
      <c r="K218" s="2"/>
      <c r="T218" s="374"/>
      <c r="U218" s="374"/>
      <c r="V218" s="3"/>
      <c r="W218" s="3"/>
      <c r="X218" s="3"/>
      <c r="Y218" s="3"/>
      <c r="Z218" s="3"/>
      <c r="AA218" s="3"/>
      <c r="AB218" s="3"/>
      <c r="AC218" s="3"/>
      <c r="AD218" s="2"/>
    </row>
    <row r="219" spans="2:32" s="175" customFormat="1" ht="14.5">
      <c r="B219" s="2"/>
      <c r="C219" s="2"/>
      <c r="D219" s="2"/>
      <c r="E219" s="2"/>
      <c r="F219" s="2"/>
      <c r="G219" s="2"/>
      <c r="H219" s="2"/>
      <c r="I219" s="2"/>
      <c r="J219" s="2"/>
      <c r="K219" s="2"/>
      <c r="T219" s="374"/>
      <c r="U219" s="374"/>
      <c r="V219" s="3"/>
      <c r="W219" s="3"/>
      <c r="X219" s="3"/>
      <c r="Y219" s="3"/>
      <c r="Z219" s="3"/>
      <c r="AA219" s="3"/>
      <c r="AB219" s="3"/>
      <c r="AC219" s="3"/>
      <c r="AD219" s="2"/>
    </row>
    <row r="220" spans="2:32" s="175" customFormat="1" ht="14.5">
      <c r="B220" s="2"/>
      <c r="C220" s="2"/>
      <c r="D220" s="2"/>
      <c r="E220" s="2"/>
      <c r="F220" s="2"/>
      <c r="G220" s="2"/>
      <c r="H220" s="2"/>
      <c r="I220" s="2"/>
      <c r="J220" s="2"/>
      <c r="K220" s="2"/>
      <c r="T220" s="374"/>
      <c r="U220" s="374"/>
      <c r="V220" s="3"/>
      <c r="W220" s="3"/>
      <c r="X220" s="3"/>
      <c r="Y220" s="3"/>
      <c r="Z220" s="3"/>
      <c r="AA220" s="3"/>
      <c r="AB220" s="3"/>
      <c r="AC220" s="3"/>
      <c r="AD220" s="2"/>
    </row>
    <row r="221" spans="2:32" s="175" customFormat="1" ht="14.5">
      <c r="B221" s="2"/>
      <c r="C221" s="2"/>
      <c r="D221" s="2"/>
      <c r="E221" s="2"/>
      <c r="F221" s="2"/>
      <c r="G221" s="2"/>
      <c r="H221" s="2"/>
      <c r="I221" s="2"/>
      <c r="J221" s="2"/>
      <c r="K221" s="2"/>
      <c r="T221" s="374"/>
      <c r="U221" s="374"/>
      <c r="V221" s="3"/>
      <c r="W221" s="3"/>
      <c r="X221" s="3"/>
      <c r="Y221" s="3"/>
      <c r="Z221" s="3"/>
      <c r="AA221" s="3"/>
      <c r="AB221" s="3"/>
      <c r="AC221" s="3"/>
      <c r="AD221" s="2"/>
    </row>
    <row r="222" spans="2:32" s="175" customFormat="1" ht="14.5">
      <c r="B222" s="2"/>
      <c r="C222" s="2"/>
      <c r="D222" s="2"/>
      <c r="E222" s="2"/>
      <c r="F222" s="2"/>
      <c r="G222" s="2"/>
      <c r="H222" s="2"/>
      <c r="I222" s="2"/>
      <c r="J222" s="2"/>
      <c r="K222" s="2"/>
      <c r="T222" s="374"/>
      <c r="U222" s="374"/>
      <c r="V222" s="3"/>
      <c r="W222" s="3"/>
      <c r="X222" s="3"/>
      <c r="Y222" s="3"/>
      <c r="Z222" s="3"/>
      <c r="AA222" s="3"/>
      <c r="AB222" s="3"/>
      <c r="AC222" s="3"/>
      <c r="AD222" s="2"/>
    </row>
    <row r="223" spans="2:32" s="175" customFormat="1" ht="14.5">
      <c r="B223" s="2"/>
      <c r="C223" s="2"/>
      <c r="D223" s="2"/>
      <c r="E223" s="2"/>
      <c r="F223" s="2"/>
      <c r="G223" s="2"/>
      <c r="H223" s="2"/>
      <c r="I223" s="2"/>
      <c r="J223" s="2"/>
      <c r="K223" s="2"/>
      <c r="T223" s="374"/>
      <c r="U223" s="374"/>
      <c r="V223" s="3"/>
      <c r="W223" s="3"/>
      <c r="X223" s="3"/>
      <c r="Y223" s="3"/>
      <c r="Z223" s="3"/>
      <c r="AA223" s="3"/>
      <c r="AB223" s="3"/>
      <c r="AC223" s="3"/>
      <c r="AD223" s="2"/>
      <c r="AE223" s="2"/>
      <c r="AF223" s="2"/>
    </row>
    <row r="224" spans="2:32" s="175" customFormat="1" ht="14.5">
      <c r="B224" s="2"/>
      <c r="C224" s="2"/>
      <c r="D224" s="2"/>
      <c r="E224" s="2"/>
      <c r="F224" s="2"/>
      <c r="G224" s="2"/>
      <c r="H224" s="2"/>
      <c r="I224" s="2"/>
      <c r="J224" s="2"/>
      <c r="K224" s="2"/>
      <c r="T224" s="374"/>
      <c r="U224" s="374"/>
      <c r="V224" s="3"/>
      <c r="W224" s="3"/>
      <c r="X224" s="3"/>
      <c r="Y224" s="3"/>
      <c r="Z224" s="3"/>
      <c r="AA224" s="3"/>
      <c r="AB224" s="3"/>
      <c r="AC224" s="3"/>
      <c r="AD224" s="2"/>
      <c r="AE224" s="2"/>
      <c r="AF224" s="2"/>
    </row>
    <row r="225" spans="2:32" s="175" customFormat="1" ht="14.5">
      <c r="B225" s="2"/>
      <c r="C225" s="2"/>
      <c r="D225" s="2"/>
      <c r="E225" s="2"/>
      <c r="F225" s="2"/>
      <c r="G225" s="2"/>
      <c r="H225" s="2"/>
      <c r="I225" s="2"/>
      <c r="J225" s="2"/>
      <c r="K225" s="2"/>
      <c r="T225" s="374"/>
      <c r="U225" s="374"/>
      <c r="V225" s="3"/>
      <c r="W225" s="3"/>
      <c r="X225" s="3"/>
      <c r="Y225" s="3"/>
      <c r="Z225" s="3"/>
      <c r="AA225" s="3"/>
      <c r="AB225" s="3"/>
      <c r="AC225" s="3"/>
      <c r="AD225" s="2"/>
      <c r="AE225" s="2"/>
      <c r="AF225" s="2"/>
    </row>
    <row r="226" spans="2:32" s="175" customFormat="1" ht="14.5">
      <c r="B226" s="2"/>
      <c r="C226" s="2"/>
      <c r="D226" s="2"/>
      <c r="E226" s="2"/>
      <c r="F226" s="2"/>
      <c r="G226" s="2"/>
      <c r="H226" s="2"/>
      <c r="I226" s="2"/>
      <c r="J226" s="2"/>
      <c r="K226" s="2"/>
      <c r="T226" s="374"/>
      <c r="U226" s="374"/>
      <c r="V226" s="3"/>
      <c r="W226" s="3"/>
      <c r="X226" s="3"/>
      <c r="Y226" s="3"/>
      <c r="Z226" s="3"/>
      <c r="AA226" s="3"/>
      <c r="AB226" s="3"/>
      <c r="AC226" s="3"/>
      <c r="AD226" s="2"/>
      <c r="AE226" s="2"/>
      <c r="AF226" s="2"/>
    </row>
  </sheetData>
  <autoFilter ref="A5:EK5" xr:uid="{00000000-0009-0000-0000-000008000000}"/>
  <mergeCells count="14">
    <mergeCell ref="EO4:EV4"/>
    <mergeCell ref="EA2:EG2"/>
    <mergeCell ref="EH2:EN2"/>
    <mergeCell ref="F4:P4"/>
    <mergeCell ref="Q4:T4"/>
    <mergeCell ref="U4:Z4"/>
    <mergeCell ref="AD4:AQ4"/>
    <mergeCell ref="AS4:AT4"/>
    <mergeCell ref="AU2:BV2"/>
    <mergeCell ref="BW2:CC2"/>
    <mergeCell ref="CD2:CJ2"/>
    <mergeCell ref="CK2:CQ2"/>
    <mergeCell ref="CR2:DS2"/>
    <mergeCell ref="DT2:DZ2"/>
  </mergeCells>
  <phoneticPr fontId="78" type="noConversion"/>
  <dataValidations count="1">
    <dataValidation type="list" allowBlank="1" showInputMessage="1" showErrorMessage="1" sqref="AL8:AN8 AL6:AN6 AL10:AN10" xr:uid="{C122C3AB-CEAE-471A-893C-E5A69ED5E4C0}">
      <formula1>#REF!</formula1>
    </dataValidation>
  </dataValidations>
  <pageMargins left="0.7" right="0.7" top="0.75" bottom="0.75" header="0.3" footer="0.3"/>
  <pageSetup orientation="portrait" r:id="rId1"/>
  <headerFooter>
    <oddFooter>&amp;L&amp;1#&amp;"Calibri"&amp;14&amp;K000000Business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1822-4894-4D8C-8B0C-2AE02ED7B0D5}">
  <sheetPr>
    <tabColor rgb="FFFFC000"/>
  </sheetPr>
  <dimension ref="A1:L2"/>
  <sheetViews>
    <sheetView tabSelected="1" zoomScale="70" zoomScaleNormal="70" workbookViewId="0">
      <selection activeCell="Z12" sqref="Z12"/>
    </sheetView>
  </sheetViews>
  <sheetFormatPr defaultRowHeight="14.5"/>
  <sheetData>
    <row r="1" spans="1:12">
      <c r="A1" s="1469" t="s">
        <v>2767</v>
      </c>
      <c r="B1" s="1469"/>
      <c r="C1" s="1469"/>
      <c r="D1" s="1469"/>
      <c r="E1" s="1469"/>
      <c r="F1" s="1469"/>
      <c r="G1" s="1469"/>
      <c r="H1" s="1469"/>
      <c r="I1" s="1469"/>
      <c r="L1" t="s">
        <v>2766</v>
      </c>
    </row>
    <row r="2" spans="1:12">
      <c r="A2" s="1469"/>
      <c r="B2" s="1469"/>
      <c r="C2" s="1469"/>
      <c r="D2" s="1469"/>
      <c r="E2" s="1469"/>
      <c r="F2" s="1469"/>
      <c r="G2" s="1469"/>
      <c r="H2" s="1469"/>
      <c r="I2" s="1469"/>
    </row>
  </sheetData>
  <mergeCells count="1">
    <mergeCell ref="A1:I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6EE6-B629-44AD-A79B-4DB056C14893}">
  <sheetPr>
    <tabColor theme="5"/>
    <pageSetUpPr autoPageBreaks="0"/>
  </sheetPr>
  <dimension ref="A1:FF127"/>
  <sheetViews>
    <sheetView zoomScale="85" zoomScaleNormal="85" workbookViewId="0">
      <selection activeCell="B23" sqref="B23"/>
    </sheetView>
  </sheetViews>
  <sheetFormatPr defaultColWidth="9.1796875" defaultRowHeight="13"/>
  <cols>
    <col min="1" max="1" width="9.1796875" style="2"/>
    <col min="2" max="2" width="48.1796875" style="2" customWidth="1"/>
    <col min="3" max="3" width="29.26953125" style="2" customWidth="1"/>
    <col min="4" max="4" width="29.54296875" style="2" customWidth="1"/>
    <col min="5" max="5" width="20.26953125" style="2" customWidth="1"/>
    <col min="6" max="7" width="17.26953125" style="2" customWidth="1"/>
    <col min="8" max="8" width="14.54296875" style="2" customWidth="1"/>
    <col min="9" max="9" width="13" style="2" customWidth="1"/>
    <col min="10" max="10" width="14.54296875" style="2" customWidth="1"/>
    <col min="11" max="11" width="15.453125" style="2" customWidth="1"/>
    <col min="12" max="13" width="15.26953125" style="2" customWidth="1"/>
    <col min="14" max="14" width="15" style="2" customWidth="1"/>
    <col min="15" max="16" width="10.7265625" style="2" customWidth="1"/>
    <col min="17" max="17" width="13.453125" style="2" customWidth="1"/>
    <col min="18" max="19" width="12.1796875" style="2" customWidth="1"/>
    <col min="20" max="20" width="11.54296875" style="3" customWidth="1"/>
    <col min="21" max="22" width="10.81640625" style="3" customWidth="1"/>
    <col min="23" max="30" width="10.1796875" style="3" customWidth="1"/>
    <col min="31" max="40" width="14.453125" style="2" customWidth="1"/>
    <col min="41" max="41" width="16.453125" style="2" customWidth="1"/>
    <col min="42" max="47" width="12" style="2" customWidth="1"/>
    <col min="48" max="50" width="17.81640625" style="2" customWidth="1"/>
    <col min="51" max="54" width="15.7265625" style="2" customWidth="1"/>
    <col min="55" max="61" width="12" style="2" customWidth="1"/>
    <col min="62" max="75" width="11.7265625" style="2" customWidth="1"/>
    <col min="76" max="153" width="15.54296875" style="2" customWidth="1"/>
    <col min="154" max="16384" width="9.1796875" style="2"/>
  </cols>
  <sheetData>
    <row r="1" spans="1:162" s="93" customFormat="1" ht="15" thickBot="1">
      <c r="A1" s="69" t="str">
        <f t="shared" ref="A1:BF1" si="0">A3&amp;"_"&amp;A4&amp;"_"&amp;A5</f>
        <v>_Measure Details_Measure ID</v>
      </c>
      <c r="B1" s="69" t="str">
        <f t="shared" si="0"/>
        <v>__Measure Name</v>
      </c>
      <c r="C1" s="69" t="str">
        <f t="shared" si="0"/>
        <v>__Measure Description/Qualification</v>
      </c>
      <c r="D1" s="69" t="str">
        <f t="shared" si="0"/>
        <v>__Base Equipment</v>
      </c>
      <c r="E1" s="69" t="str">
        <f t="shared" si="0"/>
        <v>__Per Unit Assumption</v>
      </c>
      <c r="F1" s="69" t="str">
        <f t="shared" si="0"/>
        <v>_First Year Costs_Full or Incremental Cost</v>
      </c>
      <c r="G1" s="69" t="str">
        <f t="shared" si="0"/>
        <v>__Full/Incremental Equipment Cost (Per Unit)</v>
      </c>
      <c r="H1" s="69" t="str">
        <f t="shared" si="0"/>
        <v>__Full/Incremental Labor Cost (Per Unit)</v>
      </c>
      <c r="I1" s="69" t="str">
        <f t="shared" si="0"/>
        <v>__Full/Incremental Cost (Per Unit)</v>
      </c>
      <c r="J1" s="69" t="str">
        <f t="shared" si="0"/>
        <v>__Incremental Annual O&amp;M (Per Unit)</v>
      </c>
      <c r="K1" s="69" t="str">
        <f t="shared" si="0"/>
        <v>__50% of Incremental Cost</v>
      </c>
      <c r="L1" s="69" t="str">
        <f t="shared" si="0"/>
        <v>__Cost Sources</v>
      </c>
      <c r="M1" s="69" t="str">
        <f t="shared" si="0"/>
        <v>__Current Incentive</v>
      </c>
      <c r="N1" s="69" t="str">
        <f t="shared" si="0"/>
        <v>__Proposed Incentive Level</v>
      </c>
      <c r="O1" s="69" t="str">
        <f t="shared" si="0"/>
        <v>__Dealer Incentive</v>
      </c>
      <c r="P1" s="69" t="str">
        <f t="shared" si="0"/>
        <v>__Implementation Cost</v>
      </c>
      <c r="Q1" s="69" t="str">
        <f t="shared" si="0"/>
        <v>_First Year Energy Savings_Electric kWh Savings Per Unit</v>
      </c>
      <c r="R1" s="69" t="str">
        <f t="shared" si="0"/>
        <v>__Electric kW Savings Per Unit</v>
      </c>
      <c r="S1" s="69" t="str">
        <f t="shared" si="0"/>
        <v>__Natural Gas Therms Savings Per Unit</v>
      </c>
      <c r="T1" s="69" t="str">
        <f t="shared" si="0"/>
        <v>__Energy Savings Source</v>
      </c>
      <c r="U1" s="69" t="str">
        <f t="shared" si="0"/>
        <v>_Participation Assumptions_Escalation Rate</v>
      </c>
      <c r="V1" s="69" t="str">
        <f t="shared" si="0"/>
        <v>__Number of Unit Per Participant</v>
      </c>
      <c r="W1" s="69" t="str">
        <f t="shared" si="0"/>
        <v>__Participation 2023</v>
      </c>
      <c r="X1" s="69" t="str">
        <f t="shared" si="0"/>
        <v>__Participation 2024</v>
      </c>
      <c r="Y1" s="69" t="str">
        <f t="shared" si="0"/>
        <v>__Participation 2025</v>
      </c>
      <c r="Z1" s="69" t="str">
        <f t="shared" si="0"/>
        <v>__Participation 2026</v>
      </c>
      <c r="AA1" s="69" t="str">
        <f t="shared" si="0"/>
        <v>__Participation 2027</v>
      </c>
      <c r="AB1" s="69" t="str">
        <f t="shared" si="0"/>
        <v>__Participation 2028</v>
      </c>
      <c r="AC1" s="69" t="str">
        <f t="shared" si="0"/>
        <v>__Participation 2029</v>
      </c>
      <c r="AD1" s="69" t="str">
        <f t="shared" ref="AD1" si="1">AD3&amp;"_"&amp;AD4&amp;"_"&amp;AD5</f>
        <v>__Participation 2030</v>
      </c>
      <c r="AE1" s="69" t="str">
        <f t="shared" si="0"/>
        <v>_Modeling Measure-level Inputs_Fuel Type</v>
      </c>
      <c r="AF1" s="69" t="str">
        <f t="shared" si="0"/>
        <v>__Sector</v>
      </c>
      <c r="AG1" s="69" t="str">
        <f t="shared" si="0"/>
        <v>__Segment</v>
      </c>
      <c r="AH1" s="69" t="str">
        <f t="shared" si="0"/>
        <v>__Enduse</v>
      </c>
      <c r="AI1" s="69" t="str">
        <f t="shared" si="0"/>
        <v>__Construction Type</v>
      </c>
      <c r="AJ1" s="69" t="str">
        <f t="shared" si="0"/>
        <v>__Potential Study Measure Name</v>
      </c>
      <c r="AK1" s="69" t="str">
        <f t="shared" si="0"/>
        <v>__Potential Study Measure Description</v>
      </c>
      <c r="AL1" s="69" t="str">
        <f t="shared" si="0"/>
        <v>__Potential Study Baseline Description</v>
      </c>
      <c r="AM1" s="69" t="str">
        <f t="shared" si="0"/>
        <v>__Electric Load Shape</v>
      </c>
      <c r="AN1" s="69" t="str">
        <f t="shared" si="0"/>
        <v>__Natural Gas Load Shape</v>
      </c>
      <c r="AO1" s="69" t="str">
        <f t="shared" si="0"/>
        <v>__Customer Rate Class</v>
      </c>
      <c r="AP1" s="69" t="str">
        <f t="shared" si="0"/>
        <v>__Measure Life</v>
      </c>
      <c r="AQ1" s="69" t="str">
        <f t="shared" si="0"/>
        <v>__Baseline Life</v>
      </c>
      <c r="AR1" s="69" t="str">
        <f t="shared" si="0"/>
        <v>__Life Source</v>
      </c>
      <c r="AS1" s="69" t="str">
        <f t="shared" si="0"/>
        <v>_Measure Tier Share_Tier Share</v>
      </c>
      <c r="AT1" s="69" t="str">
        <f t="shared" si="0"/>
        <v>_Measure Fuel Weights_Electric Share</v>
      </c>
      <c r="AU1" s="69" t="str">
        <f t="shared" si="0"/>
        <v>__Natural Gas Share</v>
      </c>
      <c r="AV1" s="69" t="str">
        <f t="shared" si="0"/>
        <v>Per Unit_Incremental Costs_2024</v>
      </c>
      <c r="AW1" s="69" t="str">
        <f t="shared" si="0"/>
        <v>Per Unit_Incremental Costs_2025</v>
      </c>
      <c r="AX1" s="69" t="str">
        <f t="shared" si="0"/>
        <v>Per Unit_Incremental Costs_2026</v>
      </c>
      <c r="AY1" s="69" t="str">
        <f t="shared" si="0"/>
        <v>Per Unit_Incremental Costs_2027</v>
      </c>
      <c r="AZ1" s="69" t="str">
        <f t="shared" si="0"/>
        <v>Per Unit_Incremental Costs_2028</v>
      </c>
      <c r="BA1" s="69" t="str">
        <f t="shared" si="0"/>
        <v>Per Unit_Incremental Costs_2029</v>
      </c>
      <c r="BB1" s="69" t="str">
        <f t="shared" ref="BB1" si="2">BB3&amp;"_"&amp;BB4&amp;"_"&amp;BB5</f>
        <v>Per Unit_Incremental Costs_2030</v>
      </c>
      <c r="BC1" s="69" t="str">
        <f t="shared" si="0"/>
        <v>Per Unit_Incremental Annual O&amp;M_2024</v>
      </c>
      <c r="BD1" s="69" t="str">
        <f t="shared" si="0"/>
        <v>Per Unit_Incremental Annual O&amp;M_2025</v>
      </c>
      <c r="BE1" s="69" t="str">
        <f t="shared" si="0"/>
        <v>Per Unit_Incremental Annual O&amp;M_2026</v>
      </c>
      <c r="BF1" s="69" t="str">
        <f t="shared" si="0"/>
        <v>Per Unit_Incremental Annual O&amp;M_2027</v>
      </c>
      <c r="BG1" s="69" t="str">
        <f t="shared" ref="BG1:DR1" si="3">BG3&amp;"_"&amp;BG4&amp;"_"&amp;BG5</f>
        <v>Per Unit_Incremental Annual O&amp;M_2028</v>
      </c>
      <c r="BH1" s="69" t="str">
        <f t="shared" si="3"/>
        <v>Per Unit_Incremental Annual O&amp;M_2029</v>
      </c>
      <c r="BI1" s="69" t="str">
        <f t="shared" ref="BI1" si="4">BI3&amp;"_"&amp;BI4&amp;"_"&amp;BI5</f>
        <v>Per Unit_Incremental Annual O&amp;M_2030</v>
      </c>
      <c r="BJ1" s="69" t="str">
        <f t="shared" si="3"/>
        <v>Per Unit_Customer &amp; Dealer Incentives_2024</v>
      </c>
      <c r="BK1" s="69" t="str">
        <f t="shared" si="3"/>
        <v>Per Unit_Customer &amp; Dealer Incentives_2025</v>
      </c>
      <c r="BL1" s="69" t="str">
        <f t="shared" si="3"/>
        <v>Per Unit_Customer &amp; Dealer Incentives_2026</v>
      </c>
      <c r="BM1" s="69" t="str">
        <f t="shared" si="3"/>
        <v>Per Unit_Customer &amp; Dealer Incentives_2027</v>
      </c>
      <c r="BN1" s="69" t="str">
        <f t="shared" si="3"/>
        <v>Per Unit_Customer &amp; Dealer Incentives_2028</v>
      </c>
      <c r="BO1" s="69" t="str">
        <f t="shared" si="3"/>
        <v>Per Unit_Customer &amp; Dealer Incentives_2029</v>
      </c>
      <c r="BP1" s="69" t="str">
        <f t="shared" ref="BP1" si="5">BP3&amp;"_"&amp;BP4&amp;"_"&amp;BP5</f>
        <v>Per Unit_Customer &amp; Dealer Incentives_2030</v>
      </c>
      <c r="BQ1" s="69" t="str">
        <f t="shared" si="3"/>
        <v>Per Unit_Implementation Cost_2024</v>
      </c>
      <c r="BR1" s="69" t="str">
        <f t="shared" si="3"/>
        <v>Per Unit_Implementation Cost_2025</v>
      </c>
      <c r="BS1" s="69" t="str">
        <f t="shared" si="3"/>
        <v>Per Unit_Implementation Cost_2026</v>
      </c>
      <c r="BT1" s="69" t="str">
        <f t="shared" si="3"/>
        <v>Per Unit_Implementation Cost_2027</v>
      </c>
      <c r="BU1" s="69" t="str">
        <f t="shared" si="3"/>
        <v>Per Unit_Implementation Cost_2028</v>
      </c>
      <c r="BV1" s="69" t="str">
        <f t="shared" si="3"/>
        <v>Per Unit_Implementation Cost_2029</v>
      </c>
      <c r="BW1" s="69" t="str">
        <f t="shared" ref="BW1" si="6">BW3&amp;"_"&amp;BW4&amp;"_"&amp;BW5</f>
        <v>Per Unit_Implementation Cost_2030</v>
      </c>
      <c r="BX1" s="69" t="str">
        <f t="shared" si="3"/>
        <v>Per Unit_kWh _2024</v>
      </c>
      <c r="BY1" s="69" t="str">
        <f t="shared" si="3"/>
        <v>Per Unit_kWh _2025</v>
      </c>
      <c r="BZ1" s="69" t="str">
        <f t="shared" si="3"/>
        <v>Per Unit_kWh _2026</v>
      </c>
      <c r="CA1" s="69" t="str">
        <f t="shared" si="3"/>
        <v>Per Unit_kWh _2027</v>
      </c>
      <c r="CB1" s="69" t="str">
        <f t="shared" si="3"/>
        <v>Per Unit_kWh _2028</v>
      </c>
      <c r="CC1" s="69" t="str">
        <f t="shared" si="3"/>
        <v>Per Unit_kWh _2029</v>
      </c>
      <c r="CD1" s="69" t="str">
        <f t="shared" ref="CD1" si="7">CD3&amp;"_"&amp;CD4&amp;"_"&amp;CD5</f>
        <v>Per Unit_kWh _2030</v>
      </c>
      <c r="CE1" s="69" t="str">
        <f t="shared" si="3"/>
        <v>Per Unit_kW_2024</v>
      </c>
      <c r="CF1" s="69" t="str">
        <f t="shared" si="3"/>
        <v>Per Unit_kW_2025</v>
      </c>
      <c r="CG1" s="69" t="str">
        <f t="shared" si="3"/>
        <v>Per Unit_kW_2026</v>
      </c>
      <c r="CH1" s="69" t="str">
        <f t="shared" si="3"/>
        <v>Per Unit_kW_2027</v>
      </c>
      <c r="CI1" s="69" t="str">
        <f t="shared" si="3"/>
        <v>Per Unit_kW_2028</v>
      </c>
      <c r="CJ1" s="69" t="str">
        <f t="shared" si="3"/>
        <v>Per Unit_kW_2029</v>
      </c>
      <c r="CK1" s="69" t="str">
        <f t="shared" ref="CK1" si="8">CK3&amp;"_"&amp;CK4&amp;"_"&amp;CK5</f>
        <v>Per Unit_kW_2030</v>
      </c>
      <c r="CL1" s="69" t="str">
        <f t="shared" si="3"/>
        <v>Per Unit_Therms_2024</v>
      </c>
      <c r="CM1" s="69" t="str">
        <f t="shared" si="3"/>
        <v>Per Unit_Therms_2025</v>
      </c>
      <c r="CN1" s="69" t="str">
        <f t="shared" si="3"/>
        <v>Per Unit_Therms_2026</v>
      </c>
      <c r="CO1" s="69" t="str">
        <f t="shared" si="3"/>
        <v>Per Unit_Therms_2027</v>
      </c>
      <c r="CP1" s="69" t="str">
        <f t="shared" si="3"/>
        <v>Per Unit_Therms_2028</v>
      </c>
      <c r="CQ1" s="69" t="str">
        <f t="shared" si="3"/>
        <v>Per Unit_Therms_2029</v>
      </c>
      <c r="CR1" s="69" t="str">
        <f t="shared" ref="CR1" si="9">CR3&amp;"_"&amp;CR4&amp;"_"&amp;CR5</f>
        <v>Per Unit_Therms_2030</v>
      </c>
      <c r="CS1" s="69" t="str">
        <f t="shared" si="3"/>
        <v>Program_Incremental Costs_2024</v>
      </c>
      <c r="CT1" s="69" t="str">
        <f t="shared" si="3"/>
        <v>Program_Incremental Costs_2025</v>
      </c>
      <c r="CU1" s="69" t="str">
        <f t="shared" si="3"/>
        <v>Program_Incremental Costs_2026</v>
      </c>
      <c r="CV1" s="69" t="str">
        <f t="shared" si="3"/>
        <v>Program_Incremental Costs_2027</v>
      </c>
      <c r="CW1" s="69" t="str">
        <f t="shared" si="3"/>
        <v>Program_Incremental Costs_2028</v>
      </c>
      <c r="CX1" s="69" t="str">
        <f t="shared" si="3"/>
        <v>Program_Incremental Costs_2029</v>
      </c>
      <c r="CY1" s="69" t="str">
        <f t="shared" ref="CY1" si="10">CY3&amp;"_"&amp;CY4&amp;"_"&amp;CY5</f>
        <v>Program_Incremental Costs_2030</v>
      </c>
      <c r="CZ1" s="69" t="str">
        <f t="shared" si="3"/>
        <v>Program_Incremental Annual O&amp;M_2024</v>
      </c>
      <c r="DA1" s="69" t="str">
        <f t="shared" si="3"/>
        <v>Program_Incremental Annual O&amp;M_2025</v>
      </c>
      <c r="DB1" s="69" t="str">
        <f t="shared" si="3"/>
        <v>Program_Incremental Annual O&amp;M_2026</v>
      </c>
      <c r="DC1" s="69" t="str">
        <f t="shared" si="3"/>
        <v>Program_Incremental Annual O&amp;M_2027</v>
      </c>
      <c r="DD1" s="69" t="str">
        <f t="shared" si="3"/>
        <v>Program_Incremental Annual O&amp;M_2028</v>
      </c>
      <c r="DE1" s="69" t="str">
        <f t="shared" si="3"/>
        <v>Program_Incremental Annual O&amp;M_2029</v>
      </c>
      <c r="DF1" s="69" t="str">
        <f t="shared" ref="DF1" si="11">DF3&amp;"_"&amp;DF4&amp;"_"&amp;DF5</f>
        <v>Program_Incremental Annual O&amp;M_2030</v>
      </c>
      <c r="DG1" s="69" t="str">
        <f t="shared" si="3"/>
        <v>Program_Customer &amp; Dealer Incentives_2024</v>
      </c>
      <c r="DH1" s="69" t="str">
        <f t="shared" si="3"/>
        <v>Program_Customer &amp; Dealer Incentives_2025</v>
      </c>
      <c r="DI1" s="69" t="str">
        <f t="shared" si="3"/>
        <v>Program_Customer &amp; Dealer Incentives_2026</v>
      </c>
      <c r="DJ1" s="69" t="str">
        <f t="shared" si="3"/>
        <v>Program_Customer &amp; Dealer Incentives_2027</v>
      </c>
      <c r="DK1" s="69" t="str">
        <f t="shared" si="3"/>
        <v>Program_Customer &amp; Dealer Incentives_2028</v>
      </c>
      <c r="DL1" s="69" t="str">
        <f t="shared" si="3"/>
        <v>Program_Customer &amp; Dealer Incentives_2029</v>
      </c>
      <c r="DM1" s="69" t="str">
        <f t="shared" ref="DM1" si="12">DM3&amp;"_"&amp;DM4&amp;"_"&amp;DM5</f>
        <v>Program_Customer &amp; Dealer Incentives_2030</v>
      </c>
      <c r="DN1" s="69" t="str">
        <f t="shared" si="3"/>
        <v>Program_Implementation Costs_2024</v>
      </c>
      <c r="DO1" s="69" t="str">
        <f t="shared" si="3"/>
        <v>Program_Implementation Costs_2025</v>
      </c>
      <c r="DP1" s="69" t="str">
        <f t="shared" si="3"/>
        <v>Program_Implementation Costs_2026</v>
      </c>
      <c r="DQ1" s="69" t="str">
        <f t="shared" si="3"/>
        <v>Program_Implementation Costs_2027</v>
      </c>
      <c r="DR1" s="69" t="str">
        <f t="shared" si="3"/>
        <v>Program_Implementation Costs_2028</v>
      </c>
      <c r="DS1" s="69" t="str">
        <f t="shared" ref="DS1:EW1" si="13">DS3&amp;"_"&amp;DS4&amp;"_"&amp;DS5</f>
        <v>Program_Implementation Costs_2029</v>
      </c>
      <c r="DT1" s="69" t="str">
        <f t="shared" ref="DT1" si="14">DT3&amp;"_"&amp;DT4&amp;"_"&amp;DT5</f>
        <v>Program_Implementation Costs_2030</v>
      </c>
      <c r="DU1" s="69" t="str">
        <f t="shared" si="13"/>
        <v>Program_kWh _2024</v>
      </c>
      <c r="DV1" s="69" t="str">
        <f t="shared" si="13"/>
        <v>Program_kWh _2025</v>
      </c>
      <c r="DW1" s="69" t="str">
        <f t="shared" si="13"/>
        <v>Program_kWh _2026</v>
      </c>
      <c r="DX1" s="69" t="str">
        <f t="shared" si="13"/>
        <v>Program_kWh _2027</v>
      </c>
      <c r="DY1" s="69" t="str">
        <f t="shared" si="13"/>
        <v>Program_kWh _2028</v>
      </c>
      <c r="DZ1" s="69" t="str">
        <f t="shared" si="13"/>
        <v>Program_kWh _2029</v>
      </c>
      <c r="EA1" s="69" t="str">
        <f t="shared" ref="EA1" si="15">EA3&amp;"_"&amp;EA4&amp;"_"&amp;EA5</f>
        <v>Program_kWh _2030</v>
      </c>
      <c r="EB1" s="69" t="str">
        <f t="shared" si="13"/>
        <v>Program_kW_2024</v>
      </c>
      <c r="EC1" s="69" t="str">
        <f t="shared" si="13"/>
        <v>Program_kW_2025</v>
      </c>
      <c r="ED1" s="69" t="str">
        <f t="shared" si="13"/>
        <v>Program_kW_2026</v>
      </c>
      <c r="EE1" s="69" t="str">
        <f t="shared" si="13"/>
        <v>Program_kW_2027</v>
      </c>
      <c r="EF1" s="69" t="str">
        <f t="shared" si="13"/>
        <v>Program_kW_2028</v>
      </c>
      <c r="EG1" s="69" t="str">
        <f t="shared" si="13"/>
        <v>Program_kW_2029</v>
      </c>
      <c r="EH1" s="69" t="str">
        <f>EH3&amp;"_"&amp;EH4&amp;"_"&amp;EH5</f>
        <v>Program_kW_2030</v>
      </c>
      <c r="EI1" s="69" t="str">
        <f t="shared" si="13"/>
        <v>Program_Therms_2024</v>
      </c>
      <c r="EJ1" s="69" t="str">
        <f t="shared" si="13"/>
        <v>Program_Therms_2025</v>
      </c>
      <c r="EK1" s="69" t="str">
        <f t="shared" si="13"/>
        <v>Program_Therms_2026</v>
      </c>
      <c r="EL1" s="69" t="str">
        <f t="shared" si="13"/>
        <v>Program_Therms_2027</v>
      </c>
      <c r="EM1" s="69" t="str">
        <f t="shared" si="13"/>
        <v>Program_Therms_2028</v>
      </c>
      <c r="EN1" s="69" t="str">
        <f t="shared" si="13"/>
        <v>Program_Therms_2029</v>
      </c>
      <c r="EO1" s="69" t="str">
        <f t="shared" ref="EO1" si="16">EO3&amp;"_"&amp;EO4&amp;"_"&amp;EO5</f>
        <v>Program_Therms_2030</v>
      </c>
      <c r="EP1" s="69" t="str">
        <f t="shared" si="13"/>
        <v>_Total Plan Summary 2024-2030_Participation</v>
      </c>
      <c r="EQ1" s="69" t="str">
        <f t="shared" si="13"/>
        <v>__Incremental Costs ($)</v>
      </c>
      <c r="ER1" s="69" t="str">
        <f t="shared" si="13"/>
        <v>__Incremental Annual O&amp;M ($)</v>
      </c>
      <c r="ES1" s="69" t="str">
        <f t="shared" si="13"/>
        <v>__Customer &amp; Dealer Incentives ($)</v>
      </c>
      <c r="ET1" s="69" t="str">
        <f t="shared" si="13"/>
        <v>__Implementation Costs ($)</v>
      </c>
      <c r="EU1" s="69" t="str">
        <f t="shared" si="13"/>
        <v>__Electric kWh  Benefits</v>
      </c>
      <c r="EV1" s="69" t="str">
        <f t="shared" si="13"/>
        <v>__Electric kW Peak Demand Benefits</v>
      </c>
      <c r="EW1" s="69" t="str">
        <f t="shared" si="13"/>
        <v>__Natural Gas Therms Benefits</v>
      </c>
      <c r="EX1" s="2"/>
      <c r="EY1" s="2"/>
      <c r="EZ1" s="2"/>
      <c r="FA1" s="2"/>
      <c r="FB1" s="2"/>
      <c r="FC1" s="2"/>
      <c r="FD1" s="2"/>
      <c r="FE1" s="2"/>
      <c r="FF1" s="2"/>
    </row>
    <row r="2" spans="1:162" s="94" customFormat="1" ht="16" thickBot="1">
      <c r="A2" s="1" t="s">
        <v>66</v>
      </c>
      <c r="B2" s="4"/>
      <c r="C2" s="4"/>
      <c r="D2" s="5"/>
      <c r="E2" s="5"/>
      <c r="F2" s="5"/>
      <c r="G2" s="5"/>
      <c r="H2" s="5"/>
      <c r="I2" s="5"/>
      <c r="J2" s="5"/>
      <c r="K2" s="5"/>
      <c r="L2" s="5"/>
      <c r="M2" s="5"/>
      <c r="N2" s="5"/>
      <c r="O2" s="5"/>
      <c r="P2" s="5"/>
      <c r="Q2" s="5"/>
      <c r="R2" s="5"/>
      <c r="S2" s="5"/>
      <c r="T2" s="5"/>
      <c r="U2" s="6"/>
      <c r="V2" s="6"/>
      <c r="W2" s="6"/>
      <c r="X2" s="6"/>
      <c r="Y2" s="6"/>
      <c r="Z2" s="6"/>
      <c r="AA2" s="6"/>
      <c r="AB2" s="6"/>
      <c r="AC2" s="6"/>
      <c r="AD2" s="6"/>
      <c r="AE2" s="6"/>
      <c r="AF2" s="6"/>
      <c r="AG2" s="6"/>
      <c r="AH2" s="7"/>
      <c r="AI2" s="7"/>
      <c r="AJ2" s="7"/>
      <c r="AK2" s="7"/>
      <c r="AL2" s="7"/>
      <c r="AM2" s="7"/>
      <c r="AN2" s="7"/>
      <c r="AO2" s="7"/>
      <c r="AP2" s="5"/>
      <c r="AQ2" s="5"/>
      <c r="AR2" s="5"/>
      <c r="AS2" s="5"/>
      <c r="AT2" s="5"/>
      <c r="AU2" s="5"/>
      <c r="AV2" s="1384" t="s">
        <v>327</v>
      </c>
      <c r="AW2" s="1385"/>
      <c r="AX2" s="1385"/>
      <c r="AY2" s="1385"/>
      <c r="AZ2" s="1385"/>
      <c r="BA2" s="1385"/>
      <c r="BB2" s="1385"/>
      <c r="BC2" s="1385"/>
      <c r="BD2" s="1385"/>
      <c r="BE2" s="1385"/>
      <c r="BF2" s="1385"/>
      <c r="BG2" s="1385"/>
      <c r="BH2" s="1385"/>
      <c r="BI2" s="1385"/>
      <c r="BJ2" s="1385"/>
      <c r="BK2" s="1385"/>
      <c r="BL2" s="1385"/>
      <c r="BM2" s="1385"/>
      <c r="BN2" s="1385"/>
      <c r="BO2" s="1385"/>
      <c r="BP2" s="1385"/>
      <c r="BQ2" s="1385"/>
      <c r="BR2" s="1385"/>
      <c r="BS2" s="1385"/>
      <c r="BT2" s="1385"/>
      <c r="BU2" s="1385"/>
      <c r="BV2" s="1385"/>
      <c r="BW2" s="1386"/>
      <c r="BX2" s="1381" t="s">
        <v>328</v>
      </c>
      <c r="BY2" s="1382"/>
      <c r="BZ2" s="1382"/>
      <c r="CA2" s="1382"/>
      <c r="CB2" s="1382"/>
      <c r="CC2" s="1382"/>
      <c r="CD2" s="1383"/>
      <c r="CE2" s="1381" t="s">
        <v>329</v>
      </c>
      <c r="CF2" s="1382"/>
      <c r="CG2" s="1382"/>
      <c r="CH2" s="1382"/>
      <c r="CI2" s="1382"/>
      <c r="CJ2" s="1382"/>
      <c r="CK2" s="1383"/>
      <c r="CL2" s="1381" t="s">
        <v>330</v>
      </c>
      <c r="CM2" s="1382"/>
      <c r="CN2" s="1382"/>
      <c r="CO2" s="1382"/>
      <c r="CP2" s="1382"/>
      <c r="CQ2" s="1382"/>
      <c r="CR2" s="1383"/>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432"/>
      <c r="DT2" s="323"/>
      <c r="DU2" s="1409"/>
      <c r="DV2" s="1409"/>
      <c r="DW2" s="1409"/>
      <c r="DX2" s="1409"/>
      <c r="DY2" s="1409"/>
      <c r="DZ2" s="1410"/>
      <c r="EA2" s="338"/>
      <c r="EB2" s="1409"/>
      <c r="EC2" s="1409"/>
      <c r="ED2" s="1409"/>
      <c r="EE2" s="1409"/>
      <c r="EF2" s="1409"/>
      <c r="EG2" s="1410"/>
      <c r="EH2" s="339"/>
      <c r="EI2" s="1367"/>
      <c r="EJ2" s="1367"/>
      <c r="EK2" s="1367"/>
      <c r="EL2" s="1367"/>
      <c r="EM2" s="1367"/>
      <c r="EN2" s="1367"/>
      <c r="EO2" s="279"/>
      <c r="EP2" s="5"/>
      <c r="EQ2" s="5"/>
      <c r="ER2" s="5"/>
      <c r="ES2" s="5"/>
      <c r="ET2" s="5"/>
      <c r="EU2" s="5"/>
      <c r="EV2" s="5"/>
      <c r="EW2" s="5"/>
      <c r="EX2" s="5"/>
      <c r="EY2" s="5"/>
      <c r="EZ2" s="5"/>
      <c r="FA2" s="5"/>
      <c r="FB2" s="5"/>
      <c r="FC2" s="5"/>
      <c r="FD2" s="5"/>
      <c r="FE2" s="5"/>
      <c r="FF2" s="5"/>
    </row>
    <row r="3" spans="1:162" s="93" customFormat="1">
      <c r="A3" s="2"/>
      <c r="B3" s="8"/>
      <c r="C3" s="8"/>
      <c r="D3" s="2"/>
      <c r="E3" s="2"/>
      <c r="F3" s="2"/>
      <c r="G3" s="2"/>
      <c r="H3" s="2"/>
      <c r="I3" s="2"/>
      <c r="J3" s="2"/>
      <c r="K3" s="2"/>
      <c r="L3" s="2"/>
      <c r="M3" s="2"/>
      <c r="N3" s="2"/>
      <c r="O3" s="2"/>
      <c r="P3" s="2"/>
      <c r="Q3" s="2"/>
      <c r="R3" s="2"/>
      <c r="S3" s="2"/>
      <c r="T3" s="2"/>
      <c r="U3" s="3"/>
      <c r="V3" s="3"/>
      <c r="W3" s="3"/>
      <c r="X3" s="3"/>
      <c r="Y3" s="3"/>
      <c r="Z3" s="3"/>
      <c r="AA3" s="3"/>
      <c r="AB3" s="3"/>
      <c r="AC3" s="3"/>
      <c r="AD3" s="3"/>
      <c r="AE3" s="3"/>
      <c r="AF3" s="3"/>
      <c r="AG3" s="3"/>
      <c r="AH3" s="9"/>
      <c r="AI3" s="9"/>
      <c r="AJ3" s="9"/>
      <c r="AK3" s="9"/>
      <c r="AL3" s="9"/>
      <c r="AM3" s="9"/>
      <c r="AN3" s="9"/>
      <c r="AO3" s="9"/>
      <c r="AP3" s="2"/>
      <c r="AQ3" s="2"/>
      <c r="AR3" s="2"/>
      <c r="AS3" s="2"/>
      <c r="AT3" s="2"/>
      <c r="AU3" s="2"/>
      <c r="AV3" s="109" t="s">
        <v>331</v>
      </c>
      <c r="AW3" s="110" t="s">
        <v>331</v>
      </c>
      <c r="AX3" s="110" t="s">
        <v>331</v>
      </c>
      <c r="AY3" s="110" t="s">
        <v>331</v>
      </c>
      <c r="AZ3" s="110" t="s">
        <v>331</v>
      </c>
      <c r="BA3" s="110" t="s">
        <v>331</v>
      </c>
      <c r="BB3" s="111" t="s">
        <v>331</v>
      </c>
      <c r="BC3" s="288" t="s">
        <v>331</v>
      </c>
      <c r="BD3" s="110" t="s">
        <v>331</v>
      </c>
      <c r="BE3" s="110" t="s">
        <v>331</v>
      </c>
      <c r="BF3" s="110" t="s">
        <v>331</v>
      </c>
      <c r="BG3" s="110" t="s">
        <v>331</v>
      </c>
      <c r="BH3" s="110" t="s">
        <v>331</v>
      </c>
      <c r="BI3" s="282" t="s">
        <v>331</v>
      </c>
      <c r="BJ3" s="109" t="s">
        <v>331</v>
      </c>
      <c r="BK3" s="110" t="s">
        <v>331</v>
      </c>
      <c r="BL3" s="110" t="s">
        <v>331</v>
      </c>
      <c r="BM3" s="110" t="s">
        <v>331</v>
      </c>
      <c r="BN3" s="110" t="s">
        <v>331</v>
      </c>
      <c r="BO3" s="110" t="s">
        <v>331</v>
      </c>
      <c r="BP3" s="111" t="s">
        <v>331</v>
      </c>
      <c r="BQ3" s="288" t="s">
        <v>331</v>
      </c>
      <c r="BR3" s="110" t="s">
        <v>331</v>
      </c>
      <c r="BS3" s="110" t="s">
        <v>331</v>
      </c>
      <c r="BT3" s="110" t="s">
        <v>331</v>
      </c>
      <c r="BU3" s="110" t="s">
        <v>331</v>
      </c>
      <c r="BV3" s="110" t="s">
        <v>331</v>
      </c>
      <c r="BW3" s="282" t="s">
        <v>331</v>
      </c>
      <c r="BX3" s="112" t="s">
        <v>331</v>
      </c>
      <c r="BY3" s="113" t="s">
        <v>331</v>
      </c>
      <c r="BZ3" s="113" t="s">
        <v>331</v>
      </c>
      <c r="CA3" s="113" t="s">
        <v>331</v>
      </c>
      <c r="CB3" s="113" t="s">
        <v>331</v>
      </c>
      <c r="CC3" s="113" t="s">
        <v>331</v>
      </c>
      <c r="CD3" s="114" t="s">
        <v>331</v>
      </c>
      <c r="CE3" s="113" t="s">
        <v>331</v>
      </c>
      <c r="CF3" s="113" t="s">
        <v>331</v>
      </c>
      <c r="CG3" s="113" t="s">
        <v>331</v>
      </c>
      <c r="CH3" s="113" t="s">
        <v>331</v>
      </c>
      <c r="CI3" s="113" t="s">
        <v>331</v>
      </c>
      <c r="CJ3" s="113" t="s">
        <v>331</v>
      </c>
      <c r="CK3" s="283" t="s">
        <v>331</v>
      </c>
      <c r="CL3" s="112" t="s">
        <v>331</v>
      </c>
      <c r="CM3" s="113" t="s">
        <v>331</v>
      </c>
      <c r="CN3" s="113" t="s">
        <v>331</v>
      </c>
      <c r="CO3" s="113" t="s">
        <v>331</v>
      </c>
      <c r="CP3" s="113" t="s">
        <v>331</v>
      </c>
      <c r="CQ3" s="113" t="s">
        <v>331</v>
      </c>
      <c r="CR3" s="114" t="s">
        <v>331</v>
      </c>
      <c r="CS3" s="109" t="s">
        <v>0</v>
      </c>
      <c r="CT3" s="110" t="s">
        <v>0</v>
      </c>
      <c r="CU3" s="110" t="s">
        <v>0</v>
      </c>
      <c r="CV3" s="110" t="s">
        <v>0</v>
      </c>
      <c r="CW3" s="110" t="s">
        <v>0</v>
      </c>
      <c r="CX3" s="110" t="s">
        <v>0</v>
      </c>
      <c r="CY3" s="111" t="s">
        <v>0</v>
      </c>
      <c r="CZ3" s="109" t="s">
        <v>0</v>
      </c>
      <c r="DA3" s="110" t="s">
        <v>0</v>
      </c>
      <c r="DB3" s="110" t="s">
        <v>0</v>
      </c>
      <c r="DC3" s="110" t="s">
        <v>0</v>
      </c>
      <c r="DD3" s="110" t="s">
        <v>0</v>
      </c>
      <c r="DE3" s="110" t="s">
        <v>0</v>
      </c>
      <c r="DF3" s="111" t="s">
        <v>0</v>
      </c>
      <c r="DG3" s="288" t="s">
        <v>0</v>
      </c>
      <c r="DH3" s="110" t="s">
        <v>0</v>
      </c>
      <c r="DI3" s="110" t="s">
        <v>0</v>
      </c>
      <c r="DJ3" s="110" t="s">
        <v>0</v>
      </c>
      <c r="DK3" s="110" t="s">
        <v>0</v>
      </c>
      <c r="DL3" s="110" t="s">
        <v>0</v>
      </c>
      <c r="DM3" s="282" t="s">
        <v>0</v>
      </c>
      <c r="DN3" s="109" t="s">
        <v>0</v>
      </c>
      <c r="DO3" s="110" t="s">
        <v>0</v>
      </c>
      <c r="DP3" s="110" t="s">
        <v>0</v>
      </c>
      <c r="DQ3" s="110" t="s">
        <v>0</v>
      </c>
      <c r="DR3" s="110" t="s">
        <v>0</v>
      </c>
      <c r="DS3" s="110" t="s">
        <v>0</v>
      </c>
      <c r="DT3" s="111" t="s">
        <v>0</v>
      </c>
      <c r="DU3" s="115" t="s">
        <v>0</v>
      </c>
      <c r="DV3" s="116" t="s">
        <v>0</v>
      </c>
      <c r="DW3" s="116" t="s">
        <v>0</v>
      </c>
      <c r="DX3" s="116" t="s">
        <v>0</v>
      </c>
      <c r="DY3" s="116" t="s">
        <v>0</v>
      </c>
      <c r="DZ3" s="116" t="s">
        <v>0</v>
      </c>
      <c r="EA3" s="117" t="s">
        <v>0</v>
      </c>
      <c r="EB3" s="115" t="s">
        <v>0</v>
      </c>
      <c r="EC3" s="116" t="s">
        <v>0</v>
      </c>
      <c r="ED3" s="116" t="s">
        <v>0</v>
      </c>
      <c r="EE3" s="116" t="s">
        <v>0</v>
      </c>
      <c r="EF3" s="116" t="s">
        <v>0</v>
      </c>
      <c r="EG3" s="116" t="s">
        <v>0</v>
      </c>
      <c r="EH3" s="117" t="s">
        <v>0</v>
      </c>
      <c r="EI3" s="321" t="s">
        <v>0</v>
      </c>
      <c r="EJ3" s="116" t="s">
        <v>0</v>
      </c>
      <c r="EK3" s="116" t="s">
        <v>0</v>
      </c>
      <c r="EL3" s="116" t="s">
        <v>0</v>
      </c>
      <c r="EM3" s="116" t="s">
        <v>0</v>
      </c>
      <c r="EN3" s="116" t="s">
        <v>0</v>
      </c>
      <c r="EO3" s="117" t="s">
        <v>0</v>
      </c>
      <c r="EP3" s="2"/>
      <c r="EQ3" s="2"/>
      <c r="ER3" s="2"/>
      <c r="ES3" s="2"/>
      <c r="ET3" s="2"/>
      <c r="EU3" s="2"/>
      <c r="EV3" s="2"/>
      <c r="EW3" s="2"/>
      <c r="EX3" s="2"/>
      <c r="EY3" s="2"/>
      <c r="EZ3" s="2"/>
      <c r="FA3" s="2"/>
      <c r="FB3" s="2"/>
      <c r="FC3" s="2"/>
      <c r="FD3" s="2"/>
      <c r="FE3" s="2"/>
      <c r="FF3" s="2"/>
    </row>
    <row r="4" spans="1:162" s="93" customFormat="1"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440"/>
      <c r="AC4" s="440"/>
      <c r="AD4" s="440"/>
      <c r="AE4" s="1376" t="s">
        <v>335</v>
      </c>
      <c r="AF4" s="1377"/>
      <c r="AG4" s="1377"/>
      <c r="AH4" s="1377"/>
      <c r="AI4" s="1377"/>
      <c r="AJ4" s="1377"/>
      <c r="AK4" s="1377"/>
      <c r="AL4" s="1377"/>
      <c r="AM4" s="1377"/>
      <c r="AN4" s="1377"/>
      <c r="AO4" s="1377"/>
      <c r="AP4" s="1377"/>
      <c r="AQ4" s="1377"/>
      <c r="AR4" s="1378"/>
      <c r="AS4" s="687" t="s">
        <v>336</v>
      </c>
      <c r="AT4" s="1376" t="s">
        <v>337</v>
      </c>
      <c r="AU4" s="1377"/>
      <c r="AV4" s="688" t="s">
        <v>128</v>
      </c>
      <c r="AW4" s="476" t="s">
        <v>128</v>
      </c>
      <c r="AX4" s="476" t="s">
        <v>128</v>
      </c>
      <c r="AY4" s="476" t="s">
        <v>128</v>
      </c>
      <c r="AZ4" s="476" t="s">
        <v>128</v>
      </c>
      <c r="BA4" s="476" t="s">
        <v>128</v>
      </c>
      <c r="BB4" s="689" t="s">
        <v>128</v>
      </c>
      <c r="BC4" s="490" t="s">
        <v>129</v>
      </c>
      <c r="BD4" s="476" t="s">
        <v>129</v>
      </c>
      <c r="BE4" s="476" t="s">
        <v>129</v>
      </c>
      <c r="BF4" s="476" t="s">
        <v>129</v>
      </c>
      <c r="BG4" s="476" t="s">
        <v>129</v>
      </c>
      <c r="BH4" s="476" t="s">
        <v>129</v>
      </c>
      <c r="BI4" s="502" t="s">
        <v>129</v>
      </c>
      <c r="BJ4" s="688" t="s">
        <v>130</v>
      </c>
      <c r="BK4" s="476" t="s">
        <v>130</v>
      </c>
      <c r="BL4" s="476" t="s">
        <v>130</v>
      </c>
      <c r="BM4" s="476" t="s">
        <v>130</v>
      </c>
      <c r="BN4" s="476" t="s">
        <v>130</v>
      </c>
      <c r="BO4" s="476" t="s">
        <v>130</v>
      </c>
      <c r="BP4" s="689" t="s">
        <v>130</v>
      </c>
      <c r="BQ4" s="490" t="s">
        <v>338</v>
      </c>
      <c r="BR4" s="476" t="s">
        <v>338</v>
      </c>
      <c r="BS4" s="476" t="s">
        <v>338</v>
      </c>
      <c r="BT4" s="476" t="s">
        <v>338</v>
      </c>
      <c r="BU4" s="476" t="s">
        <v>338</v>
      </c>
      <c r="BV4" s="476" t="s">
        <v>338</v>
      </c>
      <c r="BW4" s="502" t="s">
        <v>338</v>
      </c>
      <c r="BX4" s="690" t="s">
        <v>131</v>
      </c>
      <c r="BY4" s="477" t="s">
        <v>131</v>
      </c>
      <c r="BZ4" s="477" t="s">
        <v>131</v>
      </c>
      <c r="CA4" s="477" t="s">
        <v>131</v>
      </c>
      <c r="CB4" s="477" t="s">
        <v>131</v>
      </c>
      <c r="CC4" s="477" t="s">
        <v>131</v>
      </c>
      <c r="CD4" s="691" t="s">
        <v>131</v>
      </c>
      <c r="CE4" s="477" t="s">
        <v>132</v>
      </c>
      <c r="CF4" s="477" t="s">
        <v>132</v>
      </c>
      <c r="CG4" s="477" t="s">
        <v>132</v>
      </c>
      <c r="CH4" s="477" t="s">
        <v>132</v>
      </c>
      <c r="CI4" s="477" t="s">
        <v>132</v>
      </c>
      <c r="CJ4" s="477" t="s">
        <v>132</v>
      </c>
      <c r="CK4" s="512" t="s">
        <v>132</v>
      </c>
      <c r="CL4" s="690" t="s">
        <v>133</v>
      </c>
      <c r="CM4" s="477" t="s">
        <v>133</v>
      </c>
      <c r="CN4" s="477" t="s">
        <v>133</v>
      </c>
      <c r="CO4" s="477" t="s">
        <v>133</v>
      </c>
      <c r="CP4" s="477" t="s">
        <v>133</v>
      </c>
      <c r="CQ4" s="477" t="s">
        <v>133</v>
      </c>
      <c r="CR4" s="691" t="s">
        <v>133</v>
      </c>
      <c r="CS4" s="688" t="s">
        <v>128</v>
      </c>
      <c r="CT4" s="476" t="s">
        <v>128</v>
      </c>
      <c r="CU4" s="476" t="s">
        <v>128</v>
      </c>
      <c r="CV4" s="476" t="s">
        <v>128</v>
      </c>
      <c r="CW4" s="476" t="s">
        <v>128</v>
      </c>
      <c r="CX4" s="476" t="s">
        <v>128</v>
      </c>
      <c r="CY4" s="689" t="s">
        <v>128</v>
      </c>
      <c r="CZ4" s="688" t="s">
        <v>129</v>
      </c>
      <c r="DA4" s="476" t="s">
        <v>129</v>
      </c>
      <c r="DB4" s="476" t="s">
        <v>129</v>
      </c>
      <c r="DC4" s="476" t="s">
        <v>129</v>
      </c>
      <c r="DD4" s="476" t="s">
        <v>129</v>
      </c>
      <c r="DE4" s="476" t="s">
        <v>129</v>
      </c>
      <c r="DF4" s="689" t="s">
        <v>129</v>
      </c>
      <c r="DG4" s="490" t="s">
        <v>130</v>
      </c>
      <c r="DH4" s="476" t="s">
        <v>130</v>
      </c>
      <c r="DI4" s="476" t="s">
        <v>130</v>
      </c>
      <c r="DJ4" s="476" t="s">
        <v>130</v>
      </c>
      <c r="DK4" s="476" t="s">
        <v>130</v>
      </c>
      <c r="DL4" s="476" t="s">
        <v>130</v>
      </c>
      <c r="DM4" s="502" t="s">
        <v>130</v>
      </c>
      <c r="DN4" s="688" t="s">
        <v>165</v>
      </c>
      <c r="DO4" s="476" t="s">
        <v>165</v>
      </c>
      <c r="DP4" s="476" t="s">
        <v>165</v>
      </c>
      <c r="DQ4" s="476" t="s">
        <v>165</v>
      </c>
      <c r="DR4" s="476" t="s">
        <v>165</v>
      </c>
      <c r="DS4" s="476" t="s">
        <v>165</v>
      </c>
      <c r="DT4" s="689" t="s">
        <v>165</v>
      </c>
      <c r="DU4" s="690" t="s">
        <v>131</v>
      </c>
      <c r="DV4" s="477" t="s">
        <v>131</v>
      </c>
      <c r="DW4" s="477" t="s">
        <v>131</v>
      </c>
      <c r="DX4" s="477" t="s">
        <v>131</v>
      </c>
      <c r="DY4" s="477" t="s">
        <v>131</v>
      </c>
      <c r="DZ4" s="477" t="s">
        <v>131</v>
      </c>
      <c r="EA4" s="691" t="s">
        <v>131</v>
      </c>
      <c r="EB4" s="690" t="s">
        <v>132</v>
      </c>
      <c r="EC4" s="477" t="s">
        <v>132</v>
      </c>
      <c r="ED4" s="477" t="s">
        <v>132</v>
      </c>
      <c r="EE4" s="477" t="s">
        <v>132</v>
      </c>
      <c r="EF4" s="477" t="s">
        <v>132</v>
      </c>
      <c r="EG4" s="477" t="s">
        <v>132</v>
      </c>
      <c r="EH4" s="691" t="s">
        <v>132</v>
      </c>
      <c r="EI4" s="505" t="s">
        <v>133</v>
      </c>
      <c r="EJ4" s="477" t="s">
        <v>133</v>
      </c>
      <c r="EK4" s="477" t="s">
        <v>133</v>
      </c>
      <c r="EL4" s="477" t="s">
        <v>133</v>
      </c>
      <c r="EM4" s="477" t="s">
        <v>133</v>
      </c>
      <c r="EN4" s="477" t="s">
        <v>133</v>
      </c>
      <c r="EO4" s="691" t="s">
        <v>133</v>
      </c>
      <c r="EP4" s="1345" t="s">
        <v>134</v>
      </c>
      <c r="EQ4" s="1342"/>
      <c r="ER4" s="1342"/>
      <c r="ES4" s="1342"/>
      <c r="ET4" s="1342"/>
      <c r="EU4" s="1342"/>
      <c r="EV4" s="1342"/>
      <c r="EW4" s="1342"/>
      <c r="EX4" s="2"/>
      <c r="EY4" s="2"/>
      <c r="EZ4" s="2"/>
      <c r="FA4" s="2"/>
      <c r="FB4" s="2"/>
      <c r="FC4" s="2"/>
      <c r="FD4" s="2"/>
      <c r="FE4" s="2"/>
      <c r="FF4" s="2"/>
    </row>
    <row r="5" spans="1:162" s="93" customFormat="1"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58" t="s">
        <v>358</v>
      </c>
      <c r="X5" s="658" t="s">
        <v>15</v>
      </c>
      <c r="Y5" s="658" t="s">
        <v>16</v>
      </c>
      <c r="Z5" s="658" t="s">
        <v>17</v>
      </c>
      <c r="AA5" s="658" t="s">
        <v>18</v>
      </c>
      <c r="AB5" s="658" t="s">
        <v>19</v>
      </c>
      <c r="AC5" s="658" t="s">
        <v>20</v>
      </c>
      <c r="AD5" s="658" t="s">
        <v>21</v>
      </c>
      <c r="AE5" s="697" t="s">
        <v>359</v>
      </c>
      <c r="AF5" s="697" t="s">
        <v>166</v>
      </c>
      <c r="AG5" s="697" t="s">
        <v>360</v>
      </c>
      <c r="AH5" s="697" t="s">
        <v>361</v>
      </c>
      <c r="AI5" s="697" t="s">
        <v>362</v>
      </c>
      <c r="AJ5" s="697" t="s">
        <v>363</v>
      </c>
      <c r="AK5" s="697" t="s">
        <v>364</v>
      </c>
      <c r="AL5" s="697" t="s">
        <v>365</v>
      </c>
      <c r="AM5" s="698" t="s">
        <v>167</v>
      </c>
      <c r="AN5" s="698" t="s">
        <v>168</v>
      </c>
      <c r="AO5" s="698" t="s">
        <v>169</v>
      </c>
      <c r="AP5" s="697" t="s">
        <v>170</v>
      </c>
      <c r="AQ5" s="697" t="s">
        <v>366</v>
      </c>
      <c r="AR5" s="699" t="s">
        <v>367</v>
      </c>
      <c r="AS5" s="699" t="s">
        <v>368</v>
      </c>
      <c r="AT5" s="699" t="s">
        <v>369</v>
      </c>
      <c r="AU5" s="699" t="s">
        <v>370</v>
      </c>
      <c r="AV5" s="700">
        <v>2024</v>
      </c>
      <c r="AW5" s="486">
        <v>2025</v>
      </c>
      <c r="AX5" s="486">
        <v>2026</v>
      </c>
      <c r="AY5" s="486">
        <v>2027</v>
      </c>
      <c r="AZ5" s="486">
        <v>2028</v>
      </c>
      <c r="BA5" s="486">
        <v>2029</v>
      </c>
      <c r="BB5" s="910">
        <v>2030</v>
      </c>
      <c r="BC5" s="485">
        <v>2024</v>
      </c>
      <c r="BD5" s="486">
        <v>2025</v>
      </c>
      <c r="BE5" s="486">
        <v>2026</v>
      </c>
      <c r="BF5" s="486">
        <v>2027</v>
      </c>
      <c r="BG5" s="486">
        <v>2028</v>
      </c>
      <c r="BH5" s="486">
        <v>2029</v>
      </c>
      <c r="BI5" s="479">
        <v>2030</v>
      </c>
      <c r="BJ5" s="700">
        <v>2024</v>
      </c>
      <c r="BK5" s="486">
        <v>2025</v>
      </c>
      <c r="BL5" s="486">
        <v>2026</v>
      </c>
      <c r="BM5" s="486">
        <v>2027</v>
      </c>
      <c r="BN5" s="486">
        <v>2028</v>
      </c>
      <c r="BO5" s="486">
        <v>2029</v>
      </c>
      <c r="BP5" s="910">
        <v>2030</v>
      </c>
      <c r="BQ5" s="485">
        <v>2024</v>
      </c>
      <c r="BR5" s="486">
        <v>2025</v>
      </c>
      <c r="BS5" s="486">
        <v>2026</v>
      </c>
      <c r="BT5" s="486">
        <v>2027</v>
      </c>
      <c r="BU5" s="486">
        <v>2028</v>
      </c>
      <c r="BV5" s="486">
        <v>2029</v>
      </c>
      <c r="BW5" s="479">
        <v>2030</v>
      </c>
      <c r="BX5" s="1181">
        <v>2024</v>
      </c>
      <c r="BY5" s="480">
        <v>2025</v>
      </c>
      <c r="BZ5" s="480">
        <v>2026</v>
      </c>
      <c r="CA5" s="480">
        <v>2027</v>
      </c>
      <c r="CB5" s="480">
        <v>2028</v>
      </c>
      <c r="CC5" s="480">
        <v>2029</v>
      </c>
      <c r="CD5" s="1182">
        <v>2030</v>
      </c>
      <c r="CE5" s="480">
        <v>2024</v>
      </c>
      <c r="CF5" s="480">
        <v>2025</v>
      </c>
      <c r="CG5" s="480">
        <v>2026</v>
      </c>
      <c r="CH5" s="480">
        <v>2027</v>
      </c>
      <c r="CI5" s="480">
        <v>2028</v>
      </c>
      <c r="CJ5" s="480">
        <v>2029</v>
      </c>
      <c r="CK5" s="1217">
        <v>2030</v>
      </c>
      <c r="CL5" s="1181">
        <v>2024</v>
      </c>
      <c r="CM5" s="480">
        <v>2025</v>
      </c>
      <c r="CN5" s="480">
        <v>2026</v>
      </c>
      <c r="CO5" s="480">
        <v>2027</v>
      </c>
      <c r="CP5" s="480">
        <v>2028</v>
      </c>
      <c r="CQ5" s="480">
        <v>2029</v>
      </c>
      <c r="CR5" s="1182">
        <v>2030</v>
      </c>
      <c r="CS5" s="700">
        <v>2024</v>
      </c>
      <c r="CT5" s="486">
        <v>2025</v>
      </c>
      <c r="CU5" s="486">
        <v>2026</v>
      </c>
      <c r="CV5" s="486">
        <v>2027</v>
      </c>
      <c r="CW5" s="486">
        <v>2028</v>
      </c>
      <c r="CX5" s="486">
        <v>2029</v>
      </c>
      <c r="CY5" s="910">
        <v>2030</v>
      </c>
      <c r="CZ5" s="700">
        <v>2024</v>
      </c>
      <c r="DA5" s="486">
        <v>2025</v>
      </c>
      <c r="DB5" s="486">
        <v>2026</v>
      </c>
      <c r="DC5" s="486">
        <v>2027</v>
      </c>
      <c r="DD5" s="486">
        <v>2028</v>
      </c>
      <c r="DE5" s="486">
        <v>2029</v>
      </c>
      <c r="DF5" s="910">
        <v>2030</v>
      </c>
      <c r="DG5" s="485">
        <v>2024</v>
      </c>
      <c r="DH5" s="486">
        <v>2025</v>
      </c>
      <c r="DI5" s="486">
        <v>2026</v>
      </c>
      <c r="DJ5" s="486">
        <v>2027</v>
      </c>
      <c r="DK5" s="486">
        <v>2028</v>
      </c>
      <c r="DL5" s="486">
        <v>2029</v>
      </c>
      <c r="DM5" s="479">
        <v>2030</v>
      </c>
      <c r="DN5" s="700">
        <v>2024</v>
      </c>
      <c r="DO5" s="486">
        <v>2025</v>
      </c>
      <c r="DP5" s="486">
        <v>2026</v>
      </c>
      <c r="DQ5" s="486">
        <v>2027</v>
      </c>
      <c r="DR5" s="486">
        <v>2028</v>
      </c>
      <c r="DS5" s="486">
        <v>2029</v>
      </c>
      <c r="DT5" s="910">
        <v>2030</v>
      </c>
      <c r="DU5" s="1181">
        <v>2024</v>
      </c>
      <c r="DV5" s="480">
        <v>2025</v>
      </c>
      <c r="DW5" s="480">
        <v>2026</v>
      </c>
      <c r="DX5" s="480">
        <v>2027</v>
      </c>
      <c r="DY5" s="480">
        <v>2028</v>
      </c>
      <c r="DZ5" s="480">
        <v>2029</v>
      </c>
      <c r="EA5" s="1182">
        <v>2030</v>
      </c>
      <c r="EB5" s="1181">
        <v>2024</v>
      </c>
      <c r="EC5" s="480">
        <v>2025</v>
      </c>
      <c r="ED5" s="480">
        <v>2026</v>
      </c>
      <c r="EE5" s="480">
        <v>2027</v>
      </c>
      <c r="EF5" s="480">
        <v>2028</v>
      </c>
      <c r="EG5" s="480">
        <v>2029</v>
      </c>
      <c r="EH5" s="1182">
        <v>2030</v>
      </c>
      <c r="EI5" s="506">
        <v>2024</v>
      </c>
      <c r="EJ5" s="480">
        <v>2025</v>
      </c>
      <c r="EK5" s="480">
        <v>2026</v>
      </c>
      <c r="EL5" s="480">
        <v>2027</v>
      </c>
      <c r="EM5" s="480">
        <v>2028</v>
      </c>
      <c r="EN5" s="480">
        <v>2029</v>
      </c>
      <c r="EO5" s="1182">
        <v>2030</v>
      </c>
      <c r="EP5" s="514" t="s">
        <v>9</v>
      </c>
      <c r="EQ5" s="659" t="s">
        <v>139</v>
      </c>
      <c r="ER5" s="659" t="s">
        <v>140</v>
      </c>
      <c r="ES5" s="659" t="s">
        <v>141</v>
      </c>
      <c r="ET5" s="659" t="s">
        <v>142</v>
      </c>
      <c r="EU5" s="659" t="s">
        <v>12</v>
      </c>
      <c r="EV5" s="659" t="s">
        <v>13</v>
      </c>
      <c r="EW5" s="659" t="s">
        <v>14</v>
      </c>
      <c r="EX5" s="2"/>
      <c r="EY5" s="2"/>
      <c r="EZ5" s="2"/>
      <c r="FA5" s="2"/>
      <c r="FB5" s="2"/>
      <c r="FC5" s="2"/>
      <c r="FD5" s="2"/>
      <c r="FE5" s="2"/>
      <c r="FF5" s="2"/>
    </row>
    <row r="6" spans="1:162" s="10" customFormat="1" ht="14.5">
      <c r="A6" s="662">
        <v>1</v>
      </c>
      <c r="B6" s="703" t="s">
        <v>1904</v>
      </c>
      <c r="C6" s="203" t="s">
        <v>1905</v>
      </c>
      <c r="D6" s="715" t="s">
        <v>1514</v>
      </c>
      <c r="E6" s="703" t="s">
        <v>1515</v>
      </c>
      <c r="F6" s="1134" t="s">
        <v>402</v>
      </c>
      <c r="G6" s="1183">
        <v>0</v>
      </c>
      <c r="H6" s="704">
        <v>0</v>
      </c>
      <c r="I6" s="706">
        <f>G6+H6</f>
        <v>0</v>
      </c>
      <c r="J6" s="704">
        <v>0</v>
      </c>
      <c r="K6" s="704" t="s">
        <v>378</v>
      </c>
      <c r="L6" s="711"/>
      <c r="M6" s="1122">
        <v>0</v>
      </c>
      <c r="N6" s="1122">
        <f>$R$48*2+15</f>
        <v>48.298542114933348</v>
      </c>
      <c r="O6" s="707">
        <v>0</v>
      </c>
      <c r="P6" s="707">
        <v>4</v>
      </c>
      <c r="Q6" s="1190">
        <v>0</v>
      </c>
      <c r="R6" s="1185">
        <v>0.16649271057466675</v>
      </c>
      <c r="S6" s="715">
        <v>0</v>
      </c>
      <c r="T6" s="711"/>
      <c r="U6" s="1124"/>
      <c r="V6" s="781">
        <v>1</v>
      </c>
      <c r="W6" s="781">
        <v>0</v>
      </c>
      <c r="X6" s="781">
        <v>0</v>
      </c>
      <c r="Y6" s="781">
        <v>26000</v>
      </c>
      <c r="Z6" s="781">
        <v>52000</v>
      </c>
      <c r="AA6" s="781">
        <f>Z6*2</f>
        <v>104000</v>
      </c>
      <c r="AB6" s="781">
        <v>185000</v>
      </c>
      <c r="AC6" s="781">
        <v>185000</v>
      </c>
      <c r="AD6" s="781">
        <v>185000</v>
      </c>
      <c r="AE6" s="711" t="s">
        <v>384</v>
      </c>
      <c r="AF6" s="711" t="s">
        <v>375</v>
      </c>
      <c r="AG6" s="1024" t="s">
        <v>377</v>
      </c>
      <c r="AH6" s="711" t="s">
        <v>377</v>
      </c>
      <c r="AI6" s="711" t="s">
        <v>1</v>
      </c>
      <c r="AJ6" s="711" t="s">
        <v>378</v>
      </c>
      <c r="AK6" s="711" t="s">
        <v>378</v>
      </c>
      <c r="AL6" s="711" t="s">
        <v>378</v>
      </c>
      <c r="AM6" s="715" t="s">
        <v>379</v>
      </c>
      <c r="AN6" s="715" t="s">
        <v>380</v>
      </c>
      <c r="AO6" s="715" t="s">
        <v>381</v>
      </c>
      <c r="AP6" s="711">
        <v>1</v>
      </c>
      <c r="AQ6" s="711">
        <v>1</v>
      </c>
      <c r="AR6" s="711" t="s">
        <v>1534</v>
      </c>
      <c r="AS6" s="716">
        <v>1</v>
      </c>
      <c r="AT6" s="716">
        <v>1</v>
      </c>
      <c r="AU6" s="717">
        <v>0</v>
      </c>
      <c r="AV6" s="718">
        <f>I6</f>
        <v>0</v>
      </c>
      <c r="AW6" s="499">
        <f>AV6</f>
        <v>0</v>
      </c>
      <c r="AX6" s="499">
        <f>AW6</f>
        <v>0</v>
      </c>
      <c r="AY6" s="499">
        <f>AV6</f>
        <v>0</v>
      </c>
      <c r="AZ6" s="499">
        <f t="shared" ref="AZ6:BB6" si="17">AW6</f>
        <v>0</v>
      </c>
      <c r="BA6" s="499">
        <f t="shared" si="17"/>
        <v>0</v>
      </c>
      <c r="BB6" s="719">
        <f t="shared" si="17"/>
        <v>0</v>
      </c>
      <c r="BC6" s="497">
        <f>J6</f>
        <v>0</v>
      </c>
      <c r="BD6" s="503">
        <f>BC6</f>
        <v>0</v>
      </c>
      <c r="BE6" s="499">
        <f>BD6</f>
        <v>0</v>
      </c>
      <c r="BF6" s="499">
        <f>BE6</f>
        <v>0</v>
      </c>
      <c r="BG6" s="499">
        <f t="shared" ref="BG6:BI6" si="18">BF6</f>
        <v>0</v>
      </c>
      <c r="BH6" s="499">
        <f t="shared" si="18"/>
        <v>0</v>
      </c>
      <c r="BI6" s="720">
        <f t="shared" si="18"/>
        <v>0</v>
      </c>
      <c r="BJ6" s="721">
        <f>N6+O6</f>
        <v>48.298542114933348</v>
      </c>
      <c r="BK6" s="499">
        <f>BJ6</f>
        <v>48.298542114933348</v>
      </c>
      <c r="BL6" s="499">
        <f t="shared" ref="BL6:BP10" si="19">BK6</f>
        <v>48.298542114933348</v>
      </c>
      <c r="BM6" s="499">
        <f t="shared" si="19"/>
        <v>48.298542114933348</v>
      </c>
      <c r="BN6" s="499">
        <f t="shared" si="19"/>
        <v>48.298542114933348</v>
      </c>
      <c r="BO6" s="499">
        <f t="shared" si="19"/>
        <v>48.298542114933348</v>
      </c>
      <c r="BP6" s="719">
        <f t="shared" si="19"/>
        <v>48.298542114933348</v>
      </c>
      <c r="BQ6" s="497">
        <f t="shared" ref="BQ6:BW10" si="20">$P6</f>
        <v>4</v>
      </c>
      <c r="BR6" s="503">
        <f t="shared" si="20"/>
        <v>4</v>
      </c>
      <c r="BS6" s="503">
        <f t="shared" si="20"/>
        <v>4</v>
      </c>
      <c r="BT6" s="503">
        <f t="shared" si="20"/>
        <v>4</v>
      </c>
      <c r="BU6" s="503">
        <f t="shared" si="20"/>
        <v>4</v>
      </c>
      <c r="BV6" s="503">
        <f t="shared" si="20"/>
        <v>4</v>
      </c>
      <c r="BW6" s="645">
        <f t="shared" si="20"/>
        <v>4</v>
      </c>
      <c r="BX6" s="722">
        <f>Q6*AT6</f>
        <v>0</v>
      </c>
      <c r="BY6" s="511">
        <f>BX6</f>
        <v>0</v>
      </c>
      <c r="BZ6" s="511">
        <f>BY6</f>
        <v>0</v>
      </c>
      <c r="CA6" s="511">
        <f>BZ6</f>
        <v>0</v>
      </c>
      <c r="CB6" s="511">
        <f t="shared" ref="CB6:CD6" si="21">CA6</f>
        <v>0</v>
      </c>
      <c r="CC6" s="511">
        <f t="shared" si="21"/>
        <v>0</v>
      </c>
      <c r="CD6" s="723">
        <f t="shared" si="21"/>
        <v>0</v>
      </c>
      <c r="CE6" s="511">
        <f>R6*AT6</f>
        <v>0.16649271057466675</v>
      </c>
      <c r="CF6" s="511">
        <f>CE6</f>
        <v>0.16649271057466675</v>
      </c>
      <c r="CG6" s="511">
        <f>CF6</f>
        <v>0.16649271057466675</v>
      </c>
      <c r="CH6" s="511">
        <f>CG6</f>
        <v>0.16649271057466675</v>
      </c>
      <c r="CI6" s="511">
        <f t="shared" ref="CI6:CK6" si="22">CH6</f>
        <v>0.16649271057466675</v>
      </c>
      <c r="CJ6" s="511">
        <f t="shared" si="22"/>
        <v>0.16649271057466675</v>
      </c>
      <c r="CK6" s="539">
        <f t="shared" si="22"/>
        <v>0.16649271057466675</v>
      </c>
      <c r="CL6" s="722">
        <f>S6*AU6</f>
        <v>0</v>
      </c>
      <c r="CM6" s="511">
        <f>CL6</f>
        <v>0</v>
      </c>
      <c r="CN6" s="511">
        <f>CM6</f>
        <v>0</v>
      </c>
      <c r="CO6" s="511">
        <f>CN6</f>
        <v>0</v>
      </c>
      <c r="CP6" s="511">
        <f t="shared" ref="CP6:CR6" si="23">CO6</f>
        <v>0</v>
      </c>
      <c r="CQ6" s="511">
        <f t="shared" si="23"/>
        <v>0</v>
      </c>
      <c r="CR6" s="723">
        <f t="shared" si="23"/>
        <v>0</v>
      </c>
      <c r="CS6" s="724">
        <f t="shared" ref="CS6:CY6" si="24">X6*AV6</f>
        <v>0</v>
      </c>
      <c r="CT6" s="508">
        <f t="shared" si="24"/>
        <v>0</v>
      </c>
      <c r="CU6" s="508">
        <f t="shared" si="24"/>
        <v>0</v>
      </c>
      <c r="CV6" s="508">
        <f t="shared" si="24"/>
        <v>0</v>
      </c>
      <c r="CW6" s="508">
        <f t="shared" si="24"/>
        <v>0</v>
      </c>
      <c r="CX6" s="508">
        <f t="shared" si="24"/>
        <v>0</v>
      </c>
      <c r="CY6" s="725">
        <f t="shared" si="24"/>
        <v>0</v>
      </c>
      <c r="CZ6" s="724">
        <f t="shared" ref="CZ6:DF6" si="25">X6*BC6</f>
        <v>0</v>
      </c>
      <c r="DA6" s="508">
        <f t="shared" si="25"/>
        <v>0</v>
      </c>
      <c r="DB6" s="508">
        <f t="shared" si="25"/>
        <v>0</v>
      </c>
      <c r="DC6" s="508">
        <f t="shared" si="25"/>
        <v>0</v>
      </c>
      <c r="DD6" s="508">
        <f t="shared" si="25"/>
        <v>0</v>
      </c>
      <c r="DE6" s="508">
        <f t="shared" si="25"/>
        <v>0</v>
      </c>
      <c r="DF6" s="725">
        <f t="shared" si="25"/>
        <v>0</v>
      </c>
      <c r="DG6" s="509">
        <f t="shared" ref="DG6:DM6" si="26">X6*BJ6</f>
        <v>0</v>
      </c>
      <c r="DH6" s="508">
        <f t="shared" si="26"/>
        <v>1255762.0949882669</v>
      </c>
      <c r="DI6" s="508">
        <f t="shared" si="26"/>
        <v>2511524.1899765339</v>
      </c>
      <c r="DJ6" s="508">
        <f t="shared" si="26"/>
        <v>5023048.3799530677</v>
      </c>
      <c r="DK6" s="508">
        <f t="shared" si="26"/>
        <v>8935230.2912626695</v>
      </c>
      <c r="DL6" s="508">
        <f t="shared" si="26"/>
        <v>8935230.2912626695</v>
      </c>
      <c r="DM6" s="726">
        <f t="shared" si="26"/>
        <v>8935230.2912626695</v>
      </c>
      <c r="DN6" s="724">
        <f t="shared" ref="DN6:DT6" si="27">BQ6*X6</f>
        <v>0</v>
      </c>
      <c r="DO6" s="508">
        <f t="shared" si="27"/>
        <v>104000</v>
      </c>
      <c r="DP6" s="508">
        <f t="shared" si="27"/>
        <v>208000</v>
      </c>
      <c r="DQ6" s="508">
        <f t="shared" si="27"/>
        <v>416000</v>
      </c>
      <c r="DR6" s="508">
        <f t="shared" si="27"/>
        <v>740000</v>
      </c>
      <c r="DS6" s="508">
        <f t="shared" si="27"/>
        <v>740000</v>
      </c>
      <c r="DT6" s="725">
        <f t="shared" si="27"/>
        <v>740000</v>
      </c>
      <c r="DU6" s="722">
        <f t="shared" ref="DU6:EA6" si="28">X6*BX6</f>
        <v>0</v>
      </c>
      <c r="DV6" s="511">
        <f t="shared" si="28"/>
        <v>0</v>
      </c>
      <c r="DW6" s="511">
        <f t="shared" si="28"/>
        <v>0</v>
      </c>
      <c r="DX6" s="511">
        <f t="shared" si="28"/>
        <v>0</v>
      </c>
      <c r="DY6" s="511">
        <f t="shared" si="28"/>
        <v>0</v>
      </c>
      <c r="DZ6" s="511">
        <f t="shared" si="28"/>
        <v>0</v>
      </c>
      <c r="EA6" s="723">
        <f t="shared" si="28"/>
        <v>0</v>
      </c>
      <c r="EB6" s="722">
        <f t="shared" ref="EB6:EH6" si="29">X6*CE6</f>
        <v>0</v>
      </c>
      <c r="EC6" s="511">
        <f t="shared" si="29"/>
        <v>4328.8104749413351</v>
      </c>
      <c r="ED6" s="511">
        <f t="shared" si="29"/>
        <v>8657.6209498826702</v>
      </c>
      <c r="EE6" s="511">
        <f t="shared" si="29"/>
        <v>17315.24189976534</v>
      </c>
      <c r="EF6" s="511">
        <f t="shared" si="29"/>
        <v>30801.15145631335</v>
      </c>
      <c r="EG6" s="511">
        <f t="shared" si="29"/>
        <v>30801.15145631335</v>
      </c>
      <c r="EH6" s="723">
        <f t="shared" si="29"/>
        <v>30801.15145631335</v>
      </c>
      <c r="EI6" s="507">
        <f t="shared" ref="EI6:EO6" si="30">X6*CL6</f>
        <v>0</v>
      </c>
      <c r="EJ6" s="511">
        <f t="shared" si="30"/>
        <v>0</v>
      </c>
      <c r="EK6" s="511">
        <f t="shared" si="30"/>
        <v>0</v>
      </c>
      <c r="EL6" s="511">
        <f t="shared" si="30"/>
        <v>0</v>
      </c>
      <c r="EM6" s="511">
        <f t="shared" si="30"/>
        <v>0</v>
      </c>
      <c r="EN6" s="511">
        <f t="shared" si="30"/>
        <v>0</v>
      </c>
      <c r="EO6" s="723">
        <f t="shared" si="30"/>
        <v>0</v>
      </c>
      <c r="EP6" s="977">
        <f>AVERAGE(W6:AD6)</f>
        <v>92125</v>
      </c>
      <c r="EQ6" s="728">
        <f>SUM(CS6:CY6)</f>
        <v>0</v>
      </c>
      <c r="ER6" s="728">
        <f>SUM(CZ6:DF6)</f>
        <v>0</v>
      </c>
      <c r="ES6" s="728">
        <f>SUM(DG6:DM6)</f>
        <v>35596025.538705878</v>
      </c>
      <c r="ET6" s="728">
        <f>SUM(DN6:DT6)</f>
        <v>2948000</v>
      </c>
      <c r="EU6" s="978">
        <f>EA6</f>
        <v>0</v>
      </c>
      <c r="EV6" s="978">
        <f>MAX(EB6:EH6)</f>
        <v>30801.15145631335</v>
      </c>
      <c r="EW6" s="778">
        <f>SUM(EI6:EO6)</f>
        <v>0</v>
      </c>
      <c r="EY6" s="10" t="b">
        <f t="shared" ref="EY6:FF6" si="31">EP6=SUM(EP8,EP10)</f>
        <v>1</v>
      </c>
      <c r="EZ6" s="10" t="b">
        <f t="shared" si="31"/>
        <v>1</v>
      </c>
      <c r="FA6" s="10" t="b">
        <f t="shared" si="31"/>
        <v>1</v>
      </c>
      <c r="FB6" s="10" t="b">
        <f t="shared" si="31"/>
        <v>1</v>
      </c>
      <c r="FC6" s="10" t="b">
        <f t="shared" si="31"/>
        <v>1</v>
      </c>
      <c r="FD6" s="10" t="b">
        <f t="shared" si="31"/>
        <v>1</v>
      </c>
      <c r="FE6" s="10" t="b">
        <f t="shared" si="31"/>
        <v>1</v>
      </c>
      <c r="FF6" s="10" t="b">
        <f t="shared" si="31"/>
        <v>1</v>
      </c>
    </row>
    <row r="7" spans="1:162" s="123" customFormat="1">
      <c r="A7" s="504"/>
      <c r="B7" s="504"/>
      <c r="C7" s="504"/>
      <c r="D7" s="504"/>
      <c r="E7" s="504"/>
      <c r="F7" s="504"/>
      <c r="G7" s="504"/>
      <c r="H7" s="504"/>
      <c r="I7" s="504"/>
      <c r="J7" s="504"/>
      <c r="K7" s="504"/>
      <c r="L7" s="504"/>
      <c r="M7" s="504"/>
      <c r="N7" s="504"/>
      <c r="O7" s="504"/>
      <c r="P7" s="504"/>
      <c r="Q7" s="1187"/>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0"/>
      <c r="AV7" s="1188"/>
      <c r="AW7" s="504"/>
      <c r="AX7" s="504"/>
      <c r="AY7" s="504"/>
      <c r="AZ7" s="504"/>
      <c r="BA7" s="504"/>
      <c r="BB7" s="1189"/>
      <c r="BC7" s="498"/>
      <c r="BD7" s="504"/>
      <c r="BE7" s="504"/>
      <c r="BF7" s="504"/>
      <c r="BG7" s="504"/>
      <c r="BH7" s="504"/>
      <c r="BI7" s="500"/>
      <c r="BJ7" s="1218"/>
      <c r="BK7" s="500"/>
      <c r="BL7" s="500"/>
      <c r="BM7" s="500"/>
      <c r="BN7" s="500"/>
      <c r="BO7" s="500"/>
      <c r="BP7" s="1189"/>
      <c r="BQ7" s="498"/>
      <c r="BR7" s="504"/>
      <c r="BS7" s="504"/>
      <c r="BT7" s="504"/>
      <c r="BU7" s="504"/>
      <c r="BV7" s="504"/>
      <c r="BW7" s="500"/>
      <c r="BX7" s="1188"/>
      <c r="BY7" s="504"/>
      <c r="BZ7" s="504"/>
      <c r="CA7" s="504"/>
      <c r="CB7" s="504"/>
      <c r="CC7" s="504"/>
      <c r="CD7" s="1189"/>
      <c r="CE7" s="504"/>
      <c r="CF7" s="504"/>
      <c r="CG7" s="504"/>
      <c r="CH7" s="504"/>
      <c r="CI7" s="504"/>
      <c r="CJ7" s="504"/>
      <c r="CK7" s="500"/>
      <c r="CL7" s="1188"/>
      <c r="CM7" s="504"/>
      <c r="CN7" s="504"/>
      <c r="CO7" s="504"/>
      <c r="CP7" s="504"/>
      <c r="CQ7" s="504"/>
      <c r="CR7" s="1189"/>
      <c r="CS7" s="1188"/>
      <c r="CT7" s="504"/>
      <c r="CU7" s="504"/>
      <c r="CV7" s="504"/>
      <c r="CW7" s="504"/>
      <c r="CX7" s="504"/>
      <c r="CY7" s="1189"/>
      <c r="CZ7" s="1188"/>
      <c r="DA7" s="504"/>
      <c r="DB7" s="504"/>
      <c r="DC7" s="504"/>
      <c r="DD7" s="504"/>
      <c r="DE7" s="504"/>
      <c r="DF7" s="1189"/>
      <c r="DG7" s="498"/>
      <c r="DH7" s="504"/>
      <c r="DI7" s="504"/>
      <c r="DJ7" s="504"/>
      <c r="DK7" s="504"/>
      <c r="DL7" s="504"/>
      <c r="DM7" s="500"/>
      <c r="DN7" s="1188"/>
      <c r="DO7" s="504"/>
      <c r="DP7" s="504"/>
      <c r="DQ7" s="504"/>
      <c r="DR7" s="504"/>
      <c r="DS7" s="504"/>
      <c r="DT7" s="1189"/>
      <c r="DU7" s="1188"/>
      <c r="DV7" s="504"/>
      <c r="DW7" s="504"/>
      <c r="DX7" s="504"/>
      <c r="DY7" s="504"/>
      <c r="DZ7" s="504"/>
      <c r="EA7" s="1189"/>
      <c r="EB7" s="1188"/>
      <c r="EC7" s="504"/>
      <c r="ED7" s="504"/>
      <c r="EE7" s="504"/>
      <c r="EF7" s="504"/>
      <c r="EG7" s="504"/>
      <c r="EH7" s="1189"/>
      <c r="EI7" s="498"/>
      <c r="EJ7" s="504"/>
      <c r="EK7" s="504"/>
      <c r="EL7" s="504"/>
      <c r="EM7" s="504"/>
      <c r="EN7" s="504"/>
      <c r="EO7" s="1189"/>
      <c r="EP7" s="498"/>
      <c r="EQ7" s="504"/>
      <c r="ER7" s="504"/>
      <c r="ES7" s="504"/>
      <c r="ET7" s="504"/>
      <c r="EU7" s="504"/>
      <c r="EV7" s="504"/>
      <c r="EW7" s="504"/>
    </row>
    <row r="8" spans="1:162" s="10" customFormat="1" ht="14.5">
      <c r="A8" s="661" t="s">
        <v>171</v>
      </c>
      <c r="B8" s="703" t="s">
        <v>1906</v>
      </c>
      <c r="C8" s="203" t="s">
        <v>1905</v>
      </c>
      <c r="D8" s="715" t="s">
        <v>1514</v>
      </c>
      <c r="E8" s="703" t="s">
        <v>1515</v>
      </c>
      <c r="F8" s="1134" t="s">
        <v>402</v>
      </c>
      <c r="G8" s="1183">
        <v>0</v>
      </c>
      <c r="H8" s="704">
        <v>0</v>
      </c>
      <c r="I8" s="706">
        <f>G8+H8</f>
        <v>0</v>
      </c>
      <c r="J8" s="704">
        <v>0</v>
      </c>
      <c r="K8" s="704" t="s">
        <v>378</v>
      </c>
      <c r="L8" s="711"/>
      <c r="M8" s="1122">
        <v>0</v>
      </c>
      <c r="N8" s="1122">
        <f>N6</f>
        <v>48.298542114933348</v>
      </c>
      <c r="O8" s="707">
        <v>0</v>
      </c>
      <c r="P8" s="707">
        <v>4</v>
      </c>
      <c r="Q8" s="1190">
        <v>0</v>
      </c>
      <c r="R8" s="1185">
        <f>R6</f>
        <v>0.16649271057466675</v>
      </c>
      <c r="S8" s="715">
        <v>0</v>
      </c>
      <c r="T8" s="711"/>
      <c r="U8" s="1124"/>
      <c r="V8" s="781">
        <v>1</v>
      </c>
      <c r="W8" s="781">
        <f t="shared" ref="W8:AC8" si="32">W6*0.5</f>
        <v>0</v>
      </c>
      <c r="X8" s="781">
        <f t="shared" si="32"/>
        <v>0</v>
      </c>
      <c r="Y8" s="781">
        <f t="shared" ref="Y8:AB8" si="33">Y6*0.5</f>
        <v>13000</v>
      </c>
      <c r="Z8" s="781">
        <f t="shared" si="33"/>
        <v>26000</v>
      </c>
      <c r="AA8" s="781">
        <f t="shared" si="33"/>
        <v>52000</v>
      </c>
      <c r="AB8" s="781">
        <f t="shared" si="33"/>
        <v>92500</v>
      </c>
      <c r="AC8" s="781">
        <f t="shared" si="32"/>
        <v>92500</v>
      </c>
      <c r="AD8" s="781">
        <f t="shared" ref="AD8" si="34">AD6*0.5</f>
        <v>92500</v>
      </c>
      <c r="AE8" s="711" t="s">
        <v>384</v>
      </c>
      <c r="AF8" s="711" t="s">
        <v>375</v>
      </c>
      <c r="AG8" s="1024" t="s">
        <v>377</v>
      </c>
      <c r="AH8" s="711" t="s">
        <v>377</v>
      </c>
      <c r="AI8" s="711" t="s">
        <v>1</v>
      </c>
      <c r="AJ8" s="711" t="s">
        <v>378</v>
      </c>
      <c r="AK8" s="711" t="s">
        <v>378</v>
      </c>
      <c r="AL8" s="711" t="s">
        <v>378</v>
      </c>
      <c r="AM8" s="715" t="s">
        <v>379</v>
      </c>
      <c r="AN8" s="715" t="s">
        <v>380</v>
      </c>
      <c r="AO8" s="715" t="s">
        <v>385</v>
      </c>
      <c r="AP8" s="711">
        <v>1</v>
      </c>
      <c r="AQ8" s="711">
        <v>1</v>
      </c>
      <c r="AR8" s="711" t="s">
        <v>1534</v>
      </c>
      <c r="AS8" s="716">
        <v>1</v>
      </c>
      <c r="AT8" s="716">
        <v>1</v>
      </c>
      <c r="AU8" s="717">
        <v>0</v>
      </c>
      <c r="AV8" s="718">
        <f>I8</f>
        <v>0</v>
      </c>
      <c r="AW8" s="499">
        <f>AV8</f>
        <v>0</v>
      </c>
      <c r="AX8" s="499">
        <f>AW8</f>
        <v>0</v>
      </c>
      <c r="AY8" s="499">
        <f>AV8</f>
        <v>0</v>
      </c>
      <c r="AZ8" s="499">
        <f t="shared" ref="AZ8:BB8" si="35">AW8</f>
        <v>0</v>
      </c>
      <c r="BA8" s="499">
        <f t="shared" si="35"/>
        <v>0</v>
      </c>
      <c r="BB8" s="719">
        <f t="shared" si="35"/>
        <v>0</v>
      </c>
      <c r="BC8" s="497">
        <f>J8</f>
        <v>0</v>
      </c>
      <c r="BD8" s="499">
        <f>BC8</f>
        <v>0</v>
      </c>
      <c r="BE8" s="499">
        <f>BD8</f>
        <v>0</v>
      </c>
      <c r="BF8" s="499">
        <f>BE8</f>
        <v>0</v>
      </c>
      <c r="BG8" s="499">
        <f t="shared" ref="BG8:BI8" si="36">BF8</f>
        <v>0</v>
      </c>
      <c r="BH8" s="499">
        <f t="shared" si="36"/>
        <v>0</v>
      </c>
      <c r="BI8" s="720">
        <f t="shared" si="36"/>
        <v>0</v>
      </c>
      <c r="BJ8" s="721">
        <f>N8+O8</f>
        <v>48.298542114933348</v>
      </c>
      <c r="BK8" s="499">
        <f>BJ8</f>
        <v>48.298542114933348</v>
      </c>
      <c r="BL8" s="499">
        <f t="shared" si="19"/>
        <v>48.298542114933348</v>
      </c>
      <c r="BM8" s="499">
        <f t="shared" si="19"/>
        <v>48.298542114933348</v>
      </c>
      <c r="BN8" s="499">
        <f t="shared" si="19"/>
        <v>48.298542114933348</v>
      </c>
      <c r="BO8" s="499">
        <f t="shared" si="19"/>
        <v>48.298542114933348</v>
      </c>
      <c r="BP8" s="719">
        <f t="shared" si="19"/>
        <v>48.298542114933348</v>
      </c>
      <c r="BQ8" s="497">
        <f t="shared" si="20"/>
        <v>4</v>
      </c>
      <c r="BR8" s="503">
        <f t="shared" si="20"/>
        <v>4</v>
      </c>
      <c r="BS8" s="503">
        <f t="shared" si="20"/>
        <v>4</v>
      </c>
      <c r="BT8" s="503">
        <f t="shared" si="20"/>
        <v>4</v>
      </c>
      <c r="BU8" s="503">
        <f t="shared" si="20"/>
        <v>4</v>
      </c>
      <c r="BV8" s="503">
        <f t="shared" si="20"/>
        <v>4</v>
      </c>
      <c r="BW8" s="645">
        <f t="shared" si="20"/>
        <v>4</v>
      </c>
      <c r="BX8" s="722">
        <f>Q8*AT8</f>
        <v>0</v>
      </c>
      <c r="BY8" s="511">
        <f>BX8</f>
        <v>0</v>
      </c>
      <c r="BZ8" s="511">
        <f>BY8</f>
        <v>0</v>
      </c>
      <c r="CA8" s="511">
        <f>BZ8</f>
        <v>0</v>
      </c>
      <c r="CB8" s="511">
        <f t="shared" ref="CB8:CD8" si="37">CA8</f>
        <v>0</v>
      </c>
      <c r="CC8" s="511">
        <f t="shared" si="37"/>
        <v>0</v>
      </c>
      <c r="CD8" s="723">
        <f t="shared" si="37"/>
        <v>0</v>
      </c>
      <c r="CE8" s="511">
        <f>R8*AT8</f>
        <v>0.16649271057466675</v>
      </c>
      <c r="CF8" s="511">
        <f>CE8</f>
        <v>0.16649271057466675</v>
      </c>
      <c r="CG8" s="511">
        <f>CF8</f>
        <v>0.16649271057466675</v>
      </c>
      <c r="CH8" s="511">
        <f>CG8</f>
        <v>0.16649271057466675</v>
      </c>
      <c r="CI8" s="511">
        <f t="shared" ref="CI8:CK8" si="38">CH8</f>
        <v>0.16649271057466675</v>
      </c>
      <c r="CJ8" s="511">
        <f t="shared" si="38"/>
        <v>0.16649271057466675</v>
      </c>
      <c r="CK8" s="539">
        <f t="shared" si="38"/>
        <v>0.16649271057466675</v>
      </c>
      <c r="CL8" s="722">
        <f>S8*AU8</f>
        <v>0</v>
      </c>
      <c r="CM8" s="511">
        <f>CL8</f>
        <v>0</v>
      </c>
      <c r="CN8" s="511">
        <f>CM8</f>
        <v>0</v>
      </c>
      <c r="CO8" s="511">
        <f>CN8</f>
        <v>0</v>
      </c>
      <c r="CP8" s="511">
        <f t="shared" ref="CP8:CR8" si="39">CO8</f>
        <v>0</v>
      </c>
      <c r="CQ8" s="511">
        <f t="shared" si="39"/>
        <v>0</v>
      </c>
      <c r="CR8" s="723">
        <f t="shared" si="39"/>
        <v>0</v>
      </c>
      <c r="CS8" s="724">
        <f t="shared" ref="CS8:CY8" si="40">X8*AV8</f>
        <v>0</v>
      </c>
      <c r="CT8" s="508">
        <f t="shared" si="40"/>
        <v>0</v>
      </c>
      <c r="CU8" s="508">
        <f t="shared" si="40"/>
        <v>0</v>
      </c>
      <c r="CV8" s="508">
        <f t="shared" si="40"/>
        <v>0</v>
      </c>
      <c r="CW8" s="508">
        <f t="shared" si="40"/>
        <v>0</v>
      </c>
      <c r="CX8" s="508">
        <f t="shared" si="40"/>
        <v>0</v>
      </c>
      <c r="CY8" s="725">
        <f t="shared" si="40"/>
        <v>0</v>
      </c>
      <c r="CZ8" s="724">
        <f t="shared" ref="CZ8:DF8" si="41">X8*BC8</f>
        <v>0</v>
      </c>
      <c r="DA8" s="508">
        <f t="shared" si="41"/>
        <v>0</v>
      </c>
      <c r="DB8" s="508">
        <f t="shared" si="41"/>
        <v>0</v>
      </c>
      <c r="DC8" s="508">
        <f t="shared" si="41"/>
        <v>0</v>
      </c>
      <c r="DD8" s="508">
        <f t="shared" si="41"/>
        <v>0</v>
      </c>
      <c r="DE8" s="508">
        <f t="shared" si="41"/>
        <v>0</v>
      </c>
      <c r="DF8" s="725">
        <f t="shared" si="41"/>
        <v>0</v>
      </c>
      <c r="DG8" s="509">
        <f t="shared" ref="DG8:DM8" si="42">X8*BJ8</f>
        <v>0</v>
      </c>
      <c r="DH8" s="508">
        <f t="shared" si="42"/>
        <v>627881.04749413347</v>
      </c>
      <c r="DI8" s="508">
        <f t="shared" si="42"/>
        <v>1255762.0949882669</v>
      </c>
      <c r="DJ8" s="508">
        <f t="shared" si="42"/>
        <v>2511524.1899765339</v>
      </c>
      <c r="DK8" s="508">
        <f t="shared" si="42"/>
        <v>4467615.1456313347</v>
      </c>
      <c r="DL8" s="508">
        <f t="shared" si="42"/>
        <v>4467615.1456313347</v>
      </c>
      <c r="DM8" s="726">
        <f t="shared" si="42"/>
        <v>4467615.1456313347</v>
      </c>
      <c r="DN8" s="724">
        <f t="shared" ref="DN8:DT8" si="43">BQ8*X8</f>
        <v>0</v>
      </c>
      <c r="DO8" s="508">
        <f t="shared" si="43"/>
        <v>52000</v>
      </c>
      <c r="DP8" s="508">
        <f t="shared" si="43"/>
        <v>104000</v>
      </c>
      <c r="DQ8" s="508">
        <f t="shared" si="43"/>
        <v>208000</v>
      </c>
      <c r="DR8" s="508">
        <f t="shared" si="43"/>
        <v>370000</v>
      </c>
      <c r="DS8" s="508">
        <f t="shared" si="43"/>
        <v>370000</v>
      </c>
      <c r="DT8" s="725">
        <f t="shared" si="43"/>
        <v>370000</v>
      </c>
      <c r="DU8" s="722">
        <f t="shared" ref="DU8:EA8" si="44">X8*BX8</f>
        <v>0</v>
      </c>
      <c r="DV8" s="511">
        <f t="shared" si="44"/>
        <v>0</v>
      </c>
      <c r="DW8" s="511">
        <f t="shared" si="44"/>
        <v>0</v>
      </c>
      <c r="DX8" s="511">
        <f t="shared" si="44"/>
        <v>0</v>
      </c>
      <c r="DY8" s="511">
        <f t="shared" si="44"/>
        <v>0</v>
      </c>
      <c r="DZ8" s="511">
        <f t="shared" si="44"/>
        <v>0</v>
      </c>
      <c r="EA8" s="723">
        <f t="shared" si="44"/>
        <v>0</v>
      </c>
      <c r="EB8" s="722">
        <f t="shared" ref="EB8:EH8" si="45">X8*CE8</f>
        <v>0</v>
      </c>
      <c r="EC8" s="511">
        <f t="shared" si="45"/>
        <v>2164.4052374706675</v>
      </c>
      <c r="ED8" s="511">
        <f t="shared" si="45"/>
        <v>4328.8104749413351</v>
      </c>
      <c r="EE8" s="511">
        <f t="shared" si="45"/>
        <v>8657.6209498826702</v>
      </c>
      <c r="EF8" s="511">
        <f t="shared" si="45"/>
        <v>15400.575728156675</v>
      </c>
      <c r="EG8" s="511">
        <f t="shared" si="45"/>
        <v>15400.575728156675</v>
      </c>
      <c r="EH8" s="723">
        <f t="shared" si="45"/>
        <v>15400.575728156675</v>
      </c>
      <c r="EI8" s="507">
        <f t="shared" ref="EI8:EO8" si="46">X8*CL8</f>
        <v>0</v>
      </c>
      <c r="EJ8" s="511">
        <f t="shared" si="46"/>
        <v>0</v>
      </c>
      <c r="EK8" s="511">
        <f t="shared" si="46"/>
        <v>0</v>
      </c>
      <c r="EL8" s="511">
        <f t="shared" si="46"/>
        <v>0</v>
      </c>
      <c r="EM8" s="511">
        <f t="shared" si="46"/>
        <v>0</v>
      </c>
      <c r="EN8" s="511">
        <f t="shared" si="46"/>
        <v>0</v>
      </c>
      <c r="EO8" s="723">
        <f t="shared" si="46"/>
        <v>0</v>
      </c>
      <c r="EP8" s="977">
        <f>AVERAGE(W8:AD8)</f>
        <v>46062.5</v>
      </c>
      <c r="EQ8" s="728">
        <f>SUM(CS8:CY8)</f>
        <v>0</v>
      </c>
      <c r="ER8" s="728">
        <f>SUM(CZ8:DF8)</f>
        <v>0</v>
      </c>
      <c r="ES8" s="728">
        <f>SUM(DG8:DM8)</f>
        <v>17798012.769352939</v>
      </c>
      <c r="ET8" s="728">
        <f>SUM(DN8:DT8)</f>
        <v>1474000</v>
      </c>
      <c r="EU8" s="978">
        <f>EA8</f>
        <v>0</v>
      </c>
      <c r="EV8" s="978">
        <f>MAX(EB8:EH8)</f>
        <v>15400.575728156675</v>
      </c>
      <c r="EW8" s="778">
        <f>SUM(EI8:EO8)</f>
        <v>0</v>
      </c>
    </row>
    <row r="9" spans="1:162" s="123" customFormat="1">
      <c r="A9" s="504"/>
      <c r="B9" s="504"/>
      <c r="C9" s="504"/>
      <c r="D9" s="504"/>
      <c r="E9" s="504"/>
      <c r="F9" s="504"/>
      <c r="G9" s="504"/>
      <c r="H9" s="504"/>
      <c r="I9" s="504"/>
      <c r="J9" s="504"/>
      <c r="K9" s="504"/>
      <c r="L9" s="504"/>
      <c r="M9" s="504"/>
      <c r="N9" s="504"/>
      <c r="O9" s="504"/>
      <c r="P9" s="504"/>
      <c r="Q9" s="1187"/>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0"/>
      <c r="AV9" s="1188"/>
      <c r="AW9" s="504"/>
      <c r="AX9" s="504"/>
      <c r="AY9" s="504"/>
      <c r="AZ9" s="504"/>
      <c r="BA9" s="504"/>
      <c r="BB9" s="1189"/>
      <c r="BC9" s="498"/>
      <c r="BD9" s="504"/>
      <c r="BE9" s="504"/>
      <c r="BF9" s="504"/>
      <c r="BG9" s="504"/>
      <c r="BH9" s="504"/>
      <c r="BI9" s="500"/>
      <c r="BJ9" s="1218"/>
      <c r="BK9" s="500"/>
      <c r="BL9" s="500"/>
      <c r="BM9" s="500"/>
      <c r="BN9" s="500"/>
      <c r="BO9" s="500"/>
      <c r="BP9" s="1189"/>
      <c r="BQ9" s="498"/>
      <c r="BR9" s="504"/>
      <c r="BS9" s="504"/>
      <c r="BT9" s="504"/>
      <c r="BU9" s="504"/>
      <c r="BV9" s="504"/>
      <c r="BW9" s="500"/>
      <c r="BX9" s="1188"/>
      <c r="BY9" s="504"/>
      <c r="BZ9" s="504"/>
      <c r="CA9" s="504"/>
      <c r="CB9" s="504"/>
      <c r="CC9" s="504"/>
      <c r="CD9" s="1189"/>
      <c r="CE9" s="504"/>
      <c r="CF9" s="504"/>
      <c r="CG9" s="504"/>
      <c r="CH9" s="504"/>
      <c r="CI9" s="504"/>
      <c r="CJ9" s="504"/>
      <c r="CK9" s="500"/>
      <c r="CL9" s="1188"/>
      <c r="CM9" s="504"/>
      <c r="CN9" s="504"/>
      <c r="CO9" s="504"/>
      <c r="CP9" s="504"/>
      <c r="CQ9" s="504"/>
      <c r="CR9" s="1189"/>
      <c r="CS9" s="1188"/>
      <c r="CT9" s="504"/>
      <c r="CU9" s="504"/>
      <c r="CV9" s="504"/>
      <c r="CW9" s="504"/>
      <c r="CX9" s="504"/>
      <c r="CY9" s="1189"/>
      <c r="CZ9" s="1188"/>
      <c r="DA9" s="504"/>
      <c r="DB9" s="504"/>
      <c r="DC9" s="504"/>
      <c r="DD9" s="504"/>
      <c r="DE9" s="504"/>
      <c r="DF9" s="1189"/>
      <c r="DG9" s="498"/>
      <c r="DH9" s="504"/>
      <c r="DI9" s="504"/>
      <c r="DJ9" s="504"/>
      <c r="DK9" s="504"/>
      <c r="DL9" s="504"/>
      <c r="DM9" s="500"/>
      <c r="DN9" s="1188"/>
      <c r="DO9" s="504"/>
      <c r="DP9" s="504"/>
      <c r="DQ9" s="504"/>
      <c r="DR9" s="504"/>
      <c r="DS9" s="504"/>
      <c r="DT9" s="1189"/>
      <c r="DU9" s="1188"/>
      <c r="DV9" s="504"/>
      <c r="DW9" s="504"/>
      <c r="DX9" s="504"/>
      <c r="DY9" s="504"/>
      <c r="DZ9" s="504"/>
      <c r="EA9" s="1189"/>
      <c r="EB9" s="1188"/>
      <c r="EC9" s="504"/>
      <c r="ED9" s="504"/>
      <c r="EE9" s="504"/>
      <c r="EF9" s="504"/>
      <c r="EG9" s="504"/>
      <c r="EH9" s="1189"/>
      <c r="EI9" s="498"/>
      <c r="EJ9" s="504"/>
      <c r="EK9" s="504"/>
      <c r="EL9" s="504"/>
      <c r="EM9" s="504"/>
      <c r="EN9" s="504"/>
      <c r="EO9" s="1189"/>
      <c r="EP9" s="498"/>
      <c r="EQ9" s="504"/>
      <c r="ER9" s="504"/>
      <c r="ES9" s="504"/>
      <c r="ET9" s="504"/>
      <c r="EU9" s="504"/>
      <c r="EV9" s="504"/>
      <c r="EW9" s="504"/>
    </row>
    <row r="10" spans="1:162" s="10" customFormat="1" ht="14.5">
      <c r="A10" s="661" t="s">
        <v>172</v>
      </c>
      <c r="B10" s="703" t="s">
        <v>1907</v>
      </c>
      <c r="C10" s="203" t="s">
        <v>1905</v>
      </c>
      <c r="D10" s="715" t="s">
        <v>1514</v>
      </c>
      <c r="E10" s="703" t="s">
        <v>1515</v>
      </c>
      <c r="F10" s="1134" t="s">
        <v>402</v>
      </c>
      <c r="G10" s="1183">
        <v>0</v>
      </c>
      <c r="H10" s="704">
        <v>0</v>
      </c>
      <c r="I10" s="706">
        <f>G10+H10</f>
        <v>0</v>
      </c>
      <c r="J10" s="704">
        <v>0</v>
      </c>
      <c r="K10" s="704" t="s">
        <v>378</v>
      </c>
      <c r="L10" s="711"/>
      <c r="M10" s="1122">
        <v>0</v>
      </c>
      <c r="N10" s="1122">
        <f>N6</f>
        <v>48.298542114933348</v>
      </c>
      <c r="O10" s="707">
        <v>0</v>
      </c>
      <c r="P10" s="707">
        <v>4</v>
      </c>
      <c r="Q10" s="1190">
        <v>0</v>
      </c>
      <c r="R10" s="1185">
        <f>R6</f>
        <v>0.16649271057466675</v>
      </c>
      <c r="S10" s="715">
        <v>0</v>
      </c>
      <c r="T10" s="711"/>
      <c r="U10" s="1124"/>
      <c r="V10" s="781">
        <v>1</v>
      </c>
      <c r="W10" s="781">
        <f t="shared" ref="W10:AC10" si="47">W6*0.5</f>
        <v>0</v>
      </c>
      <c r="X10" s="781">
        <f>X6*0.5</f>
        <v>0</v>
      </c>
      <c r="Y10" s="781">
        <f>Y6*0.5</f>
        <v>13000</v>
      </c>
      <c r="Z10" s="781">
        <f t="shared" ref="Z10:AB10" si="48">Z6*0.5</f>
        <v>26000</v>
      </c>
      <c r="AA10" s="781">
        <f t="shared" si="48"/>
        <v>52000</v>
      </c>
      <c r="AB10" s="781">
        <f t="shared" si="48"/>
        <v>92500</v>
      </c>
      <c r="AC10" s="781">
        <f t="shared" si="47"/>
        <v>92500</v>
      </c>
      <c r="AD10" s="781">
        <f t="shared" ref="AD10" si="49">AD6*0.5</f>
        <v>92500</v>
      </c>
      <c r="AE10" s="711" t="s">
        <v>384</v>
      </c>
      <c r="AF10" s="711" t="s">
        <v>375</v>
      </c>
      <c r="AG10" s="1024" t="s">
        <v>377</v>
      </c>
      <c r="AH10" s="711" t="s">
        <v>377</v>
      </c>
      <c r="AI10" s="711" t="s">
        <v>1</v>
      </c>
      <c r="AJ10" s="711" t="s">
        <v>378</v>
      </c>
      <c r="AK10" s="711" t="s">
        <v>378</v>
      </c>
      <c r="AL10" s="711" t="s">
        <v>378</v>
      </c>
      <c r="AM10" s="715" t="s">
        <v>379</v>
      </c>
      <c r="AN10" s="715" t="s">
        <v>380</v>
      </c>
      <c r="AO10" s="715" t="s">
        <v>381</v>
      </c>
      <c r="AP10" s="711">
        <v>1</v>
      </c>
      <c r="AQ10" s="711">
        <v>1</v>
      </c>
      <c r="AR10" s="711" t="s">
        <v>1534</v>
      </c>
      <c r="AS10" s="716">
        <v>1</v>
      </c>
      <c r="AT10" s="716">
        <v>1</v>
      </c>
      <c r="AU10" s="717">
        <v>0</v>
      </c>
      <c r="AV10" s="718">
        <f>I10</f>
        <v>0</v>
      </c>
      <c r="AW10" s="499">
        <f>AV10</f>
        <v>0</v>
      </c>
      <c r="AX10" s="499">
        <f>AW10</f>
        <v>0</v>
      </c>
      <c r="AY10" s="499">
        <f>AV10</f>
        <v>0</v>
      </c>
      <c r="AZ10" s="499">
        <f t="shared" ref="AZ10:BB10" si="50">AW10</f>
        <v>0</v>
      </c>
      <c r="BA10" s="499">
        <f t="shared" si="50"/>
        <v>0</v>
      </c>
      <c r="BB10" s="719">
        <f t="shared" si="50"/>
        <v>0</v>
      </c>
      <c r="BC10" s="497">
        <f>J10</f>
        <v>0</v>
      </c>
      <c r="BD10" s="499">
        <f>BC10</f>
        <v>0</v>
      </c>
      <c r="BE10" s="499">
        <f>BD10</f>
        <v>0</v>
      </c>
      <c r="BF10" s="499">
        <f>BE10</f>
        <v>0</v>
      </c>
      <c r="BG10" s="499">
        <f t="shared" ref="BG10:BI10" si="51">BF10</f>
        <v>0</v>
      </c>
      <c r="BH10" s="499">
        <f t="shared" si="51"/>
        <v>0</v>
      </c>
      <c r="BI10" s="720">
        <f t="shared" si="51"/>
        <v>0</v>
      </c>
      <c r="BJ10" s="721">
        <f>N10+O10</f>
        <v>48.298542114933348</v>
      </c>
      <c r="BK10" s="499">
        <f>BJ10</f>
        <v>48.298542114933348</v>
      </c>
      <c r="BL10" s="499">
        <f t="shared" si="19"/>
        <v>48.298542114933348</v>
      </c>
      <c r="BM10" s="499">
        <f t="shared" si="19"/>
        <v>48.298542114933348</v>
      </c>
      <c r="BN10" s="499">
        <f t="shared" si="19"/>
        <v>48.298542114933348</v>
      </c>
      <c r="BO10" s="499">
        <f t="shared" si="19"/>
        <v>48.298542114933348</v>
      </c>
      <c r="BP10" s="719">
        <f t="shared" si="19"/>
        <v>48.298542114933348</v>
      </c>
      <c r="BQ10" s="497">
        <f t="shared" si="20"/>
        <v>4</v>
      </c>
      <c r="BR10" s="503">
        <f t="shared" si="20"/>
        <v>4</v>
      </c>
      <c r="BS10" s="503">
        <f t="shared" si="20"/>
        <v>4</v>
      </c>
      <c r="BT10" s="503">
        <f t="shared" si="20"/>
        <v>4</v>
      </c>
      <c r="BU10" s="503">
        <f t="shared" si="20"/>
        <v>4</v>
      </c>
      <c r="BV10" s="503">
        <f t="shared" si="20"/>
        <v>4</v>
      </c>
      <c r="BW10" s="645">
        <f t="shared" si="20"/>
        <v>4</v>
      </c>
      <c r="BX10" s="722">
        <f>Q10*AT10</f>
        <v>0</v>
      </c>
      <c r="BY10" s="511">
        <f>BX10</f>
        <v>0</v>
      </c>
      <c r="BZ10" s="511">
        <f>BY10</f>
        <v>0</v>
      </c>
      <c r="CA10" s="511">
        <f>BZ10</f>
        <v>0</v>
      </c>
      <c r="CB10" s="511">
        <f t="shared" ref="CB10:CD10" si="52">CA10</f>
        <v>0</v>
      </c>
      <c r="CC10" s="511">
        <f t="shared" si="52"/>
        <v>0</v>
      </c>
      <c r="CD10" s="723">
        <f t="shared" si="52"/>
        <v>0</v>
      </c>
      <c r="CE10" s="511">
        <f>R10*AT10</f>
        <v>0.16649271057466675</v>
      </c>
      <c r="CF10" s="511">
        <f>CE10</f>
        <v>0.16649271057466675</v>
      </c>
      <c r="CG10" s="511">
        <f>CF10</f>
        <v>0.16649271057466675</v>
      </c>
      <c r="CH10" s="511">
        <f>CG10</f>
        <v>0.16649271057466675</v>
      </c>
      <c r="CI10" s="511">
        <f t="shared" ref="CI10:CK10" si="53">CH10</f>
        <v>0.16649271057466675</v>
      </c>
      <c r="CJ10" s="511">
        <f t="shared" si="53"/>
        <v>0.16649271057466675</v>
      </c>
      <c r="CK10" s="539">
        <f t="shared" si="53"/>
        <v>0.16649271057466675</v>
      </c>
      <c r="CL10" s="722">
        <f>S10*AU10</f>
        <v>0</v>
      </c>
      <c r="CM10" s="511">
        <f>CL10</f>
        <v>0</v>
      </c>
      <c r="CN10" s="511">
        <f>CM10</f>
        <v>0</v>
      </c>
      <c r="CO10" s="511">
        <f>CN10</f>
        <v>0</v>
      </c>
      <c r="CP10" s="511">
        <f t="shared" ref="CP10:CR10" si="54">CO10</f>
        <v>0</v>
      </c>
      <c r="CQ10" s="511">
        <f t="shared" si="54"/>
        <v>0</v>
      </c>
      <c r="CR10" s="723">
        <f t="shared" si="54"/>
        <v>0</v>
      </c>
      <c r="CS10" s="724">
        <f t="shared" ref="CS10:CY10" si="55">X10*AV10</f>
        <v>0</v>
      </c>
      <c r="CT10" s="508">
        <f t="shared" si="55"/>
        <v>0</v>
      </c>
      <c r="CU10" s="508">
        <f t="shared" si="55"/>
        <v>0</v>
      </c>
      <c r="CV10" s="508">
        <f t="shared" si="55"/>
        <v>0</v>
      </c>
      <c r="CW10" s="508">
        <f t="shared" si="55"/>
        <v>0</v>
      </c>
      <c r="CX10" s="508">
        <f t="shared" si="55"/>
        <v>0</v>
      </c>
      <c r="CY10" s="725">
        <f t="shared" si="55"/>
        <v>0</v>
      </c>
      <c r="CZ10" s="724">
        <f t="shared" ref="CZ10:DF10" si="56">X10*BC10</f>
        <v>0</v>
      </c>
      <c r="DA10" s="508">
        <f t="shared" si="56"/>
        <v>0</v>
      </c>
      <c r="DB10" s="508">
        <f t="shared" si="56"/>
        <v>0</v>
      </c>
      <c r="DC10" s="508">
        <f t="shared" si="56"/>
        <v>0</v>
      </c>
      <c r="DD10" s="508">
        <f t="shared" si="56"/>
        <v>0</v>
      </c>
      <c r="DE10" s="508">
        <f t="shared" si="56"/>
        <v>0</v>
      </c>
      <c r="DF10" s="725">
        <f t="shared" si="56"/>
        <v>0</v>
      </c>
      <c r="DG10" s="509">
        <f t="shared" ref="DG10:DM10" si="57">X10*BJ10</f>
        <v>0</v>
      </c>
      <c r="DH10" s="508">
        <f t="shared" si="57"/>
        <v>627881.04749413347</v>
      </c>
      <c r="DI10" s="508">
        <f t="shared" si="57"/>
        <v>1255762.0949882669</v>
      </c>
      <c r="DJ10" s="508">
        <f t="shared" si="57"/>
        <v>2511524.1899765339</v>
      </c>
      <c r="DK10" s="508">
        <f t="shared" si="57"/>
        <v>4467615.1456313347</v>
      </c>
      <c r="DL10" s="508">
        <f t="shared" si="57"/>
        <v>4467615.1456313347</v>
      </c>
      <c r="DM10" s="726">
        <f t="shared" si="57"/>
        <v>4467615.1456313347</v>
      </c>
      <c r="DN10" s="724">
        <f t="shared" ref="DN10:DT10" si="58">BQ10*X10</f>
        <v>0</v>
      </c>
      <c r="DO10" s="508">
        <f t="shared" si="58"/>
        <v>52000</v>
      </c>
      <c r="DP10" s="508">
        <f t="shared" si="58"/>
        <v>104000</v>
      </c>
      <c r="DQ10" s="508">
        <f t="shared" si="58"/>
        <v>208000</v>
      </c>
      <c r="DR10" s="508">
        <f t="shared" si="58"/>
        <v>370000</v>
      </c>
      <c r="DS10" s="508">
        <f t="shared" si="58"/>
        <v>370000</v>
      </c>
      <c r="DT10" s="725">
        <f t="shared" si="58"/>
        <v>370000</v>
      </c>
      <c r="DU10" s="722">
        <f t="shared" ref="DU10:EA10" si="59">X10*BX10</f>
        <v>0</v>
      </c>
      <c r="DV10" s="511">
        <f t="shared" si="59"/>
        <v>0</v>
      </c>
      <c r="DW10" s="511">
        <f t="shared" si="59"/>
        <v>0</v>
      </c>
      <c r="DX10" s="511">
        <f t="shared" si="59"/>
        <v>0</v>
      </c>
      <c r="DY10" s="511">
        <f t="shared" si="59"/>
        <v>0</v>
      </c>
      <c r="DZ10" s="511">
        <f t="shared" si="59"/>
        <v>0</v>
      </c>
      <c r="EA10" s="723">
        <f t="shared" si="59"/>
        <v>0</v>
      </c>
      <c r="EB10" s="722">
        <f t="shared" ref="EB10:EH10" si="60">X10*CE10</f>
        <v>0</v>
      </c>
      <c r="EC10" s="511">
        <f t="shared" si="60"/>
        <v>2164.4052374706675</v>
      </c>
      <c r="ED10" s="511">
        <f t="shared" si="60"/>
        <v>4328.8104749413351</v>
      </c>
      <c r="EE10" s="511">
        <f t="shared" si="60"/>
        <v>8657.6209498826702</v>
      </c>
      <c r="EF10" s="511">
        <f t="shared" si="60"/>
        <v>15400.575728156675</v>
      </c>
      <c r="EG10" s="511">
        <f t="shared" si="60"/>
        <v>15400.575728156675</v>
      </c>
      <c r="EH10" s="723">
        <f t="shared" si="60"/>
        <v>15400.575728156675</v>
      </c>
      <c r="EI10" s="507">
        <f t="shared" ref="EI10:EO10" si="61">X10*CL10</f>
        <v>0</v>
      </c>
      <c r="EJ10" s="511">
        <f t="shared" si="61"/>
        <v>0</v>
      </c>
      <c r="EK10" s="511">
        <f t="shared" si="61"/>
        <v>0</v>
      </c>
      <c r="EL10" s="511">
        <f t="shared" si="61"/>
        <v>0</v>
      </c>
      <c r="EM10" s="511">
        <f t="shared" si="61"/>
        <v>0</v>
      </c>
      <c r="EN10" s="511">
        <f t="shared" si="61"/>
        <v>0</v>
      </c>
      <c r="EO10" s="723">
        <f t="shared" si="61"/>
        <v>0</v>
      </c>
      <c r="EP10" s="977">
        <f>AVERAGE(W10:AD10)</f>
        <v>46062.5</v>
      </c>
      <c r="EQ10" s="728">
        <f>SUM(CS10:CY10)</f>
        <v>0</v>
      </c>
      <c r="ER10" s="728">
        <f>SUM(CZ10:DF10)</f>
        <v>0</v>
      </c>
      <c r="ES10" s="728">
        <f>SUM(DG10:DM10)</f>
        <v>17798012.769352939</v>
      </c>
      <c r="ET10" s="728">
        <f>SUM(DN10:DT10)</f>
        <v>1474000</v>
      </c>
      <c r="EU10" s="978">
        <f>EA10</f>
        <v>0</v>
      </c>
      <c r="EV10" s="978">
        <f>MAX(EB10:EH10)</f>
        <v>15400.575728156675</v>
      </c>
      <c r="EW10" s="778">
        <f>SUM(EI10:EO10)</f>
        <v>0</v>
      </c>
    </row>
    <row r="11" spans="1:162" s="93" customFormat="1" ht="13.5" thickBot="1">
      <c r="A11" s="504"/>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0"/>
      <c r="AV11" s="1219"/>
      <c r="AW11" s="1220"/>
      <c r="AX11" s="1220"/>
      <c r="AY11" s="1220"/>
      <c r="AZ11" s="1220"/>
      <c r="BA11" s="1220"/>
      <c r="BB11" s="540"/>
      <c r="BC11" s="1221"/>
      <c r="BD11" s="1220"/>
      <c r="BE11" s="1220"/>
      <c r="BF11" s="1220"/>
      <c r="BG11" s="1220"/>
      <c r="BH11" s="1220"/>
      <c r="BI11" s="1222"/>
      <c r="BJ11" s="501"/>
      <c r="BK11" s="1222"/>
      <c r="BL11" s="1222"/>
      <c r="BM11" s="1222"/>
      <c r="BN11" s="1222"/>
      <c r="BO11" s="1222"/>
      <c r="BP11" s="540"/>
      <c r="BQ11" s="1221"/>
      <c r="BR11" s="1220"/>
      <c r="BS11" s="1220"/>
      <c r="BT11" s="1220"/>
      <c r="BU11" s="1220"/>
      <c r="BV11" s="1220"/>
      <c r="BW11" s="1222"/>
      <c r="BX11" s="1219"/>
      <c r="BY11" s="1220"/>
      <c r="BZ11" s="1220"/>
      <c r="CA11" s="1220"/>
      <c r="CB11" s="1220"/>
      <c r="CC11" s="1220"/>
      <c r="CD11" s="540"/>
      <c r="CE11" s="1220"/>
      <c r="CF11" s="1220"/>
      <c r="CG11" s="1220"/>
      <c r="CH11" s="1220"/>
      <c r="CI11" s="1220"/>
      <c r="CJ11" s="1220"/>
      <c r="CK11" s="1222"/>
      <c r="CL11" s="1219"/>
      <c r="CM11" s="1220"/>
      <c r="CN11" s="1220"/>
      <c r="CO11" s="1220"/>
      <c r="CP11" s="1220"/>
      <c r="CQ11" s="1220"/>
      <c r="CR11" s="540"/>
      <c r="CS11" s="1219"/>
      <c r="CT11" s="1220"/>
      <c r="CU11" s="1220"/>
      <c r="CV11" s="1220"/>
      <c r="CW11" s="1220"/>
      <c r="CX11" s="1220"/>
      <c r="CY11" s="540"/>
      <c r="CZ11" s="1219"/>
      <c r="DA11" s="1220"/>
      <c r="DB11" s="1220"/>
      <c r="DC11" s="1220"/>
      <c r="DD11" s="1220"/>
      <c r="DE11" s="1220"/>
      <c r="DF11" s="540"/>
      <c r="DG11" s="1221"/>
      <c r="DH11" s="1220"/>
      <c r="DI11" s="1220"/>
      <c r="DJ11" s="1220"/>
      <c r="DK11" s="1220"/>
      <c r="DL11" s="1220"/>
      <c r="DM11" s="1222"/>
      <c r="DN11" s="1219"/>
      <c r="DO11" s="1220"/>
      <c r="DP11" s="1220"/>
      <c r="DQ11" s="1220"/>
      <c r="DR11" s="1220"/>
      <c r="DS11" s="1220"/>
      <c r="DT11" s="540"/>
      <c r="DU11" s="1219"/>
      <c r="DV11" s="1220"/>
      <c r="DW11" s="1220"/>
      <c r="DX11" s="1220"/>
      <c r="DY11" s="1220"/>
      <c r="DZ11" s="1220"/>
      <c r="EA11" s="540"/>
      <c r="EB11" s="1219"/>
      <c r="EC11" s="1220"/>
      <c r="ED11" s="1220"/>
      <c r="EE11" s="1220"/>
      <c r="EF11" s="1220"/>
      <c r="EG11" s="1220"/>
      <c r="EH11" s="540"/>
      <c r="EI11" s="1221"/>
      <c r="EJ11" s="1220"/>
      <c r="EK11" s="1220"/>
      <c r="EL11" s="1220"/>
      <c r="EM11" s="1220"/>
      <c r="EN11" s="1220"/>
      <c r="EO11" s="540"/>
      <c r="EP11" s="498"/>
      <c r="EQ11" s="504"/>
      <c r="ER11" s="504"/>
      <c r="ES11" s="504"/>
      <c r="ET11" s="504"/>
      <c r="EU11" s="504"/>
      <c r="EV11" s="504"/>
      <c r="EW11" s="504"/>
      <c r="EX11" s="2"/>
      <c r="EY11" s="2"/>
      <c r="EZ11" s="2"/>
      <c r="FA11" s="2"/>
      <c r="FB11" s="2"/>
      <c r="FC11" s="2"/>
      <c r="FD11" s="2"/>
      <c r="FE11" s="2"/>
      <c r="FF11" s="2"/>
    </row>
    <row r="12" spans="1:162" s="93" customFormat="1">
      <c r="A12" s="2"/>
      <c r="B12" s="2"/>
      <c r="C12" s="2"/>
      <c r="D12" s="2"/>
      <c r="E12" s="2"/>
      <c r="F12" s="2"/>
      <c r="G12" s="2"/>
      <c r="H12" s="2"/>
      <c r="I12" s="2"/>
      <c r="J12" s="2"/>
      <c r="K12" s="2"/>
      <c r="L12" s="2"/>
      <c r="M12" s="2"/>
      <c r="N12" s="2"/>
      <c r="O12" s="2"/>
      <c r="P12" s="2"/>
      <c r="Q12" s="2"/>
      <c r="R12" s="2"/>
      <c r="S12" s="2"/>
      <c r="T12" s="3"/>
      <c r="U12" s="3"/>
      <c r="V12" s="2"/>
      <c r="W12" s="3"/>
      <c r="X12" s="3"/>
      <c r="Y12" s="3"/>
      <c r="Z12" s="3"/>
      <c r="AA12" s="3"/>
      <c r="AB12" s="3"/>
      <c r="AC12" s="3"/>
      <c r="AD12" s="3"/>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row>
    <row r="13" spans="1:162" s="93" customFormat="1">
      <c r="A13" s="2"/>
      <c r="B13" s="14"/>
      <c r="C13" s="14"/>
      <c r="D13" s="2"/>
      <c r="E13" s="2"/>
      <c r="F13" s="2"/>
      <c r="G13" s="2"/>
      <c r="H13" s="2"/>
      <c r="I13" s="2"/>
      <c r="J13" s="2"/>
      <c r="K13" s="2"/>
      <c r="L13" s="2"/>
      <c r="M13" s="2"/>
      <c r="N13" s="90"/>
      <c r="O13" s="2"/>
      <c r="P13" s="2"/>
      <c r="Q13" s="140"/>
      <c r="R13" s="562"/>
      <c r="S13" s="563"/>
      <c r="T13" s="2"/>
      <c r="U13" s="2"/>
      <c r="V13" s="3"/>
      <c r="W13" s="3"/>
      <c r="X13" s="103"/>
      <c r="Y13" s="3"/>
      <c r="Z13" s="3"/>
      <c r="AA13" s="3"/>
      <c r="AB13" s="3"/>
      <c r="AC13" s="3"/>
      <c r="AD13" s="3"/>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row>
    <row r="14" spans="1:162" s="93" customFormat="1">
      <c r="A14" s="2"/>
      <c r="B14" s="14"/>
      <c r="C14" s="14"/>
      <c r="D14" s="2"/>
      <c r="E14" s="2"/>
      <c r="F14" s="2"/>
      <c r="G14" s="2"/>
      <c r="H14" s="2"/>
      <c r="I14" s="2"/>
      <c r="J14" s="2"/>
      <c r="K14" s="2"/>
      <c r="L14" s="2"/>
      <c r="M14" s="2"/>
      <c r="N14" s="2"/>
      <c r="O14" s="2"/>
      <c r="P14" s="2"/>
      <c r="Q14" s="141"/>
      <c r="R14" s="562"/>
      <c r="S14" s="142"/>
      <c r="T14" s="2"/>
      <c r="U14" s="2"/>
      <c r="V14" s="3"/>
      <c r="W14" s="3"/>
      <c r="X14" s="3"/>
      <c r="Y14" s="3"/>
      <c r="Z14" s="3"/>
      <c r="AA14" s="3"/>
      <c r="AB14" s="3"/>
      <c r="AC14" s="3"/>
      <c r="AD14" s="3"/>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row>
    <row r="15" spans="1:162" s="93" customFormat="1">
      <c r="A15" s="2"/>
      <c r="B15" s="2"/>
      <c r="C15" s="2"/>
      <c r="D15" s="2"/>
      <c r="E15" s="2"/>
      <c r="F15" s="2"/>
      <c r="G15" s="2"/>
      <c r="H15" s="2"/>
      <c r="I15" s="2"/>
      <c r="J15" s="2"/>
      <c r="K15" s="2"/>
      <c r="L15" s="2"/>
      <c r="M15" s="2"/>
      <c r="N15" s="2"/>
      <c r="O15" s="324"/>
      <c r="P15" s="2"/>
      <c r="Q15" s="2"/>
      <c r="R15" s="14"/>
      <c r="S15" s="14"/>
      <c r="T15" s="2"/>
      <c r="U15" s="2"/>
      <c r="V15" s="3"/>
      <c r="W15" s="3"/>
      <c r="X15" s="3"/>
      <c r="Y15" s="3"/>
      <c r="Z15" s="3"/>
      <c r="AA15" s="3"/>
      <c r="AB15" s="3"/>
      <c r="AC15" s="3"/>
      <c r="AD15" s="3"/>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row>
    <row r="16" spans="1:162" s="95" customFormat="1">
      <c r="A16" s="3"/>
      <c r="B16" s="3"/>
      <c r="C16" s="3"/>
      <c r="D16" s="3"/>
      <c r="E16" s="3"/>
      <c r="F16" s="3"/>
      <c r="G16" s="2"/>
      <c r="H16" s="2"/>
      <c r="I16" s="2"/>
      <c r="J16" s="2"/>
      <c r="K16" s="2"/>
      <c r="L16" s="2"/>
      <c r="M16" s="2"/>
      <c r="N16" s="2"/>
      <c r="O16" s="2"/>
      <c r="P16" s="2"/>
      <c r="Q16" s="2"/>
      <c r="R16" s="2"/>
      <c r="S16" s="2"/>
      <c r="T16" s="3"/>
      <c r="U16" s="3"/>
      <c r="V16" s="3"/>
      <c r="W16" s="218"/>
      <c r="X16" s="3"/>
      <c r="Y16" s="3"/>
      <c r="Z16" s="3"/>
      <c r="AA16" s="3"/>
      <c r="AB16" s="3"/>
      <c r="AC16" s="3"/>
      <c r="AD16" s="3"/>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3"/>
      <c r="EY16" s="3"/>
      <c r="EZ16" s="3"/>
      <c r="FA16" s="3"/>
      <c r="FB16" s="3"/>
      <c r="FC16" s="3"/>
      <c r="FD16" s="3"/>
      <c r="FE16" s="3"/>
      <c r="FF16" s="3"/>
    </row>
    <row r="17" spans="1:153" s="95" customFormat="1">
      <c r="A17" s="3"/>
      <c r="B17" s="3"/>
      <c r="C17" s="3"/>
      <c r="D17" s="3"/>
      <c r="E17" s="3"/>
      <c r="F17" s="3"/>
      <c r="G17" s="2"/>
      <c r="H17" s="2"/>
      <c r="I17" s="2"/>
      <c r="J17" s="2"/>
      <c r="K17" s="2"/>
      <c r="L17" s="2"/>
      <c r="M17" s="2"/>
      <c r="N17" s="2"/>
      <c r="O17" s="2"/>
      <c r="P17" s="2"/>
      <c r="Q17" s="2"/>
      <c r="R17" s="14"/>
      <c r="S17" s="14"/>
      <c r="T17" s="3"/>
      <c r="U17" s="3"/>
      <c r="V17" s="3"/>
      <c r="W17" s="218"/>
      <c r="X17" s="3"/>
      <c r="Y17" s="3"/>
      <c r="Z17" s="3"/>
      <c r="AA17" s="3"/>
      <c r="AB17" s="3"/>
      <c r="AC17" s="3"/>
      <c r="AD17" s="3"/>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row>
    <row r="18" spans="1:153" s="93" customFormat="1">
      <c r="A18" s="2"/>
      <c r="B18" s="2"/>
      <c r="C18" s="2"/>
      <c r="D18" s="2"/>
      <c r="E18" s="2"/>
      <c r="F18" s="2"/>
      <c r="G18" s="2"/>
      <c r="H18" s="2"/>
      <c r="I18" s="2"/>
      <c r="J18" s="2"/>
      <c r="K18" s="2"/>
      <c r="L18" s="2"/>
      <c r="M18" s="2"/>
      <c r="N18" s="2"/>
      <c r="O18" s="2"/>
      <c r="P18" s="2"/>
      <c r="Q18" s="2"/>
      <c r="R18" s="14"/>
      <c r="S18" s="14"/>
      <c r="T18" s="2"/>
      <c r="U18" s="2"/>
      <c r="V18" s="3"/>
      <c r="W18" s="218"/>
      <c r="X18" s="3"/>
      <c r="Y18" s="3"/>
      <c r="Z18" s="3"/>
      <c r="AA18" s="3"/>
      <c r="AB18" s="3"/>
      <c r="AC18" s="3"/>
      <c r="AD18" s="3"/>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row>
    <row r="19" spans="1:153" s="93" customFormat="1">
      <c r="A19" s="2"/>
      <c r="B19" s="2"/>
      <c r="C19" s="2"/>
      <c r="D19" s="2"/>
      <c r="E19" s="2"/>
      <c r="F19" s="2"/>
      <c r="G19" s="2"/>
      <c r="H19" s="2"/>
      <c r="I19" s="2"/>
      <c r="J19" s="2"/>
      <c r="K19" s="2"/>
      <c r="L19" s="2"/>
      <c r="M19" s="2"/>
      <c r="N19" s="2"/>
      <c r="O19" s="2"/>
      <c r="P19" s="2"/>
      <c r="Q19" s="2"/>
      <c r="R19" s="2"/>
      <c r="S19" s="14"/>
      <c r="T19" s="3"/>
      <c r="U19" s="3"/>
      <c r="V19" s="3"/>
      <c r="W19" s="219" t="s">
        <v>1908</v>
      </c>
      <c r="X19" s="3"/>
      <c r="Y19" s="3"/>
      <c r="Z19" s="3"/>
      <c r="AA19" s="3"/>
      <c r="AB19" s="3"/>
      <c r="AC19" s="3"/>
      <c r="AD19" s="3"/>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row>
    <row r="20" spans="1:153" s="93" customFormat="1">
      <c r="A20" s="2"/>
      <c r="B20" s="2"/>
      <c r="C20" s="2"/>
      <c r="D20" s="2"/>
      <c r="E20" s="2"/>
      <c r="F20" s="2"/>
      <c r="G20" s="2"/>
      <c r="H20" s="2"/>
      <c r="I20" s="2"/>
      <c r="J20" s="2"/>
      <c r="K20" s="2"/>
      <c r="L20" s="2"/>
      <c r="M20" s="2"/>
      <c r="N20" s="2"/>
      <c r="O20" s="2"/>
      <c r="P20" s="2"/>
      <c r="Q20" s="2"/>
      <c r="R20" s="2"/>
      <c r="S20" s="2"/>
      <c r="T20" s="3"/>
      <c r="U20" s="3"/>
      <c r="V20" s="3"/>
      <c r="W20" s="3"/>
      <c r="X20" s="3"/>
      <c r="Y20" s="3"/>
      <c r="Z20" s="3"/>
      <c r="AA20" s="3"/>
      <c r="AB20" s="3"/>
      <c r="AC20" s="3"/>
      <c r="AD20" s="3"/>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row>
    <row r="21" spans="1:153" s="93" customFormat="1">
      <c r="A21" s="2"/>
      <c r="B21" s="3"/>
      <c r="C21" s="3"/>
      <c r="D21" s="3"/>
      <c r="E21" s="3"/>
      <c r="F21" s="3"/>
      <c r="G21" s="2"/>
      <c r="H21" s="2"/>
      <c r="I21" s="2"/>
      <c r="J21" s="2"/>
      <c r="K21" s="2"/>
      <c r="L21" s="2"/>
      <c r="M21" s="2"/>
      <c r="N21" s="2"/>
      <c r="O21" s="2"/>
      <c r="P21" s="2"/>
      <c r="Q21" s="2"/>
      <c r="R21" s="2"/>
      <c r="S21" s="2"/>
      <c r="T21" s="3"/>
      <c r="U21" s="3"/>
      <c r="V21" s="3"/>
      <c r="W21" s="3"/>
      <c r="X21" s="3"/>
      <c r="Y21" s="3"/>
      <c r="Z21" s="3"/>
      <c r="AA21" s="3"/>
      <c r="AB21" s="3"/>
      <c r="AC21" s="3"/>
      <c r="AD21" s="3"/>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row>
    <row r="22" spans="1:153" s="93" customFormat="1">
      <c r="A22" s="2"/>
      <c r="B22" s="3"/>
      <c r="C22" s="542"/>
      <c r="D22" s="542"/>
      <c r="E22" s="1310"/>
      <c r="F22" s="402"/>
      <c r="G22" s="2"/>
      <c r="H22" s="2"/>
      <c r="I22" s="2"/>
      <c r="J22" s="2"/>
      <c r="K22" s="2"/>
      <c r="L22" s="2"/>
      <c r="M22" s="2"/>
      <c r="N22" s="2"/>
      <c r="O22" s="2"/>
      <c r="P22" s="2"/>
      <c r="Q22" s="2"/>
      <c r="R22" s="2"/>
      <c r="S22" s="2"/>
      <c r="T22" s="3"/>
      <c r="U22" s="3"/>
      <c r="V22" s="3"/>
      <c r="W22" s="3"/>
      <c r="X22" s="3"/>
      <c r="Y22" s="3"/>
      <c r="Z22" s="3"/>
      <c r="AA22" s="3"/>
      <c r="AB22" s="3"/>
      <c r="AC22" s="3"/>
      <c r="AD22" s="3"/>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row>
    <row r="23" spans="1:153" s="93" customFormat="1">
      <c r="A23" s="2"/>
      <c r="B23" s="3"/>
      <c r="C23" s="103"/>
      <c r="D23" s="3"/>
      <c r="E23" s="3"/>
      <c r="F23" s="3"/>
      <c r="G23" s="2"/>
      <c r="H23" s="2"/>
      <c r="I23" s="2"/>
      <c r="J23" s="2"/>
      <c r="K23" s="2"/>
      <c r="L23" s="2"/>
      <c r="M23" s="2"/>
      <c r="N23" s="2"/>
      <c r="O23" s="2"/>
      <c r="P23" s="2"/>
      <c r="Q23" s="2"/>
      <c r="R23" s="2"/>
      <c r="S23" s="2"/>
      <c r="T23" s="3"/>
      <c r="U23" s="3"/>
      <c r="V23" s="3"/>
      <c r="W23" s="3"/>
      <c r="X23" s="3"/>
      <c r="Y23" s="3"/>
      <c r="Z23" s="3"/>
      <c r="AA23" s="3"/>
      <c r="AB23" s="3"/>
      <c r="AC23" s="3"/>
      <c r="AD23" s="3"/>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row>
    <row r="24" spans="1:153" s="93" customFormat="1">
      <c r="A24" s="2"/>
      <c r="B24" s="2"/>
      <c r="C24" s="2"/>
      <c r="D24" s="2"/>
      <c r="E24" s="2"/>
      <c r="F24" s="2"/>
      <c r="G24" s="2"/>
      <c r="H24" s="2"/>
      <c r="I24" s="2"/>
      <c r="J24" s="2"/>
      <c r="K24" s="2"/>
      <c r="L24" s="2"/>
      <c r="M24" s="2"/>
      <c r="N24" s="2"/>
      <c r="O24" s="2"/>
      <c r="P24" s="2"/>
      <c r="Q24" s="2"/>
      <c r="R24" s="2"/>
      <c r="S24" s="2"/>
      <c r="T24" s="3"/>
      <c r="U24" s="3"/>
      <c r="V24" s="3"/>
      <c r="W24" s="3"/>
      <c r="X24" s="3"/>
      <c r="Y24" s="3"/>
      <c r="Z24" s="3"/>
      <c r="AA24" s="3"/>
      <c r="AB24" s="3"/>
      <c r="AC24" s="3"/>
      <c r="AD24" s="3"/>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row>
    <row r="25" spans="1:153" s="93" customFormat="1">
      <c r="A25" s="2"/>
      <c r="B25" s="2"/>
      <c r="C25" s="2"/>
      <c r="D25" s="2"/>
      <c r="E25" s="2"/>
      <c r="F25" s="2"/>
      <c r="G25" s="2"/>
      <c r="H25" s="2"/>
      <c r="I25" s="2"/>
      <c r="J25" s="2"/>
      <c r="K25" s="2"/>
      <c r="L25" s="2"/>
      <c r="M25" s="2"/>
      <c r="N25" s="2"/>
      <c r="O25" s="2"/>
      <c r="P25" s="2"/>
      <c r="Q25" s="2"/>
      <c r="R25" s="2"/>
      <c r="S25" s="2"/>
      <c r="T25" s="3"/>
      <c r="U25" s="3"/>
      <c r="V25" s="3"/>
      <c r="W25" s="3"/>
      <c r="X25" s="3"/>
      <c r="Y25" s="3"/>
      <c r="Z25" s="3"/>
      <c r="AA25" s="3"/>
      <c r="AB25" s="3"/>
      <c r="AC25" s="3"/>
      <c r="AD25" s="3"/>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row>
    <row r="26" spans="1:153" s="93" customFormat="1">
      <c r="A26" s="2"/>
      <c r="B26" s="1311"/>
      <c r="C26" s="1311"/>
      <c r="D26" s="1311"/>
      <c r="E26" s="1311"/>
      <c r="F26" s="1311"/>
      <c r="G26" s="1311"/>
      <c r="H26" s="1311"/>
      <c r="I26" s="2"/>
      <c r="J26" s="2"/>
      <c r="K26" s="2"/>
      <c r="L26" s="2"/>
      <c r="M26" s="2"/>
      <c r="N26" s="2"/>
      <c r="O26" s="2"/>
      <c r="P26" s="2"/>
      <c r="Q26" s="2"/>
      <c r="R26" s="2"/>
      <c r="S26" s="2"/>
      <c r="T26" s="3"/>
      <c r="U26" s="3"/>
      <c r="V26" s="3"/>
      <c r="W26" s="3"/>
      <c r="X26" s="3"/>
      <c r="Y26" s="3"/>
      <c r="Z26" s="3"/>
      <c r="AA26" s="3"/>
      <c r="AB26" s="3"/>
      <c r="AC26" s="3"/>
      <c r="AD26" s="3"/>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row>
    <row r="27" spans="1:153" s="93" customFormat="1">
      <c r="A27" s="2"/>
      <c r="B27" s="91"/>
      <c r="C27" s="1309"/>
      <c r="D27" s="1309"/>
      <c r="E27" s="1309"/>
      <c r="F27" s="131"/>
      <c r="G27" s="268"/>
      <c r="H27" s="1312"/>
      <c r="I27" s="2"/>
      <c r="J27" s="2"/>
      <c r="K27" s="2"/>
      <c r="L27" s="2"/>
      <c r="M27" s="2"/>
      <c r="N27" s="2"/>
      <c r="O27" s="2"/>
      <c r="P27" s="2"/>
      <c r="Q27" s="2"/>
      <c r="R27" s="2"/>
      <c r="S27" s="2"/>
      <c r="T27" s="3"/>
      <c r="U27" s="3"/>
      <c r="V27" s="3"/>
      <c r="W27" s="3"/>
      <c r="X27" s="3"/>
      <c r="Y27" s="3"/>
      <c r="Z27" s="3"/>
      <c r="AA27" s="3"/>
      <c r="AB27" s="3"/>
      <c r="AC27" s="3"/>
      <c r="AD27" s="3"/>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row>
    <row r="28" spans="1:153" s="93" customFormat="1">
      <c r="A28" s="2"/>
      <c r="B28" s="91"/>
      <c r="C28" s="131"/>
      <c r="D28" s="131"/>
      <c r="E28" s="131"/>
      <c r="F28" s="131"/>
      <c r="G28" s="268"/>
      <c r="H28" s="1312"/>
      <c r="I28" s="2"/>
      <c r="J28" s="2"/>
      <c r="K28" s="2"/>
      <c r="L28" s="2"/>
      <c r="M28" s="2"/>
      <c r="N28" s="2"/>
      <c r="O28" s="2"/>
      <c r="P28" s="2"/>
      <c r="Q28" s="2"/>
      <c r="R28" s="2"/>
      <c r="S28" s="2"/>
      <c r="T28" s="3"/>
      <c r="U28" s="3"/>
      <c r="V28" s="3"/>
      <c r="W28" s="3"/>
      <c r="X28" s="3"/>
      <c r="Y28" s="3"/>
      <c r="Z28" s="3"/>
      <c r="AA28" s="3"/>
      <c r="AB28" s="3"/>
      <c r="AC28" s="3"/>
      <c r="AD28" s="3"/>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row>
    <row r="29" spans="1:153" s="93" customFormat="1">
      <c r="A29" s="2"/>
      <c r="B29" s="2"/>
      <c r="C29" s="2"/>
      <c r="D29" s="2"/>
      <c r="E29" s="2"/>
      <c r="F29" s="2"/>
      <c r="G29" s="2"/>
      <c r="H29" s="2"/>
      <c r="I29" s="2"/>
      <c r="J29" s="2"/>
      <c r="K29" s="2"/>
      <c r="L29" s="2"/>
      <c r="M29" s="2"/>
      <c r="N29" s="2"/>
      <c r="O29" s="2"/>
      <c r="P29" s="2"/>
      <c r="Q29" s="2"/>
      <c r="R29" s="2"/>
      <c r="S29" s="2"/>
      <c r="T29" s="3"/>
      <c r="U29" s="3"/>
      <c r="V29" s="3"/>
      <c r="W29" s="3"/>
      <c r="X29" s="3"/>
      <c r="Y29" s="3"/>
      <c r="Z29" s="3"/>
      <c r="AA29" s="3"/>
      <c r="AB29" s="3"/>
      <c r="AC29" s="3"/>
      <c r="AD29" s="3"/>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row>
    <row r="30" spans="1:153" s="93" customFormat="1">
      <c r="A30" s="2"/>
      <c r="B30" s="2"/>
      <c r="C30" s="2"/>
      <c r="D30" s="2"/>
      <c r="E30" s="2"/>
      <c r="F30" s="2"/>
      <c r="G30" s="2"/>
      <c r="H30" s="2"/>
      <c r="I30" s="2"/>
      <c r="J30" s="2"/>
      <c r="K30" s="2"/>
      <c r="L30" s="2"/>
      <c r="M30" s="2"/>
      <c r="N30" s="2"/>
      <c r="O30" s="2"/>
      <c r="P30" s="2"/>
      <c r="Q30" s="2"/>
      <c r="R30" s="2"/>
      <c r="S30" s="2"/>
      <c r="T30" s="3"/>
      <c r="U30" s="3"/>
      <c r="V30" s="3"/>
      <c r="W30" s="3"/>
      <c r="X30" s="3"/>
      <c r="Y30" s="3"/>
      <c r="Z30" s="3"/>
      <c r="AA30" s="3"/>
      <c r="AB30" s="3"/>
      <c r="AC30" s="3"/>
      <c r="AD30" s="3"/>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row>
    <row r="31" spans="1:153" s="93" customFormat="1">
      <c r="A31" s="2"/>
      <c r="B31" s="2"/>
      <c r="C31" s="2"/>
      <c r="D31" s="2"/>
      <c r="E31" s="2"/>
      <c r="F31" s="2"/>
      <c r="G31" s="2"/>
      <c r="H31" s="2"/>
      <c r="I31" s="2"/>
      <c r="J31" s="2"/>
      <c r="K31" s="2"/>
      <c r="L31" s="2"/>
      <c r="M31" s="2"/>
      <c r="N31" s="2"/>
      <c r="O31" s="2"/>
      <c r="P31" s="2"/>
      <c r="Q31" s="2"/>
      <c r="R31" s="2"/>
      <c r="S31" s="2"/>
      <c r="T31" s="3"/>
      <c r="U31" s="3"/>
      <c r="V31" s="3"/>
      <c r="W31" s="3"/>
      <c r="X31" s="3"/>
      <c r="Y31" s="3"/>
      <c r="Z31" s="3"/>
      <c r="AA31" s="3"/>
      <c r="AB31" s="3"/>
      <c r="AC31" s="3"/>
      <c r="AD31" s="3"/>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row>
    <row r="32" spans="1:153" s="93" customFormat="1">
      <c r="A32" s="18" t="s">
        <v>334</v>
      </c>
      <c r="B32" s="3"/>
      <c r="C32" s="2"/>
      <c r="D32" s="2"/>
      <c r="E32" s="2"/>
      <c r="F32" s="2"/>
      <c r="G32" s="2"/>
      <c r="H32" s="2"/>
      <c r="I32" s="2"/>
      <c r="J32" s="2"/>
      <c r="K32" s="2"/>
      <c r="L32" s="2"/>
      <c r="M32" s="2"/>
      <c r="N32" s="2"/>
      <c r="O32" s="2"/>
      <c r="P32" s="2"/>
      <c r="Q32" s="2"/>
      <c r="R32" s="2"/>
      <c r="S32" s="2"/>
      <c r="T32" s="3"/>
      <c r="U32" s="3"/>
      <c r="V32" s="3"/>
      <c r="W32" s="3"/>
      <c r="X32" s="3"/>
      <c r="Y32" s="3"/>
      <c r="Z32" s="3"/>
      <c r="AA32" s="3"/>
      <c r="AB32" s="3"/>
      <c r="AC32" s="3"/>
      <c r="AD32" s="3"/>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row>
    <row r="33" spans="1:30" s="93" customFormat="1">
      <c r="A33" s="20">
        <v>1</v>
      </c>
      <c r="B33" s="19" t="s">
        <v>444</v>
      </c>
      <c r="C33" s="2"/>
      <c r="D33" s="2"/>
      <c r="E33" s="2"/>
      <c r="F33" s="2"/>
      <c r="G33" s="2"/>
      <c r="H33" s="2"/>
      <c r="I33" s="2"/>
      <c r="J33" s="2"/>
      <c r="K33" s="2"/>
      <c r="L33" s="2"/>
      <c r="M33" s="2"/>
      <c r="N33" s="2"/>
      <c r="O33" s="2"/>
      <c r="P33" s="2"/>
      <c r="Q33" s="2"/>
      <c r="R33" s="2"/>
      <c r="S33" s="2"/>
      <c r="T33" s="3"/>
      <c r="U33" s="3"/>
      <c r="V33" s="3"/>
      <c r="W33" s="3"/>
      <c r="X33" s="3"/>
      <c r="Y33" s="3"/>
      <c r="Z33" s="3"/>
      <c r="AA33" s="3"/>
      <c r="AB33" s="3"/>
      <c r="AC33" s="3"/>
      <c r="AD33" s="3"/>
    </row>
    <row r="34" spans="1:30" s="93" customFormat="1">
      <c r="A34" s="20">
        <v>2</v>
      </c>
      <c r="B34" s="18" t="s">
        <v>445</v>
      </c>
      <c r="C34" s="2"/>
      <c r="D34" s="2"/>
      <c r="E34" s="2"/>
      <c r="F34" s="2"/>
      <c r="G34" s="2"/>
      <c r="H34" s="2"/>
      <c r="I34" s="2"/>
      <c r="J34" s="2"/>
      <c r="K34" s="2"/>
      <c r="L34" s="2"/>
      <c r="M34" s="2"/>
      <c r="N34" s="2"/>
      <c r="O34" s="2"/>
      <c r="P34" s="2"/>
      <c r="Q34" s="2"/>
      <c r="R34" s="2"/>
      <c r="S34" s="2"/>
      <c r="T34" s="3"/>
      <c r="U34" s="3"/>
      <c r="V34" s="3"/>
      <c r="W34" s="3"/>
      <c r="X34" s="3"/>
      <c r="Y34" s="3"/>
      <c r="Z34" s="3"/>
      <c r="AA34" s="3"/>
      <c r="AB34" s="3"/>
      <c r="AC34" s="3"/>
      <c r="AD34" s="3"/>
    </row>
    <row r="35" spans="1:30" s="93" customFormat="1">
      <c r="A35" s="20">
        <v>3</v>
      </c>
      <c r="B35" s="19" t="s">
        <v>446</v>
      </c>
      <c r="C35" s="2"/>
      <c r="D35" s="2"/>
      <c r="E35" s="2"/>
      <c r="F35" s="2"/>
      <c r="G35" s="2"/>
      <c r="H35" s="2"/>
      <c r="I35" s="2"/>
      <c r="J35" s="2"/>
      <c r="K35" s="2"/>
      <c r="L35" s="2"/>
      <c r="M35" s="2"/>
      <c r="N35" s="2"/>
      <c r="O35" s="2"/>
      <c r="P35" s="2"/>
      <c r="Q35" s="2"/>
      <c r="R35" s="2"/>
      <c r="S35" s="2"/>
      <c r="T35" s="3"/>
      <c r="U35" s="3"/>
      <c r="V35" s="3"/>
      <c r="W35" s="3"/>
      <c r="X35" s="3"/>
      <c r="Y35" s="3"/>
      <c r="Z35" s="3"/>
      <c r="AA35" s="3"/>
      <c r="AB35" s="3"/>
      <c r="AC35" s="3"/>
      <c r="AD35" s="3"/>
    </row>
    <row r="36" spans="1:30" s="93" customFormat="1">
      <c r="A36" s="2">
        <v>4</v>
      </c>
      <c r="B36" s="2" t="s">
        <v>447</v>
      </c>
      <c r="C36" s="2"/>
      <c r="D36" s="2"/>
      <c r="E36" s="2"/>
      <c r="F36" s="2"/>
      <c r="G36" s="2"/>
      <c r="H36" s="2"/>
      <c r="I36" s="2"/>
      <c r="J36" s="2"/>
      <c r="K36" s="2"/>
      <c r="L36" s="2"/>
      <c r="M36" s="2"/>
      <c r="N36" s="2"/>
      <c r="O36" s="2"/>
      <c r="P36" s="2"/>
      <c r="Q36" s="2"/>
      <c r="R36" s="2"/>
      <c r="S36" s="2"/>
      <c r="T36" s="3"/>
      <c r="U36" s="3"/>
      <c r="V36" s="3"/>
      <c r="W36" s="3"/>
      <c r="X36" s="3"/>
      <c r="Y36" s="3"/>
      <c r="Z36" s="3"/>
      <c r="AA36" s="3"/>
      <c r="AB36" s="3"/>
      <c r="AC36" s="3"/>
      <c r="AD36" s="3"/>
    </row>
    <row r="37" spans="1:30" s="93" customFormat="1">
      <c r="A37" s="2">
        <v>5</v>
      </c>
      <c r="B37" s="2" t="s">
        <v>448</v>
      </c>
      <c r="C37" s="2"/>
      <c r="D37" s="2"/>
      <c r="E37" s="2"/>
      <c r="F37" s="2"/>
      <c r="G37" s="2"/>
      <c r="H37" s="2"/>
      <c r="I37" s="2"/>
      <c r="J37" s="2"/>
      <c r="K37" s="2"/>
      <c r="L37" s="2"/>
      <c r="M37" s="2"/>
      <c r="N37" s="2"/>
      <c r="O37" s="2"/>
      <c r="P37" s="2"/>
      <c r="Q37" s="2"/>
      <c r="R37" s="2"/>
      <c r="S37" s="2"/>
      <c r="T37" s="3"/>
      <c r="U37" s="3"/>
      <c r="V37" s="3"/>
      <c r="W37" s="3"/>
      <c r="X37" s="3"/>
      <c r="Y37" s="3"/>
      <c r="Z37" s="3"/>
      <c r="AA37" s="3"/>
      <c r="AB37" s="3"/>
      <c r="AC37" s="3"/>
      <c r="AD37" s="3"/>
    </row>
    <row r="38" spans="1:30" s="93" customFormat="1">
      <c r="A38" s="2"/>
      <c r="B38" s="2"/>
      <c r="C38" s="2"/>
      <c r="D38" s="2"/>
      <c r="E38" s="2"/>
      <c r="F38" s="2"/>
      <c r="G38" s="2"/>
      <c r="H38" s="2"/>
      <c r="I38" s="2"/>
      <c r="J38" s="2"/>
      <c r="K38" s="2"/>
      <c r="L38" s="2"/>
      <c r="M38" s="2"/>
      <c r="N38" s="2"/>
      <c r="O38" s="2"/>
      <c r="P38" s="2"/>
      <c r="Q38" s="2"/>
      <c r="R38" s="2"/>
      <c r="S38" s="2"/>
      <c r="T38" s="3"/>
      <c r="U38" s="3"/>
      <c r="V38" s="3"/>
      <c r="W38" s="3"/>
      <c r="X38" s="3"/>
      <c r="Y38" s="3"/>
      <c r="Z38" s="3"/>
      <c r="AA38" s="3"/>
      <c r="AB38" s="3"/>
      <c r="AC38" s="3"/>
      <c r="AD38" s="3"/>
    </row>
    <row r="39" spans="1:30" s="93" customFormat="1">
      <c r="A39" s="2"/>
      <c r="B39" s="2"/>
      <c r="C39" s="2"/>
      <c r="D39" s="2"/>
      <c r="E39" s="2"/>
      <c r="F39" s="2"/>
      <c r="G39" s="2"/>
      <c r="H39" s="2"/>
      <c r="I39" s="2"/>
      <c r="J39" s="2"/>
      <c r="K39" s="2"/>
      <c r="L39" s="2"/>
      <c r="M39" s="2"/>
      <c r="N39" s="2"/>
      <c r="O39" s="2"/>
      <c r="P39" s="2"/>
      <c r="Q39" s="2"/>
      <c r="R39" s="2"/>
      <c r="S39" s="2"/>
      <c r="T39" s="3"/>
      <c r="U39" s="3"/>
      <c r="V39" s="3"/>
      <c r="W39" s="3"/>
      <c r="X39" s="3"/>
      <c r="Y39" s="3"/>
      <c r="Z39" s="3"/>
      <c r="AA39" s="3"/>
      <c r="AB39" s="3"/>
      <c r="AC39" s="3"/>
      <c r="AD39" s="3"/>
    </row>
    <row r="40" spans="1:30" s="93" customFormat="1">
      <c r="A40" s="2"/>
      <c r="B40" s="2"/>
      <c r="C40" s="2"/>
      <c r="D40" s="2"/>
      <c r="E40" s="2"/>
      <c r="F40" s="2"/>
      <c r="G40" s="2"/>
      <c r="H40" s="2"/>
      <c r="I40" s="2"/>
      <c r="J40" s="2"/>
      <c r="K40" s="2"/>
      <c r="L40" s="2"/>
      <c r="M40" s="2"/>
      <c r="N40" s="2"/>
      <c r="O40" s="2"/>
      <c r="P40" s="2"/>
      <c r="Q40" s="2"/>
      <c r="R40" s="2"/>
      <c r="S40" s="2"/>
      <c r="T40" s="3"/>
      <c r="U40" s="3"/>
      <c r="V40" s="3"/>
      <c r="W40" s="218" t="s">
        <v>1909</v>
      </c>
      <c r="X40" s="3"/>
      <c r="Y40" s="3"/>
      <c r="Z40" s="3"/>
      <c r="AA40" s="3"/>
      <c r="AB40" s="3"/>
      <c r="AC40" s="3"/>
      <c r="AD40" s="3"/>
    </row>
    <row r="41" spans="1:30" s="93" customFormat="1">
      <c r="A41" s="2"/>
      <c r="B41" s="2"/>
      <c r="C41" s="2"/>
      <c r="D41" s="2"/>
      <c r="E41" s="2"/>
      <c r="F41" s="2"/>
      <c r="G41" s="2"/>
      <c r="H41" s="2"/>
      <c r="I41" s="2"/>
      <c r="J41" s="2"/>
      <c r="K41" s="2"/>
      <c r="L41" s="2"/>
      <c r="M41" s="2"/>
      <c r="N41" s="2"/>
      <c r="O41" s="2"/>
      <c r="P41" s="2"/>
      <c r="Q41" s="2"/>
      <c r="R41" s="2"/>
      <c r="S41" s="2"/>
      <c r="T41" s="3"/>
      <c r="U41" s="3"/>
      <c r="V41" s="3"/>
      <c r="W41" s="3"/>
      <c r="X41" s="3"/>
      <c r="Y41" s="3"/>
      <c r="Z41" s="3"/>
      <c r="AA41" s="3"/>
      <c r="AB41" s="3"/>
      <c r="AC41" s="3"/>
      <c r="AD41" s="3"/>
    </row>
    <row r="42" spans="1:30" s="93" customFormat="1">
      <c r="A42" s="2"/>
      <c r="B42" s="2"/>
      <c r="C42" s="2"/>
      <c r="D42" s="2"/>
      <c r="E42" s="2"/>
      <c r="F42" s="2"/>
      <c r="G42" s="2"/>
      <c r="H42" s="2"/>
      <c r="I42" s="2"/>
      <c r="J42" s="2"/>
      <c r="K42" s="2"/>
      <c r="L42" s="2"/>
      <c r="M42" s="2"/>
      <c r="N42" s="2"/>
      <c r="O42" s="2"/>
      <c r="P42" s="2"/>
      <c r="Q42" s="2"/>
      <c r="R42" s="14" t="s">
        <v>1910</v>
      </c>
      <c r="S42" s="14"/>
      <c r="T42" s="184"/>
      <c r="U42" s="184"/>
      <c r="V42" s="3"/>
      <c r="W42" s="3"/>
      <c r="X42" s="3"/>
      <c r="Y42" s="3"/>
      <c r="Z42" s="3"/>
      <c r="AA42" s="3"/>
      <c r="AB42" s="3"/>
      <c r="AC42" s="3"/>
      <c r="AD42" s="3"/>
    </row>
    <row r="43" spans="1:30" s="93" customFormat="1">
      <c r="A43" s="2"/>
      <c r="B43" s="2"/>
      <c r="C43" s="2"/>
      <c r="D43" s="2"/>
      <c r="E43" s="2"/>
      <c r="F43" s="2"/>
      <c r="G43" s="2"/>
      <c r="H43" s="2"/>
      <c r="I43" s="2"/>
      <c r="J43" s="2"/>
      <c r="K43" s="2"/>
      <c r="L43" s="2"/>
      <c r="M43" s="2"/>
      <c r="N43" s="2"/>
      <c r="O43" s="2"/>
      <c r="P43" s="2"/>
      <c r="Q43" s="2"/>
      <c r="R43" s="14">
        <v>0.20811588821833341</v>
      </c>
      <c r="S43" s="14" t="s">
        <v>1911</v>
      </c>
      <c r="T43" s="92" t="s">
        <v>1912</v>
      </c>
      <c r="U43" s="184"/>
      <c r="V43" s="3"/>
      <c r="W43" s="3"/>
      <c r="X43" s="3"/>
      <c r="Y43" s="3"/>
      <c r="Z43" s="3"/>
      <c r="AA43" s="3"/>
      <c r="AB43" s="3"/>
      <c r="AC43" s="3"/>
      <c r="AD43" s="3"/>
    </row>
    <row r="44" spans="1:30" s="93" customFormat="1">
      <c r="A44" s="2"/>
      <c r="B44" s="2"/>
      <c r="C44" s="2"/>
      <c r="D44" s="2"/>
      <c r="E44" s="2"/>
      <c r="F44" s="2"/>
      <c r="G44" s="2"/>
      <c r="H44" s="2"/>
      <c r="I44" s="2"/>
      <c r="J44" s="2"/>
      <c r="K44" s="2"/>
      <c r="L44" s="2"/>
      <c r="M44" s="2"/>
      <c r="N44" s="2"/>
      <c r="O44" s="2"/>
      <c r="P44" s="2"/>
      <c r="Q44" s="2"/>
      <c r="R44" s="14">
        <v>0.8</v>
      </c>
      <c r="S44" s="564"/>
      <c r="T44" s="92" t="s">
        <v>1913</v>
      </c>
      <c r="U44" s="184"/>
      <c r="V44" s="3"/>
      <c r="W44" s="3"/>
      <c r="X44" s="3"/>
      <c r="Y44" s="3"/>
      <c r="Z44" s="3"/>
      <c r="AA44" s="3"/>
      <c r="AB44" s="3"/>
      <c r="AC44" s="3"/>
      <c r="AD44" s="3"/>
    </row>
    <row r="45" spans="1:30" s="93" customFormat="1">
      <c r="A45" s="2"/>
      <c r="B45" s="2"/>
      <c r="C45" s="2"/>
      <c r="D45" s="2"/>
      <c r="E45" s="2"/>
      <c r="F45" s="2"/>
      <c r="G45" s="2"/>
      <c r="H45" s="2"/>
      <c r="I45" s="2"/>
      <c r="J45" s="2"/>
      <c r="K45" s="2"/>
      <c r="L45" s="2"/>
      <c r="M45" s="2"/>
      <c r="N45" s="2"/>
      <c r="O45" s="2"/>
      <c r="P45" s="2"/>
      <c r="Q45" s="2"/>
      <c r="R45" s="14">
        <f>R43*R44</f>
        <v>0.16649271057466675</v>
      </c>
      <c r="S45" s="14" t="s">
        <v>132</v>
      </c>
      <c r="T45" s="184"/>
      <c r="U45" s="184"/>
      <c r="V45" s="3"/>
      <c r="W45" s="3"/>
      <c r="X45" s="3"/>
      <c r="Y45" s="3"/>
      <c r="Z45" s="3"/>
      <c r="AA45" s="3"/>
      <c r="AB45" s="3"/>
      <c r="AC45" s="3"/>
      <c r="AD45" s="3"/>
    </row>
    <row r="46" spans="1:30" s="93" customFormat="1">
      <c r="A46" s="2"/>
      <c r="B46" s="2"/>
      <c r="C46" s="2"/>
      <c r="D46" s="2"/>
      <c r="E46" s="2"/>
      <c r="F46" s="2"/>
      <c r="G46" s="2"/>
      <c r="H46" s="2"/>
      <c r="I46" s="2"/>
      <c r="J46" s="2"/>
      <c r="K46" s="2"/>
      <c r="L46" s="2"/>
      <c r="M46" s="2"/>
      <c r="N46" s="2"/>
      <c r="O46" s="2"/>
      <c r="P46" s="2"/>
      <c r="Q46" s="2"/>
      <c r="R46" s="14">
        <v>25</v>
      </c>
      <c r="S46" s="14" t="s">
        <v>1914</v>
      </c>
      <c r="T46" s="184"/>
      <c r="U46" s="184"/>
      <c r="V46" s="3"/>
      <c r="W46" s="3"/>
      <c r="X46" s="3"/>
      <c r="Y46" s="3"/>
      <c r="Z46" s="3"/>
      <c r="AA46" s="3"/>
      <c r="AB46" s="3"/>
      <c r="AC46" s="3"/>
      <c r="AD46" s="3"/>
    </row>
    <row r="47" spans="1:30" s="93" customFormat="1">
      <c r="A47" s="2"/>
      <c r="B47" s="2"/>
      <c r="C47" s="2"/>
      <c r="D47" s="2"/>
      <c r="E47" s="2"/>
      <c r="F47" s="2"/>
      <c r="G47" s="2"/>
      <c r="H47" s="2"/>
      <c r="I47" s="2"/>
      <c r="J47" s="2"/>
      <c r="K47" s="2"/>
      <c r="L47" s="2"/>
      <c r="M47" s="2"/>
      <c r="N47" s="2"/>
      <c r="O47" s="2"/>
      <c r="P47" s="2"/>
      <c r="Q47" s="2"/>
      <c r="R47" s="14">
        <v>4</v>
      </c>
      <c r="S47" s="14" t="s">
        <v>1915</v>
      </c>
      <c r="T47" s="184"/>
      <c r="U47" s="3"/>
      <c r="V47" s="3"/>
      <c r="W47" s="3"/>
      <c r="X47" s="3"/>
      <c r="Y47" s="3"/>
      <c r="Z47" s="3"/>
      <c r="AA47" s="3"/>
      <c r="AB47" s="3"/>
      <c r="AC47" s="3"/>
      <c r="AD47" s="3"/>
    </row>
    <row r="48" spans="1:30" s="93" customFormat="1">
      <c r="A48" s="2"/>
      <c r="B48" s="2"/>
      <c r="C48" s="2"/>
      <c r="D48" s="2"/>
      <c r="E48" s="2"/>
      <c r="F48" s="2"/>
      <c r="G48" s="2"/>
      <c r="H48" s="2"/>
      <c r="I48" s="2"/>
      <c r="J48" s="2"/>
      <c r="K48" s="2"/>
      <c r="L48" s="2"/>
      <c r="M48" s="2"/>
      <c r="N48" s="2"/>
      <c r="O48" s="2"/>
      <c r="P48" s="2"/>
      <c r="Q48" s="2"/>
      <c r="R48" s="14">
        <f>R45*R46*R47</f>
        <v>16.649271057466674</v>
      </c>
      <c r="S48" s="14" t="s">
        <v>1479</v>
      </c>
      <c r="T48" s="184"/>
      <c r="U48" s="3"/>
      <c r="V48" s="3"/>
      <c r="W48" s="3"/>
      <c r="X48" s="3"/>
      <c r="Y48" s="3"/>
      <c r="Z48" s="3"/>
      <c r="AA48" s="3"/>
      <c r="AB48" s="3"/>
      <c r="AC48" s="3"/>
      <c r="AD48" s="3"/>
    </row>
    <row r="49" spans="20:30" s="93" customFormat="1">
      <c r="T49" s="3"/>
      <c r="U49" s="3"/>
      <c r="V49" s="3"/>
      <c r="W49" s="3"/>
      <c r="X49" s="3"/>
      <c r="Y49" s="3"/>
      <c r="Z49" s="3"/>
      <c r="AA49" s="3"/>
      <c r="AB49" s="3"/>
      <c r="AC49" s="3"/>
      <c r="AD49" s="3"/>
    </row>
    <row r="50" spans="20:30" s="93" customFormat="1">
      <c r="T50" s="3"/>
      <c r="U50" s="3"/>
      <c r="V50" s="3"/>
      <c r="W50" s="3"/>
      <c r="X50" s="3"/>
      <c r="Y50" s="3"/>
      <c r="Z50" s="3"/>
      <c r="AA50" s="3"/>
      <c r="AB50" s="3"/>
      <c r="AC50" s="3"/>
      <c r="AD50" s="3"/>
    </row>
    <row r="51" spans="20:30" s="93" customFormat="1">
      <c r="T51" s="3"/>
      <c r="U51" s="3"/>
      <c r="V51" s="3"/>
      <c r="W51" s="3"/>
      <c r="X51" s="3"/>
      <c r="Y51" s="3"/>
      <c r="Z51" s="3"/>
      <c r="AA51" s="3"/>
      <c r="AB51" s="3"/>
      <c r="AC51" s="3"/>
      <c r="AD51" s="3"/>
    </row>
    <row r="52" spans="20:30" s="93" customFormat="1">
      <c r="T52" s="3"/>
      <c r="U52" s="3"/>
      <c r="V52" s="3"/>
      <c r="W52" s="3"/>
      <c r="X52" s="3"/>
      <c r="Y52" s="3"/>
      <c r="Z52" s="3"/>
      <c r="AA52" s="3"/>
      <c r="AB52" s="3"/>
      <c r="AC52" s="3"/>
      <c r="AD52" s="3"/>
    </row>
    <row r="53" spans="20:30" s="93" customFormat="1">
      <c r="T53" s="3"/>
      <c r="U53" s="3"/>
      <c r="V53" s="3"/>
      <c r="W53" s="3"/>
      <c r="X53" s="3"/>
      <c r="Y53" s="3"/>
      <c r="Z53" s="3"/>
      <c r="AA53" s="3"/>
      <c r="AB53" s="3"/>
      <c r="AC53" s="3"/>
      <c r="AD53" s="3"/>
    </row>
    <row r="54" spans="20:30" s="93" customFormat="1">
      <c r="T54" s="3"/>
      <c r="U54" s="3"/>
      <c r="V54" s="3"/>
      <c r="W54" s="3"/>
      <c r="X54" s="3"/>
      <c r="Y54" s="3"/>
      <c r="Z54" s="3"/>
      <c r="AA54" s="3"/>
      <c r="AB54" s="3"/>
      <c r="AC54" s="3"/>
      <c r="AD54" s="3"/>
    </row>
    <row r="55" spans="20:30" s="93" customFormat="1">
      <c r="T55" s="3"/>
      <c r="U55" s="3"/>
      <c r="V55" s="3"/>
      <c r="W55" s="3"/>
      <c r="X55" s="3"/>
      <c r="Y55" s="3"/>
      <c r="Z55" s="3"/>
      <c r="AA55" s="3"/>
      <c r="AB55" s="3"/>
      <c r="AC55" s="3"/>
      <c r="AD55" s="3"/>
    </row>
    <row r="56" spans="20:30" s="93" customFormat="1">
      <c r="T56" s="3"/>
      <c r="U56" s="3"/>
      <c r="V56" s="3"/>
      <c r="W56" s="3"/>
      <c r="X56" s="3"/>
      <c r="Y56" s="3"/>
      <c r="Z56" s="3"/>
      <c r="AA56" s="3"/>
      <c r="AB56" s="3"/>
      <c r="AC56" s="3"/>
      <c r="AD56" s="3"/>
    </row>
    <row r="57" spans="20:30" s="93" customFormat="1">
      <c r="T57" s="3"/>
      <c r="U57" s="3"/>
      <c r="V57" s="3"/>
      <c r="W57" s="3"/>
      <c r="X57" s="3"/>
      <c r="Y57" s="3"/>
      <c r="Z57" s="3"/>
      <c r="AA57" s="3"/>
      <c r="AB57" s="3"/>
      <c r="AC57" s="3"/>
      <c r="AD57" s="3"/>
    </row>
    <row r="58" spans="20:30" s="93" customFormat="1">
      <c r="T58" s="3"/>
      <c r="U58" s="3"/>
      <c r="V58" s="3"/>
      <c r="W58" s="3"/>
      <c r="X58" s="3"/>
      <c r="Y58" s="3"/>
      <c r="Z58" s="3"/>
      <c r="AA58" s="3"/>
      <c r="AB58" s="3"/>
      <c r="AC58" s="3"/>
      <c r="AD58" s="3"/>
    </row>
    <row r="59" spans="20:30" s="93" customFormat="1">
      <c r="T59" s="3"/>
      <c r="U59" s="3"/>
      <c r="V59" s="3"/>
      <c r="W59" s="3"/>
      <c r="X59" s="3"/>
      <c r="Y59" s="3"/>
      <c r="Z59" s="3"/>
      <c r="AA59" s="3"/>
      <c r="AB59" s="3"/>
      <c r="AC59" s="3"/>
      <c r="AD59" s="3"/>
    </row>
    <row r="60" spans="20:30" s="93" customFormat="1">
      <c r="T60" s="3"/>
      <c r="U60" s="3"/>
      <c r="V60" s="3"/>
      <c r="W60" s="3"/>
      <c r="X60" s="3"/>
      <c r="Y60" s="3"/>
      <c r="Z60" s="3"/>
      <c r="AA60" s="3"/>
      <c r="AB60" s="3"/>
      <c r="AC60" s="3"/>
      <c r="AD60" s="3"/>
    </row>
    <row r="61" spans="20:30" s="93" customFormat="1">
      <c r="T61" s="3"/>
      <c r="U61" s="3"/>
      <c r="V61" s="3"/>
      <c r="W61" s="3"/>
      <c r="X61" s="3"/>
      <c r="Y61" s="3"/>
      <c r="Z61" s="3"/>
      <c r="AA61" s="3"/>
      <c r="AB61" s="3"/>
      <c r="AC61" s="3"/>
      <c r="AD61" s="3"/>
    </row>
    <row r="62" spans="20:30" s="93" customFormat="1">
      <c r="T62" s="3"/>
      <c r="U62" s="3"/>
      <c r="V62" s="3"/>
      <c r="W62" s="3"/>
      <c r="X62" s="3"/>
      <c r="Y62" s="3"/>
      <c r="Z62" s="3"/>
      <c r="AA62" s="3"/>
      <c r="AB62" s="3"/>
      <c r="AC62" s="3"/>
      <c r="AD62" s="3"/>
    </row>
    <row r="63" spans="20:30" s="93" customFormat="1">
      <c r="T63" s="3"/>
      <c r="U63" s="3"/>
      <c r="V63" s="3"/>
      <c r="W63" s="3"/>
      <c r="X63" s="3"/>
      <c r="Y63" s="3"/>
      <c r="Z63" s="3"/>
      <c r="AA63" s="3"/>
      <c r="AB63" s="3"/>
      <c r="AC63" s="3"/>
      <c r="AD63" s="3"/>
    </row>
    <row r="64" spans="20:30" s="93" customFormat="1">
      <c r="T64" s="3"/>
      <c r="U64" s="3"/>
      <c r="V64" s="3"/>
      <c r="W64" s="3"/>
      <c r="X64" s="3"/>
      <c r="Y64" s="3"/>
      <c r="Z64" s="3"/>
      <c r="AA64" s="3"/>
      <c r="AB64" s="3"/>
      <c r="AC64" s="3"/>
      <c r="AD64" s="3"/>
    </row>
    <row r="65" spans="20:30" s="93" customFormat="1">
      <c r="T65" s="3"/>
      <c r="U65" s="3"/>
      <c r="V65" s="3"/>
      <c r="W65" s="3"/>
      <c r="X65" s="3"/>
      <c r="Y65" s="3"/>
      <c r="Z65" s="3"/>
      <c r="AA65" s="3"/>
      <c r="AB65" s="3"/>
      <c r="AC65" s="3"/>
      <c r="AD65" s="3"/>
    </row>
    <row r="66" spans="20:30" s="93" customFormat="1">
      <c r="T66" s="3"/>
      <c r="U66" s="3"/>
      <c r="V66" s="3"/>
      <c r="W66" s="3"/>
      <c r="X66" s="3"/>
      <c r="Y66" s="3"/>
      <c r="Z66" s="3"/>
      <c r="AA66" s="3"/>
      <c r="AB66" s="3"/>
      <c r="AC66" s="3"/>
      <c r="AD66" s="3"/>
    </row>
    <row r="67" spans="20:30" s="93" customFormat="1">
      <c r="T67" s="3"/>
      <c r="U67" s="3"/>
      <c r="V67" s="3"/>
      <c r="W67" s="3"/>
      <c r="X67" s="3"/>
      <c r="Y67" s="3"/>
      <c r="Z67" s="3"/>
      <c r="AA67" s="3"/>
      <c r="AB67" s="3"/>
      <c r="AC67" s="3"/>
      <c r="AD67" s="3"/>
    </row>
    <row r="68" spans="20:30" s="93" customFormat="1">
      <c r="T68" s="3"/>
      <c r="U68" s="3"/>
      <c r="V68" s="3"/>
      <c r="W68" s="3"/>
      <c r="X68" s="3"/>
      <c r="Y68" s="3"/>
      <c r="Z68" s="3"/>
      <c r="AA68" s="3"/>
      <c r="AB68" s="3"/>
      <c r="AC68" s="3"/>
      <c r="AD68" s="3"/>
    </row>
    <row r="69" spans="20:30" s="93" customFormat="1">
      <c r="T69" s="3"/>
      <c r="U69" s="3"/>
      <c r="V69" s="3"/>
      <c r="W69" s="3"/>
      <c r="X69" s="3"/>
      <c r="Y69" s="3"/>
      <c r="Z69" s="3"/>
      <c r="AA69" s="3"/>
      <c r="AB69" s="3"/>
      <c r="AC69" s="3"/>
      <c r="AD69" s="3"/>
    </row>
    <row r="70" spans="20:30" s="93" customFormat="1">
      <c r="T70" s="3"/>
      <c r="U70" s="3"/>
      <c r="V70" s="3"/>
      <c r="W70" s="3"/>
      <c r="X70" s="3"/>
      <c r="Y70" s="3"/>
      <c r="Z70" s="3"/>
      <c r="AA70" s="3"/>
      <c r="AB70" s="3"/>
      <c r="AC70" s="3"/>
      <c r="AD70" s="3"/>
    </row>
    <row r="71" spans="20:30" s="93" customFormat="1">
      <c r="T71" s="3"/>
      <c r="U71" s="3"/>
      <c r="V71" s="3"/>
      <c r="W71" s="3"/>
      <c r="X71" s="3"/>
      <c r="Y71" s="3"/>
      <c r="Z71" s="3"/>
      <c r="AA71" s="3"/>
      <c r="AB71" s="3"/>
      <c r="AC71" s="3"/>
      <c r="AD71" s="3"/>
    </row>
    <row r="72" spans="20:30" s="93" customFormat="1">
      <c r="T72" s="3"/>
      <c r="U72" s="3"/>
      <c r="V72" s="3"/>
      <c r="W72" s="3"/>
      <c r="X72" s="3"/>
      <c r="Y72" s="3"/>
      <c r="Z72" s="3"/>
      <c r="AA72" s="3"/>
      <c r="AB72" s="3"/>
      <c r="AC72" s="3"/>
      <c r="AD72" s="3"/>
    </row>
    <row r="73" spans="20:30" s="93" customFormat="1">
      <c r="T73" s="3"/>
      <c r="U73" s="3"/>
      <c r="V73" s="3"/>
      <c r="W73" s="3"/>
      <c r="X73" s="3"/>
      <c r="Y73" s="3"/>
      <c r="Z73" s="3"/>
      <c r="AA73" s="3"/>
      <c r="AB73" s="3"/>
      <c r="AC73" s="3"/>
      <c r="AD73" s="3"/>
    </row>
    <row r="74" spans="20:30" s="93" customFormat="1">
      <c r="T74" s="3"/>
      <c r="U74" s="3"/>
      <c r="V74" s="3"/>
      <c r="W74" s="3"/>
      <c r="X74" s="3"/>
      <c r="Y74" s="3"/>
      <c r="Z74" s="3"/>
      <c r="AA74" s="3"/>
      <c r="AB74" s="3"/>
      <c r="AC74" s="3"/>
      <c r="AD74" s="3"/>
    </row>
    <row r="75" spans="20:30" s="93" customFormat="1">
      <c r="T75" s="3"/>
      <c r="U75" s="3"/>
      <c r="V75" s="3"/>
      <c r="W75" s="3"/>
      <c r="X75" s="3"/>
      <c r="Y75" s="3"/>
      <c r="Z75" s="3"/>
      <c r="AA75" s="3"/>
      <c r="AB75" s="3"/>
      <c r="AC75" s="3"/>
      <c r="AD75" s="3"/>
    </row>
    <row r="76" spans="20:30" s="93" customFormat="1">
      <c r="T76" s="3"/>
      <c r="U76" s="3"/>
      <c r="V76" s="3"/>
      <c r="W76" s="3"/>
      <c r="X76" s="3"/>
      <c r="Y76" s="3"/>
      <c r="Z76" s="3"/>
      <c r="AA76" s="3"/>
      <c r="AB76" s="3"/>
      <c r="AC76" s="3"/>
      <c r="AD76" s="3"/>
    </row>
    <row r="77" spans="20:30" s="93" customFormat="1">
      <c r="T77" s="3"/>
      <c r="U77" s="3"/>
      <c r="V77" s="3"/>
      <c r="W77" s="3"/>
      <c r="X77" s="3"/>
      <c r="Y77" s="3"/>
      <c r="Z77" s="3"/>
      <c r="AA77" s="3"/>
      <c r="AB77" s="3"/>
      <c r="AC77" s="3"/>
      <c r="AD77" s="3"/>
    </row>
    <row r="78" spans="20:30" s="93" customFormat="1">
      <c r="T78" s="3"/>
      <c r="U78" s="3"/>
      <c r="V78" s="3"/>
      <c r="W78" s="3"/>
      <c r="X78" s="3"/>
      <c r="Y78" s="3"/>
      <c r="Z78" s="3"/>
      <c r="AA78" s="3"/>
      <c r="AB78" s="3"/>
      <c r="AC78" s="3"/>
      <c r="AD78" s="3"/>
    </row>
    <row r="79" spans="20:30" s="93" customFormat="1">
      <c r="T79" s="3"/>
      <c r="U79" s="3"/>
      <c r="V79" s="3"/>
      <c r="W79" s="3"/>
      <c r="X79" s="3"/>
      <c r="Y79" s="3"/>
      <c r="Z79" s="3"/>
      <c r="AA79" s="3"/>
      <c r="AB79" s="3"/>
      <c r="AC79" s="3"/>
      <c r="AD79" s="3"/>
    </row>
    <row r="80" spans="20:30" s="93" customFormat="1">
      <c r="T80" s="3"/>
      <c r="U80" s="3"/>
      <c r="V80" s="3"/>
      <c r="W80" s="3"/>
      <c r="X80" s="3"/>
      <c r="Y80" s="3"/>
      <c r="Z80" s="3"/>
      <c r="AA80" s="3"/>
      <c r="AB80" s="3"/>
      <c r="AC80" s="3"/>
      <c r="AD80" s="3"/>
    </row>
    <row r="81" spans="20:30" s="93" customFormat="1">
      <c r="T81" s="3"/>
      <c r="U81" s="3"/>
      <c r="V81" s="3"/>
      <c r="W81" s="3"/>
      <c r="X81" s="3"/>
      <c r="Y81" s="3"/>
      <c r="Z81" s="3"/>
      <c r="AA81" s="3"/>
      <c r="AB81" s="3"/>
      <c r="AC81" s="3"/>
      <c r="AD81" s="3"/>
    </row>
    <row r="82" spans="20:30" s="93" customFormat="1">
      <c r="T82" s="3"/>
      <c r="U82" s="3"/>
      <c r="V82" s="3"/>
      <c r="W82" s="3"/>
      <c r="X82" s="3"/>
      <c r="Y82" s="3"/>
      <c r="Z82" s="3"/>
      <c r="AA82" s="3"/>
      <c r="AB82" s="3"/>
      <c r="AC82" s="3"/>
      <c r="AD82" s="3"/>
    </row>
    <row r="83" spans="20:30" s="93" customFormat="1">
      <c r="T83" s="3"/>
      <c r="U83" s="3"/>
      <c r="V83" s="3"/>
      <c r="W83" s="3"/>
      <c r="X83" s="3"/>
      <c r="Y83" s="3"/>
      <c r="Z83" s="3"/>
      <c r="AA83" s="3"/>
      <c r="AB83" s="3"/>
      <c r="AC83" s="3"/>
      <c r="AD83" s="3"/>
    </row>
    <row r="84" spans="20:30" s="93" customFormat="1">
      <c r="T84" s="3"/>
      <c r="U84" s="3"/>
      <c r="V84" s="3"/>
      <c r="W84" s="3"/>
      <c r="X84" s="3"/>
      <c r="Y84" s="3"/>
      <c r="Z84" s="3"/>
      <c r="AA84" s="3"/>
      <c r="AB84" s="3"/>
      <c r="AC84" s="3"/>
      <c r="AD84" s="3"/>
    </row>
    <row r="85" spans="20:30" s="93" customFormat="1">
      <c r="T85" s="3"/>
      <c r="U85" s="3"/>
      <c r="V85" s="3"/>
      <c r="W85" s="3"/>
      <c r="X85" s="3"/>
      <c r="Y85" s="3"/>
      <c r="Z85" s="3"/>
      <c r="AA85" s="3"/>
      <c r="AB85" s="3"/>
      <c r="AC85" s="3"/>
      <c r="AD85" s="3"/>
    </row>
    <row r="86" spans="20:30" s="93" customFormat="1">
      <c r="T86" s="3"/>
      <c r="U86" s="3"/>
      <c r="V86" s="3"/>
      <c r="W86" s="3"/>
      <c r="X86" s="3"/>
      <c r="Y86" s="3"/>
      <c r="Z86" s="3"/>
      <c r="AA86" s="3"/>
      <c r="AB86" s="3"/>
      <c r="AC86" s="3"/>
      <c r="AD86" s="3"/>
    </row>
    <row r="87" spans="20:30" s="93" customFormat="1">
      <c r="T87" s="3"/>
      <c r="U87" s="3"/>
      <c r="V87" s="3"/>
      <c r="W87" s="3"/>
      <c r="X87" s="3"/>
      <c r="Y87" s="3"/>
      <c r="Z87" s="3"/>
      <c r="AA87" s="3"/>
      <c r="AB87" s="3"/>
      <c r="AC87" s="3"/>
      <c r="AD87" s="3"/>
    </row>
    <row r="88" spans="20:30" s="93" customFormat="1">
      <c r="T88" s="3"/>
      <c r="U88" s="3"/>
      <c r="V88" s="3"/>
      <c r="W88" s="3"/>
      <c r="X88" s="3"/>
      <c r="Y88" s="3"/>
      <c r="Z88" s="3"/>
      <c r="AA88" s="3"/>
      <c r="AB88" s="3"/>
      <c r="AC88" s="3"/>
      <c r="AD88" s="3"/>
    </row>
    <row r="89" spans="20:30" s="93" customFormat="1">
      <c r="T89" s="3"/>
      <c r="U89" s="3"/>
      <c r="V89" s="3"/>
      <c r="W89" s="3"/>
      <c r="X89" s="3"/>
      <c r="Y89" s="3"/>
      <c r="Z89" s="3"/>
      <c r="AA89" s="3"/>
      <c r="AB89" s="3"/>
      <c r="AC89" s="3"/>
      <c r="AD89" s="3"/>
    </row>
    <row r="90" spans="20:30" s="93" customFormat="1">
      <c r="T90" s="3"/>
      <c r="U90" s="3"/>
      <c r="V90" s="3"/>
      <c r="W90" s="3"/>
      <c r="X90" s="3"/>
      <c r="Y90" s="3"/>
      <c r="Z90" s="3"/>
      <c r="AA90" s="3"/>
      <c r="AB90" s="3"/>
      <c r="AC90" s="3"/>
      <c r="AD90" s="3"/>
    </row>
    <row r="91" spans="20:30" s="93" customFormat="1">
      <c r="T91" s="3"/>
      <c r="U91" s="3"/>
      <c r="V91" s="3"/>
      <c r="W91" s="3"/>
      <c r="X91" s="3"/>
      <c r="Y91" s="3"/>
      <c r="Z91" s="3"/>
      <c r="AA91" s="3"/>
      <c r="AB91" s="3"/>
      <c r="AC91" s="3"/>
      <c r="AD91" s="3"/>
    </row>
    <row r="92" spans="20:30" s="93" customFormat="1">
      <c r="T92" s="3"/>
      <c r="U92" s="3"/>
      <c r="V92" s="3"/>
      <c r="W92" s="3"/>
      <c r="X92" s="3"/>
      <c r="Y92" s="3"/>
      <c r="Z92" s="3"/>
      <c r="AA92" s="3"/>
      <c r="AB92" s="3"/>
      <c r="AC92" s="3"/>
      <c r="AD92" s="3"/>
    </row>
    <row r="93" spans="20:30" s="93" customFormat="1">
      <c r="T93" s="3"/>
      <c r="U93" s="3"/>
      <c r="V93" s="3"/>
      <c r="W93" s="3"/>
      <c r="X93" s="3"/>
      <c r="Y93" s="3"/>
      <c r="Z93" s="3"/>
      <c r="AA93" s="3"/>
      <c r="AB93" s="3"/>
      <c r="AC93" s="3"/>
      <c r="AD93" s="3"/>
    </row>
    <row r="94" spans="20:30" s="93" customFormat="1">
      <c r="T94" s="3"/>
      <c r="U94" s="3"/>
      <c r="V94" s="3"/>
      <c r="W94" s="3"/>
      <c r="X94" s="3"/>
      <c r="Y94" s="3"/>
      <c r="Z94" s="3"/>
      <c r="AA94" s="3"/>
      <c r="AB94" s="3"/>
      <c r="AC94" s="3"/>
      <c r="AD94" s="3"/>
    </row>
    <row r="95" spans="20:30" s="93" customFormat="1">
      <c r="T95" s="3"/>
      <c r="U95" s="3"/>
      <c r="V95" s="3"/>
      <c r="W95" s="3"/>
      <c r="X95" s="3"/>
      <c r="Y95" s="3"/>
      <c r="Z95" s="3"/>
      <c r="AA95" s="3"/>
      <c r="AB95" s="3"/>
      <c r="AC95" s="3"/>
      <c r="AD95" s="3"/>
    </row>
    <row r="96" spans="20:30" s="93" customFormat="1">
      <c r="T96" s="3"/>
      <c r="U96" s="3"/>
      <c r="V96" s="3"/>
      <c r="W96" s="3"/>
      <c r="X96" s="3"/>
      <c r="Y96" s="3"/>
      <c r="Z96" s="3"/>
      <c r="AA96" s="3"/>
      <c r="AB96" s="3"/>
      <c r="AC96" s="3"/>
      <c r="AD96" s="3"/>
    </row>
    <row r="97" spans="20:30" s="93" customFormat="1">
      <c r="T97" s="3"/>
      <c r="U97" s="3"/>
      <c r="V97" s="3"/>
      <c r="W97" s="3"/>
      <c r="X97" s="3"/>
      <c r="Y97" s="3"/>
      <c r="Z97" s="3"/>
      <c r="AA97" s="3"/>
      <c r="AB97" s="3"/>
      <c r="AC97" s="3"/>
      <c r="AD97" s="3"/>
    </row>
    <row r="98" spans="20:30" s="93" customFormat="1">
      <c r="T98" s="3"/>
      <c r="U98" s="3"/>
      <c r="V98" s="3"/>
      <c r="W98" s="3"/>
      <c r="X98" s="3"/>
      <c r="Y98" s="3"/>
      <c r="Z98" s="3"/>
      <c r="AA98" s="3"/>
      <c r="AB98" s="3"/>
      <c r="AC98" s="3"/>
      <c r="AD98" s="3"/>
    </row>
    <row r="99" spans="20:30" s="93" customFormat="1">
      <c r="T99" s="3"/>
      <c r="U99" s="3"/>
      <c r="V99" s="3"/>
      <c r="W99" s="3"/>
      <c r="X99" s="3"/>
      <c r="Y99" s="3"/>
      <c r="Z99" s="3"/>
      <c r="AA99" s="3"/>
      <c r="AB99" s="3"/>
      <c r="AC99" s="3"/>
      <c r="AD99" s="3"/>
    </row>
    <row r="100" spans="20:30" s="93" customFormat="1">
      <c r="T100" s="3"/>
      <c r="U100" s="3"/>
      <c r="V100" s="3"/>
      <c r="W100" s="3"/>
      <c r="X100" s="3"/>
      <c r="Y100" s="3"/>
      <c r="Z100" s="3"/>
      <c r="AA100" s="3"/>
      <c r="AB100" s="3"/>
      <c r="AC100" s="3"/>
      <c r="AD100" s="3"/>
    </row>
    <row r="101" spans="20:30" s="93" customFormat="1">
      <c r="T101" s="3"/>
      <c r="U101" s="3"/>
      <c r="V101" s="3"/>
      <c r="W101" s="3"/>
      <c r="X101" s="3"/>
      <c r="Y101" s="3"/>
      <c r="Z101" s="3"/>
      <c r="AA101" s="3"/>
      <c r="AB101" s="3"/>
      <c r="AC101" s="3"/>
      <c r="AD101" s="3"/>
    </row>
    <row r="102" spans="20:30" s="93" customFormat="1">
      <c r="T102" s="3"/>
      <c r="U102" s="3"/>
      <c r="V102" s="3"/>
      <c r="W102" s="3"/>
      <c r="X102" s="3"/>
      <c r="Y102" s="3"/>
      <c r="Z102" s="3"/>
      <c r="AA102" s="3"/>
      <c r="AB102" s="3"/>
      <c r="AC102" s="3"/>
      <c r="AD102" s="3"/>
    </row>
    <row r="103" spans="20:30" s="93" customFormat="1">
      <c r="T103" s="3"/>
      <c r="U103" s="3"/>
      <c r="V103" s="3"/>
      <c r="W103" s="3"/>
      <c r="X103" s="3"/>
      <c r="Y103" s="3"/>
      <c r="Z103" s="3"/>
      <c r="AA103" s="3"/>
      <c r="AB103" s="3"/>
      <c r="AC103" s="3"/>
      <c r="AD103" s="3"/>
    </row>
    <row r="104" spans="20:30" s="93" customFormat="1">
      <c r="T104" s="3"/>
      <c r="U104" s="3"/>
      <c r="V104" s="3"/>
      <c r="W104" s="3"/>
      <c r="X104" s="3"/>
      <c r="Y104" s="3"/>
      <c r="Z104" s="3"/>
      <c r="AA104" s="3"/>
      <c r="AB104" s="3"/>
      <c r="AC104" s="3"/>
      <c r="AD104" s="3"/>
    </row>
    <row r="105" spans="20:30" s="93" customFormat="1">
      <c r="T105" s="3"/>
      <c r="U105" s="3"/>
      <c r="V105" s="3"/>
      <c r="W105" s="3"/>
      <c r="X105" s="3"/>
      <c r="Y105" s="3"/>
      <c r="Z105" s="3"/>
      <c r="AA105" s="3"/>
      <c r="AB105" s="3"/>
      <c r="AC105" s="3"/>
      <c r="AD105" s="3"/>
    </row>
    <row r="106" spans="20:30" s="93" customFormat="1">
      <c r="T106" s="3"/>
      <c r="U106" s="3"/>
      <c r="V106" s="3"/>
      <c r="W106" s="3"/>
      <c r="X106" s="3"/>
      <c r="Y106" s="3"/>
      <c r="Z106" s="3"/>
      <c r="AA106" s="3"/>
      <c r="AB106" s="3"/>
      <c r="AC106" s="3"/>
      <c r="AD106" s="3"/>
    </row>
    <row r="107" spans="20:30" s="93" customFormat="1">
      <c r="T107" s="3"/>
      <c r="U107" s="3"/>
      <c r="V107" s="3"/>
      <c r="W107" s="3"/>
      <c r="X107" s="3"/>
      <c r="Y107" s="3"/>
      <c r="Z107" s="3"/>
      <c r="AA107" s="3"/>
      <c r="AB107" s="3"/>
      <c r="AC107" s="3"/>
      <c r="AD107" s="3"/>
    </row>
    <row r="108" spans="20:30" s="93" customFormat="1">
      <c r="T108" s="3"/>
      <c r="U108" s="3"/>
      <c r="V108" s="3"/>
      <c r="W108" s="3"/>
      <c r="X108" s="3"/>
      <c r="Y108" s="3"/>
      <c r="Z108" s="3"/>
      <c r="AA108" s="3"/>
      <c r="AB108" s="3"/>
      <c r="AC108" s="3"/>
      <c r="AD108" s="3"/>
    </row>
    <row r="109" spans="20:30" s="93" customFormat="1">
      <c r="T109" s="3"/>
      <c r="U109" s="3"/>
      <c r="V109" s="3"/>
      <c r="W109" s="3"/>
      <c r="X109" s="3"/>
      <c r="Y109" s="3"/>
      <c r="Z109" s="3"/>
      <c r="AA109" s="3"/>
      <c r="AB109" s="3"/>
      <c r="AC109" s="3"/>
      <c r="AD109" s="3"/>
    </row>
    <row r="110" spans="20:30" s="93" customFormat="1">
      <c r="T110" s="3"/>
      <c r="U110" s="3"/>
      <c r="V110" s="3"/>
      <c r="W110" s="3"/>
      <c r="X110" s="3"/>
      <c r="Y110" s="3"/>
      <c r="Z110" s="3"/>
      <c r="AA110" s="3"/>
      <c r="AB110" s="3"/>
      <c r="AC110" s="3"/>
      <c r="AD110" s="3"/>
    </row>
    <row r="111" spans="20:30" s="93" customFormat="1">
      <c r="T111" s="3"/>
      <c r="U111" s="3"/>
      <c r="V111" s="3"/>
      <c r="W111" s="3"/>
      <c r="X111" s="3"/>
      <c r="Y111" s="3"/>
      <c r="Z111" s="3"/>
      <c r="AA111" s="3"/>
      <c r="AB111" s="3"/>
      <c r="AC111" s="3"/>
      <c r="AD111" s="3"/>
    </row>
    <row r="112" spans="20:30" s="93" customFormat="1">
      <c r="T112" s="3"/>
      <c r="U112" s="3"/>
      <c r="V112" s="3"/>
      <c r="W112" s="3"/>
      <c r="X112" s="3"/>
      <c r="Y112" s="3"/>
      <c r="Z112" s="3"/>
      <c r="AA112" s="3"/>
      <c r="AB112" s="3"/>
      <c r="AC112" s="3"/>
      <c r="AD112" s="3"/>
    </row>
    <row r="113" spans="20:30" s="93" customFormat="1">
      <c r="T113" s="3"/>
      <c r="U113" s="3"/>
      <c r="V113" s="3"/>
      <c r="W113" s="3"/>
      <c r="X113" s="3"/>
      <c r="Y113" s="3"/>
      <c r="Z113" s="3"/>
      <c r="AA113" s="3"/>
      <c r="AB113" s="3"/>
      <c r="AC113" s="3"/>
      <c r="AD113" s="3"/>
    </row>
    <row r="114" spans="20:30" s="93" customFormat="1">
      <c r="T114" s="3"/>
      <c r="U114" s="3"/>
      <c r="V114" s="3"/>
      <c r="W114" s="3"/>
      <c r="X114" s="3"/>
      <c r="Y114" s="3"/>
      <c r="Z114" s="3"/>
      <c r="AA114" s="3"/>
      <c r="AB114" s="3"/>
      <c r="AC114" s="3"/>
      <c r="AD114" s="3"/>
    </row>
    <row r="115" spans="20:30" s="93" customFormat="1">
      <c r="T115" s="3"/>
      <c r="U115" s="3"/>
      <c r="V115" s="3"/>
      <c r="W115" s="3"/>
      <c r="X115" s="3"/>
      <c r="Y115" s="3"/>
      <c r="Z115" s="3"/>
      <c r="AA115" s="3"/>
      <c r="AB115" s="3"/>
      <c r="AC115" s="3"/>
      <c r="AD115" s="3"/>
    </row>
    <row r="116" spans="20:30" s="93" customFormat="1">
      <c r="T116" s="3"/>
      <c r="U116" s="3"/>
      <c r="V116" s="3"/>
      <c r="W116" s="3"/>
      <c r="X116" s="3"/>
      <c r="Y116" s="3"/>
      <c r="Z116" s="3"/>
      <c r="AA116" s="3"/>
      <c r="AB116" s="3"/>
      <c r="AC116" s="3"/>
      <c r="AD116" s="3"/>
    </row>
    <row r="117" spans="20:30" s="93" customFormat="1">
      <c r="T117" s="3"/>
      <c r="U117" s="3"/>
      <c r="V117" s="3"/>
      <c r="W117" s="3"/>
      <c r="X117" s="3"/>
      <c r="Y117" s="3"/>
      <c r="Z117" s="3"/>
      <c r="AA117" s="3"/>
      <c r="AB117" s="3"/>
      <c r="AC117" s="3"/>
      <c r="AD117" s="3"/>
    </row>
    <row r="118" spans="20:30" s="93" customFormat="1">
      <c r="T118" s="3"/>
      <c r="U118" s="3"/>
      <c r="V118" s="3"/>
      <c r="W118" s="3"/>
      <c r="X118" s="3"/>
      <c r="Y118" s="3"/>
      <c r="Z118" s="3"/>
      <c r="AA118" s="3"/>
      <c r="AB118" s="3"/>
      <c r="AC118" s="3"/>
      <c r="AD118" s="3"/>
    </row>
    <row r="119" spans="20:30" s="93" customFormat="1">
      <c r="T119" s="3"/>
      <c r="U119" s="3"/>
      <c r="V119" s="3"/>
      <c r="W119" s="3"/>
      <c r="X119" s="3"/>
      <c r="Y119" s="3"/>
      <c r="Z119" s="3"/>
      <c r="AA119" s="3"/>
      <c r="AB119" s="3"/>
      <c r="AC119" s="3"/>
      <c r="AD119" s="3"/>
    </row>
    <row r="120" spans="20:30" s="93" customFormat="1">
      <c r="T120" s="3"/>
      <c r="U120" s="3"/>
      <c r="V120" s="3"/>
      <c r="W120" s="3"/>
      <c r="X120" s="3"/>
      <c r="Y120" s="3"/>
      <c r="Z120" s="3"/>
      <c r="AA120" s="3"/>
      <c r="AB120" s="3"/>
      <c r="AC120" s="3"/>
      <c r="AD120" s="3"/>
    </row>
    <row r="121" spans="20:30" s="93" customFormat="1">
      <c r="T121" s="3"/>
      <c r="U121" s="3"/>
      <c r="V121" s="3"/>
      <c r="W121" s="3"/>
      <c r="X121" s="3"/>
      <c r="Y121" s="3"/>
      <c r="Z121" s="3"/>
      <c r="AA121" s="3"/>
      <c r="AB121" s="3"/>
      <c r="AC121" s="3"/>
      <c r="AD121" s="3"/>
    </row>
    <row r="122" spans="20:30" s="93" customFormat="1">
      <c r="T122" s="3"/>
      <c r="U122" s="3"/>
      <c r="V122" s="3"/>
      <c r="W122" s="3"/>
      <c r="X122" s="3"/>
      <c r="Y122" s="3"/>
      <c r="Z122" s="3"/>
      <c r="AA122" s="3"/>
      <c r="AB122" s="3"/>
      <c r="AC122" s="3"/>
      <c r="AD122" s="3"/>
    </row>
    <row r="123" spans="20:30" s="93" customFormat="1">
      <c r="T123" s="3"/>
      <c r="U123" s="3"/>
      <c r="V123" s="3"/>
      <c r="W123" s="3"/>
      <c r="X123" s="3"/>
      <c r="Y123" s="3"/>
      <c r="Z123" s="3"/>
      <c r="AA123" s="3"/>
      <c r="AB123" s="3"/>
      <c r="AC123" s="3"/>
      <c r="AD123" s="3"/>
    </row>
    <row r="124" spans="20:30" s="93" customFormat="1">
      <c r="T124" s="3"/>
      <c r="U124" s="3"/>
      <c r="V124" s="3"/>
      <c r="W124" s="3"/>
      <c r="X124" s="3"/>
      <c r="Y124" s="3"/>
      <c r="Z124" s="3"/>
      <c r="AA124" s="3"/>
      <c r="AB124" s="3"/>
      <c r="AC124" s="3"/>
      <c r="AD124" s="3"/>
    </row>
    <row r="125" spans="20:30" s="93" customFormat="1">
      <c r="T125" s="3"/>
      <c r="U125" s="3"/>
      <c r="V125" s="3"/>
      <c r="W125" s="3"/>
      <c r="X125" s="3"/>
      <c r="Y125" s="3"/>
      <c r="Z125" s="3"/>
      <c r="AA125" s="3"/>
      <c r="AB125" s="3"/>
      <c r="AC125" s="3"/>
      <c r="AD125" s="3"/>
    </row>
    <row r="126" spans="20:30" s="93" customFormat="1">
      <c r="T126" s="3"/>
      <c r="U126" s="3"/>
      <c r="V126" s="3"/>
      <c r="W126" s="3"/>
      <c r="X126" s="3"/>
      <c r="Y126" s="3"/>
      <c r="Z126" s="3"/>
      <c r="AA126" s="3"/>
      <c r="AB126" s="3"/>
      <c r="AC126" s="3"/>
      <c r="AD126" s="3"/>
    </row>
    <row r="127" spans="20:30" s="93" customFormat="1">
      <c r="T127" s="3"/>
      <c r="U127" s="3"/>
      <c r="V127" s="3"/>
      <c r="W127" s="3"/>
      <c r="X127" s="3"/>
      <c r="Y127" s="3"/>
      <c r="Z127" s="3"/>
      <c r="AA127" s="3"/>
      <c r="AB127" s="3"/>
      <c r="AC127" s="3"/>
      <c r="AD127" s="3"/>
    </row>
  </sheetData>
  <mergeCells count="14">
    <mergeCell ref="AV2:BW2"/>
    <mergeCell ref="BX2:CD2"/>
    <mergeCell ref="F4:P4"/>
    <mergeCell ref="Q4:T4"/>
    <mergeCell ref="U4:AA4"/>
    <mergeCell ref="AE4:AR4"/>
    <mergeCell ref="AT4:AU4"/>
    <mergeCell ref="CE2:CK2"/>
    <mergeCell ref="CL2:CR2"/>
    <mergeCell ref="EP4:EW4"/>
    <mergeCell ref="EB2:EG2"/>
    <mergeCell ref="EI2:EN2"/>
    <mergeCell ref="CS2:DS2"/>
    <mergeCell ref="DU2:DZ2"/>
  </mergeCells>
  <dataValidations disablePrompts="1" count="1">
    <dataValidation type="list" allowBlank="1" showInputMessage="1" showErrorMessage="1" sqref="AM6:AO6 AM8:AO8 AM10:AO10" xr:uid="{FD046E75-2590-4BC6-B833-893AFAD324B8}">
      <formula1>#REF!</formula1>
    </dataValidation>
  </dataValidations>
  <pageMargins left="0.7" right="0.7" top="0.75" bottom="0.75" header="0.3" footer="0.3"/>
  <pageSetup orientation="portrait" horizontalDpi="1200" verticalDpi="1200" r:id="rId1"/>
  <headerFooter>
    <oddFooter>&amp;L&amp;1#&amp;"Calibri"&amp;14&amp;K000000Business Use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sheetPr>
  <dimension ref="A1:FF36"/>
  <sheetViews>
    <sheetView topLeftCell="EM1" zoomScale="115" zoomScaleNormal="115" workbookViewId="0">
      <selection activeCell="L61" sqref="L61"/>
    </sheetView>
  </sheetViews>
  <sheetFormatPr defaultColWidth="9.1796875" defaultRowHeight="13"/>
  <cols>
    <col min="1" max="1" width="9.1796875" style="93"/>
    <col min="2" max="2" width="67.1796875" style="93" customWidth="1"/>
    <col min="3" max="3" width="41" style="93" customWidth="1"/>
    <col min="4" max="4" width="29.54296875" style="93" customWidth="1"/>
    <col min="5" max="5" width="20.26953125" style="93" customWidth="1"/>
    <col min="6" max="7" width="17.26953125" style="93" customWidth="1"/>
    <col min="8" max="8" width="14.54296875" style="93" customWidth="1"/>
    <col min="9" max="9" width="13" style="93" customWidth="1"/>
    <col min="10" max="10" width="14.54296875" style="93" customWidth="1"/>
    <col min="11" max="11" width="15.453125" style="93" customWidth="1"/>
    <col min="12" max="13" width="15.26953125" style="93" customWidth="1"/>
    <col min="14" max="14" width="15" style="93" customWidth="1"/>
    <col min="15" max="16" width="10.7265625" style="93" customWidth="1"/>
    <col min="17" max="17" width="13.453125" style="93" customWidth="1"/>
    <col min="18" max="19" width="12.1796875" style="93" customWidth="1"/>
    <col min="20" max="20" width="11.54296875" style="95" customWidth="1"/>
    <col min="21" max="21" width="10.81640625" style="95" customWidth="1"/>
    <col min="22" max="22" width="30.1796875" style="95" customWidth="1"/>
    <col min="23" max="30" width="10.1796875" style="95" customWidth="1"/>
    <col min="31" max="40" width="14.453125" style="93" customWidth="1"/>
    <col min="41" max="41" width="16.453125" style="93" customWidth="1"/>
    <col min="42" max="47" width="12" style="93" customWidth="1"/>
    <col min="48" max="50" width="17.81640625" style="93" customWidth="1"/>
    <col min="51" max="54" width="15.7265625" style="93" customWidth="1"/>
    <col min="55" max="61" width="12" style="93" customWidth="1"/>
    <col min="62" max="75" width="11.7265625" style="93" customWidth="1"/>
    <col min="76" max="153" width="15.54296875" style="93" customWidth="1"/>
    <col min="154" max="159" width="9.1796875" style="93"/>
    <col min="160" max="160" width="11.26953125" style="93" bestFit="1" customWidth="1"/>
    <col min="161" max="161" width="10.26953125" style="93" bestFit="1" customWidth="1"/>
    <col min="162" max="16384" width="9.1796875" style="93"/>
  </cols>
  <sheetData>
    <row r="1" spans="1:162" ht="14.5">
      <c r="A1" s="69" t="str">
        <f t="shared" ref="A1:AC1" si="0">A3&amp;"_"&amp;A4&amp;"_"&amp;A5</f>
        <v>_Measure Details_Measure ID</v>
      </c>
      <c r="B1" s="69" t="str">
        <f t="shared" si="0"/>
        <v>__Measure Name</v>
      </c>
      <c r="C1" s="69" t="str">
        <f t="shared" si="0"/>
        <v>__Measure Description/Qualification</v>
      </c>
      <c r="D1" s="69" t="str">
        <f t="shared" si="0"/>
        <v>__Base Equipment</v>
      </c>
      <c r="E1" s="69" t="str">
        <f t="shared" si="0"/>
        <v>__Per Unit Assumption</v>
      </c>
      <c r="F1" s="69" t="str">
        <f t="shared" si="0"/>
        <v>_First Year Costs_Full or Incremental Cost</v>
      </c>
      <c r="G1" s="69" t="str">
        <f t="shared" si="0"/>
        <v>__Full/Incremental Equipment Cost (Per Unit)</v>
      </c>
      <c r="H1" s="69" t="str">
        <f t="shared" si="0"/>
        <v>__Full/Incremental Labor Cost (Per Unit)</v>
      </c>
      <c r="I1" s="69" t="str">
        <f t="shared" si="0"/>
        <v>__Full/Incremental Cost (Per Unit)</v>
      </c>
      <c r="J1" s="69" t="str">
        <f t="shared" si="0"/>
        <v>__Incremental Annual O&amp;M (Per Unit)</v>
      </c>
      <c r="K1" s="69" t="str">
        <f t="shared" si="0"/>
        <v>__50% of Incremental Cost</v>
      </c>
      <c r="L1" s="69" t="str">
        <f t="shared" si="0"/>
        <v>__Cost Sources</v>
      </c>
      <c r="M1" s="69" t="str">
        <f t="shared" si="0"/>
        <v>__Current Incentive</v>
      </c>
      <c r="N1" s="69" t="str">
        <f t="shared" si="0"/>
        <v>__Proposed Incentive Level</v>
      </c>
      <c r="O1" s="69" t="str">
        <f t="shared" si="0"/>
        <v>__Dealer Incentive</v>
      </c>
      <c r="P1" s="69" t="str">
        <f t="shared" si="0"/>
        <v>__Implementation Cost</v>
      </c>
      <c r="Q1" s="69" t="str">
        <f t="shared" si="0"/>
        <v>_First Year Energy Savings_Electric kWh Savings Per Unit</v>
      </c>
      <c r="R1" s="69" t="str">
        <f t="shared" si="0"/>
        <v>__Electric kW Savings Per Unit</v>
      </c>
      <c r="S1" s="69" t="str">
        <f t="shared" si="0"/>
        <v>__Natural Gas Therms Savings Per Unit</v>
      </c>
      <c r="T1" s="69" t="str">
        <f t="shared" si="0"/>
        <v>__Energy Savings Source</v>
      </c>
      <c r="U1" s="69" t="str">
        <f t="shared" si="0"/>
        <v>_Participation Assumptions_Escalation Rate</v>
      </c>
      <c r="V1" s="69" t="str">
        <f t="shared" si="0"/>
        <v>__Number of Unit Per Participant</v>
      </c>
      <c r="W1" s="69" t="str">
        <f t="shared" si="0"/>
        <v>__Participation 2023</v>
      </c>
      <c r="X1" s="69" t="str">
        <f t="shared" si="0"/>
        <v>__Participation 2024</v>
      </c>
      <c r="Y1" s="69" t="str">
        <f t="shared" si="0"/>
        <v>__Participation 2025</v>
      </c>
      <c r="Z1" s="69" t="str">
        <f t="shared" si="0"/>
        <v>__Participation 2026</v>
      </c>
      <c r="AA1" s="69" t="str">
        <f t="shared" si="0"/>
        <v>__Participation 2027</v>
      </c>
      <c r="AB1" s="69" t="str">
        <f t="shared" si="0"/>
        <v>__Participation 2028</v>
      </c>
      <c r="AC1" s="69" t="str">
        <f t="shared" si="0"/>
        <v>__Participation 2029</v>
      </c>
      <c r="AD1" s="69" t="str">
        <f t="shared" ref="AD1" si="1">AD3&amp;"_"&amp;AD4&amp;"_"&amp;AD5</f>
        <v>__Participation 2030</v>
      </c>
      <c r="AE1" s="69" t="str">
        <f t="shared" ref="AE1:BV1" si="2">AE3&amp;"_"&amp;AE4&amp;"_"&amp;AE5</f>
        <v>_Modeling Measure-level Inputs_Fuel Type</v>
      </c>
      <c r="AF1" s="69" t="str">
        <f t="shared" si="2"/>
        <v>__Sector</v>
      </c>
      <c r="AG1" s="69" t="str">
        <f t="shared" si="2"/>
        <v>__Segment</v>
      </c>
      <c r="AH1" s="69" t="str">
        <f t="shared" si="2"/>
        <v>__Enduse</v>
      </c>
      <c r="AI1" s="69" t="str">
        <f t="shared" si="2"/>
        <v>__Construction Type</v>
      </c>
      <c r="AJ1" s="69" t="str">
        <f t="shared" si="2"/>
        <v>__Potential Study Measure Name</v>
      </c>
      <c r="AK1" s="69" t="str">
        <f t="shared" si="2"/>
        <v>__Potential Study Measure Description</v>
      </c>
      <c r="AL1" s="69" t="str">
        <f t="shared" si="2"/>
        <v>__Potential Study Baseline Description</v>
      </c>
      <c r="AM1" s="69" t="str">
        <f t="shared" si="2"/>
        <v>__Electric Load Shape</v>
      </c>
      <c r="AN1" s="69" t="str">
        <f t="shared" si="2"/>
        <v>__Natural Gas Load Shape</v>
      </c>
      <c r="AO1" s="69" t="str">
        <f t="shared" si="2"/>
        <v>__Customer Rate Class</v>
      </c>
      <c r="AP1" s="69" t="str">
        <f t="shared" si="2"/>
        <v>__Measure Life</v>
      </c>
      <c r="AQ1" s="69" t="str">
        <f t="shared" si="2"/>
        <v>__Baseline Life</v>
      </c>
      <c r="AR1" s="69" t="str">
        <f t="shared" si="2"/>
        <v>__Life Source</v>
      </c>
      <c r="AS1" s="69" t="str">
        <f t="shared" si="2"/>
        <v>_Measure Tier Share_Tier Share</v>
      </c>
      <c r="AT1" s="69" t="str">
        <f t="shared" si="2"/>
        <v>_Measure Fuel Weights_Electric Share</v>
      </c>
      <c r="AU1" s="69" t="str">
        <f t="shared" si="2"/>
        <v>__Natural Gas Share</v>
      </c>
      <c r="AV1" s="69" t="str">
        <f t="shared" si="2"/>
        <v>Per Unit_Incremental Costs_2024</v>
      </c>
      <c r="AW1" s="69" t="str">
        <f t="shared" si="2"/>
        <v>Per Unit_Incremental Costs_2025</v>
      </c>
      <c r="AX1" s="69" t="str">
        <f t="shared" si="2"/>
        <v>Per Unit_Incremental Costs_2026</v>
      </c>
      <c r="AY1" s="69" t="str">
        <f t="shared" si="2"/>
        <v>Per Unit_Incremental Costs_2027</v>
      </c>
      <c r="AZ1" s="69" t="str">
        <f t="shared" si="2"/>
        <v>Per Unit_Incremental Costs_2028</v>
      </c>
      <c r="BA1" s="69" t="str">
        <f t="shared" si="2"/>
        <v>Per Unit_Incremental Costs_2029</v>
      </c>
      <c r="BB1" s="69" t="str">
        <f t="shared" ref="BB1" si="3">BB3&amp;"_"&amp;BB4&amp;"_"&amp;BB5</f>
        <v>Per Unit_Incremental Costs_2030</v>
      </c>
      <c r="BC1" s="69" t="str">
        <f t="shared" si="2"/>
        <v>Per Unit_Incremental Annual O&amp;M_2024</v>
      </c>
      <c r="BD1" s="69" t="str">
        <f t="shared" si="2"/>
        <v>Per Unit_Incremental Annual O&amp;M_2025</v>
      </c>
      <c r="BE1" s="69" t="str">
        <f t="shared" si="2"/>
        <v>Per Unit_Incremental Annual O&amp;M_2026</v>
      </c>
      <c r="BF1" s="69" t="str">
        <f t="shared" si="2"/>
        <v>Per Unit_Incremental Annual O&amp;M_2027</v>
      </c>
      <c r="BG1" s="69" t="str">
        <f t="shared" si="2"/>
        <v>Per Unit_Incremental Annual O&amp;M_2028</v>
      </c>
      <c r="BH1" s="69" t="str">
        <f t="shared" si="2"/>
        <v>Per Unit_Incremental Annual O&amp;M_2029</v>
      </c>
      <c r="BI1" s="69" t="str">
        <f t="shared" ref="BI1" si="4">BI3&amp;"_"&amp;BI4&amp;"_"&amp;BI5</f>
        <v>Per Unit_Incremental Annual O&amp;M_2030</v>
      </c>
      <c r="BJ1" s="69" t="str">
        <f t="shared" si="2"/>
        <v>Per Unit_Customer &amp; Dealer Incentives_2024</v>
      </c>
      <c r="BK1" s="69" t="str">
        <f t="shared" si="2"/>
        <v>Per Unit_Customer &amp; Dealer Incentives_2025</v>
      </c>
      <c r="BL1" s="69" t="str">
        <f t="shared" si="2"/>
        <v>Per Unit_Customer &amp; Dealer Incentives_2026</v>
      </c>
      <c r="BM1" s="69" t="str">
        <f t="shared" si="2"/>
        <v>Per Unit_Customer &amp; Dealer Incentives_2027</v>
      </c>
      <c r="BN1" s="69" t="str">
        <f t="shared" si="2"/>
        <v>Per Unit_Customer &amp; Dealer Incentives_2028</v>
      </c>
      <c r="BO1" s="69" t="str">
        <f t="shared" si="2"/>
        <v>Per Unit_Customer &amp; Dealer Incentives_2029</v>
      </c>
      <c r="BP1" s="69" t="str">
        <f t="shared" ref="BP1" si="5">BP3&amp;"_"&amp;BP4&amp;"_"&amp;BP5</f>
        <v>Per Unit_Customer &amp; Dealer Incentives_2030</v>
      </c>
      <c r="BQ1" s="69" t="str">
        <f t="shared" si="2"/>
        <v>Per Unit_Implementation Cost_2024</v>
      </c>
      <c r="BR1" s="69" t="str">
        <f t="shared" si="2"/>
        <v>Per Unit_Implementation Cost_2025</v>
      </c>
      <c r="BS1" s="69" t="str">
        <f t="shared" si="2"/>
        <v>Per Unit_Implementation Cost_2026</v>
      </c>
      <c r="BT1" s="69" t="str">
        <f t="shared" si="2"/>
        <v>Per Unit_Implementation Cost_2027</v>
      </c>
      <c r="BU1" s="69" t="str">
        <f t="shared" si="2"/>
        <v>Per Unit_Implementation Cost_2028</v>
      </c>
      <c r="BV1" s="69" t="str">
        <f t="shared" si="2"/>
        <v>Per Unit_Implementation Cost_2029</v>
      </c>
      <c r="BW1" s="69" t="str">
        <f t="shared" ref="BW1" si="6">BW3&amp;"_"&amp;BW4&amp;"_"&amp;BW5</f>
        <v>Per Unit_Implementation Cost_2030</v>
      </c>
      <c r="BX1" s="69" t="str">
        <f t="shared" ref="BX1:DV1" si="7">BX3&amp;"_"&amp;BX4&amp;"_"&amp;BX5</f>
        <v>Per Unit_kWh _2024</v>
      </c>
      <c r="BY1" s="69" t="str">
        <f t="shared" si="7"/>
        <v>Per Unit_kWh _2025</v>
      </c>
      <c r="BZ1" s="69" t="str">
        <f t="shared" si="7"/>
        <v>Per Unit_kWh _2026</v>
      </c>
      <c r="CA1" s="69" t="str">
        <f t="shared" si="7"/>
        <v>Per Unit_kWh _2027</v>
      </c>
      <c r="CB1" s="69" t="str">
        <f t="shared" si="7"/>
        <v>Per Unit_kWh _2028</v>
      </c>
      <c r="CC1" s="69" t="str">
        <f t="shared" si="7"/>
        <v>Per Unit_kWh _2029</v>
      </c>
      <c r="CD1" s="69" t="str">
        <f t="shared" ref="CD1" si="8">CD3&amp;"_"&amp;CD4&amp;"_"&amp;CD5</f>
        <v>Per Unit_kWh _2030</v>
      </c>
      <c r="CE1" s="69" t="str">
        <f t="shared" si="7"/>
        <v>Per Unit_kW_2024</v>
      </c>
      <c r="CF1" s="69" t="str">
        <f t="shared" si="7"/>
        <v>Per Unit_kW_2025</v>
      </c>
      <c r="CG1" s="69" t="str">
        <f t="shared" si="7"/>
        <v>Per Unit_kW_2026</v>
      </c>
      <c r="CH1" s="69" t="str">
        <f t="shared" si="7"/>
        <v>Per Unit_kW_2027</v>
      </c>
      <c r="CI1" s="69" t="str">
        <f t="shared" si="7"/>
        <v>Per Unit_kW_2028</v>
      </c>
      <c r="CJ1" s="69" t="str">
        <f t="shared" si="7"/>
        <v>Per Unit_kW_2029</v>
      </c>
      <c r="CK1" s="69" t="str">
        <f t="shared" ref="CK1" si="9">CK3&amp;"_"&amp;CK4&amp;"_"&amp;CK5</f>
        <v>Per Unit_kW_2030</v>
      </c>
      <c r="CL1" s="69" t="str">
        <f t="shared" si="7"/>
        <v>Per Unit_Therms_2024</v>
      </c>
      <c r="CM1" s="69" t="str">
        <f t="shared" si="7"/>
        <v>Per Unit_Therms_2025</v>
      </c>
      <c r="CN1" s="69" t="str">
        <f t="shared" si="7"/>
        <v>Per Unit_Therms_2026</v>
      </c>
      <c r="CO1" s="69" t="str">
        <f t="shared" si="7"/>
        <v>Per Unit_Therms_2027</v>
      </c>
      <c r="CP1" s="69" t="str">
        <f t="shared" si="7"/>
        <v>Per Unit_Therms_2028</v>
      </c>
      <c r="CQ1" s="69" t="str">
        <f t="shared" si="7"/>
        <v>Per Unit_Therms_2029</v>
      </c>
      <c r="CR1" s="69" t="str">
        <f t="shared" ref="CR1" si="10">CR3&amp;"_"&amp;CR4&amp;"_"&amp;CR5</f>
        <v>Per Unit_Therms_2030</v>
      </c>
      <c r="CS1" s="69" t="str">
        <f t="shared" si="7"/>
        <v>Program_Incremental Costs_2024</v>
      </c>
      <c r="CT1" s="69" t="str">
        <f t="shared" si="7"/>
        <v>Program_Incremental Costs_2025</v>
      </c>
      <c r="CU1" s="69" t="str">
        <f t="shared" si="7"/>
        <v>Program_Incremental Costs_2026</v>
      </c>
      <c r="CV1" s="69" t="str">
        <f t="shared" si="7"/>
        <v>Program_Incremental Costs_2027</v>
      </c>
      <c r="CW1" s="69" t="str">
        <f t="shared" si="7"/>
        <v>Program_Incremental Costs_2028</v>
      </c>
      <c r="CX1" s="69" t="str">
        <f t="shared" si="7"/>
        <v>Program_Incremental Costs_2029</v>
      </c>
      <c r="CY1" s="69" t="str">
        <f t="shared" ref="CY1" si="11">CY3&amp;"_"&amp;CY4&amp;"_"&amp;CY5</f>
        <v>Program_Incremental Costs_2030</v>
      </c>
      <c r="CZ1" s="69" t="str">
        <f t="shared" si="7"/>
        <v>Program_Incremental Annual O&amp;M_2024</v>
      </c>
      <c r="DA1" s="69" t="str">
        <f t="shared" si="7"/>
        <v>Program_Incremental Annual O&amp;M_2025</v>
      </c>
      <c r="DB1" s="69" t="str">
        <f t="shared" si="7"/>
        <v>Program_Incremental Annual O&amp;M_2026</v>
      </c>
      <c r="DC1" s="69" t="str">
        <f t="shared" si="7"/>
        <v>Program_Incremental Annual O&amp;M_2027</v>
      </c>
      <c r="DD1" s="69" t="str">
        <f t="shared" si="7"/>
        <v>Program_Incremental Annual O&amp;M_2028</v>
      </c>
      <c r="DE1" s="69" t="str">
        <f t="shared" si="7"/>
        <v>Program_Incremental Annual O&amp;M_2029</v>
      </c>
      <c r="DF1" s="69" t="str">
        <f t="shared" ref="DF1" si="12">DF3&amp;"_"&amp;DF4&amp;"_"&amp;DF5</f>
        <v>Program_Incremental Annual O&amp;M_2030</v>
      </c>
      <c r="DG1" s="69" t="str">
        <f t="shared" si="7"/>
        <v>Program_Customer &amp; Dealer Incentives_2024</v>
      </c>
      <c r="DH1" s="69" t="str">
        <f t="shared" si="7"/>
        <v>Program_Customer &amp; Dealer Incentives_2025</v>
      </c>
      <c r="DI1" s="69" t="str">
        <f t="shared" si="7"/>
        <v>Program_Customer &amp; Dealer Incentives_2026</v>
      </c>
      <c r="DJ1" s="69" t="str">
        <f t="shared" si="7"/>
        <v>Program_Customer &amp; Dealer Incentives_2027</v>
      </c>
      <c r="DK1" s="69" t="str">
        <f t="shared" si="7"/>
        <v>Program_Customer &amp; Dealer Incentives_2028</v>
      </c>
      <c r="DL1" s="69" t="str">
        <f t="shared" si="7"/>
        <v>Program_Customer &amp; Dealer Incentives_2029</v>
      </c>
      <c r="DM1" s="69" t="str">
        <f t="shared" ref="DM1" si="13">DM3&amp;"_"&amp;DM4&amp;"_"&amp;DM5</f>
        <v>Program_Customer &amp; Dealer Incentives_2030</v>
      </c>
      <c r="DN1" s="69" t="str">
        <f t="shared" si="7"/>
        <v>Program_Implementation Costs_2024</v>
      </c>
      <c r="DO1" s="69" t="str">
        <f t="shared" si="7"/>
        <v>Program_Implementation Costs_2025</v>
      </c>
      <c r="DP1" s="69" t="str">
        <f t="shared" si="7"/>
        <v>Program_Implementation Costs_2026</v>
      </c>
      <c r="DQ1" s="69" t="str">
        <f t="shared" si="7"/>
        <v>Program_Implementation Costs_2027</v>
      </c>
      <c r="DR1" s="69" t="str">
        <f t="shared" si="7"/>
        <v>Program_Implementation Costs_2028</v>
      </c>
      <c r="DS1" s="69" t="str">
        <f t="shared" si="7"/>
        <v>Program_Implementation Costs_2029</v>
      </c>
      <c r="DT1" s="69" t="str">
        <f t="shared" ref="DT1" si="14">DT3&amp;"_"&amp;DT4&amp;"_"&amp;DT5</f>
        <v>Program_Implementation Costs_2030</v>
      </c>
      <c r="DU1" s="69" t="str">
        <f t="shared" si="7"/>
        <v>Program_kWh _2024</v>
      </c>
      <c r="DV1" s="69" t="str">
        <f t="shared" si="7"/>
        <v>Program_kWh _2025</v>
      </c>
      <c r="DW1" s="69" t="str">
        <f t="shared" ref="DW1:EW1" si="15">DW3&amp;"_"&amp;DW4&amp;"_"&amp;DW5</f>
        <v>Program_kWh _2026</v>
      </c>
      <c r="DX1" s="69" t="str">
        <f t="shared" si="15"/>
        <v>Program_kWh _2027</v>
      </c>
      <c r="DY1" s="69" t="str">
        <f t="shared" si="15"/>
        <v>Program_kWh _2028</v>
      </c>
      <c r="DZ1" s="69" t="str">
        <f t="shared" si="15"/>
        <v>Program_kWh _2029</v>
      </c>
      <c r="EA1" s="69" t="str">
        <f t="shared" ref="EA1" si="16">EA3&amp;"_"&amp;EA4&amp;"_"&amp;EA5</f>
        <v>Program_kWh _2030</v>
      </c>
      <c r="EB1" s="69" t="str">
        <f t="shared" si="15"/>
        <v>Program_kW_2024</v>
      </c>
      <c r="EC1" s="69" t="str">
        <f t="shared" si="15"/>
        <v>Program_kW_2025</v>
      </c>
      <c r="ED1" s="69" t="str">
        <f t="shared" si="15"/>
        <v>Program_kW_2026</v>
      </c>
      <c r="EE1" s="69" t="str">
        <f t="shared" si="15"/>
        <v>Program_kW_2027</v>
      </c>
      <c r="EF1" s="69" t="str">
        <f t="shared" si="15"/>
        <v>Program_kW_2028</v>
      </c>
      <c r="EG1" s="69" t="str">
        <f t="shared" si="15"/>
        <v>Program_kW_2029</v>
      </c>
      <c r="EH1" s="69" t="str">
        <f t="shared" ref="EH1" si="17">EH3&amp;"_"&amp;EH4&amp;"_"&amp;EH5</f>
        <v>Program_kW_2030</v>
      </c>
      <c r="EI1" s="69" t="str">
        <f t="shared" si="15"/>
        <v>Program_Therms_2024</v>
      </c>
      <c r="EJ1" s="69" t="str">
        <f t="shared" si="15"/>
        <v>Program_Therms_2025</v>
      </c>
      <c r="EK1" s="69" t="str">
        <f t="shared" si="15"/>
        <v>Program_Therms_2026</v>
      </c>
      <c r="EL1" s="69" t="str">
        <f t="shared" si="15"/>
        <v>Program_Therms_2027</v>
      </c>
      <c r="EM1" s="69" t="str">
        <f t="shared" si="15"/>
        <v>Program_Therms_2028</v>
      </c>
      <c r="EN1" s="69" t="str">
        <f t="shared" si="15"/>
        <v>Program_Therms_2029</v>
      </c>
      <c r="EO1" s="69" t="str">
        <f t="shared" ref="EO1" si="18">EO3&amp;"_"&amp;EO4&amp;"_"&amp;EO5</f>
        <v>Program_Therms_2030</v>
      </c>
      <c r="EP1" s="69" t="str">
        <f t="shared" si="15"/>
        <v>_Total Plan Summary 2024-2030_Participation</v>
      </c>
      <c r="EQ1" s="69" t="str">
        <f t="shared" si="15"/>
        <v>__Incremental Costs ($)</v>
      </c>
      <c r="ER1" s="69" t="str">
        <f t="shared" si="15"/>
        <v>__Incremental Annual O&amp;M ($)</v>
      </c>
      <c r="ES1" s="69" t="str">
        <f t="shared" si="15"/>
        <v>__Customer &amp; Dealer Incentives ($)</v>
      </c>
      <c r="ET1" s="69" t="str">
        <f t="shared" si="15"/>
        <v>__Implementation Costs ($)</v>
      </c>
      <c r="EU1" s="69" t="str">
        <f t="shared" si="15"/>
        <v>__Electric kWh  Benefits</v>
      </c>
      <c r="EV1" s="69" t="str">
        <f t="shared" si="15"/>
        <v>__Electric kW Peak Demand Benefits</v>
      </c>
      <c r="EW1" s="69" t="str">
        <f t="shared" si="15"/>
        <v>__Natural Gas Therms Benefits</v>
      </c>
      <c r="EX1" s="2"/>
      <c r="EY1" s="2"/>
      <c r="EZ1" s="2"/>
      <c r="FA1" s="2"/>
      <c r="FB1" s="2"/>
      <c r="FC1" s="2"/>
      <c r="FD1" s="2"/>
      <c r="FE1" s="2"/>
      <c r="FF1" s="2"/>
    </row>
    <row r="2" spans="1:162" s="94" customFormat="1" ht="16" thickBot="1">
      <c r="A2" s="1" t="s">
        <v>1916</v>
      </c>
      <c r="B2" s="4"/>
      <c r="C2" s="4"/>
      <c r="D2" s="5"/>
      <c r="E2" s="5"/>
      <c r="F2" s="5"/>
      <c r="G2" s="5"/>
      <c r="H2" s="5"/>
      <c r="I2" s="5"/>
      <c r="J2" s="5"/>
      <c r="K2" s="5"/>
      <c r="L2" s="5"/>
      <c r="M2" s="5"/>
      <c r="N2" s="5"/>
      <c r="O2" s="5"/>
      <c r="P2" s="5"/>
      <c r="Q2" s="5"/>
      <c r="R2" s="5"/>
      <c r="S2" s="5"/>
      <c r="T2" s="5"/>
      <c r="U2" s="6"/>
      <c r="V2" s="6"/>
      <c r="W2" s="6"/>
      <c r="X2" s="6"/>
      <c r="Y2" s="6"/>
      <c r="Z2" s="6"/>
      <c r="AA2" s="6"/>
      <c r="AB2" s="6"/>
      <c r="AC2" s="6"/>
      <c r="AD2" s="6"/>
      <c r="AE2" s="6"/>
      <c r="AF2" s="6"/>
      <c r="AG2" s="6"/>
      <c r="AH2" s="7"/>
      <c r="AI2" s="7"/>
      <c r="AJ2" s="7"/>
      <c r="AK2" s="7"/>
      <c r="AL2" s="7"/>
      <c r="AM2" s="7"/>
      <c r="AN2" s="7"/>
      <c r="AO2" s="7"/>
      <c r="AP2" s="5"/>
      <c r="AQ2" s="5"/>
      <c r="AR2" s="5"/>
      <c r="AS2" s="5"/>
      <c r="AT2" s="5"/>
      <c r="AU2" s="5"/>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7"/>
      <c r="BW2" s="323"/>
      <c r="BX2" s="408"/>
      <c r="BY2" s="408"/>
      <c r="BZ2" s="408"/>
      <c r="CA2" s="408"/>
      <c r="CB2" s="408"/>
      <c r="CC2" s="409"/>
      <c r="CD2" s="338"/>
      <c r="CE2" s="408"/>
      <c r="CF2" s="408"/>
      <c r="CG2" s="408"/>
      <c r="CH2" s="408"/>
      <c r="CI2" s="408"/>
      <c r="CJ2" s="409"/>
      <c r="CK2" s="338"/>
      <c r="CL2" s="408"/>
      <c r="CM2" s="408"/>
      <c r="CN2" s="408"/>
      <c r="CO2" s="408"/>
      <c r="CP2" s="408"/>
      <c r="CQ2" s="409"/>
      <c r="CR2" s="338"/>
      <c r="CS2" s="406"/>
      <c r="CT2" s="406"/>
      <c r="CU2" s="406"/>
      <c r="CV2" s="406"/>
      <c r="CW2" s="406"/>
      <c r="CX2" s="406"/>
      <c r="CY2" s="406"/>
      <c r="CZ2" s="406"/>
      <c r="DA2" s="406"/>
      <c r="DB2" s="406"/>
      <c r="DC2" s="406"/>
      <c r="DD2" s="406"/>
      <c r="DE2" s="406"/>
      <c r="DF2" s="406"/>
      <c r="DG2" s="406"/>
      <c r="DH2" s="406"/>
      <c r="DI2" s="406"/>
      <c r="DJ2" s="406"/>
      <c r="DK2" s="406"/>
      <c r="DL2" s="406"/>
      <c r="DM2" s="406"/>
      <c r="DN2" s="406"/>
      <c r="DO2" s="406"/>
      <c r="DP2" s="406"/>
      <c r="DQ2" s="406"/>
      <c r="DR2" s="406"/>
      <c r="DS2" s="407"/>
      <c r="DT2" s="323"/>
      <c r="DU2" s="408"/>
      <c r="DV2" s="408"/>
      <c r="DW2" s="408"/>
      <c r="DX2" s="408"/>
      <c r="DY2" s="408"/>
      <c r="DZ2" s="409"/>
      <c r="EA2" s="338"/>
      <c r="EB2" s="408"/>
      <c r="EC2" s="408"/>
      <c r="ED2" s="408"/>
      <c r="EE2" s="408"/>
      <c r="EF2" s="408"/>
      <c r="EG2" s="409"/>
      <c r="EH2" s="339"/>
      <c r="EI2" s="410"/>
      <c r="EJ2" s="410"/>
      <c r="EK2" s="410"/>
      <c r="EL2" s="410"/>
      <c r="EM2" s="410"/>
      <c r="EN2" s="410"/>
      <c r="EO2" s="279"/>
      <c r="EP2" s="5"/>
      <c r="EQ2" s="5"/>
      <c r="ER2" s="5"/>
      <c r="ES2" s="5"/>
      <c r="ET2" s="5"/>
      <c r="EU2" s="5"/>
      <c r="EV2" s="5"/>
      <c r="EW2" s="5"/>
      <c r="EX2" s="5"/>
      <c r="EY2" s="5"/>
      <c r="EZ2" s="5"/>
      <c r="FA2" s="5"/>
      <c r="FB2" s="5"/>
      <c r="FC2" s="5"/>
      <c r="FD2" s="5"/>
      <c r="FE2" s="5"/>
      <c r="FF2" s="5"/>
    </row>
    <row r="3" spans="1:162">
      <c r="A3" s="2"/>
      <c r="B3" s="8"/>
      <c r="C3" s="8"/>
      <c r="D3" s="2"/>
      <c r="E3" s="2"/>
      <c r="F3" s="2"/>
      <c r="G3" s="2"/>
      <c r="H3" s="2"/>
      <c r="I3" s="2"/>
      <c r="J3" s="2"/>
      <c r="K3" s="2"/>
      <c r="L3" s="2"/>
      <c r="M3" s="2"/>
      <c r="N3" s="2"/>
      <c r="O3" s="2"/>
      <c r="P3" s="2"/>
      <c r="Q3" s="2"/>
      <c r="R3" s="2"/>
      <c r="S3" s="2"/>
      <c r="T3" s="2"/>
      <c r="U3" s="3"/>
      <c r="V3" s="3"/>
      <c r="W3" s="3"/>
      <c r="X3" s="3"/>
      <c r="Y3" s="3"/>
      <c r="Z3" s="3"/>
      <c r="AA3" s="3"/>
      <c r="AB3" s="3"/>
      <c r="AC3" s="3"/>
      <c r="AD3" s="3"/>
      <c r="AE3" s="3"/>
      <c r="AF3" s="3"/>
      <c r="AG3" s="3"/>
      <c r="AH3" s="9"/>
      <c r="AI3" s="9"/>
      <c r="AJ3" s="9"/>
      <c r="AK3" s="9"/>
      <c r="AL3" s="9"/>
      <c r="AM3" s="9"/>
      <c r="AN3" s="9"/>
      <c r="AO3" s="9"/>
      <c r="AP3" s="2"/>
      <c r="AQ3" s="2"/>
      <c r="AR3" s="2"/>
      <c r="AS3" s="2"/>
      <c r="AT3" s="2"/>
      <c r="AU3" s="2"/>
      <c r="AV3" s="109" t="s">
        <v>331</v>
      </c>
      <c r="AW3" s="110" t="s">
        <v>331</v>
      </c>
      <c r="AX3" s="110" t="s">
        <v>331</v>
      </c>
      <c r="AY3" s="110" t="s">
        <v>331</v>
      </c>
      <c r="AZ3" s="110" t="s">
        <v>331</v>
      </c>
      <c r="BA3" s="110" t="s">
        <v>331</v>
      </c>
      <c r="BB3" s="111" t="s">
        <v>331</v>
      </c>
      <c r="BC3" s="109" t="s">
        <v>331</v>
      </c>
      <c r="BD3" s="110" t="s">
        <v>331</v>
      </c>
      <c r="BE3" s="110" t="s">
        <v>331</v>
      </c>
      <c r="BF3" s="110" t="s">
        <v>331</v>
      </c>
      <c r="BG3" s="110" t="s">
        <v>331</v>
      </c>
      <c r="BH3" s="110" t="s">
        <v>331</v>
      </c>
      <c r="BI3" s="111" t="s">
        <v>331</v>
      </c>
      <c r="BJ3" s="109" t="s">
        <v>331</v>
      </c>
      <c r="BK3" s="110" t="s">
        <v>331</v>
      </c>
      <c r="BL3" s="110" t="s">
        <v>331</v>
      </c>
      <c r="BM3" s="110" t="s">
        <v>331</v>
      </c>
      <c r="BN3" s="110" t="s">
        <v>331</v>
      </c>
      <c r="BO3" s="110" t="s">
        <v>331</v>
      </c>
      <c r="BP3" s="282" t="s">
        <v>331</v>
      </c>
      <c r="BQ3" s="109" t="s">
        <v>331</v>
      </c>
      <c r="BR3" s="110" t="s">
        <v>331</v>
      </c>
      <c r="BS3" s="110" t="s">
        <v>331</v>
      </c>
      <c r="BT3" s="110" t="s">
        <v>331</v>
      </c>
      <c r="BU3" s="110" t="s">
        <v>331</v>
      </c>
      <c r="BV3" s="110" t="s">
        <v>331</v>
      </c>
      <c r="BW3" s="111" t="s">
        <v>331</v>
      </c>
      <c r="BX3" s="289" t="s">
        <v>331</v>
      </c>
      <c r="BY3" s="113" t="s">
        <v>331</v>
      </c>
      <c r="BZ3" s="113" t="s">
        <v>331</v>
      </c>
      <c r="CA3" s="113" t="s">
        <v>331</v>
      </c>
      <c r="CB3" s="113" t="s">
        <v>331</v>
      </c>
      <c r="CC3" s="113" t="s">
        <v>331</v>
      </c>
      <c r="CD3" s="114" t="s">
        <v>331</v>
      </c>
      <c r="CE3" s="289" t="s">
        <v>331</v>
      </c>
      <c r="CF3" s="113" t="s">
        <v>331</v>
      </c>
      <c r="CG3" s="113" t="s">
        <v>331</v>
      </c>
      <c r="CH3" s="113" t="s">
        <v>331</v>
      </c>
      <c r="CI3" s="113" t="s">
        <v>331</v>
      </c>
      <c r="CJ3" s="113" t="s">
        <v>331</v>
      </c>
      <c r="CK3" s="114" t="s">
        <v>331</v>
      </c>
      <c r="CL3" s="289" t="s">
        <v>331</v>
      </c>
      <c r="CM3" s="113" t="s">
        <v>331</v>
      </c>
      <c r="CN3" s="113" t="s">
        <v>331</v>
      </c>
      <c r="CO3" s="113" t="s">
        <v>331</v>
      </c>
      <c r="CP3" s="113" t="s">
        <v>331</v>
      </c>
      <c r="CQ3" s="113" t="s">
        <v>331</v>
      </c>
      <c r="CR3" s="114" t="s">
        <v>331</v>
      </c>
      <c r="CS3" s="288" t="s">
        <v>0</v>
      </c>
      <c r="CT3" s="110" t="s">
        <v>0</v>
      </c>
      <c r="CU3" s="110" t="s">
        <v>0</v>
      </c>
      <c r="CV3" s="110" t="s">
        <v>0</v>
      </c>
      <c r="CW3" s="110" t="s">
        <v>0</v>
      </c>
      <c r="CX3" s="110" t="s">
        <v>0</v>
      </c>
      <c r="CY3" s="111" t="s">
        <v>0</v>
      </c>
      <c r="CZ3" s="288" t="s">
        <v>0</v>
      </c>
      <c r="DA3" s="110" t="s">
        <v>0</v>
      </c>
      <c r="DB3" s="110" t="s">
        <v>0</v>
      </c>
      <c r="DC3" s="110" t="s">
        <v>0</v>
      </c>
      <c r="DD3" s="110" t="s">
        <v>0</v>
      </c>
      <c r="DE3" s="110" t="s">
        <v>0</v>
      </c>
      <c r="DF3" s="111" t="s">
        <v>0</v>
      </c>
      <c r="DG3" s="288" t="s">
        <v>0</v>
      </c>
      <c r="DH3" s="110" t="s">
        <v>0</v>
      </c>
      <c r="DI3" s="110" t="s">
        <v>0</v>
      </c>
      <c r="DJ3" s="110" t="s">
        <v>0</v>
      </c>
      <c r="DK3" s="110" t="s">
        <v>0</v>
      </c>
      <c r="DL3" s="110" t="s">
        <v>0</v>
      </c>
      <c r="DM3" s="111" t="s">
        <v>0</v>
      </c>
      <c r="DN3" s="288" t="s">
        <v>0</v>
      </c>
      <c r="DO3" s="110" t="s">
        <v>0</v>
      </c>
      <c r="DP3" s="110" t="s">
        <v>0</v>
      </c>
      <c r="DQ3" s="110" t="s">
        <v>0</v>
      </c>
      <c r="DR3" s="110" t="s">
        <v>0</v>
      </c>
      <c r="DS3" s="110" t="s">
        <v>0</v>
      </c>
      <c r="DT3" s="111" t="s">
        <v>0</v>
      </c>
      <c r="DU3" s="541" t="s">
        <v>0</v>
      </c>
      <c r="DV3" s="478" t="s">
        <v>0</v>
      </c>
      <c r="DW3" s="478" t="s">
        <v>0</v>
      </c>
      <c r="DX3" s="478" t="s">
        <v>0</v>
      </c>
      <c r="DY3" s="478" t="s">
        <v>0</v>
      </c>
      <c r="DZ3" s="478" t="s">
        <v>0</v>
      </c>
      <c r="EA3" s="478" t="s">
        <v>0</v>
      </c>
      <c r="EB3" s="321" t="s">
        <v>0</v>
      </c>
      <c r="EC3" s="116" t="s">
        <v>0</v>
      </c>
      <c r="ED3" s="116" t="s">
        <v>0</v>
      </c>
      <c r="EE3" s="116" t="s">
        <v>0</v>
      </c>
      <c r="EF3" s="116" t="s">
        <v>0</v>
      </c>
      <c r="EG3" s="116" t="s">
        <v>0</v>
      </c>
      <c r="EH3" s="117" t="s">
        <v>0</v>
      </c>
      <c r="EI3" s="321" t="s">
        <v>0</v>
      </c>
      <c r="EJ3" s="116" t="s">
        <v>0</v>
      </c>
      <c r="EK3" s="116" t="s">
        <v>0</v>
      </c>
      <c r="EL3" s="116" t="s">
        <v>0</v>
      </c>
      <c r="EM3" s="116" t="s">
        <v>0</v>
      </c>
      <c r="EN3" s="116" t="s">
        <v>0</v>
      </c>
      <c r="EO3" s="117" t="s">
        <v>0</v>
      </c>
      <c r="EP3" s="2"/>
      <c r="EQ3" s="2"/>
      <c r="ER3" s="2"/>
      <c r="ES3" s="2"/>
      <c r="ET3" s="2"/>
      <c r="EU3" s="2"/>
      <c r="EV3" s="2"/>
      <c r="EW3" s="2"/>
      <c r="EX3" s="2"/>
      <c r="EY3" s="2"/>
      <c r="EZ3" s="2"/>
      <c r="FA3" s="2"/>
      <c r="FB3" s="2"/>
      <c r="FC3" s="2"/>
      <c r="FD3" s="2"/>
      <c r="FE3" s="2"/>
      <c r="FF3" s="2"/>
    </row>
    <row r="4" spans="1:162"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440"/>
      <c r="AC4" s="440"/>
      <c r="AD4" s="440"/>
      <c r="AE4" s="1376" t="s">
        <v>335</v>
      </c>
      <c r="AF4" s="1377"/>
      <c r="AG4" s="1377"/>
      <c r="AH4" s="1377"/>
      <c r="AI4" s="1377"/>
      <c r="AJ4" s="1377"/>
      <c r="AK4" s="1377"/>
      <c r="AL4" s="1377"/>
      <c r="AM4" s="1377"/>
      <c r="AN4" s="1377"/>
      <c r="AO4" s="1377"/>
      <c r="AP4" s="1377"/>
      <c r="AQ4" s="1377"/>
      <c r="AR4" s="1378"/>
      <c r="AS4" s="687" t="s">
        <v>336</v>
      </c>
      <c r="AT4" s="1376" t="s">
        <v>337</v>
      </c>
      <c r="AU4" s="1377"/>
      <c r="AV4" s="688" t="s">
        <v>128</v>
      </c>
      <c r="AW4" s="476" t="s">
        <v>128</v>
      </c>
      <c r="AX4" s="476" t="s">
        <v>128</v>
      </c>
      <c r="AY4" s="476" t="s">
        <v>128</v>
      </c>
      <c r="AZ4" s="476" t="s">
        <v>128</v>
      </c>
      <c r="BA4" s="476" t="s">
        <v>128</v>
      </c>
      <c r="BB4" s="689" t="s">
        <v>128</v>
      </c>
      <c r="BC4" s="688" t="s">
        <v>129</v>
      </c>
      <c r="BD4" s="476" t="s">
        <v>129</v>
      </c>
      <c r="BE4" s="476" t="s">
        <v>129</v>
      </c>
      <c r="BF4" s="476" t="s">
        <v>129</v>
      </c>
      <c r="BG4" s="476" t="s">
        <v>129</v>
      </c>
      <c r="BH4" s="476" t="s">
        <v>129</v>
      </c>
      <c r="BI4" s="689" t="s">
        <v>129</v>
      </c>
      <c r="BJ4" s="688" t="s">
        <v>130</v>
      </c>
      <c r="BK4" s="476" t="s">
        <v>130</v>
      </c>
      <c r="BL4" s="476" t="s">
        <v>130</v>
      </c>
      <c r="BM4" s="476" t="s">
        <v>130</v>
      </c>
      <c r="BN4" s="476" t="s">
        <v>130</v>
      </c>
      <c r="BO4" s="476" t="s">
        <v>130</v>
      </c>
      <c r="BP4" s="502" t="s">
        <v>130</v>
      </c>
      <c r="BQ4" s="688" t="s">
        <v>338</v>
      </c>
      <c r="BR4" s="476" t="s">
        <v>338</v>
      </c>
      <c r="BS4" s="476" t="s">
        <v>338</v>
      </c>
      <c r="BT4" s="476" t="s">
        <v>338</v>
      </c>
      <c r="BU4" s="476" t="s">
        <v>338</v>
      </c>
      <c r="BV4" s="476" t="s">
        <v>338</v>
      </c>
      <c r="BW4" s="689" t="s">
        <v>338</v>
      </c>
      <c r="BX4" s="505" t="s">
        <v>131</v>
      </c>
      <c r="BY4" s="477" t="s">
        <v>131</v>
      </c>
      <c r="BZ4" s="477" t="s">
        <v>131</v>
      </c>
      <c r="CA4" s="477" t="s">
        <v>131</v>
      </c>
      <c r="CB4" s="477" t="s">
        <v>131</v>
      </c>
      <c r="CC4" s="477" t="s">
        <v>131</v>
      </c>
      <c r="CD4" s="691" t="s">
        <v>131</v>
      </c>
      <c r="CE4" s="505" t="s">
        <v>132</v>
      </c>
      <c r="CF4" s="477" t="s">
        <v>132</v>
      </c>
      <c r="CG4" s="477" t="s">
        <v>132</v>
      </c>
      <c r="CH4" s="477" t="s">
        <v>132</v>
      </c>
      <c r="CI4" s="477" t="s">
        <v>132</v>
      </c>
      <c r="CJ4" s="477" t="s">
        <v>132</v>
      </c>
      <c r="CK4" s="691" t="s">
        <v>132</v>
      </c>
      <c r="CL4" s="505" t="s">
        <v>133</v>
      </c>
      <c r="CM4" s="477" t="s">
        <v>133</v>
      </c>
      <c r="CN4" s="477" t="s">
        <v>133</v>
      </c>
      <c r="CO4" s="477" t="s">
        <v>133</v>
      </c>
      <c r="CP4" s="477" t="s">
        <v>133</v>
      </c>
      <c r="CQ4" s="477" t="s">
        <v>133</v>
      </c>
      <c r="CR4" s="691" t="s">
        <v>133</v>
      </c>
      <c r="CS4" s="490" t="s">
        <v>128</v>
      </c>
      <c r="CT4" s="476" t="s">
        <v>128</v>
      </c>
      <c r="CU4" s="476" t="s">
        <v>128</v>
      </c>
      <c r="CV4" s="476" t="s">
        <v>128</v>
      </c>
      <c r="CW4" s="476" t="s">
        <v>128</v>
      </c>
      <c r="CX4" s="476" t="s">
        <v>128</v>
      </c>
      <c r="CY4" s="689" t="s">
        <v>128</v>
      </c>
      <c r="CZ4" s="490" t="s">
        <v>129</v>
      </c>
      <c r="DA4" s="476" t="s">
        <v>129</v>
      </c>
      <c r="DB4" s="476" t="s">
        <v>129</v>
      </c>
      <c r="DC4" s="476" t="s">
        <v>129</v>
      </c>
      <c r="DD4" s="476" t="s">
        <v>129</v>
      </c>
      <c r="DE4" s="476" t="s">
        <v>129</v>
      </c>
      <c r="DF4" s="689" t="s">
        <v>129</v>
      </c>
      <c r="DG4" s="490" t="s">
        <v>130</v>
      </c>
      <c r="DH4" s="476" t="s">
        <v>130</v>
      </c>
      <c r="DI4" s="476" t="s">
        <v>130</v>
      </c>
      <c r="DJ4" s="476" t="s">
        <v>130</v>
      </c>
      <c r="DK4" s="476" t="s">
        <v>130</v>
      </c>
      <c r="DL4" s="476" t="s">
        <v>130</v>
      </c>
      <c r="DM4" s="689" t="s">
        <v>130</v>
      </c>
      <c r="DN4" s="490" t="s">
        <v>165</v>
      </c>
      <c r="DO4" s="476" t="s">
        <v>165</v>
      </c>
      <c r="DP4" s="476" t="s">
        <v>165</v>
      </c>
      <c r="DQ4" s="476" t="s">
        <v>165</v>
      </c>
      <c r="DR4" s="476" t="s">
        <v>165</v>
      </c>
      <c r="DS4" s="476" t="s">
        <v>165</v>
      </c>
      <c r="DT4" s="689" t="s">
        <v>165</v>
      </c>
      <c r="DU4" s="505" t="s">
        <v>131</v>
      </c>
      <c r="DV4" s="477" t="s">
        <v>131</v>
      </c>
      <c r="DW4" s="477" t="s">
        <v>131</v>
      </c>
      <c r="DX4" s="477" t="s">
        <v>131</v>
      </c>
      <c r="DY4" s="477" t="s">
        <v>131</v>
      </c>
      <c r="DZ4" s="477" t="s">
        <v>131</v>
      </c>
      <c r="EA4" s="477" t="s">
        <v>131</v>
      </c>
      <c r="EB4" s="505" t="s">
        <v>132</v>
      </c>
      <c r="EC4" s="477" t="s">
        <v>132</v>
      </c>
      <c r="ED4" s="477" t="s">
        <v>132</v>
      </c>
      <c r="EE4" s="477" t="s">
        <v>132</v>
      </c>
      <c r="EF4" s="477" t="s">
        <v>132</v>
      </c>
      <c r="EG4" s="477" t="s">
        <v>132</v>
      </c>
      <c r="EH4" s="691" t="s">
        <v>132</v>
      </c>
      <c r="EI4" s="505" t="s">
        <v>133</v>
      </c>
      <c r="EJ4" s="477" t="s">
        <v>133</v>
      </c>
      <c r="EK4" s="477" t="s">
        <v>133</v>
      </c>
      <c r="EL4" s="477" t="s">
        <v>133</v>
      </c>
      <c r="EM4" s="477" t="s">
        <v>133</v>
      </c>
      <c r="EN4" s="477" t="s">
        <v>133</v>
      </c>
      <c r="EO4" s="691" t="s">
        <v>133</v>
      </c>
      <c r="EP4" s="1345" t="s">
        <v>134</v>
      </c>
      <c r="EQ4" s="1342"/>
      <c r="ER4" s="1342"/>
      <c r="ES4" s="1342"/>
      <c r="ET4" s="1342"/>
      <c r="EU4" s="1342"/>
      <c r="EV4" s="1342"/>
      <c r="EW4" s="1342"/>
      <c r="EX4" s="2"/>
      <c r="EY4" s="2"/>
      <c r="EZ4" s="2"/>
      <c r="FA4" s="2"/>
      <c r="FB4" s="2"/>
      <c r="FC4" s="2"/>
      <c r="FD4" s="2"/>
      <c r="FE4" s="2"/>
      <c r="FF4" s="2"/>
    </row>
    <row r="5" spans="1:162"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4" t="s">
        <v>358</v>
      </c>
      <c r="X5" s="658" t="s">
        <v>15</v>
      </c>
      <c r="Y5" s="658" t="s">
        <v>16</v>
      </c>
      <c r="Z5" s="658" t="s">
        <v>17</v>
      </c>
      <c r="AA5" s="658" t="s">
        <v>18</v>
      </c>
      <c r="AB5" s="658" t="s">
        <v>19</v>
      </c>
      <c r="AC5" s="658" t="s">
        <v>20</v>
      </c>
      <c r="AD5" s="1223" t="s">
        <v>21</v>
      </c>
      <c r="AE5" s="697" t="s">
        <v>359</v>
      </c>
      <c r="AF5" s="697" t="s">
        <v>166</v>
      </c>
      <c r="AG5" s="697" t="s">
        <v>360</v>
      </c>
      <c r="AH5" s="697" t="s">
        <v>361</v>
      </c>
      <c r="AI5" s="697" t="s">
        <v>362</v>
      </c>
      <c r="AJ5" s="697" t="s">
        <v>363</v>
      </c>
      <c r="AK5" s="697" t="s">
        <v>364</v>
      </c>
      <c r="AL5" s="697" t="s">
        <v>365</v>
      </c>
      <c r="AM5" s="698" t="s">
        <v>167</v>
      </c>
      <c r="AN5" s="698" t="s">
        <v>168</v>
      </c>
      <c r="AO5" s="698" t="s">
        <v>169</v>
      </c>
      <c r="AP5" s="697" t="s">
        <v>170</v>
      </c>
      <c r="AQ5" s="697" t="s">
        <v>366</v>
      </c>
      <c r="AR5" s="699" t="s">
        <v>367</v>
      </c>
      <c r="AS5" s="699" t="s">
        <v>368</v>
      </c>
      <c r="AT5" s="699" t="s">
        <v>369</v>
      </c>
      <c r="AU5" s="699" t="s">
        <v>370</v>
      </c>
      <c r="AV5" s="700">
        <v>2024</v>
      </c>
      <c r="AW5" s="486">
        <v>2025</v>
      </c>
      <c r="AX5" s="486">
        <v>2026</v>
      </c>
      <c r="AY5" s="486">
        <v>2027</v>
      </c>
      <c r="AZ5" s="486">
        <v>2028</v>
      </c>
      <c r="BA5" s="486">
        <v>2029</v>
      </c>
      <c r="BB5" s="910">
        <v>2030</v>
      </c>
      <c r="BC5" s="700">
        <v>2024</v>
      </c>
      <c r="BD5" s="486">
        <v>2025</v>
      </c>
      <c r="BE5" s="486">
        <v>2026</v>
      </c>
      <c r="BF5" s="486">
        <v>2027</v>
      </c>
      <c r="BG5" s="486">
        <v>2028</v>
      </c>
      <c r="BH5" s="486">
        <v>2029</v>
      </c>
      <c r="BI5" s="910">
        <v>2030</v>
      </c>
      <c r="BJ5" s="700">
        <v>2024</v>
      </c>
      <c r="BK5" s="486">
        <v>2025</v>
      </c>
      <c r="BL5" s="486">
        <v>2026</v>
      </c>
      <c r="BM5" s="486">
        <v>2027</v>
      </c>
      <c r="BN5" s="486">
        <v>2028</v>
      </c>
      <c r="BO5" s="486">
        <v>2029</v>
      </c>
      <c r="BP5" s="479">
        <v>2030</v>
      </c>
      <c r="BQ5" s="700">
        <v>2024</v>
      </c>
      <c r="BR5" s="486">
        <v>2025</v>
      </c>
      <c r="BS5" s="486">
        <v>2026</v>
      </c>
      <c r="BT5" s="486">
        <v>2027</v>
      </c>
      <c r="BU5" s="486">
        <v>2028</v>
      </c>
      <c r="BV5" s="486">
        <v>2029</v>
      </c>
      <c r="BW5" s="910">
        <v>2030</v>
      </c>
      <c r="BX5" s="506">
        <v>2024</v>
      </c>
      <c r="BY5" s="480">
        <v>2025</v>
      </c>
      <c r="BZ5" s="480">
        <v>2026</v>
      </c>
      <c r="CA5" s="480">
        <v>2027</v>
      </c>
      <c r="CB5" s="480">
        <v>2028</v>
      </c>
      <c r="CC5" s="480">
        <v>2029</v>
      </c>
      <c r="CD5" s="1182">
        <v>2030</v>
      </c>
      <c r="CE5" s="506">
        <v>2024</v>
      </c>
      <c r="CF5" s="480">
        <v>2025</v>
      </c>
      <c r="CG5" s="480">
        <v>2026</v>
      </c>
      <c r="CH5" s="480">
        <v>2027</v>
      </c>
      <c r="CI5" s="480">
        <v>2028</v>
      </c>
      <c r="CJ5" s="480">
        <v>2029</v>
      </c>
      <c r="CK5" s="1182">
        <v>2030</v>
      </c>
      <c r="CL5" s="506">
        <v>2024</v>
      </c>
      <c r="CM5" s="480">
        <v>2025</v>
      </c>
      <c r="CN5" s="480">
        <v>2026</v>
      </c>
      <c r="CO5" s="480">
        <v>2027</v>
      </c>
      <c r="CP5" s="480">
        <v>2028</v>
      </c>
      <c r="CQ5" s="480">
        <v>2029</v>
      </c>
      <c r="CR5" s="1182">
        <v>2030</v>
      </c>
      <c r="CS5" s="485">
        <v>2024</v>
      </c>
      <c r="CT5" s="486">
        <v>2025</v>
      </c>
      <c r="CU5" s="486">
        <v>2026</v>
      </c>
      <c r="CV5" s="486">
        <v>2027</v>
      </c>
      <c r="CW5" s="486">
        <v>2028</v>
      </c>
      <c r="CX5" s="486">
        <v>2029</v>
      </c>
      <c r="CY5" s="910">
        <v>2030</v>
      </c>
      <c r="CZ5" s="485">
        <v>2024</v>
      </c>
      <c r="DA5" s="486">
        <v>2025</v>
      </c>
      <c r="DB5" s="486">
        <v>2026</v>
      </c>
      <c r="DC5" s="486">
        <v>2027</v>
      </c>
      <c r="DD5" s="486">
        <v>2028</v>
      </c>
      <c r="DE5" s="486">
        <v>2029</v>
      </c>
      <c r="DF5" s="910">
        <v>2030</v>
      </c>
      <c r="DG5" s="485">
        <v>2024</v>
      </c>
      <c r="DH5" s="486">
        <v>2025</v>
      </c>
      <c r="DI5" s="486">
        <v>2026</v>
      </c>
      <c r="DJ5" s="486">
        <v>2027</v>
      </c>
      <c r="DK5" s="486">
        <v>2028</v>
      </c>
      <c r="DL5" s="486">
        <v>2029</v>
      </c>
      <c r="DM5" s="910">
        <v>2030</v>
      </c>
      <c r="DN5" s="485">
        <v>2024</v>
      </c>
      <c r="DO5" s="486">
        <v>2025</v>
      </c>
      <c r="DP5" s="486">
        <v>2026</v>
      </c>
      <c r="DQ5" s="486">
        <v>2027</v>
      </c>
      <c r="DR5" s="486">
        <v>2028</v>
      </c>
      <c r="DS5" s="486">
        <v>2029</v>
      </c>
      <c r="DT5" s="910">
        <v>2030</v>
      </c>
      <c r="DU5" s="506">
        <v>2024</v>
      </c>
      <c r="DV5" s="480">
        <v>2025</v>
      </c>
      <c r="DW5" s="480">
        <v>2026</v>
      </c>
      <c r="DX5" s="480">
        <v>2027</v>
      </c>
      <c r="DY5" s="480">
        <v>2028</v>
      </c>
      <c r="DZ5" s="480">
        <v>2029</v>
      </c>
      <c r="EA5" s="480">
        <v>2030</v>
      </c>
      <c r="EB5" s="506">
        <v>2024</v>
      </c>
      <c r="EC5" s="480">
        <v>2025</v>
      </c>
      <c r="ED5" s="480">
        <v>2026</v>
      </c>
      <c r="EE5" s="480">
        <v>2027</v>
      </c>
      <c r="EF5" s="480">
        <v>2028</v>
      </c>
      <c r="EG5" s="480">
        <v>2029</v>
      </c>
      <c r="EH5" s="1182">
        <v>2030</v>
      </c>
      <c r="EI5" s="506">
        <v>2024</v>
      </c>
      <c r="EJ5" s="480">
        <v>2025</v>
      </c>
      <c r="EK5" s="480">
        <v>2026</v>
      </c>
      <c r="EL5" s="480">
        <v>2027</v>
      </c>
      <c r="EM5" s="480">
        <v>2028</v>
      </c>
      <c r="EN5" s="480">
        <v>2029</v>
      </c>
      <c r="EO5" s="1182">
        <v>2030</v>
      </c>
      <c r="EP5" s="514" t="s">
        <v>9</v>
      </c>
      <c r="EQ5" s="659" t="s">
        <v>139</v>
      </c>
      <c r="ER5" s="659" t="s">
        <v>140</v>
      </c>
      <c r="ES5" s="659" t="s">
        <v>141</v>
      </c>
      <c r="ET5" s="659" t="s">
        <v>142</v>
      </c>
      <c r="EU5" s="659" t="s">
        <v>12</v>
      </c>
      <c r="EV5" s="659" t="s">
        <v>13</v>
      </c>
      <c r="EW5" s="659" t="s">
        <v>14</v>
      </c>
      <c r="EX5" s="2"/>
      <c r="EY5" s="2"/>
      <c r="EZ5" s="2"/>
      <c r="FA5" s="2"/>
      <c r="FB5" s="2"/>
      <c r="FC5" s="2"/>
      <c r="FD5" s="2"/>
      <c r="FE5" s="2"/>
      <c r="FF5" s="2"/>
    </row>
    <row r="6" spans="1:162" s="96" customFormat="1" ht="12.5">
      <c r="A6" s="662">
        <v>1</v>
      </c>
      <c r="B6" s="789" t="s">
        <v>1917</v>
      </c>
      <c r="C6" s="662" t="s">
        <v>1918</v>
      </c>
      <c r="D6" s="715" t="s">
        <v>1514</v>
      </c>
      <c r="E6" s="703" t="s">
        <v>1515</v>
      </c>
      <c r="F6" s="1134" t="s">
        <v>402</v>
      </c>
      <c r="G6" s="1183">
        <f>N6*0.75</f>
        <v>7653.270348837209</v>
      </c>
      <c r="H6" s="704">
        <v>0</v>
      </c>
      <c r="I6" s="706">
        <f>G6+H6</f>
        <v>7653.270348837209</v>
      </c>
      <c r="J6" s="704">
        <v>0</v>
      </c>
      <c r="K6" s="704" t="s">
        <v>378</v>
      </c>
      <c r="L6" s="711" t="s">
        <v>1919</v>
      </c>
      <c r="M6" s="1224">
        <f>15*R6</f>
        <v>2040.8720930232557</v>
      </c>
      <c r="N6" s="1134">
        <f>R6*75</f>
        <v>10204.360465116279</v>
      </c>
      <c r="O6" s="707">
        <v>0</v>
      </c>
      <c r="P6" s="707">
        <v>0</v>
      </c>
      <c r="Q6" s="978">
        <v>1352.3503381642504</v>
      </c>
      <c r="R6" s="1225">
        <v>136.05813953488371</v>
      </c>
      <c r="S6" s="715">
        <v>0</v>
      </c>
      <c r="T6" s="711" t="s">
        <v>1920</v>
      </c>
      <c r="U6" s="1124">
        <v>0.05</v>
      </c>
      <c r="V6" s="781">
        <v>1</v>
      </c>
      <c r="W6" s="781">
        <v>170</v>
      </c>
      <c r="X6" s="781">
        <f>($AC$6-$W$6)*X26+W6</f>
        <v>208.6395357240435</v>
      </c>
      <c r="Y6" s="781">
        <f>($AC$6-$W$6)*Y26+X6</f>
        <v>250.36270437890508</v>
      </c>
      <c r="Z6" s="781">
        <f>($AC$6-$W$6)*Z26+Y6</f>
        <v>295.04783051674445</v>
      </c>
      <c r="AA6" s="781">
        <f>($AC$6-$W$6)*AA26+Z6</f>
        <v>342.65150683639138</v>
      </c>
      <c r="AB6" s="781">
        <f>($AC$6-$W$6)*AB26+AA6</f>
        <v>393.14647888548654</v>
      </c>
      <c r="AC6" s="781">
        <f>W21*1000/R6</f>
        <v>445.44192804033844</v>
      </c>
      <c r="AD6" s="781">
        <f>AC6</f>
        <v>445.44192804033844</v>
      </c>
      <c r="AE6" s="711" t="s">
        <v>384</v>
      </c>
      <c r="AF6" s="711" t="s">
        <v>742</v>
      </c>
      <c r="AG6" s="1024" t="s">
        <v>1186</v>
      </c>
      <c r="AH6" s="711" t="s">
        <v>1533</v>
      </c>
      <c r="AI6" s="711" t="s">
        <v>1</v>
      </c>
      <c r="AJ6" s="711" t="s">
        <v>378</v>
      </c>
      <c r="AK6" s="711" t="s">
        <v>378</v>
      </c>
      <c r="AL6" s="711" t="s">
        <v>378</v>
      </c>
      <c r="AM6" s="715" t="s">
        <v>1207</v>
      </c>
      <c r="AN6" s="715" t="s">
        <v>380</v>
      </c>
      <c r="AO6" s="715" t="s">
        <v>1921</v>
      </c>
      <c r="AP6" s="711">
        <v>1</v>
      </c>
      <c r="AQ6" s="711">
        <v>1</v>
      </c>
      <c r="AR6" s="711" t="s">
        <v>1534</v>
      </c>
      <c r="AS6" s="716">
        <v>1</v>
      </c>
      <c r="AT6" s="716">
        <v>1</v>
      </c>
      <c r="AU6" s="717">
        <v>0</v>
      </c>
      <c r="AV6" s="718">
        <f>I6</f>
        <v>7653.270348837209</v>
      </c>
      <c r="AW6" s="499">
        <f t="shared" ref="AW6:AX6" si="19">AV6</f>
        <v>7653.270348837209</v>
      </c>
      <c r="AX6" s="499">
        <f t="shared" si="19"/>
        <v>7653.270348837209</v>
      </c>
      <c r="AY6" s="499">
        <f>AV6</f>
        <v>7653.270348837209</v>
      </c>
      <c r="AZ6" s="499">
        <f t="shared" ref="AZ6:BB6" si="20">AW6</f>
        <v>7653.270348837209</v>
      </c>
      <c r="BA6" s="499">
        <f t="shared" si="20"/>
        <v>7653.270348837209</v>
      </c>
      <c r="BB6" s="719">
        <f t="shared" si="20"/>
        <v>7653.270348837209</v>
      </c>
      <c r="BC6" s="774">
        <f>J6</f>
        <v>0</v>
      </c>
      <c r="BD6" s="499">
        <f t="shared" ref="BD6:BF6" si="21">BC6</f>
        <v>0</v>
      </c>
      <c r="BE6" s="499">
        <f t="shared" si="21"/>
        <v>0</v>
      </c>
      <c r="BF6" s="499">
        <f t="shared" si="21"/>
        <v>0</v>
      </c>
      <c r="BG6" s="499">
        <f t="shared" ref="BG6:BI6" si="22">BF6</f>
        <v>0</v>
      </c>
      <c r="BH6" s="499">
        <f t="shared" si="22"/>
        <v>0</v>
      </c>
      <c r="BI6" s="719">
        <f t="shared" si="22"/>
        <v>0</v>
      </c>
      <c r="BJ6" s="774">
        <f>N6+O6</f>
        <v>10204.360465116279</v>
      </c>
      <c r="BK6" s="503">
        <f>BJ6</f>
        <v>10204.360465116279</v>
      </c>
      <c r="BL6" s="503">
        <f t="shared" ref="BL6:BP6" si="23">BK6</f>
        <v>10204.360465116279</v>
      </c>
      <c r="BM6" s="503">
        <f t="shared" si="23"/>
        <v>10204.360465116279</v>
      </c>
      <c r="BN6" s="503">
        <f t="shared" si="23"/>
        <v>10204.360465116279</v>
      </c>
      <c r="BO6" s="503">
        <f t="shared" si="23"/>
        <v>10204.360465116279</v>
      </c>
      <c r="BP6" s="645">
        <f t="shared" si="23"/>
        <v>10204.360465116279</v>
      </c>
      <c r="BQ6" s="774">
        <f t="shared" ref="BQ6:BW12" si="24">$P6</f>
        <v>0</v>
      </c>
      <c r="BR6" s="503">
        <f t="shared" si="24"/>
        <v>0</v>
      </c>
      <c r="BS6" s="503">
        <f t="shared" si="24"/>
        <v>0</v>
      </c>
      <c r="BT6" s="503">
        <f t="shared" si="24"/>
        <v>0</v>
      </c>
      <c r="BU6" s="503">
        <f t="shared" si="24"/>
        <v>0</v>
      </c>
      <c r="BV6" s="503">
        <f t="shared" si="24"/>
        <v>0</v>
      </c>
      <c r="BW6" s="776">
        <f t="shared" si="24"/>
        <v>0</v>
      </c>
      <c r="BX6" s="507">
        <f>Q6*AT6</f>
        <v>1352.3503381642504</v>
      </c>
      <c r="BY6" s="511">
        <f>BX6</f>
        <v>1352.3503381642504</v>
      </c>
      <c r="BZ6" s="511">
        <f t="shared" ref="BZ6:CD6" si="25">BY6</f>
        <v>1352.3503381642504</v>
      </c>
      <c r="CA6" s="511">
        <f t="shared" si="25"/>
        <v>1352.3503381642504</v>
      </c>
      <c r="CB6" s="511">
        <f t="shared" si="25"/>
        <v>1352.3503381642504</v>
      </c>
      <c r="CC6" s="511">
        <f t="shared" si="25"/>
        <v>1352.3503381642504</v>
      </c>
      <c r="CD6" s="723">
        <f t="shared" si="25"/>
        <v>1352.3503381642504</v>
      </c>
      <c r="CE6" s="507">
        <f>R6*AT6</f>
        <v>136.05813953488371</v>
      </c>
      <c r="CF6" s="511">
        <f>CE6</f>
        <v>136.05813953488371</v>
      </c>
      <c r="CG6" s="511">
        <f t="shared" ref="CG6:CH6" si="26">CF6</f>
        <v>136.05813953488371</v>
      </c>
      <c r="CH6" s="511">
        <f t="shared" si="26"/>
        <v>136.05813953488371</v>
      </c>
      <c r="CI6" s="511">
        <f t="shared" ref="CI6:CK6" si="27">CH6</f>
        <v>136.05813953488371</v>
      </c>
      <c r="CJ6" s="511">
        <f t="shared" si="27"/>
        <v>136.05813953488371</v>
      </c>
      <c r="CK6" s="723">
        <f t="shared" si="27"/>
        <v>136.05813953488371</v>
      </c>
      <c r="CL6" s="507">
        <f>S6*AU6</f>
        <v>0</v>
      </c>
      <c r="CM6" s="511">
        <f>CL6</f>
        <v>0</v>
      </c>
      <c r="CN6" s="511">
        <f t="shared" ref="CN6:CO6" si="28">CM6</f>
        <v>0</v>
      </c>
      <c r="CO6" s="511">
        <f t="shared" si="28"/>
        <v>0</v>
      </c>
      <c r="CP6" s="511">
        <f t="shared" ref="CP6:CR6" si="29">CO6</f>
        <v>0</v>
      </c>
      <c r="CQ6" s="511">
        <f t="shared" si="29"/>
        <v>0</v>
      </c>
      <c r="CR6" s="723">
        <f t="shared" si="29"/>
        <v>0</v>
      </c>
      <c r="CS6" s="509">
        <f t="shared" ref="CS6:CX7" si="30">X6*AV6</f>
        <v>1596774.7723519837</v>
      </c>
      <c r="CT6" s="508">
        <f t="shared" si="30"/>
        <v>1916093.4618777698</v>
      </c>
      <c r="CU6" s="508">
        <f t="shared" si="30"/>
        <v>2258080.8127825465</v>
      </c>
      <c r="CV6" s="508">
        <f t="shared" si="30"/>
        <v>2622404.6172553445</v>
      </c>
      <c r="CW6" s="508">
        <f t="shared" si="30"/>
        <v>3008856.2896040482</v>
      </c>
      <c r="CX6" s="508">
        <f t="shared" si="30"/>
        <v>3409087.5</v>
      </c>
      <c r="CY6" s="725">
        <f>AD6*BB6</f>
        <v>3409087.5</v>
      </c>
      <c r="CZ6" s="509">
        <f t="shared" ref="CZ6:DE7" si="31">X6*BC6</f>
        <v>0</v>
      </c>
      <c r="DA6" s="508">
        <f t="shared" si="31"/>
        <v>0</v>
      </c>
      <c r="DB6" s="508">
        <f t="shared" si="31"/>
        <v>0</v>
      </c>
      <c r="DC6" s="508">
        <f t="shared" si="31"/>
        <v>0</v>
      </c>
      <c r="DD6" s="508">
        <f t="shared" si="31"/>
        <v>0</v>
      </c>
      <c r="DE6" s="508">
        <f t="shared" si="31"/>
        <v>0</v>
      </c>
      <c r="DF6" s="725">
        <f>AD6*BI6</f>
        <v>0</v>
      </c>
      <c r="DG6" s="509">
        <f t="shared" ref="DG6:DG13" si="32">X6*BJ6</f>
        <v>2129033.0298026451</v>
      </c>
      <c r="DH6" s="508">
        <f t="shared" ref="DH6:DL7" si="33">Y6*BK6</f>
        <v>2554791.2825036934</v>
      </c>
      <c r="DI6" s="508">
        <f t="shared" si="33"/>
        <v>3010774.4170433953</v>
      </c>
      <c r="DJ6" s="508">
        <f t="shared" si="33"/>
        <v>3496539.4896737924</v>
      </c>
      <c r="DK6" s="508">
        <f t="shared" si="33"/>
        <v>4011808.3861387307</v>
      </c>
      <c r="DL6" s="508">
        <f t="shared" si="33"/>
        <v>4545450</v>
      </c>
      <c r="DM6" s="725">
        <f>AD6*BP6</f>
        <v>4545450</v>
      </c>
      <c r="DN6" s="509">
        <f t="shared" ref="DN6:DS7" si="34">BQ6*X6</f>
        <v>0</v>
      </c>
      <c r="DO6" s="508">
        <f t="shared" si="34"/>
        <v>0</v>
      </c>
      <c r="DP6" s="508">
        <f t="shared" si="34"/>
        <v>0</v>
      </c>
      <c r="DQ6" s="508">
        <f t="shared" si="34"/>
        <v>0</v>
      </c>
      <c r="DR6" s="508">
        <f t="shared" si="34"/>
        <v>0</v>
      </c>
      <c r="DS6" s="508">
        <f t="shared" si="34"/>
        <v>0</v>
      </c>
      <c r="DT6" s="725">
        <f>BW6*AD6</f>
        <v>0</v>
      </c>
      <c r="DU6" s="507">
        <f t="shared" ref="DU6:DU13" si="35">X6*BX6</f>
        <v>282153.74669084244</v>
      </c>
      <c r="DV6" s="511">
        <f t="shared" ref="DV6:DZ7" si="36">Y6*BY6</f>
        <v>338578.08793052856</v>
      </c>
      <c r="DW6" s="511">
        <f t="shared" si="36"/>
        <v>399008.03337394778</v>
      </c>
      <c r="DX6" s="511">
        <f t="shared" si="36"/>
        <v>463384.88114268385</v>
      </c>
      <c r="DY6" s="511">
        <f t="shared" si="36"/>
        <v>531671.77366887208</v>
      </c>
      <c r="DZ6" s="511">
        <f t="shared" si="36"/>
        <v>602393.54201788735</v>
      </c>
      <c r="EA6" s="511">
        <f>AD6*CD6</f>
        <v>602393.54201788735</v>
      </c>
      <c r="EB6" s="507">
        <f t="shared" ref="EB6:EB13" si="37">X6*CE6</f>
        <v>28387.107064035263</v>
      </c>
      <c r="EC6" s="511">
        <f t="shared" ref="EC6:EG7" si="38">Y6*CF6</f>
        <v>34063.88376671591</v>
      </c>
      <c r="ED6" s="511">
        <f t="shared" si="38"/>
        <v>40143.658893911939</v>
      </c>
      <c r="EE6" s="511">
        <f t="shared" si="38"/>
        <v>46620.526528983894</v>
      </c>
      <c r="EF6" s="511">
        <f t="shared" si="38"/>
        <v>53490.778481849738</v>
      </c>
      <c r="EG6" s="511">
        <f t="shared" si="38"/>
        <v>60605.999999999993</v>
      </c>
      <c r="EH6" s="723">
        <f>AD6*CK6</f>
        <v>60605.999999999993</v>
      </c>
      <c r="EI6" s="507">
        <f t="shared" ref="EI6:EI13" si="39">X6*CL6</f>
        <v>0</v>
      </c>
      <c r="EJ6" s="511">
        <f t="shared" ref="EJ6:EN7" si="40">Y6*CM6</f>
        <v>0</v>
      </c>
      <c r="EK6" s="511">
        <f t="shared" si="40"/>
        <v>0</v>
      </c>
      <c r="EL6" s="511">
        <f t="shared" si="40"/>
        <v>0</v>
      </c>
      <c r="EM6" s="511">
        <f t="shared" si="40"/>
        <v>0</v>
      </c>
      <c r="EN6" s="511">
        <f t="shared" si="40"/>
        <v>0</v>
      </c>
      <c r="EO6" s="723">
        <f>AD6*CR6</f>
        <v>0</v>
      </c>
      <c r="EP6" s="1226">
        <f>AVERAGE(X6:AD6)</f>
        <v>340.10455891746403</v>
      </c>
      <c r="EQ6" s="922">
        <f>SUM(CS6:CY6)</f>
        <v>18220384.953871693</v>
      </c>
      <c r="ER6" s="922">
        <f>SUM(CZ6:DF6)</f>
        <v>0</v>
      </c>
      <c r="ES6" s="922">
        <f>SUM(DG6:DM6)</f>
        <v>24293846.605162255</v>
      </c>
      <c r="ET6" s="922">
        <f>SUM(DN6:DT6)</f>
        <v>0</v>
      </c>
      <c r="EU6" s="1227">
        <f>EA6</f>
        <v>602393.54201788735</v>
      </c>
      <c r="EV6" s="1227">
        <f>MAX(EB6:EH6)</f>
        <v>60605.999999999993</v>
      </c>
      <c r="EW6" s="924">
        <f>SUM(EI6:EO6)</f>
        <v>0</v>
      </c>
      <c r="EX6" s="10"/>
      <c r="EY6" s="10" t="b">
        <f>EP6=EP9+EP12</f>
        <v>1</v>
      </c>
      <c r="EZ6" s="10" t="b">
        <f t="shared" ref="EZ6:FE6" si="41">EQ6=EQ9+EQ12</f>
        <v>1</v>
      </c>
      <c r="FA6" s="10" t="b">
        <f t="shared" si="41"/>
        <v>1</v>
      </c>
      <c r="FB6" s="10" t="b">
        <f t="shared" si="41"/>
        <v>1</v>
      </c>
      <c r="FC6" s="10" t="b">
        <f t="shared" si="41"/>
        <v>1</v>
      </c>
      <c r="FD6" s="10" t="b">
        <f t="shared" si="41"/>
        <v>1</v>
      </c>
      <c r="FE6" s="10" t="b">
        <f t="shared" si="41"/>
        <v>1</v>
      </c>
      <c r="FF6" s="10" t="b">
        <f>EW6=EW9+EW12</f>
        <v>1</v>
      </c>
    </row>
    <row r="7" spans="1:162" s="96" customFormat="1" ht="12.5">
      <c r="A7" s="662">
        <v>2</v>
      </c>
      <c r="B7" s="789" t="s">
        <v>1922</v>
      </c>
      <c r="C7" s="662" t="s">
        <v>1923</v>
      </c>
      <c r="D7" s="715" t="s">
        <v>1514</v>
      </c>
      <c r="E7" s="703" t="s">
        <v>1515</v>
      </c>
      <c r="F7" s="1134" t="s">
        <v>402</v>
      </c>
      <c r="G7" s="1183">
        <f>N7*0.75</f>
        <v>7653.270348837209</v>
      </c>
      <c r="H7" s="704"/>
      <c r="I7" s="706">
        <f>G7+H7</f>
        <v>7653.270348837209</v>
      </c>
      <c r="J7" s="704"/>
      <c r="K7" s="704" t="s">
        <v>378</v>
      </c>
      <c r="L7" s="711" t="s">
        <v>1919</v>
      </c>
      <c r="M7" s="1224">
        <f>15*R7</f>
        <v>2040.8720930232557</v>
      </c>
      <c r="N7" s="1134">
        <f>R7*75</f>
        <v>10204.360465116279</v>
      </c>
      <c r="O7" s="707">
        <v>0</v>
      </c>
      <c r="P7" s="707">
        <v>0</v>
      </c>
      <c r="Q7" s="978">
        <v>1352.3503381642504</v>
      </c>
      <c r="R7" s="1225">
        <v>136.05813953488371</v>
      </c>
      <c r="S7" s="715">
        <v>0</v>
      </c>
      <c r="T7" s="711" t="s">
        <v>1920</v>
      </c>
      <c r="U7" s="1124">
        <v>0.05</v>
      </c>
      <c r="V7" s="781">
        <v>1</v>
      </c>
      <c r="W7" s="781">
        <v>0</v>
      </c>
      <c r="X7" s="781">
        <v>4.2256232815949817</v>
      </c>
      <c r="Y7" s="781">
        <v>16.7809797635277</v>
      </c>
      <c r="Z7" s="781">
        <v>33.553978485352019</v>
      </c>
      <c r="AA7" s="781">
        <v>66.954719877517576</v>
      </c>
      <c r="AB7" s="781">
        <v>100.23814318535545</v>
      </c>
      <c r="AC7" s="781">
        <v>132.89732641148893</v>
      </c>
      <c r="AD7" s="781">
        <f>AC7</f>
        <v>132.89732641148893</v>
      </c>
      <c r="AE7" s="711" t="s">
        <v>384</v>
      </c>
      <c r="AF7" s="711" t="s">
        <v>742</v>
      </c>
      <c r="AG7" s="1024" t="s">
        <v>1868</v>
      </c>
      <c r="AH7" s="711" t="s">
        <v>377</v>
      </c>
      <c r="AI7" s="711" t="s">
        <v>1</v>
      </c>
      <c r="AJ7" s="711" t="s">
        <v>378</v>
      </c>
      <c r="AK7" s="711" t="s">
        <v>378</v>
      </c>
      <c r="AL7" s="711" t="s">
        <v>378</v>
      </c>
      <c r="AM7" s="715" t="s">
        <v>744</v>
      </c>
      <c r="AN7" s="715" t="s">
        <v>380</v>
      </c>
      <c r="AO7" s="715" t="s">
        <v>1921</v>
      </c>
      <c r="AP7" s="711">
        <v>1</v>
      </c>
      <c r="AQ7" s="711">
        <v>1</v>
      </c>
      <c r="AR7" s="711" t="s">
        <v>1534</v>
      </c>
      <c r="AS7" s="716">
        <v>1</v>
      </c>
      <c r="AT7" s="716">
        <v>1</v>
      </c>
      <c r="AU7" s="717">
        <v>0</v>
      </c>
      <c r="AV7" s="718">
        <f>I7</f>
        <v>7653.270348837209</v>
      </c>
      <c r="AW7" s="499">
        <f t="shared" ref="AW7:BB7" si="42">AV7</f>
        <v>7653.270348837209</v>
      </c>
      <c r="AX7" s="499">
        <f t="shared" si="42"/>
        <v>7653.270348837209</v>
      </c>
      <c r="AY7" s="499">
        <f t="shared" si="42"/>
        <v>7653.270348837209</v>
      </c>
      <c r="AZ7" s="499">
        <f t="shared" si="42"/>
        <v>7653.270348837209</v>
      </c>
      <c r="BA7" s="499">
        <f t="shared" si="42"/>
        <v>7653.270348837209</v>
      </c>
      <c r="BB7" s="719">
        <f t="shared" si="42"/>
        <v>7653.270348837209</v>
      </c>
      <c r="BC7" s="774">
        <f>J7</f>
        <v>0</v>
      </c>
      <c r="BD7" s="499">
        <f t="shared" ref="BD7:BI7" si="43">BC7</f>
        <v>0</v>
      </c>
      <c r="BE7" s="499">
        <f t="shared" si="43"/>
        <v>0</v>
      </c>
      <c r="BF7" s="499">
        <f t="shared" si="43"/>
        <v>0</v>
      </c>
      <c r="BG7" s="499">
        <f t="shared" si="43"/>
        <v>0</v>
      </c>
      <c r="BH7" s="499">
        <f t="shared" si="43"/>
        <v>0</v>
      </c>
      <c r="BI7" s="719">
        <f t="shared" si="43"/>
        <v>0</v>
      </c>
      <c r="BJ7" s="774">
        <f>N7+O7</f>
        <v>10204.360465116279</v>
      </c>
      <c r="BK7" s="503">
        <f t="shared" ref="BK7:BP7" si="44">BJ7</f>
        <v>10204.360465116279</v>
      </c>
      <c r="BL7" s="503">
        <f t="shared" si="44"/>
        <v>10204.360465116279</v>
      </c>
      <c r="BM7" s="503">
        <f t="shared" si="44"/>
        <v>10204.360465116279</v>
      </c>
      <c r="BN7" s="503">
        <f t="shared" si="44"/>
        <v>10204.360465116279</v>
      </c>
      <c r="BO7" s="503">
        <f t="shared" si="44"/>
        <v>10204.360465116279</v>
      </c>
      <c r="BP7" s="645">
        <f t="shared" si="44"/>
        <v>10204.360465116279</v>
      </c>
      <c r="BQ7" s="774">
        <f t="shared" ref="BQ7:BW7" si="45">$P7</f>
        <v>0</v>
      </c>
      <c r="BR7" s="503">
        <f t="shared" si="45"/>
        <v>0</v>
      </c>
      <c r="BS7" s="503">
        <f t="shared" si="45"/>
        <v>0</v>
      </c>
      <c r="BT7" s="503">
        <f t="shared" si="45"/>
        <v>0</v>
      </c>
      <c r="BU7" s="503">
        <f t="shared" si="45"/>
        <v>0</v>
      </c>
      <c r="BV7" s="503">
        <f t="shared" si="45"/>
        <v>0</v>
      </c>
      <c r="BW7" s="776">
        <f t="shared" si="45"/>
        <v>0</v>
      </c>
      <c r="BX7" s="507">
        <f>Q7*AT7</f>
        <v>1352.3503381642504</v>
      </c>
      <c r="BY7" s="511">
        <f t="shared" ref="BY7:CD7" si="46">BX7</f>
        <v>1352.3503381642504</v>
      </c>
      <c r="BZ7" s="511">
        <f t="shared" si="46"/>
        <v>1352.3503381642504</v>
      </c>
      <c r="CA7" s="511">
        <f t="shared" si="46"/>
        <v>1352.3503381642504</v>
      </c>
      <c r="CB7" s="511">
        <f t="shared" si="46"/>
        <v>1352.3503381642504</v>
      </c>
      <c r="CC7" s="511">
        <f t="shared" si="46"/>
        <v>1352.3503381642504</v>
      </c>
      <c r="CD7" s="723">
        <f t="shared" si="46"/>
        <v>1352.3503381642504</v>
      </c>
      <c r="CE7" s="507">
        <f>R7*AT7</f>
        <v>136.05813953488371</v>
      </c>
      <c r="CF7" s="511">
        <f>CE7</f>
        <v>136.05813953488371</v>
      </c>
      <c r="CG7" s="511">
        <f t="shared" ref="CG7:CK7" si="47">CF7</f>
        <v>136.05813953488371</v>
      </c>
      <c r="CH7" s="511">
        <f t="shared" si="47"/>
        <v>136.05813953488371</v>
      </c>
      <c r="CI7" s="511">
        <f t="shared" si="47"/>
        <v>136.05813953488371</v>
      </c>
      <c r="CJ7" s="511">
        <f t="shared" si="47"/>
        <v>136.05813953488371</v>
      </c>
      <c r="CK7" s="723">
        <f t="shared" si="47"/>
        <v>136.05813953488371</v>
      </c>
      <c r="CL7" s="507">
        <f>S7*AU7</f>
        <v>0</v>
      </c>
      <c r="CM7" s="511">
        <f t="shared" ref="CM7" si="48">CL7</f>
        <v>0</v>
      </c>
      <c r="CN7" s="511">
        <f t="shared" ref="CN7:CR7" si="49">CM7</f>
        <v>0</v>
      </c>
      <c r="CO7" s="511">
        <f t="shared" si="49"/>
        <v>0</v>
      </c>
      <c r="CP7" s="511">
        <f t="shared" si="49"/>
        <v>0</v>
      </c>
      <c r="CQ7" s="511">
        <f t="shared" si="49"/>
        <v>0</v>
      </c>
      <c r="CR7" s="723">
        <f t="shared" si="49"/>
        <v>0</v>
      </c>
      <c r="CS7" s="509">
        <f t="shared" si="30"/>
        <v>32339.837366387059</v>
      </c>
      <c r="CT7" s="508">
        <f t="shared" si="30"/>
        <v>128429.37484864378</v>
      </c>
      <c r="CU7" s="508">
        <f t="shared" si="30"/>
        <v>256797.66862746625</v>
      </c>
      <c r="CV7" s="508">
        <f t="shared" si="30"/>
        <v>512422.57235330658</v>
      </c>
      <c r="CW7" s="508">
        <f t="shared" si="30"/>
        <v>767149.60906297946</v>
      </c>
      <c r="CX7" s="508">
        <f t="shared" si="30"/>
        <v>1017099.1676647883</v>
      </c>
      <c r="CY7" s="725">
        <f>AD7*BB7</f>
        <v>1017099.1676647883</v>
      </c>
      <c r="CZ7" s="509">
        <f t="shared" si="31"/>
        <v>0</v>
      </c>
      <c r="DA7" s="508">
        <f t="shared" si="31"/>
        <v>0</v>
      </c>
      <c r="DB7" s="508">
        <f t="shared" si="31"/>
        <v>0</v>
      </c>
      <c r="DC7" s="508">
        <f t="shared" si="31"/>
        <v>0</v>
      </c>
      <c r="DD7" s="508">
        <f t="shared" si="31"/>
        <v>0</v>
      </c>
      <c r="DE7" s="508">
        <f t="shared" si="31"/>
        <v>0</v>
      </c>
      <c r="DF7" s="725">
        <f>AD7*BI7</f>
        <v>0</v>
      </c>
      <c r="DG7" s="509">
        <f t="shared" si="32"/>
        <v>43119.78315518274</v>
      </c>
      <c r="DH7" s="508">
        <f t="shared" si="33"/>
        <v>171239.16646485837</v>
      </c>
      <c r="DI7" s="508">
        <f t="shared" si="33"/>
        <v>342396.89150328835</v>
      </c>
      <c r="DJ7" s="508">
        <f t="shared" si="33"/>
        <v>683230.09647107543</v>
      </c>
      <c r="DK7" s="508">
        <f t="shared" si="33"/>
        <v>1022866.1454173059</v>
      </c>
      <c r="DL7" s="508">
        <f t="shared" si="33"/>
        <v>1356132.223553051</v>
      </c>
      <c r="DM7" s="725">
        <f>AD7*BP7</f>
        <v>1356132.223553051</v>
      </c>
      <c r="DN7" s="509">
        <f t="shared" si="34"/>
        <v>0</v>
      </c>
      <c r="DO7" s="508">
        <f t="shared" si="34"/>
        <v>0</v>
      </c>
      <c r="DP7" s="508">
        <f t="shared" si="34"/>
        <v>0</v>
      </c>
      <c r="DQ7" s="508">
        <f t="shared" si="34"/>
        <v>0</v>
      </c>
      <c r="DR7" s="508">
        <f t="shared" si="34"/>
        <v>0</v>
      </c>
      <c r="DS7" s="508">
        <f t="shared" si="34"/>
        <v>0</v>
      </c>
      <c r="DT7" s="725">
        <f>BW7*AD7</f>
        <v>0</v>
      </c>
      <c r="DU7" s="507">
        <f t="shared" si="35"/>
        <v>5714.5230738197033</v>
      </c>
      <c r="DV7" s="511">
        <f t="shared" si="36"/>
        <v>22693.763657934127</v>
      </c>
      <c r="DW7" s="511">
        <f t="shared" si="36"/>
        <v>45376.734151421784</v>
      </c>
      <c r="DX7" s="511">
        <f t="shared" si="36"/>
        <v>90546.238068053557</v>
      </c>
      <c r="DY7" s="511">
        <f t="shared" si="36"/>
        <v>135557.08683367199</v>
      </c>
      <c r="DZ7" s="511">
        <f t="shared" si="36"/>
        <v>179723.74431370181</v>
      </c>
      <c r="EA7" s="511">
        <f>AD7*CD7</f>
        <v>179723.74431370181</v>
      </c>
      <c r="EB7" s="507">
        <f t="shared" si="37"/>
        <v>574.93044206910326</v>
      </c>
      <c r="EC7" s="511">
        <f t="shared" si="38"/>
        <v>2283.1888861981115</v>
      </c>
      <c r="ED7" s="511">
        <f t="shared" si="38"/>
        <v>4565.2918867105109</v>
      </c>
      <c r="EE7" s="511">
        <f t="shared" si="38"/>
        <v>9109.734619614339</v>
      </c>
      <c r="EF7" s="511">
        <f t="shared" si="38"/>
        <v>13638.215272230746</v>
      </c>
      <c r="EG7" s="511">
        <f t="shared" si="38"/>
        <v>18081.762980707346</v>
      </c>
      <c r="EH7" s="723">
        <f>AD7*CK7</f>
        <v>18081.762980707346</v>
      </c>
      <c r="EI7" s="507">
        <f t="shared" si="39"/>
        <v>0</v>
      </c>
      <c r="EJ7" s="511">
        <f t="shared" si="40"/>
        <v>0</v>
      </c>
      <c r="EK7" s="511">
        <f t="shared" si="40"/>
        <v>0</v>
      </c>
      <c r="EL7" s="511">
        <f t="shared" si="40"/>
        <v>0</v>
      </c>
      <c r="EM7" s="511">
        <f t="shared" si="40"/>
        <v>0</v>
      </c>
      <c r="EN7" s="511">
        <f t="shared" si="40"/>
        <v>0</v>
      </c>
      <c r="EO7" s="723">
        <f>AD7*CR7</f>
        <v>0</v>
      </c>
      <c r="EP7" s="1226">
        <f>AVERAGE(X7:AD7)</f>
        <v>69.649728202332227</v>
      </c>
      <c r="EQ7" s="922">
        <f>SUM(CS7:CY7)</f>
        <v>3731337.3975883597</v>
      </c>
      <c r="ER7" s="922">
        <f>SUM(CZ7:DF7)</f>
        <v>0</v>
      </c>
      <c r="ES7" s="922">
        <f>SUM(DG7:DM7)</f>
        <v>4975116.5301178135</v>
      </c>
      <c r="ET7" s="922">
        <f>SUM(DN7:DT7)</f>
        <v>0</v>
      </c>
      <c r="EU7" s="1227">
        <f>EA7</f>
        <v>179723.74431370181</v>
      </c>
      <c r="EV7" s="1227">
        <f>MAX(EB7:EH7)</f>
        <v>18081.762980707346</v>
      </c>
      <c r="EW7" s="924">
        <f>SUM(EI7:EO7)</f>
        <v>0</v>
      </c>
      <c r="EX7" s="10"/>
      <c r="EY7" s="10" t="b">
        <f>EP7=EP10+EP13</f>
        <v>1</v>
      </c>
      <c r="EZ7" s="10" t="b">
        <f t="shared" ref="EZ7" si="50">EQ7=EQ10+EQ13</f>
        <v>1</v>
      </c>
      <c r="FA7" s="10" t="b">
        <f t="shared" ref="FA7" si="51">ER7=ER10+ER13</f>
        <v>1</v>
      </c>
      <c r="FB7" s="10" t="b">
        <f t="shared" ref="FB7" si="52">ES7=ES10+ES13</f>
        <v>1</v>
      </c>
      <c r="FC7" s="10" t="b">
        <f t="shared" ref="FC7" si="53">ET7=ET10+ET13</f>
        <v>1</v>
      </c>
      <c r="FD7" s="10" t="b">
        <f t="shared" ref="FD7" si="54">EU7=EU10+EU13</f>
        <v>1</v>
      </c>
      <c r="FE7" s="10" t="b">
        <f t="shared" ref="FE7" si="55">EV7=EV10+EV13</f>
        <v>1</v>
      </c>
      <c r="FF7" s="10" t="b">
        <f>EW7=EW10+EW13</f>
        <v>1</v>
      </c>
    </row>
    <row r="8" spans="1:162" s="96" customFormat="1">
      <c r="A8" s="504"/>
      <c r="B8" s="504"/>
      <c r="C8" s="504"/>
      <c r="D8" s="504"/>
      <c r="E8" s="504"/>
      <c r="F8" s="504"/>
      <c r="G8" s="504"/>
      <c r="H8" s="504"/>
      <c r="I8" s="504"/>
      <c r="J8" s="504"/>
      <c r="K8" s="504"/>
      <c r="L8" s="504"/>
      <c r="M8" s="504"/>
      <c r="N8" s="504"/>
      <c r="O8" s="504"/>
      <c r="P8" s="504"/>
      <c r="Q8" s="504"/>
      <c r="R8" s="504"/>
      <c r="S8" s="504"/>
      <c r="T8" s="504"/>
      <c r="U8" s="504"/>
      <c r="V8" s="504"/>
      <c r="W8" s="1228"/>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0"/>
      <c r="AV8" s="1188"/>
      <c r="AW8" s="504"/>
      <c r="AX8" s="504"/>
      <c r="AY8" s="504"/>
      <c r="AZ8" s="504"/>
      <c r="BA8" s="504"/>
      <c r="BB8" s="1189"/>
      <c r="BC8" s="1188"/>
      <c r="BD8" s="504"/>
      <c r="BE8" s="504"/>
      <c r="BF8" s="504"/>
      <c r="BG8" s="504"/>
      <c r="BH8" s="504"/>
      <c r="BI8" s="1189"/>
      <c r="BJ8" s="1188"/>
      <c r="BK8" s="504"/>
      <c r="BL8" s="504"/>
      <c r="BM8" s="504"/>
      <c r="BN8" s="504"/>
      <c r="BO8" s="504"/>
      <c r="BP8" s="500"/>
      <c r="BQ8" s="1188"/>
      <c r="BR8" s="504"/>
      <c r="BS8" s="504"/>
      <c r="BT8" s="504"/>
      <c r="BU8" s="504"/>
      <c r="BV8" s="504"/>
      <c r="BW8" s="1189"/>
      <c r="BX8" s="498"/>
      <c r="BY8" s="504"/>
      <c r="BZ8" s="504"/>
      <c r="CA8" s="504"/>
      <c r="CB8" s="504"/>
      <c r="CC8" s="504"/>
      <c r="CD8" s="1189"/>
      <c r="CE8" s="498"/>
      <c r="CF8" s="504"/>
      <c r="CG8" s="504"/>
      <c r="CH8" s="504"/>
      <c r="CI8" s="504"/>
      <c r="CJ8" s="504"/>
      <c r="CK8" s="1189"/>
      <c r="CL8" s="498"/>
      <c r="CM8" s="504"/>
      <c r="CN8" s="504"/>
      <c r="CO8" s="504"/>
      <c r="CP8" s="504"/>
      <c r="CQ8" s="504"/>
      <c r="CR8" s="1189"/>
      <c r="CS8" s="498"/>
      <c r="CT8" s="504"/>
      <c r="CU8" s="504"/>
      <c r="CV8" s="504"/>
      <c r="CW8" s="504"/>
      <c r="CX8" s="504"/>
      <c r="CY8" s="1189"/>
      <c r="CZ8" s="498"/>
      <c r="DA8" s="504"/>
      <c r="DB8" s="504"/>
      <c r="DC8" s="504"/>
      <c r="DD8" s="504"/>
      <c r="DE8" s="504"/>
      <c r="DF8" s="1189"/>
      <c r="DG8" s="498"/>
      <c r="DH8" s="504"/>
      <c r="DI8" s="504"/>
      <c r="DJ8" s="504"/>
      <c r="DK8" s="504"/>
      <c r="DL8" s="504"/>
      <c r="DM8" s="1189"/>
      <c r="DN8" s="498"/>
      <c r="DO8" s="504"/>
      <c r="DP8" s="504"/>
      <c r="DQ8" s="504"/>
      <c r="DR8" s="504"/>
      <c r="DS8" s="504"/>
      <c r="DT8" s="1189"/>
      <c r="DU8" s="498"/>
      <c r="DV8" s="504"/>
      <c r="DW8" s="504"/>
      <c r="DX8" s="504"/>
      <c r="DY8" s="504"/>
      <c r="DZ8" s="504"/>
      <c r="EA8" s="504"/>
      <c r="EB8" s="498"/>
      <c r="EC8" s="504"/>
      <c r="ED8" s="504"/>
      <c r="EE8" s="504"/>
      <c r="EF8" s="504"/>
      <c r="EG8" s="504"/>
      <c r="EH8" s="1189"/>
      <c r="EI8" s="498"/>
      <c r="EJ8" s="504"/>
      <c r="EK8" s="504"/>
      <c r="EL8" s="504"/>
      <c r="EM8" s="504"/>
      <c r="EN8" s="504"/>
      <c r="EO8" s="1189"/>
      <c r="EP8" s="1229"/>
      <c r="EQ8" s="1230"/>
      <c r="ER8" s="1230"/>
      <c r="ES8" s="1230"/>
      <c r="ET8" s="1230"/>
      <c r="EU8" s="1230"/>
      <c r="EV8" s="1230"/>
      <c r="EW8" s="1230"/>
      <c r="EX8" s="10"/>
      <c r="EY8" s="10"/>
      <c r="EZ8" s="10"/>
      <c r="FA8" s="10"/>
      <c r="FB8" s="10"/>
      <c r="FC8" s="10"/>
      <c r="FD8" s="10"/>
      <c r="FE8" s="10"/>
      <c r="FF8" s="10"/>
    </row>
    <row r="9" spans="1:162" s="96" customFormat="1" ht="12.5">
      <c r="A9" s="661" t="s">
        <v>171</v>
      </c>
      <c r="B9" s="703" t="s">
        <v>1924</v>
      </c>
      <c r="C9" s="662" t="s">
        <v>1918</v>
      </c>
      <c r="D9" s="715" t="s">
        <v>1514</v>
      </c>
      <c r="E9" s="703" t="s">
        <v>1515</v>
      </c>
      <c r="F9" s="1134" t="s">
        <v>402</v>
      </c>
      <c r="G9" s="1183">
        <f>N9*0.75</f>
        <v>7653.270348837209</v>
      </c>
      <c r="H9" s="704">
        <v>0</v>
      </c>
      <c r="I9" s="706">
        <f>G9+H9</f>
        <v>7653.270348837209</v>
      </c>
      <c r="J9" s="704">
        <v>0</v>
      </c>
      <c r="K9" s="704" t="s">
        <v>378</v>
      </c>
      <c r="L9" s="711" t="s">
        <v>1919</v>
      </c>
      <c r="M9" s="1224">
        <f>15*R9</f>
        <v>2040.8720930232557</v>
      </c>
      <c r="N9" s="1134">
        <f>R9*75</f>
        <v>10204.360465116279</v>
      </c>
      <c r="O9" s="707">
        <v>0</v>
      </c>
      <c r="P9" s="707">
        <v>0</v>
      </c>
      <c r="Q9" s="978">
        <v>1352.3503381642504</v>
      </c>
      <c r="R9" s="1225">
        <v>136.05813953488371</v>
      </c>
      <c r="S9" s="715">
        <v>0</v>
      </c>
      <c r="T9" s="711" t="s">
        <v>1920</v>
      </c>
      <c r="U9" s="1124">
        <v>0.05</v>
      </c>
      <c r="V9" s="781">
        <v>1</v>
      </c>
      <c r="W9" s="781">
        <f>W6/2</f>
        <v>85</v>
      </c>
      <c r="X9" s="781">
        <f>X6/2</f>
        <v>104.31976786202175</v>
      </c>
      <c r="Y9" s="781">
        <f t="shared" ref="Y9:AD9" si="56">Y6/2</f>
        <v>125.18135218945254</v>
      </c>
      <c r="Z9" s="781">
        <f t="shared" si="56"/>
        <v>147.52391525837223</v>
      </c>
      <c r="AA9" s="781">
        <f t="shared" si="56"/>
        <v>171.32575341819569</v>
      </c>
      <c r="AB9" s="781">
        <f t="shared" si="56"/>
        <v>196.57323944274327</v>
      </c>
      <c r="AC9" s="781">
        <f t="shared" si="56"/>
        <v>222.72096402016922</v>
      </c>
      <c r="AD9" s="781">
        <f t="shared" si="56"/>
        <v>222.72096402016922</v>
      </c>
      <c r="AE9" s="711" t="s">
        <v>384</v>
      </c>
      <c r="AF9" s="711" t="s">
        <v>742</v>
      </c>
      <c r="AG9" s="1024" t="s">
        <v>1186</v>
      </c>
      <c r="AH9" s="711" t="s">
        <v>1533</v>
      </c>
      <c r="AI9" s="711" t="s">
        <v>1</v>
      </c>
      <c r="AJ9" s="711" t="s">
        <v>378</v>
      </c>
      <c r="AK9" s="711" t="s">
        <v>378</v>
      </c>
      <c r="AL9" s="711" t="s">
        <v>378</v>
      </c>
      <c r="AM9" s="715" t="s">
        <v>1207</v>
      </c>
      <c r="AN9" s="715" t="s">
        <v>380</v>
      </c>
      <c r="AO9" s="715" t="s">
        <v>1925</v>
      </c>
      <c r="AP9" s="711">
        <v>1</v>
      </c>
      <c r="AQ9" s="711">
        <v>1</v>
      </c>
      <c r="AR9" s="711" t="s">
        <v>1534</v>
      </c>
      <c r="AS9" s="716">
        <v>1</v>
      </c>
      <c r="AT9" s="716">
        <v>1</v>
      </c>
      <c r="AU9" s="717">
        <v>0</v>
      </c>
      <c r="AV9" s="718">
        <f>I9</f>
        <v>7653.270348837209</v>
      </c>
      <c r="AW9" s="499">
        <f t="shared" ref="AW9:AX9" si="57">AV9</f>
        <v>7653.270348837209</v>
      </c>
      <c r="AX9" s="499">
        <f t="shared" si="57"/>
        <v>7653.270348837209</v>
      </c>
      <c r="AY9" s="499">
        <f>AV9</f>
        <v>7653.270348837209</v>
      </c>
      <c r="AZ9" s="499">
        <f t="shared" ref="AZ9:BB9" si="58">AW9</f>
        <v>7653.270348837209</v>
      </c>
      <c r="BA9" s="499">
        <f t="shared" si="58"/>
        <v>7653.270348837209</v>
      </c>
      <c r="BB9" s="719">
        <f t="shared" si="58"/>
        <v>7653.270348837209</v>
      </c>
      <c r="BC9" s="774">
        <f>J9</f>
        <v>0</v>
      </c>
      <c r="BD9" s="499">
        <f t="shared" ref="BD9:BF9" si="59">BC9</f>
        <v>0</v>
      </c>
      <c r="BE9" s="499">
        <f t="shared" si="59"/>
        <v>0</v>
      </c>
      <c r="BF9" s="499">
        <f t="shared" si="59"/>
        <v>0</v>
      </c>
      <c r="BG9" s="499">
        <f t="shared" ref="BG9:BI9" si="60">BF9</f>
        <v>0</v>
      </c>
      <c r="BH9" s="499">
        <f t="shared" si="60"/>
        <v>0</v>
      </c>
      <c r="BI9" s="719">
        <f t="shared" si="60"/>
        <v>0</v>
      </c>
      <c r="BJ9" s="774">
        <f>N9+O9</f>
        <v>10204.360465116279</v>
      </c>
      <c r="BK9" s="503">
        <f>BJ9</f>
        <v>10204.360465116279</v>
      </c>
      <c r="BL9" s="503">
        <f t="shared" ref="BL9:BP9" si="61">BK9</f>
        <v>10204.360465116279</v>
      </c>
      <c r="BM9" s="503">
        <f t="shared" si="61"/>
        <v>10204.360465116279</v>
      </c>
      <c r="BN9" s="503">
        <f t="shared" si="61"/>
        <v>10204.360465116279</v>
      </c>
      <c r="BO9" s="503">
        <f t="shared" si="61"/>
        <v>10204.360465116279</v>
      </c>
      <c r="BP9" s="645">
        <f t="shared" si="61"/>
        <v>10204.360465116279</v>
      </c>
      <c r="BQ9" s="774">
        <f t="shared" si="24"/>
        <v>0</v>
      </c>
      <c r="BR9" s="503">
        <f t="shared" si="24"/>
        <v>0</v>
      </c>
      <c r="BS9" s="503">
        <f t="shared" si="24"/>
        <v>0</v>
      </c>
      <c r="BT9" s="503">
        <f t="shared" si="24"/>
        <v>0</v>
      </c>
      <c r="BU9" s="503">
        <f t="shared" si="24"/>
        <v>0</v>
      </c>
      <c r="BV9" s="503">
        <f t="shared" si="24"/>
        <v>0</v>
      </c>
      <c r="BW9" s="776">
        <f t="shared" si="24"/>
        <v>0</v>
      </c>
      <c r="BX9" s="507">
        <f>Q9*AT9</f>
        <v>1352.3503381642504</v>
      </c>
      <c r="BY9" s="511">
        <f>BX9</f>
        <v>1352.3503381642504</v>
      </c>
      <c r="BZ9" s="511">
        <f t="shared" ref="BZ9:CD9" si="62">BY9</f>
        <v>1352.3503381642504</v>
      </c>
      <c r="CA9" s="511">
        <f t="shared" si="62"/>
        <v>1352.3503381642504</v>
      </c>
      <c r="CB9" s="511">
        <f t="shared" si="62"/>
        <v>1352.3503381642504</v>
      </c>
      <c r="CC9" s="511">
        <f t="shared" si="62"/>
        <v>1352.3503381642504</v>
      </c>
      <c r="CD9" s="723">
        <f t="shared" si="62"/>
        <v>1352.3503381642504</v>
      </c>
      <c r="CE9" s="507">
        <f>R9*AT9</f>
        <v>136.05813953488371</v>
      </c>
      <c r="CF9" s="511">
        <f t="shared" ref="CF9:CF10" si="63">CE9</f>
        <v>136.05813953488371</v>
      </c>
      <c r="CG9" s="511">
        <f t="shared" ref="CG9:CH9" si="64">CF9</f>
        <v>136.05813953488371</v>
      </c>
      <c r="CH9" s="511">
        <f t="shared" si="64"/>
        <v>136.05813953488371</v>
      </c>
      <c r="CI9" s="511">
        <f t="shared" ref="CI9:CK9" si="65">CH9</f>
        <v>136.05813953488371</v>
      </c>
      <c r="CJ9" s="511">
        <f t="shared" si="65"/>
        <v>136.05813953488371</v>
      </c>
      <c r="CK9" s="723">
        <f t="shared" si="65"/>
        <v>136.05813953488371</v>
      </c>
      <c r="CL9" s="507">
        <f>S9*AU9</f>
        <v>0</v>
      </c>
      <c r="CM9" s="511">
        <f>CL9</f>
        <v>0</v>
      </c>
      <c r="CN9" s="511">
        <f t="shared" ref="CN9:CO9" si="66">CM9</f>
        <v>0</v>
      </c>
      <c r="CO9" s="511">
        <f t="shared" si="66"/>
        <v>0</v>
      </c>
      <c r="CP9" s="511">
        <f t="shared" ref="CP9:CR9" si="67">CO9</f>
        <v>0</v>
      </c>
      <c r="CQ9" s="511">
        <f t="shared" si="67"/>
        <v>0</v>
      </c>
      <c r="CR9" s="723">
        <f t="shared" si="67"/>
        <v>0</v>
      </c>
      <c r="CS9" s="509">
        <f t="shared" ref="CS9:CY10" si="68">X9*AV9</f>
        <v>798387.38617599185</v>
      </c>
      <c r="CT9" s="508">
        <f t="shared" si="68"/>
        <v>958046.7309388849</v>
      </c>
      <c r="CU9" s="508">
        <f t="shared" si="68"/>
        <v>1129040.4063912733</v>
      </c>
      <c r="CV9" s="508">
        <f t="shared" si="68"/>
        <v>1311202.3086276723</v>
      </c>
      <c r="CW9" s="508">
        <f t="shared" si="68"/>
        <v>1504428.1448020241</v>
      </c>
      <c r="CX9" s="508">
        <f t="shared" si="68"/>
        <v>1704543.75</v>
      </c>
      <c r="CY9" s="725">
        <f t="shared" si="68"/>
        <v>1704543.75</v>
      </c>
      <c r="CZ9" s="509">
        <f t="shared" ref="CZ9:DF10" si="69">X9*BC9</f>
        <v>0</v>
      </c>
      <c r="DA9" s="508">
        <f t="shared" si="69"/>
        <v>0</v>
      </c>
      <c r="DB9" s="508">
        <f t="shared" si="69"/>
        <v>0</v>
      </c>
      <c r="DC9" s="508">
        <f t="shared" si="69"/>
        <v>0</v>
      </c>
      <c r="DD9" s="508">
        <f t="shared" si="69"/>
        <v>0</v>
      </c>
      <c r="DE9" s="508">
        <f t="shared" si="69"/>
        <v>0</v>
      </c>
      <c r="DF9" s="725">
        <f t="shared" si="69"/>
        <v>0</v>
      </c>
      <c r="DG9" s="509">
        <f t="shared" si="32"/>
        <v>1064516.5149013225</v>
      </c>
      <c r="DH9" s="508">
        <f t="shared" ref="DH9:DM10" si="70">Y9*BK9</f>
        <v>1277395.6412518467</v>
      </c>
      <c r="DI9" s="508">
        <f t="shared" si="70"/>
        <v>1505387.2085216977</v>
      </c>
      <c r="DJ9" s="508">
        <f t="shared" si="70"/>
        <v>1748269.7448368962</v>
      </c>
      <c r="DK9" s="508">
        <f t="shared" si="70"/>
        <v>2005904.1930693653</v>
      </c>
      <c r="DL9" s="508">
        <f t="shared" si="70"/>
        <v>2272725</v>
      </c>
      <c r="DM9" s="725">
        <f t="shared" si="70"/>
        <v>2272725</v>
      </c>
      <c r="DN9" s="509">
        <f t="shared" ref="DN9:DT10" si="71">BQ9*X9</f>
        <v>0</v>
      </c>
      <c r="DO9" s="508">
        <f t="shared" si="71"/>
        <v>0</v>
      </c>
      <c r="DP9" s="508">
        <f t="shared" si="71"/>
        <v>0</v>
      </c>
      <c r="DQ9" s="508">
        <f t="shared" si="71"/>
        <v>0</v>
      </c>
      <c r="DR9" s="508">
        <f t="shared" si="71"/>
        <v>0</v>
      </c>
      <c r="DS9" s="508">
        <f t="shared" si="71"/>
        <v>0</v>
      </c>
      <c r="DT9" s="725">
        <f t="shared" si="71"/>
        <v>0</v>
      </c>
      <c r="DU9" s="507">
        <f t="shared" si="35"/>
        <v>141076.87334542122</v>
      </c>
      <c r="DV9" s="511">
        <f t="shared" ref="DV9:EA10" si="72">Y9*BY9</f>
        <v>169289.04396526428</v>
      </c>
      <c r="DW9" s="511">
        <f t="shared" si="72"/>
        <v>199504.01668697389</v>
      </c>
      <c r="DX9" s="511">
        <f t="shared" si="72"/>
        <v>231692.44057134193</v>
      </c>
      <c r="DY9" s="511">
        <f t="shared" si="72"/>
        <v>265835.88683443604</v>
      </c>
      <c r="DZ9" s="511">
        <f t="shared" si="72"/>
        <v>301196.77100894367</v>
      </c>
      <c r="EA9" s="511">
        <f t="shared" si="72"/>
        <v>301196.77100894367</v>
      </c>
      <c r="EB9" s="507">
        <f t="shared" si="37"/>
        <v>14193.553532017631</v>
      </c>
      <c r="EC9" s="511">
        <f t="shared" ref="EC9:EH10" si="73">Y9*CF9</f>
        <v>17031.941883357955</v>
      </c>
      <c r="ED9" s="511">
        <f t="shared" si="73"/>
        <v>20071.82944695597</v>
      </c>
      <c r="EE9" s="511">
        <f t="shared" si="73"/>
        <v>23310.263264491947</v>
      </c>
      <c r="EF9" s="511">
        <f t="shared" si="73"/>
        <v>26745.389240924869</v>
      </c>
      <c r="EG9" s="511">
        <f t="shared" si="73"/>
        <v>30302.999999999996</v>
      </c>
      <c r="EH9" s="723">
        <f t="shared" si="73"/>
        <v>30302.999999999996</v>
      </c>
      <c r="EI9" s="507">
        <f t="shared" si="39"/>
        <v>0</v>
      </c>
      <c r="EJ9" s="511">
        <f t="shared" ref="EJ9:EO10" si="74">Y9*CM9</f>
        <v>0</v>
      </c>
      <c r="EK9" s="511">
        <f t="shared" si="74"/>
        <v>0</v>
      </c>
      <c r="EL9" s="511">
        <f t="shared" si="74"/>
        <v>0</v>
      </c>
      <c r="EM9" s="511">
        <f t="shared" si="74"/>
        <v>0</v>
      </c>
      <c r="EN9" s="511">
        <f t="shared" si="74"/>
        <v>0</v>
      </c>
      <c r="EO9" s="723">
        <f t="shared" si="74"/>
        <v>0</v>
      </c>
      <c r="EP9" s="1226">
        <f>AVERAGE(X9:AD9)</f>
        <v>170.05227945873202</v>
      </c>
      <c r="EQ9" s="922">
        <f>SUM(CS9:CY9)</f>
        <v>9110192.4769358467</v>
      </c>
      <c r="ER9" s="922">
        <f>SUM(CZ9:DF9)</f>
        <v>0</v>
      </c>
      <c r="ES9" s="922">
        <f>SUM(DG9:DM9)</f>
        <v>12146923.302581128</v>
      </c>
      <c r="ET9" s="922">
        <f>SUM(DN9:DT9)</f>
        <v>0</v>
      </c>
      <c r="EU9" s="1227">
        <f>EA9</f>
        <v>301196.77100894367</v>
      </c>
      <c r="EV9" s="1227">
        <f>MAX(EB9:EH9)</f>
        <v>30302.999999999996</v>
      </c>
      <c r="EW9" s="924">
        <f>SUM(EI9:EO9)</f>
        <v>0</v>
      </c>
      <c r="EX9" s="10"/>
      <c r="EY9" s="10"/>
      <c r="EZ9" s="10"/>
      <c r="FA9" s="10"/>
      <c r="FB9" s="10"/>
      <c r="FC9" s="10"/>
      <c r="FD9" s="135"/>
      <c r="FE9" s="135"/>
      <c r="FF9" s="135"/>
    </row>
    <row r="10" spans="1:162" s="96" customFormat="1" ht="12.5">
      <c r="A10" s="661" t="s">
        <v>173</v>
      </c>
      <c r="B10" s="703" t="s">
        <v>1926</v>
      </c>
      <c r="C10" s="662" t="s">
        <v>1923</v>
      </c>
      <c r="D10" s="715" t="s">
        <v>1514</v>
      </c>
      <c r="E10" s="703" t="s">
        <v>1515</v>
      </c>
      <c r="F10" s="1134" t="s">
        <v>402</v>
      </c>
      <c r="G10" s="1183">
        <f>N10*0.75</f>
        <v>7653.270348837209</v>
      </c>
      <c r="H10" s="704"/>
      <c r="I10" s="706">
        <f>G10+H10</f>
        <v>7653.270348837209</v>
      </c>
      <c r="J10" s="704"/>
      <c r="K10" s="704" t="s">
        <v>378</v>
      </c>
      <c r="L10" s="711" t="s">
        <v>1919</v>
      </c>
      <c r="M10" s="1224">
        <f>15*R10</f>
        <v>2040.8720930232557</v>
      </c>
      <c r="N10" s="1134">
        <f>R10*75</f>
        <v>10204.360465116279</v>
      </c>
      <c r="O10" s="707">
        <v>0</v>
      </c>
      <c r="P10" s="707">
        <v>0</v>
      </c>
      <c r="Q10" s="978">
        <v>1352.3503381642504</v>
      </c>
      <c r="R10" s="1225">
        <v>136.05813953488371</v>
      </c>
      <c r="S10" s="715">
        <v>0</v>
      </c>
      <c r="T10" s="711" t="s">
        <v>1920</v>
      </c>
      <c r="U10" s="1124">
        <v>0.05</v>
      </c>
      <c r="V10" s="781">
        <v>1</v>
      </c>
      <c r="W10" s="781">
        <v>0</v>
      </c>
      <c r="X10" s="781">
        <f t="shared" ref="X10:AD10" si="75">X7/2</f>
        <v>2.1128116407974908</v>
      </c>
      <c r="Y10" s="781">
        <f t="shared" si="75"/>
        <v>8.39048988176385</v>
      </c>
      <c r="Z10" s="781">
        <f t="shared" si="75"/>
        <v>16.776989242676009</v>
      </c>
      <c r="AA10" s="781">
        <f t="shared" si="75"/>
        <v>33.477359938758788</v>
      </c>
      <c r="AB10" s="781">
        <f t="shared" si="75"/>
        <v>50.119071592677727</v>
      </c>
      <c r="AC10" s="781">
        <f t="shared" si="75"/>
        <v>66.448663205744467</v>
      </c>
      <c r="AD10" s="781">
        <f t="shared" si="75"/>
        <v>66.448663205744467</v>
      </c>
      <c r="AE10" s="711" t="s">
        <v>384</v>
      </c>
      <c r="AF10" s="711" t="s">
        <v>742</v>
      </c>
      <c r="AG10" s="1024" t="s">
        <v>1868</v>
      </c>
      <c r="AH10" s="711" t="s">
        <v>377</v>
      </c>
      <c r="AI10" s="711" t="s">
        <v>1</v>
      </c>
      <c r="AJ10" s="711" t="s">
        <v>378</v>
      </c>
      <c r="AK10" s="711" t="s">
        <v>378</v>
      </c>
      <c r="AL10" s="711" t="s">
        <v>378</v>
      </c>
      <c r="AM10" s="715" t="s">
        <v>744</v>
      </c>
      <c r="AN10" s="715" t="s">
        <v>380</v>
      </c>
      <c r="AO10" s="715" t="s">
        <v>1925</v>
      </c>
      <c r="AP10" s="711">
        <v>1</v>
      </c>
      <c r="AQ10" s="711">
        <v>1</v>
      </c>
      <c r="AR10" s="711" t="s">
        <v>1534</v>
      </c>
      <c r="AS10" s="716">
        <v>1</v>
      </c>
      <c r="AT10" s="716">
        <v>1</v>
      </c>
      <c r="AU10" s="717">
        <v>0</v>
      </c>
      <c r="AV10" s="718">
        <f>I10</f>
        <v>7653.270348837209</v>
      </c>
      <c r="AW10" s="499">
        <f t="shared" ref="AW10:BB10" si="76">AV10</f>
        <v>7653.270348837209</v>
      </c>
      <c r="AX10" s="499">
        <f t="shared" si="76"/>
        <v>7653.270348837209</v>
      </c>
      <c r="AY10" s="499">
        <f t="shared" si="76"/>
        <v>7653.270348837209</v>
      </c>
      <c r="AZ10" s="499">
        <f t="shared" si="76"/>
        <v>7653.270348837209</v>
      </c>
      <c r="BA10" s="499">
        <f t="shared" si="76"/>
        <v>7653.270348837209</v>
      </c>
      <c r="BB10" s="719">
        <f t="shared" si="76"/>
        <v>7653.270348837209</v>
      </c>
      <c r="BC10" s="774">
        <f>J10</f>
        <v>0</v>
      </c>
      <c r="BD10" s="499">
        <f t="shared" ref="BD10:BI10" si="77">BC10</f>
        <v>0</v>
      </c>
      <c r="BE10" s="499">
        <f t="shared" si="77"/>
        <v>0</v>
      </c>
      <c r="BF10" s="499">
        <f t="shared" si="77"/>
        <v>0</v>
      </c>
      <c r="BG10" s="499">
        <f t="shared" si="77"/>
        <v>0</v>
      </c>
      <c r="BH10" s="499">
        <f t="shared" si="77"/>
        <v>0</v>
      </c>
      <c r="BI10" s="719">
        <f t="shared" si="77"/>
        <v>0</v>
      </c>
      <c r="BJ10" s="774">
        <f>N10+O10</f>
        <v>10204.360465116279</v>
      </c>
      <c r="BK10" s="503">
        <f t="shared" ref="BK10:BP10" si="78">BJ10</f>
        <v>10204.360465116279</v>
      </c>
      <c r="BL10" s="503">
        <f t="shared" si="78"/>
        <v>10204.360465116279</v>
      </c>
      <c r="BM10" s="503">
        <f t="shared" si="78"/>
        <v>10204.360465116279</v>
      </c>
      <c r="BN10" s="503">
        <f t="shared" si="78"/>
        <v>10204.360465116279</v>
      </c>
      <c r="BO10" s="503">
        <f t="shared" si="78"/>
        <v>10204.360465116279</v>
      </c>
      <c r="BP10" s="645">
        <f t="shared" si="78"/>
        <v>10204.360465116279</v>
      </c>
      <c r="BQ10" s="774">
        <f t="shared" ref="BQ10:BW10" si="79">$P10</f>
        <v>0</v>
      </c>
      <c r="BR10" s="503">
        <f t="shared" si="79"/>
        <v>0</v>
      </c>
      <c r="BS10" s="503">
        <f t="shared" si="79"/>
        <v>0</v>
      </c>
      <c r="BT10" s="503">
        <f t="shared" si="79"/>
        <v>0</v>
      </c>
      <c r="BU10" s="503">
        <f t="shared" si="79"/>
        <v>0</v>
      </c>
      <c r="BV10" s="503">
        <f t="shared" si="79"/>
        <v>0</v>
      </c>
      <c r="BW10" s="776">
        <f t="shared" si="79"/>
        <v>0</v>
      </c>
      <c r="BX10" s="507">
        <f>Q10*AT10</f>
        <v>1352.3503381642504</v>
      </c>
      <c r="BY10" s="511">
        <f t="shared" ref="BY10:CD10" si="80">BX10</f>
        <v>1352.3503381642504</v>
      </c>
      <c r="BZ10" s="511">
        <f t="shared" si="80"/>
        <v>1352.3503381642504</v>
      </c>
      <c r="CA10" s="511">
        <f t="shared" si="80"/>
        <v>1352.3503381642504</v>
      </c>
      <c r="CB10" s="511">
        <f t="shared" si="80"/>
        <v>1352.3503381642504</v>
      </c>
      <c r="CC10" s="511">
        <f t="shared" si="80"/>
        <v>1352.3503381642504</v>
      </c>
      <c r="CD10" s="723">
        <f t="shared" si="80"/>
        <v>1352.3503381642504</v>
      </c>
      <c r="CE10" s="507">
        <f>R10*AT10</f>
        <v>136.05813953488371</v>
      </c>
      <c r="CF10" s="511">
        <f t="shared" si="63"/>
        <v>136.05813953488371</v>
      </c>
      <c r="CG10" s="511">
        <f t="shared" ref="CG10:CK10" si="81">CF10</f>
        <v>136.05813953488371</v>
      </c>
      <c r="CH10" s="511">
        <f t="shared" si="81"/>
        <v>136.05813953488371</v>
      </c>
      <c r="CI10" s="511">
        <f t="shared" si="81"/>
        <v>136.05813953488371</v>
      </c>
      <c r="CJ10" s="511">
        <f t="shared" si="81"/>
        <v>136.05813953488371</v>
      </c>
      <c r="CK10" s="723">
        <f t="shared" si="81"/>
        <v>136.05813953488371</v>
      </c>
      <c r="CL10" s="507">
        <f>S10*AU10</f>
        <v>0</v>
      </c>
      <c r="CM10" s="511">
        <f t="shared" ref="CM10" si="82">CL10</f>
        <v>0</v>
      </c>
      <c r="CN10" s="511">
        <f t="shared" ref="CN10:CR10" si="83">CM10</f>
        <v>0</v>
      </c>
      <c r="CO10" s="511">
        <f t="shared" si="83"/>
        <v>0</v>
      </c>
      <c r="CP10" s="511">
        <f t="shared" si="83"/>
        <v>0</v>
      </c>
      <c r="CQ10" s="511">
        <f t="shared" si="83"/>
        <v>0</v>
      </c>
      <c r="CR10" s="723">
        <f t="shared" si="83"/>
        <v>0</v>
      </c>
      <c r="CS10" s="509">
        <f t="shared" si="68"/>
        <v>16169.918683193529</v>
      </c>
      <c r="CT10" s="508">
        <f t="shared" si="68"/>
        <v>64214.687424321892</v>
      </c>
      <c r="CU10" s="508">
        <f t="shared" si="68"/>
        <v>128398.83431373312</v>
      </c>
      <c r="CV10" s="508">
        <f t="shared" si="68"/>
        <v>256211.28617665329</v>
      </c>
      <c r="CW10" s="508">
        <f t="shared" si="68"/>
        <v>383574.80453148973</v>
      </c>
      <c r="CX10" s="508">
        <f t="shared" si="68"/>
        <v>508549.58383239416</v>
      </c>
      <c r="CY10" s="725">
        <f t="shared" si="68"/>
        <v>508549.58383239416</v>
      </c>
      <c r="CZ10" s="509">
        <f t="shared" si="69"/>
        <v>0</v>
      </c>
      <c r="DA10" s="508">
        <f t="shared" si="69"/>
        <v>0</v>
      </c>
      <c r="DB10" s="508">
        <f t="shared" si="69"/>
        <v>0</v>
      </c>
      <c r="DC10" s="508">
        <f t="shared" si="69"/>
        <v>0</v>
      </c>
      <c r="DD10" s="508">
        <f t="shared" si="69"/>
        <v>0</v>
      </c>
      <c r="DE10" s="508">
        <f t="shared" si="69"/>
        <v>0</v>
      </c>
      <c r="DF10" s="725">
        <f t="shared" si="69"/>
        <v>0</v>
      </c>
      <c r="DG10" s="509">
        <f t="shared" si="32"/>
        <v>21559.89157759137</v>
      </c>
      <c r="DH10" s="508">
        <f t="shared" si="70"/>
        <v>85619.583232429184</v>
      </c>
      <c r="DI10" s="508">
        <f t="shared" si="70"/>
        <v>171198.44575164418</v>
      </c>
      <c r="DJ10" s="508">
        <f t="shared" si="70"/>
        <v>341615.04823553772</v>
      </c>
      <c r="DK10" s="508">
        <f t="shared" si="70"/>
        <v>511433.07270865294</v>
      </c>
      <c r="DL10" s="508">
        <f t="shared" si="70"/>
        <v>678066.1117765255</v>
      </c>
      <c r="DM10" s="725">
        <f t="shared" si="70"/>
        <v>678066.1117765255</v>
      </c>
      <c r="DN10" s="509">
        <f t="shared" si="71"/>
        <v>0</v>
      </c>
      <c r="DO10" s="508">
        <f t="shared" si="71"/>
        <v>0</v>
      </c>
      <c r="DP10" s="508">
        <f t="shared" si="71"/>
        <v>0</v>
      </c>
      <c r="DQ10" s="508">
        <f t="shared" si="71"/>
        <v>0</v>
      </c>
      <c r="DR10" s="508">
        <f t="shared" si="71"/>
        <v>0</v>
      </c>
      <c r="DS10" s="508">
        <f t="shared" si="71"/>
        <v>0</v>
      </c>
      <c r="DT10" s="725">
        <f t="shared" si="71"/>
        <v>0</v>
      </c>
      <c r="DU10" s="507">
        <f t="shared" si="35"/>
        <v>2857.2615369098517</v>
      </c>
      <c r="DV10" s="511">
        <f t="shared" si="72"/>
        <v>11346.881828967063</v>
      </c>
      <c r="DW10" s="511">
        <f t="shared" si="72"/>
        <v>22688.367075710892</v>
      </c>
      <c r="DX10" s="511">
        <f t="shared" si="72"/>
        <v>45273.119034026779</v>
      </c>
      <c r="DY10" s="511">
        <f t="shared" si="72"/>
        <v>67778.543416835993</v>
      </c>
      <c r="DZ10" s="511">
        <f t="shared" si="72"/>
        <v>89861.872156850906</v>
      </c>
      <c r="EA10" s="511">
        <f t="shared" si="72"/>
        <v>89861.872156850906</v>
      </c>
      <c r="EB10" s="507">
        <f t="shared" si="37"/>
        <v>287.46522103455163</v>
      </c>
      <c r="EC10" s="511">
        <f t="shared" si="73"/>
        <v>1141.5944430990558</v>
      </c>
      <c r="ED10" s="511">
        <f t="shared" si="73"/>
        <v>2282.6459433552554</v>
      </c>
      <c r="EE10" s="511">
        <f t="shared" si="73"/>
        <v>4554.8673098071695</v>
      </c>
      <c r="EF10" s="511">
        <f t="shared" si="73"/>
        <v>6819.1076361153728</v>
      </c>
      <c r="EG10" s="511">
        <f t="shared" si="73"/>
        <v>9040.8814903536731</v>
      </c>
      <c r="EH10" s="723">
        <f t="shared" si="73"/>
        <v>9040.8814903536731</v>
      </c>
      <c r="EI10" s="507">
        <f t="shared" si="39"/>
        <v>0</v>
      </c>
      <c r="EJ10" s="511">
        <f t="shared" si="74"/>
        <v>0</v>
      </c>
      <c r="EK10" s="511">
        <f t="shared" si="74"/>
        <v>0</v>
      </c>
      <c r="EL10" s="511">
        <f t="shared" si="74"/>
        <v>0</v>
      </c>
      <c r="EM10" s="511">
        <f t="shared" si="74"/>
        <v>0</v>
      </c>
      <c r="EN10" s="511">
        <f t="shared" si="74"/>
        <v>0</v>
      </c>
      <c r="EO10" s="723">
        <f t="shared" si="74"/>
        <v>0</v>
      </c>
      <c r="EP10" s="1226">
        <f>AVERAGE(X10:AD10)</f>
        <v>34.824864101166114</v>
      </c>
      <c r="EQ10" s="922">
        <f>SUM(CS10:CY10)</f>
        <v>1865668.6987941798</v>
      </c>
      <c r="ER10" s="922">
        <f>SUM(CZ10:DF10)</f>
        <v>0</v>
      </c>
      <c r="ES10" s="922">
        <f>SUM(DG10:DM10)</f>
        <v>2487558.2650589067</v>
      </c>
      <c r="ET10" s="922">
        <f>SUM(DN10:DT10)</f>
        <v>0</v>
      </c>
      <c r="EU10" s="1227">
        <f>EA10</f>
        <v>89861.872156850906</v>
      </c>
      <c r="EV10" s="1227">
        <f>MAX(EB10:EH10)</f>
        <v>9040.8814903536731</v>
      </c>
      <c r="EW10" s="924">
        <f>SUM(EI10:EO10)</f>
        <v>0</v>
      </c>
      <c r="EX10" s="10"/>
      <c r="EY10" s="10"/>
      <c r="EZ10" s="10"/>
      <c r="FA10" s="10"/>
      <c r="FB10" s="10"/>
      <c r="FC10" s="10"/>
      <c r="FD10" s="135"/>
      <c r="FE10" s="135"/>
      <c r="FF10" s="135"/>
    </row>
    <row r="11" spans="1:162" s="96" customFormat="1">
      <c r="A11" s="504"/>
      <c r="B11" s="504"/>
      <c r="C11" s="504"/>
      <c r="D11" s="504"/>
      <c r="E11" s="504"/>
      <c r="F11" s="504"/>
      <c r="G11" s="504"/>
      <c r="H11" s="504"/>
      <c r="I11" s="504"/>
      <c r="J11" s="504"/>
      <c r="K11" s="504"/>
      <c r="L11" s="504"/>
      <c r="M11" s="504"/>
      <c r="N11" s="504"/>
      <c r="O11" s="504"/>
      <c r="P11" s="504"/>
      <c r="Q11" s="504"/>
      <c r="R11" s="504"/>
      <c r="S11" s="504"/>
      <c r="T11" s="504"/>
      <c r="U11" s="504"/>
      <c r="V11" s="504"/>
      <c r="W11" s="1228"/>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0"/>
      <c r="AV11" s="1188"/>
      <c r="AW11" s="504"/>
      <c r="AX11" s="504"/>
      <c r="AY11" s="504"/>
      <c r="AZ11" s="504"/>
      <c r="BA11" s="504"/>
      <c r="BB11" s="1189"/>
      <c r="BC11" s="1188"/>
      <c r="BD11" s="504"/>
      <c r="BE11" s="504"/>
      <c r="BF11" s="504"/>
      <c r="BG11" s="504"/>
      <c r="BH11" s="504"/>
      <c r="BI11" s="1189"/>
      <c r="BJ11" s="1188"/>
      <c r="BK11" s="504"/>
      <c r="BL11" s="504"/>
      <c r="BM11" s="504"/>
      <c r="BN11" s="504"/>
      <c r="BO11" s="504"/>
      <c r="BP11" s="500"/>
      <c r="BQ11" s="1188"/>
      <c r="BR11" s="504"/>
      <c r="BS11" s="504"/>
      <c r="BT11" s="504"/>
      <c r="BU11" s="504"/>
      <c r="BV11" s="504"/>
      <c r="BW11" s="1189"/>
      <c r="BX11" s="498"/>
      <c r="BY11" s="504"/>
      <c r="BZ11" s="504"/>
      <c r="CA11" s="504"/>
      <c r="CB11" s="504"/>
      <c r="CC11" s="504"/>
      <c r="CD11" s="1189"/>
      <c r="CE11" s="498"/>
      <c r="CF11" s="504"/>
      <c r="CG11" s="504"/>
      <c r="CH11" s="504"/>
      <c r="CI11" s="504"/>
      <c r="CJ11" s="504"/>
      <c r="CK11" s="1189"/>
      <c r="CL11" s="498"/>
      <c r="CM11" s="504"/>
      <c r="CN11" s="504"/>
      <c r="CO11" s="504"/>
      <c r="CP11" s="504"/>
      <c r="CQ11" s="504"/>
      <c r="CR11" s="1189"/>
      <c r="CS11" s="498"/>
      <c r="CT11" s="504"/>
      <c r="CU11" s="504"/>
      <c r="CV11" s="504"/>
      <c r="CW11" s="504"/>
      <c r="CX11" s="504"/>
      <c r="CY11" s="1189"/>
      <c r="CZ11" s="498"/>
      <c r="DA11" s="504"/>
      <c r="DB11" s="504"/>
      <c r="DC11" s="504"/>
      <c r="DD11" s="504"/>
      <c r="DE11" s="504"/>
      <c r="DF11" s="1189"/>
      <c r="DG11" s="498"/>
      <c r="DH11" s="504"/>
      <c r="DI11" s="504"/>
      <c r="DJ11" s="504"/>
      <c r="DK11" s="504"/>
      <c r="DL11" s="504"/>
      <c r="DM11" s="1189"/>
      <c r="DN11" s="498"/>
      <c r="DO11" s="504"/>
      <c r="DP11" s="504"/>
      <c r="DQ11" s="504"/>
      <c r="DR11" s="504"/>
      <c r="DS11" s="504"/>
      <c r="DT11" s="1189"/>
      <c r="DU11" s="498"/>
      <c r="DV11" s="504"/>
      <c r="DW11" s="504"/>
      <c r="DX11" s="504"/>
      <c r="DY11" s="504"/>
      <c r="DZ11" s="504"/>
      <c r="EA11" s="504"/>
      <c r="EB11" s="498"/>
      <c r="EC11" s="504"/>
      <c r="ED11" s="504"/>
      <c r="EE11" s="504"/>
      <c r="EF11" s="504"/>
      <c r="EG11" s="504"/>
      <c r="EH11" s="1189"/>
      <c r="EI11" s="498"/>
      <c r="EJ11" s="504"/>
      <c r="EK11" s="504"/>
      <c r="EL11" s="504"/>
      <c r="EM11" s="504"/>
      <c r="EN11" s="504"/>
      <c r="EO11" s="1189"/>
      <c r="EP11" s="1229"/>
      <c r="EQ11" s="1230"/>
      <c r="ER11" s="1230"/>
      <c r="ES11" s="1230"/>
      <c r="ET11" s="1230"/>
      <c r="EU11" s="1230"/>
      <c r="EV11" s="1230"/>
      <c r="EW11" s="1230"/>
      <c r="EX11" s="10"/>
      <c r="EY11" s="10"/>
      <c r="EZ11" s="10"/>
      <c r="FA11" s="10"/>
      <c r="FB11" s="10"/>
      <c r="FC11" s="10"/>
      <c r="FD11" s="10"/>
      <c r="FE11" s="10"/>
      <c r="FF11" s="10"/>
    </row>
    <row r="12" spans="1:162" s="96" customFormat="1" ht="12.5">
      <c r="A12" s="661" t="s">
        <v>172</v>
      </c>
      <c r="B12" s="703" t="s">
        <v>1927</v>
      </c>
      <c r="C12" s="662" t="s">
        <v>1918</v>
      </c>
      <c r="D12" s="715" t="s">
        <v>1514</v>
      </c>
      <c r="E12" s="703" t="s">
        <v>1515</v>
      </c>
      <c r="F12" s="1134" t="s">
        <v>402</v>
      </c>
      <c r="G12" s="1183">
        <f>N12*0.75</f>
        <v>7653.270348837209</v>
      </c>
      <c r="H12" s="704">
        <v>0</v>
      </c>
      <c r="I12" s="706">
        <f>G12+H12</f>
        <v>7653.270348837209</v>
      </c>
      <c r="J12" s="704">
        <v>0</v>
      </c>
      <c r="K12" s="704" t="s">
        <v>378</v>
      </c>
      <c r="L12" s="711" t="s">
        <v>1919</v>
      </c>
      <c r="M12" s="1224">
        <f>15*R12</f>
        <v>2040.8720930232557</v>
      </c>
      <c r="N12" s="1134">
        <f>R12*75</f>
        <v>10204.360465116279</v>
      </c>
      <c r="O12" s="707">
        <v>0</v>
      </c>
      <c r="P12" s="707">
        <v>0</v>
      </c>
      <c r="Q12" s="978">
        <v>1352.3503381642504</v>
      </c>
      <c r="R12" s="1225">
        <v>136.05813953488371</v>
      </c>
      <c r="S12" s="715">
        <v>0</v>
      </c>
      <c r="T12" s="711" t="s">
        <v>1920</v>
      </c>
      <c r="U12" s="1124">
        <v>0.05</v>
      </c>
      <c r="V12" s="781">
        <v>1</v>
      </c>
      <c r="W12" s="781">
        <f>W6/2</f>
        <v>85</v>
      </c>
      <c r="X12" s="781">
        <f>X6/2</f>
        <v>104.31976786202175</v>
      </c>
      <c r="Y12" s="781">
        <f t="shared" ref="Y12:AD12" si="84">Y6/2</f>
        <v>125.18135218945254</v>
      </c>
      <c r="Z12" s="781">
        <f t="shared" si="84"/>
        <v>147.52391525837223</v>
      </c>
      <c r="AA12" s="781">
        <f t="shared" si="84"/>
        <v>171.32575341819569</v>
      </c>
      <c r="AB12" s="781">
        <f t="shared" si="84"/>
        <v>196.57323944274327</v>
      </c>
      <c r="AC12" s="781">
        <f t="shared" si="84"/>
        <v>222.72096402016922</v>
      </c>
      <c r="AD12" s="781">
        <f t="shared" si="84"/>
        <v>222.72096402016922</v>
      </c>
      <c r="AE12" s="711" t="s">
        <v>384</v>
      </c>
      <c r="AF12" s="711" t="s">
        <v>742</v>
      </c>
      <c r="AG12" s="1024" t="s">
        <v>1186</v>
      </c>
      <c r="AH12" s="711" t="s">
        <v>1533</v>
      </c>
      <c r="AI12" s="711" t="s">
        <v>1</v>
      </c>
      <c r="AJ12" s="711" t="s">
        <v>378</v>
      </c>
      <c r="AK12" s="711" t="s">
        <v>378</v>
      </c>
      <c r="AL12" s="711" t="s">
        <v>378</v>
      </c>
      <c r="AM12" s="715" t="s">
        <v>1207</v>
      </c>
      <c r="AN12" s="715" t="s">
        <v>380</v>
      </c>
      <c r="AO12" s="715" t="s">
        <v>1921</v>
      </c>
      <c r="AP12" s="711">
        <v>1</v>
      </c>
      <c r="AQ12" s="711">
        <v>1</v>
      </c>
      <c r="AR12" s="711" t="s">
        <v>1534</v>
      </c>
      <c r="AS12" s="716">
        <v>1</v>
      </c>
      <c r="AT12" s="716">
        <v>1</v>
      </c>
      <c r="AU12" s="717">
        <v>0</v>
      </c>
      <c r="AV12" s="718">
        <f>I12</f>
        <v>7653.270348837209</v>
      </c>
      <c r="AW12" s="499">
        <f t="shared" ref="AW12:AX12" si="85">AV12</f>
        <v>7653.270348837209</v>
      </c>
      <c r="AX12" s="499">
        <f t="shared" si="85"/>
        <v>7653.270348837209</v>
      </c>
      <c r="AY12" s="499">
        <f>AV12</f>
        <v>7653.270348837209</v>
      </c>
      <c r="AZ12" s="499">
        <f t="shared" ref="AZ12:BB12" si="86">AW12</f>
        <v>7653.270348837209</v>
      </c>
      <c r="BA12" s="499">
        <f t="shared" si="86"/>
        <v>7653.270348837209</v>
      </c>
      <c r="BB12" s="719">
        <f t="shared" si="86"/>
        <v>7653.270348837209</v>
      </c>
      <c r="BC12" s="774">
        <f>J12</f>
        <v>0</v>
      </c>
      <c r="BD12" s="499">
        <f t="shared" ref="BD12:BF12" si="87">BC12</f>
        <v>0</v>
      </c>
      <c r="BE12" s="499">
        <f t="shared" si="87"/>
        <v>0</v>
      </c>
      <c r="BF12" s="499">
        <f t="shared" si="87"/>
        <v>0</v>
      </c>
      <c r="BG12" s="499">
        <f t="shared" ref="BG12:BI12" si="88">BF12</f>
        <v>0</v>
      </c>
      <c r="BH12" s="499">
        <f t="shared" si="88"/>
        <v>0</v>
      </c>
      <c r="BI12" s="719">
        <f t="shared" si="88"/>
        <v>0</v>
      </c>
      <c r="BJ12" s="774">
        <f>N12+O12</f>
        <v>10204.360465116279</v>
      </c>
      <c r="BK12" s="503">
        <f>BJ12</f>
        <v>10204.360465116279</v>
      </c>
      <c r="BL12" s="503">
        <f t="shared" ref="BL12:BP12" si="89">BK12</f>
        <v>10204.360465116279</v>
      </c>
      <c r="BM12" s="503">
        <f t="shared" si="89"/>
        <v>10204.360465116279</v>
      </c>
      <c r="BN12" s="503">
        <f t="shared" si="89"/>
        <v>10204.360465116279</v>
      </c>
      <c r="BO12" s="503">
        <f t="shared" si="89"/>
        <v>10204.360465116279</v>
      </c>
      <c r="BP12" s="645">
        <f t="shared" si="89"/>
        <v>10204.360465116279</v>
      </c>
      <c r="BQ12" s="774">
        <f t="shared" si="24"/>
        <v>0</v>
      </c>
      <c r="BR12" s="503">
        <f t="shared" si="24"/>
        <v>0</v>
      </c>
      <c r="BS12" s="503">
        <f t="shared" si="24"/>
        <v>0</v>
      </c>
      <c r="BT12" s="503">
        <f t="shared" si="24"/>
        <v>0</v>
      </c>
      <c r="BU12" s="503">
        <f t="shared" si="24"/>
        <v>0</v>
      </c>
      <c r="BV12" s="503">
        <f t="shared" si="24"/>
        <v>0</v>
      </c>
      <c r="BW12" s="776">
        <f t="shared" si="24"/>
        <v>0</v>
      </c>
      <c r="BX12" s="507">
        <f>Q12*AT12</f>
        <v>1352.3503381642504</v>
      </c>
      <c r="BY12" s="511">
        <f>BX12</f>
        <v>1352.3503381642504</v>
      </c>
      <c r="BZ12" s="511">
        <f t="shared" ref="BZ12:CD12" si="90">BY12</f>
        <v>1352.3503381642504</v>
      </c>
      <c r="CA12" s="511">
        <f t="shared" si="90"/>
        <v>1352.3503381642504</v>
      </c>
      <c r="CB12" s="511">
        <f t="shared" si="90"/>
        <v>1352.3503381642504</v>
      </c>
      <c r="CC12" s="511">
        <f t="shared" si="90"/>
        <v>1352.3503381642504</v>
      </c>
      <c r="CD12" s="723">
        <f t="shared" si="90"/>
        <v>1352.3503381642504</v>
      </c>
      <c r="CE12" s="507">
        <f>R12*AT12</f>
        <v>136.05813953488371</v>
      </c>
      <c r="CF12" s="511">
        <f t="shared" ref="CF12:CF13" si="91">CE12</f>
        <v>136.05813953488371</v>
      </c>
      <c r="CG12" s="511">
        <f t="shared" ref="CG12:CH12" si="92">CF12</f>
        <v>136.05813953488371</v>
      </c>
      <c r="CH12" s="511">
        <f t="shared" si="92"/>
        <v>136.05813953488371</v>
      </c>
      <c r="CI12" s="511">
        <f t="shared" ref="CI12:CK12" si="93">CH12</f>
        <v>136.05813953488371</v>
      </c>
      <c r="CJ12" s="511">
        <f t="shared" si="93"/>
        <v>136.05813953488371</v>
      </c>
      <c r="CK12" s="723">
        <f t="shared" si="93"/>
        <v>136.05813953488371</v>
      </c>
      <c r="CL12" s="507">
        <f>S12*AU12</f>
        <v>0</v>
      </c>
      <c r="CM12" s="511">
        <f>CL12</f>
        <v>0</v>
      </c>
      <c r="CN12" s="511">
        <f t="shared" ref="CN12:CO12" si="94">CM12</f>
        <v>0</v>
      </c>
      <c r="CO12" s="511">
        <f t="shared" si="94"/>
        <v>0</v>
      </c>
      <c r="CP12" s="511">
        <f t="shared" ref="CP12:CR12" si="95">CO12</f>
        <v>0</v>
      </c>
      <c r="CQ12" s="511">
        <f t="shared" si="95"/>
        <v>0</v>
      </c>
      <c r="CR12" s="723">
        <f t="shared" si="95"/>
        <v>0</v>
      </c>
      <c r="CS12" s="509">
        <f t="shared" ref="CS12:CY13" si="96">X12*AV12</f>
        <v>798387.38617599185</v>
      </c>
      <c r="CT12" s="508">
        <f t="shared" si="96"/>
        <v>958046.7309388849</v>
      </c>
      <c r="CU12" s="508">
        <f t="shared" si="96"/>
        <v>1129040.4063912733</v>
      </c>
      <c r="CV12" s="508">
        <f t="shared" si="96"/>
        <v>1311202.3086276723</v>
      </c>
      <c r="CW12" s="508">
        <f t="shared" si="96"/>
        <v>1504428.1448020241</v>
      </c>
      <c r="CX12" s="508">
        <f t="shared" si="96"/>
        <v>1704543.75</v>
      </c>
      <c r="CY12" s="725">
        <f t="shared" si="96"/>
        <v>1704543.75</v>
      </c>
      <c r="CZ12" s="509">
        <f t="shared" ref="CZ12:DF13" si="97">X12*BC12</f>
        <v>0</v>
      </c>
      <c r="DA12" s="508">
        <f t="shared" si="97"/>
        <v>0</v>
      </c>
      <c r="DB12" s="508">
        <f t="shared" si="97"/>
        <v>0</v>
      </c>
      <c r="DC12" s="508">
        <f t="shared" si="97"/>
        <v>0</v>
      </c>
      <c r="DD12" s="508">
        <f t="shared" si="97"/>
        <v>0</v>
      </c>
      <c r="DE12" s="508">
        <f t="shared" si="97"/>
        <v>0</v>
      </c>
      <c r="DF12" s="725">
        <f t="shared" si="97"/>
        <v>0</v>
      </c>
      <c r="DG12" s="509">
        <f t="shared" si="32"/>
        <v>1064516.5149013225</v>
      </c>
      <c r="DH12" s="508">
        <f t="shared" ref="DH12:DM13" si="98">Y12*BK12</f>
        <v>1277395.6412518467</v>
      </c>
      <c r="DI12" s="508">
        <f t="shared" si="98"/>
        <v>1505387.2085216977</v>
      </c>
      <c r="DJ12" s="508">
        <f t="shared" si="98"/>
        <v>1748269.7448368962</v>
      </c>
      <c r="DK12" s="508">
        <f t="shared" si="98"/>
        <v>2005904.1930693653</v>
      </c>
      <c r="DL12" s="508">
        <f t="shared" si="98"/>
        <v>2272725</v>
      </c>
      <c r="DM12" s="725">
        <f t="shared" si="98"/>
        <v>2272725</v>
      </c>
      <c r="DN12" s="509">
        <f t="shared" ref="DN12:DT13" si="99">BQ12*X12</f>
        <v>0</v>
      </c>
      <c r="DO12" s="508">
        <f t="shared" si="99"/>
        <v>0</v>
      </c>
      <c r="DP12" s="508">
        <f t="shared" si="99"/>
        <v>0</v>
      </c>
      <c r="DQ12" s="508">
        <f t="shared" si="99"/>
        <v>0</v>
      </c>
      <c r="DR12" s="508">
        <f t="shared" si="99"/>
        <v>0</v>
      </c>
      <c r="DS12" s="508">
        <f t="shared" si="99"/>
        <v>0</v>
      </c>
      <c r="DT12" s="725">
        <f t="shared" si="99"/>
        <v>0</v>
      </c>
      <c r="DU12" s="507">
        <f t="shared" si="35"/>
        <v>141076.87334542122</v>
      </c>
      <c r="DV12" s="511">
        <f t="shared" ref="DV12:EA13" si="100">Y12*BY12</f>
        <v>169289.04396526428</v>
      </c>
      <c r="DW12" s="511">
        <f t="shared" si="100"/>
        <v>199504.01668697389</v>
      </c>
      <c r="DX12" s="511">
        <f t="shared" si="100"/>
        <v>231692.44057134193</v>
      </c>
      <c r="DY12" s="511">
        <f t="shared" si="100"/>
        <v>265835.88683443604</v>
      </c>
      <c r="DZ12" s="511">
        <f t="shared" si="100"/>
        <v>301196.77100894367</v>
      </c>
      <c r="EA12" s="511">
        <f t="shared" si="100"/>
        <v>301196.77100894367</v>
      </c>
      <c r="EB12" s="507">
        <f t="shared" si="37"/>
        <v>14193.553532017631</v>
      </c>
      <c r="EC12" s="511">
        <f t="shared" ref="EC12:EH13" si="101">Y12*CF12</f>
        <v>17031.941883357955</v>
      </c>
      <c r="ED12" s="511">
        <f t="shared" si="101"/>
        <v>20071.82944695597</v>
      </c>
      <c r="EE12" s="511">
        <f t="shared" si="101"/>
        <v>23310.263264491947</v>
      </c>
      <c r="EF12" s="511">
        <f t="shared" si="101"/>
        <v>26745.389240924869</v>
      </c>
      <c r="EG12" s="511">
        <f t="shared" si="101"/>
        <v>30302.999999999996</v>
      </c>
      <c r="EH12" s="723">
        <f t="shared" si="101"/>
        <v>30302.999999999996</v>
      </c>
      <c r="EI12" s="507">
        <f t="shared" si="39"/>
        <v>0</v>
      </c>
      <c r="EJ12" s="511">
        <f t="shared" ref="EJ12:EO13" si="102">Y12*CM12</f>
        <v>0</v>
      </c>
      <c r="EK12" s="511">
        <f t="shared" si="102"/>
        <v>0</v>
      </c>
      <c r="EL12" s="511">
        <f t="shared" si="102"/>
        <v>0</v>
      </c>
      <c r="EM12" s="511">
        <f t="shared" si="102"/>
        <v>0</v>
      </c>
      <c r="EN12" s="511">
        <f t="shared" si="102"/>
        <v>0</v>
      </c>
      <c r="EO12" s="723">
        <f t="shared" si="102"/>
        <v>0</v>
      </c>
      <c r="EP12" s="1226">
        <f>AVERAGE(X12:AD12)</f>
        <v>170.05227945873202</v>
      </c>
      <c r="EQ12" s="922">
        <f>SUM(CS12:CY12)</f>
        <v>9110192.4769358467</v>
      </c>
      <c r="ER12" s="922">
        <f>SUM(CZ12:DF12)</f>
        <v>0</v>
      </c>
      <c r="ES12" s="922">
        <f>SUM(DG12:DM12)</f>
        <v>12146923.302581128</v>
      </c>
      <c r="ET12" s="922">
        <f>SUM(DN12:DT12)</f>
        <v>0</v>
      </c>
      <c r="EU12" s="1227">
        <f>EA12</f>
        <v>301196.77100894367</v>
      </c>
      <c r="EV12" s="1227">
        <f>MAX(EB12:EH12)</f>
        <v>30302.999999999996</v>
      </c>
      <c r="EW12" s="924">
        <f>SUM(EI12:EO12)</f>
        <v>0</v>
      </c>
      <c r="EX12" s="10"/>
      <c r="EY12" s="10"/>
      <c r="EZ12" s="10"/>
      <c r="FA12" s="10"/>
      <c r="FB12" s="10"/>
      <c r="FC12" s="10"/>
      <c r="FD12" s="10"/>
      <c r="FE12" s="10"/>
      <c r="FF12" s="10"/>
    </row>
    <row r="13" spans="1:162" s="96" customFormat="1" ht="12.5">
      <c r="A13" s="661" t="s">
        <v>174</v>
      </c>
      <c r="B13" s="703" t="s">
        <v>1928</v>
      </c>
      <c r="C13" s="662" t="s">
        <v>1923</v>
      </c>
      <c r="D13" s="715" t="s">
        <v>1514</v>
      </c>
      <c r="E13" s="703" t="s">
        <v>1515</v>
      </c>
      <c r="F13" s="1134" t="s">
        <v>402</v>
      </c>
      <c r="G13" s="1183">
        <f>N13*0.75</f>
        <v>7653.270348837209</v>
      </c>
      <c r="H13" s="704"/>
      <c r="I13" s="706">
        <f>G13+H13</f>
        <v>7653.270348837209</v>
      </c>
      <c r="J13" s="704"/>
      <c r="K13" s="704" t="s">
        <v>378</v>
      </c>
      <c r="L13" s="711" t="s">
        <v>1919</v>
      </c>
      <c r="M13" s="1224">
        <f>15*R13</f>
        <v>2040.8720930232557</v>
      </c>
      <c r="N13" s="1134">
        <f>R13*75</f>
        <v>10204.360465116279</v>
      </c>
      <c r="O13" s="707">
        <v>0</v>
      </c>
      <c r="P13" s="707">
        <v>0</v>
      </c>
      <c r="Q13" s="978">
        <v>1352.3503381642504</v>
      </c>
      <c r="R13" s="1225">
        <v>136.05813953488371</v>
      </c>
      <c r="S13" s="715">
        <v>0</v>
      </c>
      <c r="T13" s="711" t="s">
        <v>1920</v>
      </c>
      <c r="U13" s="1124">
        <v>0.05</v>
      </c>
      <c r="V13" s="781">
        <v>1</v>
      </c>
      <c r="W13" s="781">
        <v>0</v>
      </c>
      <c r="X13" s="781">
        <f t="shared" ref="X13:AD13" si="103">X7/2</f>
        <v>2.1128116407974908</v>
      </c>
      <c r="Y13" s="781">
        <f t="shared" si="103"/>
        <v>8.39048988176385</v>
      </c>
      <c r="Z13" s="781">
        <f t="shared" si="103"/>
        <v>16.776989242676009</v>
      </c>
      <c r="AA13" s="781">
        <f t="shared" si="103"/>
        <v>33.477359938758788</v>
      </c>
      <c r="AB13" s="781">
        <f t="shared" si="103"/>
        <v>50.119071592677727</v>
      </c>
      <c r="AC13" s="781">
        <f t="shared" si="103"/>
        <v>66.448663205744467</v>
      </c>
      <c r="AD13" s="781">
        <f t="shared" si="103"/>
        <v>66.448663205744467</v>
      </c>
      <c r="AE13" s="711" t="s">
        <v>384</v>
      </c>
      <c r="AF13" s="711" t="s">
        <v>742</v>
      </c>
      <c r="AG13" s="1024" t="s">
        <v>1868</v>
      </c>
      <c r="AH13" s="711" t="s">
        <v>377</v>
      </c>
      <c r="AI13" s="711" t="s">
        <v>1</v>
      </c>
      <c r="AJ13" s="711" t="s">
        <v>378</v>
      </c>
      <c r="AK13" s="711" t="s">
        <v>378</v>
      </c>
      <c r="AL13" s="711" t="s">
        <v>378</v>
      </c>
      <c r="AM13" s="715" t="s">
        <v>744</v>
      </c>
      <c r="AN13" s="715" t="s">
        <v>380</v>
      </c>
      <c r="AO13" s="715" t="s">
        <v>1921</v>
      </c>
      <c r="AP13" s="711">
        <v>1</v>
      </c>
      <c r="AQ13" s="711">
        <v>1</v>
      </c>
      <c r="AR13" s="711" t="s">
        <v>1534</v>
      </c>
      <c r="AS13" s="716">
        <v>1</v>
      </c>
      <c r="AT13" s="716">
        <v>1</v>
      </c>
      <c r="AU13" s="717">
        <v>0</v>
      </c>
      <c r="AV13" s="718">
        <f>I13</f>
        <v>7653.270348837209</v>
      </c>
      <c r="AW13" s="499">
        <f t="shared" ref="AW13:BB13" si="104">AV13</f>
        <v>7653.270348837209</v>
      </c>
      <c r="AX13" s="499">
        <f t="shared" si="104"/>
        <v>7653.270348837209</v>
      </c>
      <c r="AY13" s="499">
        <f t="shared" si="104"/>
        <v>7653.270348837209</v>
      </c>
      <c r="AZ13" s="499">
        <f t="shared" si="104"/>
        <v>7653.270348837209</v>
      </c>
      <c r="BA13" s="499">
        <f t="shared" si="104"/>
        <v>7653.270348837209</v>
      </c>
      <c r="BB13" s="719">
        <f t="shared" si="104"/>
        <v>7653.270348837209</v>
      </c>
      <c r="BC13" s="774">
        <f>J13</f>
        <v>0</v>
      </c>
      <c r="BD13" s="499">
        <f t="shared" ref="BD13:BI13" si="105">BC13</f>
        <v>0</v>
      </c>
      <c r="BE13" s="499">
        <f t="shared" si="105"/>
        <v>0</v>
      </c>
      <c r="BF13" s="499">
        <f t="shared" si="105"/>
        <v>0</v>
      </c>
      <c r="BG13" s="499">
        <f t="shared" si="105"/>
        <v>0</v>
      </c>
      <c r="BH13" s="499">
        <f t="shared" si="105"/>
        <v>0</v>
      </c>
      <c r="BI13" s="719">
        <f t="shared" si="105"/>
        <v>0</v>
      </c>
      <c r="BJ13" s="774">
        <f>N13+O13</f>
        <v>10204.360465116279</v>
      </c>
      <c r="BK13" s="503">
        <f t="shared" ref="BK13:BP13" si="106">BJ13</f>
        <v>10204.360465116279</v>
      </c>
      <c r="BL13" s="503">
        <f t="shared" si="106"/>
        <v>10204.360465116279</v>
      </c>
      <c r="BM13" s="503">
        <f t="shared" si="106"/>
        <v>10204.360465116279</v>
      </c>
      <c r="BN13" s="503">
        <f t="shared" si="106"/>
        <v>10204.360465116279</v>
      </c>
      <c r="BO13" s="503">
        <f t="shared" si="106"/>
        <v>10204.360465116279</v>
      </c>
      <c r="BP13" s="645">
        <f t="shared" si="106"/>
        <v>10204.360465116279</v>
      </c>
      <c r="BQ13" s="774">
        <f t="shared" ref="BQ13:BW13" si="107">$P13</f>
        <v>0</v>
      </c>
      <c r="BR13" s="503">
        <f t="shared" si="107"/>
        <v>0</v>
      </c>
      <c r="BS13" s="503">
        <f t="shared" si="107"/>
        <v>0</v>
      </c>
      <c r="BT13" s="503">
        <f t="shared" si="107"/>
        <v>0</v>
      </c>
      <c r="BU13" s="503">
        <f t="shared" si="107"/>
        <v>0</v>
      </c>
      <c r="BV13" s="503">
        <f t="shared" si="107"/>
        <v>0</v>
      </c>
      <c r="BW13" s="776">
        <f t="shared" si="107"/>
        <v>0</v>
      </c>
      <c r="BX13" s="507">
        <f>Q13*AT13</f>
        <v>1352.3503381642504</v>
      </c>
      <c r="BY13" s="511">
        <f t="shared" ref="BY13:CD13" si="108">BX13</f>
        <v>1352.3503381642504</v>
      </c>
      <c r="BZ13" s="511">
        <f t="shared" si="108"/>
        <v>1352.3503381642504</v>
      </c>
      <c r="CA13" s="511">
        <f t="shared" si="108"/>
        <v>1352.3503381642504</v>
      </c>
      <c r="CB13" s="511">
        <f t="shared" si="108"/>
        <v>1352.3503381642504</v>
      </c>
      <c r="CC13" s="511">
        <f t="shared" si="108"/>
        <v>1352.3503381642504</v>
      </c>
      <c r="CD13" s="723">
        <f t="shared" si="108"/>
        <v>1352.3503381642504</v>
      </c>
      <c r="CE13" s="507">
        <f>R13*AT13</f>
        <v>136.05813953488371</v>
      </c>
      <c r="CF13" s="511">
        <f t="shared" si="91"/>
        <v>136.05813953488371</v>
      </c>
      <c r="CG13" s="511">
        <f t="shared" ref="CG13:CK13" si="109">CF13</f>
        <v>136.05813953488371</v>
      </c>
      <c r="CH13" s="511">
        <f t="shared" si="109"/>
        <v>136.05813953488371</v>
      </c>
      <c r="CI13" s="511">
        <f t="shared" si="109"/>
        <v>136.05813953488371</v>
      </c>
      <c r="CJ13" s="511">
        <f t="shared" si="109"/>
        <v>136.05813953488371</v>
      </c>
      <c r="CK13" s="723">
        <f t="shared" si="109"/>
        <v>136.05813953488371</v>
      </c>
      <c r="CL13" s="507">
        <f>S13*AU13</f>
        <v>0</v>
      </c>
      <c r="CM13" s="511">
        <f t="shared" ref="CM13" si="110">CL13</f>
        <v>0</v>
      </c>
      <c r="CN13" s="511">
        <f t="shared" ref="CN13:CR13" si="111">CM13</f>
        <v>0</v>
      </c>
      <c r="CO13" s="511">
        <f t="shared" si="111"/>
        <v>0</v>
      </c>
      <c r="CP13" s="511">
        <f t="shared" si="111"/>
        <v>0</v>
      </c>
      <c r="CQ13" s="511">
        <f t="shared" si="111"/>
        <v>0</v>
      </c>
      <c r="CR13" s="723">
        <f t="shared" si="111"/>
        <v>0</v>
      </c>
      <c r="CS13" s="509">
        <f t="shared" si="96"/>
        <v>16169.918683193529</v>
      </c>
      <c r="CT13" s="508">
        <f t="shared" si="96"/>
        <v>64214.687424321892</v>
      </c>
      <c r="CU13" s="508">
        <f t="shared" si="96"/>
        <v>128398.83431373312</v>
      </c>
      <c r="CV13" s="508">
        <f t="shared" si="96"/>
        <v>256211.28617665329</v>
      </c>
      <c r="CW13" s="508">
        <f t="shared" si="96"/>
        <v>383574.80453148973</v>
      </c>
      <c r="CX13" s="508">
        <f t="shared" si="96"/>
        <v>508549.58383239416</v>
      </c>
      <c r="CY13" s="725">
        <f t="shared" si="96"/>
        <v>508549.58383239416</v>
      </c>
      <c r="CZ13" s="509">
        <f t="shared" si="97"/>
        <v>0</v>
      </c>
      <c r="DA13" s="508">
        <f t="shared" si="97"/>
        <v>0</v>
      </c>
      <c r="DB13" s="508">
        <f t="shared" si="97"/>
        <v>0</v>
      </c>
      <c r="DC13" s="508">
        <f t="shared" si="97"/>
        <v>0</v>
      </c>
      <c r="DD13" s="508">
        <f t="shared" si="97"/>
        <v>0</v>
      </c>
      <c r="DE13" s="508">
        <f t="shared" si="97"/>
        <v>0</v>
      </c>
      <c r="DF13" s="725">
        <f t="shared" si="97"/>
        <v>0</v>
      </c>
      <c r="DG13" s="509">
        <f t="shared" si="32"/>
        <v>21559.89157759137</v>
      </c>
      <c r="DH13" s="508">
        <f t="shared" si="98"/>
        <v>85619.583232429184</v>
      </c>
      <c r="DI13" s="508">
        <f t="shared" si="98"/>
        <v>171198.44575164418</v>
      </c>
      <c r="DJ13" s="508">
        <f t="shared" si="98"/>
        <v>341615.04823553772</v>
      </c>
      <c r="DK13" s="508">
        <f t="shared" si="98"/>
        <v>511433.07270865294</v>
      </c>
      <c r="DL13" s="508">
        <f t="shared" si="98"/>
        <v>678066.1117765255</v>
      </c>
      <c r="DM13" s="725">
        <f t="shared" si="98"/>
        <v>678066.1117765255</v>
      </c>
      <c r="DN13" s="509">
        <f t="shared" si="99"/>
        <v>0</v>
      </c>
      <c r="DO13" s="508">
        <f t="shared" si="99"/>
        <v>0</v>
      </c>
      <c r="DP13" s="508">
        <f t="shared" si="99"/>
        <v>0</v>
      </c>
      <c r="DQ13" s="508">
        <f t="shared" si="99"/>
        <v>0</v>
      </c>
      <c r="DR13" s="508">
        <f t="shared" si="99"/>
        <v>0</v>
      </c>
      <c r="DS13" s="508">
        <f t="shared" si="99"/>
        <v>0</v>
      </c>
      <c r="DT13" s="725">
        <f t="shared" si="99"/>
        <v>0</v>
      </c>
      <c r="DU13" s="507">
        <f t="shared" si="35"/>
        <v>2857.2615369098517</v>
      </c>
      <c r="DV13" s="511">
        <f t="shared" si="100"/>
        <v>11346.881828967063</v>
      </c>
      <c r="DW13" s="511">
        <f t="shared" si="100"/>
        <v>22688.367075710892</v>
      </c>
      <c r="DX13" s="511">
        <f t="shared" si="100"/>
        <v>45273.119034026779</v>
      </c>
      <c r="DY13" s="511">
        <f t="shared" si="100"/>
        <v>67778.543416835993</v>
      </c>
      <c r="DZ13" s="511">
        <f t="shared" si="100"/>
        <v>89861.872156850906</v>
      </c>
      <c r="EA13" s="511">
        <f t="shared" si="100"/>
        <v>89861.872156850906</v>
      </c>
      <c r="EB13" s="507">
        <f t="shared" si="37"/>
        <v>287.46522103455163</v>
      </c>
      <c r="EC13" s="511">
        <f t="shared" si="101"/>
        <v>1141.5944430990558</v>
      </c>
      <c r="ED13" s="511">
        <f t="shared" si="101"/>
        <v>2282.6459433552554</v>
      </c>
      <c r="EE13" s="511">
        <f t="shared" si="101"/>
        <v>4554.8673098071695</v>
      </c>
      <c r="EF13" s="511">
        <f t="shared" si="101"/>
        <v>6819.1076361153728</v>
      </c>
      <c r="EG13" s="511">
        <f t="shared" si="101"/>
        <v>9040.8814903536731</v>
      </c>
      <c r="EH13" s="723">
        <f t="shared" si="101"/>
        <v>9040.8814903536731</v>
      </c>
      <c r="EI13" s="507">
        <f t="shared" si="39"/>
        <v>0</v>
      </c>
      <c r="EJ13" s="511">
        <f t="shared" si="102"/>
        <v>0</v>
      </c>
      <c r="EK13" s="511">
        <f t="shared" si="102"/>
        <v>0</v>
      </c>
      <c r="EL13" s="511">
        <f t="shared" si="102"/>
        <v>0</v>
      </c>
      <c r="EM13" s="511">
        <f t="shared" si="102"/>
        <v>0</v>
      </c>
      <c r="EN13" s="511">
        <f t="shared" si="102"/>
        <v>0</v>
      </c>
      <c r="EO13" s="723">
        <f t="shared" si="102"/>
        <v>0</v>
      </c>
      <c r="EP13" s="1226">
        <f>AVERAGE(X13:AD13)</f>
        <v>34.824864101166114</v>
      </c>
      <c r="EQ13" s="922">
        <f>SUM(CS13:CY13)</f>
        <v>1865668.6987941798</v>
      </c>
      <c r="ER13" s="922">
        <f>SUM(CZ13:DF13)</f>
        <v>0</v>
      </c>
      <c r="ES13" s="922">
        <f>SUM(DG13:DM13)</f>
        <v>2487558.2650589067</v>
      </c>
      <c r="ET13" s="922">
        <f>SUM(DN13:DT13)</f>
        <v>0</v>
      </c>
      <c r="EU13" s="1227">
        <f>EA13</f>
        <v>89861.872156850906</v>
      </c>
      <c r="EV13" s="1227">
        <f>MAX(EB13:EH13)</f>
        <v>9040.8814903536731</v>
      </c>
      <c r="EW13" s="924">
        <f>SUM(EI13:EO13)</f>
        <v>0</v>
      </c>
      <c r="EX13" s="10"/>
      <c r="EY13" s="10"/>
      <c r="EZ13" s="10"/>
      <c r="FA13" s="10"/>
      <c r="FB13" s="10"/>
      <c r="FC13" s="10"/>
      <c r="FD13" s="10"/>
      <c r="FE13" s="10"/>
      <c r="FF13" s="10"/>
    </row>
    <row r="14" spans="1:162" ht="13.5" thickBot="1">
      <c r="A14" s="504"/>
      <c r="B14" s="504"/>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0"/>
      <c r="AV14" s="1219"/>
      <c r="AW14" s="1220"/>
      <c r="AX14" s="1220"/>
      <c r="AY14" s="1220"/>
      <c r="AZ14" s="1220"/>
      <c r="BA14" s="1220"/>
      <c r="BB14" s="540"/>
      <c r="BC14" s="1219"/>
      <c r="BD14" s="1220"/>
      <c r="BE14" s="1220"/>
      <c r="BF14" s="1220"/>
      <c r="BG14" s="1220"/>
      <c r="BH14" s="1220"/>
      <c r="BI14" s="540"/>
      <c r="BJ14" s="1219"/>
      <c r="BK14" s="1220"/>
      <c r="BL14" s="1220"/>
      <c r="BM14" s="1220"/>
      <c r="BN14" s="1220"/>
      <c r="BO14" s="1220"/>
      <c r="BP14" s="1222"/>
      <c r="BQ14" s="1219"/>
      <c r="BR14" s="1220"/>
      <c r="BS14" s="1220"/>
      <c r="BT14" s="1220"/>
      <c r="BU14" s="1220"/>
      <c r="BV14" s="1220"/>
      <c r="BW14" s="540"/>
      <c r="BX14" s="1221"/>
      <c r="BY14" s="1220"/>
      <c r="BZ14" s="1220"/>
      <c r="CA14" s="1220"/>
      <c r="CB14" s="1220"/>
      <c r="CC14" s="1220"/>
      <c r="CD14" s="540"/>
      <c r="CE14" s="1221"/>
      <c r="CF14" s="1220"/>
      <c r="CG14" s="1220"/>
      <c r="CH14" s="1220"/>
      <c r="CI14" s="1220"/>
      <c r="CJ14" s="1220"/>
      <c r="CK14" s="540"/>
      <c r="CL14" s="1221"/>
      <c r="CM14" s="1220"/>
      <c r="CN14" s="1220"/>
      <c r="CO14" s="1220"/>
      <c r="CP14" s="1220"/>
      <c r="CQ14" s="1220"/>
      <c r="CR14" s="540"/>
      <c r="CS14" s="1221"/>
      <c r="CT14" s="1220"/>
      <c r="CU14" s="1220"/>
      <c r="CV14" s="1220"/>
      <c r="CW14" s="1220"/>
      <c r="CX14" s="1220"/>
      <c r="CY14" s="540"/>
      <c r="CZ14" s="1221"/>
      <c r="DA14" s="1220"/>
      <c r="DB14" s="1220"/>
      <c r="DC14" s="1220"/>
      <c r="DD14" s="1220"/>
      <c r="DE14" s="1220"/>
      <c r="DF14" s="540"/>
      <c r="DG14" s="1221"/>
      <c r="DH14" s="1220"/>
      <c r="DI14" s="1220"/>
      <c r="DJ14" s="1220"/>
      <c r="DK14" s="1220"/>
      <c r="DL14" s="1220"/>
      <c r="DM14" s="540"/>
      <c r="DN14" s="1221"/>
      <c r="DO14" s="1220"/>
      <c r="DP14" s="1220"/>
      <c r="DQ14" s="1220"/>
      <c r="DR14" s="1220"/>
      <c r="DS14" s="1220"/>
      <c r="DT14" s="540"/>
      <c r="DU14" s="498"/>
      <c r="DV14" s="504"/>
      <c r="DW14" s="504"/>
      <c r="DX14" s="504"/>
      <c r="DY14" s="504"/>
      <c r="DZ14" s="504"/>
      <c r="EA14" s="504"/>
      <c r="EB14" s="1221"/>
      <c r="EC14" s="1220"/>
      <c r="ED14" s="1220"/>
      <c r="EE14" s="1220"/>
      <c r="EF14" s="1220"/>
      <c r="EG14" s="1220"/>
      <c r="EH14" s="540"/>
      <c r="EI14" s="1221"/>
      <c r="EJ14" s="1220"/>
      <c r="EK14" s="1220"/>
      <c r="EL14" s="1220"/>
      <c r="EM14" s="1220"/>
      <c r="EN14" s="1220"/>
      <c r="EO14" s="540"/>
      <c r="EP14" s="1229"/>
      <c r="EQ14" s="1230"/>
      <c r="ER14" s="1230"/>
      <c r="ES14" s="1230"/>
      <c r="ET14" s="1230"/>
      <c r="EU14" s="1230"/>
      <c r="EV14" s="1230"/>
      <c r="EW14" s="1230"/>
      <c r="EX14" s="2"/>
      <c r="EY14" s="2"/>
      <c r="EZ14" s="2"/>
      <c r="FA14" s="2"/>
      <c r="FB14" s="2"/>
      <c r="FC14" s="2"/>
      <c r="FD14" s="2"/>
      <c r="FE14" s="2"/>
      <c r="FF14" s="2"/>
    </row>
    <row r="15" spans="1:162">
      <c r="A15" s="2"/>
      <c r="B15" s="2"/>
      <c r="C15" s="2"/>
      <c r="D15" s="2"/>
      <c r="E15" s="2"/>
      <c r="F15" s="2"/>
      <c r="G15" s="2"/>
      <c r="H15" s="2"/>
      <c r="I15" s="2"/>
      <c r="J15" s="2"/>
      <c r="K15" s="2"/>
      <c r="L15" s="2"/>
      <c r="M15" s="14"/>
      <c r="N15" s="2"/>
      <c r="O15" s="2"/>
      <c r="P15" s="2"/>
      <c r="Q15" s="2"/>
      <c r="R15" s="14"/>
      <c r="S15" s="2"/>
      <c r="T15" s="3"/>
      <c r="U15" s="3"/>
      <c r="V15" s="2"/>
      <c r="W15" s="14"/>
      <c r="X15" s="3"/>
      <c r="Y15" s="3"/>
      <c r="Z15" s="3"/>
      <c r="AA15" s="3"/>
      <c r="AB15" s="3"/>
      <c r="AC15" s="3"/>
      <c r="AD15" s="3"/>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row>
    <row r="16" spans="1:162">
      <c r="A16" s="2"/>
      <c r="B16" s="2"/>
      <c r="C16" s="2"/>
      <c r="D16" s="2"/>
      <c r="E16" s="2"/>
      <c r="F16" s="2"/>
      <c r="G16" s="2"/>
      <c r="H16" s="2"/>
      <c r="I16" s="2"/>
      <c r="J16" s="2"/>
      <c r="K16" s="2"/>
      <c r="L16" s="2"/>
      <c r="M16" s="2"/>
      <c r="N16" s="2"/>
      <c r="O16" s="2"/>
      <c r="P16" s="2"/>
      <c r="Q16" s="2"/>
      <c r="R16" s="2"/>
      <c r="S16" s="2"/>
      <c r="T16" s="2"/>
      <c r="U16" s="2"/>
      <c r="V16" s="3"/>
      <c r="W16" s="103"/>
      <c r="X16" s="103"/>
      <c r="Y16" s="3"/>
      <c r="Z16" s="3"/>
      <c r="AA16" s="3"/>
      <c r="AB16" s="103"/>
      <c r="AC16" s="3"/>
      <c r="AD16" s="3" t="s">
        <v>1929</v>
      </c>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row>
    <row r="17" spans="1:162">
      <c r="A17" s="2"/>
      <c r="B17" s="2"/>
      <c r="C17" s="2"/>
      <c r="D17" s="2"/>
      <c r="E17" s="2"/>
      <c r="F17" s="2"/>
      <c r="G17" s="2"/>
      <c r="H17" s="2"/>
      <c r="I17" s="2"/>
      <c r="J17" s="2"/>
      <c r="K17" s="2"/>
      <c r="L17" s="2"/>
      <c r="M17" s="2"/>
      <c r="N17" s="2" t="s">
        <v>1930</v>
      </c>
      <c r="O17" s="2"/>
      <c r="P17" s="2"/>
      <c r="Q17" s="2"/>
      <c r="R17" s="2"/>
      <c r="S17" s="2"/>
      <c r="T17" s="2"/>
      <c r="U17" s="2"/>
      <c r="V17" s="3"/>
      <c r="W17" s="18" t="s">
        <v>1931</v>
      </c>
      <c r="X17" s="3"/>
      <c r="Y17" s="3"/>
      <c r="Z17" s="3"/>
      <c r="AA17" s="3"/>
      <c r="AB17" s="3"/>
      <c r="AC17" s="3"/>
      <c r="AD17" s="3"/>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row>
    <row r="18" spans="1:162">
      <c r="A18" s="2"/>
      <c r="B18" s="2"/>
      <c r="C18" s="2"/>
      <c r="D18" s="2"/>
      <c r="E18" s="2"/>
      <c r="F18" s="2"/>
      <c r="G18" s="2"/>
      <c r="H18" s="2"/>
      <c r="I18" s="2"/>
      <c r="J18" s="2"/>
      <c r="K18" s="2"/>
      <c r="L18" s="2"/>
      <c r="M18" s="2" t="s">
        <v>1932</v>
      </c>
      <c r="N18" s="1231">
        <v>320.83333333333331</v>
      </c>
      <c r="O18" s="2"/>
      <c r="P18" s="2"/>
      <c r="Q18" s="2"/>
      <c r="R18" s="2"/>
      <c r="S18" s="2"/>
      <c r="T18" s="2"/>
      <c r="U18" s="2"/>
      <c r="V18" s="2"/>
      <c r="W18" s="2" t="s">
        <v>1933</v>
      </c>
      <c r="X18" s="2"/>
      <c r="Y18" s="2"/>
      <c r="Z18" s="2"/>
      <c r="AA18" s="3"/>
      <c r="AB18" s="3"/>
      <c r="AC18" s="3"/>
      <c r="AD18" s="3"/>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row>
    <row r="19" spans="1:162" s="95" customFormat="1">
      <c r="A19" s="3"/>
      <c r="B19" s="3"/>
      <c r="C19" s="3"/>
      <c r="D19" s="3"/>
      <c r="E19" s="3"/>
      <c r="F19" s="3"/>
      <c r="G19" s="2"/>
      <c r="H19" s="2"/>
      <c r="I19" s="2"/>
      <c r="J19" s="2"/>
      <c r="K19" s="2"/>
      <c r="L19" s="2"/>
      <c r="M19" s="2"/>
      <c r="N19" s="2"/>
      <c r="O19" s="2"/>
      <c r="P19" s="2"/>
      <c r="Q19" s="324"/>
      <c r="R19" s="2"/>
      <c r="S19" s="2"/>
      <c r="T19" s="2"/>
      <c r="U19" s="2"/>
      <c r="V19" s="2"/>
      <c r="W19" s="2" t="s">
        <v>1934</v>
      </c>
      <c r="X19" s="2"/>
      <c r="Y19" s="2"/>
      <c r="Z19" s="2"/>
      <c r="AA19" s="3"/>
      <c r="AB19" s="3"/>
      <c r="AC19" s="3"/>
      <c r="AD19" s="3"/>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3"/>
      <c r="EY19" s="3"/>
      <c r="EZ19" s="3"/>
      <c r="FA19" s="3"/>
      <c r="FB19" s="3"/>
      <c r="FC19" s="3"/>
      <c r="FD19" s="3"/>
      <c r="FE19" s="3"/>
      <c r="FF19" s="3"/>
    </row>
    <row r="20" spans="1:162" s="95" customFormat="1">
      <c r="A20" s="3"/>
      <c r="B20" s="3"/>
      <c r="C20" s="3"/>
      <c r="D20" s="3"/>
      <c r="E20" s="3"/>
      <c r="F20" s="3"/>
      <c r="G20" s="2"/>
      <c r="H20" s="2"/>
      <c r="I20" s="2"/>
      <c r="J20" s="2"/>
      <c r="K20" s="2"/>
      <c r="L20" s="2"/>
      <c r="M20" s="2"/>
      <c r="N20" s="2"/>
      <c r="O20" s="2"/>
      <c r="P20" s="2"/>
      <c r="Q20" s="2"/>
      <c r="R20" s="2"/>
      <c r="S20" s="2"/>
      <c r="T20" s="2"/>
      <c r="U20" s="2"/>
      <c r="V20" s="2"/>
      <c r="W20" s="2" t="s">
        <v>1935</v>
      </c>
      <c r="X20" s="2"/>
      <c r="Y20" s="2"/>
      <c r="Z20" s="2"/>
      <c r="AA20" s="3"/>
      <c r="AB20" s="3"/>
      <c r="AC20" s="3"/>
      <c r="AD20" s="3"/>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3"/>
      <c r="EY20" s="3"/>
      <c r="EZ20" s="3"/>
      <c r="FA20" s="3"/>
      <c r="FB20" s="3"/>
      <c r="FC20" s="3"/>
      <c r="FD20" s="3"/>
      <c r="FE20" s="3"/>
      <c r="FF20" s="3"/>
    </row>
    <row r="21" spans="1:162">
      <c r="A21" s="2"/>
      <c r="B21" s="2"/>
      <c r="C21" s="2"/>
      <c r="D21" s="2"/>
      <c r="E21" s="2"/>
      <c r="F21" s="2"/>
      <c r="G21" s="2"/>
      <c r="H21" s="2"/>
      <c r="I21" s="2"/>
      <c r="J21" s="2"/>
      <c r="K21" s="2"/>
      <c r="L21" s="2"/>
      <c r="M21" s="2"/>
      <c r="N21" s="2"/>
      <c r="O21" s="2"/>
      <c r="P21" s="2"/>
      <c r="Q21" s="2"/>
      <c r="R21" s="2"/>
      <c r="S21" s="2"/>
      <c r="T21" s="2"/>
      <c r="U21" s="2"/>
      <c r="V21" s="2"/>
      <c r="W21" s="2">
        <f>33.3*182%</f>
        <v>60.605999999999995</v>
      </c>
      <c r="X21" s="2" t="s">
        <v>1936</v>
      </c>
      <c r="Y21" s="2"/>
      <c r="Z21" s="2"/>
      <c r="AA21" s="3"/>
      <c r="AB21" s="3"/>
      <c r="AC21" s="3"/>
      <c r="AD21" s="3"/>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row>
    <row r="22" spans="1:162">
      <c r="A22" s="2"/>
      <c r="B22" s="2"/>
      <c r="C22" s="2"/>
      <c r="D22" s="2"/>
      <c r="E22" s="2"/>
      <c r="F22" s="2"/>
      <c r="G22" s="2"/>
      <c r="H22" s="2"/>
      <c r="I22" s="2"/>
      <c r="J22" s="2"/>
      <c r="K22" s="2"/>
      <c r="L22" s="2"/>
      <c r="M22" s="2"/>
      <c r="N22" s="2"/>
      <c r="O22" s="2"/>
      <c r="P22" s="2"/>
      <c r="Q22" s="2"/>
      <c r="R22" s="2"/>
      <c r="S22" s="2"/>
      <c r="T22" s="2"/>
      <c r="U22" s="2"/>
      <c r="V22" s="2"/>
      <c r="W22" s="2"/>
      <c r="X22" s="2"/>
      <c r="Y22" s="2"/>
      <c r="Z22" s="2"/>
      <c r="AA22" s="3"/>
      <c r="AB22" s="3"/>
      <c r="AC22" s="3"/>
      <c r="AD22" s="3"/>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row>
    <row r="23" spans="1:162" ht="26">
      <c r="A23" s="2"/>
      <c r="B23" s="2"/>
      <c r="C23" s="2"/>
      <c r="D23" s="2"/>
      <c r="E23" s="2"/>
      <c r="F23" s="2"/>
      <c r="G23" s="2"/>
      <c r="H23" s="2"/>
      <c r="I23" s="2"/>
      <c r="J23" s="2"/>
      <c r="K23" s="2"/>
      <c r="L23" s="2"/>
      <c r="M23" s="2"/>
      <c r="N23" s="2"/>
      <c r="O23" s="2"/>
      <c r="P23" s="2"/>
      <c r="Q23" s="2"/>
      <c r="R23" s="2"/>
      <c r="S23" s="2"/>
      <c r="T23" s="2"/>
      <c r="U23" s="2"/>
      <c r="V23" s="2"/>
      <c r="W23" s="658" t="s">
        <v>358</v>
      </c>
      <c r="X23" s="658" t="s">
        <v>15</v>
      </c>
      <c r="Y23" s="658" t="s">
        <v>16</v>
      </c>
      <c r="Z23" s="658" t="s">
        <v>17</v>
      </c>
      <c r="AA23" s="658" t="s">
        <v>18</v>
      </c>
      <c r="AB23" s="658" t="s">
        <v>19</v>
      </c>
      <c r="AC23" s="658" t="s">
        <v>20</v>
      </c>
      <c r="AD23" s="3"/>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row>
    <row r="24" spans="1:162">
      <c r="A24" s="2"/>
      <c r="B24" s="2"/>
      <c r="C24" s="2"/>
      <c r="D24" s="2"/>
      <c r="E24" s="2"/>
      <c r="F24" s="2"/>
      <c r="G24" s="2"/>
      <c r="H24" s="2"/>
      <c r="I24" s="2"/>
      <c r="J24" s="2"/>
      <c r="K24" s="2"/>
      <c r="L24" s="2"/>
      <c r="M24" s="2"/>
      <c r="N24" s="2"/>
      <c r="O24" s="2"/>
      <c r="P24" s="2"/>
      <c r="Q24" s="2"/>
      <c r="R24" s="2"/>
      <c r="S24" s="2"/>
      <c r="T24" s="2"/>
      <c r="U24" s="2"/>
      <c r="V24" s="2" t="s">
        <v>1937</v>
      </c>
      <c r="W24" s="2">
        <v>211.84877026725434</v>
      </c>
      <c r="X24" s="2">
        <v>230.86345893500061</v>
      </c>
      <c r="Y24" s="2">
        <v>249.28754584895273</v>
      </c>
      <c r="Z24" s="2">
        <v>266.98464642030251</v>
      </c>
      <c r="AA24" s="2">
        <v>284.42239709255489</v>
      </c>
      <c r="AB24" s="2">
        <v>301.69730789043672</v>
      </c>
      <c r="AC24" s="2">
        <v>312.45479667955914</v>
      </c>
      <c r="AD24" s="3"/>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row>
    <row r="25" spans="1:162">
      <c r="A25" s="2"/>
      <c r="B25" s="2"/>
      <c r="C25" s="2"/>
      <c r="D25" s="2"/>
      <c r="E25" s="2"/>
      <c r="F25" s="2"/>
      <c r="G25" s="2"/>
      <c r="H25" s="2"/>
      <c r="I25" s="2"/>
      <c r="J25" s="2"/>
      <c r="K25" s="2"/>
      <c r="L25" s="2"/>
      <c r="M25" s="2"/>
      <c r="N25" s="2"/>
      <c r="O25" s="2"/>
      <c r="P25" s="2"/>
      <c r="Q25" s="2"/>
      <c r="R25" s="2"/>
      <c r="S25" s="2"/>
      <c r="T25" s="2"/>
      <c r="U25" s="2"/>
      <c r="V25" s="2" t="s">
        <v>1938</v>
      </c>
      <c r="W25" s="101">
        <f>W24/$AC$24</f>
        <v>0.6780141400246058</v>
      </c>
      <c r="X25" s="101">
        <f t="shared" ref="X25:AC25" si="112">X24/$AC$24</f>
        <v>0.73886994659187366</v>
      </c>
      <c r="Y25" s="101">
        <f t="shared" si="112"/>
        <v>0.79783555412852836</v>
      </c>
      <c r="Z25" s="101">
        <f t="shared" si="112"/>
        <v>0.85447446881127909</v>
      </c>
      <c r="AA25" s="101">
        <f t="shared" si="112"/>
        <v>0.91028334375115028</v>
      </c>
      <c r="AB25" s="101">
        <f t="shared" si="112"/>
        <v>0.96557105570648394</v>
      </c>
      <c r="AC25" s="101">
        <f t="shared" si="112"/>
        <v>1</v>
      </c>
      <c r="AD25" s="3"/>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row>
    <row r="26" spans="1:162">
      <c r="A26" s="2"/>
      <c r="B26" s="2"/>
      <c r="C26" s="2"/>
      <c r="D26" s="2"/>
      <c r="E26" s="2"/>
      <c r="F26" s="2"/>
      <c r="G26" s="2"/>
      <c r="H26" s="2"/>
      <c r="I26" s="2"/>
      <c r="J26" s="2"/>
      <c r="K26" s="2"/>
      <c r="L26" s="2"/>
      <c r="M26" s="2"/>
      <c r="N26" s="2"/>
      <c r="O26" s="2"/>
      <c r="P26" s="2"/>
      <c r="Q26" s="2"/>
      <c r="R26" s="2"/>
      <c r="S26" s="2"/>
      <c r="T26" s="2"/>
      <c r="U26" s="2"/>
      <c r="V26" s="2" t="s">
        <v>1939</v>
      </c>
      <c r="W26" s="481"/>
      <c r="X26" s="481">
        <f>X25/SUM($X$25:$AC$25)</f>
        <v>0.14028196795944858</v>
      </c>
      <c r="Y26" s="481">
        <f t="shared" ref="Y26:AC26" si="113">Y25/SUM($X$25:$AC$25)</f>
        <v>0.15147718777495353</v>
      </c>
      <c r="Z26" s="481">
        <f t="shared" si="113"/>
        <v>0.16223066130765407</v>
      </c>
      <c r="AA26" s="481">
        <f t="shared" si="113"/>
        <v>0.17282654336007749</v>
      </c>
      <c r="AB26" s="481">
        <f t="shared" si="113"/>
        <v>0.18332347732368531</v>
      </c>
      <c r="AC26" s="481">
        <f t="shared" si="113"/>
        <v>0.18986016227418101</v>
      </c>
      <c r="AD26" s="3"/>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row>
    <row r="27" spans="1:162">
      <c r="A27" s="2"/>
      <c r="B27" s="2"/>
      <c r="C27" s="2"/>
      <c r="D27" s="2"/>
      <c r="E27" s="2"/>
      <c r="F27" s="2"/>
      <c r="G27" s="2"/>
      <c r="H27" s="2"/>
      <c r="I27" s="2"/>
      <c r="J27" s="2"/>
      <c r="K27" s="2"/>
      <c r="L27" s="2"/>
      <c r="M27" s="2"/>
      <c r="N27" s="2"/>
      <c r="O27" s="2"/>
      <c r="P27" s="2"/>
      <c r="Q27" s="2"/>
      <c r="R27" s="2"/>
      <c r="S27" s="2"/>
      <c r="T27" s="3"/>
      <c r="U27" s="3"/>
      <c r="V27" s="3"/>
      <c r="W27" s="107"/>
      <c r="X27" s="3"/>
      <c r="Y27" s="3"/>
      <c r="Z27" s="3"/>
      <c r="AA27" s="3"/>
      <c r="AB27" s="3"/>
      <c r="AC27" s="3"/>
      <c r="AD27" s="3"/>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row>
    <row r="29" spans="1:162">
      <c r="A29" s="2"/>
      <c r="B29" s="2"/>
      <c r="C29" s="2"/>
      <c r="D29" s="2"/>
      <c r="E29" s="2"/>
      <c r="F29" s="2"/>
      <c r="G29" s="2"/>
      <c r="H29" s="2"/>
      <c r="I29" s="2"/>
      <c r="J29" s="2"/>
      <c r="K29" s="2"/>
      <c r="L29" s="2"/>
      <c r="M29" s="2"/>
      <c r="N29" s="2"/>
      <c r="O29" s="2"/>
      <c r="P29" s="2"/>
      <c r="Q29" s="2"/>
      <c r="R29" s="2"/>
      <c r="S29" s="2"/>
      <c r="T29" s="3"/>
      <c r="U29" s="3"/>
      <c r="V29" s="3"/>
      <c r="W29" s="3"/>
      <c r="X29" s="3"/>
      <c r="Y29" s="3"/>
      <c r="Z29" s="3"/>
      <c r="AA29" s="3"/>
      <c r="AB29" s="3"/>
      <c r="AC29" s="3"/>
      <c r="AD29" s="3"/>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row>
    <row r="30" spans="1:162">
      <c r="A30" s="2"/>
      <c r="B30" s="2"/>
      <c r="C30" s="2"/>
      <c r="D30" s="2"/>
      <c r="E30" s="2"/>
      <c r="F30" s="2"/>
      <c r="G30" s="2"/>
      <c r="H30" s="2"/>
      <c r="I30" s="2"/>
      <c r="J30" s="2"/>
      <c r="K30" s="2"/>
      <c r="L30" s="2"/>
      <c r="M30" s="2"/>
      <c r="N30" s="2"/>
      <c r="O30" s="2"/>
      <c r="P30" s="2"/>
      <c r="Q30" s="2"/>
      <c r="R30" s="2"/>
      <c r="S30" s="2"/>
      <c r="T30" s="3"/>
      <c r="U30" s="3"/>
      <c r="V30" s="3"/>
      <c r="W30" s="3"/>
      <c r="X30" s="3"/>
      <c r="Y30" s="3"/>
      <c r="Z30" s="3"/>
      <c r="AA30" s="3"/>
      <c r="AB30" s="3"/>
      <c r="AC30" s="3"/>
      <c r="AD30" s="3"/>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row>
    <row r="31" spans="1:162">
      <c r="A31" s="2"/>
      <c r="B31" s="2"/>
      <c r="C31" s="2"/>
      <c r="D31" s="2"/>
      <c r="E31" s="2"/>
      <c r="F31" s="2"/>
      <c r="G31" s="2"/>
      <c r="H31" s="2"/>
      <c r="I31" s="2"/>
      <c r="J31" s="2"/>
      <c r="K31" s="2"/>
      <c r="L31" s="2"/>
      <c r="M31" s="2"/>
      <c r="N31" s="2"/>
      <c r="O31" s="2"/>
      <c r="P31" s="2"/>
      <c r="Q31" s="2"/>
      <c r="R31" s="2"/>
      <c r="S31" s="2"/>
      <c r="T31" s="3"/>
      <c r="U31" s="3"/>
      <c r="V31" s="3"/>
      <c r="W31" s="3"/>
      <c r="X31" s="3"/>
      <c r="Y31" s="3"/>
      <c r="Z31" s="3"/>
      <c r="AA31" s="3"/>
      <c r="AB31" s="3"/>
      <c r="AC31" s="3"/>
      <c r="AD31" s="3"/>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row>
    <row r="32" spans="1:162">
      <c r="A32" s="2"/>
      <c r="B32" s="2"/>
      <c r="C32" s="2"/>
      <c r="D32" s="2"/>
      <c r="E32" s="2"/>
      <c r="F32" s="2"/>
      <c r="G32" s="2"/>
      <c r="H32" s="2"/>
      <c r="I32" s="2"/>
      <c r="J32" s="2"/>
      <c r="K32" s="2"/>
      <c r="L32" s="2"/>
      <c r="M32" s="2"/>
      <c r="N32" s="2"/>
      <c r="O32" s="2"/>
      <c r="P32" s="2"/>
      <c r="Q32" s="2"/>
      <c r="R32" s="2"/>
      <c r="S32" s="2"/>
      <c r="T32" s="3"/>
      <c r="U32" s="518"/>
      <c r="V32" s="518"/>
      <c r="W32" s="518"/>
      <c r="X32" s="518"/>
      <c r="Y32" s="518"/>
      <c r="Z32" s="3"/>
      <c r="AA32" s="3"/>
      <c r="AB32" s="3"/>
      <c r="AC32" s="3"/>
      <c r="AD32" s="3"/>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row>
    <row r="33" spans="21:25">
      <c r="U33" s="518"/>
      <c r="V33" s="518"/>
      <c r="W33" s="518"/>
      <c r="X33" s="518"/>
      <c r="Y33" s="518"/>
    </row>
    <row r="34" spans="21:25">
      <c r="U34" s="518"/>
      <c r="V34" s="518"/>
      <c r="W34" s="518"/>
      <c r="X34" s="518"/>
      <c r="Y34" s="518"/>
    </row>
    <row r="35" spans="21:25">
      <c r="U35" s="518"/>
      <c r="V35" s="518"/>
      <c r="W35" s="518"/>
      <c r="X35" s="518"/>
      <c r="Y35" s="518"/>
    </row>
    <row r="36" spans="21:25">
      <c r="U36" s="518"/>
      <c r="V36" s="519"/>
      <c r="W36" s="520"/>
      <c r="X36" s="518"/>
      <c r="Y36" s="521"/>
    </row>
  </sheetData>
  <autoFilter ref="A5:EL5" xr:uid="{00000000-0009-0000-0000-00000C000000}"/>
  <mergeCells count="6">
    <mergeCell ref="F4:P4"/>
    <mergeCell ref="EP4:EW4"/>
    <mergeCell ref="Q4:T4"/>
    <mergeCell ref="U4:AA4"/>
    <mergeCell ref="AE4:AR4"/>
    <mergeCell ref="AT4:AU4"/>
  </mergeCells>
  <dataValidations disablePrompts="1" count="1">
    <dataValidation type="list" allowBlank="1" showInputMessage="1" showErrorMessage="1" sqref="AN9:AO10 AN6:AO7 AN12:AO13" xr:uid="{00000000-0002-0000-0C00-000000000000}">
      <formula1>#REF!</formula1>
    </dataValidation>
  </dataValidations>
  <pageMargins left="0.7" right="0.7" top="0.75" bottom="0.75" header="0.3" footer="0.3"/>
  <pageSetup orientation="portrait" r:id="rId1"/>
  <headerFooter>
    <oddFooter>&amp;L&amp;1#&amp;"Calibri"&amp;14&amp;K000000Business Use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78E0F-91C3-4E92-A848-554C53AEBFF0}">
  <dimension ref="A1"/>
  <sheetViews>
    <sheetView workbookViewId="0">
      <selection activeCell="L61" sqref="L61"/>
    </sheetView>
  </sheetViews>
  <sheetFormatPr defaultRowHeight="14.5"/>
  <sheetData/>
  <pageMargins left="0.7" right="0.7" top="0.75" bottom="0.75" header="0.3" footer="0.3"/>
  <pageSetup orientation="portrait" r:id="rId1"/>
  <headerFooter>
    <oddFooter>&amp;L&amp;1#&amp;"Calibri"&amp;14&amp;K000000Business Use</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50B71-0895-4CE4-93CF-520B324176B5}">
  <sheetPr filterMode="1">
    <tabColor theme="9" tint="0.59999389629810485"/>
  </sheetPr>
  <dimension ref="A1:FM313"/>
  <sheetViews>
    <sheetView topLeftCell="F1" zoomScale="85" zoomScaleNormal="85" workbookViewId="0">
      <selection activeCell="L33" sqref="L33"/>
    </sheetView>
  </sheetViews>
  <sheetFormatPr defaultColWidth="9.1796875" defaultRowHeight="13"/>
  <cols>
    <col min="1" max="1" width="9.1796875" style="2"/>
    <col min="2" max="2" width="59.453125" style="2" customWidth="1"/>
    <col min="3" max="3" width="43.7265625" style="2" customWidth="1"/>
    <col min="4" max="4" width="29.54296875" style="2" customWidth="1"/>
    <col min="5" max="5" width="20.26953125" style="2" customWidth="1"/>
    <col min="6" max="7" width="17.26953125" style="2" customWidth="1"/>
    <col min="8" max="8" width="14.54296875" style="2" customWidth="1"/>
    <col min="9" max="9" width="13" style="2" customWidth="1"/>
    <col min="10" max="10" width="14.54296875" style="2" customWidth="1"/>
    <col min="11" max="11" width="15.453125" style="2" customWidth="1"/>
    <col min="12" max="12" width="26.7265625" style="2" customWidth="1"/>
    <col min="13" max="13" width="15.26953125" style="2" customWidth="1"/>
    <col min="14" max="14" width="15" style="2" customWidth="1"/>
    <col min="15" max="16" width="10.7265625" style="2" customWidth="1"/>
    <col min="17" max="17" width="13.453125" style="2" customWidth="1"/>
    <col min="18" max="19" width="12.1796875" style="2" customWidth="1"/>
    <col min="20" max="20" width="54.453125" style="3" customWidth="1"/>
    <col min="21" max="21" width="10.81640625" style="3" customWidth="1"/>
    <col min="22" max="22" width="10.81640625" style="106" customWidth="1"/>
    <col min="23" max="26" width="10.81640625" style="3" customWidth="1"/>
    <col min="27" max="35" width="10.1796875" style="3" customWidth="1"/>
    <col min="36" max="42" width="14.453125" style="2" customWidth="1"/>
    <col min="43" max="43" width="93.26953125" style="2" bestFit="1" customWidth="1"/>
    <col min="44" max="45" width="14.453125" style="2" customWidth="1"/>
    <col min="46" max="46" width="16.453125" style="2" customWidth="1"/>
    <col min="47" max="52" width="12" style="2" customWidth="1"/>
    <col min="53" max="53" width="15.26953125" style="2" customWidth="1"/>
    <col min="54" max="56" width="17.81640625" style="2" customWidth="1"/>
    <col min="57" max="59" width="15.7265625" style="2" customWidth="1"/>
    <col min="60" max="66" width="12" style="2" customWidth="1"/>
    <col min="67" max="67" width="13.26953125" style="2" customWidth="1"/>
    <col min="68" max="80" width="11.7265625" style="2" customWidth="1"/>
    <col min="81" max="158" width="15.54296875" style="2" customWidth="1"/>
    <col min="159" max="159" width="9.1796875" style="2" customWidth="1"/>
    <col min="160" max="167" width="9.1796875" style="2"/>
    <col min="168" max="169" width="10.54296875" style="2" bestFit="1" customWidth="1"/>
    <col min="170" max="16384" width="9.1796875" style="2"/>
  </cols>
  <sheetData>
    <row r="1" spans="1:168" ht="14.5">
      <c r="A1" t="str">
        <f>A3&amp;"_"&amp;A4&amp;"_"&amp;A5</f>
        <v>_Measure Details_Measure ID</v>
      </c>
      <c r="B1" t="str">
        <f t="shared" ref="B1:CC1" si="0">B3&amp;"_"&amp;B4&amp;"_"&amp;B5</f>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s="24" t="str">
        <f t="shared" si="0"/>
        <v>__Number of Unit Per Participant</v>
      </c>
      <c r="W1" t="str">
        <f t="shared" si="0"/>
        <v>1__2013</v>
      </c>
      <c r="X1" t="str">
        <f t="shared" si="0"/>
        <v>2__2014</v>
      </c>
      <c r="Y1" t="str">
        <f t="shared" si="0"/>
        <v>3__2015</v>
      </c>
      <c r="Z1" t="str">
        <f t="shared" si="0"/>
        <v>4__2016</v>
      </c>
      <c r="AA1" t="str">
        <f t="shared" si="0"/>
        <v>__Projected 2017</v>
      </c>
      <c r="AB1" t="str">
        <f t="shared" si="0"/>
        <v>__Projected 2018</v>
      </c>
      <c r="AC1" t="str">
        <f t="shared" si="0"/>
        <v>__Participation 2019</v>
      </c>
      <c r="AD1" t="str">
        <f t="shared" si="0"/>
        <v>__Participation 2020</v>
      </c>
      <c r="AE1" t="str">
        <f t="shared" si="0"/>
        <v>__Participation 2021</v>
      </c>
      <c r="AF1" t="str">
        <f t="shared" si="0"/>
        <v>__Participation 2022</v>
      </c>
      <c r="AG1" t="str">
        <f t="shared" si="0"/>
        <v>__Participation 2023</v>
      </c>
      <c r="AH1" t="str">
        <f t="shared" si="0"/>
        <v>__Participation 2024</v>
      </c>
      <c r="AI1" t="str">
        <f t="shared" si="0"/>
        <v>__Participation 2025</v>
      </c>
      <c r="AJ1" t="str">
        <f t="shared" si="0"/>
        <v>_Modeling Measure-level Inputs_Fuel Type</v>
      </c>
      <c r="AK1" t="str">
        <f t="shared" si="0"/>
        <v>__Sector</v>
      </c>
      <c r="AL1" t="str">
        <f t="shared" si="0"/>
        <v>__Segment</v>
      </c>
      <c r="AM1" t="str">
        <f t="shared" si="0"/>
        <v>__Enduse</v>
      </c>
      <c r="AN1" t="str">
        <f t="shared" si="0"/>
        <v>__Construction Type</v>
      </c>
      <c r="AO1" t="str">
        <f t="shared" si="0"/>
        <v>__Potential Study Measure Name</v>
      </c>
      <c r="AP1" t="str">
        <f t="shared" si="0"/>
        <v>__Potential Study Measure Description</v>
      </c>
      <c r="AQ1" t="str">
        <f t="shared" si="0"/>
        <v>__Potential Study Baseline Description</v>
      </c>
      <c r="AR1" t="str">
        <f t="shared" si="0"/>
        <v>__Electric Load Shape</v>
      </c>
      <c r="AS1" t="str">
        <f t="shared" si="0"/>
        <v>__Natural Gas Load Shape</v>
      </c>
      <c r="AT1" t="str">
        <f t="shared" si="0"/>
        <v>__Customer Rate Class</v>
      </c>
      <c r="AU1" t="str">
        <f t="shared" si="0"/>
        <v>__Measure Life</v>
      </c>
      <c r="AV1" t="str">
        <f t="shared" si="0"/>
        <v>__Baseline Life</v>
      </c>
      <c r="AW1" t="str">
        <f t="shared" si="0"/>
        <v>__Life Source</v>
      </c>
      <c r="AX1" t="str">
        <f t="shared" si="0"/>
        <v>_Measure Tier Share_Tier Share</v>
      </c>
      <c r="AY1" t="str">
        <f t="shared" si="0"/>
        <v>_Measure Fuel Weights_Electric Share</v>
      </c>
      <c r="AZ1" t="str">
        <f t="shared" si="0"/>
        <v>__Natural Gas Share</v>
      </c>
      <c r="BA1" t="str">
        <f t="shared" si="0"/>
        <v>Per Unit_Incremental Costs_2019</v>
      </c>
      <c r="BB1" t="str">
        <f t="shared" si="0"/>
        <v>Per Unit_Incremental Costs_2020</v>
      </c>
      <c r="BC1" t="str">
        <f t="shared" si="0"/>
        <v>Per Unit_Incremental Costs_2021</v>
      </c>
      <c r="BD1" t="str">
        <f t="shared" si="0"/>
        <v>Per Unit_Incremental Costs_2022</v>
      </c>
      <c r="BE1" t="str">
        <f t="shared" si="0"/>
        <v>Per Unit_Incremental Costs_2023</v>
      </c>
      <c r="BF1" t="str">
        <f t="shared" si="0"/>
        <v>Per Unit_Incremental Costs_2024</v>
      </c>
      <c r="BG1" t="str">
        <f t="shared" si="0"/>
        <v>Per Unit_Incremental Costs_2025</v>
      </c>
      <c r="BH1" t="str">
        <f t="shared" si="0"/>
        <v>Per Unit_Incremental Annual O&amp;M_2019</v>
      </c>
      <c r="BI1" t="str">
        <f t="shared" si="0"/>
        <v>Per Unit_Incremental Annual O&amp;M_2020</v>
      </c>
      <c r="BJ1" t="str">
        <f t="shared" si="0"/>
        <v>Per Unit_Incremental Annual O&amp;M_2021</v>
      </c>
      <c r="BK1" t="str">
        <f t="shared" si="0"/>
        <v>Per Unit_Incremental Annual O&amp;M_2022</v>
      </c>
      <c r="BL1" t="str">
        <f t="shared" si="0"/>
        <v>Per Unit_Incremental Annual O&amp;M_2023</v>
      </c>
      <c r="BM1" t="str">
        <f t="shared" si="0"/>
        <v>Per Unit_Incremental Annual O&amp;M_2024</v>
      </c>
      <c r="BN1" t="str">
        <f t="shared" si="0"/>
        <v>Per Unit_Incremental Annual O&amp;M_2025</v>
      </c>
      <c r="BO1" t="str">
        <f t="shared" si="0"/>
        <v>Per Unit_Customer &amp; Dealer Incentives_2019</v>
      </c>
      <c r="BP1" t="str">
        <f t="shared" si="0"/>
        <v>Per Unit_Customer &amp; Dealer Incentives_2020</v>
      </c>
      <c r="BQ1" t="str">
        <f t="shared" si="0"/>
        <v>Per Unit_Customer &amp; Dealer Incentives_2021</v>
      </c>
      <c r="BR1" t="str">
        <f t="shared" si="0"/>
        <v>Per Unit_Customer &amp; Dealer Incentives_2022</v>
      </c>
      <c r="BS1" t="str">
        <f t="shared" si="0"/>
        <v>Per Unit_Customer &amp; Dealer Incentives_2023</v>
      </c>
      <c r="BT1" t="str">
        <f t="shared" si="0"/>
        <v>Per Unit_Customer &amp; Dealer Incentives_2024</v>
      </c>
      <c r="BU1" t="str">
        <f t="shared" si="0"/>
        <v>Per Unit_Customer &amp; Dealer Incentives_2025</v>
      </c>
      <c r="BV1" t="str">
        <f t="shared" si="0"/>
        <v>Per Unit_Implementation Cost_2019</v>
      </c>
      <c r="BW1" t="str">
        <f t="shared" si="0"/>
        <v>Per Unit_Implementation Cost_2020</v>
      </c>
      <c r="BX1" t="str">
        <f t="shared" si="0"/>
        <v>Per Unit_Implementation Cost_2021</v>
      </c>
      <c r="BY1" t="str">
        <f t="shared" si="0"/>
        <v>Per Unit_Implementation Cost_2022</v>
      </c>
      <c r="BZ1" t="str">
        <f t="shared" si="0"/>
        <v>Per Unit_Implementation Cost_2023</v>
      </c>
      <c r="CA1" t="str">
        <f t="shared" si="0"/>
        <v>Per Unit_Implementation Cost_2024</v>
      </c>
      <c r="CB1" t="str">
        <f t="shared" si="0"/>
        <v>Per Unit_Implementation Cost_2025</v>
      </c>
      <c r="CC1" t="str">
        <f t="shared" si="0"/>
        <v>Per Unit_kWh _2019</v>
      </c>
      <c r="CD1" t="str">
        <f t="shared" ref="CD1:FB1" si="1">CD3&amp;"_"&amp;CD4&amp;"_"&amp;CD5</f>
        <v>Per Unit_kWh _2020</v>
      </c>
      <c r="CE1" t="str">
        <f t="shared" si="1"/>
        <v>Per Unit_kWh _2021</v>
      </c>
      <c r="CF1" t="str">
        <f t="shared" si="1"/>
        <v>Per Unit_kWh _2022</v>
      </c>
      <c r="CG1" t="str">
        <f t="shared" si="1"/>
        <v>Per Unit_kWh _2023</v>
      </c>
      <c r="CH1" t="str">
        <f t="shared" si="1"/>
        <v>Per Unit_kWh _2024</v>
      </c>
      <c r="CI1" t="str">
        <f t="shared" si="1"/>
        <v>Per Unit_kWh _2025</v>
      </c>
      <c r="CJ1" t="str">
        <f t="shared" si="1"/>
        <v>Per Unit_kW_2019</v>
      </c>
      <c r="CK1" t="str">
        <f>CK3&amp;"_"&amp;CK4&amp;"_"&amp;CK5</f>
        <v>Per Unit_kW_2020</v>
      </c>
      <c r="CL1" t="str">
        <f t="shared" si="1"/>
        <v>Per Unit_kW_2021</v>
      </c>
      <c r="CM1" t="str">
        <f t="shared" si="1"/>
        <v>Per Unit_kW_2022</v>
      </c>
      <c r="CN1" t="str">
        <f t="shared" si="1"/>
        <v>Per Unit_kW_2023</v>
      </c>
      <c r="CO1" t="str">
        <f>CO3&amp;"_"&amp;CO4&amp;"_"&amp;CO5</f>
        <v>Per Unit_kW_2024</v>
      </c>
      <c r="CP1" t="str">
        <f t="shared" si="1"/>
        <v>Per Unit_kW_2025</v>
      </c>
      <c r="CQ1" t="str">
        <f t="shared" si="1"/>
        <v>Per Unit_Therms_2019</v>
      </c>
      <c r="CR1" t="str">
        <f t="shared" si="1"/>
        <v>Per Unit_Therms_2020</v>
      </c>
      <c r="CS1" t="str">
        <f t="shared" si="1"/>
        <v>Per Unit_Therms_2021</v>
      </c>
      <c r="CT1" t="str">
        <f t="shared" si="1"/>
        <v>Per Unit_Therms_2022</v>
      </c>
      <c r="CU1" t="str">
        <f t="shared" si="1"/>
        <v>Per Unit_Therms_2023</v>
      </c>
      <c r="CV1" t="str">
        <f t="shared" si="1"/>
        <v>Per Unit_Therms_2024</v>
      </c>
      <c r="CW1" t="str">
        <f t="shared" si="1"/>
        <v>Per Unit_Therms_2025</v>
      </c>
      <c r="CX1" t="str">
        <f t="shared" si="1"/>
        <v>Program_Incremental Costs_2019</v>
      </c>
      <c r="CY1" t="str">
        <f t="shared" si="1"/>
        <v>Program_Incremental Costs_2020</v>
      </c>
      <c r="CZ1" t="str">
        <f t="shared" si="1"/>
        <v>Program_Incremental Costs_2021</v>
      </c>
      <c r="DA1" t="str">
        <f t="shared" si="1"/>
        <v>Program_Incremental Costs_2022</v>
      </c>
      <c r="DB1" t="str">
        <f t="shared" si="1"/>
        <v>Program_Incremental Costs_2023</v>
      </c>
      <c r="DC1" t="str">
        <f t="shared" si="1"/>
        <v>Program_Incremental Costs_2024</v>
      </c>
      <c r="DD1" t="str">
        <f t="shared" si="1"/>
        <v>Program_Incremental Costs_2025</v>
      </c>
      <c r="DE1" t="str">
        <f t="shared" si="1"/>
        <v>Program_Incremental Annual O&amp;M_2019</v>
      </c>
      <c r="DF1" t="str">
        <f t="shared" si="1"/>
        <v>Program_Incremental Annual O&amp;M_2020</v>
      </c>
      <c r="DG1" t="str">
        <f t="shared" si="1"/>
        <v>Program_Incremental Annual O&amp;M_2021</v>
      </c>
      <c r="DH1" t="str">
        <f t="shared" si="1"/>
        <v>Program_Incremental Annual O&amp;M_2022</v>
      </c>
      <c r="DI1" t="str">
        <f t="shared" si="1"/>
        <v>Program_Incremental Annual O&amp;M_2023</v>
      </c>
      <c r="DJ1" t="str">
        <f t="shared" si="1"/>
        <v>Program_Incremental Annual O&amp;M_2024</v>
      </c>
      <c r="DK1" t="str">
        <f t="shared" si="1"/>
        <v>Program_Incremental Annual O&amp;M_2025</v>
      </c>
      <c r="DL1" t="str">
        <f t="shared" si="1"/>
        <v>Program_Customer &amp; Dealer Incentives_2019</v>
      </c>
      <c r="DM1" t="str">
        <f t="shared" si="1"/>
        <v>Program_Customer &amp; Dealer Incentives_2020</v>
      </c>
      <c r="DN1" t="str">
        <f t="shared" si="1"/>
        <v>Program_Customer &amp; Dealer Incentives_2021</v>
      </c>
      <c r="DO1" t="str">
        <f t="shared" si="1"/>
        <v>Program_Customer &amp; Dealer Incentives_2022</v>
      </c>
      <c r="DP1" t="str">
        <f t="shared" si="1"/>
        <v>Program_Customer &amp; Dealer Incentives_2023</v>
      </c>
      <c r="DQ1" t="str">
        <f t="shared" si="1"/>
        <v>Program_Customer &amp; Dealer Incentives_2024</v>
      </c>
      <c r="DR1" t="str">
        <f t="shared" si="1"/>
        <v>Program_Customer &amp; Dealer Incentives_2025</v>
      </c>
      <c r="DS1" t="str">
        <f t="shared" si="1"/>
        <v>Program_Implementation Costs_2019</v>
      </c>
      <c r="DT1" t="str">
        <f t="shared" si="1"/>
        <v>Program_Implementation Costs_2020</v>
      </c>
      <c r="DU1" t="str">
        <f t="shared" si="1"/>
        <v>Program_Implementation Costs_2021</v>
      </c>
      <c r="DV1" t="str">
        <f t="shared" si="1"/>
        <v>Program_Implementation Costs_2022</v>
      </c>
      <c r="DW1" t="str">
        <f t="shared" si="1"/>
        <v>Program_Implementation Costs_2023</v>
      </c>
      <c r="DX1" t="str">
        <f t="shared" si="1"/>
        <v>Program_Implementation Costs_2024</v>
      </c>
      <c r="DY1" t="str">
        <f t="shared" si="1"/>
        <v>Program_Implementation Costs_2025</v>
      </c>
      <c r="DZ1" t="str">
        <f t="shared" si="1"/>
        <v>Program_kWh _2019</v>
      </c>
      <c r="EA1" t="str">
        <f t="shared" si="1"/>
        <v>Program_kWh _2020</v>
      </c>
      <c r="EB1" t="str">
        <f t="shared" si="1"/>
        <v>Program_kWh _2021</v>
      </c>
      <c r="EC1" t="str">
        <f t="shared" si="1"/>
        <v>Program_kWh _2022</v>
      </c>
      <c r="ED1" t="str">
        <f t="shared" si="1"/>
        <v>Program_kWh _2023</v>
      </c>
      <c r="EE1" t="str">
        <f t="shared" si="1"/>
        <v>Program_kWh _2024</v>
      </c>
      <c r="EF1" t="str">
        <f t="shared" si="1"/>
        <v>Program_kWh _2025</v>
      </c>
      <c r="EG1" t="str">
        <f t="shared" si="1"/>
        <v>Program_kW_2019</v>
      </c>
      <c r="EH1" t="str">
        <f t="shared" si="1"/>
        <v>Program_kW_2020</v>
      </c>
      <c r="EI1" t="str">
        <f t="shared" si="1"/>
        <v>Program_kW_2021</v>
      </c>
      <c r="EJ1" t="str">
        <f t="shared" si="1"/>
        <v>Program_kW_2022</v>
      </c>
      <c r="EK1" t="str">
        <f t="shared" si="1"/>
        <v>Program_kW_2023</v>
      </c>
      <c r="EL1" t="str">
        <f t="shared" si="1"/>
        <v>Program_kW_2024</v>
      </c>
      <c r="EM1" t="str">
        <f t="shared" si="1"/>
        <v>Program_kW_2025</v>
      </c>
      <c r="EN1" t="str">
        <f t="shared" si="1"/>
        <v>Program_Therms_2019</v>
      </c>
      <c r="EO1" t="str">
        <f t="shared" si="1"/>
        <v>Program_Therms_2020</v>
      </c>
      <c r="EP1" t="str">
        <f t="shared" si="1"/>
        <v>Program_Therms_2021</v>
      </c>
      <c r="EQ1" t="str">
        <f t="shared" si="1"/>
        <v>Program_Therms_2022</v>
      </c>
      <c r="ER1" t="str">
        <f t="shared" si="1"/>
        <v>Program_Therms_2023</v>
      </c>
      <c r="ES1" t="str">
        <f t="shared" si="1"/>
        <v>Program_Therms_2024</v>
      </c>
      <c r="ET1" t="str">
        <f t="shared" si="1"/>
        <v>Program_Therms_2025</v>
      </c>
      <c r="EU1" t="str">
        <f t="shared" si="1"/>
        <v>_Total Plan Summary _Participation</v>
      </c>
      <c r="EV1" t="str">
        <f t="shared" si="1"/>
        <v>__Incremental Costs ($)</v>
      </c>
      <c r="EW1" t="str">
        <f t="shared" si="1"/>
        <v>__Incremental Annual O&amp;M ($)</v>
      </c>
      <c r="EX1" t="str">
        <f t="shared" si="1"/>
        <v>__Customer &amp; Dealer Incentives ($)</v>
      </c>
      <c r="EY1" t="str">
        <f t="shared" si="1"/>
        <v>__Implementation Costs ($)</v>
      </c>
      <c r="EZ1" t="str">
        <f t="shared" si="1"/>
        <v>__Electric kWh  Benefits</v>
      </c>
      <c r="FA1" t="str">
        <f t="shared" si="1"/>
        <v>__Electric kW Peak Demand Benefits</v>
      </c>
      <c r="FB1" t="str">
        <f t="shared" si="1"/>
        <v>__Natural Gas Therms Benefits</v>
      </c>
    </row>
    <row r="2" spans="1:168" s="5" customFormat="1" ht="15.5">
      <c r="A2" s="1" t="s">
        <v>1946</v>
      </c>
      <c r="B2" s="4"/>
      <c r="C2" s="4"/>
      <c r="U2" s="6"/>
      <c r="V2" s="105"/>
      <c r="W2" s="6"/>
      <c r="X2" s="6"/>
      <c r="Y2" s="6"/>
      <c r="Z2" s="6"/>
      <c r="AA2" s="6"/>
      <c r="AB2" s="6"/>
      <c r="AC2" s="6"/>
      <c r="AD2" s="6"/>
      <c r="AE2" s="6"/>
      <c r="AF2" s="6"/>
      <c r="AG2" s="6"/>
      <c r="AH2" s="6"/>
      <c r="AI2" s="6"/>
      <c r="AJ2" s="6"/>
      <c r="AK2" s="6"/>
      <c r="AL2" s="6"/>
      <c r="AM2" s="7"/>
      <c r="AN2" s="7"/>
      <c r="AO2" s="7"/>
      <c r="AP2" s="7"/>
      <c r="AQ2" s="7"/>
      <c r="AR2" s="7"/>
      <c r="AS2" s="7"/>
      <c r="AT2" s="7"/>
      <c r="BA2" s="1434" t="s">
        <v>327</v>
      </c>
      <c r="BB2" s="1348"/>
      <c r="BC2" s="1348"/>
      <c r="BD2" s="1348"/>
      <c r="BE2" s="1348"/>
      <c r="BF2" s="1348"/>
      <c r="BG2" s="1348"/>
      <c r="BH2" s="1348"/>
      <c r="BI2" s="1348"/>
      <c r="BJ2" s="1348"/>
      <c r="BK2" s="1348"/>
      <c r="BL2" s="1348"/>
      <c r="BM2" s="1348"/>
      <c r="BN2" s="1348"/>
      <c r="BO2" s="1348"/>
      <c r="BP2" s="1348"/>
      <c r="BQ2" s="1348"/>
      <c r="BR2" s="1348"/>
      <c r="BS2" s="1348"/>
      <c r="BT2" s="441"/>
      <c r="BU2" s="441"/>
      <c r="BV2" s="441"/>
      <c r="BW2" s="441"/>
      <c r="BX2" s="441"/>
      <c r="BY2" s="441"/>
      <c r="BZ2" s="441"/>
      <c r="CA2" s="441"/>
      <c r="CB2" s="441"/>
      <c r="CC2" s="1352" t="s">
        <v>328</v>
      </c>
      <c r="CD2" s="1352"/>
      <c r="CE2" s="1352"/>
      <c r="CF2" s="1352"/>
      <c r="CG2" s="1352"/>
      <c r="CH2" s="1232"/>
      <c r="CI2" s="1232"/>
      <c r="CJ2" s="1352" t="s">
        <v>329</v>
      </c>
      <c r="CK2" s="1352"/>
      <c r="CL2" s="1352"/>
      <c r="CM2" s="1352"/>
      <c r="CN2" s="1352"/>
      <c r="CO2" s="1232"/>
      <c r="CP2" s="1232"/>
      <c r="CQ2" s="1352" t="s">
        <v>330</v>
      </c>
      <c r="CR2" s="1352"/>
      <c r="CS2" s="1352"/>
      <c r="CT2" s="1352"/>
      <c r="CU2" s="1352"/>
      <c r="CV2" s="1233"/>
      <c r="CW2" s="1233"/>
      <c r="CX2" s="1434" t="s">
        <v>327</v>
      </c>
      <c r="CY2" s="1348"/>
      <c r="CZ2" s="1348"/>
      <c r="DA2" s="1348"/>
      <c r="DB2" s="1348"/>
      <c r="DC2" s="1348"/>
      <c r="DD2" s="1348"/>
      <c r="DE2" s="1348"/>
      <c r="DF2" s="1348"/>
      <c r="DG2" s="1348"/>
      <c r="DH2" s="1348"/>
      <c r="DI2" s="1348"/>
      <c r="DJ2" s="1348"/>
      <c r="DK2" s="1348"/>
      <c r="DL2" s="1348"/>
      <c r="DM2" s="1348"/>
      <c r="DN2" s="1348"/>
      <c r="DO2" s="1348"/>
      <c r="DP2" s="1348"/>
      <c r="DQ2" s="441"/>
      <c r="DR2" s="441"/>
      <c r="DS2" s="441"/>
      <c r="DT2" s="441"/>
      <c r="DU2" s="441"/>
      <c r="DV2" s="441"/>
      <c r="DW2" s="441"/>
      <c r="DX2" s="441"/>
      <c r="DY2" s="441"/>
      <c r="DZ2" s="1352" t="s">
        <v>328</v>
      </c>
      <c r="EA2" s="1352"/>
      <c r="EB2" s="1352"/>
      <c r="EC2" s="1352"/>
      <c r="ED2" s="1352"/>
      <c r="EE2" s="1232"/>
      <c r="EF2" s="1232"/>
      <c r="EG2" s="1352" t="s">
        <v>329</v>
      </c>
      <c r="EH2" s="1352"/>
      <c r="EI2" s="1352"/>
      <c r="EJ2" s="1352"/>
      <c r="EK2" s="1352"/>
      <c r="EL2" s="1232"/>
      <c r="EM2" s="1232"/>
      <c r="EN2" s="1352" t="s">
        <v>330</v>
      </c>
      <c r="EO2" s="1352"/>
      <c r="EP2" s="1352"/>
      <c r="EQ2" s="1352"/>
      <c r="ER2" s="1352"/>
      <c r="ES2" s="279"/>
      <c r="ET2" s="279"/>
    </row>
    <row r="3" spans="1:168" ht="14.5">
      <c r="B3" s="8"/>
      <c r="C3" s="8"/>
      <c r="T3" s="2"/>
      <c r="W3" s="3">
        <v>1</v>
      </c>
      <c r="X3" s="3">
        <v>2</v>
      </c>
      <c r="Y3" s="3">
        <v>3</v>
      </c>
      <c r="Z3" s="3">
        <v>4</v>
      </c>
      <c r="AJ3" s="3"/>
      <c r="AK3" s="3"/>
      <c r="AL3" s="3"/>
      <c r="AM3" s="9"/>
      <c r="AN3" s="9"/>
      <c r="AO3" s="9"/>
      <c r="AP3" s="462"/>
      <c r="AQ3" s="9"/>
      <c r="AR3" s="9"/>
      <c r="AS3" s="9"/>
      <c r="AT3" s="9"/>
      <c r="BA3" s="476" t="s">
        <v>331</v>
      </c>
      <c r="BB3" s="476" t="s">
        <v>331</v>
      </c>
      <c r="BC3" s="476" t="s">
        <v>331</v>
      </c>
      <c r="BD3" s="476" t="s">
        <v>331</v>
      </c>
      <c r="BE3" s="476" t="s">
        <v>331</v>
      </c>
      <c r="BF3" s="476" t="s">
        <v>331</v>
      </c>
      <c r="BG3" s="476" t="s">
        <v>331</v>
      </c>
      <c r="BH3" s="476" t="s">
        <v>331</v>
      </c>
      <c r="BI3" s="476" t="s">
        <v>331</v>
      </c>
      <c r="BJ3" s="476" t="s">
        <v>331</v>
      </c>
      <c r="BK3" s="476" t="s">
        <v>331</v>
      </c>
      <c r="BL3" s="476" t="s">
        <v>331</v>
      </c>
      <c r="BM3" s="476" t="s">
        <v>331</v>
      </c>
      <c r="BN3" s="476" t="s">
        <v>331</v>
      </c>
      <c r="BO3" s="476" t="s">
        <v>331</v>
      </c>
      <c r="BP3" s="476" t="s">
        <v>331</v>
      </c>
      <c r="BQ3" s="476" t="s">
        <v>331</v>
      </c>
      <c r="BR3" s="476" t="s">
        <v>331</v>
      </c>
      <c r="BS3" s="476" t="s">
        <v>331</v>
      </c>
      <c r="BT3" s="476" t="s">
        <v>331</v>
      </c>
      <c r="BU3" s="476" t="s">
        <v>331</v>
      </c>
      <c r="BV3" s="476" t="s">
        <v>331</v>
      </c>
      <c r="BW3" s="476" t="s">
        <v>331</v>
      </c>
      <c r="BX3" s="476" t="s">
        <v>331</v>
      </c>
      <c r="BY3" s="476" t="s">
        <v>331</v>
      </c>
      <c r="BZ3" s="476" t="s">
        <v>331</v>
      </c>
      <c r="CA3" s="476" t="s">
        <v>331</v>
      </c>
      <c r="CB3" s="476" t="s">
        <v>331</v>
      </c>
      <c r="CC3" s="477" t="s">
        <v>331</v>
      </c>
      <c r="CD3" s="477" t="s">
        <v>331</v>
      </c>
      <c r="CE3" s="477" t="s">
        <v>331</v>
      </c>
      <c r="CF3" s="477" t="s">
        <v>331</v>
      </c>
      <c r="CG3" s="477" t="s">
        <v>331</v>
      </c>
      <c r="CH3" s="477" t="s">
        <v>331</v>
      </c>
      <c r="CI3" s="477" t="s">
        <v>331</v>
      </c>
      <c r="CJ3" s="477" t="s">
        <v>331</v>
      </c>
      <c r="CK3" s="477" t="s">
        <v>331</v>
      </c>
      <c r="CL3" s="477" t="s">
        <v>331</v>
      </c>
      <c r="CM3" s="477" t="s">
        <v>331</v>
      </c>
      <c r="CN3" s="477" t="s">
        <v>331</v>
      </c>
      <c r="CO3" s="477" t="s">
        <v>331</v>
      </c>
      <c r="CP3" s="477" t="s">
        <v>331</v>
      </c>
      <c r="CQ3" s="477" t="s">
        <v>331</v>
      </c>
      <c r="CR3" s="477" t="s">
        <v>331</v>
      </c>
      <c r="CS3" s="477" t="s">
        <v>331</v>
      </c>
      <c r="CT3" s="477" t="s">
        <v>331</v>
      </c>
      <c r="CU3" s="477" t="s">
        <v>331</v>
      </c>
      <c r="CV3" s="477" t="s">
        <v>331</v>
      </c>
      <c r="CW3" s="477" t="s">
        <v>331</v>
      </c>
      <c r="CX3" s="476" t="s">
        <v>0</v>
      </c>
      <c r="CY3" s="476" t="s">
        <v>0</v>
      </c>
      <c r="CZ3" s="476" t="s">
        <v>0</v>
      </c>
      <c r="DA3" s="476" t="s">
        <v>0</v>
      </c>
      <c r="DB3" s="476" t="s">
        <v>0</v>
      </c>
      <c r="DC3" s="476" t="s">
        <v>0</v>
      </c>
      <c r="DD3" s="476" t="s">
        <v>0</v>
      </c>
      <c r="DE3" s="476" t="s">
        <v>0</v>
      </c>
      <c r="DF3" s="476" t="s">
        <v>0</v>
      </c>
      <c r="DG3" s="476" t="s">
        <v>0</v>
      </c>
      <c r="DH3" s="476" t="s">
        <v>0</v>
      </c>
      <c r="DI3" s="476" t="s">
        <v>0</v>
      </c>
      <c r="DJ3" s="476" t="s">
        <v>0</v>
      </c>
      <c r="DK3" s="476" t="s">
        <v>0</v>
      </c>
      <c r="DL3" s="476" t="s">
        <v>0</v>
      </c>
      <c r="DM3" s="476" t="s">
        <v>0</v>
      </c>
      <c r="DN3" s="476" t="s">
        <v>0</v>
      </c>
      <c r="DO3" s="476" t="s">
        <v>0</v>
      </c>
      <c r="DP3" s="476" t="s">
        <v>0</v>
      </c>
      <c r="DQ3" s="476" t="s">
        <v>0</v>
      </c>
      <c r="DR3" s="476" t="s">
        <v>0</v>
      </c>
      <c r="DS3" s="476" t="s">
        <v>0</v>
      </c>
      <c r="DT3" s="476" t="s">
        <v>0</v>
      </c>
      <c r="DU3" s="476" t="s">
        <v>0</v>
      </c>
      <c r="DV3" s="476" t="s">
        <v>0</v>
      </c>
      <c r="DW3" s="476" t="s">
        <v>0</v>
      </c>
      <c r="DX3" s="476" t="s">
        <v>0</v>
      </c>
      <c r="DY3" s="476" t="s">
        <v>0</v>
      </c>
      <c r="DZ3" s="478" t="s">
        <v>0</v>
      </c>
      <c r="EA3" s="478" t="s">
        <v>0</v>
      </c>
      <c r="EB3" s="478" t="s">
        <v>0</v>
      </c>
      <c r="EC3" s="478" t="s">
        <v>0</v>
      </c>
      <c r="ED3" s="478" t="s">
        <v>0</v>
      </c>
      <c r="EE3" s="478" t="s">
        <v>0</v>
      </c>
      <c r="EF3" s="478" t="s">
        <v>0</v>
      </c>
      <c r="EG3" s="478" t="s">
        <v>0</v>
      </c>
      <c r="EH3" s="478" t="s">
        <v>0</v>
      </c>
      <c r="EI3" s="478" t="s">
        <v>0</v>
      </c>
      <c r="EJ3" s="478" t="s">
        <v>0</v>
      </c>
      <c r="EK3" s="478" t="s">
        <v>0</v>
      </c>
      <c r="EL3" s="478" t="s">
        <v>0</v>
      </c>
      <c r="EM3" s="478" t="s">
        <v>0</v>
      </c>
      <c r="EN3" s="478" t="s">
        <v>0</v>
      </c>
      <c r="EO3" s="478" t="s">
        <v>0</v>
      </c>
      <c r="EP3" s="478" t="s">
        <v>0</v>
      </c>
      <c r="EQ3" s="478" t="s">
        <v>0</v>
      </c>
      <c r="ER3" s="478" t="s">
        <v>0</v>
      </c>
      <c r="ES3" s="478" t="s">
        <v>0</v>
      </c>
      <c r="ET3" s="478" t="s">
        <v>0</v>
      </c>
    </row>
    <row r="4" spans="1:168" ht="39">
      <c r="A4" s="1234" t="s">
        <v>127</v>
      </c>
      <c r="B4" s="1234"/>
      <c r="C4" s="1234"/>
      <c r="D4" s="1234"/>
      <c r="E4" s="1234"/>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1375"/>
      <c r="AC4" s="1375"/>
      <c r="AD4" s="1375"/>
      <c r="AE4" s="1375"/>
      <c r="AF4" s="1375"/>
      <c r="AG4" s="1375"/>
      <c r="AH4" s="440"/>
      <c r="AI4" s="440"/>
      <c r="AJ4" s="1376" t="s">
        <v>335</v>
      </c>
      <c r="AK4" s="1377"/>
      <c r="AL4" s="1377"/>
      <c r="AM4" s="1377"/>
      <c r="AN4" s="1377"/>
      <c r="AO4" s="1377"/>
      <c r="AP4" s="1377"/>
      <c r="AQ4" s="1377"/>
      <c r="AR4" s="1377"/>
      <c r="AS4" s="1377"/>
      <c r="AT4" s="1377"/>
      <c r="AU4" s="1377"/>
      <c r="AV4" s="1377"/>
      <c r="AW4" s="1378"/>
      <c r="AX4" s="687" t="s">
        <v>336</v>
      </c>
      <c r="AY4" s="1376" t="s">
        <v>337</v>
      </c>
      <c r="AZ4" s="1377"/>
      <c r="BA4" s="476" t="s">
        <v>128</v>
      </c>
      <c r="BB4" s="476" t="s">
        <v>128</v>
      </c>
      <c r="BC4" s="476" t="s">
        <v>128</v>
      </c>
      <c r="BD4" s="476" t="s">
        <v>128</v>
      </c>
      <c r="BE4" s="476" t="s">
        <v>128</v>
      </c>
      <c r="BF4" s="476" t="s">
        <v>128</v>
      </c>
      <c r="BG4" s="476" t="s">
        <v>128</v>
      </c>
      <c r="BH4" s="476" t="s">
        <v>129</v>
      </c>
      <c r="BI4" s="476" t="s">
        <v>129</v>
      </c>
      <c r="BJ4" s="476" t="s">
        <v>129</v>
      </c>
      <c r="BK4" s="476" t="s">
        <v>129</v>
      </c>
      <c r="BL4" s="476" t="s">
        <v>129</v>
      </c>
      <c r="BM4" s="476" t="s">
        <v>129</v>
      </c>
      <c r="BN4" s="476" t="s">
        <v>129</v>
      </c>
      <c r="BO4" s="476" t="s">
        <v>130</v>
      </c>
      <c r="BP4" s="476" t="s">
        <v>130</v>
      </c>
      <c r="BQ4" s="476" t="s">
        <v>130</v>
      </c>
      <c r="BR4" s="476" t="s">
        <v>130</v>
      </c>
      <c r="BS4" s="476" t="s">
        <v>130</v>
      </c>
      <c r="BT4" s="476" t="s">
        <v>130</v>
      </c>
      <c r="BU4" s="476" t="s">
        <v>130</v>
      </c>
      <c r="BV4" s="476" t="s">
        <v>338</v>
      </c>
      <c r="BW4" s="476" t="s">
        <v>338</v>
      </c>
      <c r="BX4" s="476" t="s">
        <v>338</v>
      </c>
      <c r="BY4" s="476" t="s">
        <v>338</v>
      </c>
      <c r="BZ4" s="476" t="s">
        <v>338</v>
      </c>
      <c r="CA4" s="476" t="s">
        <v>338</v>
      </c>
      <c r="CB4" s="476" t="s">
        <v>338</v>
      </c>
      <c r="CC4" s="477" t="s">
        <v>131</v>
      </c>
      <c r="CD4" s="477" t="s">
        <v>131</v>
      </c>
      <c r="CE4" s="477" t="s">
        <v>131</v>
      </c>
      <c r="CF4" s="477" t="s">
        <v>131</v>
      </c>
      <c r="CG4" s="477" t="s">
        <v>131</v>
      </c>
      <c r="CH4" s="477" t="s">
        <v>131</v>
      </c>
      <c r="CI4" s="477" t="s">
        <v>131</v>
      </c>
      <c r="CJ4" s="477" t="s">
        <v>132</v>
      </c>
      <c r="CK4" s="477" t="s">
        <v>132</v>
      </c>
      <c r="CL4" s="477" t="s">
        <v>132</v>
      </c>
      <c r="CM4" s="477" t="s">
        <v>132</v>
      </c>
      <c r="CN4" s="477" t="s">
        <v>132</v>
      </c>
      <c r="CO4" s="477" t="s">
        <v>132</v>
      </c>
      <c r="CP4" s="477" t="s">
        <v>132</v>
      </c>
      <c r="CQ4" s="477" t="s">
        <v>133</v>
      </c>
      <c r="CR4" s="477" t="s">
        <v>133</v>
      </c>
      <c r="CS4" s="477" t="s">
        <v>133</v>
      </c>
      <c r="CT4" s="477" t="s">
        <v>133</v>
      </c>
      <c r="CU4" s="477" t="s">
        <v>133</v>
      </c>
      <c r="CV4" s="477" t="s">
        <v>133</v>
      </c>
      <c r="CW4" s="477" t="s">
        <v>133</v>
      </c>
      <c r="CX4" s="476" t="s">
        <v>128</v>
      </c>
      <c r="CY4" s="476" t="s">
        <v>128</v>
      </c>
      <c r="CZ4" s="476" t="s">
        <v>128</v>
      </c>
      <c r="DA4" s="476" t="s">
        <v>128</v>
      </c>
      <c r="DB4" s="476" t="s">
        <v>128</v>
      </c>
      <c r="DC4" s="476" t="s">
        <v>128</v>
      </c>
      <c r="DD4" s="476" t="s">
        <v>128</v>
      </c>
      <c r="DE4" s="476" t="s">
        <v>129</v>
      </c>
      <c r="DF4" s="476" t="s">
        <v>129</v>
      </c>
      <c r="DG4" s="476" t="s">
        <v>129</v>
      </c>
      <c r="DH4" s="476" t="s">
        <v>129</v>
      </c>
      <c r="DI4" s="476" t="s">
        <v>129</v>
      </c>
      <c r="DJ4" s="476" t="s">
        <v>129</v>
      </c>
      <c r="DK4" s="476" t="s">
        <v>129</v>
      </c>
      <c r="DL4" s="476" t="s">
        <v>130</v>
      </c>
      <c r="DM4" s="476" t="s">
        <v>130</v>
      </c>
      <c r="DN4" s="476" t="s">
        <v>130</v>
      </c>
      <c r="DO4" s="476" t="s">
        <v>130</v>
      </c>
      <c r="DP4" s="476" t="s">
        <v>130</v>
      </c>
      <c r="DQ4" s="476" t="s">
        <v>130</v>
      </c>
      <c r="DR4" s="476" t="s">
        <v>130</v>
      </c>
      <c r="DS4" s="476" t="s">
        <v>165</v>
      </c>
      <c r="DT4" s="476" t="s">
        <v>165</v>
      </c>
      <c r="DU4" s="476" t="s">
        <v>165</v>
      </c>
      <c r="DV4" s="476" t="s">
        <v>165</v>
      </c>
      <c r="DW4" s="476" t="s">
        <v>165</v>
      </c>
      <c r="DX4" s="476" t="s">
        <v>165</v>
      </c>
      <c r="DY4" s="476" t="s">
        <v>165</v>
      </c>
      <c r="DZ4" s="477" t="s">
        <v>131</v>
      </c>
      <c r="EA4" s="477" t="s">
        <v>131</v>
      </c>
      <c r="EB4" s="477" t="s">
        <v>131</v>
      </c>
      <c r="EC4" s="477" t="s">
        <v>131</v>
      </c>
      <c r="ED4" s="477" t="s">
        <v>131</v>
      </c>
      <c r="EE4" s="477" t="s">
        <v>131</v>
      </c>
      <c r="EF4" s="477" t="s">
        <v>131</v>
      </c>
      <c r="EG4" s="477" t="s">
        <v>132</v>
      </c>
      <c r="EH4" s="477" t="s">
        <v>132</v>
      </c>
      <c r="EI4" s="477" t="s">
        <v>132</v>
      </c>
      <c r="EJ4" s="477" t="s">
        <v>132</v>
      </c>
      <c r="EK4" s="477" t="s">
        <v>132</v>
      </c>
      <c r="EL4" s="477" t="s">
        <v>132</v>
      </c>
      <c r="EM4" s="477" t="s">
        <v>132</v>
      </c>
      <c r="EN4" s="477" t="s">
        <v>133</v>
      </c>
      <c r="EO4" s="477" t="s">
        <v>133</v>
      </c>
      <c r="EP4" s="477" t="s">
        <v>133</v>
      </c>
      <c r="EQ4" s="477" t="s">
        <v>133</v>
      </c>
      <c r="ER4" s="477" t="s">
        <v>133</v>
      </c>
      <c r="ES4" s="477" t="s">
        <v>133</v>
      </c>
      <c r="ET4" s="477" t="s">
        <v>133</v>
      </c>
      <c r="EU4" s="1433" t="s">
        <v>1947</v>
      </c>
      <c r="EV4" s="1433"/>
      <c r="EW4" s="1433"/>
      <c r="EX4" s="1433"/>
      <c r="EY4" s="1433"/>
      <c r="EZ4" s="1433"/>
      <c r="FA4" s="1433"/>
      <c r="FB4" s="1433"/>
    </row>
    <row r="5" spans="1:168" ht="39">
      <c r="A5" s="349" t="s">
        <v>135</v>
      </c>
      <c r="B5" s="349" t="s">
        <v>136</v>
      </c>
      <c r="C5" s="349" t="s">
        <v>137</v>
      </c>
      <c r="D5" s="349" t="s">
        <v>339</v>
      </c>
      <c r="E5" s="349"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1235" t="s">
        <v>355</v>
      </c>
      <c r="W5" s="694">
        <v>2013</v>
      </c>
      <c r="X5" s="694">
        <v>2014</v>
      </c>
      <c r="Y5" s="694">
        <v>2015</v>
      </c>
      <c r="Z5" s="694">
        <v>2016</v>
      </c>
      <c r="AA5" s="694" t="s">
        <v>1948</v>
      </c>
      <c r="AB5" s="694" t="s">
        <v>1949</v>
      </c>
      <c r="AC5" s="658" t="s">
        <v>1950</v>
      </c>
      <c r="AD5" s="658" t="s">
        <v>1951</v>
      </c>
      <c r="AE5" s="658" t="s">
        <v>1952</v>
      </c>
      <c r="AF5" s="658" t="s">
        <v>1953</v>
      </c>
      <c r="AG5" s="658" t="s">
        <v>358</v>
      </c>
      <c r="AH5" s="658" t="s">
        <v>15</v>
      </c>
      <c r="AI5" s="658" t="s">
        <v>16</v>
      </c>
      <c r="AJ5" s="697" t="s">
        <v>359</v>
      </c>
      <c r="AK5" s="697" t="s">
        <v>166</v>
      </c>
      <c r="AL5" s="697" t="s">
        <v>360</v>
      </c>
      <c r="AM5" s="697" t="s">
        <v>361</v>
      </c>
      <c r="AN5" s="697" t="s">
        <v>362</v>
      </c>
      <c r="AO5" s="697" t="s">
        <v>363</v>
      </c>
      <c r="AP5" s="697" t="s">
        <v>364</v>
      </c>
      <c r="AQ5" s="697" t="s">
        <v>365</v>
      </c>
      <c r="AR5" s="698" t="s">
        <v>167</v>
      </c>
      <c r="AS5" s="698" t="s">
        <v>168</v>
      </c>
      <c r="AT5" s="698" t="s">
        <v>169</v>
      </c>
      <c r="AU5" s="697" t="s">
        <v>170</v>
      </c>
      <c r="AV5" s="697" t="s">
        <v>366</v>
      </c>
      <c r="AW5" s="699" t="s">
        <v>367</v>
      </c>
      <c r="AX5" s="699" t="s">
        <v>368</v>
      </c>
      <c r="AY5" s="699" t="s">
        <v>369</v>
      </c>
      <c r="AZ5" s="699" t="s">
        <v>370</v>
      </c>
      <c r="BA5" s="479">
        <v>2019</v>
      </c>
      <c r="BB5" s="479">
        <v>2020</v>
      </c>
      <c r="BC5" s="479">
        <v>2021</v>
      </c>
      <c r="BD5" s="479">
        <v>2022</v>
      </c>
      <c r="BE5" s="479">
        <v>2023</v>
      </c>
      <c r="BF5" s="479">
        <v>2024</v>
      </c>
      <c r="BG5" s="479">
        <v>2025</v>
      </c>
      <c r="BH5" s="479">
        <v>2019</v>
      </c>
      <c r="BI5" s="479">
        <v>2020</v>
      </c>
      <c r="BJ5" s="479">
        <v>2021</v>
      </c>
      <c r="BK5" s="479">
        <v>2022</v>
      </c>
      <c r="BL5" s="479">
        <v>2023</v>
      </c>
      <c r="BM5" s="479">
        <v>2024</v>
      </c>
      <c r="BN5" s="479">
        <v>2025</v>
      </c>
      <c r="BO5" s="479">
        <v>2019</v>
      </c>
      <c r="BP5" s="479">
        <v>2020</v>
      </c>
      <c r="BQ5" s="479">
        <v>2021</v>
      </c>
      <c r="BR5" s="479">
        <v>2022</v>
      </c>
      <c r="BS5" s="479">
        <v>2023</v>
      </c>
      <c r="BT5" s="479">
        <v>2024</v>
      </c>
      <c r="BU5" s="479">
        <v>2025</v>
      </c>
      <c r="BV5" s="479">
        <v>2019</v>
      </c>
      <c r="BW5" s="479">
        <v>2020</v>
      </c>
      <c r="BX5" s="479">
        <v>2021</v>
      </c>
      <c r="BY5" s="479">
        <v>2022</v>
      </c>
      <c r="BZ5" s="479">
        <v>2023</v>
      </c>
      <c r="CA5" s="479">
        <v>2024</v>
      </c>
      <c r="CB5" s="479">
        <v>2025</v>
      </c>
      <c r="CC5" s="480">
        <v>2019</v>
      </c>
      <c r="CD5" s="480">
        <v>2020</v>
      </c>
      <c r="CE5" s="480">
        <v>2021</v>
      </c>
      <c r="CF5" s="480">
        <v>2022</v>
      </c>
      <c r="CG5" s="480">
        <v>2023</v>
      </c>
      <c r="CH5" s="480">
        <v>2024</v>
      </c>
      <c r="CI5" s="480">
        <v>2025</v>
      </c>
      <c r="CJ5" s="480">
        <v>2019</v>
      </c>
      <c r="CK5" s="480">
        <v>2020</v>
      </c>
      <c r="CL5" s="480">
        <v>2021</v>
      </c>
      <c r="CM5" s="480">
        <v>2022</v>
      </c>
      <c r="CN5" s="480">
        <v>2023</v>
      </c>
      <c r="CO5" s="480">
        <v>2024</v>
      </c>
      <c r="CP5" s="480">
        <v>2025</v>
      </c>
      <c r="CQ5" s="480">
        <v>2019</v>
      </c>
      <c r="CR5" s="480">
        <v>2020</v>
      </c>
      <c r="CS5" s="480">
        <v>2021</v>
      </c>
      <c r="CT5" s="480">
        <v>2022</v>
      </c>
      <c r="CU5" s="480">
        <v>2023</v>
      </c>
      <c r="CV5" s="480">
        <v>2024</v>
      </c>
      <c r="CW5" s="480">
        <v>2025</v>
      </c>
      <c r="CX5" s="479">
        <v>2019</v>
      </c>
      <c r="CY5" s="479">
        <v>2020</v>
      </c>
      <c r="CZ5" s="479">
        <v>2021</v>
      </c>
      <c r="DA5" s="479">
        <v>2022</v>
      </c>
      <c r="DB5" s="479">
        <v>2023</v>
      </c>
      <c r="DC5" s="479">
        <v>2024</v>
      </c>
      <c r="DD5" s="479">
        <v>2025</v>
      </c>
      <c r="DE5" s="479">
        <v>2019</v>
      </c>
      <c r="DF5" s="479">
        <v>2020</v>
      </c>
      <c r="DG5" s="479">
        <v>2021</v>
      </c>
      <c r="DH5" s="479">
        <v>2022</v>
      </c>
      <c r="DI5" s="479">
        <v>2023</v>
      </c>
      <c r="DJ5" s="479">
        <v>2024</v>
      </c>
      <c r="DK5" s="479">
        <v>2025</v>
      </c>
      <c r="DL5" s="479">
        <v>2019</v>
      </c>
      <c r="DM5" s="479">
        <v>2020</v>
      </c>
      <c r="DN5" s="479">
        <v>2021</v>
      </c>
      <c r="DO5" s="479">
        <v>2022</v>
      </c>
      <c r="DP5" s="479">
        <v>2023</v>
      </c>
      <c r="DQ5" s="479">
        <v>2024</v>
      </c>
      <c r="DR5" s="479">
        <v>2025</v>
      </c>
      <c r="DS5" s="479">
        <v>2019</v>
      </c>
      <c r="DT5" s="479">
        <v>2020</v>
      </c>
      <c r="DU5" s="479">
        <v>2021</v>
      </c>
      <c r="DV5" s="479">
        <v>2022</v>
      </c>
      <c r="DW5" s="479">
        <v>2023</v>
      </c>
      <c r="DX5" s="479">
        <v>2024</v>
      </c>
      <c r="DY5" s="479">
        <v>2025</v>
      </c>
      <c r="DZ5" s="480">
        <v>2019</v>
      </c>
      <c r="EA5" s="480">
        <v>2020</v>
      </c>
      <c r="EB5" s="480">
        <v>2021</v>
      </c>
      <c r="EC5" s="480">
        <v>2022</v>
      </c>
      <c r="ED5" s="480">
        <v>2023</v>
      </c>
      <c r="EE5" s="480">
        <v>2024</v>
      </c>
      <c r="EF5" s="480">
        <v>2025</v>
      </c>
      <c r="EG5" s="480">
        <v>2019</v>
      </c>
      <c r="EH5" s="480">
        <v>2020</v>
      </c>
      <c r="EI5" s="480">
        <v>2021</v>
      </c>
      <c r="EJ5" s="480">
        <v>2022</v>
      </c>
      <c r="EK5" s="480">
        <v>2023</v>
      </c>
      <c r="EL5" s="480">
        <v>2024</v>
      </c>
      <c r="EM5" s="480">
        <v>2025</v>
      </c>
      <c r="EN5" s="480">
        <v>2019</v>
      </c>
      <c r="EO5" s="480">
        <v>2020</v>
      </c>
      <c r="EP5" s="480">
        <v>2021</v>
      </c>
      <c r="EQ5" s="480">
        <v>2022</v>
      </c>
      <c r="ER5" s="480">
        <v>2023</v>
      </c>
      <c r="ES5" s="480">
        <v>2024</v>
      </c>
      <c r="ET5" s="480">
        <v>2025</v>
      </c>
      <c r="EU5" s="1236" t="s">
        <v>9</v>
      </c>
      <c r="EV5" s="1236" t="s">
        <v>139</v>
      </c>
      <c r="EW5" s="1236" t="s">
        <v>140</v>
      </c>
      <c r="EX5" s="1236" t="s">
        <v>141</v>
      </c>
      <c r="EY5" s="1236" t="s">
        <v>142</v>
      </c>
      <c r="EZ5" s="1236" t="s">
        <v>12</v>
      </c>
      <c r="FA5" s="1236" t="s">
        <v>13</v>
      </c>
      <c r="FB5" s="1236" t="s">
        <v>14</v>
      </c>
    </row>
    <row r="6" spans="1:168" s="10" customFormat="1" ht="12.75" hidden="1" customHeight="1">
      <c r="A6" s="662">
        <v>1</v>
      </c>
      <c r="B6" s="703" t="s">
        <v>1954</v>
      </c>
      <c r="C6" s="662" t="s">
        <v>1955</v>
      </c>
      <c r="D6" s="715"/>
      <c r="E6" s="662" t="s">
        <v>1143</v>
      </c>
      <c r="F6" s="704" t="s">
        <v>372</v>
      </c>
      <c r="G6" s="704">
        <v>25</v>
      </c>
      <c r="H6" s="704"/>
      <c r="I6" s="704">
        <f t="shared" ref="I6:I49" si="2">G6+H6</f>
        <v>25</v>
      </c>
      <c r="J6" s="704">
        <v>0</v>
      </c>
      <c r="K6" s="704">
        <v>0</v>
      </c>
      <c r="L6" s="711" t="s">
        <v>1956</v>
      </c>
      <c r="M6" s="707">
        <v>0</v>
      </c>
      <c r="N6" s="707">
        <v>0</v>
      </c>
      <c r="O6" s="707">
        <v>0</v>
      </c>
      <c r="P6" s="707">
        <v>0</v>
      </c>
      <c r="Q6" s="710">
        <v>0</v>
      </c>
      <c r="R6" s="710">
        <v>0</v>
      </c>
      <c r="S6" s="710">
        <v>0</v>
      </c>
      <c r="T6" s="711" t="s">
        <v>1957</v>
      </c>
      <c r="U6" s="712">
        <v>0</v>
      </c>
      <c r="V6" s="1124">
        <v>1</v>
      </c>
      <c r="W6" s="790">
        <v>1830</v>
      </c>
      <c r="X6" s="790">
        <v>2122</v>
      </c>
      <c r="Y6" s="790">
        <v>2241</v>
      </c>
      <c r="Z6" s="790">
        <v>2506.6666666666665</v>
      </c>
      <c r="AA6" s="790">
        <f>Z6+(Z6*$U6)</f>
        <v>2506.6666666666665</v>
      </c>
      <c r="AB6" s="790">
        <f>AA6+(AA6*$U6)</f>
        <v>2506.6666666666665</v>
      </c>
      <c r="AC6" s="781">
        <f>ROUND((AB6+($U6*AB6))*$C$151,-1)</f>
        <v>2260</v>
      </c>
      <c r="AD6" s="781">
        <f t="shared" ref="AD6:AG8" si="3">ROUND((AC6+($U6*AC6)),-1)</f>
        <v>2260</v>
      </c>
      <c r="AE6" s="781">
        <f t="shared" si="3"/>
        <v>2260</v>
      </c>
      <c r="AF6" s="781">
        <f t="shared" si="3"/>
        <v>2260</v>
      </c>
      <c r="AG6" s="781">
        <f t="shared" si="3"/>
        <v>2260</v>
      </c>
      <c r="AH6" s="781">
        <f>AG6</f>
        <v>2260</v>
      </c>
      <c r="AI6" s="781">
        <f>AH6</f>
        <v>2260</v>
      </c>
      <c r="AJ6" s="711" t="s">
        <v>384</v>
      </c>
      <c r="AK6" s="711" t="s">
        <v>375</v>
      </c>
      <c r="AL6" s="711" t="s">
        <v>376</v>
      </c>
      <c r="AM6" s="711" t="s">
        <v>1958</v>
      </c>
      <c r="AN6" s="711" t="s">
        <v>1</v>
      </c>
      <c r="AO6" s="711" t="s">
        <v>378</v>
      </c>
      <c r="AP6" s="711" t="s">
        <v>378</v>
      </c>
      <c r="AQ6" s="711" t="s">
        <v>378</v>
      </c>
      <c r="AR6" s="715" t="s">
        <v>1945</v>
      </c>
      <c r="AS6" s="711"/>
      <c r="AT6" s="715" t="s">
        <v>381</v>
      </c>
      <c r="AU6" s="711">
        <v>1</v>
      </c>
      <c r="AV6" s="711">
        <v>1</v>
      </c>
      <c r="AW6" s="711" t="s">
        <v>1959</v>
      </c>
      <c r="AX6" s="716">
        <v>1</v>
      </c>
      <c r="AY6" s="716">
        <v>1</v>
      </c>
      <c r="AZ6" s="716">
        <v>1</v>
      </c>
      <c r="BA6" s="499">
        <f t="shared" ref="BA6:BA49" si="4">I6</f>
        <v>25</v>
      </c>
      <c r="BB6" s="499">
        <f t="shared" ref="BB6:BD21" si="5">BA6</f>
        <v>25</v>
      </c>
      <c r="BC6" s="499">
        <f t="shared" si="5"/>
        <v>25</v>
      </c>
      <c r="BD6" s="499">
        <f t="shared" si="5"/>
        <v>25</v>
      </c>
      <c r="BE6" s="499">
        <f t="shared" ref="BE6:BG49" si="6">BB6</f>
        <v>25</v>
      </c>
      <c r="BF6" s="499">
        <f t="shared" si="6"/>
        <v>25</v>
      </c>
      <c r="BG6" s="499">
        <f t="shared" si="6"/>
        <v>25</v>
      </c>
      <c r="BH6" s="499">
        <f t="shared" ref="BH6:BH49" si="7">J6</f>
        <v>0</v>
      </c>
      <c r="BI6" s="499">
        <f t="shared" ref="BI6:BN21" si="8">BH6</f>
        <v>0</v>
      </c>
      <c r="BJ6" s="499">
        <f t="shared" si="8"/>
        <v>0</v>
      </c>
      <c r="BK6" s="499">
        <f t="shared" si="8"/>
        <v>0</v>
      </c>
      <c r="BL6" s="499">
        <f t="shared" si="8"/>
        <v>0</v>
      </c>
      <c r="BM6" s="499">
        <f t="shared" si="8"/>
        <v>0</v>
      </c>
      <c r="BN6" s="499">
        <f t="shared" si="8"/>
        <v>0</v>
      </c>
      <c r="BO6" s="499">
        <f t="shared" ref="BO6:BO49" si="9">N6+O6</f>
        <v>0</v>
      </c>
      <c r="BP6" s="499">
        <f>BO6</f>
        <v>0</v>
      </c>
      <c r="BQ6" s="499">
        <f t="shared" ref="BQ6:BU21" si="10">BP6</f>
        <v>0</v>
      </c>
      <c r="BR6" s="499">
        <f t="shared" si="10"/>
        <v>0</v>
      </c>
      <c r="BS6" s="499">
        <f t="shared" si="10"/>
        <v>0</v>
      </c>
      <c r="BT6" s="499">
        <f t="shared" si="10"/>
        <v>0</v>
      </c>
      <c r="BU6" s="499">
        <f t="shared" si="10"/>
        <v>0</v>
      </c>
      <c r="BV6" s="503">
        <f>$P6</f>
        <v>0</v>
      </c>
      <c r="BW6" s="503">
        <f t="shared" ref="BW6:CB22" si="11">$P6</f>
        <v>0</v>
      </c>
      <c r="BX6" s="503">
        <f t="shared" si="11"/>
        <v>0</v>
      </c>
      <c r="BY6" s="503">
        <f t="shared" si="11"/>
        <v>0</v>
      </c>
      <c r="BZ6" s="503">
        <f t="shared" si="11"/>
        <v>0</v>
      </c>
      <c r="CA6" s="503">
        <f t="shared" si="11"/>
        <v>0</v>
      </c>
      <c r="CB6" s="503">
        <f t="shared" si="11"/>
        <v>0</v>
      </c>
      <c r="CC6" s="511">
        <f t="shared" ref="CC6:CC49" si="12">Q6*AY6</f>
        <v>0</v>
      </c>
      <c r="CD6" s="511">
        <f t="shared" ref="CD6:CI21" si="13">CC6</f>
        <v>0</v>
      </c>
      <c r="CE6" s="511">
        <f t="shared" si="13"/>
        <v>0</v>
      </c>
      <c r="CF6" s="511">
        <f t="shared" si="13"/>
        <v>0</v>
      </c>
      <c r="CG6" s="511">
        <f t="shared" si="13"/>
        <v>0</v>
      </c>
      <c r="CH6" s="511">
        <f t="shared" si="13"/>
        <v>0</v>
      </c>
      <c r="CI6" s="511">
        <f t="shared" si="13"/>
        <v>0</v>
      </c>
      <c r="CJ6" s="511">
        <f t="shared" ref="CJ6:CJ49" si="14">R6*AY6</f>
        <v>0</v>
      </c>
      <c r="CK6" s="511">
        <f t="shared" ref="CK6:CP21" si="15">CJ6</f>
        <v>0</v>
      </c>
      <c r="CL6" s="511">
        <f t="shared" si="15"/>
        <v>0</v>
      </c>
      <c r="CM6" s="511">
        <f t="shared" si="15"/>
        <v>0</v>
      </c>
      <c r="CN6" s="511">
        <f t="shared" si="15"/>
        <v>0</v>
      </c>
      <c r="CO6" s="511">
        <f t="shared" si="15"/>
        <v>0</v>
      </c>
      <c r="CP6" s="511">
        <f t="shared" si="15"/>
        <v>0</v>
      </c>
      <c r="CQ6" s="511">
        <f t="shared" ref="CQ6:CQ49" si="16">S6*AZ6</f>
        <v>0</v>
      </c>
      <c r="CR6" s="511">
        <f t="shared" ref="CR6:CW21" si="17">CQ6</f>
        <v>0</v>
      </c>
      <c r="CS6" s="511">
        <f t="shared" si="17"/>
        <v>0</v>
      </c>
      <c r="CT6" s="511">
        <f t="shared" si="17"/>
        <v>0</v>
      </c>
      <c r="CU6" s="511">
        <f t="shared" si="17"/>
        <v>0</v>
      </c>
      <c r="CV6" s="511">
        <f t="shared" si="17"/>
        <v>0</v>
      </c>
      <c r="CW6" s="511">
        <f t="shared" si="17"/>
        <v>0</v>
      </c>
      <c r="CX6" s="508">
        <f>AC6*BA6</f>
        <v>56500</v>
      </c>
      <c r="CY6" s="508">
        <f>AD6*BB6</f>
        <v>56500</v>
      </c>
      <c r="CZ6" s="508">
        <f>AE6*BC6</f>
        <v>56500</v>
      </c>
      <c r="DA6" s="508">
        <f>AF6*BD6</f>
        <v>56500</v>
      </c>
      <c r="DB6" s="508">
        <f>AG6*BE6</f>
        <v>56500</v>
      </c>
      <c r="DC6" s="508">
        <f t="shared" ref="DC6:DD21" si="18">AH6*BF6</f>
        <v>56500</v>
      </c>
      <c r="DD6" s="508">
        <f t="shared" si="18"/>
        <v>56500</v>
      </c>
      <c r="DE6" s="508">
        <f t="shared" ref="DE6:DK42" si="19">AC6*BH6</f>
        <v>0</v>
      </c>
      <c r="DF6" s="508">
        <f t="shared" si="19"/>
        <v>0</v>
      </c>
      <c r="DG6" s="508">
        <f t="shared" si="19"/>
        <v>0</v>
      </c>
      <c r="DH6" s="508">
        <f t="shared" si="19"/>
        <v>0</v>
      </c>
      <c r="DI6" s="508">
        <f t="shared" si="19"/>
        <v>0</v>
      </c>
      <c r="DJ6" s="508">
        <f t="shared" si="19"/>
        <v>0</v>
      </c>
      <c r="DK6" s="508">
        <f t="shared" si="19"/>
        <v>0</v>
      </c>
      <c r="DL6" s="508">
        <f t="shared" ref="DL6:DR42" si="20">AC6*BO6</f>
        <v>0</v>
      </c>
      <c r="DM6" s="508">
        <f t="shared" si="20"/>
        <v>0</v>
      </c>
      <c r="DN6" s="508">
        <f t="shared" si="20"/>
        <v>0</v>
      </c>
      <c r="DO6" s="508">
        <f t="shared" si="20"/>
        <v>0</v>
      </c>
      <c r="DP6" s="508">
        <f t="shared" si="20"/>
        <v>0</v>
      </c>
      <c r="DQ6" s="508">
        <f t="shared" si="20"/>
        <v>0</v>
      </c>
      <c r="DR6" s="508">
        <f t="shared" si="20"/>
        <v>0</v>
      </c>
      <c r="DS6" s="508">
        <f t="shared" ref="DS6:DY42" si="21">BV6*AC6</f>
        <v>0</v>
      </c>
      <c r="DT6" s="508">
        <f t="shared" si="21"/>
        <v>0</v>
      </c>
      <c r="DU6" s="508">
        <f t="shared" si="21"/>
        <v>0</v>
      </c>
      <c r="DV6" s="508">
        <f t="shared" si="21"/>
        <v>0</v>
      </c>
      <c r="DW6" s="508">
        <f t="shared" si="21"/>
        <v>0</v>
      </c>
      <c r="DX6" s="508">
        <f t="shared" si="21"/>
        <v>0</v>
      </c>
      <c r="DY6" s="508">
        <f t="shared" si="21"/>
        <v>0</v>
      </c>
      <c r="DZ6" s="511">
        <f t="shared" ref="DZ6:EF42" si="22">AC6*CC6</f>
        <v>0</v>
      </c>
      <c r="EA6" s="511">
        <f t="shared" si="22"/>
        <v>0</v>
      </c>
      <c r="EB6" s="511">
        <f t="shared" si="22"/>
        <v>0</v>
      </c>
      <c r="EC6" s="511">
        <f t="shared" si="22"/>
        <v>0</v>
      </c>
      <c r="ED6" s="511">
        <f t="shared" si="22"/>
        <v>0</v>
      </c>
      <c r="EE6" s="511">
        <f t="shared" si="22"/>
        <v>0</v>
      </c>
      <c r="EF6" s="511">
        <f t="shared" si="22"/>
        <v>0</v>
      </c>
      <c r="EG6" s="511">
        <f t="shared" ref="EG6:EM42" si="23">AC6*CJ6</f>
        <v>0</v>
      </c>
      <c r="EH6" s="511">
        <f t="shared" si="23"/>
        <v>0</v>
      </c>
      <c r="EI6" s="511">
        <f t="shared" si="23"/>
        <v>0</v>
      </c>
      <c r="EJ6" s="511">
        <f t="shared" si="23"/>
        <v>0</v>
      </c>
      <c r="EK6" s="511">
        <f t="shared" si="23"/>
        <v>0</v>
      </c>
      <c r="EL6" s="511">
        <f t="shared" si="23"/>
        <v>0</v>
      </c>
      <c r="EM6" s="511">
        <f t="shared" si="23"/>
        <v>0</v>
      </c>
      <c r="EN6" s="511">
        <f t="shared" ref="EN6:ET42" si="24">AC6*CQ6</f>
        <v>0</v>
      </c>
      <c r="EO6" s="511">
        <f t="shared" si="24"/>
        <v>0</v>
      </c>
      <c r="EP6" s="511">
        <f t="shared" si="24"/>
        <v>0</v>
      </c>
      <c r="EQ6" s="511">
        <f t="shared" si="24"/>
        <v>0</v>
      </c>
      <c r="ER6" s="511">
        <f t="shared" si="24"/>
        <v>0</v>
      </c>
      <c r="ES6" s="511">
        <f t="shared" si="24"/>
        <v>0</v>
      </c>
      <c r="ET6" s="511">
        <f t="shared" si="24"/>
        <v>0</v>
      </c>
      <c r="EU6" s="777">
        <f>SUM(AC6:AI6)</f>
        <v>15820</v>
      </c>
      <c r="EV6" s="728">
        <f>SUM(CX6:DD6)</f>
        <v>395500</v>
      </c>
      <c r="EW6" s="728">
        <f>SUM(DE6:DK6)</f>
        <v>0</v>
      </c>
      <c r="EX6" s="728">
        <f>SUM(DL6:DR6)</f>
        <v>0</v>
      </c>
      <c r="EY6" s="728">
        <f>SUM(DS6:DY6)</f>
        <v>0</v>
      </c>
      <c r="EZ6" s="777">
        <f>SUM(DZ6:EF6)</f>
        <v>0</v>
      </c>
      <c r="FA6" s="777">
        <f>SUM(EG6:EM6)</f>
        <v>0</v>
      </c>
      <c r="FB6" s="778">
        <f>SUM(EN6:ET6)</f>
        <v>0</v>
      </c>
      <c r="FD6" s="10" t="b">
        <f t="shared" ref="FD6:FJ21" si="25">EV6=SUM(EV51,EV96)</f>
        <v>1</v>
      </c>
      <c r="FE6" s="10" t="b">
        <f t="shared" si="25"/>
        <v>1</v>
      </c>
      <c r="FF6" s="10" t="b">
        <f t="shared" si="25"/>
        <v>1</v>
      </c>
      <c r="FG6" s="10" t="b">
        <f t="shared" si="25"/>
        <v>1</v>
      </c>
      <c r="FH6" s="10" t="b">
        <f t="shared" si="25"/>
        <v>1</v>
      </c>
      <c r="FI6" s="10" t="b">
        <f t="shared" si="25"/>
        <v>1</v>
      </c>
      <c r="FJ6" s="10" t="b">
        <f>FB6=SUM(FB51,FB96)</f>
        <v>1</v>
      </c>
    </row>
    <row r="7" spans="1:168" s="10" customFormat="1" ht="12.75" hidden="1" customHeight="1">
      <c r="A7" s="662">
        <v>1.1000000000000001</v>
      </c>
      <c r="B7" s="703" t="s">
        <v>1960</v>
      </c>
      <c r="C7" s="662" t="s">
        <v>1961</v>
      </c>
      <c r="D7" s="715"/>
      <c r="E7" s="662" t="s">
        <v>1143</v>
      </c>
      <c r="F7" s="704" t="s">
        <v>372</v>
      </c>
      <c r="G7" s="704">
        <v>100</v>
      </c>
      <c r="H7" s="704"/>
      <c r="I7" s="704">
        <f t="shared" si="2"/>
        <v>100</v>
      </c>
      <c r="J7" s="704">
        <v>0</v>
      </c>
      <c r="K7" s="704">
        <v>0</v>
      </c>
      <c r="L7" s="711" t="s">
        <v>1956</v>
      </c>
      <c r="M7" s="707">
        <v>0</v>
      </c>
      <c r="N7" s="707">
        <v>0</v>
      </c>
      <c r="O7" s="707">
        <v>0</v>
      </c>
      <c r="P7" s="707">
        <v>0</v>
      </c>
      <c r="Q7" s="710">
        <v>0</v>
      </c>
      <c r="R7" s="710">
        <v>0</v>
      </c>
      <c r="S7" s="710">
        <v>0</v>
      </c>
      <c r="T7" s="711" t="s">
        <v>1957</v>
      </c>
      <c r="U7" s="712">
        <v>0</v>
      </c>
      <c r="V7" s="1124">
        <v>1</v>
      </c>
      <c r="W7" s="790">
        <f>W6</f>
        <v>1830</v>
      </c>
      <c r="X7" s="790">
        <f>X6</f>
        <v>2122</v>
      </c>
      <c r="Y7" s="790">
        <f>Y6</f>
        <v>2241</v>
      </c>
      <c r="Z7" s="790">
        <f>Z6</f>
        <v>2506.6666666666665</v>
      </c>
      <c r="AA7" s="790">
        <f>Z7+(Z7*$U7)</f>
        <v>2506.6666666666665</v>
      </c>
      <c r="AB7" s="790">
        <f>AA7+(AA7*$U7)</f>
        <v>2506.6666666666665</v>
      </c>
      <c r="AC7" s="781">
        <f>ROUND((AB7+($U7*AB7))*$C$152,-1)</f>
        <v>250</v>
      </c>
      <c r="AD7" s="781">
        <f t="shared" si="3"/>
        <v>250</v>
      </c>
      <c r="AE7" s="781">
        <f t="shared" si="3"/>
        <v>250</v>
      </c>
      <c r="AF7" s="781">
        <f t="shared" si="3"/>
        <v>250</v>
      </c>
      <c r="AG7" s="781">
        <f t="shared" si="3"/>
        <v>250</v>
      </c>
      <c r="AH7" s="781">
        <f t="shared" ref="AH7:AI22" si="26">AG7</f>
        <v>250</v>
      </c>
      <c r="AI7" s="781">
        <f t="shared" si="26"/>
        <v>250</v>
      </c>
      <c r="AJ7" s="711" t="s">
        <v>384</v>
      </c>
      <c r="AK7" s="711" t="s">
        <v>375</v>
      </c>
      <c r="AL7" s="711" t="s">
        <v>376</v>
      </c>
      <c r="AM7" s="711" t="s">
        <v>1958</v>
      </c>
      <c r="AN7" s="711" t="s">
        <v>1</v>
      </c>
      <c r="AO7" s="711" t="s">
        <v>378</v>
      </c>
      <c r="AP7" s="711" t="s">
        <v>378</v>
      </c>
      <c r="AQ7" s="711" t="s">
        <v>378</v>
      </c>
      <c r="AR7" s="715" t="s">
        <v>1945</v>
      </c>
      <c r="AS7" s="711"/>
      <c r="AT7" s="715" t="s">
        <v>381</v>
      </c>
      <c r="AU7" s="711">
        <v>1</v>
      </c>
      <c r="AV7" s="711">
        <v>1</v>
      </c>
      <c r="AW7" s="711" t="s">
        <v>1959</v>
      </c>
      <c r="AX7" s="716">
        <v>1</v>
      </c>
      <c r="AY7" s="716">
        <v>1</v>
      </c>
      <c r="AZ7" s="716">
        <v>1</v>
      </c>
      <c r="BA7" s="499">
        <f t="shared" si="4"/>
        <v>100</v>
      </c>
      <c r="BB7" s="499">
        <f t="shared" si="5"/>
        <v>100</v>
      </c>
      <c r="BC7" s="499">
        <f t="shared" si="5"/>
        <v>100</v>
      </c>
      <c r="BD7" s="499">
        <f t="shared" si="5"/>
        <v>100</v>
      </c>
      <c r="BE7" s="499">
        <f t="shared" si="6"/>
        <v>100</v>
      </c>
      <c r="BF7" s="499">
        <f t="shared" si="6"/>
        <v>100</v>
      </c>
      <c r="BG7" s="499">
        <f t="shared" si="6"/>
        <v>100</v>
      </c>
      <c r="BH7" s="499">
        <f t="shared" si="7"/>
        <v>0</v>
      </c>
      <c r="BI7" s="499">
        <f t="shared" si="8"/>
        <v>0</v>
      </c>
      <c r="BJ7" s="499">
        <f t="shared" si="8"/>
        <v>0</v>
      </c>
      <c r="BK7" s="499">
        <f t="shared" si="8"/>
        <v>0</v>
      </c>
      <c r="BL7" s="499">
        <f t="shared" si="8"/>
        <v>0</v>
      </c>
      <c r="BM7" s="499">
        <f t="shared" si="8"/>
        <v>0</v>
      </c>
      <c r="BN7" s="499">
        <f t="shared" si="8"/>
        <v>0</v>
      </c>
      <c r="BO7" s="499">
        <f t="shared" si="9"/>
        <v>0</v>
      </c>
      <c r="BP7" s="499">
        <f>BO7</f>
        <v>0</v>
      </c>
      <c r="BQ7" s="499">
        <f t="shared" si="10"/>
        <v>0</v>
      </c>
      <c r="BR7" s="499">
        <f t="shared" si="10"/>
        <v>0</v>
      </c>
      <c r="BS7" s="499">
        <f t="shared" si="10"/>
        <v>0</v>
      </c>
      <c r="BT7" s="499">
        <f t="shared" si="10"/>
        <v>0</v>
      </c>
      <c r="BU7" s="499">
        <f t="shared" si="10"/>
        <v>0</v>
      </c>
      <c r="BV7" s="503">
        <f t="shared" ref="BV7:CB49" si="27">$P7</f>
        <v>0</v>
      </c>
      <c r="BW7" s="503">
        <f t="shared" si="11"/>
        <v>0</v>
      </c>
      <c r="BX7" s="503">
        <f t="shared" si="11"/>
        <v>0</v>
      </c>
      <c r="BY7" s="503">
        <f t="shared" si="11"/>
        <v>0</v>
      </c>
      <c r="BZ7" s="503">
        <f t="shared" si="11"/>
        <v>0</v>
      </c>
      <c r="CA7" s="503">
        <f t="shared" si="11"/>
        <v>0</v>
      </c>
      <c r="CB7" s="503">
        <f t="shared" si="11"/>
        <v>0</v>
      </c>
      <c r="CC7" s="511">
        <f t="shared" si="12"/>
        <v>0</v>
      </c>
      <c r="CD7" s="511">
        <f t="shared" si="13"/>
        <v>0</v>
      </c>
      <c r="CE7" s="511">
        <f t="shared" si="13"/>
        <v>0</v>
      </c>
      <c r="CF7" s="511">
        <f t="shared" si="13"/>
        <v>0</v>
      </c>
      <c r="CG7" s="511">
        <f t="shared" si="13"/>
        <v>0</v>
      </c>
      <c r="CH7" s="511">
        <f t="shared" si="13"/>
        <v>0</v>
      </c>
      <c r="CI7" s="511">
        <f t="shared" si="13"/>
        <v>0</v>
      </c>
      <c r="CJ7" s="511">
        <f t="shared" si="14"/>
        <v>0</v>
      </c>
      <c r="CK7" s="511">
        <f t="shared" si="15"/>
        <v>0</v>
      </c>
      <c r="CL7" s="511">
        <f t="shared" si="15"/>
        <v>0</v>
      </c>
      <c r="CM7" s="511">
        <f t="shared" si="15"/>
        <v>0</v>
      </c>
      <c r="CN7" s="511">
        <f t="shared" si="15"/>
        <v>0</v>
      </c>
      <c r="CO7" s="511">
        <f t="shared" si="15"/>
        <v>0</v>
      </c>
      <c r="CP7" s="511">
        <f t="shared" si="15"/>
        <v>0</v>
      </c>
      <c r="CQ7" s="511">
        <f t="shared" si="16"/>
        <v>0</v>
      </c>
      <c r="CR7" s="511">
        <f t="shared" si="17"/>
        <v>0</v>
      </c>
      <c r="CS7" s="511">
        <f t="shared" si="17"/>
        <v>0</v>
      </c>
      <c r="CT7" s="511">
        <f t="shared" si="17"/>
        <v>0</v>
      </c>
      <c r="CU7" s="511">
        <f t="shared" si="17"/>
        <v>0</v>
      </c>
      <c r="CV7" s="511">
        <f t="shared" si="17"/>
        <v>0</v>
      </c>
      <c r="CW7" s="511">
        <f t="shared" si="17"/>
        <v>0</v>
      </c>
      <c r="CX7" s="508">
        <f t="shared" ref="CX7:DD47" si="28">AC7*BA7</f>
        <v>25000</v>
      </c>
      <c r="CY7" s="508">
        <f t="shared" si="28"/>
        <v>25000</v>
      </c>
      <c r="CZ7" s="508">
        <f t="shared" si="28"/>
        <v>25000</v>
      </c>
      <c r="DA7" s="508">
        <f t="shared" si="28"/>
        <v>25000</v>
      </c>
      <c r="DB7" s="508">
        <f t="shared" si="28"/>
        <v>25000</v>
      </c>
      <c r="DC7" s="508">
        <f t="shared" si="18"/>
        <v>25000</v>
      </c>
      <c r="DD7" s="508">
        <f t="shared" si="18"/>
        <v>25000</v>
      </c>
      <c r="DE7" s="508">
        <f t="shared" si="19"/>
        <v>0</v>
      </c>
      <c r="DF7" s="508">
        <f t="shared" si="19"/>
        <v>0</v>
      </c>
      <c r="DG7" s="508">
        <f t="shared" si="19"/>
        <v>0</v>
      </c>
      <c r="DH7" s="508">
        <f t="shared" si="19"/>
        <v>0</v>
      </c>
      <c r="DI7" s="508">
        <f t="shared" si="19"/>
        <v>0</v>
      </c>
      <c r="DJ7" s="508">
        <f t="shared" si="19"/>
        <v>0</v>
      </c>
      <c r="DK7" s="508">
        <f t="shared" si="19"/>
        <v>0</v>
      </c>
      <c r="DL7" s="508">
        <f t="shared" si="20"/>
        <v>0</v>
      </c>
      <c r="DM7" s="508">
        <f t="shared" si="20"/>
        <v>0</v>
      </c>
      <c r="DN7" s="508">
        <f t="shared" si="20"/>
        <v>0</v>
      </c>
      <c r="DO7" s="508">
        <f t="shared" si="20"/>
        <v>0</v>
      </c>
      <c r="DP7" s="508">
        <f t="shared" si="20"/>
        <v>0</v>
      </c>
      <c r="DQ7" s="508">
        <f t="shared" si="20"/>
        <v>0</v>
      </c>
      <c r="DR7" s="508">
        <f t="shared" si="20"/>
        <v>0</v>
      </c>
      <c r="DS7" s="508">
        <f t="shared" si="21"/>
        <v>0</v>
      </c>
      <c r="DT7" s="508">
        <f t="shared" si="21"/>
        <v>0</v>
      </c>
      <c r="DU7" s="508">
        <f t="shared" si="21"/>
        <v>0</v>
      </c>
      <c r="DV7" s="508">
        <f t="shared" si="21"/>
        <v>0</v>
      </c>
      <c r="DW7" s="508">
        <f t="shared" si="21"/>
        <v>0</v>
      </c>
      <c r="DX7" s="508">
        <f t="shared" si="21"/>
        <v>0</v>
      </c>
      <c r="DY7" s="508">
        <f t="shared" si="21"/>
        <v>0</v>
      </c>
      <c r="DZ7" s="511">
        <f t="shared" si="22"/>
        <v>0</v>
      </c>
      <c r="EA7" s="511">
        <f t="shared" si="22"/>
        <v>0</v>
      </c>
      <c r="EB7" s="511">
        <f t="shared" si="22"/>
        <v>0</v>
      </c>
      <c r="EC7" s="511">
        <f t="shared" si="22"/>
        <v>0</v>
      </c>
      <c r="ED7" s="511">
        <f t="shared" si="22"/>
        <v>0</v>
      </c>
      <c r="EE7" s="511">
        <f t="shared" si="22"/>
        <v>0</v>
      </c>
      <c r="EF7" s="511">
        <f t="shared" si="22"/>
        <v>0</v>
      </c>
      <c r="EG7" s="511">
        <f t="shared" si="23"/>
        <v>0</v>
      </c>
      <c r="EH7" s="511">
        <f t="shared" si="23"/>
        <v>0</v>
      </c>
      <c r="EI7" s="511">
        <f t="shared" si="23"/>
        <v>0</v>
      </c>
      <c r="EJ7" s="511">
        <f t="shared" si="23"/>
        <v>0</v>
      </c>
      <c r="EK7" s="511">
        <f t="shared" si="23"/>
        <v>0</v>
      </c>
      <c r="EL7" s="511">
        <f t="shared" si="23"/>
        <v>0</v>
      </c>
      <c r="EM7" s="511">
        <f t="shared" si="23"/>
        <v>0</v>
      </c>
      <c r="EN7" s="511">
        <f t="shared" si="24"/>
        <v>0</v>
      </c>
      <c r="EO7" s="511">
        <f t="shared" si="24"/>
        <v>0</v>
      </c>
      <c r="EP7" s="511">
        <f t="shared" si="24"/>
        <v>0</v>
      </c>
      <c r="EQ7" s="511">
        <f t="shared" si="24"/>
        <v>0</v>
      </c>
      <c r="ER7" s="511">
        <f t="shared" si="24"/>
        <v>0</v>
      </c>
      <c r="ES7" s="511">
        <f t="shared" si="24"/>
        <v>0</v>
      </c>
      <c r="ET7" s="511">
        <f t="shared" si="24"/>
        <v>0</v>
      </c>
      <c r="EU7" s="777">
        <f t="shared" ref="EU7:EU49" si="29">SUM(AC7:AI7)</f>
        <v>1750</v>
      </c>
      <c r="EV7" s="728">
        <f t="shared" ref="EV7:EV49" si="30">SUM(CX7:DD7)</f>
        <v>175000</v>
      </c>
      <c r="EW7" s="728">
        <f t="shared" ref="EW7:EW49" si="31">SUM(DE7:DK7)</f>
        <v>0</v>
      </c>
      <c r="EX7" s="728">
        <f t="shared" ref="EX7:EX49" si="32">SUM(DL7:DR7)</f>
        <v>0</v>
      </c>
      <c r="EY7" s="728">
        <f t="shared" ref="EY7:EY49" si="33">SUM(DS7:DY7)</f>
        <v>0</v>
      </c>
      <c r="EZ7" s="777">
        <f t="shared" ref="EZ7:EZ49" si="34">SUM(DZ7:EF7)</f>
        <v>0</v>
      </c>
      <c r="FA7" s="777">
        <f t="shared" ref="FA7:FA49" si="35">SUM(EG7:EM7)</f>
        <v>0</v>
      </c>
      <c r="FB7" s="778">
        <f t="shared" ref="FB7:FB49" si="36">SUM(EN7:ET7)</f>
        <v>0</v>
      </c>
      <c r="FD7" s="10" t="b">
        <f t="shared" si="25"/>
        <v>1</v>
      </c>
      <c r="FE7" s="10" t="b">
        <f t="shared" si="25"/>
        <v>1</v>
      </c>
      <c r="FF7" s="10" t="b">
        <f t="shared" si="25"/>
        <v>1</v>
      </c>
      <c r="FG7" s="10" t="b">
        <f t="shared" si="25"/>
        <v>1</v>
      </c>
      <c r="FH7" s="10" t="b">
        <f t="shared" si="25"/>
        <v>1</v>
      </c>
      <c r="FI7" s="10" t="b">
        <f t="shared" si="25"/>
        <v>1</v>
      </c>
      <c r="FJ7" s="10" t="b">
        <f t="shared" si="25"/>
        <v>1</v>
      </c>
    </row>
    <row r="8" spans="1:168" s="10" customFormat="1" ht="12.75" hidden="1" customHeight="1">
      <c r="A8" s="662">
        <v>2</v>
      </c>
      <c r="B8" s="703" t="s">
        <v>1962</v>
      </c>
      <c r="C8" s="662" t="s">
        <v>1963</v>
      </c>
      <c r="D8" s="715"/>
      <c r="E8" s="662" t="s">
        <v>1143</v>
      </c>
      <c r="F8" s="704" t="s">
        <v>372</v>
      </c>
      <c r="G8" s="704">
        <v>0</v>
      </c>
      <c r="H8" s="704"/>
      <c r="I8" s="704">
        <f t="shared" si="2"/>
        <v>0</v>
      </c>
      <c r="J8" s="704">
        <v>0</v>
      </c>
      <c r="K8" s="704">
        <v>0</v>
      </c>
      <c r="L8" s="711" t="s">
        <v>1964</v>
      </c>
      <c r="M8" s="707">
        <v>0</v>
      </c>
      <c r="N8" s="707">
        <v>0</v>
      </c>
      <c r="O8" s="707">
        <v>0</v>
      </c>
      <c r="P8" s="707">
        <v>0</v>
      </c>
      <c r="Q8" s="710">
        <v>0</v>
      </c>
      <c r="R8" s="710">
        <v>0</v>
      </c>
      <c r="S8" s="710">
        <v>0</v>
      </c>
      <c r="T8" s="711" t="s">
        <v>1957</v>
      </c>
      <c r="U8" s="712">
        <v>0</v>
      </c>
      <c r="V8" s="1124">
        <v>1</v>
      </c>
      <c r="W8" s="790">
        <v>5141</v>
      </c>
      <c r="X8" s="790">
        <v>5455</v>
      </c>
      <c r="Y8" s="790">
        <v>4255</v>
      </c>
      <c r="Z8" s="790">
        <v>2640</v>
      </c>
      <c r="AA8" s="790">
        <f t="shared" ref="AA8:AB8" si="37">Z8+(Z8*$U8)</f>
        <v>2640</v>
      </c>
      <c r="AB8" s="790">
        <f t="shared" si="37"/>
        <v>2640</v>
      </c>
      <c r="AC8" s="781">
        <f>ROUND((AB8+($U8*AB8)),-1)</f>
        <v>2640</v>
      </c>
      <c r="AD8" s="781">
        <f t="shared" si="3"/>
        <v>2640</v>
      </c>
      <c r="AE8" s="781">
        <f t="shared" si="3"/>
        <v>2640</v>
      </c>
      <c r="AF8" s="781">
        <f t="shared" si="3"/>
        <v>2640</v>
      </c>
      <c r="AG8" s="781">
        <f t="shared" si="3"/>
        <v>2640</v>
      </c>
      <c r="AH8" s="781">
        <f t="shared" si="26"/>
        <v>2640</v>
      </c>
      <c r="AI8" s="781">
        <f t="shared" si="26"/>
        <v>2640</v>
      </c>
      <c r="AJ8" s="711" t="s">
        <v>384</v>
      </c>
      <c r="AK8" s="711" t="s">
        <v>375</v>
      </c>
      <c r="AL8" s="711" t="s">
        <v>376</v>
      </c>
      <c r="AM8" s="711" t="s">
        <v>1958</v>
      </c>
      <c r="AN8" s="711" t="s">
        <v>1</v>
      </c>
      <c r="AO8" s="711" t="s">
        <v>378</v>
      </c>
      <c r="AP8" s="711" t="s">
        <v>378</v>
      </c>
      <c r="AQ8" s="711" t="s">
        <v>378</v>
      </c>
      <c r="AR8" s="715" t="s">
        <v>1945</v>
      </c>
      <c r="AS8" s="711"/>
      <c r="AT8" s="715" t="s">
        <v>381</v>
      </c>
      <c r="AU8" s="711">
        <v>1</v>
      </c>
      <c r="AV8" s="711">
        <v>1</v>
      </c>
      <c r="AW8" s="711" t="s">
        <v>1959</v>
      </c>
      <c r="AX8" s="716">
        <v>1</v>
      </c>
      <c r="AY8" s="716">
        <v>1</v>
      </c>
      <c r="AZ8" s="716">
        <v>1</v>
      </c>
      <c r="BA8" s="499">
        <f t="shared" si="4"/>
        <v>0</v>
      </c>
      <c r="BB8" s="499">
        <f t="shared" si="5"/>
        <v>0</v>
      </c>
      <c r="BC8" s="499">
        <f t="shared" si="5"/>
        <v>0</v>
      </c>
      <c r="BD8" s="499">
        <f t="shared" si="5"/>
        <v>0</v>
      </c>
      <c r="BE8" s="499">
        <f t="shared" si="6"/>
        <v>0</v>
      </c>
      <c r="BF8" s="499">
        <f t="shared" si="6"/>
        <v>0</v>
      </c>
      <c r="BG8" s="499">
        <f t="shared" si="6"/>
        <v>0</v>
      </c>
      <c r="BH8" s="499">
        <f t="shared" si="7"/>
        <v>0</v>
      </c>
      <c r="BI8" s="499">
        <f t="shared" si="8"/>
        <v>0</v>
      </c>
      <c r="BJ8" s="499">
        <f t="shared" si="8"/>
        <v>0</v>
      </c>
      <c r="BK8" s="499">
        <f t="shared" si="8"/>
        <v>0</v>
      </c>
      <c r="BL8" s="499">
        <f t="shared" si="8"/>
        <v>0</v>
      </c>
      <c r="BM8" s="499">
        <f t="shared" si="8"/>
        <v>0</v>
      </c>
      <c r="BN8" s="499">
        <f t="shared" si="8"/>
        <v>0</v>
      </c>
      <c r="BO8" s="499">
        <f t="shared" si="9"/>
        <v>0</v>
      </c>
      <c r="BP8" s="499">
        <f t="shared" ref="BP8:BU28" si="38">BO8</f>
        <v>0</v>
      </c>
      <c r="BQ8" s="499">
        <f t="shared" si="10"/>
        <v>0</v>
      </c>
      <c r="BR8" s="499">
        <f t="shared" si="10"/>
        <v>0</v>
      </c>
      <c r="BS8" s="499">
        <f t="shared" si="10"/>
        <v>0</v>
      </c>
      <c r="BT8" s="499">
        <f t="shared" si="10"/>
        <v>0</v>
      </c>
      <c r="BU8" s="499">
        <f t="shared" si="10"/>
        <v>0</v>
      </c>
      <c r="BV8" s="503">
        <f t="shared" si="27"/>
        <v>0</v>
      </c>
      <c r="BW8" s="503">
        <f t="shared" si="11"/>
        <v>0</v>
      </c>
      <c r="BX8" s="503">
        <f t="shared" si="11"/>
        <v>0</v>
      </c>
      <c r="BY8" s="503">
        <f t="shared" si="11"/>
        <v>0</v>
      </c>
      <c r="BZ8" s="503">
        <f t="shared" si="11"/>
        <v>0</v>
      </c>
      <c r="CA8" s="503">
        <f t="shared" si="11"/>
        <v>0</v>
      </c>
      <c r="CB8" s="503">
        <f t="shared" si="11"/>
        <v>0</v>
      </c>
      <c r="CC8" s="511">
        <f t="shared" si="12"/>
        <v>0</v>
      </c>
      <c r="CD8" s="511">
        <f t="shared" si="13"/>
        <v>0</v>
      </c>
      <c r="CE8" s="511">
        <f t="shared" si="13"/>
        <v>0</v>
      </c>
      <c r="CF8" s="511">
        <f t="shared" si="13"/>
        <v>0</v>
      </c>
      <c r="CG8" s="511">
        <f t="shared" si="13"/>
        <v>0</v>
      </c>
      <c r="CH8" s="511">
        <f t="shared" si="13"/>
        <v>0</v>
      </c>
      <c r="CI8" s="511">
        <f t="shared" si="13"/>
        <v>0</v>
      </c>
      <c r="CJ8" s="511">
        <f t="shared" si="14"/>
        <v>0</v>
      </c>
      <c r="CK8" s="511">
        <f t="shared" si="15"/>
        <v>0</v>
      </c>
      <c r="CL8" s="511">
        <f t="shared" si="15"/>
        <v>0</v>
      </c>
      <c r="CM8" s="511">
        <f t="shared" si="15"/>
        <v>0</v>
      </c>
      <c r="CN8" s="511">
        <f t="shared" si="15"/>
        <v>0</v>
      </c>
      <c r="CO8" s="511">
        <f t="shared" si="15"/>
        <v>0</v>
      </c>
      <c r="CP8" s="511">
        <f t="shared" si="15"/>
        <v>0</v>
      </c>
      <c r="CQ8" s="511">
        <f t="shared" si="16"/>
        <v>0</v>
      </c>
      <c r="CR8" s="511">
        <f t="shared" si="17"/>
        <v>0</v>
      </c>
      <c r="CS8" s="511">
        <f t="shared" si="17"/>
        <v>0</v>
      </c>
      <c r="CT8" s="511">
        <f t="shared" si="17"/>
        <v>0</v>
      </c>
      <c r="CU8" s="511">
        <f t="shared" si="17"/>
        <v>0</v>
      </c>
      <c r="CV8" s="511">
        <f t="shared" si="17"/>
        <v>0</v>
      </c>
      <c r="CW8" s="511">
        <f t="shared" si="17"/>
        <v>0</v>
      </c>
      <c r="CX8" s="508">
        <f t="shared" si="28"/>
        <v>0</v>
      </c>
      <c r="CY8" s="508">
        <f t="shared" si="28"/>
        <v>0</v>
      </c>
      <c r="CZ8" s="508">
        <f t="shared" si="28"/>
        <v>0</v>
      </c>
      <c r="DA8" s="508">
        <f t="shared" si="28"/>
        <v>0</v>
      </c>
      <c r="DB8" s="508">
        <f t="shared" si="28"/>
        <v>0</v>
      </c>
      <c r="DC8" s="508">
        <f t="shared" si="18"/>
        <v>0</v>
      </c>
      <c r="DD8" s="508">
        <f t="shared" si="18"/>
        <v>0</v>
      </c>
      <c r="DE8" s="508">
        <f t="shared" si="19"/>
        <v>0</v>
      </c>
      <c r="DF8" s="508">
        <f t="shared" si="19"/>
        <v>0</v>
      </c>
      <c r="DG8" s="508">
        <f t="shared" si="19"/>
        <v>0</v>
      </c>
      <c r="DH8" s="508">
        <f t="shared" si="19"/>
        <v>0</v>
      </c>
      <c r="DI8" s="508">
        <f t="shared" si="19"/>
        <v>0</v>
      </c>
      <c r="DJ8" s="508">
        <f t="shared" si="19"/>
        <v>0</v>
      </c>
      <c r="DK8" s="508">
        <f t="shared" si="19"/>
        <v>0</v>
      </c>
      <c r="DL8" s="508">
        <f t="shared" si="20"/>
        <v>0</v>
      </c>
      <c r="DM8" s="508">
        <f t="shared" si="20"/>
        <v>0</v>
      </c>
      <c r="DN8" s="508">
        <f t="shared" si="20"/>
        <v>0</v>
      </c>
      <c r="DO8" s="508">
        <f t="shared" si="20"/>
        <v>0</v>
      </c>
      <c r="DP8" s="508">
        <f t="shared" si="20"/>
        <v>0</v>
      </c>
      <c r="DQ8" s="508">
        <f t="shared" si="20"/>
        <v>0</v>
      </c>
      <c r="DR8" s="508">
        <f t="shared" si="20"/>
        <v>0</v>
      </c>
      <c r="DS8" s="508">
        <f t="shared" si="21"/>
        <v>0</v>
      </c>
      <c r="DT8" s="508">
        <f t="shared" si="21"/>
        <v>0</v>
      </c>
      <c r="DU8" s="508">
        <f t="shared" si="21"/>
        <v>0</v>
      </c>
      <c r="DV8" s="508">
        <f t="shared" si="21"/>
        <v>0</v>
      </c>
      <c r="DW8" s="508">
        <f t="shared" si="21"/>
        <v>0</v>
      </c>
      <c r="DX8" s="508">
        <f t="shared" si="21"/>
        <v>0</v>
      </c>
      <c r="DY8" s="508">
        <f t="shared" si="21"/>
        <v>0</v>
      </c>
      <c r="DZ8" s="511">
        <f t="shared" si="22"/>
        <v>0</v>
      </c>
      <c r="EA8" s="511">
        <f t="shared" si="22"/>
        <v>0</v>
      </c>
      <c r="EB8" s="511">
        <f t="shared" si="22"/>
        <v>0</v>
      </c>
      <c r="EC8" s="511">
        <f t="shared" si="22"/>
        <v>0</v>
      </c>
      <c r="ED8" s="511">
        <f t="shared" si="22"/>
        <v>0</v>
      </c>
      <c r="EE8" s="511">
        <f t="shared" si="22"/>
        <v>0</v>
      </c>
      <c r="EF8" s="511">
        <f t="shared" si="22"/>
        <v>0</v>
      </c>
      <c r="EG8" s="511">
        <f t="shared" si="23"/>
        <v>0</v>
      </c>
      <c r="EH8" s="511">
        <f t="shared" si="23"/>
        <v>0</v>
      </c>
      <c r="EI8" s="511">
        <f t="shared" si="23"/>
        <v>0</v>
      </c>
      <c r="EJ8" s="511">
        <f t="shared" si="23"/>
        <v>0</v>
      </c>
      <c r="EK8" s="511">
        <f t="shared" si="23"/>
        <v>0</v>
      </c>
      <c r="EL8" s="511">
        <f t="shared" si="23"/>
        <v>0</v>
      </c>
      <c r="EM8" s="511">
        <f t="shared" si="23"/>
        <v>0</v>
      </c>
      <c r="EN8" s="511">
        <f t="shared" si="24"/>
        <v>0</v>
      </c>
      <c r="EO8" s="511">
        <f t="shared" si="24"/>
        <v>0</v>
      </c>
      <c r="EP8" s="511">
        <f t="shared" si="24"/>
        <v>0</v>
      </c>
      <c r="EQ8" s="511">
        <f t="shared" si="24"/>
        <v>0</v>
      </c>
      <c r="ER8" s="511">
        <f t="shared" si="24"/>
        <v>0</v>
      </c>
      <c r="ES8" s="511">
        <f t="shared" si="24"/>
        <v>0</v>
      </c>
      <c r="ET8" s="511">
        <f t="shared" si="24"/>
        <v>0</v>
      </c>
      <c r="EU8" s="777">
        <f t="shared" si="29"/>
        <v>18480</v>
      </c>
      <c r="EV8" s="728">
        <f t="shared" si="30"/>
        <v>0</v>
      </c>
      <c r="EW8" s="728">
        <f t="shared" si="31"/>
        <v>0</v>
      </c>
      <c r="EX8" s="728">
        <f t="shared" si="32"/>
        <v>0</v>
      </c>
      <c r="EY8" s="728">
        <f t="shared" si="33"/>
        <v>0</v>
      </c>
      <c r="EZ8" s="777">
        <f t="shared" si="34"/>
        <v>0</v>
      </c>
      <c r="FA8" s="777">
        <f t="shared" si="35"/>
        <v>0</v>
      </c>
      <c r="FB8" s="778">
        <f t="shared" si="36"/>
        <v>0</v>
      </c>
      <c r="FD8" s="10" t="b">
        <f t="shared" si="25"/>
        <v>1</v>
      </c>
      <c r="FE8" s="10" t="b">
        <f t="shared" si="25"/>
        <v>1</v>
      </c>
      <c r="FF8" s="10" t="b">
        <f t="shared" si="25"/>
        <v>1</v>
      </c>
      <c r="FG8" s="10" t="b">
        <f t="shared" si="25"/>
        <v>1</v>
      </c>
      <c r="FH8" s="10" t="b">
        <f t="shared" si="25"/>
        <v>1</v>
      </c>
      <c r="FI8" s="10" t="b">
        <f t="shared" si="25"/>
        <v>1</v>
      </c>
      <c r="FJ8" s="10" t="b">
        <f t="shared" si="25"/>
        <v>1</v>
      </c>
    </row>
    <row r="9" spans="1:168" s="10" customFormat="1" ht="12.75" hidden="1" customHeight="1">
      <c r="A9" s="662">
        <v>3</v>
      </c>
      <c r="B9" s="789" t="s">
        <v>1965</v>
      </c>
      <c r="C9" s="789" t="s">
        <v>1965</v>
      </c>
      <c r="D9" s="715" t="s">
        <v>1966</v>
      </c>
      <c r="E9" s="662" t="s">
        <v>331</v>
      </c>
      <c r="F9" s="704" t="s">
        <v>372</v>
      </c>
      <c r="G9" s="704">
        <v>0</v>
      </c>
      <c r="H9" s="704"/>
      <c r="I9" s="704">
        <f t="shared" si="2"/>
        <v>0</v>
      </c>
      <c r="J9" s="704">
        <v>-0.83289999999999997</v>
      </c>
      <c r="K9" s="704">
        <f>I9*0.5</f>
        <v>0</v>
      </c>
      <c r="L9" s="711" t="s">
        <v>1967</v>
      </c>
      <c r="M9" s="707" t="s">
        <v>1968</v>
      </c>
      <c r="N9" s="707">
        <f t="shared" ref="N9:N10" si="39">I9</f>
        <v>0</v>
      </c>
      <c r="O9" s="707">
        <v>0</v>
      </c>
      <c r="P9" s="707">
        <v>6.9531999999999998</v>
      </c>
      <c r="Q9" s="1022">
        <v>34.264824491684585</v>
      </c>
      <c r="R9" s="872">
        <v>1.3711999093251345E-3</v>
      </c>
      <c r="S9" s="1022">
        <v>0</v>
      </c>
      <c r="T9" s="711" t="s">
        <v>1969</v>
      </c>
      <c r="U9" s="712"/>
      <c r="V9" s="1124">
        <v>4</v>
      </c>
      <c r="W9" s="790"/>
      <c r="X9" s="790"/>
      <c r="Y9" s="790"/>
      <c r="Z9" s="790"/>
      <c r="AA9" s="790"/>
      <c r="AB9" s="790"/>
      <c r="AC9" s="781">
        <f>ROUND(AC8*$V9,-2)*0.5</f>
        <v>5300</v>
      </c>
      <c r="AD9" s="781">
        <f t="shared" ref="AD9" si="40">ROUND(AD8*$V9,-2)*0.5</f>
        <v>5300</v>
      </c>
      <c r="AE9" s="781">
        <v>0</v>
      </c>
      <c r="AF9" s="781">
        <v>0</v>
      </c>
      <c r="AG9" s="781">
        <v>0</v>
      </c>
      <c r="AH9" s="781">
        <f t="shared" si="26"/>
        <v>0</v>
      </c>
      <c r="AI9" s="781">
        <f t="shared" si="26"/>
        <v>0</v>
      </c>
      <c r="AJ9" s="711" t="s">
        <v>384</v>
      </c>
      <c r="AK9" s="711" t="s">
        <v>375</v>
      </c>
      <c r="AL9" s="711" t="s">
        <v>376</v>
      </c>
      <c r="AM9" s="711" t="s">
        <v>1958</v>
      </c>
      <c r="AN9" s="711" t="s">
        <v>1</v>
      </c>
      <c r="AO9" s="711" t="s">
        <v>1970</v>
      </c>
      <c r="AP9" s="711" t="s">
        <v>1702</v>
      </c>
      <c r="AQ9" s="711" t="s">
        <v>339</v>
      </c>
      <c r="AR9" s="715" t="s">
        <v>1945</v>
      </c>
      <c r="AS9" s="715"/>
      <c r="AT9" s="715" t="s">
        <v>381</v>
      </c>
      <c r="AU9" s="711">
        <v>12</v>
      </c>
      <c r="AV9" s="711">
        <v>1</v>
      </c>
      <c r="AW9" s="711" t="s">
        <v>1971</v>
      </c>
      <c r="AX9" s="716">
        <v>1</v>
      </c>
      <c r="AY9" s="716">
        <v>1</v>
      </c>
      <c r="AZ9" s="716">
        <v>0</v>
      </c>
      <c r="BA9" s="499">
        <f t="shared" si="4"/>
        <v>0</v>
      </c>
      <c r="BB9" s="499">
        <f t="shared" si="5"/>
        <v>0</v>
      </c>
      <c r="BC9" s="499">
        <f t="shared" si="5"/>
        <v>0</v>
      </c>
      <c r="BD9" s="499">
        <f t="shared" si="5"/>
        <v>0</v>
      </c>
      <c r="BE9" s="499">
        <f t="shared" si="6"/>
        <v>0</v>
      </c>
      <c r="BF9" s="499">
        <f t="shared" si="6"/>
        <v>0</v>
      </c>
      <c r="BG9" s="499">
        <f t="shared" si="6"/>
        <v>0</v>
      </c>
      <c r="BH9" s="499">
        <f t="shared" si="7"/>
        <v>-0.83289999999999997</v>
      </c>
      <c r="BI9" s="499">
        <f t="shared" si="8"/>
        <v>-0.83289999999999997</v>
      </c>
      <c r="BJ9" s="499">
        <f t="shared" si="8"/>
        <v>-0.83289999999999997</v>
      </c>
      <c r="BK9" s="499">
        <f t="shared" si="8"/>
        <v>-0.83289999999999997</v>
      </c>
      <c r="BL9" s="499">
        <f t="shared" si="8"/>
        <v>-0.83289999999999997</v>
      </c>
      <c r="BM9" s="499">
        <f t="shared" si="8"/>
        <v>-0.83289999999999997</v>
      </c>
      <c r="BN9" s="499">
        <f t="shared" si="8"/>
        <v>-0.83289999999999997</v>
      </c>
      <c r="BO9" s="499">
        <f t="shared" si="9"/>
        <v>0</v>
      </c>
      <c r="BP9" s="499">
        <f t="shared" si="38"/>
        <v>0</v>
      </c>
      <c r="BQ9" s="499">
        <f t="shared" si="10"/>
        <v>0</v>
      </c>
      <c r="BR9" s="499">
        <f t="shared" si="10"/>
        <v>0</v>
      </c>
      <c r="BS9" s="499">
        <f t="shared" si="10"/>
        <v>0</v>
      </c>
      <c r="BT9" s="499">
        <f t="shared" si="10"/>
        <v>0</v>
      </c>
      <c r="BU9" s="499">
        <f t="shared" si="10"/>
        <v>0</v>
      </c>
      <c r="BV9" s="503">
        <f t="shared" si="27"/>
        <v>6.9531999999999998</v>
      </c>
      <c r="BW9" s="503">
        <f t="shared" si="11"/>
        <v>6.9531999999999998</v>
      </c>
      <c r="BX9" s="503">
        <f t="shared" si="11"/>
        <v>6.9531999999999998</v>
      </c>
      <c r="BY9" s="503">
        <f t="shared" si="11"/>
        <v>6.9531999999999998</v>
      </c>
      <c r="BZ9" s="503">
        <f t="shared" si="11"/>
        <v>6.9531999999999998</v>
      </c>
      <c r="CA9" s="503">
        <f t="shared" si="11"/>
        <v>6.9531999999999998</v>
      </c>
      <c r="CB9" s="503">
        <f t="shared" si="11"/>
        <v>6.9531999999999998</v>
      </c>
      <c r="CC9" s="511">
        <f t="shared" si="12"/>
        <v>34.264824491684585</v>
      </c>
      <c r="CD9" s="511">
        <f t="shared" si="13"/>
        <v>34.264824491684585</v>
      </c>
      <c r="CE9" s="511">
        <f t="shared" si="13"/>
        <v>34.264824491684585</v>
      </c>
      <c r="CF9" s="511">
        <f t="shared" si="13"/>
        <v>34.264824491684585</v>
      </c>
      <c r="CG9" s="511">
        <f t="shared" si="13"/>
        <v>34.264824491684585</v>
      </c>
      <c r="CH9" s="511">
        <f t="shared" si="13"/>
        <v>34.264824491684585</v>
      </c>
      <c r="CI9" s="511">
        <f t="shared" si="13"/>
        <v>34.264824491684585</v>
      </c>
      <c r="CJ9" s="511">
        <f t="shared" si="14"/>
        <v>1.3711999093251345E-3</v>
      </c>
      <c r="CK9" s="511">
        <f t="shared" si="15"/>
        <v>1.3711999093251345E-3</v>
      </c>
      <c r="CL9" s="511">
        <f t="shared" si="15"/>
        <v>1.3711999093251345E-3</v>
      </c>
      <c r="CM9" s="511">
        <f t="shared" si="15"/>
        <v>1.3711999093251345E-3</v>
      </c>
      <c r="CN9" s="511">
        <f t="shared" si="15"/>
        <v>1.3711999093251345E-3</v>
      </c>
      <c r="CO9" s="511">
        <f t="shared" si="15"/>
        <v>1.3711999093251345E-3</v>
      </c>
      <c r="CP9" s="511">
        <f t="shared" si="15"/>
        <v>1.3711999093251345E-3</v>
      </c>
      <c r="CQ9" s="511">
        <f t="shared" si="16"/>
        <v>0</v>
      </c>
      <c r="CR9" s="511">
        <f t="shared" si="17"/>
        <v>0</v>
      </c>
      <c r="CS9" s="511">
        <f t="shared" si="17"/>
        <v>0</v>
      </c>
      <c r="CT9" s="511">
        <f t="shared" si="17"/>
        <v>0</v>
      </c>
      <c r="CU9" s="511">
        <f t="shared" si="17"/>
        <v>0</v>
      </c>
      <c r="CV9" s="511">
        <f t="shared" si="17"/>
        <v>0</v>
      </c>
      <c r="CW9" s="511">
        <f t="shared" si="17"/>
        <v>0</v>
      </c>
      <c r="CX9" s="508">
        <f t="shared" si="28"/>
        <v>0</v>
      </c>
      <c r="CY9" s="508">
        <f t="shared" si="28"/>
        <v>0</v>
      </c>
      <c r="CZ9" s="508">
        <f t="shared" si="28"/>
        <v>0</v>
      </c>
      <c r="DA9" s="508">
        <f t="shared" si="28"/>
        <v>0</v>
      </c>
      <c r="DB9" s="508">
        <f t="shared" si="28"/>
        <v>0</v>
      </c>
      <c r="DC9" s="508">
        <f t="shared" si="18"/>
        <v>0</v>
      </c>
      <c r="DD9" s="508">
        <f t="shared" si="18"/>
        <v>0</v>
      </c>
      <c r="DE9" s="508">
        <f t="shared" si="19"/>
        <v>-4414.37</v>
      </c>
      <c r="DF9" s="508">
        <f t="shared" si="19"/>
        <v>-4414.37</v>
      </c>
      <c r="DG9" s="508">
        <f t="shared" si="19"/>
        <v>0</v>
      </c>
      <c r="DH9" s="508">
        <f t="shared" si="19"/>
        <v>0</v>
      </c>
      <c r="DI9" s="508">
        <f t="shared" si="19"/>
        <v>0</v>
      </c>
      <c r="DJ9" s="508">
        <f t="shared" si="19"/>
        <v>0</v>
      </c>
      <c r="DK9" s="508">
        <f t="shared" si="19"/>
        <v>0</v>
      </c>
      <c r="DL9" s="508">
        <f t="shared" si="20"/>
        <v>0</v>
      </c>
      <c r="DM9" s="508">
        <f t="shared" si="20"/>
        <v>0</v>
      </c>
      <c r="DN9" s="508">
        <f t="shared" si="20"/>
        <v>0</v>
      </c>
      <c r="DO9" s="508">
        <f t="shared" si="20"/>
        <v>0</v>
      </c>
      <c r="DP9" s="508">
        <f t="shared" si="20"/>
        <v>0</v>
      </c>
      <c r="DQ9" s="508">
        <f t="shared" si="20"/>
        <v>0</v>
      </c>
      <c r="DR9" s="508">
        <f t="shared" si="20"/>
        <v>0</v>
      </c>
      <c r="DS9" s="508">
        <f t="shared" si="21"/>
        <v>36851.96</v>
      </c>
      <c r="DT9" s="508">
        <f t="shared" si="21"/>
        <v>36851.96</v>
      </c>
      <c r="DU9" s="508">
        <f t="shared" si="21"/>
        <v>0</v>
      </c>
      <c r="DV9" s="508">
        <f t="shared" si="21"/>
        <v>0</v>
      </c>
      <c r="DW9" s="508">
        <f t="shared" si="21"/>
        <v>0</v>
      </c>
      <c r="DX9" s="508">
        <f t="shared" si="21"/>
        <v>0</v>
      </c>
      <c r="DY9" s="508">
        <f t="shared" si="21"/>
        <v>0</v>
      </c>
      <c r="DZ9" s="511">
        <f t="shared" si="22"/>
        <v>181603.5698059283</v>
      </c>
      <c r="EA9" s="511">
        <f t="shared" si="22"/>
        <v>181603.5698059283</v>
      </c>
      <c r="EB9" s="511">
        <f t="shared" si="22"/>
        <v>0</v>
      </c>
      <c r="EC9" s="511">
        <f t="shared" si="22"/>
        <v>0</v>
      </c>
      <c r="ED9" s="511">
        <f t="shared" si="22"/>
        <v>0</v>
      </c>
      <c r="EE9" s="511">
        <f t="shared" si="22"/>
        <v>0</v>
      </c>
      <c r="EF9" s="511">
        <f t="shared" si="22"/>
        <v>0</v>
      </c>
      <c r="EG9" s="511">
        <f t="shared" si="23"/>
        <v>7.2673595194232128</v>
      </c>
      <c r="EH9" s="511">
        <f t="shared" si="23"/>
        <v>7.2673595194232128</v>
      </c>
      <c r="EI9" s="511">
        <f t="shared" si="23"/>
        <v>0</v>
      </c>
      <c r="EJ9" s="511">
        <f t="shared" si="23"/>
        <v>0</v>
      </c>
      <c r="EK9" s="511">
        <f t="shared" si="23"/>
        <v>0</v>
      </c>
      <c r="EL9" s="511">
        <f t="shared" si="23"/>
        <v>0</v>
      </c>
      <c r="EM9" s="511">
        <f t="shared" si="23"/>
        <v>0</v>
      </c>
      <c r="EN9" s="511">
        <f t="shared" si="24"/>
        <v>0</v>
      </c>
      <c r="EO9" s="511">
        <f t="shared" si="24"/>
        <v>0</v>
      </c>
      <c r="EP9" s="511">
        <f t="shared" si="24"/>
        <v>0</v>
      </c>
      <c r="EQ9" s="511">
        <f t="shared" si="24"/>
        <v>0</v>
      </c>
      <c r="ER9" s="511">
        <f t="shared" si="24"/>
        <v>0</v>
      </c>
      <c r="ES9" s="511">
        <f t="shared" si="24"/>
        <v>0</v>
      </c>
      <c r="ET9" s="511">
        <f t="shared" si="24"/>
        <v>0</v>
      </c>
      <c r="EU9" s="777">
        <f t="shared" si="29"/>
        <v>10600</v>
      </c>
      <c r="EV9" s="728">
        <f t="shared" si="30"/>
        <v>0</v>
      </c>
      <c r="EW9" s="728">
        <f t="shared" si="31"/>
        <v>-8828.74</v>
      </c>
      <c r="EX9" s="728">
        <f t="shared" si="32"/>
        <v>0</v>
      </c>
      <c r="EY9" s="728">
        <f t="shared" si="33"/>
        <v>73703.92</v>
      </c>
      <c r="EZ9" s="777">
        <f t="shared" si="34"/>
        <v>363207.1396118566</v>
      </c>
      <c r="FA9" s="777">
        <f t="shared" si="35"/>
        <v>14.534719038846426</v>
      </c>
      <c r="FB9" s="778">
        <f t="shared" si="36"/>
        <v>0</v>
      </c>
      <c r="FD9" s="10" t="b">
        <f t="shared" si="25"/>
        <v>1</v>
      </c>
      <c r="FE9" s="10" t="b">
        <f t="shared" si="25"/>
        <v>1</v>
      </c>
      <c r="FF9" s="10" t="b">
        <f t="shared" si="25"/>
        <v>1</v>
      </c>
      <c r="FG9" s="10" t="b">
        <f t="shared" si="25"/>
        <v>1</v>
      </c>
      <c r="FH9" s="10" t="b">
        <f t="shared" si="25"/>
        <v>1</v>
      </c>
      <c r="FI9" s="10" t="b">
        <f t="shared" si="25"/>
        <v>1</v>
      </c>
      <c r="FJ9" s="10" t="b">
        <f t="shared" si="25"/>
        <v>1</v>
      </c>
    </row>
    <row r="10" spans="1:168" s="10" customFormat="1" ht="12.75" hidden="1" customHeight="1">
      <c r="A10" s="662">
        <v>4</v>
      </c>
      <c r="B10" s="789" t="s">
        <v>1965</v>
      </c>
      <c r="C10" s="789" t="s">
        <v>1965</v>
      </c>
      <c r="D10" s="715" t="s">
        <v>1972</v>
      </c>
      <c r="E10" s="662" t="s">
        <v>331</v>
      </c>
      <c r="F10" s="704" t="s">
        <v>372</v>
      </c>
      <c r="G10" s="704">
        <v>0</v>
      </c>
      <c r="H10" s="704"/>
      <c r="I10" s="704">
        <f t="shared" si="2"/>
        <v>0</v>
      </c>
      <c r="J10" s="704">
        <v>-6.9408333333333336E-2</v>
      </c>
      <c r="K10" s="704">
        <f t="shared" ref="K10" si="41">I10*0.5</f>
        <v>0</v>
      </c>
      <c r="L10" s="711" t="s">
        <v>1967</v>
      </c>
      <c r="M10" s="707" t="s">
        <v>1968</v>
      </c>
      <c r="N10" s="707">
        <f t="shared" si="39"/>
        <v>0</v>
      </c>
      <c r="O10" s="707">
        <v>0</v>
      </c>
      <c r="P10" s="707">
        <f>P9</f>
        <v>6.9531999999999998</v>
      </c>
      <c r="Q10" s="1022">
        <v>8.547825549497361</v>
      </c>
      <c r="R10" s="872">
        <v>1.0291354805041944E-3</v>
      </c>
      <c r="S10" s="1022">
        <v>0</v>
      </c>
      <c r="T10" s="711" t="s">
        <v>1969</v>
      </c>
      <c r="U10" s="712"/>
      <c r="V10" s="1124">
        <f>V9*1/4</f>
        <v>1</v>
      </c>
      <c r="W10" s="790"/>
      <c r="X10" s="790"/>
      <c r="Y10" s="790"/>
      <c r="Z10" s="790"/>
      <c r="AA10" s="790"/>
      <c r="AB10" s="790"/>
      <c r="AC10" s="781">
        <v>0</v>
      </c>
      <c r="AD10" s="781">
        <v>0</v>
      </c>
      <c r="AE10" s="781">
        <f>ROUND(AE8*$V10,-2)*0.5</f>
        <v>1300</v>
      </c>
      <c r="AF10" s="781">
        <f t="shared" ref="AF10:AG10" si="42">ROUND(AF8*$V10,-2)*0.5</f>
        <v>1300</v>
      </c>
      <c r="AG10" s="781">
        <f t="shared" si="42"/>
        <v>1300</v>
      </c>
      <c r="AH10" s="781">
        <f t="shared" si="26"/>
        <v>1300</v>
      </c>
      <c r="AI10" s="781">
        <f t="shared" si="26"/>
        <v>1300</v>
      </c>
      <c r="AJ10" s="711" t="s">
        <v>384</v>
      </c>
      <c r="AK10" s="711" t="s">
        <v>375</v>
      </c>
      <c r="AL10" s="711" t="s">
        <v>376</v>
      </c>
      <c r="AM10" s="711" t="s">
        <v>1958</v>
      </c>
      <c r="AN10" s="711" t="s">
        <v>1</v>
      </c>
      <c r="AO10" s="711" t="s">
        <v>1972</v>
      </c>
      <c r="AP10" s="711" t="s">
        <v>1702</v>
      </c>
      <c r="AQ10" s="711" t="s">
        <v>339</v>
      </c>
      <c r="AR10" s="715" t="s">
        <v>1945</v>
      </c>
      <c r="AS10" s="715"/>
      <c r="AT10" s="715" t="s">
        <v>381</v>
      </c>
      <c r="AU10" s="711">
        <v>12</v>
      </c>
      <c r="AV10" s="711">
        <v>5</v>
      </c>
      <c r="AW10" s="711" t="s">
        <v>1973</v>
      </c>
      <c r="AX10" s="716">
        <v>1</v>
      </c>
      <c r="AY10" s="716">
        <v>1</v>
      </c>
      <c r="AZ10" s="716">
        <v>0</v>
      </c>
      <c r="BA10" s="499">
        <f t="shared" si="4"/>
        <v>0</v>
      </c>
      <c r="BB10" s="499">
        <f t="shared" si="5"/>
        <v>0</v>
      </c>
      <c r="BC10" s="499">
        <f t="shared" si="5"/>
        <v>0</v>
      </c>
      <c r="BD10" s="499">
        <f t="shared" si="5"/>
        <v>0</v>
      </c>
      <c r="BE10" s="499">
        <f t="shared" si="6"/>
        <v>0</v>
      </c>
      <c r="BF10" s="499">
        <f t="shared" si="6"/>
        <v>0</v>
      </c>
      <c r="BG10" s="499">
        <f t="shared" si="6"/>
        <v>0</v>
      </c>
      <c r="BH10" s="499">
        <f t="shared" si="7"/>
        <v>-6.9408333333333336E-2</v>
      </c>
      <c r="BI10" s="499">
        <f t="shared" si="8"/>
        <v>-6.9408333333333336E-2</v>
      </c>
      <c r="BJ10" s="499">
        <f t="shared" si="8"/>
        <v>-6.9408333333333336E-2</v>
      </c>
      <c r="BK10" s="499">
        <f t="shared" si="8"/>
        <v>-6.9408333333333336E-2</v>
      </c>
      <c r="BL10" s="499">
        <f t="shared" si="8"/>
        <v>-6.9408333333333336E-2</v>
      </c>
      <c r="BM10" s="499">
        <f t="shared" si="8"/>
        <v>-6.9408333333333336E-2</v>
      </c>
      <c r="BN10" s="499">
        <f t="shared" si="8"/>
        <v>-6.9408333333333336E-2</v>
      </c>
      <c r="BO10" s="499">
        <f t="shared" si="9"/>
        <v>0</v>
      </c>
      <c r="BP10" s="499">
        <f t="shared" si="38"/>
        <v>0</v>
      </c>
      <c r="BQ10" s="499">
        <f t="shared" si="10"/>
        <v>0</v>
      </c>
      <c r="BR10" s="499">
        <f t="shared" si="10"/>
        <v>0</v>
      </c>
      <c r="BS10" s="499">
        <f t="shared" si="10"/>
        <v>0</v>
      </c>
      <c r="BT10" s="499">
        <f t="shared" si="10"/>
        <v>0</v>
      </c>
      <c r="BU10" s="499">
        <f t="shared" si="10"/>
        <v>0</v>
      </c>
      <c r="BV10" s="503">
        <f t="shared" si="27"/>
        <v>6.9531999999999998</v>
      </c>
      <c r="BW10" s="503">
        <f t="shared" si="11"/>
        <v>6.9531999999999998</v>
      </c>
      <c r="BX10" s="503">
        <f t="shared" si="11"/>
        <v>6.9531999999999998</v>
      </c>
      <c r="BY10" s="503">
        <f t="shared" si="11"/>
        <v>6.9531999999999998</v>
      </c>
      <c r="BZ10" s="503">
        <f t="shared" si="11"/>
        <v>6.9531999999999998</v>
      </c>
      <c r="CA10" s="503">
        <f t="shared" si="11"/>
        <v>6.9531999999999998</v>
      </c>
      <c r="CB10" s="503">
        <f t="shared" si="11"/>
        <v>6.9531999999999998</v>
      </c>
      <c r="CC10" s="511">
        <f t="shared" si="12"/>
        <v>8.547825549497361</v>
      </c>
      <c r="CD10" s="511">
        <f t="shared" si="13"/>
        <v>8.547825549497361</v>
      </c>
      <c r="CE10" s="511">
        <f t="shared" si="13"/>
        <v>8.547825549497361</v>
      </c>
      <c r="CF10" s="511">
        <f t="shared" si="13"/>
        <v>8.547825549497361</v>
      </c>
      <c r="CG10" s="511">
        <f t="shared" si="13"/>
        <v>8.547825549497361</v>
      </c>
      <c r="CH10" s="511">
        <f t="shared" si="13"/>
        <v>8.547825549497361</v>
      </c>
      <c r="CI10" s="511">
        <f t="shared" si="13"/>
        <v>8.547825549497361</v>
      </c>
      <c r="CJ10" s="511">
        <f t="shared" si="14"/>
        <v>1.0291354805041944E-3</v>
      </c>
      <c r="CK10" s="511">
        <f t="shared" si="15"/>
        <v>1.0291354805041944E-3</v>
      </c>
      <c r="CL10" s="511">
        <f t="shared" si="15"/>
        <v>1.0291354805041944E-3</v>
      </c>
      <c r="CM10" s="511">
        <f t="shared" si="15"/>
        <v>1.0291354805041944E-3</v>
      </c>
      <c r="CN10" s="511">
        <f t="shared" si="15"/>
        <v>1.0291354805041944E-3</v>
      </c>
      <c r="CO10" s="511">
        <f t="shared" si="15"/>
        <v>1.0291354805041944E-3</v>
      </c>
      <c r="CP10" s="511">
        <f t="shared" si="15"/>
        <v>1.0291354805041944E-3</v>
      </c>
      <c r="CQ10" s="511">
        <f t="shared" si="16"/>
        <v>0</v>
      </c>
      <c r="CR10" s="511">
        <f t="shared" si="17"/>
        <v>0</v>
      </c>
      <c r="CS10" s="511">
        <f t="shared" si="17"/>
        <v>0</v>
      </c>
      <c r="CT10" s="511">
        <f t="shared" si="17"/>
        <v>0</v>
      </c>
      <c r="CU10" s="511">
        <f t="shared" si="17"/>
        <v>0</v>
      </c>
      <c r="CV10" s="511">
        <f t="shared" si="17"/>
        <v>0</v>
      </c>
      <c r="CW10" s="511">
        <f t="shared" si="17"/>
        <v>0</v>
      </c>
      <c r="CX10" s="508">
        <f t="shared" si="28"/>
        <v>0</v>
      </c>
      <c r="CY10" s="508">
        <f t="shared" si="28"/>
        <v>0</v>
      </c>
      <c r="CZ10" s="508">
        <f t="shared" si="28"/>
        <v>0</v>
      </c>
      <c r="DA10" s="508">
        <f t="shared" si="28"/>
        <v>0</v>
      </c>
      <c r="DB10" s="508">
        <f t="shared" si="28"/>
        <v>0</v>
      </c>
      <c r="DC10" s="508">
        <f t="shared" si="18"/>
        <v>0</v>
      </c>
      <c r="DD10" s="508">
        <f t="shared" si="18"/>
        <v>0</v>
      </c>
      <c r="DE10" s="508">
        <f t="shared" si="19"/>
        <v>0</v>
      </c>
      <c r="DF10" s="508">
        <f t="shared" si="19"/>
        <v>0</v>
      </c>
      <c r="DG10" s="508">
        <f t="shared" si="19"/>
        <v>-90.230833333333337</v>
      </c>
      <c r="DH10" s="508">
        <f t="shared" si="19"/>
        <v>-90.230833333333337</v>
      </c>
      <c r="DI10" s="508">
        <f t="shared" si="19"/>
        <v>-90.230833333333337</v>
      </c>
      <c r="DJ10" s="508">
        <f t="shared" si="19"/>
        <v>-90.230833333333337</v>
      </c>
      <c r="DK10" s="508">
        <f t="shared" si="19"/>
        <v>-90.230833333333337</v>
      </c>
      <c r="DL10" s="508">
        <f t="shared" si="20"/>
        <v>0</v>
      </c>
      <c r="DM10" s="508">
        <f t="shared" si="20"/>
        <v>0</v>
      </c>
      <c r="DN10" s="508">
        <f t="shared" si="20"/>
        <v>0</v>
      </c>
      <c r="DO10" s="508">
        <f t="shared" si="20"/>
        <v>0</v>
      </c>
      <c r="DP10" s="508">
        <f t="shared" si="20"/>
        <v>0</v>
      </c>
      <c r="DQ10" s="508">
        <f t="shared" si="20"/>
        <v>0</v>
      </c>
      <c r="DR10" s="508">
        <f t="shared" si="20"/>
        <v>0</v>
      </c>
      <c r="DS10" s="508">
        <f t="shared" si="21"/>
        <v>0</v>
      </c>
      <c r="DT10" s="508">
        <f t="shared" si="21"/>
        <v>0</v>
      </c>
      <c r="DU10" s="508">
        <f t="shared" si="21"/>
        <v>9039.16</v>
      </c>
      <c r="DV10" s="508">
        <f t="shared" si="21"/>
        <v>9039.16</v>
      </c>
      <c r="DW10" s="508">
        <f t="shared" si="21"/>
        <v>9039.16</v>
      </c>
      <c r="DX10" s="508">
        <f t="shared" si="21"/>
        <v>9039.16</v>
      </c>
      <c r="DY10" s="508">
        <f t="shared" si="21"/>
        <v>9039.16</v>
      </c>
      <c r="DZ10" s="511">
        <f t="shared" si="22"/>
        <v>0</v>
      </c>
      <c r="EA10" s="511">
        <f t="shared" si="22"/>
        <v>0</v>
      </c>
      <c r="EB10" s="511">
        <f t="shared" si="22"/>
        <v>11112.173214346569</v>
      </c>
      <c r="EC10" s="511">
        <f t="shared" si="22"/>
        <v>11112.173214346569</v>
      </c>
      <c r="ED10" s="511">
        <f t="shared" si="22"/>
        <v>11112.173214346569</v>
      </c>
      <c r="EE10" s="511">
        <f t="shared" si="22"/>
        <v>11112.173214346569</v>
      </c>
      <c r="EF10" s="511">
        <f t="shared" si="22"/>
        <v>11112.173214346569</v>
      </c>
      <c r="EG10" s="511">
        <f t="shared" si="23"/>
        <v>0</v>
      </c>
      <c r="EH10" s="511">
        <f t="shared" si="23"/>
        <v>0</v>
      </c>
      <c r="EI10" s="511">
        <f t="shared" si="23"/>
        <v>1.3378761246554527</v>
      </c>
      <c r="EJ10" s="511">
        <f t="shared" si="23"/>
        <v>1.3378761246554527</v>
      </c>
      <c r="EK10" s="511">
        <f t="shared" si="23"/>
        <v>1.3378761246554527</v>
      </c>
      <c r="EL10" s="511">
        <f t="shared" si="23"/>
        <v>1.3378761246554527</v>
      </c>
      <c r="EM10" s="511">
        <f t="shared" si="23"/>
        <v>1.3378761246554527</v>
      </c>
      <c r="EN10" s="511">
        <f t="shared" si="24"/>
        <v>0</v>
      </c>
      <c r="EO10" s="511">
        <f t="shared" si="24"/>
        <v>0</v>
      </c>
      <c r="EP10" s="511">
        <f t="shared" si="24"/>
        <v>0</v>
      </c>
      <c r="EQ10" s="511">
        <f t="shared" si="24"/>
        <v>0</v>
      </c>
      <c r="ER10" s="511">
        <f t="shared" si="24"/>
        <v>0</v>
      </c>
      <c r="ES10" s="511">
        <f t="shared" si="24"/>
        <v>0</v>
      </c>
      <c r="ET10" s="511">
        <f t="shared" si="24"/>
        <v>0</v>
      </c>
      <c r="EU10" s="777">
        <f t="shared" si="29"/>
        <v>6500</v>
      </c>
      <c r="EV10" s="728">
        <f t="shared" si="30"/>
        <v>0</v>
      </c>
      <c r="EW10" s="728">
        <f t="shared" si="31"/>
        <v>-451.1541666666667</v>
      </c>
      <c r="EX10" s="728">
        <f t="shared" si="32"/>
        <v>0</v>
      </c>
      <c r="EY10" s="728">
        <f t="shared" si="33"/>
        <v>45195.8</v>
      </c>
      <c r="EZ10" s="777">
        <f t="shared" si="34"/>
        <v>55560.866071732846</v>
      </c>
      <c r="FA10" s="777">
        <f t="shared" si="35"/>
        <v>6.6893806232772635</v>
      </c>
      <c r="FB10" s="778">
        <f t="shared" si="36"/>
        <v>0</v>
      </c>
      <c r="FD10" s="10" t="b">
        <f t="shared" si="25"/>
        <v>1</v>
      </c>
      <c r="FE10" s="10" t="b">
        <f t="shared" si="25"/>
        <v>1</v>
      </c>
      <c r="FF10" s="10" t="b">
        <f t="shared" si="25"/>
        <v>1</v>
      </c>
      <c r="FG10" s="10" t="b">
        <f t="shared" si="25"/>
        <v>1</v>
      </c>
      <c r="FH10" s="10" t="b">
        <f t="shared" si="25"/>
        <v>1</v>
      </c>
      <c r="FI10" s="10" t="b">
        <f t="shared" si="25"/>
        <v>1</v>
      </c>
      <c r="FJ10" s="10" t="b">
        <f t="shared" si="25"/>
        <v>1</v>
      </c>
    </row>
    <row r="11" spans="1:168" s="10" customFormat="1" ht="12.75" hidden="1" customHeight="1">
      <c r="A11" s="662">
        <v>5</v>
      </c>
      <c r="B11" s="789" t="s">
        <v>561</v>
      </c>
      <c r="C11" s="789" t="s">
        <v>561</v>
      </c>
      <c r="D11" s="715" t="s">
        <v>1966</v>
      </c>
      <c r="E11" s="662" t="s">
        <v>331</v>
      </c>
      <c r="F11" s="704" t="s">
        <v>372</v>
      </c>
      <c r="G11" s="704">
        <v>0</v>
      </c>
      <c r="H11" s="704"/>
      <c r="I11" s="704">
        <f t="shared" si="2"/>
        <v>0</v>
      </c>
      <c r="J11" s="704">
        <v>-0.83289999999999997</v>
      </c>
      <c r="K11" s="704">
        <f>I11*0.5</f>
        <v>0</v>
      </c>
      <c r="L11" s="711" t="s">
        <v>1967</v>
      </c>
      <c r="M11" s="707" t="s">
        <v>1968</v>
      </c>
      <c r="N11" s="707">
        <f>I11</f>
        <v>0</v>
      </c>
      <c r="O11" s="707">
        <v>0</v>
      </c>
      <c r="P11" s="707">
        <v>6.9531999999999998</v>
      </c>
      <c r="Q11" s="1022">
        <v>34.264824491684585</v>
      </c>
      <c r="R11" s="872">
        <v>1.3711999093251345E-3</v>
      </c>
      <c r="S11" s="1022">
        <v>0</v>
      </c>
      <c r="T11" s="711" t="s">
        <v>1969</v>
      </c>
      <c r="U11" s="712"/>
      <c r="V11" s="1124">
        <v>7</v>
      </c>
      <c r="W11" s="790"/>
      <c r="X11" s="790"/>
      <c r="Y11" s="790"/>
      <c r="Z11" s="790"/>
      <c r="AA11" s="790"/>
      <c r="AB11" s="790"/>
      <c r="AC11" s="781">
        <f>ROUND((AC$6+AC$7)*$V11,0)</f>
        <v>17570</v>
      </c>
      <c r="AD11" s="781">
        <f>ROUND((AD$6+AD$7)*$V11,0)</f>
        <v>17570</v>
      </c>
      <c r="AE11" s="781">
        <v>0</v>
      </c>
      <c r="AF11" s="781">
        <v>0</v>
      </c>
      <c r="AG11" s="781">
        <v>0</v>
      </c>
      <c r="AH11" s="781">
        <f t="shared" si="26"/>
        <v>0</v>
      </c>
      <c r="AI11" s="781">
        <f t="shared" si="26"/>
        <v>0</v>
      </c>
      <c r="AJ11" s="711" t="s">
        <v>384</v>
      </c>
      <c r="AK11" s="711" t="s">
        <v>375</v>
      </c>
      <c r="AL11" s="711" t="s">
        <v>376</v>
      </c>
      <c r="AM11" s="711" t="s">
        <v>1958</v>
      </c>
      <c r="AN11" s="711" t="s">
        <v>1</v>
      </c>
      <c r="AO11" s="711" t="s">
        <v>1970</v>
      </c>
      <c r="AP11" s="711" t="s">
        <v>1702</v>
      </c>
      <c r="AQ11" s="711" t="s">
        <v>339</v>
      </c>
      <c r="AR11" s="715" t="s">
        <v>1945</v>
      </c>
      <c r="AS11" s="715"/>
      <c r="AT11" s="715" t="s">
        <v>381</v>
      </c>
      <c r="AU11" s="711">
        <v>12</v>
      </c>
      <c r="AV11" s="711">
        <v>1</v>
      </c>
      <c r="AW11" s="711" t="s">
        <v>1971</v>
      </c>
      <c r="AX11" s="716">
        <v>1</v>
      </c>
      <c r="AY11" s="716">
        <v>1</v>
      </c>
      <c r="AZ11" s="716">
        <v>0</v>
      </c>
      <c r="BA11" s="499">
        <f t="shared" si="4"/>
        <v>0</v>
      </c>
      <c r="BB11" s="499">
        <f t="shared" si="5"/>
        <v>0</v>
      </c>
      <c r="BC11" s="499">
        <f t="shared" si="5"/>
        <v>0</v>
      </c>
      <c r="BD11" s="499">
        <f t="shared" si="5"/>
        <v>0</v>
      </c>
      <c r="BE11" s="499">
        <f t="shared" si="6"/>
        <v>0</v>
      </c>
      <c r="BF11" s="499">
        <f t="shared" si="6"/>
        <v>0</v>
      </c>
      <c r="BG11" s="499">
        <f t="shared" si="6"/>
        <v>0</v>
      </c>
      <c r="BH11" s="499">
        <f t="shared" si="7"/>
        <v>-0.83289999999999997</v>
      </c>
      <c r="BI11" s="499">
        <f t="shared" si="8"/>
        <v>-0.83289999999999997</v>
      </c>
      <c r="BJ11" s="499">
        <f t="shared" si="8"/>
        <v>-0.83289999999999997</v>
      </c>
      <c r="BK11" s="499">
        <f t="shared" si="8"/>
        <v>-0.83289999999999997</v>
      </c>
      <c r="BL11" s="499">
        <f t="shared" si="8"/>
        <v>-0.83289999999999997</v>
      </c>
      <c r="BM11" s="499">
        <f t="shared" si="8"/>
        <v>-0.83289999999999997</v>
      </c>
      <c r="BN11" s="499">
        <f t="shared" si="8"/>
        <v>-0.83289999999999997</v>
      </c>
      <c r="BO11" s="499">
        <f t="shared" si="9"/>
        <v>0</v>
      </c>
      <c r="BP11" s="499">
        <f t="shared" si="38"/>
        <v>0</v>
      </c>
      <c r="BQ11" s="499">
        <f t="shared" si="10"/>
        <v>0</v>
      </c>
      <c r="BR11" s="499">
        <f t="shared" si="10"/>
        <v>0</v>
      </c>
      <c r="BS11" s="499">
        <f t="shared" si="10"/>
        <v>0</v>
      </c>
      <c r="BT11" s="499">
        <f t="shared" si="10"/>
        <v>0</v>
      </c>
      <c r="BU11" s="499">
        <f t="shared" si="10"/>
        <v>0</v>
      </c>
      <c r="BV11" s="503">
        <f t="shared" si="27"/>
        <v>6.9531999999999998</v>
      </c>
      <c r="BW11" s="503">
        <f t="shared" si="11"/>
        <v>6.9531999999999998</v>
      </c>
      <c r="BX11" s="503">
        <f t="shared" si="11"/>
        <v>6.9531999999999998</v>
      </c>
      <c r="BY11" s="503">
        <f t="shared" si="11"/>
        <v>6.9531999999999998</v>
      </c>
      <c r="BZ11" s="503">
        <f t="shared" si="11"/>
        <v>6.9531999999999998</v>
      </c>
      <c r="CA11" s="503">
        <f t="shared" si="11"/>
        <v>6.9531999999999998</v>
      </c>
      <c r="CB11" s="503">
        <f t="shared" si="11"/>
        <v>6.9531999999999998</v>
      </c>
      <c r="CC11" s="511">
        <f t="shared" si="12"/>
        <v>34.264824491684585</v>
      </c>
      <c r="CD11" s="511">
        <f t="shared" si="13"/>
        <v>34.264824491684585</v>
      </c>
      <c r="CE11" s="511">
        <f t="shared" si="13"/>
        <v>34.264824491684585</v>
      </c>
      <c r="CF11" s="511">
        <f t="shared" si="13"/>
        <v>34.264824491684585</v>
      </c>
      <c r="CG11" s="511">
        <f t="shared" si="13"/>
        <v>34.264824491684585</v>
      </c>
      <c r="CH11" s="511">
        <f t="shared" si="13"/>
        <v>34.264824491684585</v>
      </c>
      <c r="CI11" s="511">
        <f t="shared" si="13"/>
        <v>34.264824491684585</v>
      </c>
      <c r="CJ11" s="511">
        <f t="shared" si="14"/>
        <v>1.3711999093251345E-3</v>
      </c>
      <c r="CK11" s="511">
        <f t="shared" si="15"/>
        <v>1.3711999093251345E-3</v>
      </c>
      <c r="CL11" s="511">
        <f t="shared" si="15"/>
        <v>1.3711999093251345E-3</v>
      </c>
      <c r="CM11" s="511">
        <f t="shared" si="15"/>
        <v>1.3711999093251345E-3</v>
      </c>
      <c r="CN11" s="511">
        <f t="shared" si="15"/>
        <v>1.3711999093251345E-3</v>
      </c>
      <c r="CO11" s="511">
        <f t="shared" si="15"/>
        <v>1.3711999093251345E-3</v>
      </c>
      <c r="CP11" s="511">
        <f t="shared" si="15"/>
        <v>1.3711999093251345E-3</v>
      </c>
      <c r="CQ11" s="511">
        <f t="shared" si="16"/>
        <v>0</v>
      </c>
      <c r="CR11" s="511">
        <f t="shared" si="17"/>
        <v>0</v>
      </c>
      <c r="CS11" s="511">
        <f t="shared" si="17"/>
        <v>0</v>
      </c>
      <c r="CT11" s="511">
        <f t="shared" si="17"/>
        <v>0</v>
      </c>
      <c r="CU11" s="511">
        <f t="shared" si="17"/>
        <v>0</v>
      </c>
      <c r="CV11" s="511">
        <f t="shared" si="17"/>
        <v>0</v>
      </c>
      <c r="CW11" s="511">
        <f t="shared" si="17"/>
        <v>0</v>
      </c>
      <c r="CX11" s="508">
        <f t="shared" si="28"/>
        <v>0</v>
      </c>
      <c r="CY11" s="508">
        <f t="shared" si="28"/>
        <v>0</v>
      </c>
      <c r="CZ11" s="508">
        <f t="shared" si="28"/>
        <v>0</v>
      </c>
      <c r="DA11" s="508">
        <f t="shared" si="28"/>
        <v>0</v>
      </c>
      <c r="DB11" s="508">
        <f t="shared" si="28"/>
        <v>0</v>
      </c>
      <c r="DC11" s="508">
        <f t="shared" si="18"/>
        <v>0</v>
      </c>
      <c r="DD11" s="508">
        <f t="shared" si="18"/>
        <v>0</v>
      </c>
      <c r="DE11" s="508">
        <f t="shared" si="19"/>
        <v>-14634.053</v>
      </c>
      <c r="DF11" s="508">
        <f t="shared" si="19"/>
        <v>-14634.053</v>
      </c>
      <c r="DG11" s="508">
        <f t="shared" si="19"/>
        <v>0</v>
      </c>
      <c r="DH11" s="508">
        <f t="shared" si="19"/>
        <v>0</v>
      </c>
      <c r="DI11" s="508">
        <f t="shared" si="19"/>
        <v>0</v>
      </c>
      <c r="DJ11" s="508">
        <f t="shared" si="19"/>
        <v>0</v>
      </c>
      <c r="DK11" s="508">
        <f t="shared" si="19"/>
        <v>0</v>
      </c>
      <c r="DL11" s="508">
        <f t="shared" si="20"/>
        <v>0</v>
      </c>
      <c r="DM11" s="508">
        <f t="shared" si="20"/>
        <v>0</v>
      </c>
      <c r="DN11" s="508">
        <f t="shared" si="20"/>
        <v>0</v>
      </c>
      <c r="DO11" s="508">
        <f t="shared" si="20"/>
        <v>0</v>
      </c>
      <c r="DP11" s="508">
        <f t="shared" si="20"/>
        <v>0</v>
      </c>
      <c r="DQ11" s="508">
        <f t="shared" si="20"/>
        <v>0</v>
      </c>
      <c r="DR11" s="508">
        <f t="shared" si="20"/>
        <v>0</v>
      </c>
      <c r="DS11" s="508">
        <f t="shared" si="21"/>
        <v>122167.724</v>
      </c>
      <c r="DT11" s="508">
        <f t="shared" si="21"/>
        <v>122167.724</v>
      </c>
      <c r="DU11" s="508">
        <f t="shared" si="21"/>
        <v>0</v>
      </c>
      <c r="DV11" s="508">
        <f t="shared" si="21"/>
        <v>0</v>
      </c>
      <c r="DW11" s="508">
        <f t="shared" si="21"/>
        <v>0</v>
      </c>
      <c r="DX11" s="508">
        <f t="shared" si="21"/>
        <v>0</v>
      </c>
      <c r="DY11" s="508">
        <f t="shared" si="21"/>
        <v>0</v>
      </c>
      <c r="DZ11" s="511">
        <f t="shared" si="22"/>
        <v>602032.96631889814</v>
      </c>
      <c r="EA11" s="511">
        <f t="shared" si="22"/>
        <v>602032.96631889814</v>
      </c>
      <c r="EB11" s="511">
        <f t="shared" si="22"/>
        <v>0</v>
      </c>
      <c r="EC11" s="511">
        <f t="shared" si="22"/>
        <v>0</v>
      </c>
      <c r="ED11" s="511">
        <f t="shared" si="22"/>
        <v>0</v>
      </c>
      <c r="EE11" s="511">
        <f t="shared" si="22"/>
        <v>0</v>
      </c>
      <c r="EF11" s="511">
        <f t="shared" si="22"/>
        <v>0</v>
      </c>
      <c r="EG11" s="511">
        <f t="shared" si="23"/>
        <v>24.091982406842614</v>
      </c>
      <c r="EH11" s="511">
        <f t="shared" si="23"/>
        <v>24.091982406842614</v>
      </c>
      <c r="EI11" s="511">
        <f t="shared" si="23"/>
        <v>0</v>
      </c>
      <c r="EJ11" s="511">
        <f t="shared" si="23"/>
        <v>0</v>
      </c>
      <c r="EK11" s="511">
        <f t="shared" si="23"/>
        <v>0</v>
      </c>
      <c r="EL11" s="511">
        <f t="shared" si="23"/>
        <v>0</v>
      </c>
      <c r="EM11" s="511">
        <f t="shared" si="23"/>
        <v>0</v>
      </c>
      <c r="EN11" s="511">
        <f t="shared" si="24"/>
        <v>0</v>
      </c>
      <c r="EO11" s="511">
        <f t="shared" si="24"/>
        <v>0</v>
      </c>
      <c r="EP11" s="511">
        <f t="shared" si="24"/>
        <v>0</v>
      </c>
      <c r="EQ11" s="511">
        <f t="shared" si="24"/>
        <v>0</v>
      </c>
      <c r="ER11" s="511">
        <f t="shared" si="24"/>
        <v>0</v>
      </c>
      <c r="ES11" s="511">
        <f t="shared" si="24"/>
        <v>0</v>
      </c>
      <c r="ET11" s="511">
        <f t="shared" si="24"/>
        <v>0</v>
      </c>
      <c r="EU11" s="777">
        <f t="shared" si="29"/>
        <v>35140</v>
      </c>
      <c r="EV11" s="728">
        <f t="shared" si="30"/>
        <v>0</v>
      </c>
      <c r="EW11" s="728">
        <f t="shared" si="31"/>
        <v>-29268.106</v>
      </c>
      <c r="EX11" s="728">
        <f t="shared" si="32"/>
        <v>0</v>
      </c>
      <c r="EY11" s="728">
        <f t="shared" si="33"/>
        <v>244335.448</v>
      </c>
      <c r="EZ11" s="777">
        <f t="shared" si="34"/>
        <v>1204065.9326377963</v>
      </c>
      <c r="FA11" s="777">
        <f t="shared" si="35"/>
        <v>48.183964813685229</v>
      </c>
      <c r="FB11" s="778">
        <f t="shared" si="36"/>
        <v>0</v>
      </c>
      <c r="FD11" s="10" t="b">
        <f t="shared" si="25"/>
        <v>1</v>
      </c>
      <c r="FE11" s="10" t="b">
        <f t="shared" si="25"/>
        <v>1</v>
      </c>
      <c r="FF11" s="10" t="b">
        <f t="shared" si="25"/>
        <v>1</v>
      </c>
      <c r="FG11" s="10" t="b">
        <f t="shared" si="25"/>
        <v>1</v>
      </c>
      <c r="FH11" s="10" t="b">
        <f t="shared" si="25"/>
        <v>1</v>
      </c>
      <c r="FI11" s="10" t="b">
        <f t="shared" si="25"/>
        <v>1</v>
      </c>
      <c r="FJ11" s="10" t="b">
        <f t="shared" si="25"/>
        <v>1</v>
      </c>
    </row>
    <row r="12" spans="1:168" s="10" customFormat="1" ht="12.75" hidden="1" customHeight="1">
      <c r="A12" s="662">
        <v>6</v>
      </c>
      <c r="B12" s="789" t="s">
        <v>561</v>
      </c>
      <c r="C12" s="789" t="s">
        <v>561</v>
      </c>
      <c r="D12" s="715" t="s">
        <v>1972</v>
      </c>
      <c r="E12" s="662" t="s">
        <v>331</v>
      </c>
      <c r="F12" s="704" t="s">
        <v>372</v>
      </c>
      <c r="G12" s="704">
        <v>0</v>
      </c>
      <c r="H12" s="704"/>
      <c r="I12" s="704">
        <f t="shared" si="2"/>
        <v>0</v>
      </c>
      <c r="J12" s="704">
        <v>-6.9408333333333336E-2</v>
      </c>
      <c r="K12" s="704">
        <f t="shared" ref="K12:K49" si="43">I12*0.5</f>
        <v>0</v>
      </c>
      <c r="L12" s="711" t="s">
        <v>1967</v>
      </c>
      <c r="M12" s="707" t="s">
        <v>1968</v>
      </c>
      <c r="N12" s="707">
        <f t="shared" ref="N12:N19" si="44">I12</f>
        <v>0</v>
      </c>
      <c r="O12" s="707">
        <v>0</v>
      </c>
      <c r="P12" s="707">
        <f>P11</f>
        <v>6.9531999999999998</v>
      </c>
      <c r="Q12" s="1022">
        <v>8.547825549497361</v>
      </c>
      <c r="R12" s="872">
        <v>1.0291354805041944E-3</v>
      </c>
      <c r="S12" s="1022">
        <v>0</v>
      </c>
      <c r="T12" s="711" t="s">
        <v>1969</v>
      </c>
      <c r="U12" s="712"/>
      <c r="V12" s="1124">
        <f>V11*1/4</f>
        <v>1.75</v>
      </c>
      <c r="W12" s="790"/>
      <c r="X12" s="790"/>
      <c r="Y12" s="790"/>
      <c r="Z12" s="790"/>
      <c r="AA12" s="790"/>
      <c r="AB12" s="790"/>
      <c r="AC12" s="781">
        <v>0</v>
      </c>
      <c r="AD12" s="781">
        <v>0</v>
      </c>
      <c r="AE12" s="781">
        <f>MROUND((AE6+AE7)*$V12,10)</f>
        <v>4390</v>
      </c>
      <c r="AF12" s="781">
        <f>MROUND((AF6+AF7)*$V12,10)</f>
        <v>4390</v>
      </c>
      <c r="AG12" s="781">
        <f>MROUND((AG6+AG7)*$V12,10)</f>
        <v>4390</v>
      </c>
      <c r="AH12" s="781">
        <f t="shared" si="26"/>
        <v>4390</v>
      </c>
      <c r="AI12" s="781">
        <f t="shared" si="26"/>
        <v>4390</v>
      </c>
      <c r="AJ12" s="711" t="s">
        <v>384</v>
      </c>
      <c r="AK12" s="711" t="s">
        <v>375</v>
      </c>
      <c r="AL12" s="711" t="s">
        <v>376</v>
      </c>
      <c r="AM12" s="711" t="s">
        <v>1958</v>
      </c>
      <c r="AN12" s="711" t="s">
        <v>1</v>
      </c>
      <c r="AO12" s="711" t="s">
        <v>1972</v>
      </c>
      <c r="AP12" s="711" t="s">
        <v>1702</v>
      </c>
      <c r="AQ12" s="711" t="s">
        <v>339</v>
      </c>
      <c r="AR12" s="715" t="s">
        <v>1945</v>
      </c>
      <c r="AS12" s="715"/>
      <c r="AT12" s="715" t="s">
        <v>381</v>
      </c>
      <c r="AU12" s="711">
        <v>12</v>
      </c>
      <c r="AV12" s="711">
        <v>5</v>
      </c>
      <c r="AW12" s="711" t="s">
        <v>1973</v>
      </c>
      <c r="AX12" s="716">
        <v>1</v>
      </c>
      <c r="AY12" s="716">
        <v>1</v>
      </c>
      <c r="AZ12" s="716">
        <v>0</v>
      </c>
      <c r="BA12" s="499">
        <f t="shared" si="4"/>
        <v>0</v>
      </c>
      <c r="BB12" s="499">
        <f t="shared" si="5"/>
        <v>0</v>
      </c>
      <c r="BC12" s="499">
        <f t="shared" si="5"/>
        <v>0</v>
      </c>
      <c r="BD12" s="499">
        <f t="shared" si="5"/>
        <v>0</v>
      </c>
      <c r="BE12" s="499">
        <f t="shared" si="6"/>
        <v>0</v>
      </c>
      <c r="BF12" s="499">
        <f t="shared" si="6"/>
        <v>0</v>
      </c>
      <c r="BG12" s="499">
        <f t="shared" si="6"/>
        <v>0</v>
      </c>
      <c r="BH12" s="499">
        <f t="shared" si="7"/>
        <v>-6.9408333333333336E-2</v>
      </c>
      <c r="BI12" s="499">
        <f t="shared" si="8"/>
        <v>-6.9408333333333336E-2</v>
      </c>
      <c r="BJ12" s="499">
        <f t="shared" si="8"/>
        <v>-6.9408333333333336E-2</v>
      </c>
      <c r="BK12" s="499">
        <f t="shared" si="8"/>
        <v>-6.9408333333333336E-2</v>
      </c>
      <c r="BL12" s="499">
        <f t="shared" si="8"/>
        <v>-6.9408333333333336E-2</v>
      </c>
      <c r="BM12" s="499">
        <f t="shared" si="8"/>
        <v>-6.9408333333333336E-2</v>
      </c>
      <c r="BN12" s="499">
        <f t="shared" si="8"/>
        <v>-6.9408333333333336E-2</v>
      </c>
      <c r="BO12" s="499">
        <f t="shared" si="9"/>
        <v>0</v>
      </c>
      <c r="BP12" s="499">
        <f t="shared" si="38"/>
        <v>0</v>
      </c>
      <c r="BQ12" s="499">
        <f t="shared" si="10"/>
        <v>0</v>
      </c>
      <c r="BR12" s="499">
        <f t="shared" si="10"/>
        <v>0</v>
      </c>
      <c r="BS12" s="499">
        <f t="shared" si="10"/>
        <v>0</v>
      </c>
      <c r="BT12" s="499">
        <f t="shared" si="10"/>
        <v>0</v>
      </c>
      <c r="BU12" s="499">
        <f t="shared" si="10"/>
        <v>0</v>
      </c>
      <c r="BV12" s="503">
        <f t="shared" si="27"/>
        <v>6.9531999999999998</v>
      </c>
      <c r="BW12" s="503">
        <f t="shared" si="11"/>
        <v>6.9531999999999998</v>
      </c>
      <c r="BX12" s="503">
        <f t="shared" si="11"/>
        <v>6.9531999999999998</v>
      </c>
      <c r="BY12" s="503">
        <f t="shared" si="11"/>
        <v>6.9531999999999998</v>
      </c>
      <c r="BZ12" s="503">
        <f t="shared" si="11"/>
        <v>6.9531999999999998</v>
      </c>
      <c r="CA12" s="503">
        <f t="shared" si="11"/>
        <v>6.9531999999999998</v>
      </c>
      <c r="CB12" s="503">
        <f t="shared" si="11"/>
        <v>6.9531999999999998</v>
      </c>
      <c r="CC12" s="511">
        <f t="shared" si="12"/>
        <v>8.547825549497361</v>
      </c>
      <c r="CD12" s="511">
        <f t="shared" si="13"/>
        <v>8.547825549497361</v>
      </c>
      <c r="CE12" s="511">
        <f t="shared" si="13"/>
        <v>8.547825549497361</v>
      </c>
      <c r="CF12" s="511">
        <f t="shared" si="13"/>
        <v>8.547825549497361</v>
      </c>
      <c r="CG12" s="511">
        <f t="shared" si="13"/>
        <v>8.547825549497361</v>
      </c>
      <c r="CH12" s="511">
        <f t="shared" si="13"/>
        <v>8.547825549497361</v>
      </c>
      <c r="CI12" s="511">
        <f t="shared" si="13"/>
        <v>8.547825549497361</v>
      </c>
      <c r="CJ12" s="511">
        <f t="shared" si="14"/>
        <v>1.0291354805041944E-3</v>
      </c>
      <c r="CK12" s="511">
        <f t="shared" si="15"/>
        <v>1.0291354805041944E-3</v>
      </c>
      <c r="CL12" s="511">
        <f t="shared" si="15"/>
        <v>1.0291354805041944E-3</v>
      </c>
      <c r="CM12" s="511">
        <f t="shared" si="15"/>
        <v>1.0291354805041944E-3</v>
      </c>
      <c r="CN12" s="511">
        <f t="shared" si="15"/>
        <v>1.0291354805041944E-3</v>
      </c>
      <c r="CO12" s="511">
        <f t="shared" si="15"/>
        <v>1.0291354805041944E-3</v>
      </c>
      <c r="CP12" s="511">
        <f t="shared" si="15"/>
        <v>1.0291354805041944E-3</v>
      </c>
      <c r="CQ12" s="511">
        <f t="shared" si="16"/>
        <v>0</v>
      </c>
      <c r="CR12" s="511">
        <f t="shared" si="17"/>
        <v>0</v>
      </c>
      <c r="CS12" s="511">
        <f t="shared" si="17"/>
        <v>0</v>
      </c>
      <c r="CT12" s="511">
        <f t="shared" si="17"/>
        <v>0</v>
      </c>
      <c r="CU12" s="511">
        <f t="shared" si="17"/>
        <v>0</v>
      </c>
      <c r="CV12" s="511">
        <f t="shared" si="17"/>
        <v>0</v>
      </c>
      <c r="CW12" s="511">
        <f t="shared" si="17"/>
        <v>0</v>
      </c>
      <c r="CX12" s="508">
        <f t="shared" si="28"/>
        <v>0</v>
      </c>
      <c r="CY12" s="508">
        <f t="shared" si="28"/>
        <v>0</v>
      </c>
      <c r="CZ12" s="508">
        <f t="shared" si="28"/>
        <v>0</v>
      </c>
      <c r="DA12" s="508">
        <f t="shared" si="28"/>
        <v>0</v>
      </c>
      <c r="DB12" s="508">
        <f t="shared" si="28"/>
        <v>0</v>
      </c>
      <c r="DC12" s="508">
        <f t="shared" si="18"/>
        <v>0</v>
      </c>
      <c r="DD12" s="508">
        <f t="shared" si="18"/>
        <v>0</v>
      </c>
      <c r="DE12" s="508">
        <f t="shared" si="19"/>
        <v>0</v>
      </c>
      <c r="DF12" s="508">
        <f t="shared" si="19"/>
        <v>0</v>
      </c>
      <c r="DG12" s="508">
        <f t="shared" si="19"/>
        <v>-304.70258333333334</v>
      </c>
      <c r="DH12" s="508">
        <f t="shared" si="19"/>
        <v>-304.70258333333334</v>
      </c>
      <c r="DI12" s="508">
        <f t="shared" si="19"/>
        <v>-304.70258333333334</v>
      </c>
      <c r="DJ12" s="508">
        <f t="shared" si="19"/>
        <v>-304.70258333333334</v>
      </c>
      <c r="DK12" s="508">
        <f t="shared" si="19"/>
        <v>-304.70258333333334</v>
      </c>
      <c r="DL12" s="508">
        <f t="shared" si="20"/>
        <v>0</v>
      </c>
      <c r="DM12" s="508">
        <f t="shared" si="20"/>
        <v>0</v>
      </c>
      <c r="DN12" s="508">
        <f t="shared" si="20"/>
        <v>0</v>
      </c>
      <c r="DO12" s="508">
        <f t="shared" si="20"/>
        <v>0</v>
      </c>
      <c r="DP12" s="508">
        <f t="shared" si="20"/>
        <v>0</v>
      </c>
      <c r="DQ12" s="508">
        <f t="shared" si="20"/>
        <v>0</v>
      </c>
      <c r="DR12" s="508">
        <f t="shared" si="20"/>
        <v>0</v>
      </c>
      <c r="DS12" s="508">
        <f t="shared" si="21"/>
        <v>0</v>
      </c>
      <c r="DT12" s="508">
        <f t="shared" si="21"/>
        <v>0</v>
      </c>
      <c r="DU12" s="508">
        <f t="shared" si="21"/>
        <v>30524.547999999999</v>
      </c>
      <c r="DV12" s="508">
        <f t="shared" si="21"/>
        <v>30524.547999999999</v>
      </c>
      <c r="DW12" s="508">
        <f t="shared" si="21"/>
        <v>30524.547999999999</v>
      </c>
      <c r="DX12" s="508">
        <f t="shared" si="21"/>
        <v>30524.547999999999</v>
      </c>
      <c r="DY12" s="508">
        <f t="shared" si="21"/>
        <v>30524.547999999999</v>
      </c>
      <c r="DZ12" s="511">
        <f t="shared" si="22"/>
        <v>0</v>
      </c>
      <c r="EA12" s="511">
        <f t="shared" si="22"/>
        <v>0</v>
      </c>
      <c r="EB12" s="511">
        <f t="shared" si="22"/>
        <v>37524.954162293412</v>
      </c>
      <c r="EC12" s="511">
        <f t="shared" si="22"/>
        <v>37524.954162293412</v>
      </c>
      <c r="ED12" s="511">
        <f t="shared" si="22"/>
        <v>37524.954162293412</v>
      </c>
      <c r="EE12" s="511">
        <f t="shared" si="22"/>
        <v>37524.954162293412</v>
      </c>
      <c r="EF12" s="511">
        <f t="shared" si="22"/>
        <v>37524.954162293412</v>
      </c>
      <c r="EG12" s="511">
        <f t="shared" si="23"/>
        <v>0</v>
      </c>
      <c r="EH12" s="511">
        <f t="shared" si="23"/>
        <v>0</v>
      </c>
      <c r="EI12" s="511">
        <f t="shared" si="23"/>
        <v>4.5179047594134136</v>
      </c>
      <c r="EJ12" s="511">
        <f t="shared" si="23"/>
        <v>4.5179047594134136</v>
      </c>
      <c r="EK12" s="511">
        <f t="shared" si="23"/>
        <v>4.5179047594134136</v>
      </c>
      <c r="EL12" s="511">
        <f t="shared" si="23"/>
        <v>4.5179047594134136</v>
      </c>
      <c r="EM12" s="511">
        <f t="shared" si="23"/>
        <v>4.5179047594134136</v>
      </c>
      <c r="EN12" s="511">
        <f t="shared" si="24"/>
        <v>0</v>
      </c>
      <c r="EO12" s="511">
        <f t="shared" si="24"/>
        <v>0</v>
      </c>
      <c r="EP12" s="511">
        <f t="shared" si="24"/>
        <v>0</v>
      </c>
      <c r="EQ12" s="511">
        <f t="shared" si="24"/>
        <v>0</v>
      </c>
      <c r="ER12" s="511">
        <f t="shared" si="24"/>
        <v>0</v>
      </c>
      <c r="ES12" s="511">
        <f t="shared" si="24"/>
        <v>0</v>
      </c>
      <c r="ET12" s="511">
        <f t="shared" si="24"/>
        <v>0</v>
      </c>
      <c r="EU12" s="777">
        <f t="shared" si="29"/>
        <v>21950</v>
      </c>
      <c r="EV12" s="728">
        <f t="shared" si="30"/>
        <v>0</v>
      </c>
      <c r="EW12" s="728">
        <f t="shared" si="31"/>
        <v>-1523.5129166666666</v>
      </c>
      <c r="EX12" s="728">
        <f t="shared" si="32"/>
        <v>0</v>
      </c>
      <c r="EY12" s="728">
        <f t="shared" si="33"/>
        <v>152622.74</v>
      </c>
      <c r="EZ12" s="777">
        <f t="shared" si="34"/>
        <v>187624.77081146705</v>
      </c>
      <c r="FA12" s="777">
        <f t="shared" si="35"/>
        <v>22.589523797067066</v>
      </c>
      <c r="FB12" s="778">
        <f t="shared" si="36"/>
        <v>0</v>
      </c>
      <c r="FD12" s="10" t="b">
        <f t="shared" si="25"/>
        <v>1</v>
      </c>
      <c r="FE12" s="10" t="b">
        <f t="shared" si="25"/>
        <v>1</v>
      </c>
      <c r="FF12" s="10" t="b">
        <f t="shared" si="25"/>
        <v>1</v>
      </c>
      <c r="FG12" s="10" t="b">
        <f t="shared" si="25"/>
        <v>1</v>
      </c>
      <c r="FH12" s="10" t="b">
        <f t="shared" si="25"/>
        <v>1</v>
      </c>
      <c r="FI12" s="10" t="b">
        <f t="shared" si="25"/>
        <v>1</v>
      </c>
      <c r="FJ12" s="10" t="b">
        <f t="shared" si="25"/>
        <v>1</v>
      </c>
    </row>
    <row r="13" spans="1:168" s="10" customFormat="1" ht="12.75" hidden="1" customHeight="1">
      <c r="A13" s="662">
        <v>7</v>
      </c>
      <c r="B13" s="789" t="s">
        <v>562</v>
      </c>
      <c r="C13" s="789" t="s">
        <v>562</v>
      </c>
      <c r="D13" s="715" t="s">
        <v>1966</v>
      </c>
      <c r="E13" s="662" t="s">
        <v>331</v>
      </c>
      <c r="F13" s="704" t="s">
        <v>372</v>
      </c>
      <c r="G13" s="704">
        <v>0</v>
      </c>
      <c r="H13" s="1237"/>
      <c r="I13" s="704">
        <f t="shared" si="2"/>
        <v>0</v>
      </c>
      <c r="J13" s="704">
        <v>-0.38829999999999998</v>
      </c>
      <c r="K13" s="704">
        <f t="shared" si="43"/>
        <v>0</v>
      </c>
      <c r="L13" s="711" t="s">
        <v>1967</v>
      </c>
      <c r="M13" s="707" t="s">
        <v>1968</v>
      </c>
      <c r="N13" s="707">
        <f t="shared" si="44"/>
        <v>0</v>
      </c>
      <c r="O13" s="1237">
        <v>0</v>
      </c>
      <c r="P13" s="707">
        <v>9.4653233901957208</v>
      </c>
      <c r="Q13" s="1022">
        <v>28.405951750654484</v>
      </c>
      <c r="R13" s="872">
        <v>1.1367412220145488E-3</v>
      </c>
      <c r="S13" s="1022">
        <v>0</v>
      </c>
      <c r="T13" s="711" t="s">
        <v>1969</v>
      </c>
      <c r="U13" s="712"/>
      <c r="V13" s="1124">
        <v>3</v>
      </c>
      <c r="W13" s="790"/>
      <c r="X13" s="790"/>
      <c r="Y13" s="790"/>
      <c r="Z13" s="790"/>
      <c r="AA13" s="790"/>
      <c r="AB13" s="790"/>
      <c r="AC13" s="781">
        <f>ROUND((AC$6+AC$7)*$V13,0)</f>
        <v>7530</v>
      </c>
      <c r="AD13" s="781">
        <f>ROUND((AD$6+AD$7)*$V13,0)</f>
        <v>7530</v>
      </c>
      <c r="AE13" s="781">
        <v>0</v>
      </c>
      <c r="AF13" s="781">
        <v>0</v>
      </c>
      <c r="AG13" s="781">
        <v>0</v>
      </c>
      <c r="AH13" s="781">
        <f t="shared" si="26"/>
        <v>0</v>
      </c>
      <c r="AI13" s="781">
        <f t="shared" si="26"/>
        <v>0</v>
      </c>
      <c r="AJ13" s="711" t="s">
        <v>384</v>
      </c>
      <c r="AK13" s="711" t="s">
        <v>375</v>
      </c>
      <c r="AL13" s="711" t="s">
        <v>376</v>
      </c>
      <c r="AM13" s="711" t="s">
        <v>1974</v>
      </c>
      <c r="AN13" s="711" t="s">
        <v>1</v>
      </c>
      <c r="AO13" s="711" t="s">
        <v>1975</v>
      </c>
      <c r="AP13" s="711" t="s">
        <v>1702</v>
      </c>
      <c r="AQ13" s="711" t="s">
        <v>339</v>
      </c>
      <c r="AR13" s="715" t="s">
        <v>1945</v>
      </c>
      <c r="AS13" s="715"/>
      <c r="AT13" s="715" t="s">
        <v>381</v>
      </c>
      <c r="AU13" s="711">
        <v>12</v>
      </c>
      <c r="AV13" s="711">
        <v>1</v>
      </c>
      <c r="AW13" s="711" t="s">
        <v>1976</v>
      </c>
      <c r="AX13" s="716">
        <v>1</v>
      </c>
      <c r="AY13" s="716">
        <v>1</v>
      </c>
      <c r="AZ13" s="716">
        <v>0</v>
      </c>
      <c r="BA13" s="499">
        <f t="shared" si="4"/>
        <v>0</v>
      </c>
      <c r="BB13" s="499">
        <f t="shared" si="5"/>
        <v>0</v>
      </c>
      <c r="BC13" s="499">
        <f t="shared" si="5"/>
        <v>0</v>
      </c>
      <c r="BD13" s="499">
        <f t="shared" si="5"/>
        <v>0</v>
      </c>
      <c r="BE13" s="499">
        <f t="shared" si="6"/>
        <v>0</v>
      </c>
      <c r="BF13" s="499">
        <f t="shared" si="6"/>
        <v>0</v>
      </c>
      <c r="BG13" s="499">
        <f t="shared" si="6"/>
        <v>0</v>
      </c>
      <c r="BH13" s="499">
        <f t="shared" si="7"/>
        <v>-0.38829999999999998</v>
      </c>
      <c r="BI13" s="499">
        <f t="shared" si="8"/>
        <v>-0.38829999999999998</v>
      </c>
      <c r="BJ13" s="499">
        <f t="shared" si="8"/>
        <v>-0.38829999999999998</v>
      </c>
      <c r="BK13" s="499">
        <f t="shared" si="8"/>
        <v>-0.38829999999999998</v>
      </c>
      <c r="BL13" s="499">
        <f t="shared" si="8"/>
        <v>-0.38829999999999998</v>
      </c>
      <c r="BM13" s="499">
        <f t="shared" si="8"/>
        <v>-0.38829999999999998</v>
      </c>
      <c r="BN13" s="499">
        <f t="shared" si="8"/>
        <v>-0.38829999999999998</v>
      </c>
      <c r="BO13" s="499">
        <f t="shared" si="9"/>
        <v>0</v>
      </c>
      <c r="BP13" s="499">
        <f t="shared" si="38"/>
        <v>0</v>
      </c>
      <c r="BQ13" s="499">
        <f t="shared" si="10"/>
        <v>0</v>
      </c>
      <c r="BR13" s="499">
        <f t="shared" si="10"/>
        <v>0</v>
      </c>
      <c r="BS13" s="499">
        <f t="shared" si="10"/>
        <v>0</v>
      </c>
      <c r="BT13" s="499">
        <f t="shared" si="10"/>
        <v>0</v>
      </c>
      <c r="BU13" s="499">
        <f t="shared" si="10"/>
        <v>0</v>
      </c>
      <c r="BV13" s="503">
        <f t="shared" si="27"/>
        <v>9.4653233901957208</v>
      </c>
      <c r="BW13" s="503">
        <f t="shared" si="11"/>
        <v>9.4653233901957208</v>
      </c>
      <c r="BX13" s="503">
        <f t="shared" si="11"/>
        <v>9.4653233901957208</v>
      </c>
      <c r="BY13" s="503">
        <f t="shared" si="11"/>
        <v>9.4653233901957208</v>
      </c>
      <c r="BZ13" s="503">
        <f t="shared" si="11"/>
        <v>9.4653233901957208</v>
      </c>
      <c r="CA13" s="503">
        <f t="shared" si="11"/>
        <v>9.4653233901957208</v>
      </c>
      <c r="CB13" s="503">
        <f t="shared" si="11"/>
        <v>9.4653233901957208</v>
      </c>
      <c r="CC13" s="511">
        <f t="shared" si="12"/>
        <v>28.405951750654484</v>
      </c>
      <c r="CD13" s="511">
        <f t="shared" si="13"/>
        <v>28.405951750654484</v>
      </c>
      <c r="CE13" s="511">
        <f t="shared" si="13"/>
        <v>28.405951750654484</v>
      </c>
      <c r="CF13" s="511">
        <f t="shared" si="13"/>
        <v>28.405951750654484</v>
      </c>
      <c r="CG13" s="511">
        <f t="shared" si="13"/>
        <v>28.405951750654484</v>
      </c>
      <c r="CH13" s="511">
        <f t="shared" si="13"/>
        <v>28.405951750654484</v>
      </c>
      <c r="CI13" s="511">
        <f t="shared" si="13"/>
        <v>28.405951750654484</v>
      </c>
      <c r="CJ13" s="511">
        <f t="shared" si="14"/>
        <v>1.1367412220145488E-3</v>
      </c>
      <c r="CK13" s="511">
        <f t="shared" si="15"/>
        <v>1.1367412220145488E-3</v>
      </c>
      <c r="CL13" s="511">
        <f t="shared" si="15"/>
        <v>1.1367412220145488E-3</v>
      </c>
      <c r="CM13" s="511">
        <f t="shared" si="15"/>
        <v>1.1367412220145488E-3</v>
      </c>
      <c r="CN13" s="511">
        <f t="shared" si="15"/>
        <v>1.1367412220145488E-3</v>
      </c>
      <c r="CO13" s="511">
        <f t="shared" si="15"/>
        <v>1.1367412220145488E-3</v>
      </c>
      <c r="CP13" s="511">
        <f t="shared" si="15"/>
        <v>1.1367412220145488E-3</v>
      </c>
      <c r="CQ13" s="511">
        <f t="shared" si="16"/>
        <v>0</v>
      </c>
      <c r="CR13" s="511">
        <f t="shared" si="17"/>
        <v>0</v>
      </c>
      <c r="CS13" s="511">
        <f t="shared" si="17"/>
        <v>0</v>
      </c>
      <c r="CT13" s="511">
        <f t="shared" si="17"/>
        <v>0</v>
      </c>
      <c r="CU13" s="511">
        <f t="shared" si="17"/>
        <v>0</v>
      </c>
      <c r="CV13" s="511">
        <f t="shared" si="17"/>
        <v>0</v>
      </c>
      <c r="CW13" s="511">
        <f t="shared" si="17"/>
        <v>0</v>
      </c>
      <c r="CX13" s="508">
        <f t="shared" si="28"/>
        <v>0</v>
      </c>
      <c r="CY13" s="508">
        <f t="shared" si="28"/>
        <v>0</v>
      </c>
      <c r="CZ13" s="508">
        <f t="shared" si="28"/>
        <v>0</v>
      </c>
      <c r="DA13" s="508">
        <f t="shared" si="28"/>
        <v>0</v>
      </c>
      <c r="DB13" s="508">
        <f t="shared" si="28"/>
        <v>0</v>
      </c>
      <c r="DC13" s="508">
        <f t="shared" si="18"/>
        <v>0</v>
      </c>
      <c r="DD13" s="508">
        <f t="shared" si="18"/>
        <v>0</v>
      </c>
      <c r="DE13" s="508">
        <f t="shared" si="19"/>
        <v>-2923.8989999999999</v>
      </c>
      <c r="DF13" s="508">
        <f t="shared" si="19"/>
        <v>-2923.8989999999999</v>
      </c>
      <c r="DG13" s="508">
        <f t="shared" si="19"/>
        <v>0</v>
      </c>
      <c r="DH13" s="508">
        <f t="shared" si="19"/>
        <v>0</v>
      </c>
      <c r="DI13" s="508">
        <f t="shared" si="19"/>
        <v>0</v>
      </c>
      <c r="DJ13" s="508">
        <f t="shared" si="19"/>
        <v>0</v>
      </c>
      <c r="DK13" s="508">
        <f t="shared" si="19"/>
        <v>0</v>
      </c>
      <c r="DL13" s="508">
        <f t="shared" si="20"/>
        <v>0</v>
      </c>
      <c r="DM13" s="508">
        <f t="shared" si="20"/>
        <v>0</v>
      </c>
      <c r="DN13" s="508">
        <f t="shared" si="20"/>
        <v>0</v>
      </c>
      <c r="DO13" s="508">
        <f t="shared" si="20"/>
        <v>0</v>
      </c>
      <c r="DP13" s="508">
        <f t="shared" si="20"/>
        <v>0</v>
      </c>
      <c r="DQ13" s="508">
        <f t="shared" si="20"/>
        <v>0</v>
      </c>
      <c r="DR13" s="508">
        <f t="shared" si="20"/>
        <v>0</v>
      </c>
      <c r="DS13" s="508">
        <f t="shared" si="21"/>
        <v>71273.885128173773</v>
      </c>
      <c r="DT13" s="508">
        <f t="shared" si="21"/>
        <v>71273.885128173773</v>
      </c>
      <c r="DU13" s="508">
        <f t="shared" si="21"/>
        <v>0</v>
      </c>
      <c r="DV13" s="508">
        <f t="shared" si="21"/>
        <v>0</v>
      </c>
      <c r="DW13" s="508">
        <f t="shared" si="21"/>
        <v>0</v>
      </c>
      <c r="DX13" s="508">
        <f t="shared" si="21"/>
        <v>0</v>
      </c>
      <c r="DY13" s="508">
        <f t="shared" si="21"/>
        <v>0</v>
      </c>
      <c r="DZ13" s="511">
        <f t="shared" si="22"/>
        <v>213896.81668242827</v>
      </c>
      <c r="EA13" s="511">
        <f t="shared" si="22"/>
        <v>213896.81668242827</v>
      </c>
      <c r="EB13" s="511">
        <f t="shared" si="22"/>
        <v>0</v>
      </c>
      <c r="EC13" s="511">
        <f t="shared" si="22"/>
        <v>0</v>
      </c>
      <c r="ED13" s="511">
        <f t="shared" si="22"/>
        <v>0</v>
      </c>
      <c r="EE13" s="511">
        <f t="shared" si="22"/>
        <v>0</v>
      </c>
      <c r="EF13" s="511">
        <f t="shared" si="22"/>
        <v>0</v>
      </c>
      <c r="EG13" s="511">
        <f t="shared" si="23"/>
        <v>8.5596614017695529</v>
      </c>
      <c r="EH13" s="511">
        <f t="shared" si="23"/>
        <v>8.5596614017695529</v>
      </c>
      <c r="EI13" s="511">
        <f t="shared" si="23"/>
        <v>0</v>
      </c>
      <c r="EJ13" s="511">
        <f t="shared" si="23"/>
        <v>0</v>
      </c>
      <c r="EK13" s="511">
        <f t="shared" si="23"/>
        <v>0</v>
      </c>
      <c r="EL13" s="511">
        <f t="shared" si="23"/>
        <v>0</v>
      </c>
      <c r="EM13" s="511">
        <f t="shared" si="23"/>
        <v>0</v>
      </c>
      <c r="EN13" s="511">
        <f t="shared" si="24"/>
        <v>0</v>
      </c>
      <c r="EO13" s="511">
        <f t="shared" si="24"/>
        <v>0</v>
      </c>
      <c r="EP13" s="511">
        <f t="shared" si="24"/>
        <v>0</v>
      </c>
      <c r="EQ13" s="511">
        <f t="shared" si="24"/>
        <v>0</v>
      </c>
      <c r="ER13" s="511">
        <f t="shared" si="24"/>
        <v>0</v>
      </c>
      <c r="ES13" s="511">
        <f t="shared" si="24"/>
        <v>0</v>
      </c>
      <c r="ET13" s="511">
        <f t="shared" si="24"/>
        <v>0</v>
      </c>
      <c r="EU13" s="777">
        <f t="shared" si="29"/>
        <v>15060</v>
      </c>
      <c r="EV13" s="728">
        <f t="shared" si="30"/>
        <v>0</v>
      </c>
      <c r="EW13" s="728">
        <f t="shared" si="31"/>
        <v>-5847.7979999999998</v>
      </c>
      <c r="EX13" s="728">
        <f t="shared" si="32"/>
        <v>0</v>
      </c>
      <c r="EY13" s="728">
        <f t="shared" si="33"/>
        <v>142547.77025634755</v>
      </c>
      <c r="EZ13" s="777">
        <f t="shared" si="34"/>
        <v>427793.63336485653</v>
      </c>
      <c r="FA13" s="777">
        <f t="shared" si="35"/>
        <v>17.119322803539106</v>
      </c>
      <c r="FB13" s="778">
        <f t="shared" si="36"/>
        <v>0</v>
      </c>
      <c r="FD13" s="10" t="b">
        <f t="shared" si="25"/>
        <v>1</v>
      </c>
      <c r="FE13" s="10" t="b">
        <f t="shared" si="25"/>
        <v>1</v>
      </c>
      <c r="FF13" s="10" t="b">
        <f t="shared" si="25"/>
        <v>1</v>
      </c>
      <c r="FG13" s="10" t="b">
        <f t="shared" si="25"/>
        <v>1</v>
      </c>
      <c r="FH13" s="10" t="b">
        <f t="shared" si="25"/>
        <v>1</v>
      </c>
      <c r="FI13" s="10" t="b">
        <f t="shared" si="25"/>
        <v>1</v>
      </c>
      <c r="FJ13" s="10" t="b">
        <f t="shared" si="25"/>
        <v>1</v>
      </c>
    </row>
    <row r="14" spans="1:168" s="10" customFormat="1" ht="12.75" hidden="1" customHeight="1">
      <c r="A14" s="662">
        <v>8</v>
      </c>
      <c r="B14" s="789" t="s">
        <v>562</v>
      </c>
      <c r="C14" s="789" t="s">
        <v>562</v>
      </c>
      <c r="D14" s="715" t="s">
        <v>1972</v>
      </c>
      <c r="E14" s="662" t="s">
        <v>331</v>
      </c>
      <c r="F14" s="704" t="s">
        <v>372</v>
      </c>
      <c r="G14" s="704">
        <v>0</v>
      </c>
      <c r="H14" s="1237"/>
      <c r="I14" s="704">
        <f t="shared" si="2"/>
        <v>0</v>
      </c>
      <c r="J14" s="704">
        <v>-3.2358333333333336E-2</v>
      </c>
      <c r="K14" s="704">
        <f t="shared" si="43"/>
        <v>0</v>
      </c>
      <c r="L14" s="711" t="s">
        <v>1967</v>
      </c>
      <c r="M14" s="707" t="s">
        <v>1968</v>
      </c>
      <c r="N14" s="707">
        <f t="shared" si="44"/>
        <v>0</v>
      </c>
      <c r="O14" s="1237">
        <v>0</v>
      </c>
      <c r="P14" s="707">
        <v>9.4653233901957208</v>
      </c>
      <c r="Q14" s="1022">
        <v>16.044680439380667</v>
      </c>
      <c r="R14" s="872">
        <v>6.4207141551151433E-4</v>
      </c>
      <c r="S14" s="1022">
        <v>0</v>
      </c>
      <c r="T14" s="711" t="s">
        <v>1969</v>
      </c>
      <c r="U14" s="712"/>
      <c r="V14" s="1124">
        <f>V13*1/4</f>
        <v>0.75</v>
      </c>
      <c r="W14" s="790"/>
      <c r="X14" s="790"/>
      <c r="Y14" s="790"/>
      <c r="Z14" s="790"/>
      <c r="AA14" s="790"/>
      <c r="AB14" s="790"/>
      <c r="AC14" s="781">
        <v>0</v>
      </c>
      <c r="AD14" s="781">
        <v>0</v>
      </c>
      <c r="AE14" s="781">
        <f>ROUND((AE$6+AE$7)*$V14,-1)</f>
        <v>1880</v>
      </c>
      <c r="AF14" s="781">
        <f t="shared" ref="AF14:AG29" si="45">ROUND((AF$6+AF$7)*$V14,-1)</f>
        <v>1880</v>
      </c>
      <c r="AG14" s="781">
        <f t="shared" si="45"/>
        <v>1880</v>
      </c>
      <c r="AH14" s="781">
        <f t="shared" si="26"/>
        <v>1880</v>
      </c>
      <c r="AI14" s="781">
        <f t="shared" si="26"/>
        <v>1880</v>
      </c>
      <c r="AJ14" s="711" t="s">
        <v>384</v>
      </c>
      <c r="AK14" s="711" t="s">
        <v>375</v>
      </c>
      <c r="AL14" s="711" t="s">
        <v>376</v>
      </c>
      <c r="AM14" s="711" t="s">
        <v>1974</v>
      </c>
      <c r="AN14" s="711" t="s">
        <v>1</v>
      </c>
      <c r="AO14" s="711" t="s">
        <v>1975</v>
      </c>
      <c r="AP14" s="711" t="s">
        <v>1702</v>
      </c>
      <c r="AQ14" s="711" t="s">
        <v>339</v>
      </c>
      <c r="AR14" s="715" t="s">
        <v>1945</v>
      </c>
      <c r="AS14" s="715"/>
      <c r="AT14" s="715" t="s">
        <v>381</v>
      </c>
      <c r="AU14" s="711">
        <v>12</v>
      </c>
      <c r="AV14" s="711">
        <v>1</v>
      </c>
      <c r="AW14" s="711" t="s">
        <v>1976</v>
      </c>
      <c r="AX14" s="716">
        <v>1</v>
      </c>
      <c r="AY14" s="716">
        <v>1</v>
      </c>
      <c r="AZ14" s="716">
        <v>0</v>
      </c>
      <c r="BA14" s="499">
        <f t="shared" si="4"/>
        <v>0</v>
      </c>
      <c r="BB14" s="499">
        <f t="shared" si="5"/>
        <v>0</v>
      </c>
      <c r="BC14" s="499">
        <f t="shared" si="5"/>
        <v>0</v>
      </c>
      <c r="BD14" s="499">
        <f t="shared" si="5"/>
        <v>0</v>
      </c>
      <c r="BE14" s="499">
        <f t="shared" si="6"/>
        <v>0</v>
      </c>
      <c r="BF14" s="499">
        <f t="shared" si="6"/>
        <v>0</v>
      </c>
      <c r="BG14" s="499">
        <f t="shared" si="6"/>
        <v>0</v>
      </c>
      <c r="BH14" s="499">
        <f t="shared" si="7"/>
        <v>-3.2358333333333336E-2</v>
      </c>
      <c r="BI14" s="499">
        <f t="shared" si="8"/>
        <v>-3.2358333333333336E-2</v>
      </c>
      <c r="BJ14" s="499">
        <f t="shared" si="8"/>
        <v>-3.2358333333333336E-2</v>
      </c>
      <c r="BK14" s="499">
        <f t="shared" si="8"/>
        <v>-3.2358333333333336E-2</v>
      </c>
      <c r="BL14" s="499">
        <f t="shared" si="8"/>
        <v>-3.2358333333333336E-2</v>
      </c>
      <c r="BM14" s="499">
        <f t="shared" si="8"/>
        <v>-3.2358333333333336E-2</v>
      </c>
      <c r="BN14" s="499">
        <f t="shared" si="8"/>
        <v>-3.2358333333333336E-2</v>
      </c>
      <c r="BO14" s="499">
        <f t="shared" si="9"/>
        <v>0</v>
      </c>
      <c r="BP14" s="499">
        <f t="shared" si="38"/>
        <v>0</v>
      </c>
      <c r="BQ14" s="499">
        <f t="shared" si="10"/>
        <v>0</v>
      </c>
      <c r="BR14" s="499">
        <f t="shared" si="10"/>
        <v>0</v>
      </c>
      <c r="BS14" s="499">
        <f t="shared" si="10"/>
        <v>0</v>
      </c>
      <c r="BT14" s="499">
        <f t="shared" si="10"/>
        <v>0</v>
      </c>
      <c r="BU14" s="499">
        <f t="shared" si="10"/>
        <v>0</v>
      </c>
      <c r="BV14" s="503">
        <f t="shared" si="27"/>
        <v>9.4653233901957208</v>
      </c>
      <c r="BW14" s="503">
        <f t="shared" si="11"/>
        <v>9.4653233901957208</v>
      </c>
      <c r="BX14" s="503">
        <f t="shared" si="11"/>
        <v>9.4653233901957208</v>
      </c>
      <c r="BY14" s="503">
        <f t="shared" si="11"/>
        <v>9.4653233901957208</v>
      </c>
      <c r="BZ14" s="503">
        <f t="shared" si="11"/>
        <v>9.4653233901957208</v>
      </c>
      <c r="CA14" s="503">
        <f t="shared" si="11"/>
        <v>9.4653233901957208</v>
      </c>
      <c r="CB14" s="503">
        <f t="shared" si="11"/>
        <v>9.4653233901957208</v>
      </c>
      <c r="CC14" s="511">
        <f t="shared" si="12"/>
        <v>16.044680439380667</v>
      </c>
      <c r="CD14" s="511">
        <f t="shared" si="13"/>
        <v>16.044680439380667</v>
      </c>
      <c r="CE14" s="511">
        <f t="shared" si="13"/>
        <v>16.044680439380667</v>
      </c>
      <c r="CF14" s="511">
        <f t="shared" si="13"/>
        <v>16.044680439380667</v>
      </c>
      <c r="CG14" s="511">
        <f t="shared" si="13"/>
        <v>16.044680439380667</v>
      </c>
      <c r="CH14" s="511">
        <f t="shared" si="13"/>
        <v>16.044680439380667</v>
      </c>
      <c r="CI14" s="511">
        <f t="shared" si="13"/>
        <v>16.044680439380667</v>
      </c>
      <c r="CJ14" s="511">
        <f t="shared" si="14"/>
        <v>6.4207141551151433E-4</v>
      </c>
      <c r="CK14" s="511">
        <f t="shared" si="15"/>
        <v>6.4207141551151433E-4</v>
      </c>
      <c r="CL14" s="511">
        <f t="shared" si="15"/>
        <v>6.4207141551151433E-4</v>
      </c>
      <c r="CM14" s="511">
        <f t="shared" si="15"/>
        <v>6.4207141551151433E-4</v>
      </c>
      <c r="CN14" s="511">
        <f t="shared" si="15"/>
        <v>6.4207141551151433E-4</v>
      </c>
      <c r="CO14" s="511">
        <f t="shared" si="15"/>
        <v>6.4207141551151433E-4</v>
      </c>
      <c r="CP14" s="511">
        <f t="shared" si="15"/>
        <v>6.4207141551151433E-4</v>
      </c>
      <c r="CQ14" s="511">
        <f t="shared" si="16"/>
        <v>0</v>
      </c>
      <c r="CR14" s="511">
        <f t="shared" si="17"/>
        <v>0</v>
      </c>
      <c r="CS14" s="511">
        <f t="shared" si="17"/>
        <v>0</v>
      </c>
      <c r="CT14" s="511">
        <f t="shared" si="17"/>
        <v>0</v>
      </c>
      <c r="CU14" s="511">
        <f t="shared" si="17"/>
        <v>0</v>
      </c>
      <c r="CV14" s="511">
        <f t="shared" si="17"/>
        <v>0</v>
      </c>
      <c r="CW14" s="511">
        <f t="shared" si="17"/>
        <v>0</v>
      </c>
      <c r="CX14" s="508">
        <f t="shared" si="28"/>
        <v>0</v>
      </c>
      <c r="CY14" s="508">
        <f t="shared" si="28"/>
        <v>0</v>
      </c>
      <c r="CZ14" s="508">
        <f t="shared" si="28"/>
        <v>0</v>
      </c>
      <c r="DA14" s="508">
        <f t="shared" si="28"/>
        <v>0</v>
      </c>
      <c r="DB14" s="508">
        <f t="shared" si="28"/>
        <v>0</v>
      </c>
      <c r="DC14" s="508">
        <f t="shared" si="18"/>
        <v>0</v>
      </c>
      <c r="DD14" s="508">
        <f t="shared" si="18"/>
        <v>0</v>
      </c>
      <c r="DE14" s="508">
        <f t="shared" si="19"/>
        <v>0</v>
      </c>
      <c r="DF14" s="508">
        <f t="shared" si="19"/>
        <v>0</v>
      </c>
      <c r="DG14" s="508">
        <f t="shared" si="19"/>
        <v>-60.833666666666673</v>
      </c>
      <c r="DH14" s="508">
        <f t="shared" si="19"/>
        <v>-60.833666666666673</v>
      </c>
      <c r="DI14" s="508">
        <f t="shared" si="19"/>
        <v>-60.833666666666673</v>
      </c>
      <c r="DJ14" s="508">
        <f t="shared" si="19"/>
        <v>-60.833666666666673</v>
      </c>
      <c r="DK14" s="508">
        <f t="shared" si="19"/>
        <v>-60.833666666666673</v>
      </c>
      <c r="DL14" s="508">
        <f t="shared" si="20"/>
        <v>0</v>
      </c>
      <c r="DM14" s="508">
        <f t="shared" si="20"/>
        <v>0</v>
      </c>
      <c r="DN14" s="508">
        <f t="shared" si="20"/>
        <v>0</v>
      </c>
      <c r="DO14" s="508">
        <f t="shared" si="20"/>
        <v>0</v>
      </c>
      <c r="DP14" s="508">
        <f t="shared" si="20"/>
        <v>0</v>
      </c>
      <c r="DQ14" s="508">
        <f t="shared" si="20"/>
        <v>0</v>
      </c>
      <c r="DR14" s="508">
        <f t="shared" si="20"/>
        <v>0</v>
      </c>
      <c r="DS14" s="508">
        <f t="shared" si="21"/>
        <v>0</v>
      </c>
      <c r="DT14" s="508">
        <f t="shared" si="21"/>
        <v>0</v>
      </c>
      <c r="DU14" s="508">
        <f t="shared" si="21"/>
        <v>17794.807973567957</v>
      </c>
      <c r="DV14" s="508">
        <f t="shared" si="21"/>
        <v>17794.807973567957</v>
      </c>
      <c r="DW14" s="508">
        <f t="shared" si="21"/>
        <v>17794.807973567957</v>
      </c>
      <c r="DX14" s="508">
        <f t="shared" si="21"/>
        <v>17794.807973567957</v>
      </c>
      <c r="DY14" s="508">
        <f t="shared" si="21"/>
        <v>17794.807973567957</v>
      </c>
      <c r="DZ14" s="511">
        <f t="shared" si="22"/>
        <v>0</v>
      </c>
      <c r="EA14" s="511">
        <f t="shared" si="22"/>
        <v>0</v>
      </c>
      <c r="EB14" s="511">
        <f t="shared" si="22"/>
        <v>30163.999226035652</v>
      </c>
      <c r="EC14" s="511">
        <f t="shared" si="22"/>
        <v>30163.999226035652</v>
      </c>
      <c r="ED14" s="511">
        <f t="shared" si="22"/>
        <v>30163.999226035652</v>
      </c>
      <c r="EE14" s="511">
        <f t="shared" si="22"/>
        <v>30163.999226035652</v>
      </c>
      <c r="EF14" s="511">
        <f t="shared" si="22"/>
        <v>30163.999226035652</v>
      </c>
      <c r="EG14" s="511">
        <f t="shared" si="23"/>
        <v>0</v>
      </c>
      <c r="EH14" s="511">
        <f t="shared" si="23"/>
        <v>0</v>
      </c>
      <c r="EI14" s="511">
        <f t="shared" si="23"/>
        <v>1.2070942611616469</v>
      </c>
      <c r="EJ14" s="511">
        <f t="shared" si="23"/>
        <v>1.2070942611616469</v>
      </c>
      <c r="EK14" s="511">
        <f t="shared" si="23"/>
        <v>1.2070942611616469</v>
      </c>
      <c r="EL14" s="511">
        <f t="shared" si="23"/>
        <v>1.2070942611616469</v>
      </c>
      <c r="EM14" s="511">
        <f t="shared" si="23"/>
        <v>1.2070942611616469</v>
      </c>
      <c r="EN14" s="511">
        <f t="shared" si="24"/>
        <v>0</v>
      </c>
      <c r="EO14" s="511">
        <f t="shared" si="24"/>
        <v>0</v>
      </c>
      <c r="EP14" s="511">
        <f t="shared" si="24"/>
        <v>0</v>
      </c>
      <c r="EQ14" s="511">
        <f t="shared" si="24"/>
        <v>0</v>
      </c>
      <c r="ER14" s="511">
        <f t="shared" si="24"/>
        <v>0</v>
      </c>
      <c r="ES14" s="511">
        <f t="shared" si="24"/>
        <v>0</v>
      </c>
      <c r="ET14" s="511">
        <f t="shared" si="24"/>
        <v>0</v>
      </c>
      <c r="EU14" s="777">
        <f t="shared" si="29"/>
        <v>9400</v>
      </c>
      <c r="EV14" s="728">
        <f t="shared" si="30"/>
        <v>0</v>
      </c>
      <c r="EW14" s="728">
        <f t="shared" si="31"/>
        <v>-304.16833333333335</v>
      </c>
      <c r="EX14" s="728">
        <f t="shared" si="32"/>
        <v>0</v>
      </c>
      <c r="EY14" s="728">
        <f t="shared" si="33"/>
        <v>88974.039867839776</v>
      </c>
      <c r="EZ14" s="777">
        <f t="shared" si="34"/>
        <v>150819.99613017828</v>
      </c>
      <c r="FA14" s="777">
        <f t="shared" si="35"/>
        <v>6.0354713058082341</v>
      </c>
      <c r="FB14" s="778">
        <f t="shared" si="36"/>
        <v>0</v>
      </c>
      <c r="FD14" s="10" t="b">
        <f t="shared" si="25"/>
        <v>1</v>
      </c>
      <c r="FE14" s="10" t="b">
        <f>EW14=SUM(EW59,EW104)</f>
        <v>1</v>
      </c>
      <c r="FF14" s="10" t="b">
        <f t="shared" si="25"/>
        <v>1</v>
      </c>
      <c r="FG14" s="10" t="b">
        <f t="shared" si="25"/>
        <v>1</v>
      </c>
      <c r="FH14" s="10" t="b">
        <f t="shared" si="25"/>
        <v>1</v>
      </c>
      <c r="FI14" s="10" t="b">
        <f t="shared" si="25"/>
        <v>1</v>
      </c>
      <c r="FJ14" s="10" t="b">
        <f t="shared" si="25"/>
        <v>1</v>
      </c>
    </row>
    <row r="15" spans="1:168" s="10" customFormat="1" ht="12.75" hidden="1" customHeight="1">
      <c r="A15" s="662">
        <v>9</v>
      </c>
      <c r="B15" s="789" t="s">
        <v>968</v>
      </c>
      <c r="C15" s="662" t="s">
        <v>1977</v>
      </c>
      <c r="D15" s="715" t="s">
        <v>1978</v>
      </c>
      <c r="E15" s="662" t="s">
        <v>331</v>
      </c>
      <c r="F15" s="704" t="s">
        <v>372</v>
      </c>
      <c r="G15" s="704">
        <v>0</v>
      </c>
      <c r="H15" s="1237"/>
      <c r="I15" s="704">
        <f t="shared" si="2"/>
        <v>0</v>
      </c>
      <c r="J15" s="704">
        <v>0</v>
      </c>
      <c r="K15" s="704">
        <f t="shared" si="43"/>
        <v>0</v>
      </c>
      <c r="L15" s="711" t="s">
        <v>1979</v>
      </c>
      <c r="M15" s="707" t="s">
        <v>1968</v>
      </c>
      <c r="N15" s="707">
        <f t="shared" si="44"/>
        <v>0</v>
      </c>
      <c r="O15" s="1237">
        <v>0</v>
      </c>
      <c r="P15" s="704">
        <v>3.99</v>
      </c>
      <c r="Q15" s="1022">
        <v>73.158813589915397</v>
      </c>
      <c r="R15" s="872">
        <v>4.8681772558510162E-3</v>
      </c>
      <c r="S15" s="1022">
        <f>AVERAGE(S60,S105)</f>
        <v>1.2162451045722182</v>
      </c>
      <c r="T15" s="711" t="s">
        <v>1980</v>
      </c>
      <c r="U15" s="712"/>
      <c r="V15" s="1124">
        <v>0.45715305879552487</v>
      </c>
      <c r="W15" s="790"/>
      <c r="X15" s="790"/>
      <c r="Y15" s="790"/>
      <c r="Z15" s="790"/>
      <c r="AA15" s="790"/>
      <c r="AB15" s="790"/>
      <c r="AC15" s="781">
        <f>ROUND((AC$6+AC$7)*$V15,-1)</f>
        <v>1150</v>
      </c>
      <c r="AD15" s="781">
        <f t="shared" ref="AD15:AG43" si="46">ROUND((AD$6+AD$7)*$V15,-1)</f>
        <v>1150</v>
      </c>
      <c r="AE15" s="781">
        <f t="shared" si="46"/>
        <v>1150</v>
      </c>
      <c r="AF15" s="781">
        <f t="shared" si="45"/>
        <v>1150</v>
      </c>
      <c r="AG15" s="781">
        <f t="shared" si="45"/>
        <v>1150</v>
      </c>
      <c r="AH15" s="781">
        <f t="shared" si="26"/>
        <v>1150</v>
      </c>
      <c r="AI15" s="781">
        <f t="shared" si="26"/>
        <v>1150</v>
      </c>
      <c r="AJ15" s="711" t="s">
        <v>374</v>
      </c>
      <c r="AK15" s="711" t="s">
        <v>375</v>
      </c>
      <c r="AL15" s="711" t="s">
        <v>376</v>
      </c>
      <c r="AM15" s="711" t="s">
        <v>1981</v>
      </c>
      <c r="AN15" s="711" t="s">
        <v>1</v>
      </c>
      <c r="AO15" s="711" t="s">
        <v>1982</v>
      </c>
      <c r="AP15" s="711" t="s">
        <v>1977</v>
      </c>
      <c r="AQ15" s="711" t="s">
        <v>1978</v>
      </c>
      <c r="AR15" s="715" t="s">
        <v>943</v>
      </c>
      <c r="AS15" s="715" t="s">
        <v>1941</v>
      </c>
      <c r="AT15" s="715" t="s">
        <v>381</v>
      </c>
      <c r="AU15" s="711">
        <v>10</v>
      </c>
      <c r="AV15" s="711">
        <v>10</v>
      </c>
      <c r="AW15" s="711" t="s">
        <v>1983</v>
      </c>
      <c r="AX15" s="716">
        <v>1</v>
      </c>
      <c r="AY15" s="716">
        <f>AVERAGE(AY60,AY105)</f>
        <v>0.7928596867992872</v>
      </c>
      <c r="AZ15" s="716">
        <v>0.41428062640142549</v>
      </c>
      <c r="BA15" s="499">
        <f t="shared" si="4"/>
        <v>0</v>
      </c>
      <c r="BB15" s="499">
        <f t="shared" si="5"/>
        <v>0</v>
      </c>
      <c r="BC15" s="499">
        <f t="shared" si="5"/>
        <v>0</v>
      </c>
      <c r="BD15" s="499">
        <f t="shared" si="5"/>
        <v>0</v>
      </c>
      <c r="BE15" s="499">
        <f t="shared" si="6"/>
        <v>0</v>
      </c>
      <c r="BF15" s="499">
        <f t="shared" si="6"/>
        <v>0</v>
      </c>
      <c r="BG15" s="499">
        <f t="shared" si="6"/>
        <v>0</v>
      </c>
      <c r="BH15" s="499">
        <f t="shared" si="7"/>
        <v>0</v>
      </c>
      <c r="BI15" s="499">
        <f t="shared" si="8"/>
        <v>0</v>
      </c>
      <c r="BJ15" s="499">
        <f t="shared" si="8"/>
        <v>0</v>
      </c>
      <c r="BK15" s="499">
        <f t="shared" si="8"/>
        <v>0</v>
      </c>
      <c r="BL15" s="499">
        <f t="shared" si="8"/>
        <v>0</v>
      </c>
      <c r="BM15" s="499">
        <f t="shared" si="8"/>
        <v>0</v>
      </c>
      <c r="BN15" s="499">
        <f t="shared" si="8"/>
        <v>0</v>
      </c>
      <c r="BO15" s="499">
        <f t="shared" si="9"/>
        <v>0</v>
      </c>
      <c r="BP15" s="499">
        <f t="shared" si="38"/>
        <v>0</v>
      </c>
      <c r="BQ15" s="499">
        <f t="shared" si="10"/>
        <v>0</v>
      </c>
      <c r="BR15" s="499">
        <f t="shared" si="10"/>
        <v>0</v>
      </c>
      <c r="BS15" s="499">
        <f t="shared" si="10"/>
        <v>0</v>
      </c>
      <c r="BT15" s="499">
        <f t="shared" si="10"/>
        <v>0</v>
      </c>
      <c r="BU15" s="499">
        <f t="shared" si="10"/>
        <v>0</v>
      </c>
      <c r="BV15" s="503">
        <f t="shared" si="27"/>
        <v>3.99</v>
      </c>
      <c r="BW15" s="503">
        <f t="shared" si="11"/>
        <v>3.99</v>
      </c>
      <c r="BX15" s="503">
        <f t="shared" si="11"/>
        <v>3.99</v>
      </c>
      <c r="BY15" s="503">
        <f t="shared" si="11"/>
        <v>3.99</v>
      </c>
      <c r="BZ15" s="503">
        <f t="shared" si="11"/>
        <v>3.99</v>
      </c>
      <c r="CA15" s="503">
        <f t="shared" si="11"/>
        <v>3.99</v>
      </c>
      <c r="CB15" s="503">
        <f t="shared" si="11"/>
        <v>3.99</v>
      </c>
      <c r="CC15" s="511">
        <f t="shared" si="12"/>
        <v>58.004674029507754</v>
      </c>
      <c r="CD15" s="511">
        <f t="shared" si="13"/>
        <v>58.004674029507754</v>
      </c>
      <c r="CE15" s="511">
        <f t="shared" si="13"/>
        <v>58.004674029507754</v>
      </c>
      <c r="CF15" s="511">
        <f t="shared" si="13"/>
        <v>58.004674029507754</v>
      </c>
      <c r="CG15" s="511">
        <f t="shared" si="13"/>
        <v>58.004674029507754</v>
      </c>
      <c r="CH15" s="511">
        <f t="shared" si="13"/>
        <v>58.004674029507754</v>
      </c>
      <c r="CI15" s="511">
        <f t="shared" si="13"/>
        <v>58.004674029507754</v>
      </c>
      <c r="CJ15" s="511">
        <f t="shared" si="14"/>
        <v>3.85978149435745E-3</v>
      </c>
      <c r="CK15" s="511">
        <f t="shared" si="15"/>
        <v>3.85978149435745E-3</v>
      </c>
      <c r="CL15" s="511">
        <f t="shared" si="15"/>
        <v>3.85978149435745E-3</v>
      </c>
      <c r="CM15" s="511">
        <f t="shared" si="15"/>
        <v>3.85978149435745E-3</v>
      </c>
      <c r="CN15" s="511">
        <f t="shared" si="15"/>
        <v>3.85978149435745E-3</v>
      </c>
      <c r="CO15" s="511">
        <f t="shared" si="15"/>
        <v>3.85978149435745E-3</v>
      </c>
      <c r="CP15" s="511">
        <f t="shared" si="15"/>
        <v>3.85978149435745E-3</v>
      </c>
      <c r="CQ15" s="511">
        <f t="shared" si="16"/>
        <v>0.50386678377984584</v>
      </c>
      <c r="CR15" s="511">
        <f t="shared" si="17"/>
        <v>0.50386678377984584</v>
      </c>
      <c r="CS15" s="511">
        <f t="shared" si="17"/>
        <v>0.50386678377984584</v>
      </c>
      <c r="CT15" s="511">
        <f t="shared" si="17"/>
        <v>0.50386678377984584</v>
      </c>
      <c r="CU15" s="511">
        <f t="shared" si="17"/>
        <v>0.50386678377984584</v>
      </c>
      <c r="CV15" s="511">
        <f t="shared" si="17"/>
        <v>0.50386678377984584</v>
      </c>
      <c r="CW15" s="511">
        <f t="shared" si="17"/>
        <v>0.50386678377984584</v>
      </c>
      <c r="CX15" s="508">
        <f t="shared" si="28"/>
        <v>0</v>
      </c>
      <c r="CY15" s="508">
        <f t="shared" si="28"/>
        <v>0</v>
      </c>
      <c r="CZ15" s="508">
        <f t="shared" si="28"/>
        <v>0</v>
      </c>
      <c r="DA15" s="508">
        <f t="shared" si="28"/>
        <v>0</v>
      </c>
      <c r="DB15" s="508">
        <f t="shared" si="28"/>
        <v>0</v>
      </c>
      <c r="DC15" s="508">
        <f t="shared" si="18"/>
        <v>0</v>
      </c>
      <c r="DD15" s="508">
        <f t="shared" si="18"/>
        <v>0</v>
      </c>
      <c r="DE15" s="508">
        <f t="shared" si="19"/>
        <v>0</v>
      </c>
      <c r="DF15" s="508">
        <f t="shared" si="19"/>
        <v>0</v>
      </c>
      <c r="DG15" s="508">
        <f t="shared" si="19"/>
        <v>0</v>
      </c>
      <c r="DH15" s="508">
        <f t="shared" si="19"/>
        <v>0</v>
      </c>
      <c r="DI15" s="508">
        <f t="shared" si="19"/>
        <v>0</v>
      </c>
      <c r="DJ15" s="508">
        <f t="shared" si="19"/>
        <v>0</v>
      </c>
      <c r="DK15" s="508">
        <f t="shared" si="19"/>
        <v>0</v>
      </c>
      <c r="DL15" s="508">
        <f t="shared" si="20"/>
        <v>0</v>
      </c>
      <c r="DM15" s="508">
        <f t="shared" si="20"/>
        <v>0</v>
      </c>
      <c r="DN15" s="508">
        <f t="shared" si="20"/>
        <v>0</v>
      </c>
      <c r="DO15" s="508">
        <f t="shared" si="20"/>
        <v>0</v>
      </c>
      <c r="DP15" s="508">
        <f t="shared" si="20"/>
        <v>0</v>
      </c>
      <c r="DQ15" s="508">
        <f t="shared" si="20"/>
        <v>0</v>
      </c>
      <c r="DR15" s="508">
        <f t="shared" si="20"/>
        <v>0</v>
      </c>
      <c r="DS15" s="508">
        <f t="shared" si="21"/>
        <v>4588.5</v>
      </c>
      <c r="DT15" s="508">
        <f t="shared" si="21"/>
        <v>4588.5</v>
      </c>
      <c r="DU15" s="508">
        <f t="shared" si="21"/>
        <v>4588.5</v>
      </c>
      <c r="DV15" s="508">
        <f t="shared" si="21"/>
        <v>4588.5</v>
      </c>
      <c r="DW15" s="508">
        <f t="shared" si="21"/>
        <v>4588.5</v>
      </c>
      <c r="DX15" s="508">
        <f t="shared" si="21"/>
        <v>4588.5</v>
      </c>
      <c r="DY15" s="508">
        <f t="shared" si="21"/>
        <v>4588.5</v>
      </c>
      <c r="DZ15" s="511">
        <f t="shared" si="22"/>
        <v>66705.375133933921</v>
      </c>
      <c r="EA15" s="511">
        <f t="shared" si="22"/>
        <v>66705.375133933921</v>
      </c>
      <c r="EB15" s="511">
        <f t="shared" si="22"/>
        <v>66705.375133933921</v>
      </c>
      <c r="EC15" s="511">
        <f t="shared" si="22"/>
        <v>66705.375133933921</v>
      </c>
      <c r="ED15" s="511">
        <f t="shared" si="22"/>
        <v>66705.375133933921</v>
      </c>
      <c r="EE15" s="511">
        <f t="shared" si="22"/>
        <v>66705.375133933921</v>
      </c>
      <c r="EF15" s="511">
        <f t="shared" si="22"/>
        <v>66705.375133933921</v>
      </c>
      <c r="EG15" s="511">
        <f t="shared" si="23"/>
        <v>4.4387487185110679</v>
      </c>
      <c r="EH15" s="511">
        <f t="shared" si="23"/>
        <v>4.4387487185110679</v>
      </c>
      <c r="EI15" s="511">
        <f t="shared" si="23"/>
        <v>4.4387487185110679</v>
      </c>
      <c r="EJ15" s="511">
        <f t="shared" si="23"/>
        <v>4.4387487185110679</v>
      </c>
      <c r="EK15" s="511">
        <f t="shared" si="23"/>
        <v>4.4387487185110679</v>
      </c>
      <c r="EL15" s="511">
        <f t="shared" si="23"/>
        <v>4.4387487185110679</v>
      </c>
      <c r="EM15" s="511">
        <f t="shared" si="23"/>
        <v>4.4387487185110679</v>
      </c>
      <c r="EN15" s="511">
        <f t="shared" si="24"/>
        <v>579.44680134682267</v>
      </c>
      <c r="EO15" s="511">
        <f t="shared" si="24"/>
        <v>579.44680134682267</v>
      </c>
      <c r="EP15" s="511">
        <f t="shared" si="24"/>
        <v>579.44680134682267</v>
      </c>
      <c r="EQ15" s="511">
        <f t="shared" si="24"/>
        <v>579.44680134682267</v>
      </c>
      <c r="ER15" s="511">
        <f t="shared" si="24"/>
        <v>579.44680134682267</v>
      </c>
      <c r="ES15" s="511">
        <f t="shared" si="24"/>
        <v>579.44680134682267</v>
      </c>
      <c r="ET15" s="511">
        <f t="shared" si="24"/>
        <v>579.44680134682267</v>
      </c>
      <c r="EU15" s="777">
        <f t="shared" si="29"/>
        <v>8050</v>
      </c>
      <c r="EV15" s="728">
        <f t="shared" si="30"/>
        <v>0</v>
      </c>
      <c r="EW15" s="728">
        <f t="shared" si="31"/>
        <v>0</v>
      </c>
      <c r="EX15" s="728">
        <f t="shared" si="32"/>
        <v>0</v>
      </c>
      <c r="EY15" s="728">
        <f t="shared" si="33"/>
        <v>32119.5</v>
      </c>
      <c r="EZ15" s="777">
        <f t="shared" si="34"/>
        <v>466937.62593753741</v>
      </c>
      <c r="FA15" s="777">
        <f t="shared" si="35"/>
        <v>31.071241029577475</v>
      </c>
      <c r="FB15" s="778">
        <f t="shared" si="36"/>
        <v>4056.1276094277587</v>
      </c>
      <c r="FD15" s="10" t="b">
        <f t="shared" si="25"/>
        <v>1</v>
      </c>
      <c r="FE15" s="10" t="b">
        <f t="shared" si="25"/>
        <v>1</v>
      </c>
      <c r="FF15" s="10" t="b">
        <f t="shared" si="25"/>
        <v>1</v>
      </c>
      <c r="FG15" s="10" t="b">
        <f t="shared" si="25"/>
        <v>1</v>
      </c>
      <c r="FH15" s="10" t="b">
        <f>EZ15=SUM(EZ60,EZ105)</f>
        <v>0</v>
      </c>
      <c r="FI15" s="10" t="b">
        <f t="shared" si="25"/>
        <v>1</v>
      </c>
      <c r="FJ15" s="10" t="b">
        <f t="shared" si="25"/>
        <v>1</v>
      </c>
      <c r="FK15" s="139">
        <f>EZ60+EZ105</f>
        <v>466937.62593753752</v>
      </c>
      <c r="FL15" s="10" t="s">
        <v>1984</v>
      </c>
    </row>
    <row r="16" spans="1:168" s="10" customFormat="1" ht="12.75" hidden="1" customHeight="1">
      <c r="A16" s="662">
        <v>10</v>
      </c>
      <c r="B16" s="789" t="s">
        <v>973</v>
      </c>
      <c r="C16" s="662" t="s">
        <v>1977</v>
      </c>
      <c r="D16" s="715" t="s">
        <v>1978</v>
      </c>
      <c r="E16" s="662" t="s">
        <v>331</v>
      </c>
      <c r="F16" s="704" t="s">
        <v>372</v>
      </c>
      <c r="G16" s="704">
        <v>0</v>
      </c>
      <c r="H16" s="1237"/>
      <c r="I16" s="704">
        <f t="shared" si="2"/>
        <v>0</v>
      </c>
      <c r="J16" s="704">
        <v>0</v>
      </c>
      <c r="K16" s="704">
        <f t="shared" si="43"/>
        <v>0</v>
      </c>
      <c r="L16" s="711" t="s">
        <v>1979</v>
      </c>
      <c r="M16" s="707" t="s">
        <v>1968</v>
      </c>
      <c r="N16" s="707">
        <f t="shared" si="44"/>
        <v>0</v>
      </c>
      <c r="O16" s="1237">
        <v>0</v>
      </c>
      <c r="P16" s="704">
        <v>5.24</v>
      </c>
      <c r="Q16" s="1022">
        <v>205.75916322163712</v>
      </c>
      <c r="R16" s="872">
        <v>1.3691748532080987E-2</v>
      </c>
      <c r="S16" s="1022">
        <f>AVERAGE(S61,S106)</f>
        <v>3.050885101840783</v>
      </c>
      <c r="T16" s="711" t="s">
        <v>1980</v>
      </c>
      <c r="U16" s="712"/>
      <c r="V16" s="1124">
        <v>0.14805998571768628</v>
      </c>
      <c r="W16" s="790"/>
      <c r="X16" s="790"/>
      <c r="Y16" s="790"/>
      <c r="Z16" s="790"/>
      <c r="AA16" s="790"/>
      <c r="AB16" s="790"/>
      <c r="AC16" s="781">
        <f t="shared" ref="AC16:AC43" si="47">ROUND((AC$6+AC$7)*$V16,-1)</f>
        <v>370</v>
      </c>
      <c r="AD16" s="781">
        <f t="shared" si="46"/>
        <v>370</v>
      </c>
      <c r="AE16" s="781">
        <f t="shared" si="46"/>
        <v>370</v>
      </c>
      <c r="AF16" s="781">
        <f t="shared" si="45"/>
        <v>370</v>
      </c>
      <c r="AG16" s="781">
        <f t="shared" si="45"/>
        <v>370</v>
      </c>
      <c r="AH16" s="781">
        <f t="shared" si="26"/>
        <v>370</v>
      </c>
      <c r="AI16" s="781">
        <f t="shared" si="26"/>
        <v>370</v>
      </c>
      <c r="AJ16" s="711" t="s">
        <v>374</v>
      </c>
      <c r="AK16" s="711" t="s">
        <v>375</v>
      </c>
      <c r="AL16" s="711" t="s">
        <v>376</v>
      </c>
      <c r="AM16" s="711" t="s">
        <v>1981</v>
      </c>
      <c r="AN16" s="711" t="s">
        <v>1</v>
      </c>
      <c r="AO16" s="711" t="s">
        <v>1985</v>
      </c>
      <c r="AP16" s="711" t="s">
        <v>1977</v>
      </c>
      <c r="AQ16" s="711" t="s">
        <v>1978</v>
      </c>
      <c r="AR16" s="715" t="s">
        <v>943</v>
      </c>
      <c r="AS16" s="715" t="s">
        <v>1941</v>
      </c>
      <c r="AT16" s="715" t="s">
        <v>381</v>
      </c>
      <c r="AU16" s="711">
        <v>10</v>
      </c>
      <c r="AV16" s="711">
        <v>10</v>
      </c>
      <c r="AW16" s="711" t="s">
        <v>1983</v>
      </c>
      <c r="AX16" s="716">
        <v>1</v>
      </c>
      <c r="AY16" s="716">
        <f>AVERAGE(AY61,AY106)</f>
        <v>0.7928596867992872</v>
      </c>
      <c r="AZ16" s="716">
        <v>0.41428062640142549</v>
      </c>
      <c r="BA16" s="499">
        <f t="shared" si="4"/>
        <v>0</v>
      </c>
      <c r="BB16" s="499">
        <f t="shared" si="5"/>
        <v>0</v>
      </c>
      <c r="BC16" s="499">
        <f t="shared" si="5"/>
        <v>0</v>
      </c>
      <c r="BD16" s="499">
        <f t="shared" si="5"/>
        <v>0</v>
      </c>
      <c r="BE16" s="499">
        <f t="shared" si="6"/>
        <v>0</v>
      </c>
      <c r="BF16" s="499">
        <f t="shared" si="6"/>
        <v>0</v>
      </c>
      <c r="BG16" s="499">
        <f t="shared" si="6"/>
        <v>0</v>
      </c>
      <c r="BH16" s="499">
        <f t="shared" si="7"/>
        <v>0</v>
      </c>
      <c r="BI16" s="499">
        <f t="shared" si="8"/>
        <v>0</v>
      </c>
      <c r="BJ16" s="499">
        <f t="shared" si="8"/>
        <v>0</v>
      </c>
      <c r="BK16" s="499">
        <f t="shared" si="8"/>
        <v>0</v>
      </c>
      <c r="BL16" s="499">
        <f t="shared" si="8"/>
        <v>0</v>
      </c>
      <c r="BM16" s="499">
        <f t="shared" si="8"/>
        <v>0</v>
      </c>
      <c r="BN16" s="499">
        <f t="shared" si="8"/>
        <v>0</v>
      </c>
      <c r="BO16" s="499">
        <f t="shared" si="9"/>
        <v>0</v>
      </c>
      <c r="BP16" s="499">
        <f t="shared" si="38"/>
        <v>0</v>
      </c>
      <c r="BQ16" s="499">
        <f t="shared" si="10"/>
        <v>0</v>
      </c>
      <c r="BR16" s="499">
        <f t="shared" si="10"/>
        <v>0</v>
      </c>
      <c r="BS16" s="499">
        <f t="shared" si="10"/>
        <v>0</v>
      </c>
      <c r="BT16" s="499">
        <f t="shared" si="10"/>
        <v>0</v>
      </c>
      <c r="BU16" s="499">
        <f t="shared" si="10"/>
        <v>0</v>
      </c>
      <c r="BV16" s="503">
        <f t="shared" si="27"/>
        <v>5.24</v>
      </c>
      <c r="BW16" s="503">
        <f t="shared" si="11"/>
        <v>5.24</v>
      </c>
      <c r="BX16" s="503">
        <f t="shared" si="11"/>
        <v>5.24</v>
      </c>
      <c r="BY16" s="503">
        <f t="shared" si="11"/>
        <v>5.24</v>
      </c>
      <c r="BZ16" s="503">
        <f t="shared" si="11"/>
        <v>5.24</v>
      </c>
      <c r="CA16" s="503">
        <f t="shared" si="11"/>
        <v>5.24</v>
      </c>
      <c r="CB16" s="503">
        <f t="shared" si="11"/>
        <v>5.24</v>
      </c>
      <c r="CC16" s="511">
        <f t="shared" si="12"/>
        <v>163.13814570799062</v>
      </c>
      <c r="CD16" s="511">
        <f t="shared" si="13"/>
        <v>163.13814570799062</v>
      </c>
      <c r="CE16" s="511">
        <f t="shared" si="13"/>
        <v>163.13814570799062</v>
      </c>
      <c r="CF16" s="511">
        <f t="shared" si="13"/>
        <v>163.13814570799062</v>
      </c>
      <c r="CG16" s="511">
        <f t="shared" si="13"/>
        <v>163.13814570799062</v>
      </c>
      <c r="CH16" s="511">
        <f t="shared" si="13"/>
        <v>163.13814570799062</v>
      </c>
      <c r="CI16" s="511">
        <f t="shared" si="13"/>
        <v>163.13814570799062</v>
      </c>
      <c r="CJ16" s="511">
        <f t="shared" si="14"/>
        <v>1.0855635452880331E-2</v>
      </c>
      <c r="CK16" s="511">
        <f t="shared" si="15"/>
        <v>1.0855635452880331E-2</v>
      </c>
      <c r="CL16" s="511">
        <f t="shared" si="15"/>
        <v>1.0855635452880331E-2</v>
      </c>
      <c r="CM16" s="511">
        <f t="shared" si="15"/>
        <v>1.0855635452880331E-2</v>
      </c>
      <c r="CN16" s="511">
        <f t="shared" si="15"/>
        <v>1.0855635452880331E-2</v>
      </c>
      <c r="CO16" s="511">
        <f t="shared" si="15"/>
        <v>1.0855635452880331E-2</v>
      </c>
      <c r="CP16" s="511">
        <f t="shared" si="15"/>
        <v>1.0855635452880331E-2</v>
      </c>
      <c r="CQ16" s="511">
        <f t="shared" si="16"/>
        <v>1.2639225910693763</v>
      </c>
      <c r="CR16" s="511">
        <f t="shared" si="17"/>
        <v>1.2639225910693763</v>
      </c>
      <c r="CS16" s="511">
        <f t="shared" si="17"/>
        <v>1.2639225910693763</v>
      </c>
      <c r="CT16" s="511">
        <f t="shared" si="17"/>
        <v>1.2639225910693763</v>
      </c>
      <c r="CU16" s="511">
        <f t="shared" si="17"/>
        <v>1.2639225910693763</v>
      </c>
      <c r="CV16" s="511">
        <f t="shared" si="17"/>
        <v>1.2639225910693763</v>
      </c>
      <c r="CW16" s="511">
        <f t="shared" si="17"/>
        <v>1.2639225910693763</v>
      </c>
      <c r="CX16" s="508">
        <f t="shared" si="28"/>
        <v>0</v>
      </c>
      <c r="CY16" s="508">
        <f t="shared" si="28"/>
        <v>0</v>
      </c>
      <c r="CZ16" s="508">
        <f t="shared" si="28"/>
        <v>0</v>
      </c>
      <c r="DA16" s="508">
        <f t="shared" si="28"/>
        <v>0</v>
      </c>
      <c r="DB16" s="508">
        <f t="shared" si="28"/>
        <v>0</v>
      </c>
      <c r="DC16" s="508">
        <f t="shared" si="18"/>
        <v>0</v>
      </c>
      <c r="DD16" s="508">
        <f t="shared" si="18"/>
        <v>0</v>
      </c>
      <c r="DE16" s="508">
        <f t="shared" si="19"/>
        <v>0</v>
      </c>
      <c r="DF16" s="508">
        <f t="shared" si="19"/>
        <v>0</v>
      </c>
      <c r="DG16" s="508">
        <f t="shared" si="19"/>
        <v>0</v>
      </c>
      <c r="DH16" s="508">
        <f t="shared" si="19"/>
        <v>0</v>
      </c>
      <c r="DI16" s="508">
        <f t="shared" si="19"/>
        <v>0</v>
      </c>
      <c r="DJ16" s="508">
        <f t="shared" si="19"/>
        <v>0</v>
      </c>
      <c r="DK16" s="508">
        <f t="shared" si="19"/>
        <v>0</v>
      </c>
      <c r="DL16" s="508">
        <f t="shared" si="20"/>
        <v>0</v>
      </c>
      <c r="DM16" s="508">
        <f t="shared" si="20"/>
        <v>0</v>
      </c>
      <c r="DN16" s="508">
        <f t="shared" si="20"/>
        <v>0</v>
      </c>
      <c r="DO16" s="508">
        <f t="shared" si="20"/>
        <v>0</v>
      </c>
      <c r="DP16" s="508">
        <f t="shared" si="20"/>
        <v>0</v>
      </c>
      <c r="DQ16" s="508">
        <f t="shared" si="20"/>
        <v>0</v>
      </c>
      <c r="DR16" s="508">
        <f t="shared" si="20"/>
        <v>0</v>
      </c>
      <c r="DS16" s="508">
        <f t="shared" si="21"/>
        <v>1938.8000000000002</v>
      </c>
      <c r="DT16" s="508">
        <f t="shared" si="21"/>
        <v>1938.8000000000002</v>
      </c>
      <c r="DU16" s="508">
        <f t="shared" si="21"/>
        <v>1938.8000000000002</v>
      </c>
      <c r="DV16" s="508">
        <f t="shared" si="21"/>
        <v>1938.8000000000002</v>
      </c>
      <c r="DW16" s="508">
        <f t="shared" si="21"/>
        <v>1938.8000000000002</v>
      </c>
      <c r="DX16" s="508">
        <f t="shared" si="21"/>
        <v>1938.8000000000002</v>
      </c>
      <c r="DY16" s="508">
        <f t="shared" si="21"/>
        <v>1938.8000000000002</v>
      </c>
      <c r="DZ16" s="511">
        <f t="shared" si="22"/>
        <v>60361.113911956527</v>
      </c>
      <c r="EA16" s="511">
        <f t="shared" si="22"/>
        <v>60361.113911956527</v>
      </c>
      <c r="EB16" s="511">
        <f t="shared" si="22"/>
        <v>60361.113911956527</v>
      </c>
      <c r="EC16" s="511">
        <f t="shared" si="22"/>
        <v>60361.113911956527</v>
      </c>
      <c r="ED16" s="511">
        <f t="shared" si="22"/>
        <v>60361.113911956527</v>
      </c>
      <c r="EE16" s="511">
        <f t="shared" si="22"/>
        <v>60361.113911956527</v>
      </c>
      <c r="EF16" s="511">
        <f t="shared" si="22"/>
        <v>60361.113911956527</v>
      </c>
      <c r="EG16" s="511">
        <f t="shared" si="23"/>
        <v>4.0165851175657226</v>
      </c>
      <c r="EH16" s="511">
        <f t="shared" si="23"/>
        <v>4.0165851175657226</v>
      </c>
      <c r="EI16" s="511">
        <f t="shared" si="23"/>
        <v>4.0165851175657226</v>
      </c>
      <c r="EJ16" s="511">
        <f t="shared" si="23"/>
        <v>4.0165851175657226</v>
      </c>
      <c r="EK16" s="511">
        <f t="shared" si="23"/>
        <v>4.0165851175657226</v>
      </c>
      <c r="EL16" s="511">
        <f t="shared" si="23"/>
        <v>4.0165851175657226</v>
      </c>
      <c r="EM16" s="511">
        <f t="shared" si="23"/>
        <v>4.0165851175657226</v>
      </c>
      <c r="EN16" s="511">
        <f t="shared" si="24"/>
        <v>467.65135869566922</v>
      </c>
      <c r="EO16" s="511">
        <f t="shared" si="24"/>
        <v>467.65135869566922</v>
      </c>
      <c r="EP16" s="511">
        <f t="shared" si="24"/>
        <v>467.65135869566922</v>
      </c>
      <c r="EQ16" s="511">
        <f t="shared" si="24"/>
        <v>467.65135869566922</v>
      </c>
      <c r="ER16" s="511">
        <f t="shared" si="24"/>
        <v>467.65135869566922</v>
      </c>
      <c r="ES16" s="511">
        <f t="shared" si="24"/>
        <v>467.65135869566922</v>
      </c>
      <c r="ET16" s="511">
        <f t="shared" si="24"/>
        <v>467.65135869566922</v>
      </c>
      <c r="EU16" s="777">
        <f t="shared" si="29"/>
        <v>2590</v>
      </c>
      <c r="EV16" s="728">
        <f t="shared" si="30"/>
        <v>0</v>
      </c>
      <c r="EW16" s="728">
        <f t="shared" si="31"/>
        <v>0</v>
      </c>
      <c r="EX16" s="728">
        <f t="shared" si="32"/>
        <v>0</v>
      </c>
      <c r="EY16" s="728">
        <f t="shared" si="33"/>
        <v>13571.599999999999</v>
      </c>
      <c r="EZ16" s="777">
        <f t="shared" si="34"/>
        <v>422527.79738369572</v>
      </c>
      <c r="FA16" s="777">
        <f t="shared" si="35"/>
        <v>28.116095822960055</v>
      </c>
      <c r="FB16" s="778">
        <f t="shared" si="36"/>
        <v>3273.5595108696848</v>
      </c>
      <c r="FD16" s="10" t="b">
        <f t="shared" si="25"/>
        <v>1</v>
      </c>
      <c r="FE16" s="10" t="b">
        <f t="shared" si="25"/>
        <v>1</v>
      </c>
      <c r="FF16" s="10" t="b">
        <f t="shared" si="25"/>
        <v>1</v>
      </c>
      <c r="FG16" s="10" t="b">
        <f>EY16=SUM(EY61,EY106)</f>
        <v>1</v>
      </c>
      <c r="FH16" s="10" t="b">
        <f>EZ16=SUM(EZ61,EZ106)</f>
        <v>1</v>
      </c>
      <c r="FI16" s="10" t="b">
        <f>FA16=SUM(FA61,FA106)</f>
        <v>1</v>
      </c>
      <c r="FJ16" s="10" t="b">
        <f t="shared" si="25"/>
        <v>1</v>
      </c>
    </row>
    <row r="17" spans="1:169" s="10" customFormat="1" ht="12.75" hidden="1" customHeight="1">
      <c r="A17" s="662">
        <v>11</v>
      </c>
      <c r="B17" s="789" t="s">
        <v>977</v>
      </c>
      <c r="C17" s="662" t="s">
        <v>1986</v>
      </c>
      <c r="D17" s="715" t="s">
        <v>1987</v>
      </c>
      <c r="E17" s="662" t="s">
        <v>331</v>
      </c>
      <c r="F17" s="704" t="s">
        <v>372</v>
      </c>
      <c r="G17" s="704">
        <v>0</v>
      </c>
      <c r="H17" s="1237"/>
      <c r="I17" s="704">
        <f t="shared" si="2"/>
        <v>0</v>
      </c>
      <c r="J17" s="704">
        <v>0</v>
      </c>
      <c r="K17" s="704">
        <f t="shared" si="43"/>
        <v>0</v>
      </c>
      <c r="L17" s="913" t="s">
        <v>1988</v>
      </c>
      <c r="M17" s="707" t="s">
        <v>1968</v>
      </c>
      <c r="N17" s="707">
        <f t="shared" si="44"/>
        <v>0</v>
      </c>
      <c r="O17" s="1237">
        <v>0</v>
      </c>
      <c r="P17" s="704">
        <f>AVERAGE(13.72,18,6.87)</f>
        <v>12.863333333333332</v>
      </c>
      <c r="Q17" s="1022">
        <v>448.19006665355232</v>
      </c>
      <c r="R17" s="872">
        <v>2.9823729797088104E-2</v>
      </c>
      <c r="S17" s="1022">
        <f>AVERAGE(S62,S107)</f>
        <v>10.236661122367135</v>
      </c>
      <c r="T17" s="711" t="s">
        <v>1980</v>
      </c>
      <c r="U17" s="712"/>
      <c r="V17" s="1124">
        <v>0.61235420138062369</v>
      </c>
      <c r="W17" s="790"/>
      <c r="X17" s="790"/>
      <c r="Y17" s="790"/>
      <c r="Z17" s="790"/>
      <c r="AA17" s="790"/>
      <c r="AB17" s="790"/>
      <c r="AC17" s="781">
        <f t="shared" si="47"/>
        <v>1540</v>
      </c>
      <c r="AD17" s="781">
        <f t="shared" si="46"/>
        <v>1540</v>
      </c>
      <c r="AE17" s="781">
        <f t="shared" si="46"/>
        <v>1540</v>
      </c>
      <c r="AF17" s="781">
        <f t="shared" si="45"/>
        <v>1540</v>
      </c>
      <c r="AG17" s="781">
        <f t="shared" si="45"/>
        <v>1540</v>
      </c>
      <c r="AH17" s="781">
        <f t="shared" si="26"/>
        <v>1540</v>
      </c>
      <c r="AI17" s="781">
        <f t="shared" si="26"/>
        <v>1540</v>
      </c>
      <c r="AJ17" s="711" t="s">
        <v>374</v>
      </c>
      <c r="AK17" s="711" t="s">
        <v>375</v>
      </c>
      <c r="AL17" s="711" t="s">
        <v>376</v>
      </c>
      <c r="AM17" s="711" t="s">
        <v>1981</v>
      </c>
      <c r="AN17" s="711" t="s">
        <v>1</v>
      </c>
      <c r="AO17" s="711" t="s">
        <v>1989</v>
      </c>
      <c r="AP17" s="711" t="s">
        <v>1986</v>
      </c>
      <c r="AQ17" s="711" t="s">
        <v>1987</v>
      </c>
      <c r="AR17" s="715" t="s">
        <v>943</v>
      </c>
      <c r="AS17" s="715" t="s">
        <v>1941</v>
      </c>
      <c r="AT17" s="715" t="s">
        <v>381</v>
      </c>
      <c r="AU17" s="711">
        <v>10</v>
      </c>
      <c r="AV17" s="711">
        <v>10</v>
      </c>
      <c r="AW17" s="711" t="s">
        <v>1990</v>
      </c>
      <c r="AX17" s="716">
        <v>1</v>
      </c>
      <c r="AY17" s="716">
        <f>AVERAGE(AY62,AY107)</f>
        <v>0.7928596867992872</v>
      </c>
      <c r="AZ17" s="716">
        <v>0.41428062640142549</v>
      </c>
      <c r="BA17" s="499">
        <f t="shared" si="4"/>
        <v>0</v>
      </c>
      <c r="BB17" s="499">
        <f t="shared" si="5"/>
        <v>0</v>
      </c>
      <c r="BC17" s="499">
        <f t="shared" si="5"/>
        <v>0</v>
      </c>
      <c r="BD17" s="499">
        <f t="shared" si="5"/>
        <v>0</v>
      </c>
      <c r="BE17" s="499">
        <f t="shared" si="6"/>
        <v>0</v>
      </c>
      <c r="BF17" s="499">
        <f t="shared" si="6"/>
        <v>0</v>
      </c>
      <c r="BG17" s="499">
        <f t="shared" si="6"/>
        <v>0</v>
      </c>
      <c r="BH17" s="499">
        <f t="shared" si="7"/>
        <v>0</v>
      </c>
      <c r="BI17" s="499">
        <f t="shared" si="8"/>
        <v>0</v>
      </c>
      <c r="BJ17" s="499">
        <f t="shared" si="8"/>
        <v>0</v>
      </c>
      <c r="BK17" s="499">
        <f t="shared" si="8"/>
        <v>0</v>
      </c>
      <c r="BL17" s="499">
        <f t="shared" si="8"/>
        <v>0</v>
      </c>
      <c r="BM17" s="499">
        <f t="shared" si="8"/>
        <v>0</v>
      </c>
      <c r="BN17" s="499">
        <f t="shared" si="8"/>
        <v>0</v>
      </c>
      <c r="BO17" s="499">
        <f t="shared" si="9"/>
        <v>0</v>
      </c>
      <c r="BP17" s="499">
        <f t="shared" si="38"/>
        <v>0</v>
      </c>
      <c r="BQ17" s="499">
        <f t="shared" si="10"/>
        <v>0</v>
      </c>
      <c r="BR17" s="499">
        <f t="shared" si="10"/>
        <v>0</v>
      </c>
      <c r="BS17" s="499">
        <f t="shared" si="10"/>
        <v>0</v>
      </c>
      <c r="BT17" s="499">
        <f t="shared" si="10"/>
        <v>0</v>
      </c>
      <c r="BU17" s="499">
        <f t="shared" si="10"/>
        <v>0</v>
      </c>
      <c r="BV17" s="503">
        <f t="shared" si="27"/>
        <v>12.863333333333332</v>
      </c>
      <c r="BW17" s="503">
        <f t="shared" si="11"/>
        <v>12.863333333333332</v>
      </c>
      <c r="BX17" s="503">
        <f t="shared" si="11"/>
        <v>12.863333333333332</v>
      </c>
      <c r="BY17" s="503">
        <f t="shared" si="11"/>
        <v>12.863333333333332</v>
      </c>
      <c r="BZ17" s="503">
        <f t="shared" si="11"/>
        <v>12.863333333333332</v>
      </c>
      <c r="CA17" s="503">
        <f t="shared" si="11"/>
        <v>12.863333333333332</v>
      </c>
      <c r="CB17" s="503">
        <f t="shared" si="11"/>
        <v>12.863333333333332</v>
      </c>
      <c r="CC17" s="511">
        <f>Q17*AY17</f>
        <v>355.35183587348718</v>
      </c>
      <c r="CD17" s="511">
        <f t="shared" si="13"/>
        <v>355.35183587348718</v>
      </c>
      <c r="CE17" s="511">
        <f t="shared" si="13"/>
        <v>355.35183587348718</v>
      </c>
      <c r="CF17" s="511">
        <f t="shared" si="13"/>
        <v>355.35183587348718</v>
      </c>
      <c r="CG17" s="511">
        <f t="shared" si="13"/>
        <v>355.35183587348718</v>
      </c>
      <c r="CH17" s="511">
        <f t="shared" si="13"/>
        <v>355.35183587348718</v>
      </c>
      <c r="CI17" s="511">
        <f t="shared" si="13"/>
        <v>355.35183587348718</v>
      </c>
      <c r="CJ17" s="511">
        <f t="shared" si="14"/>
        <v>2.3646033066105843E-2</v>
      </c>
      <c r="CK17" s="511">
        <f t="shared" si="15"/>
        <v>2.3646033066105843E-2</v>
      </c>
      <c r="CL17" s="511">
        <f t="shared" si="15"/>
        <v>2.3646033066105843E-2</v>
      </c>
      <c r="CM17" s="511">
        <f t="shared" si="15"/>
        <v>2.3646033066105843E-2</v>
      </c>
      <c r="CN17" s="511">
        <f t="shared" si="15"/>
        <v>2.3646033066105843E-2</v>
      </c>
      <c r="CO17" s="511">
        <f t="shared" si="15"/>
        <v>2.3646033066105843E-2</v>
      </c>
      <c r="CP17" s="511">
        <f t="shared" si="15"/>
        <v>2.3646033066105843E-2</v>
      </c>
      <c r="CQ17" s="511">
        <f t="shared" si="16"/>
        <v>4.2408503820333756</v>
      </c>
      <c r="CR17" s="511">
        <f t="shared" si="17"/>
        <v>4.2408503820333756</v>
      </c>
      <c r="CS17" s="511">
        <f t="shared" si="17"/>
        <v>4.2408503820333756</v>
      </c>
      <c r="CT17" s="511">
        <f t="shared" si="17"/>
        <v>4.2408503820333756</v>
      </c>
      <c r="CU17" s="511">
        <f t="shared" si="17"/>
        <v>4.2408503820333756</v>
      </c>
      <c r="CV17" s="511">
        <f t="shared" si="17"/>
        <v>4.2408503820333756</v>
      </c>
      <c r="CW17" s="511">
        <f t="shared" si="17"/>
        <v>4.2408503820333756</v>
      </c>
      <c r="CX17" s="508">
        <f t="shared" si="28"/>
        <v>0</v>
      </c>
      <c r="CY17" s="508">
        <f t="shared" si="28"/>
        <v>0</v>
      </c>
      <c r="CZ17" s="508">
        <f t="shared" si="28"/>
        <v>0</v>
      </c>
      <c r="DA17" s="508">
        <f t="shared" si="28"/>
        <v>0</v>
      </c>
      <c r="DB17" s="508">
        <f t="shared" si="28"/>
        <v>0</v>
      </c>
      <c r="DC17" s="508">
        <f t="shared" si="18"/>
        <v>0</v>
      </c>
      <c r="DD17" s="508">
        <f t="shared" si="18"/>
        <v>0</v>
      </c>
      <c r="DE17" s="508">
        <f t="shared" si="19"/>
        <v>0</v>
      </c>
      <c r="DF17" s="508">
        <f t="shared" si="19"/>
        <v>0</v>
      </c>
      <c r="DG17" s="508">
        <f t="shared" si="19"/>
        <v>0</v>
      </c>
      <c r="DH17" s="508">
        <f t="shared" si="19"/>
        <v>0</v>
      </c>
      <c r="DI17" s="508">
        <f t="shared" si="19"/>
        <v>0</v>
      </c>
      <c r="DJ17" s="508">
        <f t="shared" si="19"/>
        <v>0</v>
      </c>
      <c r="DK17" s="508">
        <f t="shared" si="19"/>
        <v>0</v>
      </c>
      <c r="DL17" s="508">
        <f t="shared" si="20"/>
        <v>0</v>
      </c>
      <c r="DM17" s="508">
        <f t="shared" si="20"/>
        <v>0</v>
      </c>
      <c r="DN17" s="508">
        <f t="shared" si="20"/>
        <v>0</v>
      </c>
      <c r="DO17" s="508">
        <f t="shared" si="20"/>
        <v>0</v>
      </c>
      <c r="DP17" s="508">
        <f t="shared" si="20"/>
        <v>0</v>
      </c>
      <c r="DQ17" s="508">
        <f t="shared" si="20"/>
        <v>0</v>
      </c>
      <c r="DR17" s="508">
        <f t="shared" si="20"/>
        <v>0</v>
      </c>
      <c r="DS17" s="508">
        <f t="shared" si="21"/>
        <v>19809.533333333329</v>
      </c>
      <c r="DT17" s="508">
        <f t="shared" si="21"/>
        <v>19809.533333333329</v>
      </c>
      <c r="DU17" s="508">
        <f t="shared" si="21"/>
        <v>19809.533333333329</v>
      </c>
      <c r="DV17" s="508">
        <f t="shared" si="21"/>
        <v>19809.533333333329</v>
      </c>
      <c r="DW17" s="508">
        <f t="shared" si="21"/>
        <v>19809.533333333329</v>
      </c>
      <c r="DX17" s="508">
        <f t="shared" si="21"/>
        <v>19809.533333333329</v>
      </c>
      <c r="DY17" s="508">
        <f t="shared" si="21"/>
        <v>19809.533333333329</v>
      </c>
      <c r="DZ17" s="511">
        <f t="shared" si="22"/>
        <v>547241.82724517025</v>
      </c>
      <c r="EA17" s="511">
        <f t="shared" si="22"/>
        <v>547241.82724517025</v>
      </c>
      <c r="EB17" s="511">
        <f t="shared" si="22"/>
        <v>547241.82724517025</v>
      </c>
      <c r="EC17" s="511">
        <f t="shared" si="22"/>
        <v>547241.82724517025</v>
      </c>
      <c r="ED17" s="511">
        <f t="shared" si="22"/>
        <v>547241.82724517025</v>
      </c>
      <c r="EE17" s="511">
        <f t="shared" si="22"/>
        <v>547241.82724517025</v>
      </c>
      <c r="EF17" s="511">
        <f t="shared" si="22"/>
        <v>547241.82724517025</v>
      </c>
      <c r="EG17" s="511">
        <f t="shared" si="23"/>
        <v>36.414890921803</v>
      </c>
      <c r="EH17" s="511">
        <f t="shared" si="23"/>
        <v>36.414890921803</v>
      </c>
      <c r="EI17" s="511">
        <f t="shared" si="23"/>
        <v>36.414890921803</v>
      </c>
      <c r="EJ17" s="511">
        <f t="shared" si="23"/>
        <v>36.414890921803</v>
      </c>
      <c r="EK17" s="511">
        <f t="shared" si="23"/>
        <v>36.414890921803</v>
      </c>
      <c r="EL17" s="511">
        <f t="shared" si="23"/>
        <v>36.414890921803</v>
      </c>
      <c r="EM17" s="511">
        <f t="shared" si="23"/>
        <v>36.414890921803</v>
      </c>
      <c r="EN17" s="511">
        <f t="shared" si="24"/>
        <v>6530.9095883313985</v>
      </c>
      <c r="EO17" s="511">
        <f t="shared" si="24"/>
        <v>6530.9095883313985</v>
      </c>
      <c r="EP17" s="511">
        <f t="shared" si="24"/>
        <v>6530.9095883313985</v>
      </c>
      <c r="EQ17" s="511">
        <f t="shared" si="24"/>
        <v>6530.9095883313985</v>
      </c>
      <c r="ER17" s="511">
        <f t="shared" si="24"/>
        <v>6530.9095883313985</v>
      </c>
      <c r="ES17" s="511">
        <f t="shared" si="24"/>
        <v>6530.9095883313985</v>
      </c>
      <c r="ET17" s="511">
        <f t="shared" si="24"/>
        <v>6530.9095883313985</v>
      </c>
      <c r="EU17" s="777">
        <f t="shared" si="29"/>
        <v>10780</v>
      </c>
      <c r="EV17" s="728">
        <f t="shared" si="30"/>
        <v>0</v>
      </c>
      <c r="EW17" s="728">
        <f t="shared" si="31"/>
        <v>0</v>
      </c>
      <c r="EX17" s="728">
        <f t="shared" si="32"/>
        <v>0</v>
      </c>
      <c r="EY17" s="728">
        <f t="shared" si="33"/>
        <v>138666.73333333331</v>
      </c>
      <c r="EZ17" s="777">
        <f t="shared" si="34"/>
        <v>3830692.7907161918</v>
      </c>
      <c r="FA17" s="777">
        <f t="shared" si="35"/>
        <v>254.90423645262098</v>
      </c>
      <c r="FB17" s="778">
        <f t="shared" si="36"/>
        <v>45716.367118319795</v>
      </c>
      <c r="FD17" s="10" t="b">
        <f t="shared" si="25"/>
        <v>1</v>
      </c>
      <c r="FE17" s="10" t="b">
        <f t="shared" si="25"/>
        <v>1</v>
      </c>
      <c r="FF17" s="10" t="b">
        <f t="shared" si="25"/>
        <v>1</v>
      </c>
      <c r="FG17" s="10" t="b">
        <f>EY17=SUM(EY62,EY107)</f>
        <v>1</v>
      </c>
      <c r="FH17" s="10" t="b">
        <f>EZ17=SUM(EZ62,EZ107)</f>
        <v>1</v>
      </c>
      <c r="FI17" s="10" t="b">
        <f t="shared" si="25"/>
        <v>1</v>
      </c>
      <c r="FJ17" s="10" t="b">
        <f t="shared" si="25"/>
        <v>1</v>
      </c>
      <c r="FL17" s="139"/>
      <c r="FM17" s="139"/>
    </row>
    <row r="18" spans="1:169" s="10" customFormat="1" ht="12.75" hidden="1" customHeight="1">
      <c r="A18" s="662">
        <v>12</v>
      </c>
      <c r="B18" s="789" t="s">
        <v>981</v>
      </c>
      <c r="C18" s="662" t="s">
        <v>1991</v>
      </c>
      <c r="D18" s="715" t="s">
        <v>1992</v>
      </c>
      <c r="E18" s="662" t="s">
        <v>331</v>
      </c>
      <c r="F18" s="704" t="s">
        <v>372</v>
      </c>
      <c r="G18" s="704">
        <v>0</v>
      </c>
      <c r="H18" s="1237"/>
      <c r="I18" s="704">
        <f t="shared" si="2"/>
        <v>0</v>
      </c>
      <c r="J18" s="704">
        <v>0</v>
      </c>
      <c r="K18" s="704">
        <f t="shared" si="43"/>
        <v>0</v>
      </c>
      <c r="L18" s="711" t="s">
        <v>1993</v>
      </c>
      <c r="M18" s="707" t="s">
        <v>1968</v>
      </c>
      <c r="N18" s="707">
        <f t="shared" si="44"/>
        <v>0</v>
      </c>
      <c r="O18" s="1237">
        <v>0</v>
      </c>
      <c r="P18" s="707">
        <v>9.9</v>
      </c>
      <c r="Q18" s="1022">
        <v>53.333333333333336</v>
      </c>
      <c r="R18" s="872">
        <v>3.5489383653406295E-3</v>
      </c>
      <c r="S18" s="1022">
        <f>AVERAGE(S63,S108)</f>
        <v>1.2132057599999999</v>
      </c>
      <c r="T18" s="711" t="s">
        <v>1994</v>
      </c>
      <c r="U18" s="712"/>
      <c r="V18" s="1124">
        <v>0.17769578671744823</v>
      </c>
      <c r="W18" s="790"/>
      <c r="X18" s="790"/>
      <c r="Y18" s="790"/>
      <c r="Z18" s="790"/>
      <c r="AA18" s="790"/>
      <c r="AB18" s="790"/>
      <c r="AC18" s="781">
        <f t="shared" si="47"/>
        <v>450</v>
      </c>
      <c r="AD18" s="781">
        <f t="shared" si="46"/>
        <v>450</v>
      </c>
      <c r="AE18" s="781">
        <f t="shared" si="46"/>
        <v>450</v>
      </c>
      <c r="AF18" s="781">
        <f t="shared" si="45"/>
        <v>450</v>
      </c>
      <c r="AG18" s="781">
        <f t="shared" si="45"/>
        <v>450</v>
      </c>
      <c r="AH18" s="781">
        <f t="shared" si="26"/>
        <v>450</v>
      </c>
      <c r="AI18" s="781">
        <f t="shared" si="26"/>
        <v>450</v>
      </c>
      <c r="AJ18" s="711" t="s">
        <v>374</v>
      </c>
      <c r="AK18" s="711" t="s">
        <v>375</v>
      </c>
      <c r="AL18" s="711" t="s">
        <v>376</v>
      </c>
      <c r="AM18" s="711" t="s">
        <v>1981</v>
      </c>
      <c r="AN18" s="711" t="s">
        <v>1</v>
      </c>
      <c r="AO18" s="711" t="s">
        <v>1995</v>
      </c>
      <c r="AP18" s="711" t="s">
        <v>1991</v>
      </c>
      <c r="AQ18" s="711" t="s">
        <v>1992</v>
      </c>
      <c r="AR18" s="715" t="s">
        <v>943</v>
      </c>
      <c r="AS18" s="715" t="s">
        <v>1941</v>
      </c>
      <c r="AT18" s="715" t="s">
        <v>381</v>
      </c>
      <c r="AU18" s="711">
        <v>13</v>
      </c>
      <c r="AV18" s="711">
        <v>13</v>
      </c>
      <c r="AW18" s="711" t="s">
        <v>1996</v>
      </c>
      <c r="AX18" s="716">
        <v>1</v>
      </c>
      <c r="AY18" s="716">
        <f>AVERAGE(AY63,AY108)</f>
        <v>0.7928596867992872</v>
      </c>
      <c r="AZ18" s="716">
        <v>0.41428062640142549</v>
      </c>
      <c r="BA18" s="499">
        <f t="shared" si="4"/>
        <v>0</v>
      </c>
      <c r="BB18" s="499">
        <f t="shared" si="5"/>
        <v>0</v>
      </c>
      <c r="BC18" s="499">
        <f t="shared" si="5"/>
        <v>0</v>
      </c>
      <c r="BD18" s="499">
        <f t="shared" si="5"/>
        <v>0</v>
      </c>
      <c r="BE18" s="499">
        <f t="shared" si="6"/>
        <v>0</v>
      </c>
      <c r="BF18" s="499">
        <f t="shared" si="6"/>
        <v>0</v>
      </c>
      <c r="BG18" s="499">
        <f t="shared" si="6"/>
        <v>0</v>
      </c>
      <c r="BH18" s="499">
        <f t="shared" si="7"/>
        <v>0</v>
      </c>
      <c r="BI18" s="499">
        <f t="shared" si="8"/>
        <v>0</v>
      </c>
      <c r="BJ18" s="499">
        <f t="shared" si="8"/>
        <v>0</v>
      </c>
      <c r="BK18" s="499">
        <f t="shared" si="8"/>
        <v>0</v>
      </c>
      <c r="BL18" s="499">
        <f t="shared" si="8"/>
        <v>0</v>
      </c>
      <c r="BM18" s="499">
        <f t="shared" si="8"/>
        <v>0</v>
      </c>
      <c r="BN18" s="499">
        <f t="shared" si="8"/>
        <v>0</v>
      </c>
      <c r="BO18" s="499">
        <f t="shared" si="9"/>
        <v>0</v>
      </c>
      <c r="BP18" s="499">
        <f t="shared" si="38"/>
        <v>0</v>
      </c>
      <c r="BQ18" s="499">
        <f t="shared" si="10"/>
        <v>0</v>
      </c>
      <c r="BR18" s="499">
        <f t="shared" si="10"/>
        <v>0</v>
      </c>
      <c r="BS18" s="499">
        <f t="shared" si="10"/>
        <v>0</v>
      </c>
      <c r="BT18" s="499">
        <f t="shared" si="10"/>
        <v>0</v>
      </c>
      <c r="BU18" s="499">
        <f t="shared" si="10"/>
        <v>0</v>
      </c>
      <c r="BV18" s="503">
        <f t="shared" si="27"/>
        <v>9.9</v>
      </c>
      <c r="BW18" s="503">
        <f t="shared" si="11"/>
        <v>9.9</v>
      </c>
      <c r="BX18" s="503">
        <f t="shared" si="11"/>
        <v>9.9</v>
      </c>
      <c r="BY18" s="503">
        <f t="shared" si="11"/>
        <v>9.9</v>
      </c>
      <c r="BZ18" s="503">
        <f t="shared" si="11"/>
        <v>9.9</v>
      </c>
      <c r="CA18" s="503">
        <f t="shared" si="11"/>
        <v>9.9</v>
      </c>
      <c r="CB18" s="503">
        <f t="shared" si="11"/>
        <v>9.9</v>
      </c>
      <c r="CC18" s="511">
        <f t="shared" si="12"/>
        <v>42.285849962628653</v>
      </c>
      <c r="CD18" s="511">
        <f t="shared" si="13"/>
        <v>42.285849962628653</v>
      </c>
      <c r="CE18" s="511">
        <f t="shared" si="13"/>
        <v>42.285849962628653</v>
      </c>
      <c r="CF18" s="511">
        <f t="shared" si="13"/>
        <v>42.285849962628653</v>
      </c>
      <c r="CG18" s="511">
        <f t="shared" si="13"/>
        <v>42.285849962628653</v>
      </c>
      <c r="CH18" s="511">
        <f t="shared" si="13"/>
        <v>42.285849962628653</v>
      </c>
      <c r="CI18" s="511">
        <f t="shared" si="13"/>
        <v>42.285849962628653</v>
      </c>
      <c r="CJ18" s="511">
        <f t="shared" si="14"/>
        <v>2.8138101608139458E-3</v>
      </c>
      <c r="CK18" s="511">
        <f t="shared" si="15"/>
        <v>2.8138101608139458E-3</v>
      </c>
      <c r="CL18" s="511">
        <f t="shared" si="15"/>
        <v>2.8138101608139458E-3</v>
      </c>
      <c r="CM18" s="511">
        <f t="shared" si="15"/>
        <v>2.8138101608139458E-3</v>
      </c>
      <c r="CN18" s="511">
        <f t="shared" si="15"/>
        <v>2.8138101608139458E-3</v>
      </c>
      <c r="CO18" s="511">
        <f t="shared" si="15"/>
        <v>2.8138101608139458E-3</v>
      </c>
      <c r="CP18" s="511">
        <f t="shared" si="15"/>
        <v>2.8138101608139458E-3</v>
      </c>
      <c r="CQ18" s="511">
        <f t="shared" si="16"/>
        <v>0.50260764220661747</v>
      </c>
      <c r="CR18" s="511">
        <f t="shared" si="17"/>
        <v>0.50260764220661747</v>
      </c>
      <c r="CS18" s="511">
        <f t="shared" si="17"/>
        <v>0.50260764220661747</v>
      </c>
      <c r="CT18" s="511">
        <f t="shared" si="17"/>
        <v>0.50260764220661747</v>
      </c>
      <c r="CU18" s="511">
        <f t="shared" si="17"/>
        <v>0.50260764220661747</v>
      </c>
      <c r="CV18" s="511">
        <f t="shared" si="17"/>
        <v>0.50260764220661747</v>
      </c>
      <c r="CW18" s="511">
        <f t="shared" si="17"/>
        <v>0.50260764220661747</v>
      </c>
      <c r="CX18" s="508">
        <f t="shared" si="28"/>
        <v>0</v>
      </c>
      <c r="CY18" s="508">
        <f t="shared" si="28"/>
        <v>0</v>
      </c>
      <c r="CZ18" s="508">
        <f t="shared" si="28"/>
        <v>0</v>
      </c>
      <c r="DA18" s="508">
        <f t="shared" si="28"/>
        <v>0</v>
      </c>
      <c r="DB18" s="508">
        <f t="shared" si="28"/>
        <v>0</v>
      </c>
      <c r="DC18" s="508">
        <f t="shared" si="18"/>
        <v>0</v>
      </c>
      <c r="DD18" s="508">
        <f t="shared" si="18"/>
        <v>0</v>
      </c>
      <c r="DE18" s="508">
        <f t="shared" si="19"/>
        <v>0</v>
      </c>
      <c r="DF18" s="508">
        <f t="shared" si="19"/>
        <v>0</v>
      </c>
      <c r="DG18" s="508">
        <f t="shared" si="19"/>
        <v>0</v>
      </c>
      <c r="DH18" s="508">
        <f t="shared" si="19"/>
        <v>0</v>
      </c>
      <c r="DI18" s="508">
        <f t="shared" si="19"/>
        <v>0</v>
      </c>
      <c r="DJ18" s="508">
        <f t="shared" si="19"/>
        <v>0</v>
      </c>
      <c r="DK18" s="508">
        <f t="shared" si="19"/>
        <v>0</v>
      </c>
      <c r="DL18" s="508">
        <f t="shared" si="20"/>
        <v>0</v>
      </c>
      <c r="DM18" s="508">
        <f t="shared" si="20"/>
        <v>0</v>
      </c>
      <c r="DN18" s="508">
        <f t="shared" si="20"/>
        <v>0</v>
      </c>
      <c r="DO18" s="508">
        <f t="shared" si="20"/>
        <v>0</v>
      </c>
      <c r="DP18" s="508">
        <f t="shared" si="20"/>
        <v>0</v>
      </c>
      <c r="DQ18" s="508">
        <f t="shared" si="20"/>
        <v>0</v>
      </c>
      <c r="DR18" s="508">
        <f t="shared" si="20"/>
        <v>0</v>
      </c>
      <c r="DS18" s="508">
        <f t="shared" si="21"/>
        <v>4455</v>
      </c>
      <c r="DT18" s="508">
        <f t="shared" si="21"/>
        <v>4455</v>
      </c>
      <c r="DU18" s="508">
        <f t="shared" si="21"/>
        <v>4455</v>
      </c>
      <c r="DV18" s="508">
        <f t="shared" si="21"/>
        <v>4455</v>
      </c>
      <c r="DW18" s="508">
        <f t="shared" si="21"/>
        <v>4455</v>
      </c>
      <c r="DX18" s="508">
        <f t="shared" si="21"/>
        <v>4455</v>
      </c>
      <c r="DY18" s="508">
        <f t="shared" si="21"/>
        <v>4455</v>
      </c>
      <c r="DZ18" s="511">
        <f t="shared" si="22"/>
        <v>19028.632483182893</v>
      </c>
      <c r="EA18" s="511">
        <f t="shared" si="22"/>
        <v>19028.632483182893</v>
      </c>
      <c r="EB18" s="511">
        <f t="shared" si="22"/>
        <v>19028.632483182893</v>
      </c>
      <c r="EC18" s="511">
        <f t="shared" si="22"/>
        <v>19028.632483182893</v>
      </c>
      <c r="ED18" s="511">
        <f t="shared" si="22"/>
        <v>19028.632483182893</v>
      </c>
      <c r="EE18" s="511">
        <f t="shared" si="22"/>
        <v>19028.632483182893</v>
      </c>
      <c r="EF18" s="511">
        <f t="shared" si="22"/>
        <v>19028.632483182893</v>
      </c>
      <c r="EG18" s="511">
        <f t="shared" si="23"/>
        <v>1.2662145723662757</v>
      </c>
      <c r="EH18" s="511">
        <f t="shared" si="23"/>
        <v>1.2662145723662757</v>
      </c>
      <c r="EI18" s="511">
        <f t="shared" si="23"/>
        <v>1.2662145723662757</v>
      </c>
      <c r="EJ18" s="511">
        <f t="shared" si="23"/>
        <v>1.2662145723662757</v>
      </c>
      <c r="EK18" s="511">
        <f t="shared" si="23"/>
        <v>1.2662145723662757</v>
      </c>
      <c r="EL18" s="511">
        <f t="shared" si="23"/>
        <v>1.2662145723662757</v>
      </c>
      <c r="EM18" s="511">
        <f t="shared" si="23"/>
        <v>1.2662145723662757</v>
      </c>
      <c r="EN18" s="511">
        <f t="shared" si="24"/>
        <v>226.17343899297785</v>
      </c>
      <c r="EO18" s="511">
        <f t="shared" si="24"/>
        <v>226.17343899297785</v>
      </c>
      <c r="EP18" s="511">
        <f t="shared" si="24"/>
        <v>226.17343899297785</v>
      </c>
      <c r="EQ18" s="511">
        <f t="shared" si="24"/>
        <v>226.17343899297785</v>
      </c>
      <c r="ER18" s="511">
        <f t="shared" si="24"/>
        <v>226.17343899297785</v>
      </c>
      <c r="ES18" s="511">
        <f t="shared" si="24"/>
        <v>226.17343899297785</v>
      </c>
      <c r="ET18" s="511">
        <f t="shared" si="24"/>
        <v>226.17343899297785</v>
      </c>
      <c r="EU18" s="777">
        <f t="shared" si="29"/>
        <v>3150</v>
      </c>
      <c r="EV18" s="728">
        <f t="shared" si="30"/>
        <v>0</v>
      </c>
      <c r="EW18" s="728">
        <f t="shared" si="31"/>
        <v>0</v>
      </c>
      <c r="EX18" s="728">
        <f t="shared" si="32"/>
        <v>0</v>
      </c>
      <c r="EY18" s="728">
        <f t="shared" si="33"/>
        <v>31185</v>
      </c>
      <c r="EZ18" s="777">
        <f t="shared" si="34"/>
        <v>133200.42738228026</v>
      </c>
      <c r="FA18" s="777">
        <f t="shared" si="35"/>
        <v>8.8635020065639303</v>
      </c>
      <c r="FB18" s="778">
        <f t="shared" si="36"/>
        <v>1583.2140729508451</v>
      </c>
      <c r="FD18" s="10" t="b">
        <f t="shared" si="25"/>
        <v>1</v>
      </c>
      <c r="FE18" s="10" t="b">
        <f t="shared" si="25"/>
        <v>1</v>
      </c>
      <c r="FF18" s="10" t="b">
        <f t="shared" si="25"/>
        <v>1</v>
      </c>
      <c r="FG18" s="10" t="b">
        <f>EY18=SUM(EY63,EY108)</f>
        <v>1</v>
      </c>
      <c r="FH18" s="10" t="b">
        <f t="shared" si="25"/>
        <v>1</v>
      </c>
      <c r="FI18" s="10" t="b">
        <f t="shared" si="25"/>
        <v>1</v>
      </c>
      <c r="FJ18" s="10" t="b">
        <f t="shared" si="25"/>
        <v>1</v>
      </c>
    </row>
    <row r="19" spans="1:169" s="10" customFormat="1" ht="12.75" hidden="1" customHeight="1">
      <c r="A19" s="662">
        <v>13</v>
      </c>
      <c r="B19" s="789" t="s">
        <v>1997</v>
      </c>
      <c r="C19" s="662" t="s">
        <v>1998</v>
      </c>
      <c r="D19" s="715" t="s">
        <v>1999</v>
      </c>
      <c r="E19" s="662" t="s">
        <v>331</v>
      </c>
      <c r="F19" s="704" t="s">
        <v>372</v>
      </c>
      <c r="G19" s="704">
        <v>0</v>
      </c>
      <c r="H19" s="1237"/>
      <c r="I19" s="704">
        <f t="shared" si="2"/>
        <v>0</v>
      </c>
      <c r="J19" s="704">
        <v>0</v>
      </c>
      <c r="K19" s="704">
        <f t="shared" si="43"/>
        <v>0</v>
      </c>
      <c r="L19" s="711" t="s">
        <v>2000</v>
      </c>
      <c r="M19" s="707" t="s">
        <v>1968</v>
      </c>
      <c r="N19" s="707">
        <f t="shared" si="44"/>
        <v>0</v>
      </c>
      <c r="O19" s="1237">
        <v>0</v>
      </c>
      <c r="P19" s="704">
        <v>30</v>
      </c>
      <c r="Q19" s="1022">
        <f>O165</f>
        <v>102.00801581184899</v>
      </c>
      <c r="R19" s="872">
        <v>0</v>
      </c>
      <c r="S19" s="1022">
        <f>Q165</f>
        <v>8.6420461893465141</v>
      </c>
      <c r="T19" s="711" t="s">
        <v>2001</v>
      </c>
      <c r="U19" s="712"/>
      <c r="V19" s="1124">
        <v>9.8786003332539864E-3</v>
      </c>
      <c r="W19" s="790"/>
      <c r="X19" s="790"/>
      <c r="Y19" s="790"/>
      <c r="Z19" s="790"/>
      <c r="AA19" s="790"/>
      <c r="AB19" s="790"/>
      <c r="AC19" s="781">
        <f t="shared" si="47"/>
        <v>20</v>
      </c>
      <c r="AD19" s="781">
        <f t="shared" si="46"/>
        <v>20</v>
      </c>
      <c r="AE19" s="781">
        <f t="shared" si="46"/>
        <v>20</v>
      </c>
      <c r="AF19" s="781">
        <f t="shared" si="45"/>
        <v>20</v>
      </c>
      <c r="AG19" s="781">
        <f t="shared" si="45"/>
        <v>20</v>
      </c>
      <c r="AH19" s="781">
        <f t="shared" si="26"/>
        <v>20</v>
      </c>
      <c r="AI19" s="781">
        <f t="shared" si="26"/>
        <v>20</v>
      </c>
      <c r="AJ19" s="711" t="s">
        <v>374</v>
      </c>
      <c r="AK19" s="711" t="s">
        <v>375</v>
      </c>
      <c r="AL19" s="711" t="s">
        <v>376</v>
      </c>
      <c r="AM19" s="711" t="s">
        <v>2002</v>
      </c>
      <c r="AN19" s="711" t="s">
        <v>1</v>
      </c>
      <c r="AO19" s="711" t="s">
        <v>1998</v>
      </c>
      <c r="AP19" s="711" t="s">
        <v>1998</v>
      </c>
      <c r="AQ19" s="711" t="s">
        <v>1999</v>
      </c>
      <c r="AR19" s="715" t="s">
        <v>406</v>
      </c>
      <c r="AS19" s="715" t="s">
        <v>407</v>
      </c>
      <c r="AT19" s="715" t="s">
        <v>381</v>
      </c>
      <c r="AU19" s="711">
        <v>11</v>
      </c>
      <c r="AV19" s="711">
        <v>11</v>
      </c>
      <c r="AW19" s="711" t="s">
        <v>2003</v>
      </c>
      <c r="AX19" s="716">
        <v>1</v>
      </c>
      <c r="AY19" s="716">
        <v>1</v>
      </c>
      <c r="AZ19" s="716">
        <v>1</v>
      </c>
      <c r="BA19" s="499">
        <f t="shared" si="4"/>
        <v>0</v>
      </c>
      <c r="BB19" s="499">
        <f t="shared" si="5"/>
        <v>0</v>
      </c>
      <c r="BC19" s="499">
        <f t="shared" si="5"/>
        <v>0</v>
      </c>
      <c r="BD19" s="499">
        <f t="shared" si="5"/>
        <v>0</v>
      </c>
      <c r="BE19" s="499">
        <f t="shared" si="6"/>
        <v>0</v>
      </c>
      <c r="BF19" s="499">
        <f t="shared" si="6"/>
        <v>0</v>
      </c>
      <c r="BG19" s="499">
        <f t="shared" si="6"/>
        <v>0</v>
      </c>
      <c r="BH19" s="499">
        <f t="shared" si="7"/>
        <v>0</v>
      </c>
      <c r="BI19" s="499">
        <f t="shared" si="8"/>
        <v>0</v>
      </c>
      <c r="BJ19" s="499">
        <f t="shared" si="8"/>
        <v>0</v>
      </c>
      <c r="BK19" s="499">
        <f t="shared" si="8"/>
        <v>0</v>
      </c>
      <c r="BL19" s="499">
        <f t="shared" si="8"/>
        <v>0</v>
      </c>
      <c r="BM19" s="499">
        <f t="shared" si="8"/>
        <v>0</v>
      </c>
      <c r="BN19" s="499">
        <f t="shared" si="8"/>
        <v>0</v>
      </c>
      <c r="BO19" s="499">
        <f t="shared" si="9"/>
        <v>0</v>
      </c>
      <c r="BP19" s="499">
        <f t="shared" si="38"/>
        <v>0</v>
      </c>
      <c r="BQ19" s="499">
        <f t="shared" si="10"/>
        <v>0</v>
      </c>
      <c r="BR19" s="499">
        <f t="shared" si="10"/>
        <v>0</v>
      </c>
      <c r="BS19" s="499">
        <f t="shared" si="10"/>
        <v>0</v>
      </c>
      <c r="BT19" s="499">
        <f t="shared" si="10"/>
        <v>0</v>
      </c>
      <c r="BU19" s="499">
        <f t="shared" si="10"/>
        <v>0</v>
      </c>
      <c r="BV19" s="503">
        <f t="shared" si="27"/>
        <v>30</v>
      </c>
      <c r="BW19" s="503">
        <f t="shared" si="11"/>
        <v>30</v>
      </c>
      <c r="BX19" s="503">
        <f t="shared" si="11"/>
        <v>30</v>
      </c>
      <c r="BY19" s="503">
        <f t="shared" si="11"/>
        <v>30</v>
      </c>
      <c r="BZ19" s="503">
        <f t="shared" si="11"/>
        <v>30</v>
      </c>
      <c r="CA19" s="503">
        <f t="shared" si="11"/>
        <v>30</v>
      </c>
      <c r="CB19" s="503">
        <f t="shared" si="11"/>
        <v>30</v>
      </c>
      <c r="CC19" s="511">
        <f t="shared" si="12"/>
        <v>102.00801581184899</v>
      </c>
      <c r="CD19" s="511">
        <f t="shared" si="13"/>
        <v>102.00801581184899</v>
      </c>
      <c r="CE19" s="511">
        <f t="shared" si="13"/>
        <v>102.00801581184899</v>
      </c>
      <c r="CF19" s="511">
        <f t="shared" si="13"/>
        <v>102.00801581184899</v>
      </c>
      <c r="CG19" s="511">
        <f t="shared" si="13"/>
        <v>102.00801581184899</v>
      </c>
      <c r="CH19" s="511">
        <f t="shared" si="13"/>
        <v>102.00801581184899</v>
      </c>
      <c r="CI19" s="511">
        <f t="shared" si="13"/>
        <v>102.00801581184899</v>
      </c>
      <c r="CJ19" s="511">
        <f t="shared" si="14"/>
        <v>0</v>
      </c>
      <c r="CK19" s="511">
        <f t="shared" si="15"/>
        <v>0</v>
      </c>
      <c r="CL19" s="511">
        <f t="shared" si="15"/>
        <v>0</v>
      </c>
      <c r="CM19" s="511">
        <f t="shared" si="15"/>
        <v>0</v>
      </c>
      <c r="CN19" s="511">
        <f t="shared" si="15"/>
        <v>0</v>
      </c>
      <c r="CO19" s="511">
        <f t="shared" si="15"/>
        <v>0</v>
      </c>
      <c r="CP19" s="511">
        <f t="shared" si="15"/>
        <v>0</v>
      </c>
      <c r="CQ19" s="511">
        <f t="shared" si="16"/>
        <v>8.6420461893465141</v>
      </c>
      <c r="CR19" s="511">
        <f t="shared" si="17"/>
        <v>8.6420461893465141</v>
      </c>
      <c r="CS19" s="511">
        <f t="shared" si="17"/>
        <v>8.6420461893465141</v>
      </c>
      <c r="CT19" s="511">
        <f t="shared" si="17"/>
        <v>8.6420461893465141</v>
      </c>
      <c r="CU19" s="511">
        <f t="shared" si="17"/>
        <v>8.6420461893465141</v>
      </c>
      <c r="CV19" s="511">
        <f t="shared" si="17"/>
        <v>8.6420461893465141</v>
      </c>
      <c r="CW19" s="511">
        <f t="shared" si="17"/>
        <v>8.6420461893465141</v>
      </c>
      <c r="CX19" s="508">
        <f t="shared" si="28"/>
        <v>0</v>
      </c>
      <c r="CY19" s="508">
        <f t="shared" si="28"/>
        <v>0</v>
      </c>
      <c r="CZ19" s="508">
        <f t="shared" si="28"/>
        <v>0</v>
      </c>
      <c r="DA19" s="508">
        <f t="shared" si="28"/>
        <v>0</v>
      </c>
      <c r="DB19" s="508">
        <f t="shared" si="28"/>
        <v>0</v>
      </c>
      <c r="DC19" s="508">
        <f t="shared" si="18"/>
        <v>0</v>
      </c>
      <c r="DD19" s="508">
        <f t="shared" si="18"/>
        <v>0</v>
      </c>
      <c r="DE19" s="508">
        <f t="shared" si="19"/>
        <v>0</v>
      </c>
      <c r="DF19" s="508">
        <f t="shared" si="19"/>
        <v>0</v>
      </c>
      <c r="DG19" s="508">
        <f t="shared" si="19"/>
        <v>0</v>
      </c>
      <c r="DH19" s="508">
        <f t="shared" si="19"/>
        <v>0</v>
      </c>
      <c r="DI19" s="508">
        <f t="shared" si="19"/>
        <v>0</v>
      </c>
      <c r="DJ19" s="508">
        <f t="shared" si="19"/>
        <v>0</v>
      </c>
      <c r="DK19" s="508">
        <f t="shared" si="19"/>
        <v>0</v>
      </c>
      <c r="DL19" s="508">
        <f t="shared" si="20"/>
        <v>0</v>
      </c>
      <c r="DM19" s="508">
        <f t="shared" si="20"/>
        <v>0</v>
      </c>
      <c r="DN19" s="508">
        <f t="shared" si="20"/>
        <v>0</v>
      </c>
      <c r="DO19" s="508">
        <f t="shared" si="20"/>
        <v>0</v>
      </c>
      <c r="DP19" s="508">
        <f t="shared" si="20"/>
        <v>0</v>
      </c>
      <c r="DQ19" s="508">
        <f t="shared" si="20"/>
        <v>0</v>
      </c>
      <c r="DR19" s="508">
        <f t="shared" si="20"/>
        <v>0</v>
      </c>
      <c r="DS19" s="508">
        <f t="shared" si="21"/>
        <v>600</v>
      </c>
      <c r="DT19" s="508">
        <f t="shared" si="21"/>
        <v>600</v>
      </c>
      <c r="DU19" s="508">
        <f t="shared" si="21"/>
        <v>600</v>
      </c>
      <c r="DV19" s="508">
        <f t="shared" si="21"/>
        <v>600</v>
      </c>
      <c r="DW19" s="508">
        <f t="shared" si="21"/>
        <v>600</v>
      </c>
      <c r="DX19" s="508">
        <f t="shared" si="21"/>
        <v>600</v>
      </c>
      <c r="DY19" s="508">
        <f t="shared" si="21"/>
        <v>600</v>
      </c>
      <c r="DZ19" s="511">
        <f t="shared" si="22"/>
        <v>2040.1603162369797</v>
      </c>
      <c r="EA19" s="511">
        <f t="shared" si="22"/>
        <v>2040.1603162369797</v>
      </c>
      <c r="EB19" s="511">
        <f t="shared" si="22"/>
        <v>2040.1603162369797</v>
      </c>
      <c r="EC19" s="511">
        <f t="shared" si="22"/>
        <v>2040.1603162369797</v>
      </c>
      <c r="ED19" s="511">
        <f t="shared" si="22"/>
        <v>2040.1603162369797</v>
      </c>
      <c r="EE19" s="511">
        <f t="shared" si="22"/>
        <v>2040.1603162369797</v>
      </c>
      <c r="EF19" s="511">
        <f t="shared" si="22"/>
        <v>2040.1603162369797</v>
      </c>
      <c r="EG19" s="511">
        <f t="shared" si="23"/>
        <v>0</v>
      </c>
      <c r="EH19" s="511">
        <f t="shared" si="23"/>
        <v>0</v>
      </c>
      <c r="EI19" s="511">
        <f t="shared" si="23"/>
        <v>0</v>
      </c>
      <c r="EJ19" s="511">
        <f t="shared" si="23"/>
        <v>0</v>
      </c>
      <c r="EK19" s="511">
        <f t="shared" si="23"/>
        <v>0</v>
      </c>
      <c r="EL19" s="511">
        <f t="shared" si="23"/>
        <v>0</v>
      </c>
      <c r="EM19" s="511">
        <f t="shared" si="23"/>
        <v>0</v>
      </c>
      <c r="EN19" s="511">
        <f t="shared" si="24"/>
        <v>172.84092378693029</v>
      </c>
      <c r="EO19" s="511">
        <f t="shared" si="24"/>
        <v>172.84092378693029</v>
      </c>
      <c r="EP19" s="511">
        <f t="shared" si="24"/>
        <v>172.84092378693029</v>
      </c>
      <c r="EQ19" s="511">
        <f t="shared" si="24"/>
        <v>172.84092378693029</v>
      </c>
      <c r="ER19" s="511">
        <f t="shared" si="24"/>
        <v>172.84092378693029</v>
      </c>
      <c r="ES19" s="511">
        <f t="shared" si="24"/>
        <v>172.84092378693029</v>
      </c>
      <c r="ET19" s="511">
        <f t="shared" si="24"/>
        <v>172.84092378693029</v>
      </c>
      <c r="EU19" s="777">
        <f t="shared" si="29"/>
        <v>140</v>
      </c>
      <c r="EV19" s="728">
        <f t="shared" si="30"/>
        <v>0</v>
      </c>
      <c r="EW19" s="728">
        <f t="shared" si="31"/>
        <v>0</v>
      </c>
      <c r="EX19" s="728">
        <f t="shared" si="32"/>
        <v>0</v>
      </c>
      <c r="EY19" s="728">
        <f t="shared" si="33"/>
        <v>4200</v>
      </c>
      <c r="EZ19" s="777">
        <f t="shared" si="34"/>
        <v>14281.122213658857</v>
      </c>
      <c r="FA19" s="777">
        <f t="shared" si="35"/>
        <v>0</v>
      </c>
      <c r="FB19" s="778">
        <f t="shared" si="36"/>
        <v>1209.8864665085121</v>
      </c>
      <c r="FD19" s="10" t="b">
        <f t="shared" si="25"/>
        <v>1</v>
      </c>
      <c r="FE19" s="10" t="b">
        <f t="shared" si="25"/>
        <v>1</v>
      </c>
      <c r="FF19" s="10" t="b">
        <f t="shared" si="25"/>
        <v>1</v>
      </c>
      <c r="FG19" s="10" t="b">
        <f t="shared" si="25"/>
        <v>1</v>
      </c>
      <c r="FH19" s="10" t="b">
        <f t="shared" si="25"/>
        <v>1</v>
      </c>
      <c r="FI19" s="10" t="b">
        <f t="shared" si="25"/>
        <v>1</v>
      </c>
      <c r="FJ19" s="10" t="b">
        <f t="shared" si="25"/>
        <v>1</v>
      </c>
    </row>
    <row r="20" spans="1:169" s="10" customFormat="1" ht="12.75" hidden="1" customHeight="1">
      <c r="A20" s="662">
        <v>14</v>
      </c>
      <c r="B20" s="789" t="s">
        <v>2004</v>
      </c>
      <c r="C20" s="662" t="s">
        <v>2005</v>
      </c>
      <c r="D20" s="715" t="s">
        <v>2006</v>
      </c>
      <c r="E20" s="662" t="s">
        <v>331</v>
      </c>
      <c r="F20" s="704" t="s">
        <v>402</v>
      </c>
      <c r="G20" s="704">
        <v>40</v>
      </c>
      <c r="H20" s="1237"/>
      <c r="I20" s="704">
        <f t="shared" si="2"/>
        <v>40</v>
      </c>
      <c r="J20" s="704">
        <v>0</v>
      </c>
      <c r="K20" s="704">
        <f t="shared" si="43"/>
        <v>20</v>
      </c>
      <c r="L20" s="711" t="s">
        <v>2007</v>
      </c>
      <c r="M20" s="707" t="s">
        <v>378</v>
      </c>
      <c r="N20" s="707">
        <f>IF(ROUND(K20,0)&lt;15,15,IF(ROUND(K20,-1)&gt;300,300,(ROUND(K20,-1))))</f>
        <v>20</v>
      </c>
      <c r="O20" s="1237">
        <v>0</v>
      </c>
      <c r="P20" s="707">
        <v>0</v>
      </c>
      <c r="Q20" s="1022">
        <v>160.23413943875073</v>
      </c>
      <c r="R20" s="872">
        <v>2.0139185152679033E-2</v>
      </c>
      <c r="S20" s="1022">
        <v>0</v>
      </c>
      <c r="T20" s="711" t="s">
        <v>2008</v>
      </c>
      <c r="U20" s="712"/>
      <c r="V20" s="1124">
        <v>0</v>
      </c>
      <c r="W20" s="790"/>
      <c r="X20" s="790"/>
      <c r="Y20" s="790"/>
      <c r="Z20" s="790"/>
      <c r="AA20" s="790"/>
      <c r="AB20" s="790"/>
      <c r="AC20" s="781">
        <f t="shared" si="47"/>
        <v>0</v>
      </c>
      <c r="AD20" s="781">
        <f t="shared" si="46"/>
        <v>0</v>
      </c>
      <c r="AE20" s="781">
        <f t="shared" si="46"/>
        <v>0</v>
      </c>
      <c r="AF20" s="781">
        <f t="shared" si="45"/>
        <v>0</v>
      </c>
      <c r="AG20" s="781">
        <f t="shared" si="45"/>
        <v>0</v>
      </c>
      <c r="AH20" s="781">
        <f t="shared" si="26"/>
        <v>0</v>
      </c>
      <c r="AI20" s="781">
        <f t="shared" si="26"/>
        <v>0</v>
      </c>
      <c r="AJ20" s="711" t="s">
        <v>384</v>
      </c>
      <c r="AK20" s="711" t="s">
        <v>375</v>
      </c>
      <c r="AL20" s="711" t="s">
        <v>376</v>
      </c>
      <c r="AM20" s="711" t="s">
        <v>2009</v>
      </c>
      <c r="AN20" s="711" t="s">
        <v>1</v>
      </c>
      <c r="AO20" s="711" t="s">
        <v>2010</v>
      </c>
      <c r="AP20" s="711" t="s">
        <v>1702</v>
      </c>
      <c r="AQ20" s="711" t="s">
        <v>339</v>
      </c>
      <c r="AR20" s="715" t="s">
        <v>1943</v>
      </c>
      <c r="AS20" s="715" t="s">
        <v>1942</v>
      </c>
      <c r="AT20" s="715" t="s">
        <v>381</v>
      </c>
      <c r="AU20" s="711">
        <v>11</v>
      </c>
      <c r="AV20" s="711">
        <v>11</v>
      </c>
      <c r="AW20" s="711" t="s">
        <v>2007</v>
      </c>
      <c r="AX20" s="716">
        <v>1</v>
      </c>
      <c r="AY20" s="716">
        <v>1</v>
      </c>
      <c r="AZ20" s="716">
        <v>0</v>
      </c>
      <c r="BA20" s="499">
        <f t="shared" si="4"/>
        <v>40</v>
      </c>
      <c r="BB20" s="499">
        <f t="shared" si="5"/>
        <v>40</v>
      </c>
      <c r="BC20" s="499">
        <f t="shared" si="5"/>
        <v>40</v>
      </c>
      <c r="BD20" s="499">
        <f t="shared" si="5"/>
        <v>40</v>
      </c>
      <c r="BE20" s="499">
        <f t="shared" si="6"/>
        <v>40</v>
      </c>
      <c r="BF20" s="499">
        <f t="shared" si="6"/>
        <v>40</v>
      </c>
      <c r="BG20" s="499">
        <f t="shared" si="6"/>
        <v>40</v>
      </c>
      <c r="BH20" s="499">
        <f t="shared" si="7"/>
        <v>0</v>
      </c>
      <c r="BI20" s="499">
        <f t="shared" si="8"/>
        <v>0</v>
      </c>
      <c r="BJ20" s="499">
        <f t="shared" si="8"/>
        <v>0</v>
      </c>
      <c r="BK20" s="499">
        <f t="shared" si="8"/>
        <v>0</v>
      </c>
      <c r="BL20" s="499">
        <f t="shared" si="8"/>
        <v>0</v>
      </c>
      <c r="BM20" s="499">
        <f t="shared" si="8"/>
        <v>0</v>
      </c>
      <c r="BN20" s="499">
        <f t="shared" si="8"/>
        <v>0</v>
      </c>
      <c r="BO20" s="499">
        <f t="shared" si="9"/>
        <v>20</v>
      </c>
      <c r="BP20" s="499">
        <f t="shared" si="38"/>
        <v>20</v>
      </c>
      <c r="BQ20" s="499">
        <f t="shared" si="10"/>
        <v>20</v>
      </c>
      <c r="BR20" s="499">
        <f t="shared" si="10"/>
        <v>20</v>
      </c>
      <c r="BS20" s="499">
        <f t="shared" si="10"/>
        <v>20</v>
      </c>
      <c r="BT20" s="499">
        <f t="shared" si="10"/>
        <v>20</v>
      </c>
      <c r="BU20" s="499">
        <f t="shared" si="10"/>
        <v>20</v>
      </c>
      <c r="BV20" s="503">
        <f t="shared" si="27"/>
        <v>0</v>
      </c>
      <c r="BW20" s="503">
        <f t="shared" si="11"/>
        <v>0</v>
      </c>
      <c r="BX20" s="503">
        <f t="shared" si="11"/>
        <v>0</v>
      </c>
      <c r="BY20" s="503">
        <f t="shared" si="11"/>
        <v>0</v>
      </c>
      <c r="BZ20" s="503">
        <f t="shared" si="11"/>
        <v>0</v>
      </c>
      <c r="CA20" s="503">
        <f t="shared" si="11"/>
        <v>0</v>
      </c>
      <c r="CB20" s="503">
        <f t="shared" si="11"/>
        <v>0</v>
      </c>
      <c r="CC20" s="511">
        <f t="shared" si="12"/>
        <v>160.23413943875073</v>
      </c>
      <c r="CD20" s="511">
        <f t="shared" si="13"/>
        <v>160.23413943875073</v>
      </c>
      <c r="CE20" s="511">
        <f t="shared" si="13"/>
        <v>160.23413943875073</v>
      </c>
      <c r="CF20" s="511">
        <f t="shared" si="13"/>
        <v>160.23413943875073</v>
      </c>
      <c r="CG20" s="511">
        <f t="shared" si="13"/>
        <v>160.23413943875073</v>
      </c>
      <c r="CH20" s="511">
        <f t="shared" si="13"/>
        <v>160.23413943875073</v>
      </c>
      <c r="CI20" s="511">
        <f t="shared" si="13"/>
        <v>160.23413943875073</v>
      </c>
      <c r="CJ20" s="511">
        <f t="shared" si="14"/>
        <v>2.0139185152679033E-2</v>
      </c>
      <c r="CK20" s="511">
        <f t="shared" si="15"/>
        <v>2.0139185152679033E-2</v>
      </c>
      <c r="CL20" s="511">
        <f t="shared" si="15"/>
        <v>2.0139185152679033E-2</v>
      </c>
      <c r="CM20" s="511">
        <f t="shared" si="15"/>
        <v>2.0139185152679033E-2</v>
      </c>
      <c r="CN20" s="511">
        <f t="shared" si="15"/>
        <v>2.0139185152679033E-2</v>
      </c>
      <c r="CO20" s="511">
        <f t="shared" si="15"/>
        <v>2.0139185152679033E-2</v>
      </c>
      <c r="CP20" s="511">
        <f t="shared" si="15"/>
        <v>2.0139185152679033E-2</v>
      </c>
      <c r="CQ20" s="511">
        <f t="shared" si="16"/>
        <v>0</v>
      </c>
      <c r="CR20" s="511">
        <f t="shared" si="17"/>
        <v>0</v>
      </c>
      <c r="CS20" s="511">
        <f t="shared" si="17"/>
        <v>0</v>
      </c>
      <c r="CT20" s="511">
        <f t="shared" si="17"/>
        <v>0</v>
      </c>
      <c r="CU20" s="511">
        <f t="shared" si="17"/>
        <v>0</v>
      </c>
      <c r="CV20" s="511">
        <f t="shared" si="17"/>
        <v>0</v>
      </c>
      <c r="CW20" s="511">
        <f t="shared" si="17"/>
        <v>0</v>
      </c>
      <c r="CX20" s="508">
        <f t="shared" si="28"/>
        <v>0</v>
      </c>
      <c r="CY20" s="508">
        <f t="shared" si="28"/>
        <v>0</v>
      </c>
      <c r="CZ20" s="508">
        <f t="shared" si="28"/>
        <v>0</v>
      </c>
      <c r="DA20" s="508">
        <f t="shared" si="28"/>
        <v>0</v>
      </c>
      <c r="DB20" s="508">
        <f t="shared" si="28"/>
        <v>0</v>
      </c>
      <c r="DC20" s="508">
        <f t="shared" si="18"/>
        <v>0</v>
      </c>
      <c r="DD20" s="508">
        <f t="shared" si="18"/>
        <v>0</v>
      </c>
      <c r="DE20" s="508">
        <f t="shared" si="19"/>
        <v>0</v>
      </c>
      <c r="DF20" s="508">
        <f t="shared" si="19"/>
        <v>0</v>
      </c>
      <c r="DG20" s="508">
        <f t="shared" si="19"/>
        <v>0</v>
      </c>
      <c r="DH20" s="508">
        <f t="shared" si="19"/>
        <v>0</v>
      </c>
      <c r="DI20" s="508">
        <f t="shared" si="19"/>
        <v>0</v>
      </c>
      <c r="DJ20" s="508">
        <f t="shared" si="19"/>
        <v>0</v>
      </c>
      <c r="DK20" s="508">
        <f t="shared" si="19"/>
        <v>0</v>
      </c>
      <c r="DL20" s="508">
        <f t="shared" si="20"/>
        <v>0</v>
      </c>
      <c r="DM20" s="508">
        <f t="shared" si="20"/>
        <v>0</v>
      </c>
      <c r="DN20" s="508">
        <f t="shared" si="20"/>
        <v>0</v>
      </c>
      <c r="DO20" s="508">
        <f t="shared" si="20"/>
        <v>0</v>
      </c>
      <c r="DP20" s="508">
        <f t="shared" si="20"/>
        <v>0</v>
      </c>
      <c r="DQ20" s="508">
        <f t="shared" si="20"/>
        <v>0</v>
      </c>
      <c r="DR20" s="508">
        <f t="shared" si="20"/>
        <v>0</v>
      </c>
      <c r="DS20" s="508">
        <f t="shared" si="21"/>
        <v>0</v>
      </c>
      <c r="DT20" s="508">
        <f t="shared" si="21"/>
        <v>0</v>
      </c>
      <c r="DU20" s="508">
        <f t="shared" si="21"/>
        <v>0</v>
      </c>
      <c r="DV20" s="508">
        <f t="shared" si="21"/>
        <v>0</v>
      </c>
      <c r="DW20" s="508">
        <f t="shared" si="21"/>
        <v>0</v>
      </c>
      <c r="DX20" s="508">
        <f t="shared" si="21"/>
        <v>0</v>
      </c>
      <c r="DY20" s="508">
        <f t="shared" si="21"/>
        <v>0</v>
      </c>
      <c r="DZ20" s="511">
        <f t="shared" si="22"/>
        <v>0</v>
      </c>
      <c r="EA20" s="511">
        <f t="shared" si="22"/>
        <v>0</v>
      </c>
      <c r="EB20" s="511">
        <f t="shared" si="22"/>
        <v>0</v>
      </c>
      <c r="EC20" s="511">
        <f t="shared" si="22"/>
        <v>0</v>
      </c>
      <c r="ED20" s="511">
        <f t="shared" si="22"/>
        <v>0</v>
      </c>
      <c r="EE20" s="511">
        <f t="shared" si="22"/>
        <v>0</v>
      </c>
      <c r="EF20" s="511">
        <f t="shared" si="22"/>
        <v>0</v>
      </c>
      <c r="EG20" s="511">
        <f t="shared" si="23"/>
        <v>0</v>
      </c>
      <c r="EH20" s="511">
        <f t="shared" si="23"/>
        <v>0</v>
      </c>
      <c r="EI20" s="511">
        <f t="shared" si="23"/>
        <v>0</v>
      </c>
      <c r="EJ20" s="511">
        <f t="shared" si="23"/>
        <v>0</v>
      </c>
      <c r="EK20" s="511">
        <f t="shared" si="23"/>
        <v>0</v>
      </c>
      <c r="EL20" s="511">
        <f t="shared" si="23"/>
        <v>0</v>
      </c>
      <c r="EM20" s="511">
        <f t="shared" si="23"/>
        <v>0</v>
      </c>
      <c r="EN20" s="511">
        <f t="shared" si="24"/>
        <v>0</v>
      </c>
      <c r="EO20" s="511">
        <f t="shared" si="24"/>
        <v>0</v>
      </c>
      <c r="EP20" s="511">
        <f t="shared" si="24"/>
        <v>0</v>
      </c>
      <c r="EQ20" s="511">
        <f t="shared" si="24"/>
        <v>0</v>
      </c>
      <c r="ER20" s="511">
        <f t="shared" si="24"/>
        <v>0</v>
      </c>
      <c r="ES20" s="511">
        <f t="shared" si="24"/>
        <v>0</v>
      </c>
      <c r="ET20" s="511">
        <f t="shared" si="24"/>
        <v>0</v>
      </c>
      <c r="EU20" s="777">
        <f t="shared" si="29"/>
        <v>0</v>
      </c>
      <c r="EV20" s="728">
        <f t="shared" si="30"/>
        <v>0</v>
      </c>
      <c r="EW20" s="728">
        <f t="shared" si="31"/>
        <v>0</v>
      </c>
      <c r="EX20" s="728">
        <f t="shared" si="32"/>
        <v>0</v>
      </c>
      <c r="EY20" s="728">
        <f t="shared" si="33"/>
        <v>0</v>
      </c>
      <c r="EZ20" s="777">
        <f t="shared" si="34"/>
        <v>0</v>
      </c>
      <c r="FA20" s="777">
        <f t="shared" si="35"/>
        <v>0</v>
      </c>
      <c r="FB20" s="778">
        <f t="shared" si="36"/>
        <v>0</v>
      </c>
      <c r="FD20" s="10" t="b">
        <f t="shared" si="25"/>
        <v>1</v>
      </c>
      <c r="FE20" s="10" t="b">
        <f t="shared" si="25"/>
        <v>1</v>
      </c>
      <c r="FF20" s="10" t="b">
        <f t="shared" si="25"/>
        <v>1</v>
      </c>
      <c r="FG20" s="10" t="b">
        <f t="shared" si="25"/>
        <v>1</v>
      </c>
      <c r="FH20" s="10" t="b">
        <f t="shared" si="25"/>
        <v>1</v>
      </c>
      <c r="FI20" s="10" t="b">
        <f t="shared" si="25"/>
        <v>1</v>
      </c>
      <c r="FJ20" s="10" t="b">
        <f t="shared" si="25"/>
        <v>1</v>
      </c>
      <c r="FL20" s="135"/>
    </row>
    <row r="21" spans="1:169" s="10" customFormat="1" ht="12.75" hidden="1" customHeight="1">
      <c r="A21" s="662">
        <v>15</v>
      </c>
      <c r="B21" s="789" t="s">
        <v>2004</v>
      </c>
      <c r="C21" s="662" t="s">
        <v>2011</v>
      </c>
      <c r="D21" s="715" t="s">
        <v>2012</v>
      </c>
      <c r="E21" s="662" t="s">
        <v>331</v>
      </c>
      <c r="F21" s="704" t="s">
        <v>402</v>
      </c>
      <c r="G21" s="704">
        <v>40</v>
      </c>
      <c r="H21" s="1237"/>
      <c r="I21" s="704">
        <f t="shared" si="2"/>
        <v>40</v>
      </c>
      <c r="J21" s="704">
        <v>0</v>
      </c>
      <c r="K21" s="704">
        <f t="shared" si="43"/>
        <v>20</v>
      </c>
      <c r="L21" s="711" t="s">
        <v>2007</v>
      </c>
      <c r="M21" s="707" t="s">
        <v>378</v>
      </c>
      <c r="N21" s="707">
        <f t="shared" ref="N21:N49" si="48">IF(ROUND(K21,0)&lt;15,15,IF(ROUND(K21,-1)&gt;300,300,(ROUND(K21,-1))))</f>
        <v>20</v>
      </c>
      <c r="O21" s="1237">
        <v>0</v>
      </c>
      <c r="P21" s="707">
        <v>0</v>
      </c>
      <c r="Q21" s="1022">
        <v>0</v>
      </c>
      <c r="R21" s="872">
        <v>0</v>
      </c>
      <c r="S21" s="1022">
        <v>5.3040649860855602</v>
      </c>
      <c r="T21" s="711" t="s">
        <v>2008</v>
      </c>
      <c r="U21" s="712"/>
      <c r="V21" s="1124">
        <v>0</v>
      </c>
      <c r="W21" s="790"/>
      <c r="X21" s="790"/>
      <c r="Y21" s="790"/>
      <c r="Z21" s="790"/>
      <c r="AA21" s="790"/>
      <c r="AB21" s="790"/>
      <c r="AC21" s="781">
        <f t="shared" si="47"/>
        <v>0</v>
      </c>
      <c r="AD21" s="781">
        <f t="shared" si="46"/>
        <v>0</v>
      </c>
      <c r="AE21" s="781">
        <f t="shared" si="46"/>
        <v>0</v>
      </c>
      <c r="AF21" s="781">
        <f t="shared" si="45"/>
        <v>0</v>
      </c>
      <c r="AG21" s="781">
        <f t="shared" si="45"/>
        <v>0</v>
      </c>
      <c r="AH21" s="781">
        <f t="shared" si="26"/>
        <v>0</v>
      </c>
      <c r="AI21" s="781">
        <f t="shared" si="26"/>
        <v>0</v>
      </c>
      <c r="AJ21" s="711" t="s">
        <v>2013</v>
      </c>
      <c r="AK21" s="711" t="s">
        <v>375</v>
      </c>
      <c r="AL21" s="711" t="s">
        <v>376</v>
      </c>
      <c r="AM21" s="711" t="s">
        <v>2009</v>
      </c>
      <c r="AN21" s="711" t="s">
        <v>1</v>
      </c>
      <c r="AO21" s="711" t="s">
        <v>2010</v>
      </c>
      <c r="AP21" s="711" t="s">
        <v>2011</v>
      </c>
      <c r="AQ21" s="711" t="s">
        <v>2012</v>
      </c>
      <c r="AR21" s="715" t="s">
        <v>1943</v>
      </c>
      <c r="AS21" s="715" t="s">
        <v>1942</v>
      </c>
      <c r="AT21" s="715" t="s">
        <v>381</v>
      </c>
      <c r="AU21" s="711">
        <v>11</v>
      </c>
      <c r="AV21" s="711">
        <v>11</v>
      </c>
      <c r="AW21" s="711" t="s">
        <v>2007</v>
      </c>
      <c r="AX21" s="716">
        <v>1</v>
      </c>
      <c r="AY21" s="716">
        <v>0</v>
      </c>
      <c r="AZ21" s="716">
        <v>1</v>
      </c>
      <c r="BA21" s="499">
        <f t="shared" si="4"/>
        <v>40</v>
      </c>
      <c r="BB21" s="499">
        <f t="shared" si="5"/>
        <v>40</v>
      </c>
      <c r="BC21" s="499">
        <f t="shared" si="5"/>
        <v>40</v>
      </c>
      <c r="BD21" s="499">
        <f t="shared" si="5"/>
        <v>40</v>
      </c>
      <c r="BE21" s="499">
        <f t="shared" si="6"/>
        <v>40</v>
      </c>
      <c r="BF21" s="499">
        <f t="shared" si="6"/>
        <v>40</v>
      </c>
      <c r="BG21" s="499">
        <f t="shared" si="6"/>
        <v>40</v>
      </c>
      <c r="BH21" s="499">
        <f t="shared" si="7"/>
        <v>0</v>
      </c>
      <c r="BI21" s="499">
        <f t="shared" si="8"/>
        <v>0</v>
      </c>
      <c r="BJ21" s="499">
        <f t="shared" si="8"/>
        <v>0</v>
      </c>
      <c r="BK21" s="499">
        <f t="shared" si="8"/>
        <v>0</v>
      </c>
      <c r="BL21" s="499">
        <f t="shared" si="8"/>
        <v>0</v>
      </c>
      <c r="BM21" s="499">
        <f t="shared" si="8"/>
        <v>0</v>
      </c>
      <c r="BN21" s="499">
        <f t="shared" si="8"/>
        <v>0</v>
      </c>
      <c r="BO21" s="499">
        <f t="shared" si="9"/>
        <v>20</v>
      </c>
      <c r="BP21" s="499">
        <f t="shared" si="38"/>
        <v>20</v>
      </c>
      <c r="BQ21" s="499">
        <f t="shared" si="10"/>
        <v>20</v>
      </c>
      <c r="BR21" s="499">
        <f t="shared" si="10"/>
        <v>20</v>
      </c>
      <c r="BS21" s="499">
        <f t="shared" si="10"/>
        <v>20</v>
      </c>
      <c r="BT21" s="499">
        <f t="shared" si="10"/>
        <v>20</v>
      </c>
      <c r="BU21" s="499">
        <f t="shared" si="10"/>
        <v>20</v>
      </c>
      <c r="BV21" s="503">
        <f t="shared" si="27"/>
        <v>0</v>
      </c>
      <c r="BW21" s="503">
        <f t="shared" si="11"/>
        <v>0</v>
      </c>
      <c r="BX21" s="503">
        <f t="shared" si="11"/>
        <v>0</v>
      </c>
      <c r="BY21" s="503">
        <f t="shared" si="11"/>
        <v>0</v>
      </c>
      <c r="BZ21" s="503">
        <f t="shared" si="11"/>
        <v>0</v>
      </c>
      <c r="CA21" s="503">
        <f t="shared" si="11"/>
        <v>0</v>
      </c>
      <c r="CB21" s="503">
        <f t="shared" si="11"/>
        <v>0</v>
      </c>
      <c r="CC21" s="511">
        <f t="shared" si="12"/>
        <v>0</v>
      </c>
      <c r="CD21" s="511">
        <f t="shared" si="13"/>
        <v>0</v>
      </c>
      <c r="CE21" s="511">
        <f t="shared" si="13"/>
        <v>0</v>
      </c>
      <c r="CF21" s="511">
        <f t="shared" si="13"/>
        <v>0</v>
      </c>
      <c r="CG21" s="511">
        <f t="shared" si="13"/>
        <v>0</v>
      </c>
      <c r="CH21" s="511">
        <f t="shared" si="13"/>
        <v>0</v>
      </c>
      <c r="CI21" s="511">
        <f t="shared" si="13"/>
        <v>0</v>
      </c>
      <c r="CJ21" s="511">
        <f t="shared" si="14"/>
        <v>0</v>
      </c>
      <c r="CK21" s="511">
        <f t="shared" si="15"/>
        <v>0</v>
      </c>
      <c r="CL21" s="511">
        <f t="shared" si="15"/>
        <v>0</v>
      </c>
      <c r="CM21" s="511">
        <f t="shared" si="15"/>
        <v>0</v>
      </c>
      <c r="CN21" s="511">
        <f t="shared" si="15"/>
        <v>0</v>
      </c>
      <c r="CO21" s="511">
        <f t="shared" si="15"/>
        <v>0</v>
      </c>
      <c r="CP21" s="511">
        <f t="shared" si="15"/>
        <v>0</v>
      </c>
      <c r="CQ21" s="511">
        <f t="shared" si="16"/>
        <v>5.3040649860855602</v>
      </c>
      <c r="CR21" s="511">
        <f t="shared" si="17"/>
        <v>5.3040649860855602</v>
      </c>
      <c r="CS21" s="511">
        <f t="shared" si="17"/>
        <v>5.3040649860855602</v>
      </c>
      <c r="CT21" s="511">
        <f t="shared" si="17"/>
        <v>5.3040649860855602</v>
      </c>
      <c r="CU21" s="511">
        <f t="shared" si="17"/>
        <v>5.3040649860855602</v>
      </c>
      <c r="CV21" s="511">
        <f t="shared" si="17"/>
        <v>5.3040649860855602</v>
      </c>
      <c r="CW21" s="511">
        <f t="shared" si="17"/>
        <v>5.3040649860855602</v>
      </c>
      <c r="CX21" s="508">
        <f t="shared" si="28"/>
        <v>0</v>
      </c>
      <c r="CY21" s="508">
        <f t="shared" si="28"/>
        <v>0</v>
      </c>
      <c r="CZ21" s="508">
        <f t="shared" si="28"/>
        <v>0</v>
      </c>
      <c r="DA21" s="508">
        <f t="shared" si="28"/>
        <v>0</v>
      </c>
      <c r="DB21" s="508">
        <f t="shared" si="28"/>
        <v>0</v>
      </c>
      <c r="DC21" s="508">
        <f t="shared" si="18"/>
        <v>0</v>
      </c>
      <c r="DD21" s="508">
        <f t="shared" si="18"/>
        <v>0</v>
      </c>
      <c r="DE21" s="508">
        <f t="shared" si="19"/>
        <v>0</v>
      </c>
      <c r="DF21" s="508">
        <f t="shared" si="19"/>
        <v>0</v>
      </c>
      <c r="DG21" s="508">
        <f t="shared" si="19"/>
        <v>0</v>
      </c>
      <c r="DH21" s="508">
        <f t="shared" si="19"/>
        <v>0</v>
      </c>
      <c r="DI21" s="508">
        <f t="shared" si="19"/>
        <v>0</v>
      </c>
      <c r="DJ21" s="508">
        <f t="shared" si="19"/>
        <v>0</v>
      </c>
      <c r="DK21" s="508">
        <f t="shared" si="19"/>
        <v>0</v>
      </c>
      <c r="DL21" s="508">
        <f t="shared" si="20"/>
        <v>0</v>
      </c>
      <c r="DM21" s="508">
        <f t="shared" si="20"/>
        <v>0</v>
      </c>
      <c r="DN21" s="508">
        <f t="shared" si="20"/>
        <v>0</v>
      </c>
      <c r="DO21" s="508">
        <f t="shared" si="20"/>
        <v>0</v>
      </c>
      <c r="DP21" s="508">
        <f t="shared" si="20"/>
        <v>0</v>
      </c>
      <c r="DQ21" s="508">
        <f t="shared" si="20"/>
        <v>0</v>
      </c>
      <c r="DR21" s="508">
        <f t="shared" si="20"/>
        <v>0</v>
      </c>
      <c r="DS21" s="508">
        <f t="shared" si="21"/>
        <v>0</v>
      </c>
      <c r="DT21" s="508">
        <f t="shared" si="21"/>
        <v>0</v>
      </c>
      <c r="DU21" s="508">
        <f t="shared" si="21"/>
        <v>0</v>
      </c>
      <c r="DV21" s="508">
        <f t="shared" si="21"/>
        <v>0</v>
      </c>
      <c r="DW21" s="508">
        <f t="shared" si="21"/>
        <v>0</v>
      </c>
      <c r="DX21" s="508">
        <f t="shared" si="21"/>
        <v>0</v>
      </c>
      <c r="DY21" s="508">
        <f t="shared" si="21"/>
        <v>0</v>
      </c>
      <c r="DZ21" s="511">
        <f t="shared" si="22"/>
        <v>0</v>
      </c>
      <c r="EA21" s="511">
        <f t="shared" si="22"/>
        <v>0</v>
      </c>
      <c r="EB21" s="511">
        <f t="shared" si="22"/>
        <v>0</v>
      </c>
      <c r="EC21" s="511">
        <f t="shared" si="22"/>
        <v>0</v>
      </c>
      <c r="ED21" s="511">
        <f t="shared" si="22"/>
        <v>0</v>
      </c>
      <c r="EE21" s="511">
        <f t="shared" si="22"/>
        <v>0</v>
      </c>
      <c r="EF21" s="511">
        <f t="shared" si="22"/>
        <v>0</v>
      </c>
      <c r="EG21" s="511">
        <f t="shared" si="23"/>
        <v>0</v>
      </c>
      <c r="EH21" s="511">
        <f t="shared" si="23"/>
        <v>0</v>
      </c>
      <c r="EI21" s="511">
        <f t="shared" si="23"/>
        <v>0</v>
      </c>
      <c r="EJ21" s="511">
        <f t="shared" si="23"/>
        <v>0</v>
      </c>
      <c r="EK21" s="511">
        <f t="shared" si="23"/>
        <v>0</v>
      </c>
      <c r="EL21" s="511">
        <f t="shared" si="23"/>
        <v>0</v>
      </c>
      <c r="EM21" s="511">
        <f t="shared" si="23"/>
        <v>0</v>
      </c>
      <c r="EN21" s="511">
        <f t="shared" si="24"/>
        <v>0</v>
      </c>
      <c r="EO21" s="511">
        <f t="shared" si="24"/>
        <v>0</v>
      </c>
      <c r="EP21" s="511">
        <f t="shared" si="24"/>
        <v>0</v>
      </c>
      <c r="EQ21" s="511">
        <f t="shared" si="24"/>
        <v>0</v>
      </c>
      <c r="ER21" s="511">
        <f t="shared" si="24"/>
        <v>0</v>
      </c>
      <c r="ES21" s="511">
        <f t="shared" si="24"/>
        <v>0</v>
      </c>
      <c r="ET21" s="511">
        <f t="shared" si="24"/>
        <v>0</v>
      </c>
      <c r="EU21" s="777">
        <f t="shared" si="29"/>
        <v>0</v>
      </c>
      <c r="EV21" s="728">
        <f t="shared" si="30"/>
        <v>0</v>
      </c>
      <c r="EW21" s="728">
        <f t="shared" si="31"/>
        <v>0</v>
      </c>
      <c r="EX21" s="728">
        <f t="shared" si="32"/>
        <v>0</v>
      </c>
      <c r="EY21" s="728">
        <f t="shared" si="33"/>
        <v>0</v>
      </c>
      <c r="EZ21" s="777">
        <f t="shared" si="34"/>
        <v>0</v>
      </c>
      <c r="FA21" s="777">
        <f t="shared" si="35"/>
        <v>0</v>
      </c>
      <c r="FB21" s="778">
        <f t="shared" si="36"/>
        <v>0</v>
      </c>
      <c r="FD21" s="10" t="b">
        <f t="shared" si="25"/>
        <v>1</v>
      </c>
      <c r="FE21" s="10" t="b">
        <f t="shared" si="25"/>
        <v>1</v>
      </c>
      <c r="FF21" s="10" t="b">
        <f t="shared" si="25"/>
        <v>1</v>
      </c>
      <c r="FG21" s="10" t="b">
        <f t="shared" si="25"/>
        <v>1</v>
      </c>
      <c r="FH21" s="10" t="b">
        <f t="shared" si="25"/>
        <v>1</v>
      </c>
      <c r="FI21" s="10" t="b">
        <f t="shared" si="25"/>
        <v>1</v>
      </c>
      <c r="FJ21" s="10" t="b">
        <f t="shared" si="25"/>
        <v>1</v>
      </c>
      <c r="FL21" s="139"/>
    </row>
    <row r="22" spans="1:169" s="10" customFormat="1" ht="12.75" hidden="1" customHeight="1">
      <c r="A22" s="662">
        <v>16</v>
      </c>
      <c r="B22" s="789" t="s">
        <v>2014</v>
      </c>
      <c r="C22" s="662" t="s">
        <v>2015</v>
      </c>
      <c r="D22" s="715" t="s">
        <v>2016</v>
      </c>
      <c r="E22" s="662" t="s">
        <v>331</v>
      </c>
      <c r="F22" s="704" t="s">
        <v>402</v>
      </c>
      <c r="G22" s="704">
        <v>6.61</v>
      </c>
      <c r="H22" s="1237"/>
      <c r="I22" s="704">
        <f t="shared" si="2"/>
        <v>6.61</v>
      </c>
      <c r="J22" s="704">
        <v>0</v>
      </c>
      <c r="K22" s="704">
        <f t="shared" si="43"/>
        <v>3.3050000000000002</v>
      </c>
      <c r="L22" s="711" t="s">
        <v>2017</v>
      </c>
      <c r="M22" s="707" t="s">
        <v>378</v>
      </c>
      <c r="N22" s="707">
        <f t="shared" si="48"/>
        <v>15</v>
      </c>
      <c r="O22" s="1237">
        <v>0</v>
      </c>
      <c r="P22" s="707">
        <v>0</v>
      </c>
      <c r="Q22" s="1022">
        <v>35.050566067415673</v>
      </c>
      <c r="R22" s="872">
        <v>4.9026853562064753E-3</v>
      </c>
      <c r="S22" s="1022">
        <v>0</v>
      </c>
      <c r="T22" s="711" t="s">
        <v>2018</v>
      </c>
      <c r="U22" s="712"/>
      <c r="V22" s="1124">
        <v>8.3313496786479408E-4</v>
      </c>
      <c r="W22" s="790"/>
      <c r="X22" s="790"/>
      <c r="Y22" s="790"/>
      <c r="Z22" s="790"/>
      <c r="AA22" s="790"/>
      <c r="AB22" s="790"/>
      <c r="AC22" s="781">
        <f t="shared" si="47"/>
        <v>0</v>
      </c>
      <c r="AD22" s="781">
        <f t="shared" si="46"/>
        <v>0</v>
      </c>
      <c r="AE22" s="781">
        <f t="shared" si="46"/>
        <v>0</v>
      </c>
      <c r="AF22" s="781">
        <f t="shared" si="45"/>
        <v>0</v>
      </c>
      <c r="AG22" s="781">
        <f t="shared" si="45"/>
        <v>0</v>
      </c>
      <c r="AH22" s="781">
        <f t="shared" si="26"/>
        <v>0</v>
      </c>
      <c r="AI22" s="781">
        <f t="shared" si="26"/>
        <v>0</v>
      </c>
      <c r="AJ22" s="711" t="s">
        <v>384</v>
      </c>
      <c r="AK22" s="711" t="s">
        <v>375</v>
      </c>
      <c r="AL22" s="711" t="s">
        <v>376</v>
      </c>
      <c r="AM22" s="711" t="s">
        <v>864</v>
      </c>
      <c r="AN22" s="711" t="s">
        <v>1</v>
      </c>
      <c r="AO22" s="711" t="s">
        <v>2019</v>
      </c>
      <c r="AP22" s="711" t="s">
        <v>1702</v>
      </c>
      <c r="AQ22" s="711" t="s">
        <v>339</v>
      </c>
      <c r="AR22" s="715" t="s">
        <v>865</v>
      </c>
      <c r="AS22" s="715"/>
      <c r="AT22" s="715" t="s">
        <v>381</v>
      </c>
      <c r="AU22" s="711">
        <v>12</v>
      </c>
      <c r="AV22" s="711">
        <v>12</v>
      </c>
      <c r="AW22" s="711" t="s">
        <v>2020</v>
      </c>
      <c r="AX22" s="716">
        <v>1</v>
      </c>
      <c r="AY22" s="716">
        <v>1</v>
      </c>
      <c r="AZ22" s="716">
        <v>0</v>
      </c>
      <c r="BA22" s="499">
        <f t="shared" si="4"/>
        <v>6.61</v>
      </c>
      <c r="BB22" s="499">
        <f t="shared" ref="BB22:BD37" si="49">BA22</f>
        <v>6.61</v>
      </c>
      <c r="BC22" s="499">
        <f t="shared" si="49"/>
        <v>6.61</v>
      </c>
      <c r="BD22" s="499">
        <f t="shared" si="49"/>
        <v>6.61</v>
      </c>
      <c r="BE22" s="499">
        <f t="shared" si="6"/>
        <v>6.61</v>
      </c>
      <c r="BF22" s="499">
        <f t="shared" si="6"/>
        <v>6.61</v>
      </c>
      <c r="BG22" s="499">
        <f t="shared" si="6"/>
        <v>6.61</v>
      </c>
      <c r="BH22" s="499">
        <f t="shared" si="7"/>
        <v>0</v>
      </c>
      <c r="BI22" s="499">
        <f t="shared" ref="BI22:BN37" si="50">BH22</f>
        <v>0</v>
      </c>
      <c r="BJ22" s="499">
        <f t="shared" si="50"/>
        <v>0</v>
      </c>
      <c r="BK22" s="499">
        <f t="shared" si="50"/>
        <v>0</v>
      </c>
      <c r="BL22" s="499">
        <f t="shared" si="50"/>
        <v>0</v>
      </c>
      <c r="BM22" s="499">
        <f t="shared" si="50"/>
        <v>0</v>
      </c>
      <c r="BN22" s="499">
        <f t="shared" si="50"/>
        <v>0</v>
      </c>
      <c r="BO22" s="499">
        <f t="shared" si="9"/>
        <v>15</v>
      </c>
      <c r="BP22" s="499">
        <f t="shared" si="38"/>
        <v>15</v>
      </c>
      <c r="BQ22" s="499">
        <f t="shared" si="38"/>
        <v>15</v>
      </c>
      <c r="BR22" s="499">
        <f t="shared" si="38"/>
        <v>15</v>
      </c>
      <c r="BS22" s="499">
        <f t="shared" si="38"/>
        <v>15</v>
      </c>
      <c r="BT22" s="499">
        <f t="shared" si="38"/>
        <v>15</v>
      </c>
      <c r="BU22" s="499">
        <f t="shared" si="38"/>
        <v>15</v>
      </c>
      <c r="BV22" s="503">
        <f t="shared" si="27"/>
        <v>0</v>
      </c>
      <c r="BW22" s="503">
        <f t="shared" si="11"/>
        <v>0</v>
      </c>
      <c r="BX22" s="503">
        <f t="shared" si="11"/>
        <v>0</v>
      </c>
      <c r="BY22" s="503">
        <f t="shared" si="11"/>
        <v>0</v>
      </c>
      <c r="BZ22" s="503">
        <f t="shared" si="11"/>
        <v>0</v>
      </c>
      <c r="CA22" s="503">
        <f t="shared" si="11"/>
        <v>0</v>
      </c>
      <c r="CB22" s="503">
        <f t="shared" si="11"/>
        <v>0</v>
      </c>
      <c r="CC22" s="511">
        <f t="shared" si="12"/>
        <v>35.050566067415673</v>
      </c>
      <c r="CD22" s="511">
        <f t="shared" ref="CD22:CI37" si="51">CC22</f>
        <v>35.050566067415673</v>
      </c>
      <c r="CE22" s="511">
        <f t="shared" si="51"/>
        <v>35.050566067415673</v>
      </c>
      <c r="CF22" s="511">
        <f t="shared" si="51"/>
        <v>35.050566067415673</v>
      </c>
      <c r="CG22" s="511">
        <f t="shared" si="51"/>
        <v>35.050566067415673</v>
      </c>
      <c r="CH22" s="511">
        <f t="shared" si="51"/>
        <v>35.050566067415673</v>
      </c>
      <c r="CI22" s="511">
        <f t="shared" si="51"/>
        <v>35.050566067415673</v>
      </c>
      <c r="CJ22" s="511">
        <f t="shared" si="14"/>
        <v>4.9026853562064753E-3</v>
      </c>
      <c r="CK22" s="511">
        <f t="shared" ref="CK22:CP37" si="52">CJ22</f>
        <v>4.9026853562064753E-3</v>
      </c>
      <c r="CL22" s="511">
        <f t="shared" si="52"/>
        <v>4.9026853562064753E-3</v>
      </c>
      <c r="CM22" s="511">
        <f t="shared" si="52"/>
        <v>4.9026853562064753E-3</v>
      </c>
      <c r="CN22" s="511">
        <f t="shared" si="52"/>
        <v>4.9026853562064753E-3</v>
      </c>
      <c r="CO22" s="511">
        <f t="shared" si="52"/>
        <v>4.9026853562064753E-3</v>
      </c>
      <c r="CP22" s="511">
        <f t="shared" si="52"/>
        <v>4.9026853562064753E-3</v>
      </c>
      <c r="CQ22" s="511">
        <f t="shared" si="16"/>
        <v>0</v>
      </c>
      <c r="CR22" s="511">
        <f t="shared" ref="CR22:CW37" si="53">CQ22</f>
        <v>0</v>
      </c>
      <c r="CS22" s="511">
        <f t="shared" si="53"/>
        <v>0</v>
      </c>
      <c r="CT22" s="511">
        <f t="shared" si="53"/>
        <v>0</v>
      </c>
      <c r="CU22" s="511">
        <f t="shared" si="53"/>
        <v>0</v>
      </c>
      <c r="CV22" s="511">
        <f t="shared" si="53"/>
        <v>0</v>
      </c>
      <c r="CW22" s="511">
        <f t="shared" si="53"/>
        <v>0</v>
      </c>
      <c r="CX22" s="508">
        <f t="shared" si="28"/>
        <v>0</v>
      </c>
      <c r="CY22" s="508">
        <f t="shared" si="28"/>
        <v>0</v>
      </c>
      <c r="CZ22" s="508">
        <f t="shared" si="28"/>
        <v>0</v>
      </c>
      <c r="DA22" s="508">
        <f t="shared" si="28"/>
        <v>0</v>
      </c>
      <c r="DB22" s="508">
        <f t="shared" si="28"/>
        <v>0</v>
      </c>
      <c r="DC22" s="508">
        <f t="shared" si="28"/>
        <v>0</v>
      </c>
      <c r="DD22" s="508">
        <f t="shared" si="28"/>
        <v>0</v>
      </c>
      <c r="DE22" s="508">
        <f t="shared" si="19"/>
        <v>0</v>
      </c>
      <c r="DF22" s="508">
        <f t="shared" si="19"/>
        <v>0</v>
      </c>
      <c r="DG22" s="508">
        <f t="shared" si="19"/>
        <v>0</v>
      </c>
      <c r="DH22" s="508">
        <f t="shared" si="19"/>
        <v>0</v>
      </c>
      <c r="DI22" s="508">
        <f t="shared" si="19"/>
        <v>0</v>
      </c>
      <c r="DJ22" s="508">
        <f t="shared" si="19"/>
        <v>0</v>
      </c>
      <c r="DK22" s="508">
        <f t="shared" si="19"/>
        <v>0</v>
      </c>
      <c r="DL22" s="508">
        <f t="shared" si="20"/>
        <v>0</v>
      </c>
      <c r="DM22" s="508">
        <f t="shared" si="20"/>
        <v>0</v>
      </c>
      <c r="DN22" s="508">
        <f t="shared" si="20"/>
        <v>0</v>
      </c>
      <c r="DO22" s="508">
        <f t="shared" si="20"/>
        <v>0</v>
      </c>
      <c r="DP22" s="508">
        <f t="shared" si="20"/>
        <v>0</v>
      </c>
      <c r="DQ22" s="508">
        <f t="shared" si="20"/>
        <v>0</v>
      </c>
      <c r="DR22" s="508">
        <f t="shared" si="20"/>
        <v>0</v>
      </c>
      <c r="DS22" s="508">
        <f t="shared" si="21"/>
        <v>0</v>
      </c>
      <c r="DT22" s="508">
        <f t="shared" si="21"/>
        <v>0</v>
      </c>
      <c r="DU22" s="508">
        <f t="shared" si="21"/>
        <v>0</v>
      </c>
      <c r="DV22" s="508">
        <f t="shared" si="21"/>
        <v>0</v>
      </c>
      <c r="DW22" s="508">
        <f t="shared" si="21"/>
        <v>0</v>
      </c>
      <c r="DX22" s="508">
        <f t="shared" si="21"/>
        <v>0</v>
      </c>
      <c r="DY22" s="508">
        <f t="shared" si="21"/>
        <v>0</v>
      </c>
      <c r="DZ22" s="511">
        <f t="shared" si="22"/>
        <v>0</v>
      </c>
      <c r="EA22" s="511">
        <f t="shared" si="22"/>
        <v>0</v>
      </c>
      <c r="EB22" s="511">
        <f t="shared" si="22"/>
        <v>0</v>
      </c>
      <c r="EC22" s="511">
        <f t="shared" si="22"/>
        <v>0</v>
      </c>
      <c r="ED22" s="511">
        <f t="shared" si="22"/>
        <v>0</v>
      </c>
      <c r="EE22" s="511">
        <f t="shared" si="22"/>
        <v>0</v>
      </c>
      <c r="EF22" s="511">
        <f t="shared" si="22"/>
        <v>0</v>
      </c>
      <c r="EG22" s="511">
        <f t="shared" si="23"/>
        <v>0</v>
      </c>
      <c r="EH22" s="511">
        <f t="shared" si="23"/>
        <v>0</v>
      </c>
      <c r="EI22" s="511">
        <f t="shared" si="23"/>
        <v>0</v>
      </c>
      <c r="EJ22" s="511">
        <f t="shared" si="23"/>
        <v>0</v>
      </c>
      <c r="EK22" s="511">
        <f t="shared" si="23"/>
        <v>0</v>
      </c>
      <c r="EL22" s="511">
        <f t="shared" si="23"/>
        <v>0</v>
      </c>
      <c r="EM22" s="511">
        <f t="shared" si="23"/>
        <v>0</v>
      </c>
      <c r="EN22" s="511">
        <f t="shared" si="24"/>
        <v>0</v>
      </c>
      <c r="EO22" s="511">
        <f t="shared" si="24"/>
        <v>0</v>
      </c>
      <c r="EP22" s="511">
        <f t="shared" si="24"/>
        <v>0</v>
      </c>
      <c r="EQ22" s="511">
        <f t="shared" si="24"/>
        <v>0</v>
      </c>
      <c r="ER22" s="511">
        <f t="shared" si="24"/>
        <v>0</v>
      </c>
      <c r="ES22" s="511">
        <f t="shared" si="24"/>
        <v>0</v>
      </c>
      <c r="ET22" s="511">
        <f t="shared" si="24"/>
        <v>0</v>
      </c>
      <c r="EU22" s="777">
        <f t="shared" si="29"/>
        <v>0</v>
      </c>
      <c r="EV22" s="728">
        <f t="shared" si="30"/>
        <v>0</v>
      </c>
      <c r="EW22" s="728">
        <f t="shared" si="31"/>
        <v>0</v>
      </c>
      <c r="EX22" s="728">
        <f t="shared" si="32"/>
        <v>0</v>
      </c>
      <c r="EY22" s="728">
        <f t="shared" si="33"/>
        <v>0</v>
      </c>
      <c r="EZ22" s="777">
        <f t="shared" si="34"/>
        <v>0</v>
      </c>
      <c r="FA22" s="777">
        <f t="shared" si="35"/>
        <v>0</v>
      </c>
      <c r="FB22" s="778">
        <f t="shared" si="36"/>
        <v>0</v>
      </c>
      <c r="FD22" s="10" t="b">
        <f t="shared" ref="FD22:FJ49" si="54">EV22=SUM(EV67,EV112)</f>
        <v>1</v>
      </c>
      <c r="FE22" s="10" t="b">
        <f t="shared" si="54"/>
        <v>1</v>
      </c>
      <c r="FF22" s="10" t="b">
        <f t="shared" si="54"/>
        <v>1</v>
      </c>
      <c r="FG22" s="10" t="b">
        <f t="shared" si="54"/>
        <v>1</v>
      </c>
      <c r="FH22" s="10" t="b">
        <f t="shared" si="54"/>
        <v>1</v>
      </c>
      <c r="FI22" s="10" t="b">
        <f t="shared" si="54"/>
        <v>1</v>
      </c>
      <c r="FJ22" s="10" t="b">
        <f t="shared" si="54"/>
        <v>1</v>
      </c>
      <c r="FL22" s="135"/>
    </row>
    <row r="23" spans="1:169" s="10" customFormat="1" ht="12.75" hidden="1" customHeight="1">
      <c r="A23" s="662">
        <v>17</v>
      </c>
      <c r="B23" s="789" t="s">
        <v>2021</v>
      </c>
      <c r="C23" s="662" t="s">
        <v>2022</v>
      </c>
      <c r="D23" s="715" t="s">
        <v>2023</v>
      </c>
      <c r="E23" s="662" t="s">
        <v>331</v>
      </c>
      <c r="F23" s="704" t="s">
        <v>402</v>
      </c>
      <c r="G23" s="704">
        <v>56.837899999999998</v>
      </c>
      <c r="H23" s="1237"/>
      <c r="I23" s="704">
        <f t="shared" si="2"/>
        <v>56.837899999999998</v>
      </c>
      <c r="J23" s="704">
        <v>0</v>
      </c>
      <c r="K23" s="704">
        <f t="shared" si="43"/>
        <v>28.418949999999999</v>
      </c>
      <c r="L23" s="711" t="s">
        <v>2024</v>
      </c>
      <c r="M23" s="707" t="s">
        <v>378</v>
      </c>
      <c r="N23" s="707">
        <f t="shared" si="48"/>
        <v>30</v>
      </c>
      <c r="O23" s="1237">
        <v>0</v>
      </c>
      <c r="P23" s="707">
        <v>0</v>
      </c>
      <c r="Q23" s="1022">
        <v>47.708726850976518</v>
      </c>
      <c r="R23" s="872">
        <v>5.8131345957194358E-3</v>
      </c>
      <c r="S23" s="1022">
        <v>0</v>
      </c>
      <c r="T23" s="711" t="s">
        <v>2025</v>
      </c>
      <c r="U23" s="712"/>
      <c r="V23" s="1124">
        <v>1.5948583670554631E-2</v>
      </c>
      <c r="W23" s="790"/>
      <c r="X23" s="790"/>
      <c r="Y23" s="790"/>
      <c r="Z23" s="790"/>
      <c r="AA23" s="790"/>
      <c r="AB23" s="790"/>
      <c r="AC23" s="781">
        <f t="shared" si="47"/>
        <v>40</v>
      </c>
      <c r="AD23" s="781">
        <f t="shared" si="46"/>
        <v>40</v>
      </c>
      <c r="AE23" s="781">
        <f t="shared" si="46"/>
        <v>40</v>
      </c>
      <c r="AF23" s="781">
        <f t="shared" si="45"/>
        <v>40</v>
      </c>
      <c r="AG23" s="781">
        <f t="shared" si="45"/>
        <v>40</v>
      </c>
      <c r="AH23" s="781">
        <f t="shared" ref="AH23:AI38" si="55">AG23</f>
        <v>40</v>
      </c>
      <c r="AI23" s="781">
        <f t="shared" si="55"/>
        <v>40</v>
      </c>
      <c r="AJ23" s="711" t="s">
        <v>384</v>
      </c>
      <c r="AK23" s="711" t="s">
        <v>375</v>
      </c>
      <c r="AL23" s="711" t="s">
        <v>376</v>
      </c>
      <c r="AM23" s="711" t="s">
        <v>858</v>
      </c>
      <c r="AN23" s="711" t="s">
        <v>1</v>
      </c>
      <c r="AO23" s="711" t="s">
        <v>2026</v>
      </c>
      <c r="AP23" s="711" t="s">
        <v>1702</v>
      </c>
      <c r="AQ23" s="711" t="s">
        <v>339</v>
      </c>
      <c r="AR23" s="715" t="s">
        <v>859</v>
      </c>
      <c r="AS23" s="715"/>
      <c r="AT23" s="715" t="s">
        <v>381</v>
      </c>
      <c r="AU23" s="711">
        <v>12</v>
      </c>
      <c r="AV23" s="711">
        <v>12</v>
      </c>
      <c r="AW23" s="711" t="s">
        <v>2020</v>
      </c>
      <c r="AX23" s="716">
        <v>1</v>
      </c>
      <c r="AY23" s="716">
        <v>1</v>
      </c>
      <c r="AZ23" s="716">
        <v>0</v>
      </c>
      <c r="BA23" s="499">
        <f t="shared" si="4"/>
        <v>56.837899999999998</v>
      </c>
      <c r="BB23" s="499">
        <f t="shared" si="49"/>
        <v>56.837899999999998</v>
      </c>
      <c r="BC23" s="499">
        <f t="shared" si="49"/>
        <v>56.837899999999998</v>
      </c>
      <c r="BD23" s="499">
        <f t="shared" si="49"/>
        <v>56.837899999999998</v>
      </c>
      <c r="BE23" s="499">
        <f t="shared" si="6"/>
        <v>56.837899999999998</v>
      </c>
      <c r="BF23" s="499">
        <f t="shared" si="6"/>
        <v>56.837899999999998</v>
      </c>
      <c r="BG23" s="499">
        <f t="shared" si="6"/>
        <v>56.837899999999998</v>
      </c>
      <c r="BH23" s="499">
        <f t="shared" si="7"/>
        <v>0</v>
      </c>
      <c r="BI23" s="499">
        <f t="shared" si="50"/>
        <v>0</v>
      </c>
      <c r="BJ23" s="499">
        <f t="shared" si="50"/>
        <v>0</v>
      </c>
      <c r="BK23" s="499">
        <f t="shared" si="50"/>
        <v>0</v>
      </c>
      <c r="BL23" s="499">
        <f t="shared" si="50"/>
        <v>0</v>
      </c>
      <c r="BM23" s="499">
        <f t="shared" si="50"/>
        <v>0</v>
      </c>
      <c r="BN23" s="499">
        <f t="shared" si="50"/>
        <v>0</v>
      </c>
      <c r="BO23" s="499">
        <f t="shared" si="9"/>
        <v>30</v>
      </c>
      <c r="BP23" s="499">
        <f t="shared" si="38"/>
        <v>30</v>
      </c>
      <c r="BQ23" s="499">
        <f t="shared" si="38"/>
        <v>30</v>
      </c>
      <c r="BR23" s="499">
        <f t="shared" si="38"/>
        <v>30</v>
      </c>
      <c r="BS23" s="499">
        <f t="shared" si="38"/>
        <v>30</v>
      </c>
      <c r="BT23" s="499">
        <f t="shared" si="38"/>
        <v>30</v>
      </c>
      <c r="BU23" s="499">
        <f t="shared" si="38"/>
        <v>30</v>
      </c>
      <c r="BV23" s="503">
        <f t="shared" si="27"/>
        <v>0</v>
      </c>
      <c r="BW23" s="503">
        <f t="shared" si="27"/>
        <v>0</v>
      </c>
      <c r="BX23" s="503">
        <f t="shared" si="27"/>
        <v>0</v>
      </c>
      <c r="BY23" s="503">
        <f t="shared" si="27"/>
        <v>0</v>
      </c>
      <c r="BZ23" s="503">
        <f t="shared" si="27"/>
        <v>0</v>
      </c>
      <c r="CA23" s="503">
        <f t="shared" si="27"/>
        <v>0</v>
      </c>
      <c r="CB23" s="503">
        <f t="shared" si="27"/>
        <v>0</v>
      </c>
      <c r="CC23" s="511">
        <f t="shared" si="12"/>
        <v>47.708726850976518</v>
      </c>
      <c r="CD23" s="511">
        <f t="shared" si="51"/>
        <v>47.708726850976518</v>
      </c>
      <c r="CE23" s="511">
        <f t="shared" si="51"/>
        <v>47.708726850976518</v>
      </c>
      <c r="CF23" s="511">
        <f t="shared" si="51"/>
        <v>47.708726850976518</v>
      </c>
      <c r="CG23" s="511">
        <f t="shared" si="51"/>
        <v>47.708726850976518</v>
      </c>
      <c r="CH23" s="511">
        <f t="shared" si="51"/>
        <v>47.708726850976518</v>
      </c>
      <c r="CI23" s="511">
        <f t="shared" si="51"/>
        <v>47.708726850976518</v>
      </c>
      <c r="CJ23" s="511">
        <f t="shared" si="14"/>
        <v>5.8131345957194358E-3</v>
      </c>
      <c r="CK23" s="511">
        <f t="shared" si="52"/>
        <v>5.8131345957194358E-3</v>
      </c>
      <c r="CL23" s="511">
        <f t="shared" si="52"/>
        <v>5.8131345957194358E-3</v>
      </c>
      <c r="CM23" s="511">
        <f t="shared" si="52"/>
        <v>5.8131345957194358E-3</v>
      </c>
      <c r="CN23" s="511">
        <f t="shared" si="52"/>
        <v>5.8131345957194358E-3</v>
      </c>
      <c r="CO23" s="511">
        <f t="shared" si="52"/>
        <v>5.8131345957194358E-3</v>
      </c>
      <c r="CP23" s="511">
        <f t="shared" si="52"/>
        <v>5.8131345957194358E-3</v>
      </c>
      <c r="CQ23" s="511">
        <f t="shared" si="16"/>
        <v>0</v>
      </c>
      <c r="CR23" s="511">
        <f t="shared" si="53"/>
        <v>0</v>
      </c>
      <c r="CS23" s="511">
        <f t="shared" si="53"/>
        <v>0</v>
      </c>
      <c r="CT23" s="511">
        <f t="shared" si="53"/>
        <v>0</v>
      </c>
      <c r="CU23" s="511">
        <f t="shared" si="53"/>
        <v>0</v>
      </c>
      <c r="CV23" s="511">
        <f t="shared" si="53"/>
        <v>0</v>
      </c>
      <c r="CW23" s="511">
        <f t="shared" si="53"/>
        <v>0</v>
      </c>
      <c r="CX23" s="508">
        <f t="shared" si="28"/>
        <v>2273.5160000000001</v>
      </c>
      <c r="CY23" s="508">
        <f t="shared" si="28"/>
        <v>2273.5160000000001</v>
      </c>
      <c r="CZ23" s="508">
        <f t="shared" si="28"/>
        <v>2273.5160000000001</v>
      </c>
      <c r="DA23" s="508">
        <f t="shared" si="28"/>
        <v>2273.5160000000001</v>
      </c>
      <c r="DB23" s="508">
        <f t="shared" si="28"/>
        <v>2273.5160000000001</v>
      </c>
      <c r="DC23" s="508">
        <f t="shared" si="28"/>
        <v>2273.5160000000001</v>
      </c>
      <c r="DD23" s="508">
        <f t="shared" si="28"/>
        <v>2273.5160000000001</v>
      </c>
      <c r="DE23" s="508">
        <f t="shared" si="19"/>
        <v>0</v>
      </c>
      <c r="DF23" s="508">
        <f t="shared" si="19"/>
        <v>0</v>
      </c>
      <c r="DG23" s="508">
        <f t="shared" si="19"/>
        <v>0</v>
      </c>
      <c r="DH23" s="508">
        <f t="shared" si="19"/>
        <v>0</v>
      </c>
      <c r="DI23" s="508">
        <f t="shared" si="19"/>
        <v>0</v>
      </c>
      <c r="DJ23" s="508">
        <f t="shared" si="19"/>
        <v>0</v>
      </c>
      <c r="DK23" s="508">
        <f t="shared" si="19"/>
        <v>0</v>
      </c>
      <c r="DL23" s="508">
        <f t="shared" si="20"/>
        <v>1200</v>
      </c>
      <c r="DM23" s="508">
        <f t="shared" si="20"/>
        <v>1200</v>
      </c>
      <c r="DN23" s="508">
        <f t="shared" si="20"/>
        <v>1200</v>
      </c>
      <c r="DO23" s="508">
        <f t="shared" si="20"/>
        <v>1200</v>
      </c>
      <c r="DP23" s="508">
        <f t="shared" si="20"/>
        <v>1200</v>
      </c>
      <c r="DQ23" s="508">
        <f t="shared" si="20"/>
        <v>1200</v>
      </c>
      <c r="DR23" s="508">
        <f t="shared" si="20"/>
        <v>1200</v>
      </c>
      <c r="DS23" s="508">
        <f t="shared" si="21"/>
        <v>0</v>
      </c>
      <c r="DT23" s="508">
        <f t="shared" si="21"/>
        <v>0</v>
      </c>
      <c r="DU23" s="508">
        <f t="shared" si="21"/>
        <v>0</v>
      </c>
      <c r="DV23" s="508">
        <f t="shared" si="21"/>
        <v>0</v>
      </c>
      <c r="DW23" s="508">
        <f t="shared" si="21"/>
        <v>0</v>
      </c>
      <c r="DX23" s="508">
        <f t="shared" si="21"/>
        <v>0</v>
      </c>
      <c r="DY23" s="508">
        <f t="shared" si="21"/>
        <v>0</v>
      </c>
      <c r="DZ23" s="511">
        <f t="shared" si="22"/>
        <v>1908.3490740390607</v>
      </c>
      <c r="EA23" s="511">
        <f t="shared" si="22"/>
        <v>1908.3490740390607</v>
      </c>
      <c r="EB23" s="511">
        <f t="shared" si="22"/>
        <v>1908.3490740390607</v>
      </c>
      <c r="EC23" s="511">
        <f t="shared" si="22"/>
        <v>1908.3490740390607</v>
      </c>
      <c r="ED23" s="511">
        <f t="shared" si="22"/>
        <v>1908.3490740390607</v>
      </c>
      <c r="EE23" s="511">
        <f t="shared" si="22"/>
        <v>1908.3490740390607</v>
      </c>
      <c r="EF23" s="511">
        <f t="shared" si="22"/>
        <v>1908.3490740390607</v>
      </c>
      <c r="EG23" s="511">
        <f t="shared" si="23"/>
        <v>0.23252538382877744</v>
      </c>
      <c r="EH23" s="511">
        <f t="shared" si="23"/>
        <v>0.23252538382877744</v>
      </c>
      <c r="EI23" s="511">
        <f t="shared" si="23"/>
        <v>0.23252538382877744</v>
      </c>
      <c r="EJ23" s="511">
        <f t="shared" si="23"/>
        <v>0.23252538382877744</v>
      </c>
      <c r="EK23" s="511">
        <f t="shared" si="23"/>
        <v>0.23252538382877744</v>
      </c>
      <c r="EL23" s="511">
        <f t="shared" si="23"/>
        <v>0.23252538382877744</v>
      </c>
      <c r="EM23" s="511">
        <f t="shared" si="23"/>
        <v>0.23252538382877744</v>
      </c>
      <c r="EN23" s="511">
        <f t="shared" si="24"/>
        <v>0</v>
      </c>
      <c r="EO23" s="511">
        <f t="shared" si="24"/>
        <v>0</v>
      </c>
      <c r="EP23" s="511">
        <f t="shared" si="24"/>
        <v>0</v>
      </c>
      <c r="EQ23" s="511">
        <f t="shared" si="24"/>
        <v>0</v>
      </c>
      <c r="ER23" s="511">
        <f t="shared" si="24"/>
        <v>0</v>
      </c>
      <c r="ES23" s="511">
        <f t="shared" si="24"/>
        <v>0</v>
      </c>
      <c r="ET23" s="511">
        <f t="shared" si="24"/>
        <v>0</v>
      </c>
      <c r="EU23" s="777">
        <f t="shared" si="29"/>
        <v>280</v>
      </c>
      <c r="EV23" s="728">
        <f t="shared" si="30"/>
        <v>15914.611999999999</v>
      </c>
      <c r="EW23" s="728">
        <f t="shared" si="31"/>
        <v>0</v>
      </c>
      <c r="EX23" s="728">
        <f t="shared" si="32"/>
        <v>8400</v>
      </c>
      <c r="EY23" s="728">
        <f t="shared" si="33"/>
        <v>0</v>
      </c>
      <c r="EZ23" s="777">
        <f t="shared" si="34"/>
        <v>13358.443518273425</v>
      </c>
      <c r="FA23" s="777">
        <f t="shared" si="35"/>
        <v>1.6276776868014422</v>
      </c>
      <c r="FB23" s="778">
        <f t="shared" si="36"/>
        <v>0</v>
      </c>
      <c r="FD23" s="10" t="b">
        <f t="shared" si="54"/>
        <v>1</v>
      </c>
      <c r="FE23" s="10" t="b">
        <f t="shared" si="54"/>
        <v>1</v>
      </c>
      <c r="FF23" s="10" t="b">
        <f t="shared" si="54"/>
        <v>1</v>
      </c>
      <c r="FG23" s="10" t="b">
        <f t="shared" si="54"/>
        <v>1</v>
      </c>
      <c r="FH23" s="10" t="b">
        <f>EZ23=SUM(EZ68,EZ113)</f>
        <v>1</v>
      </c>
      <c r="FI23" s="10" t="b">
        <f t="shared" si="54"/>
        <v>1</v>
      </c>
      <c r="FJ23" s="10" t="b">
        <f t="shared" si="54"/>
        <v>1</v>
      </c>
      <c r="FL23" s="139"/>
    </row>
    <row r="24" spans="1:169" s="10" customFormat="1" ht="12.75" hidden="1" customHeight="1">
      <c r="A24" s="662">
        <v>18</v>
      </c>
      <c r="B24" s="789" t="s">
        <v>2027</v>
      </c>
      <c r="C24" s="662" t="s">
        <v>2028</v>
      </c>
      <c r="D24" s="715" t="s">
        <v>2029</v>
      </c>
      <c r="E24" s="662" t="s">
        <v>331</v>
      </c>
      <c r="F24" s="704" t="s">
        <v>402</v>
      </c>
      <c r="G24" s="704">
        <v>28.011622424253943</v>
      </c>
      <c r="H24" s="1237"/>
      <c r="I24" s="704">
        <f t="shared" si="2"/>
        <v>28.011622424253943</v>
      </c>
      <c r="J24" s="704">
        <v>0</v>
      </c>
      <c r="K24" s="704">
        <f t="shared" si="43"/>
        <v>14.005811212126972</v>
      </c>
      <c r="L24" s="711" t="s">
        <v>2030</v>
      </c>
      <c r="M24" s="707" t="s">
        <v>378</v>
      </c>
      <c r="N24" s="707">
        <f t="shared" si="48"/>
        <v>15</v>
      </c>
      <c r="O24" s="1237">
        <v>0</v>
      </c>
      <c r="P24" s="707">
        <v>0</v>
      </c>
      <c r="Q24" s="1022">
        <v>150.5125729221453</v>
      </c>
      <c r="R24" s="872">
        <v>0</v>
      </c>
      <c r="S24" s="1022">
        <v>0</v>
      </c>
      <c r="T24" s="711" t="s">
        <v>2031</v>
      </c>
      <c r="U24" s="712"/>
      <c r="V24" s="1124">
        <v>1.0830754582242324E-2</v>
      </c>
      <c r="W24" s="790"/>
      <c r="X24" s="790"/>
      <c r="Y24" s="790"/>
      <c r="Z24" s="790"/>
      <c r="AA24" s="790"/>
      <c r="AB24" s="790"/>
      <c r="AC24" s="781">
        <f t="shared" si="47"/>
        <v>30</v>
      </c>
      <c r="AD24" s="781">
        <f t="shared" si="46"/>
        <v>30</v>
      </c>
      <c r="AE24" s="781">
        <f t="shared" si="46"/>
        <v>30</v>
      </c>
      <c r="AF24" s="781">
        <f t="shared" si="45"/>
        <v>30</v>
      </c>
      <c r="AG24" s="781">
        <f t="shared" si="45"/>
        <v>30</v>
      </c>
      <c r="AH24" s="781">
        <f t="shared" si="55"/>
        <v>30</v>
      </c>
      <c r="AI24" s="781">
        <f t="shared" si="55"/>
        <v>30</v>
      </c>
      <c r="AJ24" s="711" t="s">
        <v>384</v>
      </c>
      <c r="AK24" s="711" t="s">
        <v>375</v>
      </c>
      <c r="AL24" s="711" t="s">
        <v>376</v>
      </c>
      <c r="AM24" s="711" t="s">
        <v>1981</v>
      </c>
      <c r="AN24" s="711" t="s">
        <v>1</v>
      </c>
      <c r="AO24" s="711" t="s">
        <v>2032</v>
      </c>
      <c r="AP24" s="711" t="s">
        <v>2028</v>
      </c>
      <c r="AQ24" s="711" t="s">
        <v>2029</v>
      </c>
      <c r="AR24" s="715" t="s">
        <v>943</v>
      </c>
      <c r="AS24" s="715" t="s">
        <v>1941</v>
      </c>
      <c r="AT24" s="715" t="s">
        <v>381</v>
      </c>
      <c r="AU24" s="711">
        <v>11</v>
      </c>
      <c r="AV24" s="912">
        <v>11</v>
      </c>
      <c r="AW24" s="711" t="s">
        <v>2033</v>
      </c>
      <c r="AX24" s="716">
        <v>1</v>
      </c>
      <c r="AY24" s="716">
        <v>1</v>
      </c>
      <c r="AZ24" s="716">
        <v>0</v>
      </c>
      <c r="BA24" s="499">
        <f t="shared" si="4"/>
        <v>28.011622424253943</v>
      </c>
      <c r="BB24" s="499">
        <f t="shared" si="49"/>
        <v>28.011622424253943</v>
      </c>
      <c r="BC24" s="499">
        <f t="shared" si="49"/>
        <v>28.011622424253943</v>
      </c>
      <c r="BD24" s="499">
        <f t="shared" si="49"/>
        <v>28.011622424253943</v>
      </c>
      <c r="BE24" s="499">
        <f t="shared" si="6"/>
        <v>28.011622424253943</v>
      </c>
      <c r="BF24" s="499">
        <f t="shared" si="6"/>
        <v>28.011622424253943</v>
      </c>
      <c r="BG24" s="499">
        <f t="shared" si="6"/>
        <v>28.011622424253943</v>
      </c>
      <c r="BH24" s="499">
        <f t="shared" si="7"/>
        <v>0</v>
      </c>
      <c r="BI24" s="499">
        <f t="shared" si="50"/>
        <v>0</v>
      </c>
      <c r="BJ24" s="499">
        <f t="shared" si="50"/>
        <v>0</v>
      </c>
      <c r="BK24" s="499">
        <f t="shared" si="50"/>
        <v>0</v>
      </c>
      <c r="BL24" s="499">
        <f t="shared" si="50"/>
        <v>0</v>
      </c>
      <c r="BM24" s="499">
        <f t="shared" si="50"/>
        <v>0</v>
      </c>
      <c r="BN24" s="499">
        <f t="shared" si="50"/>
        <v>0</v>
      </c>
      <c r="BO24" s="499">
        <f t="shared" si="9"/>
        <v>15</v>
      </c>
      <c r="BP24" s="499">
        <f t="shared" si="38"/>
        <v>15</v>
      </c>
      <c r="BQ24" s="499">
        <f t="shared" si="38"/>
        <v>15</v>
      </c>
      <c r="BR24" s="499">
        <f t="shared" si="38"/>
        <v>15</v>
      </c>
      <c r="BS24" s="499">
        <f t="shared" si="38"/>
        <v>15</v>
      </c>
      <c r="BT24" s="499">
        <f t="shared" si="38"/>
        <v>15</v>
      </c>
      <c r="BU24" s="499">
        <f t="shared" si="38"/>
        <v>15</v>
      </c>
      <c r="BV24" s="503">
        <f t="shared" si="27"/>
        <v>0</v>
      </c>
      <c r="BW24" s="503">
        <f t="shared" si="27"/>
        <v>0</v>
      </c>
      <c r="BX24" s="503">
        <f t="shared" si="27"/>
        <v>0</v>
      </c>
      <c r="BY24" s="503">
        <f t="shared" si="27"/>
        <v>0</v>
      </c>
      <c r="BZ24" s="503">
        <f t="shared" si="27"/>
        <v>0</v>
      </c>
      <c r="CA24" s="503">
        <f t="shared" si="27"/>
        <v>0</v>
      </c>
      <c r="CB24" s="503">
        <f t="shared" si="27"/>
        <v>0</v>
      </c>
      <c r="CC24" s="511">
        <f t="shared" si="12"/>
        <v>150.5125729221453</v>
      </c>
      <c r="CD24" s="511">
        <f t="shared" si="51"/>
        <v>150.5125729221453</v>
      </c>
      <c r="CE24" s="511">
        <f t="shared" si="51"/>
        <v>150.5125729221453</v>
      </c>
      <c r="CF24" s="511">
        <f t="shared" si="51"/>
        <v>150.5125729221453</v>
      </c>
      <c r="CG24" s="511">
        <f t="shared" si="51"/>
        <v>150.5125729221453</v>
      </c>
      <c r="CH24" s="511">
        <f t="shared" si="51"/>
        <v>150.5125729221453</v>
      </c>
      <c r="CI24" s="511">
        <f t="shared" si="51"/>
        <v>150.5125729221453</v>
      </c>
      <c r="CJ24" s="511">
        <f t="shared" si="14"/>
        <v>0</v>
      </c>
      <c r="CK24" s="511">
        <f t="shared" si="52"/>
        <v>0</v>
      </c>
      <c r="CL24" s="511">
        <f t="shared" si="52"/>
        <v>0</v>
      </c>
      <c r="CM24" s="511">
        <f t="shared" si="52"/>
        <v>0</v>
      </c>
      <c r="CN24" s="511">
        <f t="shared" si="52"/>
        <v>0</v>
      </c>
      <c r="CO24" s="511">
        <f t="shared" si="52"/>
        <v>0</v>
      </c>
      <c r="CP24" s="511">
        <f t="shared" si="52"/>
        <v>0</v>
      </c>
      <c r="CQ24" s="511">
        <f t="shared" si="16"/>
        <v>0</v>
      </c>
      <c r="CR24" s="511">
        <f t="shared" si="53"/>
        <v>0</v>
      </c>
      <c r="CS24" s="511">
        <f t="shared" si="53"/>
        <v>0</v>
      </c>
      <c r="CT24" s="511">
        <f t="shared" si="53"/>
        <v>0</v>
      </c>
      <c r="CU24" s="511">
        <f t="shared" si="53"/>
        <v>0</v>
      </c>
      <c r="CV24" s="511">
        <f t="shared" si="53"/>
        <v>0</v>
      </c>
      <c r="CW24" s="511">
        <f t="shared" si="53"/>
        <v>0</v>
      </c>
      <c r="CX24" s="508">
        <f t="shared" si="28"/>
        <v>840.34867272761835</v>
      </c>
      <c r="CY24" s="508">
        <f t="shared" si="28"/>
        <v>840.34867272761835</v>
      </c>
      <c r="CZ24" s="508">
        <f t="shared" si="28"/>
        <v>840.34867272761835</v>
      </c>
      <c r="DA24" s="508">
        <f t="shared" si="28"/>
        <v>840.34867272761835</v>
      </c>
      <c r="DB24" s="508">
        <f t="shared" si="28"/>
        <v>840.34867272761835</v>
      </c>
      <c r="DC24" s="508">
        <f t="shared" si="28"/>
        <v>840.34867272761835</v>
      </c>
      <c r="DD24" s="508">
        <f t="shared" si="28"/>
        <v>840.34867272761835</v>
      </c>
      <c r="DE24" s="508">
        <f t="shared" si="19"/>
        <v>0</v>
      </c>
      <c r="DF24" s="508">
        <f t="shared" si="19"/>
        <v>0</v>
      </c>
      <c r="DG24" s="508">
        <f t="shared" si="19"/>
        <v>0</v>
      </c>
      <c r="DH24" s="508">
        <f t="shared" si="19"/>
        <v>0</v>
      </c>
      <c r="DI24" s="508">
        <f t="shared" si="19"/>
        <v>0</v>
      </c>
      <c r="DJ24" s="508">
        <f t="shared" si="19"/>
        <v>0</v>
      </c>
      <c r="DK24" s="508">
        <f t="shared" si="19"/>
        <v>0</v>
      </c>
      <c r="DL24" s="508">
        <f t="shared" si="20"/>
        <v>450</v>
      </c>
      <c r="DM24" s="508">
        <f t="shared" si="20"/>
        <v>450</v>
      </c>
      <c r="DN24" s="508">
        <f t="shared" si="20"/>
        <v>450</v>
      </c>
      <c r="DO24" s="508">
        <f t="shared" si="20"/>
        <v>450</v>
      </c>
      <c r="DP24" s="508">
        <f t="shared" si="20"/>
        <v>450</v>
      </c>
      <c r="DQ24" s="508">
        <f t="shared" si="20"/>
        <v>450</v>
      </c>
      <c r="DR24" s="508">
        <f t="shared" si="20"/>
        <v>450</v>
      </c>
      <c r="DS24" s="508">
        <f t="shared" si="21"/>
        <v>0</v>
      </c>
      <c r="DT24" s="508">
        <f t="shared" si="21"/>
        <v>0</v>
      </c>
      <c r="DU24" s="508">
        <f t="shared" si="21"/>
        <v>0</v>
      </c>
      <c r="DV24" s="508">
        <f t="shared" si="21"/>
        <v>0</v>
      </c>
      <c r="DW24" s="508">
        <f t="shared" si="21"/>
        <v>0</v>
      </c>
      <c r="DX24" s="508">
        <f t="shared" si="21"/>
        <v>0</v>
      </c>
      <c r="DY24" s="508">
        <f t="shared" si="21"/>
        <v>0</v>
      </c>
      <c r="DZ24" s="511">
        <f t="shared" si="22"/>
        <v>4515.3771876643586</v>
      </c>
      <c r="EA24" s="511">
        <f t="shared" si="22"/>
        <v>4515.3771876643586</v>
      </c>
      <c r="EB24" s="511">
        <f t="shared" si="22"/>
        <v>4515.3771876643586</v>
      </c>
      <c r="EC24" s="511">
        <f t="shared" si="22"/>
        <v>4515.3771876643586</v>
      </c>
      <c r="ED24" s="511">
        <f t="shared" si="22"/>
        <v>4515.3771876643586</v>
      </c>
      <c r="EE24" s="511">
        <f t="shared" si="22"/>
        <v>4515.3771876643586</v>
      </c>
      <c r="EF24" s="511">
        <f t="shared" si="22"/>
        <v>4515.3771876643586</v>
      </c>
      <c r="EG24" s="511">
        <f t="shared" si="23"/>
        <v>0</v>
      </c>
      <c r="EH24" s="511">
        <f t="shared" si="23"/>
        <v>0</v>
      </c>
      <c r="EI24" s="511">
        <f t="shared" si="23"/>
        <v>0</v>
      </c>
      <c r="EJ24" s="511">
        <f t="shared" si="23"/>
        <v>0</v>
      </c>
      <c r="EK24" s="511">
        <f t="shared" si="23"/>
        <v>0</v>
      </c>
      <c r="EL24" s="511">
        <f t="shared" si="23"/>
        <v>0</v>
      </c>
      <c r="EM24" s="511">
        <f t="shared" si="23"/>
        <v>0</v>
      </c>
      <c r="EN24" s="511">
        <f t="shared" si="24"/>
        <v>0</v>
      </c>
      <c r="EO24" s="511">
        <f t="shared" si="24"/>
        <v>0</v>
      </c>
      <c r="EP24" s="511">
        <f t="shared" si="24"/>
        <v>0</v>
      </c>
      <c r="EQ24" s="511">
        <f t="shared" si="24"/>
        <v>0</v>
      </c>
      <c r="ER24" s="511">
        <f t="shared" si="24"/>
        <v>0</v>
      </c>
      <c r="ES24" s="511">
        <f t="shared" si="24"/>
        <v>0</v>
      </c>
      <c r="ET24" s="511">
        <f t="shared" si="24"/>
        <v>0</v>
      </c>
      <c r="EU24" s="777">
        <f t="shared" si="29"/>
        <v>210</v>
      </c>
      <c r="EV24" s="728">
        <f t="shared" si="30"/>
        <v>5882.4407090933291</v>
      </c>
      <c r="EW24" s="728">
        <f t="shared" si="31"/>
        <v>0</v>
      </c>
      <c r="EX24" s="728">
        <f t="shared" si="32"/>
        <v>3150</v>
      </c>
      <c r="EY24" s="728">
        <f t="shared" si="33"/>
        <v>0</v>
      </c>
      <c r="EZ24" s="777">
        <f t="shared" si="34"/>
        <v>31607.640313650511</v>
      </c>
      <c r="FA24" s="777">
        <f t="shared" si="35"/>
        <v>0</v>
      </c>
      <c r="FB24" s="778">
        <f t="shared" si="36"/>
        <v>0</v>
      </c>
      <c r="FD24" s="10" t="b">
        <f t="shared" si="54"/>
        <v>1</v>
      </c>
      <c r="FE24" s="10" t="b">
        <f t="shared" si="54"/>
        <v>1</v>
      </c>
      <c r="FF24" s="10" t="b">
        <f t="shared" si="54"/>
        <v>1</v>
      </c>
      <c r="FG24" s="10" t="b">
        <f t="shared" si="54"/>
        <v>1</v>
      </c>
      <c r="FH24" s="10" t="b">
        <f t="shared" si="54"/>
        <v>1</v>
      </c>
      <c r="FI24" s="10" t="b">
        <f t="shared" si="54"/>
        <v>1</v>
      </c>
      <c r="FJ24" s="10" t="b">
        <f t="shared" si="54"/>
        <v>1</v>
      </c>
    </row>
    <row r="25" spans="1:169" s="10" customFormat="1" ht="12.75" hidden="1" customHeight="1">
      <c r="A25" s="662">
        <v>19</v>
      </c>
      <c r="B25" s="789" t="s">
        <v>2034</v>
      </c>
      <c r="C25" s="662" t="s">
        <v>2035</v>
      </c>
      <c r="D25" s="715" t="s">
        <v>2036</v>
      </c>
      <c r="E25" s="662" t="s">
        <v>331</v>
      </c>
      <c r="F25" s="704" t="s">
        <v>402</v>
      </c>
      <c r="G25" s="704">
        <v>95.810292993796438</v>
      </c>
      <c r="H25" s="1237"/>
      <c r="I25" s="704">
        <f t="shared" si="2"/>
        <v>95.810292993796438</v>
      </c>
      <c r="J25" s="704">
        <v>0</v>
      </c>
      <c r="K25" s="704">
        <f t="shared" si="43"/>
        <v>47.905146496898219</v>
      </c>
      <c r="L25" s="711" t="s">
        <v>2030</v>
      </c>
      <c r="M25" s="707" t="s">
        <v>378</v>
      </c>
      <c r="N25" s="707">
        <f t="shared" si="48"/>
        <v>50</v>
      </c>
      <c r="O25" s="1237">
        <v>0</v>
      </c>
      <c r="P25" s="707">
        <v>0</v>
      </c>
      <c r="Q25" s="1022">
        <v>396.56513073049956</v>
      </c>
      <c r="R25" s="872">
        <v>0</v>
      </c>
      <c r="S25" s="1022">
        <v>0</v>
      </c>
      <c r="T25" s="711" t="s">
        <v>2031</v>
      </c>
      <c r="U25" s="712"/>
      <c r="V25" s="1124">
        <v>0</v>
      </c>
      <c r="W25" s="790"/>
      <c r="X25" s="790"/>
      <c r="Y25" s="790"/>
      <c r="Z25" s="790"/>
      <c r="AA25" s="790"/>
      <c r="AB25" s="790"/>
      <c r="AC25" s="781">
        <f t="shared" si="47"/>
        <v>0</v>
      </c>
      <c r="AD25" s="781">
        <f t="shared" si="46"/>
        <v>0</v>
      </c>
      <c r="AE25" s="781">
        <f t="shared" si="46"/>
        <v>0</v>
      </c>
      <c r="AF25" s="781">
        <f t="shared" si="45"/>
        <v>0</v>
      </c>
      <c r="AG25" s="781">
        <f t="shared" si="45"/>
        <v>0</v>
      </c>
      <c r="AH25" s="781">
        <f t="shared" si="55"/>
        <v>0</v>
      </c>
      <c r="AI25" s="781">
        <f t="shared" si="55"/>
        <v>0</v>
      </c>
      <c r="AJ25" s="711" t="s">
        <v>384</v>
      </c>
      <c r="AK25" s="711" t="s">
        <v>375</v>
      </c>
      <c r="AL25" s="711" t="s">
        <v>376</v>
      </c>
      <c r="AM25" s="711" t="s">
        <v>1981</v>
      </c>
      <c r="AN25" s="711" t="s">
        <v>1</v>
      </c>
      <c r="AO25" s="711" t="s">
        <v>2037</v>
      </c>
      <c r="AP25" s="711" t="s">
        <v>2035</v>
      </c>
      <c r="AQ25" s="711" t="s">
        <v>2036</v>
      </c>
      <c r="AR25" s="715" t="s">
        <v>943</v>
      </c>
      <c r="AS25" s="715" t="s">
        <v>1941</v>
      </c>
      <c r="AT25" s="715" t="s">
        <v>381</v>
      </c>
      <c r="AU25" s="711">
        <v>11</v>
      </c>
      <c r="AV25" s="912">
        <v>11</v>
      </c>
      <c r="AW25" s="711" t="s">
        <v>2033</v>
      </c>
      <c r="AX25" s="716">
        <v>1</v>
      </c>
      <c r="AY25" s="716">
        <v>1</v>
      </c>
      <c r="AZ25" s="716">
        <v>0</v>
      </c>
      <c r="BA25" s="499">
        <f t="shared" si="4"/>
        <v>95.810292993796438</v>
      </c>
      <c r="BB25" s="499">
        <f t="shared" si="49"/>
        <v>95.810292993796438</v>
      </c>
      <c r="BC25" s="499">
        <f t="shared" si="49"/>
        <v>95.810292993796438</v>
      </c>
      <c r="BD25" s="499">
        <f t="shared" si="49"/>
        <v>95.810292993796438</v>
      </c>
      <c r="BE25" s="499">
        <f t="shared" si="6"/>
        <v>95.810292993796438</v>
      </c>
      <c r="BF25" s="499">
        <f t="shared" si="6"/>
        <v>95.810292993796438</v>
      </c>
      <c r="BG25" s="499">
        <f t="shared" si="6"/>
        <v>95.810292993796438</v>
      </c>
      <c r="BH25" s="499">
        <f t="shared" si="7"/>
        <v>0</v>
      </c>
      <c r="BI25" s="499">
        <f t="shared" si="50"/>
        <v>0</v>
      </c>
      <c r="BJ25" s="499">
        <f t="shared" si="50"/>
        <v>0</v>
      </c>
      <c r="BK25" s="499">
        <f t="shared" si="50"/>
        <v>0</v>
      </c>
      <c r="BL25" s="499">
        <f t="shared" si="50"/>
        <v>0</v>
      </c>
      <c r="BM25" s="499">
        <f t="shared" si="50"/>
        <v>0</v>
      </c>
      <c r="BN25" s="499">
        <f t="shared" si="50"/>
        <v>0</v>
      </c>
      <c r="BO25" s="499">
        <f t="shared" si="9"/>
        <v>50</v>
      </c>
      <c r="BP25" s="499">
        <f t="shared" si="38"/>
        <v>50</v>
      </c>
      <c r="BQ25" s="499">
        <f t="shared" si="38"/>
        <v>50</v>
      </c>
      <c r="BR25" s="499">
        <f t="shared" si="38"/>
        <v>50</v>
      </c>
      <c r="BS25" s="499">
        <f t="shared" si="38"/>
        <v>50</v>
      </c>
      <c r="BT25" s="499">
        <f t="shared" si="38"/>
        <v>50</v>
      </c>
      <c r="BU25" s="499">
        <f t="shared" si="38"/>
        <v>50</v>
      </c>
      <c r="BV25" s="503">
        <f t="shared" si="27"/>
        <v>0</v>
      </c>
      <c r="BW25" s="503">
        <f t="shared" si="27"/>
        <v>0</v>
      </c>
      <c r="BX25" s="503">
        <f t="shared" si="27"/>
        <v>0</v>
      </c>
      <c r="BY25" s="503">
        <f t="shared" si="27"/>
        <v>0</v>
      </c>
      <c r="BZ25" s="503">
        <f t="shared" si="27"/>
        <v>0</v>
      </c>
      <c r="CA25" s="503">
        <f t="shared" si="27"/>
        <v>0</v>
      </c>
      <c r="CB25" s="503">
        <f t="shared" si="27"/>
        <v>0</v>
      </c>
      <c r="CC25" s="511">
        <f t="shared" si="12"/>
        <v>396.56513073049956</v>
      </c>
      <c r="CD25" s="511">
        <f t="shared" si="51"/>
        <v>396.56513073049956</v>
      </c>
      <c r="CE25" s="511">
        <f t="shared" si="51"/>
        <v>396.56513073049956</v>
      </c>
      <c r="CF25" s="511">
        <f t="shared" si="51"/>
        <v>396.56513073049956</v>
      </c>
      <c r="CG25" s="511">
        <f t="shared" si="51"/>
        <v>396.56513073049956</v>
      </c>
      <c r="CH25" s="511">
        <f t="shared" si="51"/>
        <v>396.56513073049956</v>
      </c>
      <c r="CI25" s="511">
        <f t="shared" si="51"/>
        <v>396.56513073049956</v>
      </c>
      <c r="CJ25" s="511">
        <f t="shared" si="14"/>
        <v>0</v>
      </c>
      <c r="CK25" s="511">
        <f t="shared" si="52"/>
        <v>0</v>
      </c>
      <c r="CL25" s="511">
        <f t="shared" si="52"/>
        <v>0</v>
      </c>
      <c r="CM25" s="511">
        <f t="shared" si="52"/>
        <v>0</v>
      </c>
      <c r="CN25" s="511">
        <f t="shared" si="52"/>
        <v>0</v>
      </c>
      <c r="CO25" s="511">
        <f t="shared" si="52"/>
        <v>0</v>
      </c>
      <c r="CP25" s="511">
        <f t="shared" si="52"/>
        <v>0</v>
      </c>
      <c r="CQ25" s="511">
        <f t="shared" si="16"/>
        <v>0</v>
      </c>
      <c r="CR25" s="511">
        <f t="shared" si="53"/>
        <v>0</v>
      </c>
      <c r="CS25" s="511">
        <f t="shared" si="53"/>
        <v>0</v>
      </c>
      <c r="CT25" s="511">
        <f t="shared" si="53"/>
        <v>0</v>
      </c>
      <c r="CU25" s="511">
        <f t="shared" si="53"/>
        <v>0</v>
      </c>
      <c r="CV25" s="511">
        <f t="shared" si="53"/>
        <v>0</v>
      </c>
      <c r="CW25" s="511">
        <f t="shared" si="53"/>
        <v>0</v>
      </c>
      <c r="CX25" s="508">
        <f t="shared" si="28"/>
        <v>0</v>
      </c>
      <c r="CY25" s="508">
        <f t="shared" si="28"/>
        <v>0</v>
      </c>
      <c r="CZ25" s="508">
        <f t="shared" si="28"/>
        <v>0</v>
      </c>
      <c r="DA25" s="508">
        <f t="shared" si="28"/>
        <v>0</v>
      </c>
      <c r="DB25" s="508">
        <f t="shared" si="28"/>
        <v>0</v>
      </c>
      <c r="DC25" s="508">
        <f t="shared" si="28"/>
        <v>0</v>
      </c>
      <c r="DD25" s="508">
        <f t="shared" si="28"/>
        <v>0</v>
      </c>
      <c r="DE25" s="508">
        <f t="shared" si="19"/>
        <v>0</v>
      </c>
      <c r="DF25" s="508">
        <f t="shared" si="19"/>
        <v>0</v>
      </c>
      <c r="DG25" s="508">
        <f t="shared" si="19"/>
        <v>0</v>
      </c>
      <c r="DH25" s="508">
        <f t="shared" si="19"/>
        <v>0</v>
      </c>
      <c r="DI25" s="508">
        <f t="shared" si="19"/>
        <v>0</v>
      </c>
      <c r="DJ25" s="508">
        <f t="shared" si="19"/>
        <v>0</v>
      </c>
      <c r="DK25" s="508">
        <f t="shared" si="19"/>
        <v>0</v>
      </c>
      <c r="DL25" s="508">
        <f t="shared" si="20"/>
        <v>0</v>
      </c>
      <c r="DM25" s="508">
        <f t="shared" si="20"/>
        <v>0</v>
      </c>
      <c r="DN25" s="508">
        <f t="shared" si="20"/>
        <v>0</v>
      </c>
      <c r="DO25" s="508">
        <f t="shared" si="20"/>
        <v>0</v>
      </c>
      <c r="DP25" s="508">
        <f t="shared" si="20"/>
        <v>0</v>
      </c>
      <c r="DQ25" s="508">
        <f t="shared" si="20"/>
        <v>0</v>
      </c>
      <c r="DR25" s="508">
        <f t="shared" si="20"/>
        <v>0</v>
      </c>
      <c r="DS25" s="508">
        <f t="shared" si="21"/>
        <v>0</v>
      </c>
      <c r="DT25" s="508">
        <f t="shared" si="21"/>
        <v>0</v>
      </c>
      <c r="DU25" s="508">
        <f t="shared" si="21"/>
        <v>0</v>
      </c>
      <c r="DV25" s="508">
        <f t="shared" si="21"/>
        <v>0</v>
      </c>
      <c r="DW25" s="508">
        <f t="shared" si="21"/>
        <v>0</v>
      </c>
      <c r="DX25" s="508">
        <f t="shared" si="21"/>
        <v>0</v>
      </c>
      <c r="DY25" s="508">
        <f t="shared" si="21"/>
        <v>0</v>
      </c>
      <c r="DZ25" s="511">
        <f t="shared" si="22"/>
        <v>0</v>
      </c>
      <c r="EA25" s="511">
        <f t="shared" si="22"/>
        <v>0</v>
      </c>
      <c r="EB25" s="511">
        <f t="shared" si="22"/>
        <v>0</v>
      </c>
      <c r="EC25" s="511">
        <f t="shared" si="22"/>
        <v>0</v>
      </c>
      <c r="ED25" s="511">
        <f t="shared" si="22"/>
        <v>0</v>
      </c>
      <c r="EE25" s="511">
        <f t="shared" si="22"/>
        <v>0</v>
      </c>
      <c r="EF25" s="511">
        <f t="shared" si="22"/>
        <v>0</v>
      </c>
      <c r="EG25" s="511">
        <f t="shared" si="23"/>
        <v>0</v>
      </c>
      <c r="EH25" s="511">
        <f t="shared" si="23"/>
        <v>0</v>
      </c>
      <c r="EI25" s="511">
        <f t="shared" si="23"/>
        <v>0</v>
      </c>
      <c r="EJ25" s="511">
        <f t="shared" si="23"/>
        <v>0</v>
      </c>
      <c r="EK25" s="511">
        <f t="shared" si="23"/>
        <v>0</v>
      </c>
      <c r="EL25" s="511">
        <f t="shared" si="23"/>
        <v>0</v>
      </c>
      <c r="EM25" s="511">
        <f t="shared" si="23"/>
        <v>0</v>
      </c>
      <c r="EN25" s="511">
        <f t="shared" si="24"/>
        <v>0</v>
      </c>
      <c r="EO25" s="511">
        <f t="shared" si="24"/>
        <v>0</v>
      </c>
      <c r="EP25" s="511">
        <f t="shared" si="24"/>
        <v>0</v>
      </c>
      <c r="EQ25" s="511">
        <f t="shared" si="24"/>
        <v>0</v>
      </c>
      <c r="ER25" s="511">
        <f t="shared" si="24"/>
        <v>0</v>
      </c>
      <c r="ES25" s="511">
        <f t="shared" si="24"/>
        <v>0</v>
      </c>
      <c r="ET25" s="511">
        <f t="shared" si="24"/>
        <v>0</v>
      </c>
      <c r="EU25" s="777">
        <f t="shared" si="29"/>
        <v>0</v>
      </c>
      <c r="EV25" s="728">
        <f t="shared" si="30"/>
        <v>0</v>
      </c>
      <c r="EW25" s="728">
        <f t="shared" si="31"/>
        <v>0</v>
      </c>
      <c r="EX25" s="728">
        <f t="shared" si="32"/>
        <v>0</v>
      </c>
      <c r="EY25" s="728">
        <f t="shared" si="33"/>
        <v>0</v>
      </c>
      <c r="EZ25" s="777">
        <f t="shared" si="34"/>
        <v>0</v>
      </c>
      <c r="FA25" s="777">
        <f t="shared" si="35"/>
        <v>0</v>
      </c>
      <c r="FB25" s="778">
        <f t="shared" si="36"/>
        <v>0</v>
      </c>
      <c r="FD25" s="10" t="b">
        <f t="shared" si="54"/>
        <v>1</v>
      </c>
      <c r="FE25" s="10" t="b">
        <f t="shared" si="54"/>
        <v>1</v>
      </c>
      <c r="FF25" s="10" t="b">
        <f t="shared" si="54"/>
        <v>1</v>
      </c>
      <c r="FG25" s="10" t="b">
        <f t="shared" si="54"/>
        <v>1</v>
      </c>
      <c r="FH25" s="10" t="b">
        <f t="shared" si="54"/>
        <v>1</v>
      </c>
      <c r="FI25" s="10" t="b">
        <f t="shared" si="54"/>
        <v>1</v>
      </c>
      <c r="FJ25" s="10" t="b">
        <f t="shared" si="54"/>
        <v>1</v>
      </c>
    </row>
    <row r="26" spans="1:169" s="10" customFormat="1" ht="12.75" hidden="1" customHeight="1">
      <c r="A26" s="662">
        <v>20</v>
      </c>
      <c r="B26" s="789" t="s">
        <v>2027</v>
      </c>
      <c r="C26" s="662" t="s">
        <v>2038</v>
      </c>
      <c r="D26" s="715" t="s">
        <v>2039</v>
      </c>
      <c r="E26" s="662" t="s">
        <v>331</v>
      </c>
      <c r="F26" s="704" t="s">
        <v>402</v>
      </c>
      <c r="G26" s="704">
        <v>28.011622424253943</v>
      </c>
      <c r="H26" s="1237"/>
      <c r="I26" s="704">
        <f t="shared" si="2"/>
        <v>28.011622424253943</v>
      </c>
      <c r="J26" s="704">
        <v>0</v>
      </c>
      <c r="K26" s="704">
        <f t="shared" si="43"/>
        <v>14.005811212126972</v>
      </c>
      <c r="L26" s="711" t="s">
        <v>2030</v>
      </c>
      <c r="M26" s="707" t="s">
        <v>378</v>
      </c>
      <c r="N26" s="707">
        <f t="shared" si="48"/>
        <v>15</v>
      </c>
      <c r="O26" s="1237">
        <v>0</v>
      </c>
      <c r="P26" s="707">
        <v>0</v>
      </c>
      <c r="Q26" s="1022">
        <v>0</v>
      </c>
      <c r="R26" s="872">
        <v>0</v>
      </c>
      <c r="S26" s="1022">
        <v>5.9196063262159688</v>
      </c>
      <c r="T26" s="711" t="s">
        <v>2040</v>
      </c>
      <c r="U26" s="712"/>
      <c r="V26" s="1124">
        <v>1.0830754582242324E-2</v>
      </c>
      <c r="W26" s="790"/>
      <c r="X26" s="790"/>
      <c r="Y26" s="790"/>
      <c r="Z26" s="790"/>
      <c r="AA26" s="790"/>
      <c r="AB26" s="790"/>
      <c r="AC26" s="781">
        <f t="shared" si="47"/>
        <v>30</v>
      </c>
      <c r="AD26" s="781">
        <f t="shared" si="46"/>
        <v>30</v>
      </c>
      <c r="AE26" s="781">
        <f t="shared" si="46"/>
        <v>30</v>
      </c>
      <c r="AF26" s="781">
        <f t="shared" si="45"/>
        <v>30</v>
      </c>
      <c r="AG26" s="781">
        <f t="shared" si="45"/>
        <v>30</v>
      </c>
      <c r="AH26" s="781">
        <f t="shared" si="55"/>
        <v>30</v>
      </c>
      <c r="AI26" s="781">
        <f t="shared" si="55"/>
        <v>30</v>
      </c>
      <c r="AJ26" s="711" t="s">
        <v>2013</v>
      </c>
      <c r="AK26" s="711" t="s">
        <v>375</v>
      </c>
      <c r="AL26" s="711" t="s">
        <v>376</v>
      </c>
      <c r="AM26" s="711" t="s">
        <v>1981</v>
      </c>
      <c r="AN26" s="711" t="s">
        <v>1</v>
      </c>
      <c r="AO26" s="711" t="s">
        <v>2032</v>
      </c>
      <c r="AP26" s="711" t="s">
        <v>2038</v>
      </c>
      <c r="AQ26" s="711" t="s">
        <v>2039</v>
      </c>
      <c r="AR26" s="715" t="s">
        <v>943</v>
      </c>
      <c r="AS26" s="715" t="s">
        <v>1941</v>
      </c>
      <c r="AT26" s="715" t="s">
        <v>381</v>
      </c>
      <c r="AU26" s="711">
        <v>11</v>
      </c>
      <c r="AV26" s="912">
        <v>11</v>
      </c>
      <c r="AW26" s="711" t="s">
        <v>2033</v>
      </c>
      <c r="AX26" s="716">
        <v>1</v>
      </c>
      <c r="AY26" s="716">
        <v>0</v>
      </c>
      <c r="AZ26" s="716">
        <v>1</v>
      </c>
      <c r="BA26" s="499">
        <f t="shared" si="4"/>
        <v>28.011622424253943</v>
      </c>
      <c r="BB26" s="499">
        <f t="shared" si="49"/>
        <v>28.011622424253943</v>
      </c>
      <c r="BC26" s="499">
        <f t="shared" si="49"/>
        <v>28.011622424253943</v>
      </c>
      <c r="BD26" s="499">
        <f t="shared" si="49"/>
        <v>28.011622424253943</v>
      </c>
      <c r="BE26" s="499">
        <f t="shared" si="6"/>
        <v>28.011622424253943</v>
      </c>
      <c r="BF26" s="499">
        <f t="shared" si="6"/>
        <v>28.011622424253943</v>
      </c>
      <c r="BG26" s="499">
        <f t="shared" si="6"/>
        <v>28.011622424253943</v>
      </c>
      <c r="BH26" s="499">
        <f t="shared" si="7"/>
        <v>0</v>
      </c>
      <c r="BI26" s="499">
        <f t="shared" si="50"/>
        <v>0</v>
      </c>
      <c r="BJ26" s="499">
        <f t="shared" si="50"/>
        <v>0</v>
      </c>
      <c r="BK26" s="499">
        <f t="shared" si="50"/>
        <v>0</v>
      </c>
      <c r="BL26" s="499">
        <f t="shared" si="50"/>
        <v>0</v>
      </c>
      <c r="BM26" s="499">
        <f t="shared" si="50"/>
        <v>0</v>
      </c>
      <c r="BN26" s="499">
        <f t="shared" si="50"/>
        <v>0</v>
      </c>
      <c r="BO26" s="499">
        <f t="shared" si="9"/>
        <v>15</v>
      </c>
      <c r="BP26" s="499">
        <f t="shared" si="38"/>
        <v>15</v>
      </c>
      <c r="BQ26" s="499">
        <f t="shared" si="38"/>
        <v>15</v>
      </c>
      <c r="BR26" s="499">
        <f t="shared" si="38"/>
        <v>15</v>
      </c>
      <c r="BS26" s="499">
        <f t="shared" si="38"/>
        <v>15</v>
      </c>
      <c r="BT26" s="499">
        <f t="shared" si="38"/>
        <v>15</v>
      </c>
      <c r="BU26" s="499">
        <f t="shared" si="38"/>
        <v>15</v>
      </c>
      <c r="BV26" s="503">
        <f t="shared" si="27"/>
        <v>0</v>
      </c>
      <c r="BW26" s="503">
        <f t="shared" si="27"/>
        <v>0</v>
      </c>
      <c r="BX26" s="503">
        <f t="shared" si="27"/>
        <v>0</v>
      </c>
      <c r="BY26" s="503">
        <f t="shared" si="27"/>
        <v>0</v>
      </c>
      <c r="BZ26" s="503">
        <f t="shared" si="27"/>
        <v>0</v>
      </c>
      <c r="CA26" s="503">
        <f t="shared" si="27"/>
        <v>0</v>
      </c>
      <c r="CB26" s="503">
        <f t="shared" si="27"/>
        <v>0</v>
      </c>
      <c r="CC26" s="511">
        <f t="shared" si="12"/>
        <v>0</v>
      </c>
      <c r="CD26" s="511">
        <f t="shared" si="51"/>
        <v>0</v>
      </c>
      <c r="CE26" s="511">
        <f t="shared" si="51"/>
        <v>0</v>
      </c>
      <c r="CF26" s="511">
        <f t="shared" si="51"/>
        <v>0</v>
      </c>
      <c r="CG26" s="511">
        <f t="shared" si="51"/>
        <v>0</v>
      </c>
      <c r="CH26" s="511">
        <f t="shared" si="51"/>
        <v>0</v>
      </c>
      <c r="CI26" s="511">
        <f t="shared" si="51"/>
        <v>0</v>
      </c>
      <c r="CJ26" s="511">
        <f t="shared" si="14"/>
        <v>0</v>
      </c>
      <c r="CK26" s="511">
        <f t="shared" si="52"/>
        <v>0</v>
      </c>
      <c r="CL26" s="511">
        <f t="shared" si="52"/>
        <v>0</v>
      </c>
      <c r="CM26" s="511">
        <f t="shared" si="52"/>
        <v>0</v>
      </c>
      <c r="CN26" s="511">
        <f t="shared" si="52"/>
        <v>0</v>
      </c>
      <c r="CO26" s="511">
        <f t="shared" si="52"/>
        <v>0</v>
      </c>
      <c r="CP26" s="511">
        <f t="shared" si="52"/>
        <v>0</v>
      </c>
      <c r="CQ26" s="511">
        <f t="shared" si="16"/>
        <v>5.9196063262159688</v>
      </c>
      <c r="CR26" s="511">
        <f t="shared" si="53"/>
        <v>5.9196063262159688</v>
      </c>
      <c r="CS26" s="511">
        <f t="shared" si="53"/>
        <v>5.9196063262159688</v>
      </c>
      <c r="CT26" s="511">
        <f t="shared" si="53"/>
        <v>5.9196063262159688</v>
      </c>
      <c r="CU26" s="511">
        <f t="shared" si="53"/>
        <v>5.9196063262159688</v>
      </c>
      <c r="CV26" s="511">
        <f t="shared" si="53"/>
        <v>5.9196063262159688</v>
      </c>
      <c r="CW26" s="511">
        <f t="shared" si="53"/>
        <v>5.9196063262159688</v>
      </c>
      <c r="CX26" s="508">
        <f t="shared" si="28"/>
        <v>840.34867272761835</v>
      </c>
      <c r="CY26" s="508">
        <f t="shared" si="28"/>
        <v>840.34867272761835</v>
      </c>
      <c r="CZ26" s="508">
        <f t="shared" si="28"/>
        <v>840.34867272761835</v>
      </c>
      <c r="DA26" s="508">
        <f t="shared" si="28"/>
        <v>840.34867272761835</v>
      </c>
      <c r="DB26" s="508">
        <f t="shared" si="28"/>
        <v>840.34867272761835</v>
      </c>
      <c r="DC26" s="508">
        <f t="shared" si="28"/>
        <v>840.34867272761835</v>
      </c>
      <c r="DD26" s="508">
        <f t="shared" si="28"/>
        <v>840.34867272761835</v>
      </c>
      <c r="DE26" s="508">
        <f t="shared" si="19"/>
        <v>0</v>
      </c>
      <c r="DF26" s="508">
        <f t="shared" si="19"/>
        <v>0</v>
      </c>
      <c r="DG26" s="508">
        <f t="shared" si="19"/>
        <v>0</v>
      </c>
      <c r="DH26" s="508">
        <f t="shared" si="19"/>
        <v>0</v>
      </c>
      <c r="DI26" s="508">
        <f t="shared" si="19"/>
        <v>0</v>
      </c>
      <c r="DJ26" s="508">
        <f t="shared" si="19"/>
        <v>0</v>
      </c>
      <c r="DK26" s="508">
        <f t="shared" si="19"/>
        <v>0</v>
      </c>
      <c r="DL26" s="508">
        <f t="shared" si="20"/>
        <v>450</v>
      </c>
      <c r="DM26" s="508">
        <f t="shared" si="20"/>
        <v>450</v>
      </c>
      <c r="DN26" s="508">
        <f t="shared" si="20"/>
        <v>450</v>
      </c>
      <c r="DO26" s="508">
        <f t="shared" si="20"/>
        <v>450</v>
      </c>
      <c r="DP26" s="508">
        <f t="shared" si="20"/>
        <v>450</v>
      </c>
      <c r="DQ26" s="508">
        <f t="shared" si="20"/>
        <v>450</v>
      </c>
      <c r="DR26" s="508">
        <f t="shared" si="20"/>
        <v>450</v>
      </c>
      <c r="DS26" s="508">
        <f t="shared" si="21"/>
        <v>0</v>
      </c>
      <c r="DT26" s="508">
        <f t="shared" si="21"/>
        <v>0</v>
      </c>
      <c r="DU26" s="508">
        <f t="shared" si="21"/>
        <v>0</v>
      </c>
      <c r="DV26" s="508">
        <f t="shared" si="21"/>
        <v>0</v>
      </c>
      <c r="DW26" s="508">
        <f t="shared" si="21"/>
        <v>0</v>
      </c>
      <c r="DX26" s="508">
        <f t="shared" si="21"/>
        <v>0</v>
      </c>
      <c r="DY26" s="508">
        <f t="shared" si="21"/>
        <v>0</v>
      </c>
      <c r="DZ26" s="511">
        <f t="shared" si="22"/>
        <v>0</v>
      </c>
      <c r="EA26" s="511">
        <f t="shared" si="22"/>
        <v>0</v>
      </c>
      <c r="EB26" s="511">
        <f t="shared" si="22"/>
        <v>0</v>
      </c>
      <c r="EC26" s="511">
        <f t="shared" si="22"/>
        <v>0</v>
      </c>
      <c r="ED26" s="511">
        <f t="shared" si="22"/>
        <v>0</v>
      </c>
      <c r="EE26" s="511">
        <f t="shared" si="22"/>
        <v>0</v>
      </c>
      <c r="EF26" s="511">
        <f t="shared" si="22"/>
        <v>0</v>
      </c>
      <c r="EG26" s="511">
        <f t="shared" si="23"/>
        <v>0</v>
      </c>
      <c r="EH26" s="511">
        <f t="shared" si="23"/>
        <v>0</v>
      </c>
      <c r="EI26" s="511">
        <f t="shared" si="23"/>
        <v>0</v>
      </c>
      <c r="EJ26" s="511">
        <f t="shared" si="23"/>
        <v>0</v>
      </c>
      <c r="EK26" s="511">
        <f t="shared" si="23"/>
        <v>0</v>
      </c>
      <c r="EL26" s="511">
        <f t="shared" si="23"/>
        <v>0</v>
      </c>
      <c r="EM26" s="511">
        <f t="shared" si="23"/>
        <v>0</v>
      </c>
      <c r="EN26" s="511">
        <f t="shared" si="24"/>
        <v>177.58818978647906</v>
      </c>
      <c r="EO26" s="511">
        <f t="shared" si="24"/>
        <v>177.58818978647906</v>
      </c>
      <c r="EP26" s="511">
        <f t="shared" si="24"/>
        <v>177.58818978647906</v>
      </c>
      <c r="EQ26" s="511">
        <f t="shared" si="24"/>
        <v>177.58818978647906</v>
      </c>
      <c r="ER26" s="511">
        <f t="shared" si="24"/>
        <v>177.58818978647906</v>
      </c>
      <c r="ES26" s="511">
        <f t="shared" si="24"/>
        <v>177.58818978647906</v>
      </c>
      <c r="ET26" s="511">
        <f t="shared" si="24"/>
        <v>177.58818978647906</v>
      </c>
      <c r="EU26" s="777">
        <f t="shared" si="29"/>
        <v>210</v>
      </c>
      <c r="EV26" s="728">
        <f t="shared" si="30"/>
        <v>5882.4407090933291</v>
      </c>
      <c r="EW26" s="728">
        <f t="shared" si="31"/>
        <v>0</v>
      </c>
      <c r="EX26" s="728">
        <f t="shared" si="32"/>
        <v>3150</v>
      </c>
      <c r="EY26" s="728">
        <f t="shared" si="33"/>
        <v>0</v>
      </c>
      <c r="EZ26" s="777">
        <f t="shared" si="34"/>
        <v>0</v>
      </c>
      <c r="FA26" s="777">
        <f t="shared" si="35"/>
        <v>0</v>
      </c>
      <c r="FB26" s="778">
        <f t="shared" si="36"/>
        <v>1243.1173285053533</v>
      </c>
      <c r="FD26" s="10" t="b">
        <f t="shared" si="54"/>
        <v>1</v>
      </c>
      <c r="FE26" s="10" t="b">
        <f t="shared" si="54"/>
        <v>1</v>
      </c>
      <c r="FF26" s="10" t="b">
        <f t="shared" si="54"/>
        <v>1</v>
      </c>
      <c r="FG26" s="10" t="b">
        <f t="shared" si="54"/>
        <v>1</v>
      </c>
      <c r="FH26" s="10" t="b">
        <f t="shared" si="54"/>
        <v>1</v>
      </c>
      <c r="FI26" s="10" t="b">
        <f t="shared" si="54"/>
        <v>1</v>
      </c>
      <c r="FJ26" s="10" t="b">
        <f t="shared" si="54"/>
        <v>1</v>
      </c>
    </row>
    <row r="27" spans="1:169" s="10" customFormat="1" ht="12.75" hidden="1" customHeight="1">
      <c r="A27" s="662">
        <v>21</v>
      </c>
      <c r="B27" s="789" t="s">
        <v>2034</v>
      </c>
      <c r="C27" s="662" t="s">
        <v>2041</v>
      </c>
      <c r="D27" s="715" t="s">
        <v>2042</v>
      </c>
      <c r="E27" s="662" t="s">
        <v>331</v>
      </c>
      <c r="F27" s="704" t="s">
        <v>402</v>
      </c>
      <c r="G27" s="704">
        <v>95.810292993796438</v>
      </c>
      <c r="H27" s="1237"/>
      <c r="I27" s="704">
        <f t="shared" si="2"/>
        <v>95.810292993796438</v>
      </c>
      <c r="J27" s="704">
        <v>0</v>
      </c>
      <c r="K27" s="704">
        <f t="shared" si="43"/>
        <v>47.905146496898219</v>
      </c>
      <c r="L27" s="711" t="s">
        <v>2030</v>
      </c>
      <c r="M27" s="707" t="s">
        <v>378</v>
      </c>
      <c r="N27" s="707">
        <f t="shared" si="48"/>
        <v>50</v>
      </c>
      <c r="O27" s="1237">
        <v>0</v>
      </c>
      <c r="P27" s="707">
        <v>0</v>
      </c>
      <c r="Q27" s="1022">
        <v>0</v>
      </c>
      <c r="R27" s="872">
        <v>0</v>
      </c>
      <c r="S27" s="1022">
        <v>15.723379685139049</v>
      </c>
      <c r="T27" s="711" t="s">
        <v>2040</v>
      </c>
      <c r="U27" s="712"/>
      <c r="V27" s="1124">
        <v>0</v>
      </c>
      <c r="W27" s="790"/>
      <c r="X27" s="790"/>
      <c r="Y27" s="790"/>
      <c r="Z27" s="790"/>
      <c r="AA27" s="790"/>
      <c r="AB27" s="790"/>
      <c r="AC27" s="781">
        <f t="shared" si="47"/>
        <v>0</v>
      </c>
      <c r="AD27" s="781">
        <f t="shared" si="46"/>
        <v>0</v>
      </c>
      <c r="AE27" s="781">
        <f t="shared" si="46"/>
        <v>0</v>
      </c>
      <c r="AF27" s="781">
        <f t="shared" si="45"/>
        <v>0</v>
      </c>
      <c r="AG27" s="781">
        <f t="shared" si="45"/>
        <v>0</v>
      </c>
      <c r="AH27" s="781">
        <f t="shared" si="55"/>
        <v>0</v>
      </c>
      <c r="AI27" s="781">
        <f t="shared" si="55"/>
        <v>0</v>
      </c>
      <c r="AJ27" s="711" t="s">
        <v>2013</v>
      </c>
      <c r="AK27" s="711" t="s">
        <v>375</v>
      </c>
      <c r="AL27" s="711" t="s">
        <v>376</v>
      </c>
      <c r="AM27" s="711" t="s">
        <v>1981</v>
      </c>
      <c r="AN27" s="711" t="s">
        <v>1</v>
      </c>
      <c r="AO27" s="711" t="s">
        <v>2037</v>
      </c>
      <c r="AP27" s="711" t="s">
        <v>2041</v>
      </c>
      <c r="AQ27" s="711" t="s">
        <v>2042</v>
      </c>
      <c r="AR27" s="715" t="s">
        <v>943</v>
      </c>
      <c r="AS27" s="715" t="s">
        <v>1941</v>
      </c>
      <c r="AT27" s="715" t="s">
        <v>381</v>
      </c>
      <c r="AU27" s="711">
        <v>11</v>
      </c>
      <c r="AV27" s="912">
        <v>11</v>
      </c>
      <c r="AW27" s="711" t="s">
        <v>2033</v>
      </c>
      <c r="AX27" s="716">
        <v>1</v>
      </c>
      <c r="AY27" s="716">
        <v>0</v>
      </c>
      <c r="AZ27" s="716">
        <v>1</v>
      </c>
      <c r="BA27" s="499">
        <f t="shared" si="4"/>
        <v>95.810292993796438</v>
      </c>
      <c r="BB27" s="499">
        <f t="shared" si="49"/>
        <v>95.810292993796438</v>
      </c>
      <c r="BC27" s="499">
        <f t="shared" si="49"/>
        <v>95.810292993796438</v>
      </c>
      <c r="BD27" s="499">
        <f t="shared" si="49"/>
        <v>95.810292993796438</v>
      </c>
      <c r="BE27" s="499">
        <f t="shared" si="6"/>
        <v>95.810292993796438</v>
      </c>
      <c r="BF27" s="499">
        <f t="shared" si="6"/>
        <v>95.810292993796438</v>
      </c>
      <c r="BG27" s="499">
        <f t="shared" si="6"/>
        <v>95.810292993796438</v>
      </c>
      <c r="BH27" s="499">
        <f t="shared" si="7"/>
        <v>0</v>
      </c>
      <c r="BI27" s="499">
        <f t="shared" si="50"/>
        <v>0</v>
      </c>
      <c r="BJ27" s="499">
        <f t="shared" si="50"/>
        <v>0</v>
      </c>
      <c r="BK27" s="499">
        <f t="shared" si="50"/>
        <v>0</v>
      </c>
      <c r="BL27" s="499">
        <f t="shared" si="50"/>
        <v>0</v>
      </c>
      <c r="BM27" s="499">
        <f t="shared" si="50"/>
        <v>0</v>
      </c>
      <c r="BN27" s="499">
        <f t="shared" si="50"/>
        <v>0</v>
      </c>
      <c r="BO27" s="499">
        <f t="shared" si="9"/>
        <v>50</v>
      </c>
      <c r="BP27" s="499">
        <f t="shared" si="38"/>
        <v>50</v>
      </c>
      <c r="BQ27" s="499">
        <f t="shared" si="38"/>
        <v>50</v>
      </c>
      <c r="BR27" s="499">
        <f t="shared" si="38"/>
        <v>50</v>
      </c>
      <c r="BS27" s="499">
        <f t="shared" si="38"/>
        <v>50</v>
      </c>
      <c r="BT27" s="499">
        <f t="shared" si="38"/>
        <v>50</v>
      </c>
      <c r="BU27" s="499">
        <f t="shared" si="38"/>
        <v>50</v>
      </c>
      <c r="BV27" s="503">
        <f t="shared" si="27"/>
        <v>0</v>
      </c>
      <c r="BW27" s="503">
        <f t="shared" si="27"/>
        <v>0</v>
      </c>
      <c r="BX27" s="503">
        <f t="shared" si="27"/>
        <v>0</v>
      </c>
      <c r="BY27" s="503">
        <f t="shared" si="27"/>
        <v>0</v>
      </c>
      <c r="BZ27" s="503">
        <f t="shared" si="27"/>
        <v>0</v>
      </c>
      <c r="CA27" s="503">
        <f t="shared" si="27"/>
        <v>0</v>
      </c>
      <c r="CB27" s="503">
        <f t="shared" si="27"/>
        <v>0</v>
      </c>
      <c r="CC27" s="511">
        <f t="shared" si="12"/>
        <v>0</v>
      </c>
      <c r="CD27" s="511">
        <f t="shared" si="51"/>
        <v>0</v>
      </c>
      <c r="CE27" s="511">
        <f t="shared" si="51"/>
        <v>0</v>
      </c>
      <c r="CF27" s="511">
        <f t="shared" si="51"/>
        <v>0</v>
      </c>
      <c r="CG27" s="511">
        <f t="shared" si="51"/>
        <v>0</v>
      </c>
      <c r="CH27" s="511">
        <f t="shared" si="51"/>
        <v>0</v>
      </c>
      <c r="CI27" s="511">
        <f t="shared" si="51"/>
        <v>0</v>
      </c>
      <c r="CJ27" s="511">
        <f t="shared" si="14"/>
        <v>0</v>
      </c>
      <c r="CK27" s="511">
        <f t="shared" si="52"/>
        <v>0</v>
      </c>
      <c r="CL27" s="511">
        <f t="shared" si="52"/>
        <v>0</v>
      </c>
      <c r="CM27" s="511">
        <f t="shared" si="52"/>
        <v>0</v>
      </c>
      <c r="CN27" s="511">
        <f t="shared" si="52"/>
        <v>0</v>
      </c>
      <c r="CO27" s="511">
        <f t="shared" si="52"/>
        <v>0</v>
      </c>
      <c r="CP27" s="511">
        <f t="shared" si="52"/>
        <v>0</v>
      </c>
      <c r="CQ27" s="511">
        <f t="shared" si="16"/>
        <v>15.723379685139049</v>
      </c>
      <c r="CR27" s="511">
        <f t="shared" si="53"/>
        <v>15.723379685139049</v>
      </c>
      <c r="CS27" s="511">
        <f t="shared" si="53"/>
        <v>15.723379685139049</v>
      </c>
      <c r="CT27" s="511">
        <f t="shared" si="53"/>
        <v>15.723379685139049</v>
      </c>
      <c r="CU27" s="511">
        <f t="shared" si="53"/>
        <v>15.723379685139049</v>
      </c>
      <c r="CV27" s="511">
        <f t="shared" si="53"/>
        <v>15.723379685139049</v>
      </c>
      <c r="CW27" s="511">
        <f t="shared" si="53"/>
        <v>15.723379685139049</v>
      </c>
      <c r="CX27" s="508">
        <f t="shared" si="28"/>
        <v>0</v>
      </c>
      <c r="CY27" s="508">
        <f t="shared" si="28"/>
        <v>0</v>
      </c>
      <c r="CZ27" s="508">
        <f t="shared" si="28"/>
        <v>0</v>
      </c>
      <c r="DA27" s="508">
        <f t="shared" si="28"/>
        <v>0</v>
      </c>
      <c r="DB27" s="508">
        <f t="shared" si="28"/>
        <v>0</v>
      </c>
      <c r="DC27" s="508">
        <f t="shared" si="28"/>
        <v>0</v>
      </c>
      <c r="DD27" s="508">
        <f t="shared" si="28"/>
        <v>0</v>
      </c>
      <c r="DE27" s="508">
        <f t="shared" si="19"/>
        <v>0</v>
      </c>
      <c r="DF27" s="508">
        <f t="shared" si="19"/>
        <v>0</v>
      </c>
      <c r="DG27" s="508">
        <f t="shared" si="19"/>
        <v>0</v>
      </c>
      <c r="DH27" s="508">
        <f t="shared" si="19"/>
        <v>0</v>
      </c>
      <c r="DI27" s="508">
        <f t="shared" si="19"/>
        <v>0</v>
      </c>
      <c r="DJ27" s="508">
        <f t="shared" si="19"/>
        <v>0</v>
      </c>
      <c r="DK27" s="508">
        <f t="shared" si="19"/>
        <v>0</v>
      </c>
      <c r="DL27" s="508">
        <f t="shared" si="20"/>
        <v>0</v>
      </c>
      <c r="DM27" s="508">
        <f t="shared" si="20"/>
        <v>0</v>
      </c>
      <c r="DN27" s="508">
        <f t="shared" si="20"/>
        <v>0</v>
      </c>
      <c r="DO27" s="508">
        <f t="shared" si="20"/>
        <v>0</v>
      </c>
      <c r="DP27" s="508">
        <f t="shared" si="20"/>
        <v>0</v>
      </c>
      <c r="DQ27" s="508">
        <f t="shared" si="20"/>
        <v>0</v>
      </c>
      <c r="DR27" s="508">
        <f t="shared" si="20"/>
        <v>0</v>
      </c>
      <c r="DS27" s="508">
        <f t="shared" si="21"/>
        <v>0</v>
      </c>
      <c r="DT27" s="508">
        <f t="shared" si="21"/>
        <v>0</v>
      </c>
      <c r="DU27" s="508">
        <f t="shared" si="21"/>
        <v>0</v>
      </c>
      <c r="DV27" s="508">
        <f t="shared" si="21"/>
        <v>0</v>
      </c>
      <c r="DW27" s="508">
        <f t="shared" si="21"/>
        <v>0</v>
      </c>
      <c r="DX27" s="508">
        <f t="shared" si="21"/>
        <v>0</v>
      </c>
      <c r="DY27" s="508">
        <f t="shared" si="21"/>
        <v>0</v>
      </c>
      <c r="DZ27" s="511">
        <f t="shared" si="22"/>
        <v>0</v>
      </c>
      <c r="EA27" s="511">
        <f t="shared" si="22"/>
        <v>0</v>
      </c>
      <c r="EB27" s="511">
        <f t="shared" si="22"/>
        <v>0</v>
      </c>
      <c r="EC27" s="511">
        <f t="shared" si="22"/>
        <v>0</v>
      </c>
      <c r="ED27" s="511">
        <f t="shared" si="22"/>
        <v>0</v>
      </c>
      <c r="EE27" s="511">
        <f t="shared" si="22"/>
        <v>0</v>
      </c>
      <c r="EF27" s="511">
        <f t="shared" si="22"/>
        <v>0</v>
      </c>
      <c r="EG27" s="511">
        <f t="shared" si="23"/>
        <v>0</v>
      </c>
      <c r="EH27" s="511">
        <f t="shared" si="23"/>
        <v>0</v>
      </c>
      <c r="EI27" s="511">
        <f t="shared" si="23"/>
        <v>0</v>
      </c>
      <c r="EJ27" s="511">
        <f t="shared" si="23"/>
        <v>0</v>
      </c>
      <c r="EK27" s="511">
        <f t="shared" si="23"/>
        <v>0</v>
      </c>
      <c r="EL27" s="511">
        <f t="shared" si="23"/>
        <v>0</v>
      </c>
      <c r="EM27" s="511">
        <f t="shared" si="23"/>
        <v>0</v>
      </c>
      <c r="EN27" s="511">
        <f t="shared" si="24"/>
        <v>0</v>
      </c>
      <c r="EO27" s="511">
        <f t="shared" si="24"/>
        <v>0</v>
      </c>
      <c r="EP27" s="511">
        <f t="shared" si="24"/>
        <v>0</v>
      </c>
      <c r="EQ27" s="511">
        <f t="shared" si="24"/>
        <v>0</v>
      </c>
      <c r="ER27" s="511">
        <f t="shared" si="24"/>
        <v>0</v>
      </c>
      <c r="ES27" s="511">
        <f t="shared" si="24"/>
        <v>0</v>
      </c>
      <c r="ET27" s="511">
        <f t="shared" si="24"/>
        <v>0</v>
      </c>
      <c r="EU27" s="777">
        <f t="shared" si="29"/>
        <v>0</v>
      </c>
      <c r="EV27" s="728">
        <f t="shared" si="30"/>
        <v>0</v>
      </c>
      <c r="EW27" s="728">
        <f t="shared" si="31"/>
        <v>0</v>
      </c>
      <c r="EX27" s="728">
        <f t="shared" si="32"/>
        <v>0</v>
      </c>
      <c r="EY27" s="728">
        <f t="shared" si="33"/>
        <v>0</v>
      </c>
      <c r="EZ27" s="777">
        <f t="shared" si="34"/>
        <v>0</v>
      </c>
      <c r="FA27" s="777">
        <f t="shared" si="35"/>
        <v>0</v>
      </c>
      <c r="FB27" s="778">
        <f t="shared" si="36"/>
        <v>0</v>
      </c>
      <c r="FD27" s="10" t="b">
        <f t="shared" si="54"/>
        <v>1</v>
      </c>
      <c r="FE27" s="10" t="b">
        <f t="shared" si="54"/>
        <v>1</v>
      </c>
      <c r="FF27" s="10" t="b">
        <f t="shared" si="54"/>
        <v>1</v>
      </c>
      <c r="FG27" s="10" t="b">
        <f t="shared" si="54"/>
        <v>1</v>
      </c>
      <c r="FH27" s="10" t="b">
        <f t="shared" si="54"/>
        <v>1</v>
      </c>
      <c r="FI27" s="10" t="b">
        <f t="shared" si="54"/>
        <v>1</v>
      </c>
      <c r="FJ27" s="10" t="b">
        <f t="shared" si="54"/>
        <v>1</v>
      </c>
    </row>
    <row r="28" spans="1:169" s="10" customFormat="1" ht="12.75" hidden="1" customHeight="1">
      <c r="A28" s="662">
        <v>22</v>
      </c>
      <c r="B28" s="789" t="s">
        <v>2043</v>
      </c>
      <c r="C28" s="662" t="s">
        <v>2044</v>
      </c>
      <c r="D28" s="715" t="s">
        <v>2045</v>
      </c>
      <c r="E28" s="662" t="s">
        <v>331</v>
      </c>
      <c r="F28" s="704" t="s">
        <v>402</v>
      </c>
      <c r="G28" s="704">
        <v>9.3725000000000005</v>
      </c>
      <c r="H28" s="1237"/>
      <c r="I28" s="704">
        <f t="shared" si="2"/>
        <v>9.3725000000000005</v>
      </c>
      <c r="J28" s="704">
        <v>0</v>
      </c>
      <c r="K28" s="704">
        <f t="shared" si="43"/>
        <v>4.6862500000000002</v>
      </c>
      <c r="L28" s="711" t="s">
        <v>2046</v>
      </c>
      <c r="M28" s="707" t="s">
        <v>378</v>
      </c>
      <c r="N28" s="707">
        <f t="shared" si="48"/>
        <v>15</v>
      </c>
      <c r="O28" s="1237">
        <v>0</v>
      </c>
      <c r="P28" s="707">
        <v>0</v>
      </c>
      <c r="Q28" s="1022">
        <v>36.580313978715026</v>
      </c>
      <c r="R28" s="872">
        <v>2.4341489942862728E-3</v>
      </c>
      <c r="S28" s="1022">
        <f>AVERAGE(S73,S118)</f>
        <v>0.95420811022593632</v>
      </c>
      <c r="T28" s="711" t="s">
        <v>2047</v>
      </c>
      <c r="U28" s="712"/>
      <c r="V28" s="1124">
        <v>1.0830754582242324E-2</v>
      </c>
      <c r="W28" s="790"/>
      <c r="X28" s="790"/>
      <c r="Y28" s="790"/>
      <c r="Z28" s="790"/>
      <c r="AA28" s="790"/>
      <c r="AB28" s="790"/>
      <c r="AC28" s="781">
        <f t="shared" si="47"/>
        <v>30</v>
      </c>
      <c r="AD28" s="781">
        <f t="shared" si="46"/>
        <v>30</v>
      </c>
      <c r="AE28" s="781">
        <f t="shared" si="46"/>
        <v>30</v>
      </c>
      <c r="AF28" s="781">
        <f t="shared" si="45"/>
        <v>30</v>
      </c>
      <c r="AG28" s="781">
        <f t="shared" si="45"/>
        <v>30</v>
      </c>
      <c r="AH28" s="781">
        <f t="shared" si="55"/>
        <v>30</v>
      </c>
      <c r="AI28" s="781">
        <f t="shared" si="55"/>
        <v>30</v>
      </c>
      <c r="AJ28" s="711" t="s">
        <v>374</v>
      </c>
      <c r="AK28" s="711" t="s">
        <v>375</v>
      </c>
      <c r="AL28" s="711" t="s">
        <v>376</v>
      </c>
      <c r="AM28" s="711" t="s">
        <v>1981</v>
      </c>
      <c r="AN28" s="711" t="s">
        <v>1</v>
      </c>
      <c r="AO28" s="711" t="s">
        <v>2048</v>
      </c>
      <c r="AP28" s="711" t="s">
        <v>2044</v>
      </c>
      <c r="AQ28" s="711" t="s">
        <v>2045</v>
      </c>
      <c r="AR28" s="715" t="s">
        <v>943</v>
      </c>
      <c r="AS28" s="715" t="s">
        <v>1941</v>
      </c>
      <c r="AT28" s="715" t="s">
        <v>381</v>
      </c>
      <c r="AU28" s="711">
        <v>10</v>
      </c>
      <c r="AV28" s="711">
        <v>10</v>
      </c>
      <c r="AW28" s="711" t="s">
        <v>2046</v>
      </c>
      <c r="AX28" s="716">
        <v>1</v>
      </c>
      <c r="AY28" s="716">
        <f>AVERAGE(AY73,AY118)</f>
        <v>0.7928596867992872</v>
      </c>
      <c r="AZ28" s="716">
        <v>0.41428062640142549</v>
      </c>
      <c r="BA28" s="499">
        <f t="shared" si="4"/>
        <v>9.3725000000000005</v>
      </c>
      <c r="BB28" s="499">
        <f t="shared" si="49"/>
        <v>9.3725000000000005</v>
      </c>
      <c r="BC28" s="499">
        <f t="shared" si="49"/>
        <v>9.3725000000000005</v>
      </c>
      <c r="BD28" s="499">
        <f t="shared" si="49"/>
        <v>9.3725000000000005</v>
      </c>
      <c r="BE28" s="499">
        <f t="shared" si="6"/>
        <v>9.3725000000000005</v>
      </c>
      <c r="BF28" s="499">
        <f t="shared" si="6"/>
        <v>9.3725000000000005</v>
      </c>
      <c r="BG28" s="499">
        <f t="shared" si="6"/>
        <v>9.3725000000000005</v>
      </c>
      <c r="BH28" s="499">
        <f t="shared" si="7"/>
        <v>0</v>
      </c>
      <c r="BI28" s="499">
        <f t="shared" si="50"/>
        <v>0</v>
      </c>
      <c r="BJ28" s="499">
        <f t="shared" si="50"/>
        <v>0</v>
      </c>
      <c r="BK28" s="499">
        <f t="shared" si="50"/>
        <v>0</v>
      </c>
      <c r="BL28" s="499">
        <f t="shared" si="50"/>
        <v>0</v>
      </c>
      <c r="BM28" s="499">
        <f t="shared" si="50"/>
        <v>0</v>
      </c>
      <c r="BN28" s="499">
        <f t="shared" si="50"/>
        <v>0</v>
      </c>
      <c r="BO28" s="499">
        <f t="shared" si="9"/>
        <v>15</v>
      </c>
      <c r="BP28" s="499">
        <f t="shared" si="38"/>
        <v>15</v>
      </c>
      <c r="BQ28" s="499">
        <f t="shared" si="38"/>
        <v>15</v>
      </c>
      <c r="BR28" s="499">
        <f t="shared" si="38"/>
        <v>15</v>
      </c>
      <c r="BS28" s="499">
        <f t="shared" si="38"/>
        <v>15</v>
      </c>
      <c r="BT28" s="499">
        <f t="shared" si="38"/>
        <v>15</v>
      </c>
      <c r="BU28" s="499">
        <f t="shared" si="38"/>
        <v>15</v>
      </c>
      <c r="BV28" s="503">
        <f t="shared" si="27"/>
        <v>0</v>
      </c>
      <c r="BW28" s="503">
        <f t="shared" si="27"/>
        <v>0</v>
      </c>
      <c r="BX28" s="503">
        <f t="shared" si="27"/>
        <v>0</v>
      </c>
      <c r="BY28" s="503">
        <f t="shared" si="27"/>
        <v>0</v>
      </c>
      <c r="BZ28" s="503">
        <f t="shared" si="27"/>
        <v>0</v>
      </c>
      <c r="CA28" s="503">
        <f t="shared" si="27"/>
        <v>0</v>
      </c>
      <c r="CB28" s="503">
        <f t="shared" si="27"/>
        <v>0</v>
      </c>
      <c r="CC28" s="511">
        <f t="shared" si="12"/>
        <v>29.003056284183582</v>
      </c>
      <c r="CD28" s="511">
        <f t="shared" si="51"/>
        <v>29.003056284183582</v>
      </c>
      <c r="CE28" s="511">
        <f t="shared" si="51"/>
        <v>29.003056284183582</v>
      </c>
      <c r="CF28" s="511">
        <f t="shared" si="51"/>
        <v>29.003056284183582</v>
      </c>
      <c r="CG28" s="511">
        <f t="shared" si="51"/>
        <v>29.003056284183582</v>
      </c>
      <c r="CH28" s="511">
        <f t="shared" si="51"/>
        <v>29.003056284183582</v>
      </c>
      <c r="CI28" s="511">
        <f t="shared" si="51"/>
        <v>29.003056284183582</v>
      </c>
      <c r="CJ28" s="511">
        <f t="shared" si="14"/>
        <v>1.9299386092326142E-3</v>
      </c>
      <c r="CK28" s="511">
        <f t="shared" si="52"/>
        <v>1.9299386092326142E-3</v>
      </c>
      <c r="CL28" s="511">
        <f t="shared" si="52"/>
        <v>1.9299386092326142E-3</v>
      </c>
      <c r="CM28" s="511">
        <f t="shared" si="52"/>
        <v>1.9299386092326142E-3</v>
      </c>
      <c r="CN28" s="511">
        <f t="shared" si="52"/>
        <v>1.9299386092326142E-3</v>
      </c>
      <c r="CO28" s="511">
        <f t="shared" si="52"/>
        <v>1.9299386092326142E-3</v>
      </c>
      <c r="CP28" s="511">
        <f t="shared" si="52"/>
        <v>1.9299386092326142E-3</v>
      </c>
      <c r="CQ28" s="511">
        <f t="shared" si="16"/>
        <v>0.39530993362172134</v>
      </c>
      <c r="CR28" s="511">
        <f t="shared" si="53"/>
        <v>0.39530993362172134</v>
      </c>
      <c r="CS28" s="511">
        <f t="shared" si="53"/>
        <v>0.39530993362172134</v>
      </c>
      <c r="CT28" s="511">
        <f t="shared" si="53"/>
        <v>0.39530993362172134</v>
      </c>
      <c r="CU28" s="511">
        <f t="shared" si="53"/>
        <v>0.39530993362172134</v>
      </c>
      <c r="CV28" s="511">
        <f t="shared" si="53"/>
        <v>0.39530993362172134</v>
      </c>
      <c r="CW28" s="511">
        <f t="shared" si="53"/>
        <v>0.39530993362172134</v>
      </c>
      <c r="CX28" s="508">
        <f t="shared" si="28"/>
        <v>281.17500000000001</v>
      </c>
      <c r="CY28" s="508">
        <f t="shared" si="28"/>
        <v>281.17500000000001</v>
      </c>
      <c r="CZ28" s="508">
        <f t="shared" si="28"/>
        <v>281.17500000000001</v>
      </c>
      <c r="DA28" s="508">
        <f t="shared" si="28"/>
        <v>281.17500000000001</v>
      </c>
      <c r="DB28" s="508">
        <f t="shared" si="28"/>
        <v>281.17500000000001</v>
      </c>
      <c r="DC28" s="508">
        <f t="shared" si="28"/>
        <v>281.17500000000001</v>
      </c>
      <c r="DD28" s="508">
        <f t="shared" si="28"/>
        <v>281.17500000000001</v>
      </c>
      <c r="DE28" s="508">
        <f t="shared" si="19"/>
        <v>0</v>
      </c>
      <c r="DF28" s="508">
        <f t="shared" si="19"/>
        <v>0</v>
      </c>
      <c r="DG28" s="508">
        <f t="shared" si="19"/>
        <v>0</v>
      </c>
      <c r="DH28" s="508">
        <f t="shared" si="19"/>
        <v>0</v>
      </c>
      <c r="DI28" s="508">
        <f t="shared" si="19"/>
        <v>0</v>
      </c>
      <c r="DJ28" s="508">
        <f t="shared" si="19"/>
        <v>0</v>
      </c>
      <c r="DK28" s="508">
        <f t="shared" si="19"/>
        <v>0</v>
      </c>
      <c r="DL28" s="508">
        <f t="shared" si="20"/>
        <v>450</v>
      </c>
      <c r="DM28" s="508">
        <f t="shared" si="20"/>
        <v>450</v>
      </c>
      <c r="DN28" s="508">
        <f t="shared" si="20"/>
        <v>450</v>
      </c>
      <c r="DO28" s="508">
        <f t="shared" si="20"/>
        <v>450</v>
      </c>
      <c r="DP28" s="508">
        <f t="shared" si="20"/>
        <v>450</v>
      </c>
      <c r="DQ28" s="508">
        <f t="shared" si="20"/>
        <v>450</v>
      </c>
      <c r="DR28" s="508">
        <f t="shared" si="20"/>
        <v>450</v>
      </c>
      <c r="DS28" s="508">
        <f t="shared" si="21"/>
        <v>0</v>
      </c>
      <c r="DT28" s="508">
        <f t="shared" si="21"/>
        <v>0</v>
      </c>
      <c r="DU28" s="508">
        <f t="shared" si="21"/>
        <v>0</v>
      </c>
      <c r="DV28" s="508">
        <f t="shared" si="21"/>
        <v>0</v>
      </c>
      <c r="DW28" s="508">
        <f t="shared" si="21"/>
        <v>0</v>
      </c>
      <c r="DX28" s="508">
        <f t="shared" si="21"/>
        <v>0</v>
      </c>
      <c r="DY28" s="508">
        <f t="shared" si="21"/>
        <v>0</v>
      </c>
      <c r="DZ28" s="511">
        <f t="shared" si="22"/>
        <v>870.09168852550749</v>
      </c>
      <c r="EA28" s="511">
        <f t="shared" si="22"/>
        <v>870.09168852550749</v>
      </c>
      <c r="EB28" s="511">
        <f t="shared" si="22"/>
        <v>870.09168852550749</v>
      </c>
      <c r="EC28" s="511">
        <f t="shared" si="22"/>
        <v>870.09168852550749</v>
      </c>
      <c r="ED28" s="511">
        <f t="shared" si="22"/>
        <v>870.09168852550749</v>
      </c>
      <c r="EE28" s="511">
        <f t="shared" si="22"/>
        <v>870.09168852550749</v>
      </c>
      <c r="EF28" s="511">
        <f t="shared" si="22"/>
        <v>870.09168852550749</v>
      </c>
      <c r="EG28" s="511">
        <f t="shared" si="23"/>
        <v>5.7898158276978424E-2</v>
      </c>
      <c r="EH28" s="511">
        <f t="shared" si="23"/>
        <v>5.7898158276978424E-2</v>
      </c>
      <c r="EI28" s="511">
        <f t="shared" si="23"/>
        <v>5.7898158276978424E-2</v>
      </c>
      <c r="EJ28" s="511">
        <f t="shared" si="23"/>
        <v>5.7898158276978424E-2</v>
      </c>
      <c r="EK28" s="511">
        <f t="shared" si="23"/>
        <v>5.7898158276978424E-2</v>
      </c>
      <c r="EL28" s="511">
        <f t="shared" si="23"/>
        <v>5.7898158276978424E-2</v>
      </c>
      <c r="EM28" s="511">
        <f t="shared" si="23"/>
        <v>5.7898158276978424E-2</v>
      </c>
      <c r="EN28" s="511">
        <f t="shared" si="24"/>
        <v>11.85929800865164</v>
      </c>
      <c r="EO28" s="511">
        <f t="shared" si="24"/>
        <v>11.85929800865164</v>
      </c>
      <c r="EP28" s="511">
        <f t="shared" si="24"/>
        <v>11.85929800865164</v>
      </c>
      <c r="EQ28" s="511">
        <f t="shared" si="24"/>
        <v>11.85929800865164</v>
      </c>
      <c r="ER28" s="511">
        <f t="shared" si="24"/>
        <v>11.85929800865164</v>
      </c>
      <c r="ES28" s="511">
        <f t="shared" si="24"/>
        <v>11.85929800865164</v>
      </c>
      <c r="ET28" s="511">
        <f t="shared" si="24"/>
        <v>11.85929800865164</v>
      </c>
      <c r="EU28" s="777">
        <f t="shared" si="29"/>
        <v>210</v>
      </c>
      <c r="EV28" s="728">
        <f t="shared" si="30"/>
        <v>1968.2249999999999</v>
      </c>
      <c r="EW28" s="728">
        <f t="shared" si="31"/>
        <v>0</v>
      </c>
      <c r="EX28" s="728">
        <f t="shared" si="32"/>
        <v>3150</v>
      </c>
      <c r="EY28" s="728">
        <f t="shared" si="33"/>
        <v>0</v>
      </c>
      <c r="EZ28" s="777">
        <f t="shared" si="34"/>
        <v>6090.6418196785526</v>
      </c>
      <c r="FA28" s="777">
        <f t="shared" si="35"/>
        <v>0.40528710793884898</v>
      </c>
      <c r="FB28" s="778">
        <f t="shared" si="36"/>
        <v>83.015086060561472</v>
      </c>
      <c r="FD28" s="10" t="b">
        <f t="shared" si="54"/>
        <v>1</v>
      </c>
      <c r="FE28" s="10" t="b">
        <f t="shared" si="54"/>
        <v>1</v>
      </c>
      <c r="FF28" s="10" t="b">
        <f t="shared" si="54"/>
        <v>1</v>
      </c>
      <c r="FG28" s="10" t="b">
        <f t="shared" si="54"/>
        <v>1</v>
      </c>
      <c r="FH28" s="10" t="b">
        <f t="shared" si="54"/>
        <v>1</v>
      </c>
      <c r="FI28" s="10" t="b">
        <f t="shared" si="54"/>
        <v>1</v>
      </c>
      <c r="FJ28" s="10" t="b">
        <f t="shared" si="54"/>
        <v>1</v>
      </c>
    </row>
    <row r="29" spans="1:169" s="10" customFormat="1" ht="12.75" hidden="1" customHeight="1">
      <c r="A29" s="662">
        <v>23</v>
      </c>
      <c r="B29" s="789" t="s">
        <v>975</v>
      </c>
      <c r="C29" s="662" t="s">
        <v>2049</v>
      </c>
      <c r="D29" s="715" t="s">
        <v>2050</v>
      </c>
      <c r="E29" s="662" t="s">
        <v>331</v>
      </c>
      <c r="F29" s="704" t="s">
        <v>402</v>
      </c>
      <c r="G29" s="704">
        <v>417.93299999999999</v>
      </c>
      <c r="H29" s="1237"/>
      <c r="I29" s="704">
        <f t="shared" si="2"/>
        <v>417.93299999999999</v>
      </c>
      <c r="J29" s="704">
        <v>0</v>
      </c>
      <c r="K29" s="704">
        <f t="shared" si="43"/>
        <v>208.9665</v>
      </c>
      <c r="L29" s="711" t="s">
        <v>2051</v>
      </c>
      <c r="M29" s="707" t="s">
        <v>378</v>
      </c>
      <c r="N29" s="707">
        <f t="shared" si="48"/>
        <v>210</v>
      </c>
      <c r="O29" s="1237">
        <v>0</v>
      </c>
      <c r="P29" s="707">
        <v>0</v>
      </c>
      <c r="Q29" s="1022">
        <v>202.00221957552003</v>
      </c>
      <c r="R29" s="872">
        <v>0.16283946197183058</v>
      </c>
      <c r="S29" s="1022">
        <v>0</v>
      </c>
      <c r="T29" s="711" t="s">
        <v>2052</v>
      </c>
      <c r="U29" s="712"/>
      <c r="V29" s="1124">
        <v>0</v>
      </c>
      <c r="W29" s="790"/>
      <c r="X29" s="790"/>
      <c r="Y29" s="790"/>
      <c r="Z29" s="790"/>
      <c r="AA29" s="790"/>
      <c r="AB29" s="790"/>
      <c r="AC29" s="781">
        <f t="shared" si="47"/>
        <v>0</v>
      </c>
      <c r="AD29" s="781">
        <f t="shared" si="46"/>
        <v>0</v>
      </c>
      <c r="AE29" s="781">
        <f t="shared" si="46"/>
        <v>0</v>
      </c>
      <c r="AF29" s="781">
        <f t="shared" si="45"/>
        <v>0</v>
      </c>
      <c r="AG29" s="781">
        <f t="shared" si="45"/>
        <v>0</v>
      </c>
      <c r="AH29" s="781">
        <f t="shared" si="55"/>
        <v>0</v>
      </c>
      <c r="AI29" s="781">
        <f t="shared" si="55"/>
        <v>0</v>
      </c>
      <c r="AJ29" s="711" t="s">
        <v>384</v>
      </c>
      <c r="AK29" s="711" t="s">
        <v>375</v>
      </c>
      <c r="AL29" s="711" t="s">
        <v>376</v>
      </c>
      <c r="AM29" s="711" t="s">
        <v>2002</v>
      </c>
      <c r="AN29" s="711" t="s">
        <v>1</v>
      </c>
      <c r="AO29" s="711" t="s">
        <v>2053</v>
      </c>
      <c r="AP29" s="711" t="s">
        <v>1702</v>
      </c>
      <c r="AQ29" s="711" t="s">
        <v>339</v>
      </c>
      <c r="AR29" s="715" t="s">
        <v>406</v>
      </c>
      <c r="AS29" s="715"/>
      <c r="AT29" s="715" t="s">
        <v>381</v>
      </c>
      <c r="AU29" s="711">
        <v>15</v>
      </c>
      <c r="AV29" s="711">
        <v>15</v>
      </c>
      <c r="AW29" s="711" t="s">
        <v>2054</v>
      </c>
      <c r="AX29" s="716">
        <v>1</v>
      </c>
      <c r="AY29" s="716">
        <v>1</v>
      </c>
      <c r="AZ29" s="716">
        <v>0</v>
      </c>
      <c r="BA29" s="499">
        <f t="shared" si="4"/>
        <v>417.93299999999999</v>
      </c>
      <c r="BB29" s="499">
        <f t="shared" si="49"/>
        <v>417.93299999999999</v>
      </c>
      <c r="BC29" s="499">
        <f t="shared" si="49"/>
        <v>417.93299999999999</v>
      </c>
      <c r="BD29" s="499">
        <f t="shared" si="49"/>
        <v>417.93299999999999</v>
      </c>
      <c r="BE29" s="499">
        <f t="shared" si="6"/>
        <v>417.93299999999999</v>
      </c>
      <c r="BF29" s="499">
        <f t="shared" si="6"/>
        <v>417.93299999999999</v>
      </c>
      <c r="BG29" s="499">
        <f t="shared" si="6"/>
        <v>417.93299999999999</v>
      </c>
      <c r="BH29" s="499">
        <f t="shared" si="7"/>
        <v>0</v>
      </c>
      <c r="BI29" s="499">
        <f t="shared" si="50"/>
        <v>0</v>
      </c>
      <c r="BJ29" s="499">
        <f t="shared" si="50"/>
        <v>0</v>
      </c>
      <c r="BK29" s="499">
        <f t="shared" si="50"/>
        <v>0</v>
      </c>
      <c r="BL29" s="499">
        <f t="shared" si="50"/>
        <v>0</v>
      </c>
      <c r="BM29" s="499">
        <f t="shared" si="50"/>
        <v>0</v>
      </c>
      <c r="BN29" s="499">
        <f t="shared" si="50"/>
        <v>0</v>
      </c>
      <c r="BO29" s="499">
        <f t="shared" si="9"/>
        <v>210</v>
      </c>
      <c r="BP29" s="499">
        <f t="shared" ref="BP29:BU44" si="56">BO29</f>
        <v>210</v>
      </c>
      <c r="BQ29" s="499">
        <f t="shared" si="56"/>
        <v>210</v>
      </c>
      <c r="BR29" s="499">
        <f t="shared" si="56"/>
        <v>210</v>
      </c>
      <c r="BS29" s="499">
        <f t="shared" si="56"/>
        <v>210</v>
      </c>
      <c r="BT29" s="499">
        <f t="shared" si="56"/>
        <v>210</v>
      </c>
      <c r="BU29" s="499">
        <f t="shared" si="56"/>
        <v>210</v>
      </c>
      <c r="BV29" s="503">
        <f t="shared" si="27"/>
        <v>0</v>
      </c>
      <c r="BW29" s="503">
        <f t="shared" si="27"/>
        <v>0</v>
      </c>
      <c r="BX29" s="503">
        <f t="shared" si="27"/>
        <v>0</v>
      </c>
      <c r="BY29" s="503">
        <f t="shared" si="27"/>
        <v>0</v>
      </c>
      <c r="BZ29" s="503">
        <f t="shared" si="27"/>
        <v>0</v>
      </c>
      <c r="CA29" s="503">
        <f t="shared" si="27"/>
        <v>0</v>
      </c>
      <c r="CB29" s="503">
        <f t="shared" si="27"/>
        <v>0</v>
      </c>
      <c r="CC29" s="511">
        <f t="shared" si="12"/>
        <v>202.00221957552003</v>
      </c>
      <c r="CD29" s="511">
        <f t="shared" si="51"/>
        <v>202.00221957552003</v>
      </c>
      <c r="CE29" s="511">
        <f t="shared" si="51"/>
        <v>202.00221957552003</v>
      </c>
      <c r="CF29" s="511">
        <f t="shared" si="51"/>
        <v>202.00221957552003</v>
      </c>
      <c r="CG29" s="511">
        <f t="shared" si="51"/>
        <v>202.00221957552003</v>
      </c>
      <c r="CH29" s="511">
        <f t="shared" si="51"/>
        <v>202.00221957552003</v>
      </c>
      <c r="CI29" s="511">
        <f t="shared" si="51"/>
        <v>202.00221957552003</v>
      </c>
      <c r="CJ29" s="511">
        <f t="shared" si="14"/>
        <v>0.16283946197183058</v>
      </c>
      <c r="CK29" s="511">
        <f t="shared" si="52"/>
        <v>0.16283946197183058</v>
      </c>
      <c r="CL29" s="511">
        <f t="shared" si="52"/>
        <v>0.16283946197183058</v>
      </c>
      <c r="CM29" s="511">
        <f t="shared" si="52"/>
        <v>0.16283946197183058</v>
      </c>
      <c r="CN29" s="511">
        <f t="shared" si="52"/>
        <v>0.16283946197183058</v>
      </c>
      <c r="CO29" s="511">
        <f t="shared" si="52"/>
        <v>0.16283946197183058</v>
      </c>
      <c r="CP29" s="511">
        <f t="shared" si="52"/>
        <v>0.16283946197183058</v>
      </c>
      <c r="CQ29" s="511">
        <f t="shared" si="16"/>
        <v>0</v>
      </c>
      <c r="CR29" s="511">
        <f t="shared" si="53"/>
        <v>0</v>
      </c>
      <c r="CS29" s="511">
        <f t="shared" si="53"/>
        <v>0</v>
      </c>
      <c r="CT29" s="511">
        <f t="shared" si="53"/>
        <v>0</v>
      </c>
      <c r="CU29" s="511">
        <f t="shared" si="53"/>
        <v>0</v>
      </c>
      <c r="CV29" s="511">
        <f t="shared" si="53"/>
        <v>0</v>
      </c>
      <c r="CW29" s="511">
        <f t="shared" si="53"/>
        <v>0</v>
      </c>
      <c r="CX29" s="508">
        <f t="shared" si="28"/>
        <v>0</v>
      </c>
      <c r="CY29" s="508">
        <f t="shared" si="28"/>
        <v>0</v>
      </c>
      <c r="CZ29" s="508">
        <f t="shared" si="28"/>
        <v>0</v>
      </c>
      <c r="DA29" s="508">
        <f t="shared" si="28"/>
        <v>0</v>
      </c>
      <c r="DB29" s="508">
        <f t="shared" si="28"/>
        <v>0</v>
      </c>
      <c r="DC29" s="508">
        <f t="shared" si="28"/>
        <v>0</v>
      </c>
      <c r="DD29" s="508">
        <f t="shared" si="28"/>
        <v>0</v>
      </c>
      <c r="DE29" s="508">
        <f t="shared" si="19"/>
        <v>0</v>
      </c>
      <c r="DF29" s="508">
        <f t="shared" si="19"/>
        <v>0</v>
      </c>
      <c r="DG29" s="508">
        <f t="shared" si="19"/>
        <v>0</v>
      </c>
      <c r="DH29" s="508">
        <f t="shared" si="19"/>
        <v>0</v>
      </c>
      <c r="DI29" s="508">
        <f t="shared" si="19"/>
        <v>0</v>
      </c>
      <c r="DJ29" s="508">
        <f t="shared" si="19"/>
        <v>0</v>
      </c>
      <c r="DK29" s="508">
        <f t="shared" si="19"/>
        <v>0</v>
      </c>
      <c r="DL29" s="508">
        <f t="shared" si="20"/>
        <v>0</v>
      </c>
      <c r="DM29" s="508">
        <f t="shared" si="20"/>
        <v>0</v>
      </c>
      <c r="DN29" s="508">
        <f t="shared" si="20"/>
        <v>0</v>
      </c>
      <c r="DO29" s="508">
        <f t="shared" si="20"/>
        <v>0</v>
      </c>
      <c r="DP29" s="508">
        <f t="shared" si="20"/>
        <v>0</v>
      </c>
      <c r="DQ29" s="508">
        <f t="shared" si="20"/>
        <v>0</v>
      </c>
      <c r="DR29" s="508">
        <f t="shared" si="20"/>
        <v>0</v>
      </c>
      <c r="DS29" s="508">
        <f t="shared" si="21"/>
        <v>0</v>
      </c>
      <c r="DT29" s="508">
        <f t="shared" si="21"/>
        <v>0</v>
      </c>
      <c r="DU29" s="508">
        <f t="shared" si="21"/>
        <v>0</v>
      </c>
      <c r="DV29" s="508">
        <f t="shared" si="21"/>
        <v>0</v>
      </c>
      <c r="DW29" s="508">
        <f t="shared" si="21"/>
        <v>0</v>
      </c>
      <c r="DX29" s="508">
        <f t="shared" si="21"/>
        <v>0</v>
      </c>
      <c r="DY29" s="508">
        <f t="shared" si="21"/>
        <v>0</v>
      </c>
      <c r="DZ29" s="511">
        <f t="shared" si="22"/>
        <v>0</v>
      </c>
      <c r="EA29" s="511">
        <f t="shared" si="22"/>
        <v>0</v>
      </c>
      <c r="EB29" s="511">
        <f t="shared" si="22"/>
        <v>0</v>
      </c>
      <c r="EC29" s="511">
        <f t="shared" si="22"/>
        <v>0</v>
      </c>
      <c r="ED29" s="511">
        <f t="shared" si="22"/>
        <v>0</v>
      </c>
      <c r="EE29" s="511">
        <f t="shared" si="22"/>
        <v>0</v>
      </c>
      <c r="EF29" s="511">
        <f t="shared" si="22"/>
        <v>0</v>
      </c>
      <c r="EG29" s="511">
        <f t="shared" si="23"/>
        <v>0</v>
      </c>
      <c r="EH29" s="511">
        <f t="shared" si="23"/>
        <v>0</v>
      </c>
      <c r="EI29" s="511">
        <f t="shared" si="23"/>
        <v>0</v>
      </c>
      <c r="EJ29" s="511">
        <f t="shared" si="23"/>
        <v>0</v>
      </c>
      <c r="EK29" s="511">
        <f t="shared" si="23"/>
        <v>0</v>
      </c>
      <c r="EL29" s="511">
        <f t="shared" si="23"/>
        <v>0</v>
      </c>
      <c r="EM29" s="511">
        <f t="shared" si="23"/>
        <v>0</v>
      </c>
      <c r="EN29" s="511">
        <f t="shared" si="24"/>
        <v>0</v>
      </c>
      <c r="EO29" s="511">
        <f t="shared" si="24"/>
        <v>0</v>
      </c>
      <c r="EP29" s="511">
        <f t="shared" si="24"/>
        <v>0</v>
      </c>
      <c r="EQ29" s="511">
        <f t="shared" si="24"/>
        <v>0</v>
      </c>
      <c r="ER29" s="511">
        <f t="shared" si="24"/>
        <v>0</v>
      </c>
      <c r="ES29" s="511">
        <f t="shared" si="24"/>
        <v>0</v>
      </c>
      <c r="ET29" s="511">
        <f t="shared" si="24"/>
        <v>0</v>
      </c>
      <c r="EU29" s="777">
        <f t="shared" si="29"/>
        <v>0</v>
      </c>
      <c r="EV29" s="728">
        <f t="shared" si="30"/>
        <v>0</v>
      </c>
      <c r="EW29" s="728">
        <f t="shared" si="31"/>
        <v>0</v>
      </c>
      <c r="EX29" s="728">
        <f t="shared" si="32"/>
        <v>0</v>
      </c>
      <c r="EY29" s="728">
        <f t="shared" si="33"/>
        <v>0</v>
      </c>
      <c r="EZ29" s="777">
        <f t="shared" si="34"/>
        <v>0</v>
      </c>
      <c r="FA29" s="777">
        <f t="shared" si="35"/>
        <v>0</v>
      </c>
      <c r="FB29" s="778">
        <f t="shared" si="36"/>
        <v>0</v>
      </c>
      <c r="FD29" s="10" t="b">
        <f t="shared" si="54"/>
        <v>1</v>
      </c>
      <c r="FE29" s="10" t="b">
        <f t="shared" si="54"/>
        <v>1</v>
      </c>
      <c r="FF29" s="10" t="b">
        <f t="shared" si="54"/>
        <v>1</v>
      </c>
      <c r="FG29" s="10" t="b">
        <f t="shared" si="54"/>
        <v>1</v>
      </c>
      <c r="FH29" s="10" t="b">
        <f t="shared" si="54"/>
        <v>1</v>
      </c>
      <c r="FI29" s="10" t="b">
        <f t="shared" si="54"/>
        <v>1</v>
      </c>
      <c r="FJ29" s="10" t="b">
        <f t="shared" si="54"/>
        <v>1</v>
      </c>
    </row>
    <row r="30" spans="1:169" s="10" customFormat="1" ht="12.75" hidden="1" customHeight="1">
      <c r="A30" s="662">
        <v>24</v>
      </c>
      <c r="B30" s="789" t="s">
        <v>2055</v>
      </c>
      <c r="C30" s="662" t="s">
        <v>2056</v>
      </c>
      <c r="D30" s="715" t="s">
        <v>2050</v>
      </c>
      <c r="E30" s="662" t="s">
        <v>331</v>
      </c>
      <c r="F30" s="704" t="s">
        <v>402</v>
      </c>
      <c r="G30" s="704">
        <v>-1872.0323100000001</v>
      </c>
      <c r="H30" s="1237"/>
      <c r="I30" s="704">
        <f t="shared" si="2"/>
        <v>-1872.0323100000001</v>
      </c>
      <c r="J30" s="704">
        <v>0</v>
      </c>
      <c r="K30" s="704">
        <f t="shared" si="43"/>
        <v>-936.01615500000003</v>
      </c>
      <c r="L30" s="711" t="s">
        <v>2057</v>
      </c>
      <c r="M30" s="707" t="s">
        <v>378</v>
      </c>
      <c r="N30" s="707">
        <f t="shared" si="48"/>
        <v>15</v>
      </c>
      <c r="O30" s="1237">
        <v>0</v>
      </c>
      <c r="P30" s="707">
        <v>0</v>
      </c>
      <c r="Q30" s="1022">
        <v>2643.4072689535774</v>
      </c>
      <c r="R30" s="872">
        <v>2.1309222163665349</v>
      </c>
      <c r="S30" s="1022">
        <v>0</v>
      </c>
      <c r="T30" s="711" t="s">
        <v>2052</v>
      </c>
      <c r="U30" s="712"/>
      <c r="V30" s="1124">
        <v>0</v>
      </c>
      <c r="W30" s="790"/>
      <c r="X30" s="790"/>
      <c r="Y30" s="790"/>
      <c r="Z30" s="790"/>
      <c r="AA30" s="790"/>
      <c r="AB30" s="790"/>
      <c r="AC30" s="781">
        <f t="shared" si="47"/>
        <v>0</v>
      </c>
      <c r="AD30" s="781">
        <f t="shared" si="46"/>
        <v>0</v>
      </c>
      <c r="AE30" s="781">
        <f t="shared" si="46"/>
        <v>0</v>
      </c>
      <c r="AF30" s="781">
        <f t="shared" si="46"/>
        <v>0</v>
      </c>
      <c r="AG30" s="781">
        <f t="shared" si="46"/>
        <v>0</v>
      </c>
      <c r="AH30" s="781">
        <f t="shared" si="55"/>
        <v>0</v>
      </c>
      <c r="AI30" s="781">
        <f t="shared" si="55"/>
        <v>0</v>
      </c>
      <c r="AJ30" s="711" t="s">
        <v>384</v>
      </c>
      <c r="AK30" s="711" t="s">
        <v>375</v>
      </c>
      <c r="AL30" s="711" t="s">
        <v>376</v>
      </c>
      <c r="AM30" s="711" t="s">
        <v>2002</v>
      </c>
      <c r="AN30" s="711" t="s">
        <v>1</v>
      </c>
      <c r="AO30" s="711" t="s">
        <v>2058</v>
      </c>
      <c r="AP30" s="711" t="s">
        <v>1702</v>
      </c>
      <c r="AQ30" s="711" t="s">
        <v>339</v>
      </c>
      <c r="AR30" s="715" t="s">
        <v>406</v>
      </c>
      <c r="AS30" s="715"/>
      <c r="AT30" s="715" t="s">
        <v>381</v>
      </c>
      <c r="AU30" s="711">
        <v>15</v>
      </c>
      <c r="AV30" s="711">
        <v>15</v>
      </c>
      <c r="AW30" s="711" t="s">
        <v>2059</v>
      </c>
      <c r="AX30" s="716">
        <v>1</v>
      </c>
      <c r="AY30" s="716">
        <v>1</v>
      </c>
      <c r="AZ30" s="716">
        <v>0</v>
      </c>
      <c r="BA30" s="499">
        <f t="shared" si="4"/>
        <v>-1872.0323100000001</v>
      </c>
      <c r="BB30" s="499">
        <f t="shared" si="49"/>
        <v>-1872.0323100000001</v>
      </c>
      <c r="BC30" s="499">
        <f t="shared" si="49"/>
        <v>-1872.0323100000001</v>
      </c>
      <c r="BD30" s="499">
        <f t="shared" si="49"/>
        <v>-1872.0323100000001</v>
      </c>
      <c r="BE30" s="499">
        <f t="shared" si="6"/>
        <v>-1872.0323100000001</v>
      </c>
      <c r="BF30" s="499">
        <f t="shared" si="6"/>
        <v>-1872.0323100000001</v>
      </c>
      <c r="BG30" s="499">
        <f t="shared" si="6"/>
        <v>-1872.0323100000001</v>
      </c>
      <c r="BH30" s="499">
        <f t="shared" si="7"/>
        <v>0</v>
      </c>
      <c r="BI30" s="499">
        <f t="shared" si="50"/>
        <v>0</v>
      </c>
      <c r="BJ30" s="499">
        <f t="shared" si="50"/>
        <v>0</v>
      </c>
      <c r="BK30" s="499">
        <f t="shared" si="50"/>
        <v>0</v>
      </c>
      <c r="BL30" s="499">
        <f t="shared" si="50"/>
        <v>0</v>
      </c>
      <c r="BM30" s="499">
        <f t="shared" si="50"/>
        <v>0</v>
      </c>
      <c r="BN30" s="499">
        <f t="shared" si="50"/>
        <v>0</v>
      </c>
      <c r="BO30" s="499">
        <f t="shared" si="9"/>
        <v>15</v>
      </c>
      <c r="BP30" s="499">
        <f t="shared" si="56"/>
        <v>15</v>
      </c>
      <c r="BQ30" s="499">
        <f t="shared" si="56"/>
        <v>15</v>
      </c>
      <c r="BR30" s="499">
        <f t="shared" si="56"/>
        <v>15</v>
      </c>
      <c r="BS30" s="499">
        <f t="shared" si="56"/>
        <v>15</v>
      </c>
      <c r="BT30" s="499">
        <f t="shared" si="56"/>
        <v>15</v>
      </c>
      <c r="BU30" s="499">
        <f t="shared" si="56"/>
        <v>15</v>
      </c>
      <c r="BV30" s="503">
        <f t="shared" si="27"/>
        <v>0</v>
      </c>
      <c r="BW30" s="503">
        <f t="shared" si="27"/>
        <v>0</v>
      </c>
      <c r="BX30" s="503">
        <f t="shared" si="27"/>
        <v>0</v>
      </c>
      <c r="BY30" s="503">
        <f t="shared" si="27"/>
        <v>0</v>
      </c>
      <c r="BZ30" s="503">
        <f t="shared" si="27"/>
        <v>0</v>
      </c>
      <c r="CA30" s="503">
        <f t="shared" si="27"/>
        <v>0</v>
      </c>
      <c r="CB30" s="503">
        <f t="shared" si="27"/>
        <v>0</v>
      </c>
      <c r="CC30" s="511">
        <f t="shared" si="12"/>
        <v>2643.4072689535774</v>
      </c>
      <c r="CD30" s="511">
        <f t="shared" si="51"/>
        <v>2643.4072689535774</v>
      </c>
      <c r="CE30" s="511">
        <f t="shared" si="51"/>
        <v>2643.4072689535774</v>
      </c>
      <c r="CF30" s="511">
        <f t="shared" si="51"/>
        <v>2643.4072689535774</v>
      </c>
      <c r="CG30" s="511">
        <f t="shared" si="51"/>
        <v>2643.4072689535774</v>
      </c>
      <c r="CH30" s="511">
        <f t="shared" si="51"/>
        <v>2643.4072689535774</v>
      </c>
      <c r="CI30" s="511">
        <f t="shared" si="51"/>
        <v>2643.4072689535774</v>
      </c>
      <c r="CJ30" s="511">
        <f t="shared" si="14"/>
        <v>2.1309222163665349</v>
      </c>
      <c r="CK30" s="511">
        <f t="shared" si="52"/>
        <v>2.1309222163665349</v>
      </c>
      <c r="CL30" s="511">
        <f t="shared" si="52"/>
        <v>2.1309222163665349</v>
      </c>
      <c r="CM30" s="511">
        <f t="shared" si="52"/>
        <v>2.1309222163665349</v>
      </c>
      <c r="CN30" s="511">
        <f t="shared" si="52"/>
        <v>2.1309222163665349</v>
      </c>
      <c r="CO30" s="511">
        <f t="shared" si="52"/>
        <v>2.1309222163665349</v>
      </c>
      <c r="CP30" s="511">
        <f t="shared" si="52"/>
        <v>2.1309222163665349</v>
      </c>
      <c r="CQ30" s="511">
        <f t="shared" si="16"/>
        <v>0</v>
      </c>
      <c r="CR30" s="511">
        <f t="shared" si="53"/>
        <v>0</v>
      </c>
      <c r="CS30" s="511">
        <f t="shared" si="53"/>
        <v>0</v>
      </c>
      <c r="CT30" s="511">
        <f t="shared" si="53"/>
        <v>0</v>
      </c>
      <c r="CU30" s="511">
        <f t="shared" si="53"/>
        <v>0</v>
      </c>
      <c r="CV30" s="511">
        <f t="shared" si="53"/>
        <v>0</v>
      </c>
      <c r="CW30" s="511">
        <f t="shared" si="53"/>
        <v>0</v>
      </c>
      <c r="CX30" s="508">
        <f t="shared" si="28"/>
        <v>0</v>
      </c>
      <c r="CY30" s="508">
        <f t="shared" si="28"/>
        <v>0</v>
      </c>
      <c r="CZ30" s="508">
        <f t="shared" si="28"/>
        <v>0</v>
      </c>
      <c r="DA30" s="508">
        <f t="shared" si="28"/>
        <v>0</v>
      </c>
      <c r="DB30" s="508">
        <f t="shared" si="28"/>
        <v>0</v>
      </c>
      <c r="DC30" s="508">
        <f t="shared" si="28"/>
        <v>0</v>
      </c>
      <c r="DD30" s="508">
        <f t="shared" si="28"/>
        <v>0</v>
      </c>
      <c r="DE30" s="508">
        <f t="shared" si="19"/>
        <v>0</v>
      </c>
      <c r="DF30" s="508">
        <f t="shared" si="19"/>
        <v>0</v>
      </c>
      <c r="DG30" s="508">
        <f t="shared" si="19"/>
        <v>0</v>
      </c>
      <c r="DH30" s="508">
        <f t="shared" si="19"/>
        <v>0</v>
      </c>
      <c r="DI30" s="508">
        <f t="shared" si="19"/>
        <v>0</v>
      </c>
      <c r="DJ30" s="508">
        <f t="shared" si="19"/>
        <v>0</v>
      </c>
      <c r="DK30" s="508">
        <f t="shared" si="19"/>
        <v>0</v>
      </c>
      <c r="DL30" s="508">
        <f t="shared" si="20"/>
        <v>0</v>
      </c>
      <c r="DM30" s="508">
        <f t="shared" si="20"/>
        <v>0</v>
      </c>
      <c r="DN30" s="508">
        <f t="shared" si="20"/>
        <v>0</v>
      </c>
      <c r="DO30" s="508">
        <f t="shared" si="20"/>
        <v>0</v>
      </c>
      <c r="DP30" s="508">
        <f t="shared" si="20"/>
        <v>0</v>
      </c>
      <c r="DQ30" s="508">
        <f t="shared" si="20"/>
        <v>0</v>
      </c>
      <c r="DR30" s="508">
        <f t="shared" si="20"/>
        <v>0</v>
      </c>
      <c r="DS30" s="508">
        <f t="shared" si="21"/>
        <v>0</v>
      </c>
      <c r="DT30" s="508">
        <f t="shared" si="21"/>
        <v>0</v>
      </c>
      <c r="DU30" s="508">
        <f t="shared" si="21"/>
        <v>0</v>
      </c>
      <c r="DV30" s="508">
        <f t="shared" si="21"/>
        <v>0</v>
      </c>
      <c r="DW30" s="508">
        <f t="shared" si="21"/>
        <v>0</v>
      </c>
      <c r="DX30" s="508">
        <f t="shared" si="21"/>
        <v>0</v>
      </c>
      <c r="DY30" s="508">
        <f t="shared" si="21"/>
        <v>0</v>
      </c>
      <c r="DZ30" s="511">
        <f t="shared" si="22"/>
        <v>0</v>
      </c>
      <c r="EA30" s="511">
        <f t="shared" si="22"/>
        <v>0</v>
      </c>
      <c r="EB30" s="511">
        <f t="shared" si="22"/>
        <v>0</v>
      </c>
      <c r="EC30" s="511">
        <f t="shared" si="22"/>
        <v>0</v>
      </c>
      <c r="ED30" s="511">
        <f t="shared" si="22"/>
        <v>0</v>
      </c>
      <c r="EE30" s="511">
        <f t="shared" si="22"/>
        <v>0</v>
      </c>
      <c r="EF30" s="511">
        <f t="shared" si="22"/>
        <v>0</v>
      </c>
      <c r="EG30" s="511">
        <f t="shared" si="23"/>
        <v>0</v>
      </c>
      <c r="EH30" s="511">
        <f t="shared" si="23"/>
        <v>0</v>
      </c>
      <c r="EI30" s="511">
        <f t="shared" si="23"/>
        <v>0</v>
      </c>
      <c r="EJ30" s="511">
        <f t="shared" si="23"/>
        <v>0</v>
      </c>
      <c r="EK30" s="511">
        <f t="shared" si="23"/>
        <v>0</v>
      </c>
      <c r="EL30" s="511">
        <f t="shared" si="23"/>
        <v>0</v>
      </c>
      <c r="EM30" s="511">
        <f t="shared" si="23"/>
        <v>0</v>
      </c>
      <c r="EN30" s="511">
        <f t="shared" si="24"/>
        <v>0</v>
      </c>
      <c r="EO30" s="511">
        <f t="shared" si="24"/>
        <v>0</v>
      </c>
      <c r="EP30" s="511">
        <f t="shared" si="24"/>
        <v>0</v>
      </c>
      <c r="EQ30" s="511">
        <f t="shared" si="24"/>
        <v>0</v>
      </c>
      <c r="ER30" s="511">
        <f t="shared" si="24"/>
        <v>0</v>
      </c>
      <c r="ES30" s="511">
        <f t="shared" si="24"/>
        <v>0</v>
      </c>
      <c r="ET30" s="511">
        <f t="shared" si="24"/>
        <v>0</v>
      </c>
      <c r="EU30" s="777">
        <f t="shared" si="29"/>
        <v>0</v>
      </c>
      <c r="EV30" s="728">
        <f t="shared" si="30"/>
        <v>0</v>
      </c>
      <c r="EW30" s="728">
        <f t="shared" si="31"/>
        <v>0</v>
      </c>
      <c r="EX30" s="728">
        <f t="shared" si="32"/>
        <v>0</v>
      </c>
      <c r="EY30" s="728">
        <f t="shared" si="33"/>
        <v>0</v>
      </c>
      <c r="EZ30" s="777">
        <f t="shared" si="34"/>
        <v>0</v>
      </c>
      <c r="FA30" s="777">
        <f t="shared" si="35"/>
        <v>0</v>
      </c>
      <c r="FB30" s="778">
        <f t="shared" si="36"/>
        <v>0</v>
      </c>
      <c r="FD30" s="10" t="b">
        <f t="shared" si="54"/>
        <v>1</v>
      </c>
      <c r="FE30" s="10" t="b">
        <f t="shared" si="54"/>
        <v>1</v>
      </c>
      <c r="FF30" s="10" t="b">
        <f t="shared" si="54"/>
        <v>1</v>
      </c>
      <c r="FG30" s="10" t="b">
        <f t="shared" si="54"/>
        <v>1</v>
      </c>
      <c r="FH30" s="10" t="b">
        <f t="shared" si="54"/>
        <v>1</v>
      </c>
      <c r="FI30" s="10" t="b">
        <f t="shared" si="54"/>
        <v>1</v>
      </c>
      <c r="FJ30" s="10" t="b">
        <f t="shared" si="54"/>
        <v>1</v>
      </c>
    </row>
    <row r="31" spans="1:169" s="10" customFormat="1" ht="12.75" hidden="1" customHeight="1">
      <c r="A31" s="662">
        <v>25</v>
      </c>
      <c r="B31" s="789" t="s">
        <v>979</v>
      </c>
      <c r="C31" s="662" t="s">
        <v>2060</v>
      </c>
      <c r="D31" s="715" t="s">
        <v>2061</v>
      </c>
      <c r="E31" s="662" t="s">
        <v>331</v>
      </c>
      <c r="F31" s="704" t="s">
        <v>402</v>
      </c>
      <c r="G31" s="704">
        <v>340.28</v>
      </c>
      <c r="H31" s="1237"/>
      <c r="I31" s="704">
        <f t="shared" si="2"/>
        <v>340.28</v>
      </c>
      <c r="J31" s="704">
        <v>0</v>
      </c>
      <c r="K31" s="704">
        <f t="shared" si="43"/>
        <v>170.14</v>
      </c>
      <c r="L31" s="711" t="s">
        <v>2062</v>
      </c>
      <c r="M31" s="707" t="s">
        <v>378</v>
      </c>
      <c r="N31" s="707">
        <f t="shared" si="48"/>
        <v>170</v>
      </c>
      <c r="O31" s="1237">
        <v>0</v>
      </c>
      <c r="P31" s="707">
        <v>0</v>
      </c>
      <c r="Q31" s="1022">
        <v>420.54276325570027</v>
      </c>
      <c r="R31" s="872">
        <v>0.33901091507117342</v>
      </c>
      <c r="S31" s="1022">
        <v>0</v>
      </c>
      <c r="T31" s="711" t="s">
        <v>2063</v>
      </c>
      <c r="U31" s="712"/>
      <c r="V31" s="1124">
        <v>0</v>
      </c>
      <c r="W31" s="790"/>
      <c r="X31" s="790"/>
      <c r="Y31" s="790"/>
      <c r="Z31" s="790"/>
      <c r="AA31" s="790"/>
      <c r="AB31" s="790"/>
      <c r="AC31" s="781">
        <f t="shared" si="47"/>
        <v>0</v>
      </c>
      <c r="AD31" s="781">
        <f t="shared" si="46"/>
        <v>0</v>
      </c>
      <c r="AE31" s="781">
        <f t="shared" si="46"/>
        <v>0</v>
      </c>
      <c r="AF31" s="781">
        <f t="shared" si="46"/>
        <v>0</v>
      </c>
      <c r="AG31" s="781">
        <f t="shared" si="46"/>
        <v>0</v>
      </c>
      <c r="AH31" s="781">
        <f t="shared" si="55"/>
        <v>0</v>
      </c>
      <c r="AI31" s="781">
        <f t="shared" si="55"/>
        <v>0</v>
      </c>
      <c r="AJ31" s="711" t="s">
        <v>384</v>
      </c>
      <c r="AK31" s="711" t="s">
        <v>375</v>
      </c>
      <c r="AL31" s="711" t="s">
        <v>376</v>
      </c>
      <c r="AM31" s="711" t="s">
        <v>2064</v>
      </c>
      <c r="AN31" s="711" t="s">
        <v>1</v>
      </c>
      <c r="AO31" s="711" t="s">
        <v>2065</v>
      </c>
      <c r="AP31" s="711" t="s">
        <v>1702</v>
      </c>
      <c r="AQ31" s="711" t="s">
        <v>339</v>
      </c>
      <c r="AR31" s="715" t="s">
        <v>406</v>
      </c>
      <c r="AS31" s="715"/>
      <c r="AT31" s="715" t="s">
        <v>381</v>
      </c>
      <c r="AU31" s="711">
        <v>15</v>
      </c>
      <c r="AV31" s="711">
        <v>15</v>
      </c>
      <c r="AW31" s="711" t="s">
        <v>2066</v>
      </c>
      <c r="AX31" s="716">
        <v>1</v>
      </c>
      <c r="AY31" s="716">
        <v>1</v>
      </c>
      <c r="AZ31" s="716">
        <v>0</v>
      </c>
      <c r="BA31" s="499">
        <f t="shared" si="4"/>
        <v>340.28</v>
      </c>
      <c r="BB31" s="499">
        <f t="shared" si="49"/>
        <v>340.28</v>
      </c>
      <c r="BC31" s="499">
        <f t="shared" si="49"/>
        <v>340.28</v>
      </c>
      <c r="BD31" s="499">
        <f t="shared" si="49"/>
        <v>340.28</v>
      </c>
      <c r="BE31" s="499">
        <f t="shared" si="6"/>
        <v>340.28</v>
      </c>
      <c r="BF31" s="499">
        <f t="shared" si="6"/>
        <v>340.28</v>
      </c>
      <c r="BG31" s="499">
        <f t="shared" si="6"/>
        <v>340.28</v>
      </c>
      <c r="BH31" s="499">
        <f t="shared" si="7"/>
        <v>0</v>
      </c>
      <c r="BI31" s="499">
        <f t="shared" si="50"/>
        <v>0</v>
      </c>
      <c r="BJ31" s="499">
        <f t="shared" si="50"/>
        <v>0</v>
      </c>
      <c r="BK31" s="499">
        <f t="shared" si="50"/>
        <v>0</v>
      </c>
      <c r="BL31" s="499">
        <f t="shared" si="50"/>
        <v>0</v>
      </c>
      <c r="BM31" s="499">
        <f t="shared" si="50"/>
        <v>0</v>
      </c>
      <c r="BN31" s="499">
        <f t="shared" si="50"/>
        <v>0</v>
      </c>
      <c r="BO31" s="499">
        <f t="shared" si="9"/>
        <v>170</v>
      </c>
      <c r="BP31" s="499">
        <f t="shared" si="56"/>
        <v>170</v>
      </c>
      <c r="BQ31" s="499">
        <f t="shared" si="56"/>
        <v>170</v>
      </c>
      <c r="BR31" s="499">
        <f t="shared" si="56"/>
        <v>170</v>
      </c>
      <c r="BS31" s="499">
        <f t="shared" si="56"/>
        <v>170</v>
      </c>
      <c r="BT31" s="499">
        <f t="shared" si="56"/>
        <v>170</v>
      </c>
      <c r="BU31" s="499">
        <f t="shared" si="56"/>
        <v>170</v>
      </c>
      <c r="BV31" s="503">
        <f t="shared" si="27"/>
        <v>0</v>
      </c>
      <c r="BW31" s="503">
        <f t="shared" si="27"/>
        <v>0</v>
      </c>
      <c r="BX31" s="503">
        <f t="shared" si="27"/>
        <v>0</v>
      </c>
      <c r="BY31" s="503">
        <f t="shared" si="27"/>
        <v>0</v>
      </c>
      <c r="BZ31" s="503">
        <f t="shared" si="27"/>
        <v>0</v>
      </c>
      <c r="CA31" s="503">
        <f t="shared" si="27"/>
        <v>0</v>
      </c>
      <c r="CB31" s="503">
        <f t="shared" si="27"/>
        <v>0</v>
      </c>
      <c r="CC31" s="511">
        <f t="shared" si="12"/>
        <v>420.54276325570027</v>
      </c>
      <c r="CD31" s="511">
        <f t="shared" si="51"/>
        <v>420.54276325570027</v>
      </c>
      <c r="CE31" s="511">
        <f t="shared" si="51"/>
        <v>420.54276325570027</v>
      </c>
      <c r="CF31" s="511">
        <f t="shared" si="51"/>
        <v>420.54276325570027</v>
      </c>
      <c r="CG31" s="511">
        <f t="shared" si="51"/>
        <v>420.54276325570027</v>
      </c>
      <c r="CH31" s="511">
        <f t="shared" si="51"/>
        <v>420.54276325570027</v>
      </c>
      <c r="CI31" s="511">
        <f t="shared" si="51"/>
        <v>420.54276325570027</v>
      </c>
      <c r="CJ31" s="511">
        <f t="shared" si="14"/>
        <v>0.33901091507117342</v>
      </c>
      <c r="CK31" s="511">
        <f t="shared" si="52"/>
        <v>0.33901091507117342</v>
      </c>
      <c r="CL31" s="511">
        <f t="shared" si="52"/>
        <v>0.33901091507117342</v>
      </c>
      <c r="CM31" s="511">
        <f t="shared" si="52"/>
        <v>0.33901091507117342</v>
      </c>
      <c r="CN31" s="511">
        <f t="shared" si="52"/>
        <v>0.33901091507117342</v>
      </c>
      <c r="CO31" s="511">
        <f t="shared" si="52"/>
        <v>0.33901091507117342</v>
      </c>
      <c r="CP31" s="511">
        <f t="shared" si="52"/>
        <v>0.33901091507117342</v>
      </c>
      <c r="CQ31" s="511">
        <f t="shared" si="16"/>
        <v>0</v>
      </c>
      <c r="CR31" s="511">
        <f t="shared" si="53"/>
        <v>0</v>
      </c>
      <c r="CS31" s="511">
        <f t="shared" si="53"/>
        <v>0</v>
      </c>
      <c r="CT31" s="511">
        <f t="shared" si="53"/>
        <v>0</v>
      </c>
      <c r="CU31" s="511">
        <f t="shared" si="53"/>
        <v>0</v>
      </c>
      <c r="CV31" s="511">
        <f t="shared" si="53"/>
        <v>0</v>
      </c>
      <c r="CW31" s="511">
        <f t="shared" si="53"/>
        <v>0</v>
      </c>
      <c r="CX31" s="508">
        <f t="shared" si="28"/>
        <v>0</v>
      </c>
      <c r="CY31" s="508">
        <f t="shared" si="28"/>
        <v>0</v>
      </c>
      <c r="CZ31" s="508">
        <f t="shared" si="28"/>
        <v>0</v>
      </c>
      <c r="DA31" s="508">
        <f t="shared" si="28"/>
        <v>0</v>
      </c>
      <c r="DB31" s="508">
        <f t="shared" si="28"/>
        <v>0</v>
      </c>
      <c r="DC31" s="508">
        <f t="shared" si="28"/>
        <v>0</v>
      </c>
      <c r="DD31" s="508">
        <f t="shared" si="28"/>
        <v>0</v>
      </c>
      <c r="DE31" s="508">
        <f t="shared" si="19"/>
        <v>0</v>
      </c>
      <c r="DF31" s="508">
        <f t="shared" si="19"/>
        <v>0</v>
      </c>
      <c r="DG31" s="508">
        <f t="shared" si="19"/>
        <v>0</v>
      </c>
      <c r="DH31" s="508">
        <f t="shared" si="19"/>
        <v>0</v>
      </c>
      <c r="DI31" s="508">
        <f t="shared" si="19"/>
        <v>0</v>
      </c>
      <c r="DJ31" s="508">
        <f t="shared" si="19"/>
        <v>0</v>
      </c>
      <c r="DK31" s="508">
        <f t="shared" si="19"/>
        <v>0</v>
      </c>
      <c r="DL31" s="508">
        <f t="shared" si="20"/>
        <v>0</v>
      </c>
      <c r="DM31" s="508">
        <f t="shared" si="20"/>
        <v>0</v>
      </c>
      <c r="DN31" s="508">
        <f t="shared" si="20"/>
        <v>0</v>
      </c>
      <c r="DO31" s="508">
        <f t="shared" si="20"/>
        <v>0</v>
      </c>
      <c r="DP31" s="508">
        <f t="shared" si="20"/>
        <v>0</v>
      </c>
      <c r="DQ31" s="508">
        <f t="shared" si="20"/>
        <v>0</v>
      </c>
      <c r="DR31" s="508">
        <f t="shared" si="20"/>
        <v>0</v>
      </c>
      <c r="DS31" s="508">
        <f t="shared" si="21"/>
        <v>0</v>
      </c>
      <c r="DT31" s="508">
        <f t="shared" si="21"/>
        <v>0</v>
      </c>
      <c r="DU31" s="508">
        <f t="shared" si="21"/>
        <v>0</v>
      </c>
      <c r="DV31" s="508">
        <f t="shared" si="21"/>
        <v>0</v>
      </c>
      <c r="DW31" s="508">
        <f t="shared" si="21"/>
        <v>0</v>
      </c>
      <c r="DX31" s="508">
        <f t="shared" si="21"/>
        <v>0</v>
      </c>
      <c r="DY31" s="508">
        <f t="shared" si="21"/>
        <v>0</v>
      </c>
      <c r="DZ31" s="511">
        <f t="shared" si="22"/>
        <v>0</v>
      </c>
      <c r="EA31" s="511">
        <f t="shared" si="22"/>
        <v>0</v>
      </c>
      <c r="EB31" s="511">
        <f t="shared" si="22"/>
        <v>0</v>
      </c>
      <c r="EC31" s="511">
        <f t="shared" si="22"/>
        <v>0</v>
      </c>
      <c r="ED31" s="511">
        <f t="shared" si="22"/>
        <v>0</v>
      </c>
      <c r="EE31" s="511">
        <f t="shared" si="22"/>
        <v>0</v>
      </c>
      <c r="EF31" s="511">
        <f t="shared" si="22"/>
        <v>0</v>
      </c>
      <c r="EG31" s="511">
        <f t="shared" si="23"/>
        <v>0</v>
      </c>
      <c r="EH31" s="511">
        <f t="shared" si="23"/>
        <v>0</v>
      </c>
      <c r="EI31" s="511">
        <f t="shared" si="23"/>
        <v>0</v>
      </c>
      <c r="EJ31" s="511">
        <f t="shared" si="23"/>
        <v>0</v>
      </c>
      <c r="EK31" s="511">
        <f t="shared" si="23"/>
        <v>0</v>
      </c>
      <c r="EL31" s="511">
        <f t="shared" si="23"/>
        <v>0</v>
      </c>
      <c r="EM31" s="511">
        <f t="shared" si="23"/>
        <v>0</v>
      </c>
      <c r="EN31" s="511">
        <f t="shared" si="24"/>
        <v>0</v>
      </c>
      <c r="EO31" s="511">
        <f t="shared" si="24"/>
        <v>0</v>
      </c>
      <c r="EP31" s="511">
        <f t="shared" si="24"/>
        <v>0</v>
      </c>
      <c r="EQ31" s="511">
        <f t="shared" si="24"/>
        <v>0</v>
      </c>
      <c r="ER31" s="511">
        <f t="shared" si="24"/>
        <v>0</v>
      </c>
      <c r="ES31" s="511">
        <f t="shared" si="24"/>
        <v>0</v>
      </c>
      <c r="ET31" s="511">
        <f t="shared" si="24"/>
        <v>0</v>
      </c>
      <c r="EU31" s="777">
        <f t="shared" si="29"/>
        <v>0</v>
      </c>
      <c r="EV31" s="728">
        <f t="shared" si="30"/>
        <v>0</v>
      </c>
      <c r="EW31" s="728">
        <f t="shared" si="31"/>
        <v>0</v>
      </c>
      <c r="EX31" s="728">
        <f t="shared" si="32"/>
        <v>0</v>
      </c>
      <c r="EY31" s="728">
        <f t="shared" si="33"/>
        <v>0</v>
      </c>
      <c r="EZ31" s="777">
        <f t="shared" si="34"/>
        <v>0</v>
      </c>
      <c r="FA31" s="777">
        <f t="shared" si="35"/>
        <v>0</v>
      </c>
      <c r="FB31" s="778">
        <f t="shared" si="36"/>
        <v>0</v>
      </c>
      <c r="FD31" s="10" t="b">
        <f t="shared" si="54"/>
        <v>1</v>
      </c>
      <c r="FE31" s="10" t="b">
        <f t="shared" si="54"/>
        <v>1</v>
      </c>
      <c r="FF31" s="10" t="b">
        <f t="shared" si="54"/>
        <v>1</v>
      </c>
      <c r="FG31" s="10" t="b">
        <f t="shared" si="54"/>
        <v>1</v>
      </c>
      <c r="FH31" s="10" t="b">
        <f t="shared" si="54"/>
        <v>1</v>
      </c>
      <c r="FI31" s="10" t="b">
        <f t="shared" si="54"/>
        <v>1</v>
      </c>
      <c r="FJ31" s="10" t="b">
        <f t="shared" si="54"/>
        <v>1</v>
      </c>
    </row>
    <row r="32" spans="1:169" s="10" customFormat="1" ht="12.75" hidden="1" customHeight="1">
      <c r="A32" s="662">
        <v>26</v>
      </c>
      <c r="B32" s="789" t="s">
        <v>2067</v>
      </c>
      <c r="C32" s="662" t="s">
        <v>2068</v>
      </c>
      <c r="D32" s="715" t="s">
        <v>2061</v>
      </c>
      <c r="E32" s="662" t="s">
        <v>331</v>
      </c>
      <c r="F32" s="704" t="s">
        <v>402</v>
      </c>
      <c r="G32" s="704">
        <v>6893.3159999999998</v>
      </c>
      <c r="H32" s="1237"/>
      <c r="I32" s="704">
        <f t="shared" si="2"/>
        <v>6893.3159999999998</v>
      </c>
      <c r="J32" s="704">
        <v>0</v>
      </c>
      <c r="K32" s="704">
        <f t="shared" si="43"/>
        <v>3446.6579999999999</v>
      </c>
      <c r="L32" s="711" t="s">
        <v>2069</v>
      </c>
      <c r="M32" s="707" t="s">
        <v>378</v>
      </c>
      <c r="N32" s="707">
        <f t="shared" si="48"/>
        <v>300</v>
      </c>
      <c r="O32" s="1237">
        <v>0</v>
      </c>
      <c r="P32" s="707">
        <v>0</v>
      </c>
      <c r="Q32" s="1022">
        <v>2962.0422247490405</v>
      </c>
      <c r="R32" s="872">
        <v>2.3877824868931818</v>
      </c>
      <c r="S32" s="1022">
        <v>0</v>
      </c>
      <c r="T32" s="711" t="s">
        <v>2063</v>
      </c>
      <c r="U32" s="712"/>
      <c r="V32" s="1124">
        <v>0</v>
      </c>
      <c r="W32" s="790"/>
      <c r="X32" s="790"/>
      <c r="Y32" s="790"/>
      <c r="Z32" s="790"/>
      <c r="AA32" s="790"/>
      <c r="AB32" s="790"/>
      <c r="AC32" s="781">
        <f t="shared" si="47"/>
        <v>0</v>
      </c>
      <c r="AD32" s="781">
        <f t="shared" si="46"/>
        <v>0</v>
      </c>
      <c r="AE32" s="781">
        <f t="shared" si="46"/>
        <v>0</v>
      </c>
      <c r="AF32" s="781">
        <f t="shared" si="46"/>
        <v>0</v>
      </c>
      <c r="AG32" s="781">
        <f t="shared" si="46"/>
        <v>0</v>
      </c>
      <c r="AH32" s="781">
        <f t="shared" si="55"/>
        <v>0</v>
      </c>
      <c r="AI32" s="781">
        <f t="shared" si="55"/>
        <v>0</v>
      </c>
      <c r="AJ32" s="711" t="s">
        <v>384</v>
      </c>
      <c r="AK32" s="711" t="s">
        <v>375</v>
      </c>
      <c r="AL32" s="711" t="s">
        <v>376</v>
      </c>
      <c r="AM32" s="711" t="s">
        <v>2064</v>
      </c>
      <c r="AN32" s="711" t="s">
        <v>1</v>
      </c>
      <c r="AO32" s="711" t="s">
        <v>2070</v>
      </c>
      <c r="AP32" s="711" t="s">
        <v>1702</v>
      </c>
      <c r="AQ32" s="711" t="s">
        <v>339</v>
      </c>
      <c r="AR32" s="715" t="s">
        <v>406</v>
      </c>
      <c r="AS32" s="715"/>
      <c r="AT32" s="715" t="s">
        <v>381</v>
      </c>
      <c r="AU32" s="711">
        <v>20</v>
      </c>
      <c r="AV32" s="711">
        <v>20</v>
      </c>
      <c r="AW32" s="711" t="s">
        <v>2071</v>
      </c>
      <c r="AX32" s="716">
        <v>1</v>
      </c>
      <c r="AY32" s="716">
        <v>1</v>
      </c>
      <c r="AZ32" s="716">
        <v>0</v>
      </c>
      <c r="BA32" s="499">
        <f t="shared" si="4"/>
        <v>6893.3159999999998</v>
      </c>
      <c r="BB32" s="499">
        <f t="shared" si="49"/>
        <v>6893.3159999999998</v>
      </c>
      <c r="BC32" s="499">
        <f t="shared" si="49"/>
        <v>6893.3159999999998</v>
      </c>
      <c r="BD32" s="499">
        <f t="shared" si="49"/>
        <v>6893.3159999999998</v>
      </c>
      <c r="BE32" s="499">
        <f t="shared" si="6"/>
        <v>6893.3159999999998</v>
      </c>
      <c r="BF32" s="499">
        <f t="shared" si="6"/>
        <v>6893.3159999999998</v>
      </c>
      <c r="BG32" s="499">
        <f t="shared" si="6"/>
        <v>6893.3159999999998</v>
      </c>
      <c r="BH32" s="499">
        <f t="shared" si="7"/>
        <v>0</v>
      </c>
      <c r="BI32" s="499">
        <f t="shared" si="50"/>
        <v>0</v>
      </c>
      <c r="BJ32" s="499">
        <f t="shared" si="50"/>
        <v>0</v>
      </c>
      <c r="BK32" s="499">
        <f t="shared" si="50"/>
        <v>0</v>
      </c>
      <c r="BL32" s="499">
        <f t="shared" si="50"/>
        <v>0</v>
      </c>
      <c r="BM32" s="499">
        <f t="shared" si="50"/>
        <v>0</v>
      </c>
      <c r="BN32" s="499">
        <f t="shared" si="50"/>
        <v>0</v>
      </c>
      <c r="BO32" s="499">
        <f t="shared" si="9"/>
        <v>300</v>
      </c>
      <c r="BP32" s="499">
        <f t="shared" si="56"/>
        <v>300</v>
      </c>
      <c r="BQ32" s="499">
        <f t="shared" si="56"/>
        <v>300</v>
      </c>
      <c r="BR32" s="499">
        <f t="shared" si="56"/>
        <v>300</v>
      </c>
      <c r="BS32" s="499">
        <f t="shared" si="56"/>
        <v>300</v>
      </c>
      <c r="BT32" s="499">
        <f t="shared" si="56"/>
        <v>300</v>
      </c>
      <c r="BU32" s="499">
        <f t="shared" si="56"/>
        <v>300</v>
      </c>
      <c r="BV32" s="503">
        <f t="shared" si="27"/>
        <v>0</v>
      </c>
      <c r="BW32" s="503">
        <f t="shared" si="27"/>
        <v>0</v>
      </c>
      <c r="BX32" s="503">
        <f t="shared" si="27"/>
        <v>0</v>
      </c>
      <c r="BY32" s="503">
        <f t="shared" si="27"/>
        <v>0</v>
      </c>
      <c r="BZ32" s="503">
        <f t="shared" si="27"/>
        <v>0</v>
      </c>
      <c r="CA32" s="503">
        <f t="shared" si="27"/>
        <v>0</v>
      </c>
      <c r="CB32" s="503">
        <f t="shared" si="27"/>
        <v>0</v>
      </c>
      <c r="CC32" s="511">
        <f t="shared" si="12"/>
        <v>2962.0422247490405</v>
      </c>
      <c r="CD32" s="511">
        <f t="shared" si="51"/>
        <v>2962.0422247490405</v>
      </c>
      <c r="CE32" s="511">
        <f t="shared" si="51"/>
        <v>2962.0422247490405</v>
      </c>
      <c r="CF32" s="511">
        <f t="shared" si="51"/>
        <v>2962.0422247490405</v>
      </c>
      <c r="CG32" s="511">
        <f t="shared" si="51"/>
        <v>2962.0422247490405</v>
      </c>
      <c r="CH32" s="511">
        <f t="shared" si="51"/>
        <v>2962.0422247490405</v>
      </c>
      <c r="CI32" s="511">
        <f t="shared" si="51"/>
        <v>2962.0422247490405</v>
      </c>
      <c r="CJ32" s="511">
        <f t="shared" si="14"/>
        <v>2.3877824868931818</v>
      </c>
      <c r="CK32" s="511">
        <f t="shared" si="52"/>
        <v>2.3877824868931818</v>
      </c>
      <c r="CL32" s="511">
        <f t="shared" si="52"/>
        <v>2.3877824868931818</v>
      </c>
      <c r="CM32" s="511">
        <f t="shared" si="52"/>
        <v>2.3877824868931818</v>
      </c>
      <c r="CN32" s="511">
        <f t="shared" si="52"/>
        <v>2.3877824868931818</v>
      </c>
      <c r="CO32" s="511">
        <f t="shared" si="52"/>
        <v>2.3877824868931818</v>
      </c>
      <c r="CP32" s="511">
        <f t="shared" si="52"/>
        <v>2.3877824868931818</v>
      </c>
      <c r="CQ32" s="511">
        <f t="shared" si="16"/>
        <v>0</v>
      </c>
      <c r="CR32" s="511">
        <f t="shared" si="53"/>
        <v>0</v>
      </c>
      <c r="CS32" s="511">
        <f t="shared" si="53"/>
        <v>0</v>
      </c>
      <c r="CT32" s="511">
        <f t="shared" si="53"/>
        <v>0</v>
      </c>
      <c r="CU32" s="511">
        <f t="shared" si="53"/>
        <v>0</v>
      </c>
      <c r="CV32" s="511">
        <f t="shared" si="53"/>
        <v>0</v>
      </c>
      <c r="CW32" s="511">
        <f t="shared" si="53"/>
        <v>0</v>
      </c>
      <c r="CX32" s="508">
        <f t="shared" si="28"/>
        <v>0</v>
      </c>
      <c r="CY32" s="508">
        <f t="shared" si="28"/>
        <v>0</v>
      </c>
      <c r="CZ32" s="508">
        <f t="shared" si="28"/>
        <v>0</v>
      </c>
      <c r="DA32" s="508">
        <f t="shared" si="28"/>
        <v>0</v>
      </c>
      <c r="DB32" s="508">
        <f t="shared" si="28"/>
        <v>0</v>
      </c>
      <c r="DC32" s="508">
        <f t="shared" si="28"/>
        <v>0</v>
      </c>
      <c r="DD32" s="508">
        <f t="shared" si="28"/>
        <v>0</v>
      </c>
      <c r="DE32" s="508">
        <f t="shared" si="19"/>
        <v>0</v>
      </c>
      <c r="DF32" s="508">
        <f t="shared" si="19"/>
        <v>0</v>
      </c>
      <c r="DG32" s="508">
        <f t="shared" si="19"/>
        <v>0</v>
      </c>
      <c r="DH32" s="508">
        <f t="shared" si="19"/>
        <v>0</v>
      </c>
      <c r="DI32" s="508">
        <f t="shared" si="19"/>
        <v>0</v>
      </c>
      <c r="DJ32" s="508">
        <f t="shared" si="19"/>
        <v>0</v>
      </c>
      <c r="DK32" s="508">
        <f t="shared" si="19"/>
        <v>0</v>
      </c>
      <c r="DL32" s="508">
        <f t="shared" si="20"/>
        <v>0</v>
      </c>
      <c r="DM32" s="508">
        <f t="shared" si="20"/>
        <v>0</v>
      </c>
      <c r="DN32" s="508">
        <f t="shared" si="20"/>
        <v>0</v>
      </c>
      <c r="DO32" s="508">
        <f t="shared" si="20"/>
        <v>0</v>
      </c>
      <c r="DP32" s="508">
        <f t="shared" si="20"/>
        <v>0</v>
      </c>
      <c r="DQ32" s="508">
        <f t="shared" si="20"/>
        <v>0</v>
      </c>
      <c r="DR32" s="508">
        <f t="shared" si="20"/>
        <v>0</v>
      </c>
      <c r="DS32" s="508">
        <f t="shared" si="21"/>
        <v>0</v>
      </c>
      <c r="DT32" s="508">
        <f t="shared" si="21"/>
        <v>0</v>
      </c>
      <c r="DU32" s="508">
        <f t="shared" si="21"/>
        <v>0</v>
      </c>
      <c r="DV32" s="508">
        <f t="shared" si="21"/>
        <v>0</v>
      </c>
      <c r="DW32" s="508">
        <f t="shared" si="21"/>
        <v>0</v>
      </c>
      <c r="DX32" s="508">
        <f t="shared" si="21"/>
        <v>0</v>
      </c>
      <c r="DY32" s="508">
        <f t="shared" si="21"/>
        <v>0</v>
      </c>
      <c r="DZ32" s="511">
        <f t="shared" si="22"/>
        <v>0</v>
      </c>
      <c r="EA32" s="511">
        <f t="shared" si="22"/>
        <v>0</v>
      </c>
      <c r="EB32" s="511">
        <f t="shared" si="22"/>
        <v>0</v>
      </c>
      <c r="EC32" s="511">
        <f t="shared" si="22"/>
        <v>0</v>
      </c>
      <c r="ED32" s="511">
        <f t="shared" si="22"/>
        <v>0</v>
      </c>
      <c r="EE32" s="511">
        <f t="shared" si="22"/>
        <v>0</v>
      </c>
      <c r="EF32" s="511">
        <f t="shared" si="22"/>
        <v>0</v>
      </c>
      <c r="EG32" s="511">
        <f t="shared" si="23"/>
        <v>0</v>
      </c>
      <c r="EH32" s="511">
        <f t="shared" si="23"/>
        <v>0</v>
      </c>
      <c r="EI32" s="511">
        <f t="shared" si="23"/>
        <v>0</v>
      </c>
      <c r="EJ32" s="511">
        <f t="shared" si="23"/>
        <v>0</v>
      </c>
      <c r="EK32" s="511">
        <f t="shared" si="23"/>
        <v>0</v>
      </c>
      <c r="EL32" s="511">
        <f t="shared" si="23"/>
        <v>0</v>
      </c>
      <c r="EM32" s="511">
        <f t="shared" si="23"/>
        <v>0</v>
      </c>
      <c r="EN32" s="511">
        <f t="shared" si="24"/>
        <v>0</v>
      </c>
      <c r="EO32" s="511">
        <f t="shared" si="24"/>
        <v>0</v>
      </c>
      <c r="EP32" s="511">
        <f t="shared" si="24"/>
        <v>0</v>
      </c>
      <c r="EQ32" s="511">
        <f t="shared" si="24"/>
        <v>0</v>
      </c>
      <c r="ER32" s="511">
        <f t="shared" si="24"/>
        <v>0</v>
      </c>
      <c r="ES32" s="511">
        <f t="shared" si="24"/>
        <v>0</v>
      </c>
      <c r="ET32" s="511">
        <f t="shared" si="24"/>
        <v>0</v>
      </c>
      <c r="EU32" s="777">
        <f t="shared" si="29"/>
        <v>0</v>
      </c>
      <c r="EV32" s="728">
        <f t="shared" si="30"/>
        <v>0</v>
      </c>
      <c r="EW32" s="728">
        <f t="shared" si="31"/>
        <v>0</v>
      </c>
      <c r="EX32" s="728">
        <f t="shared" si="32"/>
        <v>0</v>
      </c>
      <c r="EY32" s="728">
        <f t="shared" si="33"/>
        <v>0</v>
      </c>
      <c r="EZ32" s="777">
        <f t="shared" si="34"/>
        <v>0</v>
      </c>
      <c r="FA32" s="777">
        <f t="shared" si="35"/>
        <v>0</v>
      </c>
      <c r="FB32" s="778">
        <f t="shared" si="36"/>
        <v>0</v>
      </c>
      <c r="FD32" s="10" t="b">
        <f t="shared" si="54"/>
        <v>1</v>
      </c>
      <c r="FE32" s="10" t="b">
        <f t="shared" si="54"/>
        <v>1</v>
      </c>
      <c r="FF32" s="10" t="b">
        <f t="shared" si="54"/>
        <v>1</v>
      </c>
      <c r="FG32" s="10" t="b">
        <f t="shared" si="54"/>
        <v>1</v>
      </c>
      <c r="FH32" s="10" t="b">
        <f t="shared" si="54"/>
        <v>1</v>
      </c>
      <c r="FI32" s="10" t="b">
        <f t="shared" si="54"/>
        <v>1</v>
      </c>
      <c r="FJ32" s="10" t="b">
        <f t="shared" si="54"/>
        <v>1</v>
      </c>
    </row>
    <row r="33" spans="1:166" s="10" customFormat="1" ht="12.75" customHeight="1">
      <c r="A33" s="662">
        <v>27</v>
      </c>
      <c r="B33" s="789" t="s">
        <v>982</v>
      </c>
      <c r="C33" s="662" t="s">
        <v>931</v>
      </c>
      <c r="D33" s="715" t="s">
        <v>932</v>
      </c>
      <c r="E33" s="662" t="s">
        <v>331</v>
      </c>
      <c r="F33" s="704" t="s">
        <v>402</v>
      </c>
      <c r="G33" s="704">
        <v>4088.0155679999998</v>
      </c>
      <c r="H33" s="1237"/>
      <c r="I33" s="704">
        <f t="shared" si="2"/>
        <v>4088.0155679999998</v>
      </c>
      <c r="J33" s="704">
        <v>0</v>
      </c>
      <c r="K33" s="704">
        <f t="shared" si="43"/>
        <v>2044.0077839999999</v>
      </c>
      <c r="L33" s="711" t="s">
        <v>2072</v>
      </c>
      <c r="M33" s="707" t="s">
        <v>378</v>
      </c>
      <c r="N33" s="707">
        <f t="shared" si="48"/>
        <v>300</v>
      </c>
      <c r="O33" s="1237">
        <v>0</v>
      </c>
      <c r="P33" s="707">
        <v>0</v>
      </c>
      <c r="Q33" s="1022">
        <v>4172.3665824240761</v>
      </c>
      <c r="R33" s="872">
        <v>0</v>
      </c>
      <c r="S33" s="1022">
        <v>0</v>
      </c>
      <c r="T33" s="711" t="s">
        <v>2031</v>
      </c>
      <c r="U33" s="712"/>
      <c r="V33" s="1124">
        <v>0</v>
      </c>
      <c r="W33" s="790"/>
      <c r="X33" s="790"/>
      <c r="Y33" s="790"/>
      <c r="Z33" s="790"/>
      <c r="AA33" s="790"/>
      <c r="AB33" s="790"/>
      <c r="AC33" s="781">
        <f t="shared" si="47"/>
        <v>0</v>
      </c>
      <c r="AD33" s="781">
        <f t="shared" si="46"/>
        <v>0</v>
      </c>
      <c r="AE33" s="781">
        <f t="shared" si="46"/>
        <v>0</v>
      </c>
      <c r="AF33" s="781">
        <f t="shared" si="46"/>
        <v>0</v>
      </c>
      <c r="AG33" s="781">
        <f t="shared" si="46"/>
        <v>0</v>
      </c>
      <c r="AH33" s="781">
        <f t="shared" si="55"/>
        <v>0</v>
      </c>
      <c r="AI33" s="781">
        <f t="shared" si="55"/>
        <v>0</v>
      </c>
      <c r="AJ33" s="711" t="s">
        <v>384</v>
      </c>
      <c r="AK33" s="711" t="s">
        <v>375</v>
      </c>
      <c r="AL33" s="711" t="s">
        <v>376</v>
      </c>
      <c r="AM33" s="711" t="s">
        <v>2073</v>
      </c>
      <c r="AN33" s="711" t="s">
        <v>1</v>
      </c>
      <c r="AO33" s="711" t="s">
        <v>2074</v>
      </c>
      <c r="AP33" s="711" t="s">
        <v>1702</v>
      </c>
      <c r="AQ33" s="711" t="s">
        <v>339</v>
      </c>
      <c r="AR33" s="715" t="s">
        <v>406</v>
      </c>
      <c r="AS33" s="715"/>
      <c r="AT33" s="715" t="s">
        <v>381</v>
      </c>
      <c r="AU33" s="711">
        <v>15</v>
      </c>
      <c r="AV33" s="711">
        <v>15</v>
      </c>
      <c r="AW33" s="711" t="s">
        <v>2075</v>
      </c>
      <c r="AX33" s="716">
        <v>1</v>
      </c>
      <c r="AY33" s="716">
        <v>1</v>
      </c>
      <c r="AZ33" s="716">
        <v>0</v>
      </c>
      <c r="BA33" s="499">
        <f t="shared" si="4"/>
        <v>4088.0155679999998</v>
      </c>
      <c r="BB33" s="499">
        <f t="shared" si="49"/>
        <v>4088.0155679999998</v>
      </c>
      <c r="BC33" s="499">
        <f t="shared" si="49"/>
        <v>4088.0155679999998</v>
      </c>
      <c r="BD33" s="499">
        <f t="shared" si="49"/>
        <v>4088.0155679999998</v>
      </c>
      <c r="BE33" s="499">
        <f t="shared" si="6"/>
        <v>4088.0155679999998</v>
      </c>
      <c r="BF33" s="499">
        <f t="shared" si="6"/>
        <v>4088.0155679999998</v>
      </c>
      <c r="BG33" s="499">
        <f t="shared" si="6"/>
        <v>4088.0155679999998</v>
      </c>
      <c r="BH33" s="499">
        <f t="shared" si="7"/>
        <v>0</v>
      </c>
      <c r="BI33" s="499">
        <f t="shared" si="50"/>
        <v>0</v>
      </c>
      <c r="BJ33" s="499">
        <f t="shared" si="50"/>
        <v>0</v>
      </c>
      <c r="BK33" s="499">
        <f t="shared" si="50"/>
        <v>0</v>
      </c>
      <c r="BL33" s="499">
        <f t="shared" si="50"/>
        <v>0</v>
      </c>
      <c r="BM33" s="499">
        <f t="shared" si="50"/>
        <v>0</v>
      </c>
      <c r="BN33" s="499">
        <f t="shared" si="50"/>
        <v>0</v>
      </c>
      <c r="BO33" s="499">
        <f t="shared" si="9"/>
        <v>300</v>
      </c>
      <c r="BP33" s="499">
        <f t="shared" si="56"/>
        <v>300</v>
      </c>
      <c r="BQ33" s="499">
        <f t="shared" si="56"/>
        <v>300</v>
      </c>
      <c r="BR33" s="499">
        <f t="shared" si="56"/>
        <v>300</v>
      </c>
      <c r="BS33" s="499">
        <f t="shared" si="56"/>
        <v>300</v>
      </c>
      <c r="BT33" s="499">
        <f t="shared" si="56"/>
        <v>300</v>
      </c>
      <c r="BU33" s="499">
        <f t="shared" si="56"/>
        <v>300</v>
      </c>
      <c r="BV33" s="503">
        <f t="shared" si="27"/>
        <v>0</v>
      </c>
      <c r="BW33" s="503">
        <f t="shared" si="27"/>
        <v>0</v>
      </c>
      <c r="BX33" s="503">
        <f t="shared" si="27"/>
        <v>0</v>
      </c>
      <c r="BY33" s="503">
        <f t="shared" si="27"/>
        <v>0</v>
      </c>
      <c r="BZ33" s="503">
        <f t="shared" si="27"/>
        <v>0</v>
      </c>
      <c r="CA33" s="503">
        <f t="shared" si="27"/>
        <v>0</v>
      </c>
      <c r="CB33" s="503">
        <f t="shared" si="27"/>
        <v>0</v>
      </c>
      <c r="CC33" s="511">
        <f t="shared" si="12"/>
        <v>4172.3665824240761</v>
      </c>
      <c r="CD33" s="511">
        <f t="shared" si="51"/>
        <v>4172.3665824240761</v>
      </c>
      <c r="CE33" s="511">
        <f t="shared" si="51"/>
        <v>4172.3665824240761</v>
      </c>
      <c r="CF33" s="511">
        <f t="shared" si="51"/>
        <v>4172.3665824240761</v>
      </c>
      <c r="CG33" s="511">
        <f t="shared" si="51"/>
        <v>4172.3665824240761</v>
      </c>
      <c r="CH33" s="511">
        <f t="shared" si="51"/>
        <v>4172.3665824240761</v>
      </c>
      <c r="CI33" s="511">
        <f t="shared" si="51"/>
        <v>4172.3665824240761</v>
      </c>
      <c r="CJ33" s="511">
        <f t="shared" si="14"/>
        <v>0</v>
      </c>
      <c r="CK33" s="511">
        <f t="shared" si="52"/>
        <v>0</v>
      </c>
      <c r="CL33" s="511">
        <f t="shared" si="52"/>
        <v>0</v>
      </c>
      <c r="CM33" s="511">
        <f t="shared" si="52"/>
        <v>0</v>
      </c>
      <c r="CN33" s="511">
        <f t="shared" si="52"/>
        <v>0</v>
      </c>
      <c r="CO33" s="511">
        <f t="shared" si="52"/>
        <v>0</v>
      </c>
      <c r="CP33" s="511">
        <f t="shared" si="52"/>
        <v>0</v>
      </c>
      <c r="CQ33" s="511">
        <f t="shared" si="16"/>
        <v>0</v>
      </c>
      <c r="CR33" s="511">
        <f t="shared" si="53"/>
        <v>0</v>
      </c>
      <c r="CS33" s="511">
        <f t="shared" si="53"/>
        <v>0</v>
      </c>
      <c r="CT33" s="511">
        <f t="shared" si="53"/>
        <v>0</v>
      </c>
      <c r="CU33" s="511">
        <f t="shared" si="53"/>
        <v>0</v>
      </c>
      <c r="CV33" s="511">
        <f t="shared" si="53"/>
        <v>0</v>
      </c>
      <c r="CW33" s="511">
        <f t="shared" si="53"/>
        <v>0</v>
      </c>
      <c r="CX33" s="508">
        <f t="shared" si="28"/>
        <v>0</v>
      </c>
      <c r="CY33" s="508">
        <f t="shared" si="28"/>
        <v>0</v>
      </c>
      <c r="CZ33" s="508">
        <f t="shared" si="28"/>
        <v>0</v>
      </c>
      <c r="DA33" s="508">
        <f t="shared" si="28"/>
        <v>0</v>
      </c>
      <c r="DB33" s="508">
        <f t="shared" si="28"/>
        <v>0</v>
      </c>
      <c r="DC33" s="508">
        <f t="shared" si="28"/>
        <v>0</v>
      </c>
      <c r="DD33" s="508">
        <f t="shared" si="28"/>
        <v>0</v>
      </c>
      <c r="DE33" s="508">
        <f t="shared" si="19"/>
        <v>0</v>
      </c>
      <c r="DF33" s="508">
        <f t="shared" si="19"/>
        <v>0</v>
      </c>
      <c r="DG33" s="508">
        <f t="shared" si="19"/>
        <v>0</v>
      </c>
      <c r="DH33" s="508">
        <f t="shared" si="19"/>
        <v>0</v>
      </c>
      <c r="DI33" s="508">
        <f t="shared" si="19"/>
        <v>0</v>
      </c>
      <c r="DJ33" s="508">
        <f t="shared" si="19"/>
        <v>0</v>
      </c>
      <c r="DK33" s="508">
        <f t="shared" si="19"/>
        <v>0</v>
      </c>
      <c r="DL33" s="508">
        <f t="shared" si="20"/>
        <v>0</v>
      </c>
      <c r="DM33" s="508">
        <f t="shared" si="20"/>
        <v>0</v>
      </c>
      <c r="DN33" s="508">
        <f t="shared" si="20"/>
        <v>0</v>
      </c>
      <c r="DO33" s="508">
        <f t="shared" si="20"/>
        <v>0</v>
      </c>
      <c r="DP33" s="508">
        <f t="shared" si="20"/>
        <v>0</v>
      </c>
      <c r="DQ33" s="508">
        <f t="shared" si="20"/>
        <v>0</v>
      </c>
      <c r="DR33" s="508">
        <f t="shared" si="20"/>
        <v>0</v>
      </c>
      <c r="DS33" s="508">
        <f t="shared" si="21"/>
        <v>0</v>
      </c>
      <c r="DT33" s="508">
        <f t="shared" si="21"/>
        <v>0</v>
      </c>
      <c r="DU33" s="508">
        <f t="shared" si="21"/>
        <v>0</v>
      </c>
      <c r="DV33" s="508">
        <f t="shared" si="21"/>
        <v>0</v>
      </c>
      <c r="DW33" s="508">
        <f t="shared" si="21"/>
        <v>0</v>
      </c>
      <c r="DX33" s="508">
        <f t="shared" si="21"/>
        <v>0</v>
      </c>
      <c r="DY33" s="508">
        <f t="shared" si="21"/>
        <v>0</v>
      </c>
      <c r="DZ33" s="511">
        <f t="shared" si="22"/>
        <v>0</v>
      </c>
      <c r="EA33" s="511">
        <f t="shared" si="22"/>
        <v>0</v>
      </c>
      <c r="EB33" s="511">
        <f t="shared" si="22"/>
        <v>0</v>
      </c>
      <c r="EC33" s="511">
        <f t="shared" si="22"/>
        <v>0</v>
      </c>
      <c r="ED33" s="511">
        <f t="shared" si="22"/>
        <v>0</v>
      </c>
      <c r="EE33" s="511">
        <f t="shared" si="22"/>
        <v>0</v>
      </c>
      <c r="EF33" s="511">
        <f t="shared" si="22"/>
        <v>0</v>
      </c>
      <c r="EG33" s="511">
        <f t="shared" si="23"/>
        <v>0</v>
      </c>
      <c r="EH33" s="511">
        <f t="shared" si="23"/>
        <v>0</v>
      </c>
      <c r="EI33" s="511">
        <f t="shared" si="23"/>
        <v>0</v>
      </c>
      <c r="EJ33" s="511">
        <f t="shared" si="23"/>
        <v>0</v>
      </c>
      <c r="EK33" s="511">
        <f t="shared" si="23"/>
        <v>0</v>
      </c>
      <c r="EL33" s="511">
        <f t="shared" si="23"/>
        <v>0</v>
      </c>
      <c r="EM33" s="511">
        <f t="shared" si="23"/>
        <v>0</v>
      </c>
      <c r="EN33" s="511">
        <f t="shared" si="24"/>
        <v>0</v>
      </c>
      <c r="EO33" s="511">
        <f t="shared" si="24"/>
        <v>0</v>
      </c>
      <c r="EP33" s="511">
        <f t="shared" si="24"/>
        <v>0</v>
      </c>
      <c r="EQ33" s="511">
        <f t="shared" si="24"/>
        <v>0</v>
      </c>
      <c r="ER33" s="511">
        <f t="shared" si="24"/>
        <v>0</v>
      </c>
      <c r="ES33" s="511">
        <f t="shared" si="24"/>
        <v>0</v>
      </c>
      <c r="ET33" s="511">
        <f t="shared" si="24"/>
        <v>0</v>
      </c>
      <c r="EU33" s="777">
        <f t="shared" si="29"/>
        <v>0</v>
      </c>
      <c r="EV33" s="728">
        <f t="shared" si="30"/>
        <v>0</v>
      </c>
      <c r="EW33" s="728">
        <f t="shared" si="31"/>
        <v>0</v>
      </c>
      <c r="EX33" s="728">
        <f t="shared" si="32"/>
        <v>0</v>
      </c>
      <c r="EY33" s="728">
        <f t="shared" si="33"/>
        <v>0</v>
      </c>
      <c r="EZ33" s="777">
        <f t="shared" si="34"/>
        <v>0</v>
      </c>
      <c r="FA33" s="777">
        <f t="shared" si="35"/>
        <v>0</v>
      </c>
      <c r="FB33" s="778">
        <f t="shared" si="36"/>
        <v>0</v>
      </c>
      <c r="FD33" s="10" t="b">
        <f t="shared" si="54"/>
        <v>1</v>
      </c>
      <c r="FE33" s="10" t="b">
        <f t="shared" si="54"/>
        <v>1</v>
      </c>
      <c r="FF33" s="10" t="b">
        <f t="shared" si="54"/>
        <v>1</v>
      </c>
      <c r="FG33" s="10" t="b">
        <f t="shared" si="54"/>
        <v>1</v>
      </c>
      <c r="FH33" s="10" t="b">
        <f t="shared" si="54"/>
        <v>1</v>
      </c>
      <c r="FI33" s="10" t="b">
        <f t="shared" si="54"/>
        <v>1</v>
      </c>
      <c r="FJ33" s="10" t="b">
        <f t="shared" si="54"/>
        <v>1</v>
      </c>
    </row>
    <row r="34" spans="1:166" s="10" customFormat="1" ht="12.75" hidden="1" customHeight="1">
      <c r="A34" s="662">
        <v>28</v>
      </c>
      <c r="B34" s="789" t="s">
        <v>986</v>
      </c>
      <c r="C34" s="662" t="s">
        <v>934</v>
      </c>
      <c r="D34" s="715" t="s">
        <v>935</v>
      </c>
      <c r="E34" s="662" t="s">
        <v>331</v>
      </c>
      <c r="F34" s="704" t="s">
        <v>402</v>
      </c>
      <c r="G34" s="704">
        <v>2547.6200000000008</v>
      </c>
      <c r="H34" s="1237"/>
      <c r="I34" s="704">
        <f t="shared" si="2"/>
        <v>2547.6200000000008</v>
      </c>
      <c r="J34" s="704">
        <v>0</v>
      </c>
      <c r="K34" s="704">
        <f t="shared" si="43"/>
        <v>1273.8100000000004</v>
      </c>
      <c r="L34" s="711" t="s">
        <v>2076</v>
      </c>
      <c r="M34" s="707" t="s">
        <v>378</v>
      </c>
      <c r="N34" s="707">
        <f t="shared" si="48"/>
        <v>300</v>
      </c>
      <c r="O34" s="1237">
        <v>0</v>
      </c>
      <c r="P34" s="707">
        <v>0</v>
      </c>
      <c r="Q34" s="1022">
        <v>0</v>
      </c>
      <c r="R34" s="872">
        <v>0</v>
      </c>
      <c r="S34" s="1022">
        <v>63.564077474565465</v>
      </c>
      <c r="T34" s="711" t="s">
        <v>2031</v>
      </c>
      <c r="U34" s="712"/>
      <c r="V34" s="1124">
        <v>0</v>
      </c>
      <c r="W34" s="790"/>
      <c r="X34" s="790"/>
      <c r="Y34" s="790"/>
      <c r="Z34" s="790"/>
      <c r="AA34" s="790"/>
      <c r="AB34" s="790"/>
      <c r="AC34" s="781">
        <f t="shared" si="47"/>
        <v>0</v>
      </c>
      <c r="AD34" s="781">
        <f t="shared" si="46"/>
        <v>0</v>
      </c>
      <c r="AE34" s="781">
        <f t="shared" si="46"/>
        <v>0</v>
      </c>
      <c r="AF34" s="781">
        <f t="shared" si="46"/>
        <v>0</v>
      </c>
      <c r="AG34" s="781">
        <f t="shared" si="46"/>
        <v>0</v>
      </c>
      <c r="AH34" s="781">
        <f t="shared" si="55"/>
        <v>0</v>
      </c>
      <c r="AI34" s="781">
        <f t="shared" si="55"/>
        <v>0</v>
      </c>
      <c r="AJ34" s="711" t="s">
        <v>2013</v>
      </c>
      <c r="AK34" s="711" t="s">
        <v>375</v>
      </c>
      <c r="AL34" s="711" t="s">
        <v>376</v>
      </c>
      <c r="AM34" s="711" t="s">
        <v>2077</v>
      </c>
      <c r="AN34" s="711" t="s">
        <v>1</v>
      </c>
      <c r="AO34" s="711" t="s">
        <v>2078</v>
      </c>
      <c r="AP34" s="711" t="s">
        <v>934</v>
      </c>
      <c r="AQ34" s="711" t="s">
        <v>935</v>
      </c>
      <c r="AR34" s="715" t="s">
        <v>1944</v>
      </c>
      <c r="AS34" s="715" t="s">
        <v>407</v>
      </c>
      <c r="AT34" s="715" t="s">
        <v>381</v>
      </c>
      <c r="AU34" s="711">
        <v>20</v>
      </c>
      <c r="AV34" s="711">
        <v>20</v>
      </c>
      <c r="AW34" s="711" t="s">
        <v>2079</v>
      </c>
      <c r="AX34" s="716">
        <v>1</v>
      </c>
      <c r="AY34" s="716">
        <v>0</v>
      </c>
      <c r="AZ34" s="716">
        <v>1</v>
      </c>
      <c r="BA34" s="499">
        <f t="shared" si="4"/>
        <v>2547.6200000000008</v>
      </c>
      <c r="BB34" s="499">
        <f t="shared" si="49"/>
        <v>2547.6200000000008</v>
      </c>
      <c r="BC34" s="499">
        <f t="shared" si="49"/>
        <v>2547.6200000000008</v>
      </c>
      <c r="BD34" s="499">
        <f t="shared" si="49"/>
        <v>2547.6200000000008</v>
      </c>
      <c r="BE34" s="499">
        <f t="shared" si="6"/>
        <v>2547.6200000000008</v>
      </c>
      <c r="BF34" s="499">
        <f t="shared" si="6"/>
        <v>2547.6200000000008</v>
      </c>
      <c r="BG34" s="499">
        <f t="shared" si="6"/>
        <v>2547.6200000000008</v>
      </c>
      <c r="BH34" s="499">
        <f t="shared" si="7"/>
        <v>0</v>
      </c>
      <c r="BI34" s="499">
        <f t="shared" si="50"/>
        <v>0</v>
      </c>
      <c r="BJ34" s="499">
        <f t="shared" si="50"/>
        <v>0</v>
      </c>
      <c r="BK34" s="499">
        <f t="shared" si="50"/>
        <v>0</v>
      </c>
      <c r="BL34" s="499">
        <f t="shared" si="50"/>
        <v>0</v>
      </c>
      <c r="BM34" s="499">
        <f t="shared" si="50"/>
        <v>0</v>
      </c>
      <c r="BN34" s="499">
        <f t="shared" si="50"/>
        <v>0</v>
      </c>
      <c r="BO34" s="499">
        <f t="shared" si="9"/>
        <v>300</v>
      </c>
      <c r="BP34" s="499">
        <f t="shared" si="56"/>
        <v>300</v>
      </c>
      <c r="BQ34" s="499">
        <f t="shared" si="56"/>
        <v>300</v>
      </c>
      <c r="BR34" s="499">
        <f t="shared" si="56"/>
        <v>300</v>
      </c>
      <c r="BS34" s="499">
        <f t="shared" si="56"/>
        <v>300</v>
      </c>
      <c r="BT34" s="499">
        <f t="shared" si="56"/>
        <v>300</v>
      </c>
      <c r="BU34" s="499">
        <f t="shared" si="56"/>
        <v>300</v>
      </c>
      <c r="BV34" s="503">
        <f t="shared" si="27"/>
        <v>0</v>
      </c>
      <c r="BW34" s="503">
        <f t="shared" si="27"/>
        <v>0</v>
      </c>
      <c r="BX34" s="503">
        <f t="shared" si="27"/>
        <v>0</v>
      </c>
      <c r="BY34" s="503">
        <f t="shared" si="27"/>
        <v>0</v>
      </c>
      <c r="BZ34" s="503">
        <f t="shared" si="27"/>
        <v>0</v>
      </c>
      <c r="CA34" s="503">
        <f t="shared" si="27"/>
        <v>0</v>
      </c>
      <c r="CB34" s="503">
        <f t="shared" si="27"/>
        <v>0</v>
      </c>
      <c r="CC34" s="511">
        <f t="shared" si="12"/>
        <v>0</v>
      </c>
      <c r="CD34" s="511">
        <f t="shared" si="51"/>
        <v>0</v>
      </c>
      <c r="CE34" s="511">
        <f t="shared" si="51"/>
        <v>0</v>
      </c>
      <c r="CF34" s="511">
        <f t="shared" si="51"/>
        <v>0</v>
      </c>
      <c r="CG34" s="511">
        <f t="shared" si="51"/>
        <v>0</v>
      </c>
      <c r="CH34" s="511">
        <f t="shared" si="51"/>
        <v>0</v>
      </c>
      <c r="CI34" s="511">
        <f t="shared" si="51"/>
        <v>0</v>
      </c>
      <c r="CJ34" s="511">
        <f t="shared" si="14"/>
        <v>0</v>
      </c>
      <c r="CK34" s="511">
        <f t="shared" si="52"/>
        <v>0</v>
      </c>
      <c r="CL34" s="511">
        <f t="shared" si="52"/>
        <v>0</v>
      </c>
      <c r="CM34" s="511">
        <f t="shared" si="52"/>
        <v>0</v>
      </c>
      <c r="CN34" s="511">
        <f t="shared" si="52"/>
        <v>0</v>
      </c>
      <c r="CO34" s="511">
        <f t="shared" si="52"/>
        <v>0</v>
      </c>
      <c r="CP34" s="511">
        <f t="shared" si="52"/>
        <v>0</v>
      </c>
      <c r="CQ34" s="511">
        <f t="shared" si="16"/>
        <v>63.564077474565465</v>
      </c>
      <c r="CR34" s="511">
        <f t="shared" si="53"/>
        <v>63.564077474565465</v>
      </c>
      <c r="CS34" s="511">
        <f t="shared" si="53"/>
        <v>63.564077474565465</v>
      </c>
      <c r="CT34" s="511">
        <f t="shared" si="53"/>
        <v>63.564077474565465</v>
      </c>
      <c r="CU34" s="511">
        <f t="shared" si="53"/>
        <v>63.564077474565465</v>
      </c>
      <c r="CV34" s="511">
        <f t="shared" si="53"/>
        <v>63.564077474565465</v>
      </c>
      <c r="CW34" s="511">
        <f t="shared" si="53"/>
        <v>63.564077474565465</v>
      </c>
      <c r="CX34" s="508">
        <f t="shared" si="28"/>
        <v>0</v>
      </c>
      <c r="CY34" s="508">
        <f t="shared" si="28"/>
        <v>0</v>
      </c>
      <c r="CZ34" s="508">
        <f t="shared" si="28"/>
        <v>0</v>
      </c>
      <c r="DA34" s="508">
        <f t="shared" si="28"/>
        <v>0</v>
      </c>
      <c r="DB34" s="508">
        <f t="shared" si="28"/>
        <v>0</v>
      </c>
      <c r="DC34" s="508">
        <f t="shared" si="28"/>
        <v>0</v>
      </c>
      <c r="DD34" s="508">
        <f t="shared" si="28"/>
        <v>0</v>
      </c>
      <c r="DE34" s="508">
        <f t="shared" si="19"/>
        <v>0</v>
      </c>
      <c r="DF34" s="508">
        <f t="shared" si="19"/>
        <v>0</v>
      </c>
      <c r="DG34" s="508">
        <f t="shared" si="19"/>
        <v>0</v>
      </c>
      <c r="DH34" s="508">
        <f t="shared" si="19"/>
        <v>0</v>
      </c>
      <c r="DI34" s="508">
        <f t="shared" si="19"/>
        <v>0</v>
      </c>
      <c r="DJ34" s="508">
        <f t="shared" si="19"/>
        <v>0</v>
      </c>
      <c r="DK34" s="508">
        <f t="shared" si="19"/>
        <v>0</v>
      </c>
      <c r="DL34" s="508">
        <f t="shared" si="20"/>
        <v>0</v>
      </c>
      <c r="DM34" s="508">
        <f t="shared" si="20"/>
        <v>0</v>
      </c>
      <c r="DN34" s="508">
        <f t="shared" si="20"/>
        <v>0</v>
      </c>
      <c r="DO34" s="508">
        <f t="shared" si="20"/>
        <v>0</v>
      </c>
      <c r="DP34" s="508">
        <f t="shared" si="20"/>
        <v>0</v>
      </c>
      <c r="DQ34" s="508">
        <f t="shared" si="20"/>
        <v>0</v>
      </c>
      <c r="DR34" s="508">
        <f t="shared" si="20"/>
        <v>0</v>
      </c>
      <c r="DS34" s="508">
        <f t="shared" si="21"/>
        <v>0</v>
      </c>
      <c r="DT34" s="508">
        <f t="shared" si="21"/>
        <v>0</v>
      </c>
      <c r="DU34" s="508">
        <f t="shared" si="21"/>
        <v>0</v>
      </c>
      <c r="DV34" s="508">
        <f t="shared" si="21"/>
        <v>0</v>
      </c>
      <c r="DW34" s="508">
        <f t="shared" si="21"/>
        <v>0</v>
      </c>
      <c r="DX34" s="508">
        <f t="shared" si="21"/>
        <v>0</v>
      </c>
      <c r="DY34" s="508">
        <f t="shared" si="21"/>
        <v>0</v>
      </c>
      <c r="DZ34" s="511">
        <f t="shared" si="22"/>
        <v>0</v>
      </c>
      <c r="EA34" s="511">
        <f t="shared" si="22"/>
        <v>0</v>
      </c>
      <c r="EB34" s="511">
        <f t="shared" si="22"/>
        <v>0</v>
      </c>
      <c r="EC34" s="511">
        <f t="shared" si="22"/>
        <v>0</v>
      </c>
      <c r="ED34" s="511">
        <f t="shared" si="22"/>
        <v>0</v>
      </c>
      <c r="EE34" s="511">
        <f t="shared" si="22"/>
        <v>0</v>
      </c>
      <c r="EF34" s="511">
        <f t="shared" si="22"/>
        <v>0</v>
      </c>
      <c r="EG34" s="511">
        <f t="shared" si="23"/>
        <v>0</v>
      </c>
      <c r="EH34" s="511">
        <f t="shared" si="23"/>
        <v>0</v>
      </c>
      <c r="EI34" s="511">
        <f t="shared" si="23"/>
        <v>0</v>
      </c>
      <c r="EJ34" s="511">
        <f t="shared" si="23"/>
        <v>0</v>
      </c>
      <c r="EK34" s="511">
        <f t="shared" si="23"/>
        <v>0</v>
      </c>
      <c r="EL34" s="511">
        <f t="shared" si="23"/>
        <v>0</v>
      </c>
      <c r="EM34" s="511">
        <f t="shared" si="23"/>
        <v>0</v>
      </c>
      <c r="EN34" s="511">
        <f t="shared" si="24"/>
        <v>0</v>
      </c>
      <c r="EO34" s="511">
        <f t="shared" si="24"/>
        <v>0</v>
      </c>
      <c r="EP34" s="511">
        <f t="shared" si="24"/>
        <v>0</v>
      </c>
      <c r="EQ34" s="511">
        <f t="shared" si="24"/>
        <v>0</v>
      </c>
      <c r="ER34" s="511">
        <f t="shared" si="24"/>
        <v>0</v>
      </c>
      <c r="ES34" s="511">
        <f t="shared" si="24"/>
        <v>0</v>
      </c>
      <c r="ET34" s="511">
        <f t="shared" si="24"/>
        <v>0</v>
      </c>
      <c r="EU34" s="777">
        <f t="shared" si="29"/>
        <v>0</v>
      </c>
      <c r="EV34" s="728">
        <f t="shared" si="30"/>
        <v>0</v>
      </c>
      <c r="EW34" s="728">
        <f t="shared" si="31"/>
        <v>0</v>
      </c>
      <c r="EX34" s="728">
        <f t="shared" si="32"/>
        <v>0</v>
      </c>
      <c r="EY34" s="728">
        <f t="shared" si="33"/>
        <v>0</v>
      </c>
      <c r="EZ34" s="777">
        <f t="shared" si="34"/>
        <v>0</v>
      </c>
      <c r="FA34" s="777">
        <f t="shared" si="35"/>
        <v>0</v>
      </c>
      <c r="FB34" s="778">
        <f t="shared" si="36"/>
        <v>0</v>
      </c>
      <c r="FD34" s="10" t="b">
        <f t="shared" si="54"/>
        <v>1</v>
      </c>
      <c r="FE34" s="10" t="b">
        <f t="shared" si="54"/>
        <v>1</v>
      </c>
      <c r="FF34" s="10" t="b">
        <f t="shared" si="54"/>
        <v>1</v>
      </c>
      <c r="FG34" s="10" t="b">
        <f t="shared" si="54"/>
        <v>1</v>
      </c>
      <c r="FH34" s="10" t="b">
        <f t="shared" si="54"/>
        <v>1</v>
      </c>
      <c r="FI34" s="10" t="b">
        <f t="shared" si="54"/>
        <v>1</v>
      </c>
      <c r="FJ34" s="10" t="b">
        <f t="shared" si="54"/>
        <v>1</v>
      </c>
    </row>
    <row r="35" spans="1:166" s="10" customFormat="1" ht="12.75" hidden="1" customHeight="1">
      <c r="A35" s="662">
        <v>29</v>
      </c>
      <c r="B35" s="789" t="s">
        <v>990</v>
      </c>
      <c r="C35" s="662" t="s">
        <v>2080</v>
      </c>
      <c r="D35" s="715" t="s">
        <v>938</v>
      </c>
      <c r="E35" s="662" t="s">
        <v>331</v>
      </c>
      <c r="F35" s="704" t="s">
        <v>402</v>
      </c>
      <c r="G35" s="704">
        <v>344.28999999999996</v>
      </c>
      <c r="H35" s="1237"/>
      <c r="I35" s="704">
        <f t="shared" si="2"/>
        <v>344.28999999999996</v>
      </c>
      <c r="J35" s="704">
        <v>0</v>
      </c>
      <c r="K35" s="704">
        <f t="shared" si="43"/>
        <v>172.14499999999998</v>
      </c>
      <c r="L35" s="711" t="s">
        <v>2081</v>
      </c>
      <c r="M35" s="707" t="s">
        <v>378</v>
      </c>
      <c r="N35" s="707">
        <f t="shared" si="48"/>
        <v>170</v>
      </c>
      <c r="O35" s="1237">
        <v>0</v>
      </c>
      <c r="P35" s="707">
        <v>0</v>
      </c>
      <c r="Q35" s="1022">
        <v>0</v>
      </c>
      <c r="R35" s="872">
        <v>0</v>
      </c>
      <c r="S35" s="1022">
        <v>60.283976832989254</v>
      </c>
      <c r="T35" s="711" t="s">
        <v>2040</v>
      </c>
      <c r="U35" s="712"/>
      <c r="V35" s="1124">
        <v>2.3803856224708403E-4</v>
      </c>
      <c r="W35" s="790"/>
      <c r="X35" s="790"/>
      <c r="Y35" s="790"/>
      <c r="Z35" s="790"/>
      <c r="AA35" s="790"/>
      <c r="AB35" s="790"/>
      <c r="AC35" s="781">
        <f t="shared" si="47"/>
        <v>0</v>
      </c>
      <c r="AD35" s="781">
        <f t="shared" si="46"/>
        <v>0</v>
      </c>
      <c r="AE35" s="781">
        <f t="shared" si="46"/>
        <v>0</v>
      </c>
      <c r="AF35" s="781">
        <f t="shared" si="46"/>
        <v>0</v>
      </c>
      <c r="AG35" s="781">
        <f t="shared" si="46"/>
        <v>0</v>
      </c>
      <c r="AH35" s="781">
        <f t="shared" si="55"/>
        <v>0</v>
      </c>
      <c r="AI35" s="781">
        <f t="shared" si="55"/>
        <v>0</v>
      </c>
      <c r="AJ35" s="711" t="s">
        <v>2013</v>
      </c>
      <c r="AK35" s="711" t="s">
        <v>375</v>
      </c>
      <c r="AL35" s="711" t="s">
        <v>376</v>
      </c>
      <c r="AM35" s="711" t="s">
        <v>2082</v>
      </c>
      <c r="AN35" s="711" t="s">
        <v>1</v>
      </c>
      <c r="AO35" s="711" t="s">
        <v>2083</v>
      </c>
      <c r="AP35" s="711" t="s">
        <v>2080</v>
      </c>
      <c r="AQ35" s="711" t="s">
        <v>938</v>
      </c>
      <c r="AR35" s="715" t="s">
        <v>1944</v>
      </c>
      <c r="AS35" s="715" t="s">
        <v>407</v>
      </c>
      <c r="AT35" s="715" t="s">
        <v>381</v>
      </c>
      <c r="AU35" s="711">
        <v>20</v>
      </c>
      <c r="AV35" s="711">
        <v>20</v>
      </c>
      <c r="AW35" s="711" t="s">
        <v>2084</v>
      </c>
      <c r="AX35" s="716">
        <v>1</v>
      </c>
      <c r="AY35" s="716">
        <v>0</v>
      </c>
      <c r="AZ35" s="716">
        <v>1</v>
      </c>
      <c r="BA35" s="499">
        <f t="shared" si="4"/>
        <v>344.28999999999996</v>
      </c>
      <c r="BB35" s="499">
        <f t="shared" si="49"/>
        <v>344.28999999999996</v>
      </c>
      <c r="BC35" s="499">
        <f t="shared" si="49"/>
        <v>344.28999999999996</v>
      </c>
      <c r="BD35" s="499">
        <f t="shared" si="49"/>
        <v>344.28999999999996</v>
      </c>
      <c r="BE35" s="499">
        <f t="shared" si="6"/>
        <v>344.28999999999996</v>
      </c>
      <c r="BF35" s="499">
        <f t="shared" si="6"/>
        <v>344.28999999999996</v>
      </c>
      <c r="BG35" s="499">
        <f t="shared" si="6"/>
        <v>344.28999999999996</v>
      </c>
      <c r="BH35" s="499">
        <f t="shared" si="7"/>
        <v>0</v>
      </c>
      <c r="BI35" s="499">
        <f t="shared" si="50"/>
        <v>0</v>
      </c>
      <c r="BJ35" s="499">
        <f t="shared" si="50"/>
        <v>0</v>
      </c>
      <c r="BK35" s="499">
        <f t="shared" si="50"/>
        <v>0</v>
      </c>
      <c r="BL35" s="499">
        <f t="shared" si="50"/>
        <v>0</v>
      </c>
      <c r="BM35" s="499">
        <f t="shared" si="50"/>
        <v>0</v>
      </c>
      <c r="BN35" s="499">
        <f t="shared" si="50"/>
        <v>0</v>
      </c>
      <c r="BO35" s="499">
        <f t="shared" si="9"/>
        <v>170</v>
      </c>
      <c r="BP35" s="499">
        <f t="shared" si="56"/>
        <v>170</v>
      </c>
      <c r="BQ35" s="499">
        <f t="shared" si="56"/>
        <v>170</v>
      </c>
      <c r="BR35" s="499">
        <f t="shared" si="56"/>
        <v>170</v>
      </c>
      <c r="BS35" s="499">
        <f t="shared" si="56"/>
        <v>170</v>
      </c>
      <c r="BT35" s="499">
        <f t="shared" si="56"/>
        <v>170</v>
      </c>
      <c r="BU35" s="499">
        <f t="shared" si="56"/>
        <v>170</v>
      </c>
      <c r="BV35" s="503">
        <f t="shared" si="27"/>
        <v>0</v>
      </c>
      <c r="BW35" s="503">
        <f t="shared" si="27"/>
        <v>0</v>
      </c>
      <c r="BX35" s="503">
        <f t="shared" si="27"/>
        <v>0</v>
      </c>
      <c r="BY35" s="503">
        <f t="shared" si="27"/>
        <v>0</v>
      </c>
      <c r="BZ35" s="503">
        <f t="shared" si="27"/>
        <v>0</v>
      </c>
      <c r="CA35" s="503">
        <f t="shared" si="27"/>
        <v>0</v>
      </c>
      <c r="CB35" s="503">
        <f t="shared" si="27"/>
        <v>0</v>
      </c>
      <c r="CC35" s="511">
        <f t="shared" si="12"/>
        <v>0</v>
      </c>
      <c r="CD35" s="511">
        <f t="shared" si="51"/>
        <v>0</v>
      </c>
      <c r="CE35" s="511">
        <f t="shared" si="51"/>
        <v>0</v>
      </c>
      <c r="CF35" s="511">
        <f t="shared" si="51"/>
        <v>0</v>
      </c>
      <c r="CG35" s="511">
        <f t="shared" si="51"/>
        <v>0</v>
      </c>
      <c r="CH35" s="511">
        <f t="shared" si="51"/>
        <v>0</v>
      </c>
      <c r="CI35" s="511">
        <f t="shared" si="51"/>
        <v>0</v>
      </c>
      <c r="CJ35" s="511">
        <f t="shared" si="14"/>
        <v>0</v>
      </c>
      <c r="CK35" s="511">
        <f t="shared" si="52"/>
        <v>0</v>
      </c>
      <c r="CL35" s="511">
        <f t="shared" si="52"/>
        <v>0</v>
      </c>
      <c r="CM35" s="511">
        <f t="shared" si="52"/>
        <v>0</v>
      </c>
      <c r="CN35" s="511">
        <f t="shared" si="52"/>
        <v>0</v>
      </c>
      <c r="CO35" s="511">
        <f t="shared" si="52"/>
        <v>0</v>
      </c>
      <c r="CP35" s="511">
        <f t="shared" si="52"/>
        <v>0</v>
      </c>
      <c r="CQ35" s="511">
        <f t="shared" si="16"/>
        <v>60.283976832989254</v>
      </c>
      <c r="CR35" s="511">
        <f t="shared" si="53"/>
        <v>60.283976832989254</v>
      </c>
      <c r="CS35" s="511">
        <f t="shared" si="53"/>
        <v>60.283976832989254</v>
      </c>
      <c r="CT35" s="511">
        <f t="shared" si="53"/>
        <v>60.283976832989254</v>
      </c>
      <c r="CU35" s="511">
        <f t="shared" si="53"/>
        <v>60.283976832989254</v>
      </c>
      <c r="CV35" s="511">
        <f t="shared" si="53"/>
        <v>60.283976832989254</v>
      </c>
      <c r="CW35" s="511">
        <f t="shared" si="53"/>
        <v>60.283976832989254</v>
      </c>
      <c r="CX35" s="508">
        <f t="shared" si="28"/>
        <v>0</v>
      </c>
      <c r="CY35" s="508">
        <f t="shared" si="28"/>
        <v>0</v>
      </c>
      <c r="CZ35" s="508">
        <f t="shared" si="28"/>
        <v>0</v>
      </c>
      <c r="DA35" s="508">
        <f t="shared" si="28"/>
        <v>0</v>
      </c>
      <c r="DB35" s="508">
        <f t="shared" si="28"/>
        <v>0</v>
      </c>
      <c r="DC35" s="508">
        <f t="shared" si="28"/>
        <v>0</v>
      </c>
      <c r="DD35" s="508">
        <f t="shared" si="28"/>
        <v>0</v>
      </c>
      <c r="DE35" s="508">
        <f t="shared" si="19"/>
        <v>0</v>
      </c>
      <c r="DF35" s="508">
        <f t="shared" si="19"/>
        <v>0</v>
      </c>
      <c r="DG35" s="508">
        <f t="shared" si="19"/>
        <v>0</v>
      </c>
      <c r="DH35" s="508">
        <f t="shared" si="19"/>
        <v>0</v>
      </c>
      <c r="DI35" s="508">
        <f t="shared" si="19"/>
        <v>0</v>
      </c>
      <c r="DJ35" s="508">
        <f t="shared" si="19"/>
        <v>0</v>
      </c>
      <c r="DK35" s="508">
        <f t="shared" si="19"/>
        <v>0</v>
      </c>
      <c r="DL35" s="508">
        <f t="shared" si="20"/>
        <v>0</v>
      </c>
      <c r="DM35" s="508">
        <f t="shared" si="20"/>
        <v>0</v>
      </c>
      <c r="DN35" s="508">
        <f t="shared" si="20"/>
        <v>0</v>
      </c>
      <c r="DO35" s="508">
        <f t="shared" si="20"/>
        <v>0</v>
      </c>
      <c r="DP35" s="508">
        <f t="shared" si="20"/>
        <v>0</v>
      </c>
      <c r="DQ35" s="508">
        <f t="shared" si="20"/>
        <v>0</v>
      </c>
      <c r="DR35" s="508">
        <f t="shared" si="20"/>
        <v>0</v>
      </c>
      <c r="DS35" s="508">
        <f t="shared" si="21"/>
        <v>0</v>
      </c>
      <c r="DT35" s="508">
        <f t="shared" si="21"/>
        <v>0</v>
      </c>
      <c r="DU35" s="508">
        <f t="shared" si="21"/>
        <v>0</v>
      </c>
      <c r="DV35" s="508">
        <f t="shared" si="21"/>
        <v>0</v>
      </c>
      <c r="DW35" s="508">
        <f t="shared" si="21"/>
        <v>0</v>
      </c>
      <c r="DX35" s="508">
        <f t="shared" si="21"/>
        <v>0</v>
      </c>
      <c r="DY35" s="508">
        <f t="shared" si="21"/>
        <v>0</v>
      </c>
      <c r="DZ35" s="511">
        <f t="shared" si="22"/>
        <v>0</v>
      </c>
      <c r="EA35" s="511">
        <f t="shared" si="22"/>
        <v>0</v>
      </c>
      <c r="EB35" s="511">
        <f t="shared" si="22"/>
        <v>0</v>
      </c>
      <c r="EC35" s="511">
        <f t="shared" si="22"/>
        <v>0</v>
      </c>
      <c r="ED35" s="511">
        <f t="shared" si="22"/>
        <v>0</v>
      </c>
      <c r="EE35" s="511">
        <f t="shared" si="22"/>
        <v>0</v>
      </c>
      <c r="EF35" s="511">
        <f t="shared" si="22"/>
        <v>0</v>
      </c>
      <c r="EG35" s="511">
        <f t="shared" si="23"/>
        <v>0</v>
      </c>
      <c r="EH35" s="511">
        <f t="shared" si="23"/>
        <v>0</v>
      </c>
      <c r="EI35" s="511">
        <f t="shared" si="23"/>
        <v>0</v>
      </c>
      <c r="EJ35" s="511">
        <f t="shared" si="23"/>
        <v>0</v>
      </c>
      <c r="EK35" s="511">
        <f t="shared" si="23"/>
        <v>0</v>
      </c>
      <c r="EL35" s="511">
        <f t="shared" si="23"/>
        <v>0</v>
      </c>
      <c r="EM35" s="511">
        <f t="shared" si="23"/>
        <v>0</v>
      </c>
      <c r="EN35" s="511">
        <f t="shared" si="24"/>
        <v>0</v>
      </c>
      <c r="EO35" s="511">
        <f t="shared" si="24"/>
        <v>0</v>
      </c>
      <c r="EP35" s="511">
        <f t="shared" si="24"/>
        <v>0</v>
      </c>
      <c r="EQ35" s="511">
        <f t="shared" si="24"/>
        <v>0</v>
      </c>
      <c r="ER35" s="511">
        <f t="shared" si="24"/>
        <v>0</v>
      </c>
      <c r="ES35" s="511">
        <f t="shared" si="24"/>
        <v>0</v>
      </c>
      <c r="ET35" s="511">
        <f t="shared" si="24"/>
        <v>0</v>
      </c>
      <c r="EU35" s="777">
        <f t="shared" si="29"/>
        <v>0</v>
      </c>
      <c r="EV35" s="728">
        <f t="shared" si="30"/>
        <v>0</v>
      </c>
      <c r="EW35" s="728">
        <f t="shared" si="31"/>
        <v>0</v>
      </c>
      <c r="EX35" s="728">
        <f t="shared" si="32"/>
        <v>0</v>
      </c>
      <c r="EY35" s="728">
        <f t="shared" si="33"/>
        <v>0</v>
      </c>
      <c r="EZ35" s="777">
        <f t="shared" si="34"/>
        <v>0</v>
      </c>
      <c r="FA35" s="777">
        <f t="shared" si="35"/>
        <v>0</v>
      </c>
      <c r="FB35" s="778">
        <f t="shared" si="36"/>
        <v>0</v>
      </c>
      <c r="FD35" s="10" t="b">
        <f t="shared" si="54"/>
        <v>1</v>
      </c>
      <c r="FE35" s="10" t="b">
        <f t="shared" si="54"/>
        <v>1</v>
      </c>
      <c r="FF35" s="10" t="b">
        <f t="shared" si="54"/>
        <v>1</v>
      </c>
      <c r="FG35" s="10" t="b">
        <f t="shared" si="54"/>
        <v>1</v>
      </c>
      <c r="FH35" s="10" t="b">
        <f t="shared" si="54"/>
        <v>1</v>
      </c>
      <c r="FI35" s="10" t="b">
        <f t="shared" si="54"/>
        <v>1</v>
      </c>
      <c r="FJ35" s="10" t="b">
        <f t="shared" si="54"/>
        <v>1</v>
      </c>
    </row>
    <row r="36" spans="1:166" s="10" customFormat="1" ht="12.75" hidden="1" customHeight="1">
      <c r="A36" s="662">
        <v>30</v>
      </c>
      <c r="B36" s="789" t="s">
        <v>2085</v>
      </c>
      <c r="C36" s="662" t="s">
        <v>2086</v>
      </c>
      <c r="D36" s="715" t="s">
        <v>2087</v>
      </c>
      <c r="E36" s="662" t="s">
        <v>331</v>
      </c>
      <c r="F36" s="704" t="s">
        <v>402</v>
      </c>
      <c r="G36" s="704">
        <v>100</v>
      </c>
      <c r="H36" s="1237"/>
      <c r="I36" s="704">
        <f t="shared" si="2"/>
        <v>100</v>
      </c>
      <c r="J36" s="704">
        <v>0</v>
      </c>
      <c r="K36" s="704">
        <f t="shared" si="43"/>
        <v>50</v>
      </c>
      <c r="L36" s="711" t="s">
        <v>2088</v>
      </c>
      <c r="M36" s="707" t="s">
        <v>378</v>
      </c>
      <c r="N36" s="707">
        <f t="shared" si="48"/>
        <v>50</v>
      </c>
      <c r="O36" s="1237">
        <v>0</v>
      </c>
      <c r="P36" s="707">
        <v>0</v>
      </c>
      <c r="Q36" s="1022">
        <v>432.31309726714431</v>
      </c>
      <c r="R36" s="872">
        <v>0.34849930020713837</v>
      </c>
      <c r="S36" s="1022">
        <v>0</v>
      </c>
      <c r="T36" s="711" t="s">
        <v>2040</v>
      </c>
      <c r="U36" s="712"/>
      <c r="V36" s="1124">
        <v>2.0471316353249225E-2</v>
      </c>
      <c r="W36" s="790"/>
      <c r="X36" s="790"/>
      <c r="Y36" s="790"/>
      <c r="Z36" s="790"/>
      <c r="AA36" s="790"/>
      <c r="AB36" s="790"/>
      <c r="AC36" s="781">
        <f t="shared" si="47"/>
        <v>50</v>
      </c>
      <c r="AD36" s="781">
        <f t="shared" si="46"/>
        <v>50</v>
      </c>
      <c r="AE36" s="781">
        <f t="shared" si="46"/>
        <v>50</v>
      </c>
      <c r="AF36" s="781">
        <f t="shared" si="46"/>
        <v>50</v>
      </c>
      <c r="AG36" s="781">
        <f t="shared" si="46"/>
        <v>50</v>
      </c>
      <c r="AH36" s="781">
        <f t="shared" si="55"/>
        <v>50</v>
      </c>
      <c r="AI36" s="781">
        <f t="shared" si="55"/>
        <v>50</v>
      </c>
      <c r="AJ36" s="711" t="s">
        <v>384</v>
      </c>
      <c r="AK36" s="711" t="s">
        <v>375</v>
      </c>
      <c r="AL36" s="711" t="s">
        <v>376</v>
      </c>
      <c r="AM36" s="711" t="s">
        <v>2002</v>
      </c>
      <c r="AN36" s="711" t="s">
        <v>1</v>
      </c>
      <c r="AO36" s="711" t="s">
        <v>2089</v>
      </c>
      <c r="AP36" s="711" t="s">
        <v>2086</v>
      </c>
      <c r="AQ36" s="711" t="s">
        <v>2087</v>
      </c>
      <c r="AR36" s="715" t="s">
        <v>406</v>
      </c>
      <c r="AS36" s="715"/>
      <c r="AT36" s="715" t="s">
        <v>381</v>
      </c>
      <c r="AU36" s="711">
        <v>5</v>
      </c>
      <c r="AV36" s="711">
        <v>5</v>
      </c>
      <c r="AW36" s="711" t="s">
        <v>2090</v>
      </c>
      <c r="AX36" s="716">
        <v>1</v>
      </c>
      <c r="AY36" s="716">
        <v>1</v>
      </c>
      <c r="AZ36" s="716">
        <v>0</v>
      </c>
      <c r="BA36" s="499">
        <f t="shared" si="4"/>
        <v>100</v>
      </c>
      <c r="BB36" s="499">
        <f t="shared" si="49"/>
        <v>100</v>
      </c>
      <c r="BC36" s="499">
        <f t="shared" si="49"/>
        <v>100</v>
      </c>
      <c r="BD36" s="499">
        <f t="shared" si="49"/>
        <v>100</v>
      </c>
      <c r="BE36" s="499">
        <f t="shared" si="6"/>
        <v>100</v>
      </c>
      <c r="BF36" s="499">
        <f t="shared" si="6"/>
        <v>100</v>
      </c>
      <c r="BG36" s="499">
        <f t="shared" si="6"/>
        <v>100</v>
      </c>
      <c r="BH36" s="499">
        <f t="shared" si="7"/>
        <v>0</v>
      </c>
      <c r="BI36" s="499">
        <f t="shared" si="50"/>
        <v>0</v>
      </c>
      <c r="BJ36" s="499">
        <f t="shared" si="50"/>
        <v>0</v>
      </c>
      <c r="BK36" s="499">
        <f t="shared" si="50"/>
        <v>0</v>
      </c>
      <c r="BL36" s="499">
        <f t="shared" si="50"/>
        <v>0</v>
      </c>
      <c r="BM36" s="499">
        <f t="shared" si="50"/>
        <v>0</v>
      </c>
      <c r="BN36" s="499">
        <f t="shared" si="50"/>
        <v>0</v>
      </c>
      <c r="BO36" s="499">
        <f t="shared" si="9"/>
        <v>50</v>
      </c>
      <c r="BP36" s="499">
        <f t="shared" si="56"/>
        <v>50</v>
      </c>
      <c r="BQ36" s="499">
        <f t="shared" si="56"/>
        <v>50</v>
      </c>
      <c r="BR36" s="499">
        <f t="shared" si="56"/>
        <v>50</v>
      </c>
      <c r="BS36" s="499">
        <f t="shared" si="56"/>
        <v>50</v>
      </c>
      <c r="BT36" s="499">
        <f t="shared" si="56"/>
        <v>50</v>
      </c>
      <c r="BU36" s="499">
        <f t="shared" si="56"/>
        <v>50</v>
      </c>
      <c r="BV36" s="503">
        <f t="shared" si="27"/>
        <v>0</v>
      </c>
      <c r="BW36" s="503">
        <f t="shared" si="27"/>
        <v>0</v>
      </c>
      <c r="BX36" s="503">
        <f t="shared" si="27"/>
        <v>0</v>
      </c>
      <c r="BY36" s="503">
        <f t="shared" si="27"/>
        <v>0</v>
      </c>
      <c r="BZ36" s="503">
        <f t="shared" si="27"/>
        <v>0</v>
      </c>
      <c r="CA36" s="503">
        <f t="shared" si="27"/>
        <v>0</v>
      </c>
      <c r="CB36" s="503">
        <f t="shared" si="27"/>
        <v>0</v>
      </c>
      <c r="CC36" s="511">
        <f t="shared" si="12"/>
        <v>432.31309726714431</v>
      </c>
      <c r="CD36" s="511">
        <f t="shared" si="51"/>
        <v>432.31309726714431</v>
      </c>
      <c r="CE36" s="511">
        <f t="shared" si="51"/>
        <v>432.31309726714431</v>
      </c>
      <c r="CF36" s="511">
        <f t="shared" si="51"/>
        <v>432.31309726714431</v>
      </c>
      <c r="CG36" s="511">
        <f t="shared" si="51"/>
        <v>432.31309726714431</v>
      </c>
      <c r="CH36" s="511">
        <f t="shared" si="51"/>
        <v>432.31309726714431</v>
      </c>
      <c r="CI36" s="511">
        <f t="shared" si="51"/>
        <v>432.31309726714431</v>
      </c>
      <c r="CJ36" s="511">
        <f t="shared" si="14"/>
        <v>0.34849930020713837</v>
      </c>
      <c r="CK36" s="511">
        <f t="shared" si="52"/>
        <v>0.34849930020713837</v>
      </c>
      <c r="CL36" s="511">
        <f t="shared" si="52"/>
        <v>0.34849930020713837</v>
      </c>
      <c r="CM36" s="511">
        <f t="shared" si="52"/>
        <v>0.34849930020713837</v>
      </c>
      <c r="CN36" s="511">
        <f t="shared" si="52"/>
        <v>0.34849930020713837</v>
      </c>
      <c r="CO36" s="511">
        <f t="shared" si="52"/>
        <v>0.34849930020713837</v>
      </c>
      <c r="CP36" s="511">
        <f t="shared" si="52"/>
        <v>0.34849930020713837</v>
      </c>
      <c r="CQ36" s="511">
        <f t="shared" si="16"/>
        <v>0</v>
      </c>
      <c r="CR36" s="511">
        <f t="shared" si="53"/>
        <v>0</v>
      </c>
      <c r="CS36" s="511">
        <f t="shared" si="53"/>
        <v>0</v>
      </c>
      <c r="CT36" s="511">
        <f t="shared" si="53"/>
        <v>0</v>
      </c>
      <c r="CU36" s="511">
        <f t="shared" si="53"/>
        <v>0</v>
      </c>
      <c r="CV36" s="511">
        <f t="shared" si="53"/>
        <v>0</v>
      </c>
      <c r="CW36" s="511">
        <f t="shared" si="53"/>
        <v>0</v>
      </c>
      <c r="CX36" s="508">
        <f t="shared" si="28"/>
        <v>5000</v>
      </c>
      <c r="CY36" s="508">
        <f t="shared" si="28"/>
        <v>5000</v>
      </c>
      <c r="CZ36" s="508">
        <f t="shared" si="28"/>
        <v>5000</v>
      </c>
      <c r="DA36" s="508">
        <f t="shared" si="28"/>
        <v>5000</v>
      </c>
      <c r="DB36" s="508">
        <f t="shared" si="28"/>
        <v>5000</v>
      </c>
      <c r="DC36" s="508">
        <f t="shared" si="28"/>
        <v>5000</v>
      </c>
      <c r="DD36" s="508">
        <f t="shared" si="28"/>
        <v>5000</v>
      </c>
      <c r="DE36" s="508">
        <f t="shared" si="19"/>
        <v>0</v>
      </c>
      <c r="DF36" s="508">
        <f t="shared" si="19"/>
        <v>0</v>
      </c>
      <c r="DG36" s="508">
        <f t="shared" si="19"/>
        <v>0</v>
      </c>
      <c r="DH36" s="508">
        <f t="shared" si="19"/>
        <v>0</v>
      </c>
      <c r="DI36" s="508">
        <f t="shared" si="19"/>
        <v>0</v>
      </c>
      <c r="DJ36" s="508">
        <f t="shared" si="19"/>
        <v>0</v>
      </c>
      <c r="DK36" s="508">
        <f t="shared" si="19"/>
        <v>0</v>
      </c>
      <c r="DL36" s="508">
        <f t="shared" si="20"/>
        <v>2500</v>
      </c>
      <c r="DM36" s="508">
        <f t="shared" si="20"/>
        <v>2500</v>
      </c>
      <c r="DN36" s="508">
        <f t="shared" si="20"/>
        <v>2500</v>
      </c>
      <c r="DO36" s="508">
        <f t="shared" si="20"/>
        <v>2500</v>
      </c>
      <c r="DP36" s="508">
        <f t="shared" si="20"/>
        <v>2500</v>
      </c>
      <c r="DQ36" s="508">
        <f t="shared" si="20"/>
        <v>2500</v>
      </c>
      <c r="DR36" s="508">
        <f t="shared" si="20"/>
        <v>2500</v>
      </c>
      <c r="DS36" s="508">
        <f t="shared" si="21"/>
        <v>0</v>
      </c>
      <c r="DT36" s="508">
        <f t="shared" si="21"/>
        <v>0</v>
      </c>
      <c r="DU36" s="508">
        <f t="shared" si="21"/>
        <v>0</v>
      </c>
      <c r="DV36" s="508">
        <f t="shared" si="21"/>
        <v>0</v>
      </c>
      <c r="DW36" s="508">
        <f t="shared" si="21"/>
        <v>0</v>
      </c>
      <c r="DX36" s="508">
        <f t="shared" si="21"/>
        <v>0</v>
      </c>
      <c r="DY36" s="508">
        <f t="shared" si="21"/>
        <v>0</v>
      </c>
      <c r="DZ36" s="511">
        <f t="shared" si="22"/>
        <v>21615.654863357217</v>
      </c>
      <c r="EA36" s="511">
        <f t="shared" si="22"/>
        <v>21615.654863357217</v>
      </c>
      <c r="EB36" s="511">
        <f t="shared" si="22"/>
        <v>21615.654863357217</v>
      </c>
      <c r="EC36" s="511">
        <f t="shared" si="22"/>
        <v>21615.654863357217</v>
      </c>
      <c r="ED36" s="511">
        <f t="shared" si="22"/>
        <v>21615.654863357217</v>
      </c>
      <c r="EE36" s="511">
        <f t="shared" si="22"/>
        <v>21615.654863357217</v>
      </c>
      <c r="EF36" s="511">
        <f t="shared" si="22"/>
        <v>21615.654863357217</v>
      </c>
      <c r="EG36" s="511">
        <f t="shared" si="23"/>
        <v>17.424965010356917</v>
      </c>
      <c r="EH36" s="511">
        <f t="shared" si="23"/>
        <v>17.424965010356917</v>
      </c>
      <c r="EI36" s="511">
        <f t="shared" si="23"/>
        <v>17.424965010356917</v>
      </c>
      <c r="EJ36" s="511">
        <f t="shared" si="23"/>
        <v>17.424965010356917</v>
      </c>
      <c r="EK36" s="511">
        <f t="shared" si="23"/>
        <v>17.424965010356917</v>
      </c>
      <c r="EL36" s="511">
        <f t="shared" si="23"/>
        <v>17.424965010356917</v>
      </c>
      <c r="EM36" s="511">
        <f t="shared" si="23"/>
        <v>17.424965010356917</v>
      </c>
      <c r="EN36" s="511">
        <f t="shared" si="24"/>
        <v>0</v>
      </c>
      <c r="EO36" s="511">
        <f t="shared" si="24"/>
        <v>0</v>
      </c>
      <c r="EP36" s="511">
        <f t="shared" si="24"/>
        <v>0</v>
      </c>
      <c r="EQ36" s="511">
        <f t="shared" si="24"/>
        <v>0</v>
      </c>
      <c r="ER36" s="511">
        <f t="shared" si="24"/>
        <v>0</v>
      </c>
      <c r="ES36" s="511">
        <f t="shared" si="24"/>
        <v>0</v>
      </c>
      <c r="ET36" s="511">
        <f t="shared" si="24"/>
        <v>0</v>
      </c>
      <c r="EU36" s="777">
        <f t="shared" si="29"/>
        <v>350</v>
      </c>
      <c r="EV36" s="728">
        <f t="shared" si="30"/>
        <v>35000</v>
      </c>
      <c r="EW36" s="728">
        <f t="shared" si="31"/>
        <v>0</v>
      </c>
      <c r="EX36" s="728">
        <f t="shared" si="32"/>
        <v>17500</v>
      </c>
      <c r="EY36" s="728">
        <f t="shared" si="33"/>
        <v>0</v>
      </c>
      <c r="EZ36" s="777">
        <f t="shared" si="34"/>
        <v>151309.58404350054</v>
      </c>
      <c r="FA36" s="777">
        <f t="shared" si="35"/>
        <v>121.97475507249841</v>
      </c>
      <c r="FB36" s="778">
        <f t="shared" si="36"/>
        <v>0</v>
      </c>
      <c r="FD36" s="10" t="b">
        <f t="shared" si="54"/>
        <v>1</v>
      </c>
      <c r="FE36" s="10" t="b">
        <f t="shared" si="54"/>
        <v>1</v>
      </c>
      <c r="FF36" s="10" t="b">
        <f t="shared" si="54"/>
        <v>1</v>
      </c>
      <c r="FG36" s="10" t="b">
        <f t="shared" si="54"/>
        <v>1</v>
      </c>
      <c r="FH36" s="10" t="b">
        <f t="shared" si="54"/>
        <v>1</v>
      </c>
      <c r="FI36" s="10" t="b">
        <f t="shared" si="54"/>
        <v>1</v>
      </c>
      <c r="FJ36" s="10" t="b">
        <f t="shared" si="54"/>
        <v>1</v>
      </c>
    </row>
    <row r="37" spans="1:166" s="10" customFormat="1" ht="12.75" hidden="1" customHeight="1">
      <c r="A37" s="662">
        <v>31</v>
      </c>
      <c r="B37" s="789" t="s">
        <v>2091</v>
      </c>
      <c r="C37" s="662" t="s">
        <v>2092</v>
      </c>
      <c r="D37" s="715" t="s">
        <v>2093</v>
      </c>
      <c r="E37" s="662" t="s">
        <v>331</v>
      </c>
      <c r="F37" s="704" t="s">
        <v>402</v>
      </c>
      <c r="G37" s="704">
        <v>100</v>
      </c>
      <c r="H37" s="1237"/>
      <c r="I37" s="704">
        <f t="shared" si="2"/>
        <v>100</v>
      </c>
      <c r="J37" s="704">
        <v>0</v>
      </c>
      <c r="K37" s="704">
        <f t="shared" si="43"/>
        <v>50</v>
      </c>
      <c r="L37" s="711" t="s">
        <v>2088</v>
      </c>
      <c r="M37" s="707" t="s">
        <v>378</v>
      </c>
      <c r="N37" s="707">
        <f t="shared" si="48"/>
        <v>50</v>
      </c>
      <c r="O37" s="1237">
        <v>0</v>
      </c>
      <c r="P37" s="707">
        <v>0</v>
      </c>
      <c r="Q37" s="1022">
        <v>789.14827304805954</v>
      </c>
      <c r="R37" s="872">
        <v>0.63615380300859958</v>
      </c>
      <c r="S37" s="1022">
        <v>0</v>
      </c>
      <c r="T37" s="711" t="s">
        <v>2040</v>
      </c>
      <c r="U37" s="712"/>
      <c r="V37" s="1124">
        <v>0</v>
      </c>
      <c r="W37" s="790"/>
      <c r="X37" s="790"/>
      <c r="Y37" s="790"/>
      <c r="Z37" s="790"/>
      <c r="AA37" s="790"/>
      <c r="AB37" s="790"/>
      <c r="AC37" s="781">
        <f t="shared" si="47"/>
        <v>0</v>
      </c>
      <c r="AD37" s="781">
        <f t="shared" si="46"/>
        <v>0</v>
      </c>
      <c r="AE37" s="781">
        <f t="shared" si="46"/>
        <v>0</v>
      </c>
      <c r="AF37" s="781">
        <f t="shared" si="46"/>
        <v>0</v>
      </c>
      <c r="AG37" s="781">
        <f t="shared" si="46"/>
        <v>0</v>
      </c>
      <c r="AH37" s="781">
        <f t="shared" si="55"/>
        <v>0</v>
      </c>
      <c r="AI37" s="781">
        <f t="shared" si="55"/>
        <v>0</v>
      </c>
      <c r="AJ37" s="711" t="s">
        <v>384</v>
      </c>
      <c r="AK37" s="711" t="s">
        <v>375</v>
      </c>
      <c r="AL37" s="711" t="s">
        <v>376</v>
      </c>
      <c r="AM37" s="711" t="s">
        <v>2064</v>
      </c>
      <c r="AN37" s="711" t="s">
        <v>1</v>
      </c>
      <c r="AO37" s="711" t="s">
        <v>2094</v>
      </c>
      <c r="AP37" s="711" t="s">
        <v>2092</v>
      </c>
      <c r="AQ37" s="711" t="s">
        <v>2093</v>
      </c>
      <c r="AR37" s="715" t="s">
        <v>406</v>
      </c>
      <c r="AS37" s="715"/>
      <c r="AT37" s="715" t="s">
        <v>381</v>
      </c>
      <c r="AU37" s="711">
        <v>5</v>
      </c>
      <c r="AV37" s="711">
        <v>5</v>
      </c>
      <c r="AW37" s="711" t="s">
        <v>2090</v>
      </c>
      <c r="AX37" s="716">
        <v>1</v>
      </c>
      <c r="AY37" s="716">
        <v>1</v>
      </c>
      <c r="AZ37" s="716">
        <v>0</v>
      </c>
      <c r="BA37" s="499">
        <f t="shared" si="4"/>
        <v>100</v>
      </c>
      <c r="BB37" s="499">
        <f t="shared" si="49"/>
        <v>100</v>
      </c>
      <c r="BC37" s="499">
        <f t="shared" si="49"/>
        <v>100</v>
      </c>
      <c r="BD37" s="499">
        <f t="shared" si="49"/>
        <v>100</v>
      </c>
      <c r="BE37" s="499">
        <f t="shared" si="6"/>
        <v>100</v>
      </c>
      <c r="BF37" s="499">
        <f t="shared" si="6"/>
        <v>100</v>
      </c>
      <c r="BG37" s="499">
        <f t="shared" si="6"/>
        <v>100</v>
      </c>
      <c r="BH37" s="499">
        <f t="shared" si="7"/>
        <v>0</v>
      </c>
      <c r="BI37" s="499">
        <f t="shared" si="50"/>
        <v>0</v>
      </c>
      <c r="BJ37" s="499">
        <f t="shared" si="50"/>
        <v>0</v>
      </c>
      <c r="BK37" s="499">
        <f t="shared" si="50"/>
        <v>0</v>
      </c>
      <c r="BL37" s="499">
        <f t="shared" si="50"/>
        <v>0</v>
      </c>
      <c r="BM37" s="499">
        <f t="shared" si="50"/>
        <v>0</v>
      </c>
      <c r="BN37" s="499">
        <f t="shared" si="50"/>
        <v>0</v>
      </c>
      <c r="BO37" s="499">
        <f t="shared" si="9"/>
        <v>50</v>
      </c>
      <c r="BP37" s="499">
        <f t="shared" si="56"/>
        <v>50</v>
      </c>
      <c r="BQ37" s="499">
        <f t="shared" si="56"/>
        <v>50</v>
      </c>
      <c r="BR37" s="499">
        <f t="shared" si="56"/>
        <v>50</v>
      </c>
      <c r="BS37" s="499">
        <f t="shared" si="56"/>
        <v>50</v>
      </c>
      <c r="BT37" s="499">
        <f t="shared" si="56"/>
        <v>50</v>
      </c>
      <c r="BU37" s="499">
        <f t="shared" si="56"/>
        <v>50</v>
      </c>
      <c r="BV37" s="503">
        <f t="shared" si="27"/>
        <v>0</v>
      </c>
      <c r="BW37" s="503">
        <f t="shared" si="27"/>
        <v>0</v>
      </c>
      <c r="BX37" s="503">
        <f t="shared" si="27"/>
        <v>0</v>
      </c>
      <c r="BY37" s="503">
        <f t="shared" si="27"/>
        <v>0</v>
      </c>
      <c r="BZ37" s="503">
        <f t="shared" si="27"/>
        <v>0</v>
      </c>
      <c r="CA37" s="503">
        <f t="shared" si="27"/>
        <v>0</v>
      </c>
      <c r="CB37" s="503">
        <f t="shared" si="27"/>
        <v>0</v>
      </c>
      <c r="CC37" s="511">
        <f t="shared" si="12"/>
        <v>789.14827304805954</v>
      </c>
      <c r="CD37" s="511">
        <f t="shared" si="51"/>
        <v>789.14827304805954</v>
      </c>
      <c r="CE37" s="511">
        <f t="shared" si="51"/>
        <v>789.14827304805954</v>
      </c>
      <c r="CF37" s="511">
        <f t="shared" si="51"/>
        <v>789.14827304805954</v>
      </c>
      <c r="CG37" s="511">
        <f t="shared" si="51"/>
        <v>789.14827304805954</v>
      </c>
      <c r="CH37" s="511">
        <f t="shared" si="51"/>
        <v>789.14827304805954</v>
      </c>
      <c r="CI37" s="511">
        <f t="shared" si="51"/>
        <v>789.14827304805954</v>
      </c>
      <c r="CJ37" s="511">
        <f t="shared" si="14"/>
        <v>0.63615380300859958</v>
      </c>
      <c r="CK37" s="511">
        <f t="shared" si="52"/>
        <v>0.63615380300859958</v>
      </c>
      <c r="CL37" s="511">
        <f t="shared" si="52"/>
        <v>0.63615380300859958</v>
      </c>
      <c r="CM37" s="511">
        <f t="shared" si="52"/>
        <v>0.63615380300859958</v>
      </c>
      <c r="CN37" s="511">
        <f t="shared" si="52"/>
        <v>0.63615380300859958</v>
      </c>
      <c r="CO37" s="511">
        <f t="shared" si="52"/>
        <v>0.63615380300859958</v>
      </c>
      <c r="CP37" s="511">
        <f t="shared" si="52"/>
        <v>0.63615380300859958</v>
      </c>
      <c r="CQ37" s="511">
        <f t="shared" si="16"/>
        <v>0</v>
      </c>
      <c r="CR37" s="511">
        <f t="shared" si="53"/>
        <v>0</v>
      </c>
      <c r="CS37" s="511">
        <f t="shared" si="53"/>
        <v>0</v>
      </c>
      <c r="CT37" s="511">
        <f t="shared" si="53"/>
        <v>0</v>
      </c>
      <c r="CU37" s="511">
        <f t="shared" si="53"/>
        <v>0</v>
      </c>
      <c r="CV37" s="511">
        <f t="shared" si="53"/>
        <v>0</v>
      </c>
      <c r="CW37" s="511">
        <f t="shared" si="53"/>
        <v>0</v>
      </c>
      <c r="CX37" s="508">
        <f t="shared" si="28"/>
        <v>0</v>
      </c>
      <c r="CY37" s="508">
        <f t="shared" si="28"/>
        <v>0</v>
      </c>
      <c r="CZ37" s="508">
        <f t="shared" si="28"/>
        <v>0</v>
      </c>
      <c r="DA37" s="508">
        <f t="shared" si="28"/>
        <v>0</v>
      </c>
      <c r="DB37" s="508">
        <f t="shared" si="28"/>
        <v>0</v>
      </c>
      <c r="DC37" s="508">
        <f t="shared" si="28"/>
        <v>0</v>
      </c>
      <c r="DD37" s="508">
        <f t="shared" si="28"/>
        <v>0</v>
      </c>
      <c r="DE37" s="508">
        <f t="shared" si="19"/>
        <v>0</v>
      </c>
      <c r="DF37" s="508">
        <f t="shared" si="19"/>
        <v>0</v>
      </c>
      <c r="DG37" s="508">
        <f t="shared" si="19"/>
        <v>0</v>
      </c>
      <c r="DH37" s="508">
        <f t="shared" si="19"/>
        <v>0</v>
      </c>
      <c r="DI37" s="508">
        <f t="shared" si="19"/>
        <v>0</v>
      </c>
      <c r="DJ37" s="508">
        <f t="shared" si="19"/>
        <v>0</v>
      </c>
      <c r="DK37" s="508">
        <f t="shared" si="19"/>
        <v>0</v>
      </c>
      <c r="DL37" s="508">
        <f t="shared" si="20"/>
        <v>0</v>
      </c>
      <c r="DM37" s="508">
        <f t="shared" si="20"/>
        <v>0</v>
      </c>
      <c r="DN37" s="508">
        <f t="shared" si="20"/>
        <v>0</v>
      </c>
      <c r="DO37" s="508">
        <f t="shared" si="20"/>
        <v>0</v>
      </c>
      <c r="DP37" s="508">
        <f t="shared" si="20"/>
        <v>0</v>
      </c>
      <c r="DQ37" s="508">
        <f t="shared" si="20"/>
        <v>0</v>
      </c>
      <c r="DR37" s="508">
        <f t="shared" si="20"/>
        <v>0</v>
      </c>
      <c r="DS37" s="508">
        <f t="shared" si="21"/>
        <v>0</v>
      </c>
      <c r="DT37" s="508">
        <f t="shared" si="21"/>
        <v>0</v>
      </c>
      <c r="DU37" s="508">
        <f t="shared" si="21"/>
        <v>0</v>
      </c>
      <c r="DV37" s="508">
        <f t="shared" si="21"/>
        <v>0</v>
      </c>
      <c r="DW37" s="508">
        <f t="shared" si="21"/>
        <v>0</v>
      </c>
      <c r="DX37" s="508">
        <f t="shared" si="21"/>
        <v>0</v>
      </c>
      <c r="DY37" s="508">
        <f t="shared" si="21"/>
        <v>0</v>
      </c>
      <c r="DZ37" s="511">
        <f t="shared" si="22"/>
        <v>0</v>
      </c>
      <c r="EA37" s="511">
        <f t="shared" si="22"/>
        <v>0</v>
      </c>
      <c r="EB37" s="511">
        <f t="shared" si="22"/>
        <v>0</v>
      </c>
      <c r="EC37" s="511">
        <f t="shared" si="22"/>
        <v>0</v>
      </c>
      <c r="ED37" s="511">
        <f t="shared" si="22"/>
        <v>0</v>
      </c>
      <c r="EE37" s="511">
        <f t="shared" si="22"/>
        <v>0</v>
      </c>
      <c r="EF37" s="511">
        <f t="shared" si="22"/>
        <v>0</v>
      </c>
      <c r="EG37" s="511">
        <f t="shared" si="23"/>
        <v>0</v>
      </c>
      <c r="EH37" s="511">
        <f t="shared" si="23"/>
        <v>0</v>
      </c>
      <c r="EI37" s="511">
        <f t="shared" si="23"/>
        <v>0</v>
      </c>
      <c r="EJ37" s="511">
        <f t="shared" si="23"/>
        <v>0</v>
      </c>
      <c r="EK37" s="511">
        <f t="shared" si="23"/>
        <v>0</v>
      </c>
      <c r="EL37" s="511">
        <f t="shared" si="23"/>
        <v>0</v>
      </c>
      <c r="EM37" s="511">
        <f t="shared" si="23"/>
        <v>0</v>
      </c>
      <c r="EN37" s="511">
        <f t="shared" si="24"/>
        <v>0</v>
      </c>
      <c r="EO37" s="511">
        <f t="shared" si="24"/>
        <v>0</v>
      </c>
      <c r="EP37" s="511">
        <f t="shared" si="24"/>
        <v>0</v>
      </c>
      <c r="EQ37" s="511">
        <f t="shared" si="24"/>
        <v>0</v>
      </c>
      <c r="ER37" s="511">
        <f t="shared" si="24"/>
        <v>0</v>
      </c>
      <c r="ES37" s="511">
        <f t="shared" si="24"/>
        <v>0</v>
      </c>
      <c r="ET37" s="511">
        <f t="shared" si="24"/>
        <v>0</v>
      </c>
      <c r="EU37" s="777">
        <f t="shared" si="29"/>
        <v>0</v>
      </c>
      <c r="EV37" s="728">
        <f t="shared" si="30"/>
        <v>0</v>
      </c>
      <c r="EW37" s="728">
        <f t="shared" si="31"/>
        <v>0</v>
      </c>
      <c r="EX37" s="728">
        <f t="shared" si="32"/>
        <v>0</v>
      </c>
      <c r="EY37" s="728">
        <f t="shared" si="33"/>
        <v>0</v>
      </c>
      <c r="EZ37" s="777">
        <f t="shared" si="34"/>
        <v>0</v>
      </c>
      <c r="FA37" s="777">
        <f t="shared" si="35"/>
        <v>0</v>
      </c>
      <c r="FB37" s="778">
        <f t="shared" si="36"/>
        <v>0</v>
      </c>
      <c r="FD37" s="10" t="b">
        <f t="shared" si="54"/>
        <v>1</v>
      </c>
      <c r="FE37" s="10" t="b">
        <f t="shared" si="54"/>
        <v>1</v>
      </c>
      <c r="FF37" s="10" t="b">
        <f t="shared" si="54"/>
        <v>1</v>
      </c>
      <c r="FG37" s="10" t="b">
        <f t="shared" si="54"/>
        <v>1</v>
      </c>
      <c r="FH37" s="10" t="b">
        <f t="shared" si="54"/>
        <v>1</v>
      </c>
      <c r="FI37" s="10" t="b">
        <f t="shared" si="54"/>
        <v>1</v>
      </c>
      <c r="FJ37" s="10" t="b">
        <f t="shared" si="54"/>
        <v>1</v>
      </c>
    </row>
    <row r="38" spans="1:166" s="10" customFormat="1" ht="12.75" hidden="1" customHeight="1">
      <c r="A38" s="662">
        <v>32</v>
      </c>
      <c r="B38" s="789" t="s">
        <v>2095</v>
      </c>
      <c r="C38" s="662" t="s">
        <v>2096</v>
      </c>
      <c r="D38" s="715" t="s">
        <v>2097</v>
      </c>
      <c r="E38" s="662" t="s">
        <v>331</v>
      </c>
      <c r="F38" s="704" t="s">
        <v>402</v>
      </c>
      <c r="G38" s="704">
        <v>100</v>
      </c>
      <c r="H38" s="1237"/>
      <c r="I38" s="704">
        <f t="shared" si="2"/>
        <v>100</v>
      </c>
      <c r="J38" s="704">
        <v>0</v>
      </c>
      <c r="K38" s="704">
        <f t="shared" si="43"/>
        <v>50</v>
      </c>
      <c r="L38" s="711" t="s">
        <v>2088</v>
      </c>
      <c r="M38" s="707" t="s">
        <v>378</v>
      </c>
      <c r="N38" s="707">
        <f t="shared" si="48"/>
        <v>50</v>
      </c>
      <c r="O38" s="1237">
        <v>0</v>
      </c>
      <c r="P38" s="707">
        <v>0</v>
      </c>
      <c r="Q38" s="1022">
        <v>0</v>
      </c>
      <c r="R38" s="872">
        <v>0</v>
      </c>
      <c r="S38" s="1022">
        <v>8.4000097135200011</v>
      </c>
      <c r="T38" s="711" t="s">
        <v>2040</v>
      </c>
      <c r="U38" s="712"/>
      <c r="V38" s="1124">
        <v>1.9995239228755058E-2</v>
      </c>
      <c r="W38" s="790"/>
      <c r="X38" s="790"/>
      <c r="Y38" s="790"/>
      <c r="Z38" s="790"/>
      <c r="AA38" s="790"/>
      <c r="AB38" s="790"/>
      <c r="AC38" s="781">
        <f t="shared" si="47"/>
        <v>50</v>
      </c>
      <c r="AD38" s="781">
        <f t="shared" si="46"/>
        <v>50</v>
      </c>
      <c r="AE38" s="781">
        <f t="shared" si="46"/>
        <v>50</v>
      </c>
      <c r="AF38" s="781">
        <f t="shared" si="46"/>
        <v>50</v>
      </c>
      <c r="AG38" s="781">
        <f t="shared" si="46"/>
        <v>50</v>
      </c>
      <c r="AH38" s="781">
        <f t="shared" si="55"/>
        <v>50</v>
      </c>
      <c r="AI38" s="781">
        <f t="shared" si="55"/>
        <v>50</v>
      </c>
      <c r="AJ38" s="711" t="s">
        <v>2013</v>
      </c>
      <c r="AK38" s="711" t="s">
        <v>375</v>
      </c>
      <c r="AL38" s="711" t="s">
        <v>376</v>
      </c>
      <c r="AM38" s="711" t="s">
        <v>2082</v>
      </c>
      <c r="AN38" s="711" t="s">
        <v>1</v>
      </c>
      <c r="AO38" s="711" t="s">
        <v>2098</v>
      </c>
      <c r="AP38" s="711" t="s">
        <v>2096</v>
      </c>
      <c r="AQ38" s="711" t="s">
        <v>2097</v>
      </c>
      <c r="AR38" s="715" t="s">
        <v>406</v>
      </c>
      <c r="AS38" s="715" t="s">
        <v>407</v>
      </c>
      <c r="AT38" s="715" t="s">
        <v>381</v>
      </c>
      <c r="AU38" s="711">
        <v>5</v>
      </c>
      <c r="AV38" s="711">
        <v>5</v>
      </c>
      <c r="AW38" s="711" t="s">
        <v>2090</v>
      </c>
      <c r="AX38" s="716">
        <v>1</v>
      </c>
      <c r="AY38" s="716">
        <v>0</v>
      </c>
      <c r="AZ38" s="716">
        <v>1</v>
      </c>
      <c r="BA38" s="499">
        <f t="shared" si="4"/>
        <v>100</v>
      </c>
      <c r="BB38" s="499">
        <f t="shared" ref="BB38:BD49" si="57">BA38</f>
        <v>100</v>
      </c>
      <c r="BC38" s="499">
        <f t="shared" si="57"/>
        <v>100</v>
      </c>
      <c r="BD38" s="499">
        <f t="shared" si="57"/>
        <v>100</v>
      </c>
      <c r="BE38" s="499">
        <f t="shared" si="6"/>
        <v>100</v>
      </c>
      <c r="BF38" s="499">
        <f t="shared" si="6"/>
        <v>100</v>
      </c>
      <c r="BG38" s="499">
        <f t="shared" si="6"/>
        <v>100</v>
      </c>
      <c r="BH38" s="499">
        <f t="shared" si="7"/>
        <v>0</v>
      </c>
      <c r="BI38" s="499">
        <f t="shared" ref="BI38:BN49" si="58">BH38</f>
        <v>0</v>
      </c>
      <c r="BJ38" s="499">
        <f t="shared" si="58"/>
        <v>0</v>
      </c>
      <c r="BK38" s="499">
        <f t="shared" si="58"/>
        <v>0</v>
      </c>
      <c r="BL38" s="499">
        <f t="shared" si="58"/>
        <v>0</v>
      </c>
      <c r="BM38" s="499">
        <f t="shared" si="58"/>
        <v>0</v>
      </c>
      <c r="BN38" s="499">
        <f t="shared" si="58"/>
        <v>0</v>
      </c>
      <c r="BO38" s="499">
        <f t="shared" si="9"/>
        <v>50</v>
      </c>
      <c r="BP38" s="499">
        <f t="shared" si="56"/>
        <v>50</v>
      </c>
      <c r="BQ38" s="499">
        <f t="shared" si="56"/>
        <v>50</v>
      </c>
      <c r="BR38" s="499">
        <f t="shared" si="56"/>
        <v>50</v>
      </c>
      <c r="BS38" s="499">
        <f t="shared" si="56"/>
        <v>50</v>
      </c>
      <c r="BT38" s="499">
        <f t="shared" si="56"/>
        <v>50</v>
      </c>
      <c r="BU38" s="499">
        <f t="shared" si="56"/>
        <v>50</v>
      </c>
      <c r="BV38" s="503">
        <f t="shared" si="27"/>
        <v>0</v>
      </c>
      <c r="BW38" s="503">
        <f t="shared" si="27"/>
        <v>0</v>
      </c>
      <c r="BX38" s="503">
        <f t="shared" si="27"/>
        <v>0</v>
      </c>
      <c r="BY38" s="503">
        <f t="shared" si="27"/>
        <v>0</v>
      </c>
      <c r="BZ38" s="503">
        <f t="shared" si="27"/>
        <v>0</v>
      </c>
      <c r="CA38" s="503">
        <f t="shared" si="27"/>
        <v>0</v>
      </c>
      <c r="CB38" s="503">
        <f t="shared" si="27"/>
        <v>0</v>
      </c>
      <c r="CC38" s="511">
        <f t="shared" si="12"/>
        <v>0</v>
      </c>
      <c r="CD38" s="511">
        <f t="shared" ref="CD38:CI49" si="59">CC38</f>
        <v>0</v>
      </c>
      <c r="CE38" s="511">
        <f t="shared" si="59"/>
        <v>0</v>
      </c>
      <c r="CF38" s="511">
        <f t="shared" si="59"/>
        <v>0</v>
      </c>
      <c r="CG38" s="511">
        <f t="shared" si="59"/>
        <v>0</v>
      </c>
      <c r="CH38" s="511">
        <f t="shared" si="59"/>
        <v>0</v>
      </c>
      <c r="CI38" s="511">
        <f t="shared" si="59"/>
        <v>0</v>
      </c>
      <c r="CJ38" s="511">
        <f t="shared" si="14"/>
        <v>0</v>
      </c>
      <c r="CK38" s="511">
        <f t="shared" ref="CK38:CP49" si="60">CJ38</f>
        <v>0</v>
      </c>
      <c r="CL38" s="511">
        <f t="shared" si="60"/>
        <v>0</v>
      </c>
      <c r="CM38" s="511">
        <f t="shared" si="60"/>
        <v>0</v>
      </c>
      <c r="CN38" s="511">
        <f t="shared" si="60"/>
        <v>0</v>
      </c>
      <c r="CO38" s="511">
        <f t="shared" si="60"/>
        <v>0</v>
      </c>
      <c r="CP38" s="511">
        <f t="shared" si="60"/>
        <v>0</v>
      </c>
      <c r="CQ38" s="511">
        <f t="shared" si="16"/>
        <v>8.4000097135200011</v>
      </c>
      <c r="CR38" s="511">
        <f t="shared" ref="CR38:CW49" si="61">CQ38</f>
        <v>8.4000097135200011</v>
      </c>
      <c r="CS38" s="511">
        <f t="shared" si="61"/>
        <v>8.4000097135200011</v>
      </c>
      <c r="CT38" s="511">
        <f t="shared" si="61"/>
        <v>8.4000097135200011</v>
      </c>
      <c r="CU38" s="511">
        <f t="shared" si="61"/>
        <v>8.4000097135200011</v>
      </c>
      <c r="CV38" s="511">
        <f t="shared" si="61"/>
        <v>8.4000097135200011</v>
      </c>
      <c r="CW38" s="511">
        <f t="shared" si="61"/>
        <v>8.4000097135200011</v>
      </c>
      <c r="CX38" s="508">
        <f t="shared" si="28"/>
        <v>5000</v>
      </c>
      <c r="CY38" s="508">
        <f t="shared" si="28"/>
        <v>5000</v>
      </c>
      <c r="CZ38" s="508">
        <f t="shared" si="28"/>
        <v>5000</v>
      </c>
      <c r="DA38" s="508">
        <f t="shared" si="28"/>
        <v>5000</v>
      </c>
      <c r="DB38" s="508">
        <f t="shared" si="28"/>
        <v>5000</v>
      </c>
      <c r="DC38" s="508">
        <f t="shared" si="28"/>
        <v>5000</v>
      </c>
      <c r="DD38" s="508">
        <f t="shared" si="28"/>
        <v>5000</v>
      </c>
      <c r="DE38" s="508">
        <f t="shared" si="19"/>
        <v>0</v>
      </c>
      <c r="DF38" s="508">
        <f t="shared" si="19"/>
        <v>0</v>
      </c>
      <c r="DG38" s="508">
        <f t="shared" si="19"/>
        <v>0</v>
      </c>
      <c r="DH38" s="508">
        <f t="shared" si="19"/>
        <v>0</v>
      </c>
      <c r="DI38" s="508">
        <f t="shared" si="19"/>
        <v>0</v>
      </c>
      <c r="DJ38" s="508">
        <f t="shared" si="19"/>
        <v>0</v>
      </c>
      <c r="DK38" s="508">
        <f t="shared" si="19"/>
        <v>0</v>
      </c>
      <c r="DL38" s="508">
        <f t="shared" si="20"/>
        <v>2500</v>
      </c>
      <c r="DM38" s="508">
        <f t="shared" si="20"/>
        <v>2500</v>
      </c>
      <c r="DN38" s="508">
        <f t="shared" si="20"/>
        <v>2500</v>
      </c>
      <c r="DO38" s="508">
        <f t="shared" si="20"/>
        <v>2500</v>
      </c>
      <c r="DP38" s="508">
        <f t="shared" si="20"/>
        <v>2500</v>
      </c>
      <c r="DQ38" s="508">
        <f t="shared" si="20"/>
        <v>2500</v>
      </c>
      <c r="DR38" s="508">
        <f t="shared" si="20"/>
        <v>2500</v>
      </c>
      <c r="DS38" s="508">
        <f t="shared" si="21"/>
        <v>0</v>
      </c>
      <c r="DT38" s="508">
        <f t="shared" si="21"/>
        <v>0</v>
      </c>
      <c r="DU38" s="508">
        <f t="shared" si="21"/>
        <v>0</v>
      </c>
      <c r="DV38" s="508">
        <f t="shared" si="21"/>
        <v>0</v>
      </c>
      <c r="DW38" s="508">
        <f t="shared" si="21"/>
        <v>0</v>
      </c>
      <c r="DX38" s="508">
        <f t="shared" si="21"/>
        <v>0</v>
      </c>
      <c r="DY38" s="508">
        <f t="shared" si="21"/>
        <v>0</v>
      </c>
      <c r="DZ38" s="511">
        <f t="shared" si="22"/>
        <v>0</v>
      </c>
      <c r="EA38" s="511">
        <f t="shared" si="22"/>
        <v>0</v>
      </c>
      <c r="EB38" s="511">
        <f t="shared" si="22"/>
        <v>0</v>
      </c>
      <c r="EC38" s="511">
        <f t="shared" si="22"/>
        <v>0</v>
      </c>
      <c r="ED38" s="511">
        <f t="shared" si="22"/>
        <v>0</v>
      </c>
      <c r="EE38" s="511">
        <f t="shared" si="22"/>
        <v>0</v>
      </c>
      <c r="EF38" s="511">
        <f t="shared" si="22"/>
        <v>0</v>
      </c>
      <c r="EG38" s="511">
        <f t="shared" si="23"/>
        <v>0</v>
      </c>
      <c r="EH38" s="511">
        <f t="shared" si="23"/>
        <v>0</v>
      </c>
      <c r="EI38" s="511">
        <f t="shared" si="23"/>
        <v>0</v>
      </c>
      <c r="EJ38" s="511">
        <f t="shared" si="23"/>
        <v>0</v>
      </c>
      <c r="EK38" s="511">
        <f t="shared" si="23"/>
        <v>0</v>
      </c>
      <c r="EL38" s="511">
        <f t="shared" si="23"/>
        <v>0</v>
      </c>
      <c r="EM38" s="511">
        <f t="shared" si="23"/>
        <v>0</v>
      </c>
      <c r="EN38" s="511">
        <f t="shared" si="24"/>
        <v>420.00048567600004</v>
      </c>
      <c r="EO38" s="511">
        <f t="shared" si="24"/>
        <v>420.00048567600004</v>
      </c>
      <c r="EP38" s="511">
        <f t="shared" si="24"/>
        <v>420.00048567600004</v>
      </c>
      <c r="EQ38" s="511">
        <f t="shared" si="24"/>
        <v>420.00048567600004</v>
      </c>
      <c r="ER38" s="511">
        <f t="shared" si="24"/>
        <v>420.00048567600004</v>
      </c>
      <c r="ES38" s="511">
        <f t="shared" si="24"/>
        <v>420.00048567600004</v>
      </c>
      <c r="ET38" s="511">
        <f t="shared" si="24"/>
        <v>420.00048567600004</v>
      </c>
      <c r="EU38" s="777">
        <f t="shared" si="29"/>
        <v>350</v>
      </c>
      <c r="EV38" s="728">
        <f t="shared" si="30"/>
        <v>35000</v>
      </c>
      <c r="EW38" s="728">
        <f t="shared" si="31"/>
        <v>0</v>
      </c>
      <c r="EX38" s="728">
        <f t="shared" si="32"/>
        <v>17500</v>
      </c>
      <c r="EY38" s="728">
        <f t="shared" si="33"/>
        <v>0</v>
      </c>
      <c r="EZ38" s="777">
        <f t="shared" si="34"/>
        <v>0</v>
      </c>
      <c r="FA38" s="777">
        <f t="shared" si="35"/>
        <v>0</v>
      </c>
      <c r="FB38" s="778">
        <f t="shared" si="36"/>
        <v>2940.0033997320006</v>
      </c>
      <c r="FD38" s="10" t="b">
        <f t="shared" si="54"/>
        <v>1</v>
      </c>
      <c r="FE38" s="10" t="b">
        <f t="shared" si="54"/>
        <v>1</v>
      </c>
      <c r="FF38" s="10" t="b">
        <f t="shared" si="54"/>
        <v>1</v>
      </c>
      <c r="FG38" s="10" t="b">
        <f t="shared" si="54"/>
        <v>1</v>
      </c>
      <c r="FH38" s="10" t="b">
        <f t="shared" si="54"/>
        <v>1</v>
      </c>
      <c r="FI38" s="10" t="b">
        <f t="shared" si="54"/>
        <v>1</v>
      </c>
      <c r="FJ38" s="10" t="b">
        <f t="shared" si="54"/>
        <v>1</v>
      </c>
    </row>
    <row r="39" spans="1:166" s="10" customFormat="1" ht="12.75" hidden="1" customHeight="1">
      <c r="A39" s="662">
        <v>33</v>
      </c>
      <c r="B39" s="789" t="s">
        <v>2099</v>
      </c>
      <c r="C39" s="662" t="s">
        <v>2100</v>
      </c>
      <c r="D39" s="715" t="s">
        <v>2101</v>
      </c>
      <c r="E39" s="662" t="s">
        <v>331</v>
      </c>
      <c r="F39" s="704" t="s">
        <v>402</v>
      </c>
      <c r="G39" s="704">
        <v>78</v>
      </c>
      <c r="H39" s="1237"/>
      <c r="I39" s="704">
        <f t="shared" si="2"/>
        <v>78</v>
      </c>
      <c r="J39" s="704">
        <v>0</v>
      </c>
      <c r="K39" s="704">
        <f t="shared" si="43"/>
        <v>39</v>
      </c>
      <c r="L39" s="711" t="s">
        <v>2102</v>
      </c>
      <c r="M39" s="707" t="s">
        <v>378</v>
      </c>
      <c r="N39" s="707">
        <f t="shared" si="48"/>
        <v>40</v>
      </c>
      <c r="O39" s="1237">
        <v>0</v>
      </c>
      <c r="P39" s="707">
        <v>0</v>
      </c>
      <c r="Q39" s="1022">
        <v>72.562148261364186</v>
      </c>
      <c r="R39" s="872">
        <v>0</v>
      </c>
      <c r="S39" s="1022">
        <v>0</v>
      </c>
      <c r="T39" s="711" t="s">
        <v>2040</v>
      </c>
      <c r="U39" s="712"/>
      <c r="V39" s="1124">
        <v>0</v>
      </c>
      <c r="W39" s="790"/>
      <c r="X39" s="790"/>
      <c r="Y39" s="790"/>
      <c r="Z39" s="790"/>
      <c r="AA39" s="790"/>
      <c r="AB39" s="790"/>
      <c r="AC39" s="781">
        <f t="shared" si="47"/>
        <v>0</v>
      </c>
      <c r="AD39" s="781">
        <f t="shared" si="46"/>
        <v>0</v>
      </c>
      <c r="AE39" s="781">
        <f t="shared" si="46"/>
        <v>0</v>
      </c>
      <c r="AF39" s="781">
        <f t="shared" si="46"/>
        <v>0</v>
      </c>
      <c r="AG39" s="781">
        <f t="shared" si="46"/>
        <v>0</v>
      </c>
      <c r="AH39" s="781">
        <f t="shared" ref="AH39:AI49" si="62">AG39</f>
        <v>0</v>
      </c>
      <c r="AI39" s="781">
        <f t="shared" si="62"/>
        <v>0</v>
      </c>
      <c r="AJ39" s="711" t="s">
        <v>384</v>
      </c>
      <c r="AK39" s="711" t="s">
        <v>375</v>
      </c>
      <c r="AL39" s="711" t="s">
        <v>376</v>
      </c>
      <c r="AM39" s="711" t="s">
        <v>1232</v>
      </c>
      <c r="AN39" s="711" t="s">
        <v>1</v>
      </c>
      <c r="AO39" s="711" t="s">
        <v>2103</v>
      </c>
      <c r="AP39" s="711" t="s">
        <v>1702</v>
      </c>
      <c r="AQ39" s="711" t="s">
        <v>339</v>
      </c>
      <c r="AR39" s="715" t="s">
        <v>1944</v>
      </c>
      <c r="AS39" s="715"/>
      <c r="AT39" s="715" t="s">
        <v>381</v>
      </c>
      <c r="AU39" s="711">
        <v>15</v>
      </c>
      <c r="AV39" s="711">
        <v>15</v>
      </c>
      <c r="AW39" s="711" t="s">
        <v>2104</v>
      </c>
      <c r="AX39" s="716">
        <v>1</v>
      </c>
      <c r="AY39" s="716">
        <v>1</v>
      </c>
      <c r="AZ39" s="716">
        <v>0</v>
      </c>
      <c r="BA39" s="499">
        <f t="shared" si="4"/>
        <v>78</v>
      </c>
      <c r="BB39" s="499">
        <f t="shared" si="57"/>
        <v>78</v>
      </c>
      <c r="BC39" s="499">
        <f t="shared" si="57"/>
        <v>78</v>
      </c>
      <c r="BD39" s="499">
        <f t="shared" si="57"/>
        <v>78</v>
      </c>
      <c r="BE39" s="499">
        <f t="shared" si="6"/>
        <v>78</v>
      </c>
      <c r="BF39" s="499">
        <f t="shared" si="6"/>
        <v>78</v>
      </c>
      <c r="BG39" s="499">
        <f t="shared" si="6"/>
        <v>78</v>
      </c>
      <c r="BH39" s="499">
        <f t="shared" si="7"/>
        <v>0</v>
      </c>
      <c r="BI39" s="499">
        <f t="shared" si="58"/>
        <v>0</v>
      </c>
      <c r="BJ39" s="499">
        <f t="shared" si="58"/>
        <v>0</v>
      </c>
      <c r="BK39" s="499">
        <f t="shared" si="58"/>
        <v>0</v>
      </c>
      <c r="BL39" s="499">
        <f t="shared" si="58"/>
        <v>0</v>
      </c>
      <c r="BM39" s="499">
        <f t="shared" si="58"/>
        <v>0</v>
      </c>
      <c r="BN39" s="499">
        <f t="shared" si="58"/>
        <v>0</v>
      </c>
      <c r="BO39" s="499">
        <f t="shared" si="9"/>
        <v>40</v>
      </c>
      <c r="BP39" s="499">
        <f t="shared" si="56"/>
        <v>40</v>
      </c>
      <c r="BQ39" s="499">
        <f t="shared" si="56"/>
        <v>40</v>
      </c>
      <c r="BR39" s="499">
        <f t="shared" si="56"/>
        <v>40</v>
      </c>
      <c r="BS39" s="499">
        <f t="shared" si="56"/>
        <v>40</v>
      </c>
      <c r="BT39" s="499">
        <f t="shared" si="56"/>
        <v>40</v>
      </c>
      <c r="BU39" s="499">
        <f t="shared" si="56"/>
        <v>40</v>
      </c>
      <c r="BV39" s="503">
        <f t="shared" si="27"/>
        <v>0</v>
      </c>
      <c r="BW39" s="503">
        <f t="shared" si="27"/>
        <v>0</v>
      </c>
      <c r="BX39" s="503">
        <f t="shared" si="27"/>
        <v>0</v>
      </c>
      <c r="BY39" s="503">
        <f t="shared" si="27"/>
        <v>0</v>
      </c>
      <c r="BZ39" s="503">
        <f t="shared" si="27"/>
        <v>0</v>
      </c>
      <c r="CA39" s="503">
        <f t="shared" si="27"/>
        <v>0</v>
      </c>
      <c r="CB39" s="503">
        <f t="shared" si="27"/>
        <v>0</v>
      </c>
      <c r="CC39" s="511">
        <f t="shared" si="12"/>
        <v>72.562148261364186</v>
      </c>
      <c r="CD39" s="511">
        <f t="shared" si="59"/>
        <v>72.562148261364186</v>
      </c>
      <c r="CE39" s="511">
        <f t="shared" si="59"/>
        <v>72.562148261364186</v>
      </c>
      <c r="CF39" s="511">
        <f t="shared" si="59"/>
        <v>72.562148261364186</v>
      </c>
      <c r="CG39" s="511">
        <f t="shared" si="59"/>
        <v>72.562148261364186</v>
      </c>
      <c r="CH39" s="511">
        <f t="shared" si="59"/>
        <v>72.562148261364186</v>
      </c>
      <c r="CI39" s="511">
        <f t="shared" si="59"/>
        <v>72.562148261364186</v>
      </c>
      <c r="CJ39" s="511">
        <f t="shared" si="14"/>
        <v>0</v>
      </c>
      <c r="CK39" s="511">
        <f t="shared" si="60"/>
        <v>0</v>
      </c>
      <c r="CL39" s="511">
        <f t="shared" si="60"/>
        <v>0</v>
      </c>
      <c r="CM39" s="511">
        <f t="shared" si="60"/>
        <v>0</v>
      </c>
      <c r="CN39" s="511">
        <f t="shared" si="60"/>
        <v>0</v>
      </c>
      <c r="CO39" s="511">
        <f t="shared" si="60"/>
        <v>0</v>
      </c>
      <c r="CP39" s="511">
        <f t="shared" si="60"/>
        <v>0</v>
      </c>
      <c r="CQ39" s="511">
        <f t="shared" si="16"/>
        <v>0</v>
      </c>
      <c r="CR39" s="511">
        <f t="shared" si="61"/>
        <v>0</v>
      </c>
      <c r="CS39" s="511">
        <f t="shared" si="61"/>
        <v>0</v>
      </c>
      <c r="CT39" s="511">
        <f t="shared" si="61"/>
        <v>0</v>
      </c>
      <c r="CU39" s="511">
        <f t="shared" si="61"/>
        <v>0</v>
      </c>
      <c r="CV39" s="511">
        <f t="shared" si="61"/>
        <v>0</v>
      </c>
      <c r="CW39" s="511">
        <f t="shared" si="61"/>
        <v>0</v>
      </c>
      <c r="CX39" s="508">
        <f t="shared" si="28"/>
        <v>0</v>
      </c>
      <c r="CY39" s="508">
        <f t="shared" si="28"/>
        <v>0</v>
      </c>
      <c r="CZ39" s="508">
        <f t="shared" si="28"/>
        <v>0</v>
      </c>
      <c r="DA39" s="508">
        <f t="shared" si="28"/>
        <v>0</v>
      </c>
      <c r="DB39" s="508">
        <f t="shared" si="28"/>
        <v>0</v>
      </c>
      <c r="DC39" s="508">
        <f t="shared" si="28"/>
        <v>0</v>
      </c>
      <c r="DD39" s="508">
        <f t="shared" si="28"/>
        <v>0</v>
      </c>
      <c r="DE39" s="508">
        <f t="shared" si="19"/>
        <v>0</v>
      </c>
      <c r="DF39" s="508">
        <f t="shared" si="19"/>
        <v>0</v>
      </c>
      <c r="DG39" s="508">
        <f t="shared" si="19"/>
        <v>0</v>
      </c>
      <c r="DH39" s="508">
        <f t="shared" si="19"/>
        <v>0</v>
      </c>
      <c r="DI39" s="508">
        <f t="shared" si="19"/>
        <v>0</v>
      </c>
      <c r="DJ39" s="508">
        <f t="shared" si="19"/>
        <v>0</v>
      </c>
      <c r="DK39" s="508">
        <f t="shared" si="19"/>
        <v>0</v>
      </c>
      <c r="DL39" s="508">
        <f t="shared" si="20"/>
        <v>0</v>
      </c>
      <c r="DM39" s="508">
        <f t="shared" si="20"/>
        <v>0</v>
      </c>
      <c r="DN39" s="508">
        <f t="shared" si="20"/>
        <v>0</v>
      </c>
      <c r="DO39" s="508">
        <f t="shared" si="20"/>
        <v>0</v>
      </c>
      <c r="DP39" s="508">
        <f t="shared" si="20"/>
        <v>0</v>
      </c>
      <c r="DQ39" s="508">
        <f t="shared" si="20"/>
        <v>0</v>
      </c>
      <c r="DR39" s="508">
        <f t="shared" si="20"/>
        <v>0</v>
      </c>
      <c r="DS39" s="508">
        <f t="shared" si="21"/>
        <v>0</v>
      </c>
      <c r="DT39" s="508">
        <f t="shared" si="21"/>
        <v>0</v>
      </c>
      <c r="DU39" s="508">
        <f t="shared" si="21"/>
        <v>0</v>
      </c>
      <c r="DV39" s="508">
        <f t="shared" si="21"/>
        <v>0</v>
      </c>
      <c r="DW39" s="508">
        <f t="shared" si="21"/>
        <v>0</v>
      </c>
      <c r="DX39" s="508">
        <f t="shared" si="21"/>
        <v>0</v>
      </c>
      <c r="DY39" s="508">
        <f t="shared" si="21"/>
        <v>0</v>
      </c>
      <c r="DZ39" s="511">
        <f t="shared" si="22"/>
        <v>0</v>
      </c>
      <c r="EA39" s="511">
        <f t="shared" si="22"/>
        <v>0</v>
      </c>
      <c r="EB39" s="511">
        <f t="shared" si="22"/>
        <v>0</v>
      </c>
      <c r="EC39" s="511">
        <f t="shared" si="22"/>
        <v>0</v>
      </c>
      <c r="ED39" s="511">
        <f t="shared" si="22"/>
        <v>0</v>
      </c>
      <c r="EE39" s="511">
        <f t="shared" si="22"/>
        <v>0</v>
      </c>
      <c r="EF39" s="511">
        <f t="shared" si="22"/>
        <v>0</v>
      </c>
      <c r="EG39" s="511">
        <f t="shared" si="23"/>
        <v>0</v>
      </c>
      <c r="EH39" s="511">
        <f t="shared" si="23"/>
        <v>0</v>
      </c>
      <c r="EI39" s="511">
        <f t="shared" si="23"/>
        <v>0</v>
      </c>
      <c r="EJ39" s="511">
        <f t="shared" si="23"/>
        <v>0</v>
      </c>
      <c r="EK39" s="511">
        <f t="shared" si="23"/>
        <v>0</v>
      </c>
      <c r="EL39" s="511">
        <f t="shared" si="23"/>
        <v>0</v>
      </c>
      <c r="EM39" s="511">
        <f t="shared" si="23"/>
        <v>0</v>
      </c>
      <c r="EN39" s="511">
        <f t="shared" si="24"/>
        <v>0</v>
      </c>
      <c r="EO39" s="511">
        <f t="shared" si="24"/>
        <v>0</v>
      </c>
      <c r="EP39" s="511">
        <f t="shared" si="24"/>
        <v>0</v>
      </c>
      <c r="EQ39" s="511">
        <f t="shared" si="24"/>
        <v>0</v>
      </c>
      <c r="ER39" s="511">
        <f t="shared" si="24"/>
        <v>0</v>
      </c>
      <c r="ES39" s="511">
        <f t="shared" si="24"/>
        <v>0</v>
      </c>
      <c r="ET39" s="511">
        <f t="shared" si="24"/>
        <v>0</v>
      </c>
      <c r="EU39" s="777">
        <f t="shared" si="29"/>
        <v>0</v>
      </c>
      <c r="EV39" s="728">
        <f t="shared" si="30"/>
        <v>0</v>
      </c>
      <c r="EW39" s="728">
        <f t="shared" si="31"/>
        <v>0</v>
      </c>
      <c r="EX39" s="728">
        <f t="shared" si="32"/>
        <v>0</v>
      </c>
      <c r="EY39" s="728">
        <f t="shared" si="33"/>
        <v>0</v>
      </c>
      <c r="EZ39" s="777">
        <f t="shared" si="34"/>
        <v>0</v>
      </c>
      <c r="FA39" s="777">
        <f t="shared" si="35"/>
        <v>0</v>
      </c>
      <c r="FB39" s="778">
        <f t="shared" si="36"/>
        <v>0</v>
      </c>
      <c r="FD39" s="10" t="b">
        <f t="shared" si="54"/>
        <v>1</v>
      </c>
      <c r="FE39" s="10" t="b">
        <f t="shared" si="54"/>
        <v>1</v>
      </c>
      <c r="FF39" s="10" t="b">
        <f t="shared" si="54"/>
        <v>1</v>
      </c>
      <c r="FG39" s="10" t="b">
        <f t="shared" si="54"/>
        <v>1</v>
      </c>
      <c r="FH39" s="10" t="b">
        <f t="shared" si="54"/>
        <v>1</v>
      </c>
      <c r="FI39" s="10" t="b">
        <f t="shared" si="54"/>
        <v>1</v>
      </c>
      <c r="FJ39" s="10" t="b">
        <f t="shared" si="54"/>
        <v>1</v>
      </c>
    </row>
    <row r="40" spans="1:166" s="10" customFormat="1" ht="12.75" hidden="1" customHeight="1">
      <c r="A40" s="662">
        <v>34</v>
      </c>
      <c r="B40" s="789" t="s">
        <v>994</v>
      </c>
      <c r="C40" s="662" t="s">
        <v>2105</v>
      </c>
      <c r="D40" s="715" t="s">
        <v>2106</v>
      </c>
      <c r="E40" s="662" t="s">
        <v>331</v>
      </c>
      <c r="F40" s="704" t="s">
        <v>402</v>
      </c>
      <c r="G40" s="704">
        <v>829</v>
      </c>
      <c r="H40" s="1237"/>
      <c r="I40" s="704">
        <f t="shared" si="2"/>
        <v>829</v>
      </c>
      <c r="J40" s="704">
        <v>0</v>
      </c>
      <c r="K40" s="704">
        <f t="shared" si="43"/>
        <v>414.5</v>
      </c>
      <c r="L40" s="711" t="s">
        <v>2107</v>
      </c>
      <c r="M40" s="707" t="s">
        <v>378</v>
      </c>
      <c r="N40" s="707">
        <f t="shared" si="48"/>
        <v>300</v>
      </c>
      <c r="O40" s="1237">
        <v>0</v>
      </c>
      <c r="P40" s="707">
        <v>0</v>
      </c>
      <c r="Q40" s="1022">
        <v>1663.4994772349723</v>
      </c>
      <c r="R40" s="872">
        <v>0.1106935709153114</v>
      </c>
      <c r="S40" s="1022">
        <v>0</v>
      </c>
      <c r="T40" s="711" t="s">
        <v>2040</v>
      </c>
      <c r="U40" s="712"/>
      <c r="V40" s="1124">
        <v>0</v>
      </c>
      <c r="W40" s="790"/>
      <c r="X40" s="790"/>
      <c r="Y40" s="790"/>
      <c r="Z40" s="790"/>
      <c r="AA40" s="790"/>
      <c r="AB40" s="790"/>
      <c r="AC40" s="781">
        <f t="shared" si="47"/>
        <v>0</v>
      </c>
      <c r="AD40" s="781">
        <f t="shared" si="46"/>
        <v>0</v>
      </c>
      <c r="AE40" s="781">
        <f t="shared" si="46"/>
        <v>0</v>
      </c>
      <c r="AF40" s="781">
        <f t="shared" si="46"/>
        <v>0</v>
      </c>
      <c r="AG40" s="781">
        <f t="shared" si="46"/>
        <v>0</v>
      </c>
      <c r="AH40" s="781">
        <f t="shared" si="62"/>
        <v>0</v>
      </c>
      <c r="AI40" s="781">
        <f t="shared" si="62"/>
        <v>0</v>
      </c>
      <c r="AJ40" s="711" t="s">
        <v>384</v>
      </c>
      <c r="AK40" s="711" t="s">
        <v>375</v>
      </c>
      <c r="AL40" s="711" t="s">
        <v>376</v>
      </c>
      <c r="AM40" s="711" t="s">
        <v>1981</v>
      </c>
      <c r="AN40" s="711" t="s">
        <v>1</v>
      </c>
      <c r="AO40" s="711" t="s">
        <v>2108</v>
      </c>
      <c r="AP40" s="711" t="s">
        <v>1702</v>
      </c>
      <c r="AQ40" s="711" t="s">
        <v>339</v>
      </c>
      <c r="AR40" s="715" t="s">
        <v>943</v>
      </c>
      <c r="AS40" s="715"/>
      <c r="AT40" s="715" t="s">
        <v>381</v>
      </c>
      <c r="AU40" s="711">
        <v>10</v>
      </c>
      <c r="AV40" s="711">
        <v>10</v>
      </c>
      <c r="AW40" s="711" t="s">
        <v>2109</v>
      </c>
      <c r="AX40" s="716">
        <v>1</v>
      </c>
      <c r="AY40" s="716">
        <v>1</v>
      </c>
      <c r="AZ40" s="716">
        <v>0</v>
      </c>
      <c r="BA40" s="499">
        <f t="shared" si="4"/>
        <v>829</v>
      </c>
      <c r="BB40" s="499">
        <f t="shared" si="57"/>
        <v>829</v>
      </c>
      <c r="BC40" s="499">
        <f t="shared" si="57"/>
        <v>829</v>
      </c>
      <c r="BD40" s="499">
        <f t="shared" si="57"/>
        <v>829</v>
      </c>
      <c r="BE40" s="499">
        <f t="shared" si="6"/>
        <v>829</v>
      </c>
      <c r="BF40" s="499">
        <f t="shared" si="6"/>
        <v>829</v>
      </c>
      <c r="BG40" s="499">
        <f t="shared" si="6"/>
        <v>829</v>
      </c>
      <c r="BH40" s="499">
        <f t="shared" si="7"/>
        <v>0</v>
      </c>
      <c r="BI40" s="499">
        <f t="shared" si="58"/>
        <v>0</v>
      </c>
      <c r="BJ40" s="499">
        <f t="shared" si="58"/>
        <v>0</v>
      </c>
      <c r="BK40" s="499">
        <f t="shared" si="58"/>
        <v>0</v>
      </c>
      <c r="BL40" s="499">
        <f t="shared" si="58"/>
        <v>0</v>
      </c>
      <c r="BM40" s="499">
        <f t="shared" si="58"/>
        <v>0</v>
      </c>
      <c r="BN40" s="499">
        <f t="shared" si="58"/>
        <v>0</v>
      </c>
      <c r="BO40" s="499">
        <f t="shared" si="9"/>
        <v>300</v>
      </c>
      <c r="BP40" s="499">
        <f t="shared" si="56"/>
        <v>300</v>
      </c>
      <c r="BQ40" s="499">
        <f t="shared" si="56"/>
        <v>300</v>
      </c>
      <c r="BR40" s="499">
        <f t="shared" si="56"/>
        <v>300</v>
      </c>
      <c r="BS40" s="499">
        <f t="shared" si="56"/>
        <v>300</v>
      </c>
      <c r="BT40" s="499">
        <f t="shared" si="56"/>
        <v>300</v>
      </c>
      <c r="BU40" s="499">
        <f t="shared" si="56"/>
        <v>300</v>
      </c>
      <c r="BV40" s="503">
        <f t="shared" si="27"/>
        <v>0</v>
      </c>
      <c r="BW40" s="503">
        <f t="shared" si="27"/>
        <v>0</v>
      </c>
      <c r="BX40" s="503">
        <f t="shared" si="27"/>
        <v>0</v>
      </c>
      <c r="BY40" s="503">
        <f t="shared" si="27"/>
        <v>0</v>
      </c>
      <c r="BZ40" s="503">
        <f t="shared" si="27"/>
        <v>0</v>
      </c>
      <c r="CA40" s="503">
        <f t="shared" si="27"/>
        <v>0</v>
      </c>
      <c r="CB40" s="503">
        <f t="shared" si="27"/>
        <v>0</v>
      </c>
      <c r="CC40" s="511">
        <f t="shared" si="12"/>
        <v>1663.4994772349723</v>
      </c>
      <c r="CD40" s="511">
        <f t="shared" si="59"/>
        <v>1663.4994772349723</v>
      </c>
      <c r="CE40" s="511">
        <f t="shared" si="59"/>
        <v>1663.4994772349723</v>
      </c>
      <c r="CF40" s="511">
        <f t="shared" si="59"/>
        <v>1663.4994772349723</v>
      </c>
      <c r="CG40" s="511">
        <f t="shared" si="59"/>
        <v>1663.4994772349723</v>
      </c>
      <c r="CH40" s="511">
        <f t="shared" si="59"/>
        <v>1663.4994772349723</v>
      </c>
      <c r="CI40" s="511">
        <f t="shared" si="59"/>
        <v>1663.4994772349723</v>
      </c>
      <c r="CJ40" s="511">
        <f t="shared" si="14"/>
        <v>0.1106935709153114</v>
      </c>
      <c r="CK40" s="511">
        <f t="shared" si="60"/>
        <v>0.1106935709153114</v>
      </c>
      <c r="CL40" s="511">
        <f t="shared" si="60"/>
        <v>0.1106935709153114</v>
      </c>
      <c r="CM40" s="511">
        <f t="shared" si="60"/>
        <v>0.1106935709153114</v>
      </c>
      <c r="CN40" s="511">
        <f t="shared" si="60"/>
        <v>0.1106935709153114</v>
      </c>
      <c r="CO40" s="511">
        <f t="shared" si="60"/>
        <v>0.1106935709153114</v>
      </c>
      <c r="CP40" s="511">
        <f t="shared" si="60"/>
        <v>0.1106935709153114</v>
      </c>
      <c r="CQ40" s="511">
        <f t="shared" si="16"/>
        <v>0</v>
      </c>
      <c r="CR40" s="511">
        <f t="shared" si="61"/>
        <v>0</v>
      </c>
      <c r="CS40" s="511">
        <f t="shared" si="61"/>
        <v>0</v>
      </c>
      <c r="CT40" s="511">
        <f t="shared" si="61"/>
        <v>0</v>
      </c>
      <c r="CU40" s="511">
        <f t="shared" si="61"/>
        <v>0</v>
      </c>
      <c r="CV40" s="511">
        <f t="shared" si="61"/>
        <v>0</v>
      </c>
      <c r="CW40" s="511">
        <f t="shared" si="61"/>
        <v>0</v>
      </c>
      <c r="CX40" s="508">
        <f t="shared" si="28"/>
        <v>0</v>
      </c>
      <c r="CY40" s="508">
        <f t="shared" si="28"/>
        <v>0</v>
      </c>
      <c r="CZ40" s="508">
        <f t="shared" si="28"/>
        <v>0</v>
      </c>
      <c r="DA40" s="508">
        <f t="shared" si="28"/>
        <v>0</v>
      </c>
      <c r="DB40" s="508">
        <f t="shared" si="28"/>
        <v>0</v>
      </c>
      <c r="DC40" s="508">
        <f t="shared" si="28"/>
        <v>0</v>
      </c>
      <c r="DD40" s="508">
        <f t="shared" si="28"/>
        <v>0</v>
      </c>
      <c r="DE40" s="508">
        <f t="shared" si="19"/>
        <v>0</v>
      </c>
      <c r="DF40" s="508">
        <f t="shared" si="19"/>
        <v>0</v>
      </c>
      <c r="DG40" s="508">
        <f t="shared" si="19"/>
        <v>0</v>
      </c>
      <c r="DH40" s="508">
        <f t="shared" si="19"/>
        <v>0</v>
      </c>
      <c r="DI40" s="508">
        <f t="shared" si="19"/>
        <v>0</v>
      </c>
      <c r="DJ40" s="508">
        <f t="shared" si="19"/>
        <v>0</v>
      </c>
      <c r="DK40" s="508">
        <f t="shared" si="19"/>
        <v>0</v>
      </c>
      <c r="DL40" s="508">
        <f t="shared" si="20"/>
        <v>0</v>
      </c>
      <c r="DM40" s="508">
        <f t="shared" si="20"/>
        <v>0</v>
      </c>
      <c r="DN40" s="508">
        <f t="shared" si="20"/>
        <v>0</v>
      </c>
      <c r="DO40" s="508">
        <f t="shared" si="20"/>
        <v>0</v>
      </c>
      <c r="DP40" s="508">
        <f t="shared" si="20"/>
        <v>0</v>
      </c>
      <c r="DQ40" s="508">
        <f t="shared" si="20"/>
        <v>0</v>
      </c>
      <c r="DR40" s="508">
        <f t="shared" si="20"/>
        <v>0</v>
      </c>
      <c r="DS40" s="508">
        <f t="shared" si="21"/>
        <v>0</v>
      </c>
      <c r="DT40" s="508">
        <f t="shared" si="21"/>
        <v>0</v>
      </c>
      <c r="DU40" s="508">
        <f t="shared" si="21"/>
        <v>0</v>
      </c>
      <c r="DV40" s="508">
        <f t="shared" si="21"/>
        <v>0</v>
      </c>
      <c r="DW40" s="508">
        <f t="shared" si="21"/>
        <v>0</v>
      </c>
      <c r="DX40" s="508">
        <f t="shared" si="21"/>
        <v>0</v>
      </c>
      <c r="DY40" s="508">
        <f t="shared" si="21"/>
        <v>0</v>
      </c>
      <c r="DZ40" s="511">
        <f t="shared" si="22"/>
        <v>0</v>
      </c>
      <c r="EA40" s="511">
        <f t="shared" si="22"/>
        <v>0</v>
      </c>
      <c r="EB40" s="511">
        <f t="shared" si="22"/>
        <v>0</v>
      </c>
      <c r="EC40" s="511">
        <f t="shared" si="22"/>
        <v>0</v>
      </c>
      <c r="ED40" s="511">
        <f t="shared" si="22"/>
        <v>0</v>
      </c>
      <c r="EE40" s="511">
        <f t="shared" si="22"/>
        <v>0</v>
      </c>
      <c r="EF40" s="511">
        <f t="shared" si="22"/>
        <v>0</v>
      </c>
      <c r="EG40" s="511">
        <f t="shared" si="23"/>
        <v>0</v>
      </c>
      <c r="EH40" s="511">
        <f t="shared" si="23"/>
        <v>0</v>
      </c>
      <c r="EI40" s="511">
        <f t="shared" si="23"/>
        <v>0</v>
      </c>
      <c r="EJ40" s="511">
        <f t="shared" si="23"/>
        <v>0</v>
      </c>
      <c r="EK40" s="511">
        <f t="shared" si="23"/>
        <v>0</v>
      </c>
      <c r="EL40" s="511">
        <f t="shared" si="23"/>
        <v>0</v>
      </c>
      <c r="EM40" s="511">
        <f t="shared" si="23"/>
        <v>0</v>
      </c>
      <c r="EN40" s="511">
        <f t="shared" si="24"/>
        <v>0</v>
      </c>
      <c r="EO40" s="511">
        <f t="shared" si="24"/>
        <v>0</v>
      </c>
      <c r="EP40" s="511">
        <f t="shared" si="24"/>
        <v>0</v>
      </c>
      <c r="EQ40" s="511">
        <f t="shared" si="24"/>
        <v>0</v>
      </c>
      <c r="ER40" s="511">
        <f t="shared" si="24"/>
        <v>0</v>
      </c>
      <c r="ES40" s="511">
        <f t="shared" si="24"/>
        <v>0</v>
      </c>
      <c r="ET40" s="511">
        <f t="shared" si="24"/>
        <v>0</v>
      </c>
      <c r="EU40" s="777">
        <f t="shared" si="29"/>
        <v>0</v>
      </c>
      <c r="EV40" s="728">
        <f t="shared" si="30"/>
        <v>0</v>
      </c>
      <c r="EW40" s="728">
        <f t="shared" si="31"/>
        <v>0</v>
      </c>
      <c r="EX40" s="728">
        <f t="shared" si="32"/>
        <v>0</v>
      </c>
      <c r="EY40" s="728">
        <f t="shared" si="33"/>
        <v>0</v>
      </c>
      <c r="EZ40" s="777">
        <f t="shared" si="34"/>
        <v>0</v>
      </c>
      <c r="FA40" s="777">
        <f t="shared" si="35"/>
        <v>0</v>
      </c>
      <c r="FB40" s="778">
        <f t="shared" si="36"/>
        <v>0</v>
      </c>
      <c r="FD40" s="10" t="b">
        <f t="shared" si="54"/>
        <v>1</v>
      </c>
      <c r="FE40" s="10" t="b">
        <f t="shared" si="54"/>
        <v>1</v>
      </c>
      <c r="FF40" s="10" t="b">
        <f t="shared" si="54"/>
        <v>1</v>
      </c>
      <c r="FG40" s="10" t="b">
        <f t="shared" si="54"/>
        <v>1</v>
      </c>
      <c r="FH40" s="10" t="b">
        <f t="shared" si="54"/>
        <v>1</v>
      </c>
      <c r="FI40" s="10" t="b">
        <f t="shared" si="54"/>
        <v>1</v>
      </c>
      <c r="FJ40" s="10" t="b">
        <f t="shared" si="54"/>
        <v>1</v>
      </c>
    </row>
    <row r="41" spans="1:166" s="10" customFormat="1" ht="12.75" hidden="1" customHeight="1">
      <c r="A41" s="662">
        <v>35</v>
      </c>
      <c r="B41" s="789" t="s">
        <v>2110</v>
      </c>
      <c r="C41" s="662" t="s">
        <v>2111</v>
      </c>
      <c r="D41" s="715" t="s">
        <v>2112</v>
      </c>
      <c r="E41" s="662" t="s">
        <v>331</v>
      </c>
      <c r="F41" s="704" t="s">
        <v>402</v>
      </c>
      <c r="G41" s="704">
        <v>1295.1303</v>
      </c>
      <c r="H41" s="1237"/>
      <c r="I41" s="704">
        <f t="shared" si="2"/>
        <v>1295.1303</v>
      </c>
      <c r="J41" s="704">
        <v>0</v>
      </c>
      <c r="K41" s="704">
        <f t="shared" si="43"/>
        <v>647.56515000000002</v>
      </c>
      <c r="L41" s="711" t="s">
        <v>2113</v>
      </c>
      <c r="M41" s="707" t="s">
        <v>378</v>
      </c>
      <c r="N41" s="707">
        <f t="shared" si="48"/>
        <v>300</v>
      </c>
      <c r="O41" s="1237">
        <v>0</v>
      </c>
      <c r="P41" s="707">
        <v>0</v>
      </c>
      <c r="Q41" s="1022">
        <v>0</v>
      </c>
      <c r="R41" s="872">
        <v>0</v>
      </c>
      <c r="S41" s="1022">
        <v>51.537082012037658</v>
      </c>
      <c r="T41" s="711" t="s">
        <v>2040</v>
      </c>
      <c r="U41" s="712"/>
      <c r="V41" s="1124">
        <v>0</v>
      </c>
      <c r="W41" s="790"/>
      <c r="X41" s="790"/>
      <c r="Y41" s="790"/>
      <c r="Z41" s="790"/>
      <c r="AA41" s="790"/>
      <c r="AB41" s="790"/>
      <c r="AC41" s="781">
        <f t="shared" si="47"/>
        <v>0</v>
      </c>
      <c r="AD41" s="781">
        <f t="shared" si="46"/>
        <v>0</v>
      </c>
      <c r="AE41" s="781">
        <f t="shared" si="46"/>
        <v>0</v>
      </c>
      <c r="AF41" s="781">
        <f t="shared" si="46"/>
        <v>0</v>
      </c>
      <c r="AG41" s="781">
        <f t="shared" si="46"/>
        <v>0</v>
      </c>
      <c r="AH41" s="781">
        <f t="shared" si="62"/>
        <v>0</v>
      </c>
      <c r="AI41" s="781">
        <f t="shared" si="62"/>
        <v>0</v>
      </c>
      <c r="AJ41" s="711" t="s">
        <v>2013</v>
      </c>
      <c r="AK41" s="711" t="s">
        <v>375</v>
      </c>
      <c r="AL41" s="711" t="s">
        <v>376</v>
      </c>
      <c r="AM41" s="711" t="s">
        <v>1981</v>
      </c>
      <c r="AN41" s="711" t="s">
        <v>1</v>
      </c>
      <c r="AO41" s="711" t="s">
        <v>2114</v>
      </c>
      <c r="AP41" s="711" t="s">
        <v>2111</v>
      </c>
      <c r="AQ41" s="711" t="s">
        <v>2112</v>
      </c>
      <c r="AR41" s="715" t="s">
        <v>943</v>
      </c>
      <c r="AS41" s="715" t="s">
        <v>1941</v>
      </c>
      <c r="AT41" s="715" t="s">
        <v>381</v>
      </c>
      <c r="AU41" s="711">
        <v>11</v>
      </c>
      <c r="AV41" s="711">
        <v>11</v>
      </c>
      <c r="AW41" s="711" t="s">
        <v>2115</v>
      </c>
      <c r="AX41" s="716">
        <v>1</v>
      </c>
      <c r="AY41" s="716">
        <v>0</v>
      </c>
      <c r="AZ41" s="716">
        <v>1</v>
      </c>
      <c r="BA41" s="499">
        <f t="shared" si="4"/>
        <v>1295.1303</v>
      </c>
      <c r="BB41" s="499">
        <f t="shared" si="57"/>
        <v>1295.1303</v>
      </c>
      <c r="BC41" s="499">
        <f t="shared" si="57"/>
        <v>1295.1303</v>
      </c>
      <c r="BD41" s="499">
        <f t="shared" si="57"/>
        <v>1295.1303</v>
      </c>
      <c r="BE41" s="499">
        <f t="shared" si="6"/>
        <v>1295.1303</v>
      </c>
      <c r="BF41" s="499">
        <f t="shared" si="6"/>
        <v>1295.1303</v>
      </c>
      <c r="BG41" s="499">
        <f t="shared" si="6"/>
        <v>1295.1303</v>
      </c>
      <c r="BH41" s="499">
        <f t="shared" si="7"/>
        <v>0</v>
      </c>
      <c r="BI41" s="499">
        <f t="shared" si="58"/>
        <v>0</v>
      </c>
      <c r="BJ41" s="499">
        <f t="shared" si="58"/>
        <v>0</v>
      </c>
      <c r="BK41" s="499">
        <f t="shared" si="58"/>
        <v>0</v>
      </c>
      <c r="BL41" s="499">
        <f t="shared" si="58"/>
        <v>0</v>
      </c>
      <c r="BM41" s="499">
        <f t="shared" si="58"/>
        <v>0</v>
      </c>
      <c r="BN41" s="499">
        <f t="shared" si="58"/>
        <v>0</v>
      </c>
      <c r="BO41" s="499">
        <f t="shared" si="9"/>
        <v>300</v>
      </c>
      <c r="BP41" s="499">
        <f t="shared" si="56"/>
        <v>300</v>
      </c>
      <c r="BQ41" s="499">
        <f t="shared" si="56"/>
        <v>300</v>
      </c>
      <c r="BR41" s="499">
        <f t="shared" si="56"/>
        <v>300</v>
      </c>
      <c r="BS41" s="499">
        <f t="shared" si="56"/>
        <v>300</v>
      </c>
      <c r="BT41" s="499">
        <f t="shared" si="56"/>
        <v>300</v>
      </c>
      <c r="BU41" s="499">
        <f t="shared" si="56"/>
        <v>300</v>
      </c>
      <c r="BV41" s="503">
        <f t="shared" si="27"/>
        <v>0</v>
      </c>
      <c r="BW41" s="503">
        <f t="shared" si="27"/>
        <v>0</v>
      </c>
      <c r="BX41" s="503">
        <f t="shared" si="27"/>
        <v>0</v>
      </c>
      <c r="BY41" s="503">
        <f t="shared" si="27"/>
        <v>0</v>
      </c>
      <c r="BZ41" s="503">
        <f t="shared" si="27"/>
        <v>0</v>
      </c>
      <c r="CA41" s="503">
        <f t="shared" si="27"/>
        <v>0</v>
      </c>
      <c r="CB41" s="503">
        <f t="shared" si="27"/>
        <v>0</v>
      </c>
      <c r="CC41" s="511">
        <f t="shared" si="12"/>
        <v>0</v>
      </c>
      <c r="CD41" s="511">
        <f t="shared" si="59"/>
        <v>0</v>
      </c>
      <c r="CE41" s="511">
        <f t="shared" si="59"/>
        <v>0</v>
      </c>
      <c r="CF41" s="511">
        <f t="shared" si="59"/>
        <v>0</v>
      </c>
      <c r="CG41" s="511">
        <f t="shared" si="59"/>
        <v>0</v>
      </c>
      <c r="CH41" s="511">
        <f t="shared" si="59"/>
        <v>0</v>
      </c>
      <c r="CI41" s="511">
        <f t="shared" si="59"/>
        <v>0</v>
      </c>
      <c r="CJ41" s="511">
        <f t="shared" si="14"/>
        <v>0</v>
      </c>
      <c r="CK41" s="511">
        <f t="shared" si="60"/>
        <v>0</v>
      </c>
      <c r="CL41" s="511">
        <f t="shared" si="60"/>
        <v>0</v>
      </c>
      <c r="CM41" s="511">
        <f t="shared" si="60"/>
        <v>0</v>
      </c>
      <c r="CN41" s="511">
        <f t="shared" si="60"/>
        <v>0</v>
      </c>
      <c r="CO41" s="511">
        <f t="shared" si="60"/>
        <v>0</v>
      </c>
      <c r="CP41" s="511">
        <f t="shared" si="60"/>
        <v>0</v>
      </c>
      <c r="CQ41" s="511">
        <f t="shared" si="16"/>
        <v>51.537082012037658</v>
      </c>
      <c r="CR41" s="511">
        <f t="shared" si="61"/>
        <v>51.537082012037658</v>
      </c>
      <c r="CS41" s="511">
        <f t="shared" si="61"/>
        <v>51.537082012037658</v>
      </c>
      <c r="CT41" s="511">
        <f t="shared" si="61"/>
        <v>51.537082012037658</v>
      </c>
      <c r="CU41" s="511">
        <f t="shared" si="61"/>
        <v>51.537082012037658</v>
      </c>
      <c r="CV41" s="511">
        <f t="shared" si="61"/>
        <v>51.537082012037658</v>
      </c>
      <c r="CW41" s="511">
        <f t="shared" si="61"/>
        <v>51.537082012037658</v>
      </c>
      <c r="CX41" s="508">
        <f t="shared" si="28"/>
        <v>0</v>
      </c>
      <c r="CY41" s="508">
        <f t="shared" si="28"/>
        <v>0</v>
      </c>
      <c r="CZ41" s="508">
        <f t="shared" si="28"/>
        <v>0</v>
      </c>
      <c r="DA41" s="508">
        <f t="shared" si="28"/>
        <v>0</v>
      </c>
      <c r="DB41" s="508">
        <f t="shared" si="28"/>
        <v>0</v>
      </c>
      <c r="DC41" s="508">
        <f t="shared" si="28"/>
        <v>0</v>
      </c>
      <c r="DD41" s="508">
        <f t="shared" si="28"/>
        <v>0</v>
      </c>
      <c r="DE41" s="508">
        <f t="shared" si="19"/>
        <v>0</v>
      </c>
      <c r="DF41" s="508">
        <f t="shared" si="19"/>
        <v>0</v>
      </c>
      <c r="DG41" s="508">
        <f t="shared" si="19"/>
        <v>0</v>
      </c>
      <c r="DH41" s="508">
        <f t="shared" si="19"/>
        <v>0</v>
      </c>
      <c r="DI41" s="508">
        <f t="shared" si="19"/>
        <v>0</v>
      </c>
      <c r="DJ41" s="508">
        <f t="shared" si="19"/>
        <v>0</v>
      </c>
      <c r="DK41" s="508">
        <f t="shared" si="19"/>
        <v>0</v>
      </c>
      <c r="DL41" s="508">
        <f t="shared" si="20"/>
        <v>0</v>
      </c>
      <c r="DM41" s="508">
        <f t="shared" si="20"/>
        <v>0</v>
      </c>
      <c r="DN41" s="508">
        <f t="shared" si="20"/>
        <v>0</v>
      </c>
      <c r="DO41" s="508">
        <f t="shared" si="20"/>
        <v>0</v>
      </c>
      <c r="DP41" s="508">
        <f t="shared" si="20"/>
        <v>0</v>
      </c>
      <c r="DQ41" s="508">
        <f t="shared" si="20"/>
        <v>0</v>
      </c>
      <c r="DR41" s="508">
        <f t="shared" si="20"/>
        <v>0</v>
      </c>
      <c r="DS41" s="508">
        <f t="shared" si="21"/>
        <v>0</v>
      </c>
      <c r="DT41" s="508">
        <f t="shared" si="21"/>
        <v>0</v>
      </c>
      <c r="DU41" s="508">
        <f t="shared" si="21"/>
        <v>0</v>
      </c>
      <c r="DV41" s="508">
        <f t="shared" si="21"/>
        <v>0</v>
      </c>
      <c r="DW41" s="508">
        <f t="shared" si="21"/>
        <v>0</v>
      </c>
      <c r="DX41" s="508">
        <f t="shared" si="21"/>
        <v>0</v>
      </c>
      <c r="DY41" s="508">
        <f t="shared" si="21"/>
        <v>0</v>
      </c>
      <c r="DZ41" s="511">
        <f t="shared" si="22"/>
        <v>0</v>
      </c>
      <c r="EA41" s="511">
        <f t="shared" si="22"/>
        <v>0</v>
      </c>
      <c r="EB41" s="511">
        <f t="shared" si="22"/>
        <v>0</v>
      </c>
      <c r="EC41" s="511">
        <f t="shared" si="22"/>
        <v>0</v>
      </c>
      <c r="ED41" s="511">
        <f t="shared" si="22"/>
        <v>0</v>
      </c>
      <c r="EE41" s="511">
        <f t="shared" si="22"/>
        <v>0</v>
      </c>
      <c r="EF41" s="511">
        <f t="shared" si="22"/>
        <v>0</v>
      </c>
      <c r="EG41" s="511">
        <f t="shared" si="23"/>
        <v>0</v>
      </c>
      <c r="EH41" s="511">
        <f t="shared" si="23"/>
        <v>0</v>
      </c>
      <c r="EI41" s="511">
        <f t="shared" si="23"/>
        <v>0</v>
      </c>
      <c r="EJ41" s="511">
        <f t="shared" si="23"/>
        <v>0</v>
      </c>
      <c r="EK41" s="511">
        <f t="shared" si="23"/>
        <v>0</v>
      </c>
      <c r="EL41" s="511">
        <f t="shared" si="23"/>
        <v>0</v>
      </c>
      <c r="EM41" s="511">
        <f t="shared" si="23"/>
        <v>0</v>
      </c>
      <c r="EN41" s="511">
        <f t="shared" si="24"/>
        <v>0</v>
      </c>
      <c r="EO41" s="511">
        <f t="shared" si="24"/>
        <v>0</v>
      </c>
      <c r="EP41" s="511">
        <f t="shared" si="24"/>
        <v>0</v>
      </c>
      <c r="EQ41" s="511">
        <f t="shared" si="24"/>
        <v>0</v>
      </c>
      <c r="ER41" s="511">
        <f t="shared" si="24"/>
        <v>0</v>
      </c>
      <c r="ES41" s="511">
        <f t="shared" si="24"/>
        <v>0</v>
      </c>
      <c r="ET41" s="511">
        <f t="shared" si="24"/>
        <v>0</v>
      </c>
      <c r="EU41" s="777">
        <f t="shared" si="29"/>
        <v>0</v>
      </c>
      <c r="EV41" s="728">
        <f t="shared" si="30"/>
        <v>0</v>
      </c>
      <c r="EW41" s="728">
        <f t="shared" si="31"/>
        <v>0</v>
      </c>
      <c r="EX41" s="728">
        <f t="shared" si="32"/>
        <v>0</v>
      </c>
      <c r="EY41" s="728">
        <f t="shared" si="33"/>
        <v>0</v>
      </c>
      <c r="EZ41" s="777">
        <f t="shared" si="34"/>
        <v>0</v>
      </c>
      <c r="FA41" s="777">
        <f t="shared" si="35"/>
        <v>0</v>
      </c>
      <c r="FB41" s="778">
        <f t="shared" si="36"/>
        <v>0</v>
      </c>
      <c r="FD41" s="10" t="b">
        <f t="shared" si="54"/>
        <v>1</v>
      </c>
      <c r="FE41" s="10" t="b">
        <f t="shared" si="54"/>
        <v>1</v>
      </c>
      <c r="FF41" s="10" t="b">
        <f t="shared" si="54"/>
        <v>1</v>
      </c>
      <c r="FG41" s="10" t="b">
        <f t="shared" si="54"/>
        <v>1</v>
      </c>
      <c r="FH41" s="10" t="b">
        <f t="shared" si="54"/>
        <v>1</v>
      </c>
      <c r="FI41" s="10" t="b">
        <f t="shared" si="54"/>
        <v>1</v>
      </c>
      <c r="FJ41" s="10" t="b">
        <f t="shared" si="54"/>
        <v>1</v>
      </c>
    </row>
    <row r="42" spans="1:166" s="10" customFormat="1" ht="12.75" hidden="1" customHeight="1">
      <c r="A42" s="662">
        <v>36</v>
      </c>
      <c r="B42" s="789" t="s">
        <v>2116</v>
      </c>
      <c r="C42" s="662" t="s">
        <v>2117</v>
      </c>
      <c r="D42" s="715" t="s">
        <v>2112</v>
      </c>
      <c r="E42" s="662" t="s">
        <v>331</v>
      </c>
      <c r="F42" s="704" t="s">
        <v>402</v>
      </c>
      <c r="G42" s="704">
        <v>125.1973</v>
      </c>
      <c r="H42" s="1237"/>
      <c r="I42" s="704">
        <f t="shared" si="2"/>
        <v>125.1973</v>
      </c>
      <c r="J42" s="704">
        <v>0</v>
      </c>
      <c r="K42" s="704">
        <f t="shared" si="43"/>
        <v>62.598649999999999</v>
      </c>
      <c r="L42" s="711" t="s">
        <v>2113</v>
      </c>
      <c r="M42" s="707" t="s">
        <v>378</v>
      </c>
      <c r="N42" s="707">
        <f t="shared" si="48"/>
        <v>60</v>
      </c>
      <c r="O42" s="1237">
        <v>0</v>
      </c>
      <c r="P42" s="707">
        <v>0</v>
      </c>
      <c r="Q42" s="1022">
        <v>0</v>
      </c>
      <c r="R42" s="872">
        <v>0</v>
      </c>
      <c r="S42" s="1022">
        <v>12.362306452780928</v>
      </c>
      <c r="T42" s="711" t="s">
        <v>2040</v>
      </c>
      <c r="U42" s="712"/>
      <c r="V42" s="1124">
        <v>1.0592716019995238E-2</v>
      </c>
      <c r="W42" s="790"/>
      <c r="X42" s="790"/>
      <c r="Y42" s="790"/>
      <c r="Z42" s="790"/>
      <c r="AA42" s="790"/>
      <c r="AB42" s="790"/>
      <c r="AC42" s="781">
        <f t="shared" si="47"/>
        <v>30</v>
      </c>
      <c r="AD42" s="781">
        <f t="shared" si="46"/>
        <v>30</v>
      </c>
      <c r="AE42" s="781">
        <f t="shared" si="46"/>
        <v>30</v>
      </c>
      <c r="AF42" s="781">
        <f t="shared" si="46"/>
        <v>30</v>
      </c>
      <c r="AG42" s="781">
        <f t="shared" si="46"/>
        <v>30</v>
      </c>
      <c r="AH42" s="781">
        <f t="shared" si="62"/>
        <v>30</v>
      </c>
      <c r="AI42" s="781">
        <f t="shared" si="62"/>
        <v>30</v>
      </c>
      <c r="AJ42" s="711" t="s">
        <v>2013</v>
      </c>
      <c r="AK42" s="711" t="s">
        <v>375</v>
      </c>
      <c r="AL42" s="711" t="s">
        <v>376</v>
      </c>
      <c r="AM42" s="711" t="s">
        <v>1981</v>
      </c>
      <c r="AN42" s="711" t="s">
        <v>1</v>
      </c>
      <c r="AO42" s="711" t="s">
        <v>2118</v>
      </c>
      <c r="AP42" s="711" t="s">
        <v>2117</v>
      </c>
      <c r="AQ42" s="711" t="s">
        <v>2112</v>
      </c>
      <c r="AR42" s="715" t="s">
        <v>943</v>
      </c>
      <c r="AS42" s="715" t="s">
        <v>1941</v>
      </c>
      <c r="AT42" s="715" t="s">
        <v>381</v>
      </c>
      <c r="AU42" s="711">
        <v>11</v>
      </c>
      <c r="AV42" s="711">
        <v>11</v>
      </c>
      <c r="AW42" s="711" t="s">
        <v>2115</v>
      </c>
      <c r="AX42" s="716">
        <v>1</v>
      </c>
      <c r="AY42" s="716">
        <v>0</v>
      </c>
      <c r="AZ42" s="716">
        <v>1</v>
      </c>
      <c r="BA42" s="499">
        <f t="shared" si="4"/>
        <v>125.1973</v>
      </c>
      <c r="BB42" s="499">
        <f t="shared" si="57"/>
        <v>125.1973</v>
      </c>
      <c r="BC42" s="499">
        <f t="shared" si="57"/>
        <v>125.1973</v>
      </c>
      <c r="BD42" s="499">
        <f t="shared" si="57"/>
        <v>125.1973</v>
      </c>
      <c r="BE42" s="499">
        <f t="shared" si="6"/>
        <v>125.1973</v>
      </c>
      <c r="BF42" s="499">
        <f t="shared" si="6"/>
        <v>125.1973</v>
      </c>
      <c r="BG42" s="499">
        <f t="shared" si="6"/>
        <v>125.1973</v>
      </c>
      <c r="BH42" s="499">
        <f t="shared" si="7"/>
        <v>0</v>
      </c>
      <c r="BI42" s="499">
        <f t="shared" si="58"/>
        <v>0</v>
      </c>
      <c r="BJ42" s="499">
        <f t="shared" si="58"/>
        <v>0</v>
      </c>
      <c r="BK42" s="499">
        <f t="shared" si="58"/>
        <v>0</v>
      </c>
      <c r="BL42" s="499">
        <f t="shared" si="58"/>
        <v>0</v>
      </c>
      <c r="BM42" s="499">
        <f t="shared" si="58"/>
        <v>0</v>
      </c>
      <c r="BN42" s="499">
        <f t="shared" si="58"/>
        <v>0</v>
      </c>
      <c r="BO42" s="499">
        <f t="shared" si="9"/>
        <v>60</v>
      </c>
      <c r="BP42" s="499">
        <f t="shared" si="56"/>
        <v>60</v>
      </c>
      <c r="BQ42" s="499">
        <f t="shared" si="56"/>
        <v>60</v>
      </c>
      <c r="BR42" s="499">
        <f t="shared" si="56"/>
        <v>60</v>
      </c>
      <c r="BS42" s="499">
        <f t="shared" si="56"/>
        <v>60</v>
      </c>
      <c r="BT42" s="499">
        <f t="shared" si="56"/>
        <v>60</v>
      </c>
      <c r="BU42" s="499">
        <f t="shared" si="56"/>
        <v>60</v>
      </c>
      <c r="BV42" s="503">
        <f t="shared" si="27"/>
        <v>0</v>
      </c>
      <c r="BW42" s="503">
        <f t="shared" si="27"/>
        <v>0</v>
      </c>
      <c r="BX42" s="503">
        <f t="shared" si="27"/>
        <v>0</v>
      </c>
      <c r="BY42" s="503">
        <f t="shared" si="27"/>
        <v>0</v>
      </c>
      <c r="BZ42" s="503">
        <f t="shared" si="27"/>
        <v>0</v>
      </c>
      <c r="CA42" s="503">
        <f t="shared" si="27"/>
        <v>0</v>
      </c>
      <c r="CB42" s="503">
        <f t="shared" si="27"/>
        <v>0</v>
      </c>
      <c r="CC42" s="511">
        <f t="shared" si="12"/>
        <v>0</v>
      </c>
      <c r="CD42" s="511">
        <f t="shared" si="59"/>
        <v>0</v>
      </c>
      <c r="CE42" s="511">
        <f t="shared" si="59"/>
        <v>0</v>
      </c>
      <c r="CF42" s="511">
        <f t="shared" si="59"/>
        <v>0</v>
      </c>
      <c r="CG42" s="511">
        <f t="shared" si="59"/>
        <v>0</v>
      </c>
      <c r="CH42" s="511">
        <f t="shared" si="59"/>
        <v>0</v>
      </c>
      <c r="CI42" s="511">
        <f t="shared" si="59"/>
        <v>0</v>
      </c>
      <c r="CJ42" s="511">
        <f t="shared" si="14"/>
        <v>0</v>
      </c>
      <c r="CK42" s="511">
        <f t="shared" si="60"/>
        <v>0</v>
      </c>
      <c r="CL42" s="511">
        <f t="shared" si="60"/>
        <v>0</v>
      </c>
      <c r="CM42" s="511">
        <f t="shared" si="60"/>
        <v>0</v>
      </c>
      <c r="CN42" s="511">
        <f t="shared" si="60"/>
        <v>0</v>
      </c>
      <c r="CO42" s="511">
        <f t="shared" si="60"/>
        <v>0</v>
      </c>
      <c r="CP42" s="511">
        <f t="shared" si="60"/>
        <v>0</v>
      </c>
      <c r="CQ42" s="511">
        <f t="shared" si="16"/>
        <v>12.362306452780928</v>
      </c>
      <c r="CR42" s="511">
        <f t="shared" si="61"/>
        <v>12.362306452780928</v>
      </c>
      <c r="CS42" s="511">
        <f t="shared" si="61"/>
        <v>12.362306452780928</v>
      </c>
      <c r="CT42" s="511">
        <f t="shared" si="61"/>
        <v>12.362306452780928</v>
      </c>
      <c r="CU42" s="511">
        <f t="shared" si="61"/>
        <v>12.362306452780928</v>
      </c>
      <c r="CV42" s="511">
        <f t="shared" si="61"/>
        <v>12.362306452780928</v>
      </c>
      <c r="CW42" s="511">
        <f t="shared" si="61"/>
        <v>12.362306452780928</v>
      </c>
      <c r="CX42" s="508">
        <f t="shared" si="28"/>
        <v>3755.9189999999999</v>
      </c>
      <c r="CY42" s="508">
        <f t="shared" si="28"/>
        <v>3755.9189999999999</v>
      </c>
      <c r="CZ42" s="508">
        <f t="shared" si="28"/>
        <v>3755.9189999999999</v>
      </c>
      <c r="DA42" s="508">
        <f t="shared" si="28"/>
        <v>3755.9189999999999</v>
      </c>
      <c r="DB42" s="508">
        <f t="shared" si="28"/>
        <v>3755.9189999999999</v>
      </c>
      <c r="DC42" s="508">
        <f t="shared" si="28"/>
        <v>3755.9189999999999</v>
      </c>
      <c r="DD42" s="508">
        <f t="shared" si="28"/>
        <v>3755.9189999999999</v>
      </c>
      <c r="DE42" s="508">
        <f t="shared" si="19"/>
        <v>0</v>
      </c>
      <c r="DF42" s="508">
        <f t="shared" si="19"/>
        <v>0</v>
      </c>
      <c r="DG42" s="508">
        <f t="shared" si="19"/>
        <v>0</v>
      </c>
      <c r="DH42" s="508">
        <f t="shared" ref="DH42:DK49" si="63">AF42*BK42</f>
        <v>0</v>
      </c>
      <c r="DI42" s="508">
        <f t="shared" si="63"/>
        <v>0</v>
      </c>
      <c r="DJ42" s="508">
        <f t="shared" si="63"/>
        <v>0</v>
      </c>
      <c r="DK42" s="508">
        <f t="shared" si="63"/>
        <v>0</v>
      </c>
      <c r="DL42" s="508">
        <f t="shared" si="20"/>
        <v>1800</v>
      </c>
      <c r="DM42" s="508">
        <f t="shared" si="20"/>
        <v>1800</v>
      </c>
      <c r="DN42" s="508">
        <f t="shared" si="20"/>
        <v>1800</v>
      </c>
      <c r="DO42" s="508">
        <f t="shared" ref="DO42:DR49" si="64">AF42*BR42</f>
        <v>1800</v>
      </c>
      <c r="DP42" s="508">
        <f t="shared" si="64"/>
        <v>1800</v>
      </c>
      <c r="DQ42" s="508">
        <f t="shared" si="64"/>
        <v>1800</v>
      </c>
      <c r="DR42" s="508">
        <f t="shared" si="64"/>
        <v>1800</v>
      </c>
      <c r="DS42" s="508">
        <f t="shared" si="21"/>
        <v>0</v>
      </c>
      <c r="DT42" s="508">
        <f t="shared" si="21"/>
        <v>0</v>
      </c>
      <c r="DU42" s="508">
        <f t="shared" si="21"/>
        <v>0</v>
      </c>
      <c r="DV42" s="508">
        <f t="shared" ref="DV42:DY49" si="65">BY42*AF42</f>
        <v>0</v>
      </c>
      <c r="DW42" s="508">
        <f t="shared" si="65"/>
        <v>0</v>
      </c>
      <c r="DX42" s="508">
        <f t="shared" si="65"/>
        <v>0</v>
      </c>
      <c r="DY42" s="508">
        <f t="shared" si="65"/>
        <v>0</v>
      </c>
      <c r="DZ42" s="511">
        <f t="shared" si="22"/>
        <v>0</v>
      </c>
      <c r="EA42" s="511">
        <f t="shared" si="22"/>
        <v>0</v>
      </c>
      <c r="EB42" s="511">
        <f t="shared" si="22"/>
        <v>0</v>
      </c>
      <c r="EC42" s="511">
        <f t="shared" ref="EC42:EF49" si="66">AF42*CF42</f>
        <v>0</v>
      </c>
      <c r="ED42" s="511">
        <f t="shared" si="66"/>
        <v>0</v>
      </c>
      <c r="EE42" s="511">
        <f t="shared" si="66"/>
        <v>0</v>
      </c>
      <c r="EF42" s="511">
        <f t="shared" si="66"/>
        <v>0</v>
      </c>
      <c r="EG42" s="511">
        <f t="shared" si="23"/>
        <v>0</v>
      </c>
      <c r="EH42" s="511">
        <f t="shared" si="23"/>
        <v>0</v>
      </c>
      <c r="EI42" s="511">
        <f t="shared" si="23"/>
        <v>0</v>
      </c>
      <c r="EJ42" s="511">
        <f t="shared" ref="EJ42:EM49" si="67">AF42*CM42</f>
        <v>0</v>
      </c>
      <c r="EK42" s="511">
        <f t="shared" si="67"/>
        <v>0</v>
      </c>
      <c r="EL42" s="511">
        <f t="shared" si="67"/>
        <v>0</v>
      </c>
      <c r="EM42" s="511">
        <f t="shared" si="67"/>
        <v>0</v>
      </c>
      <c r="EN42" s="511">
        <f t="shared" si="24"/>
        <v>370.86919358342783</v>
      </c>
      <c r="EO42" s="511">
        <f t="shared" si="24"/>
        <v>370.86919358342783</v>
      </c>
      <c r="EP42" s="511">
        <f t="shared" si="24"/>
        <v>370.86919358342783</v>
      </c>
      <c r="EQ42" s="511">
        <f t="shared" ref="EQ42:ET49" si="68">AF42*CT42</f>
        <v>370.86919358342783</v>
      </c>
      <c r="ER42" s="511">
        <f t="shared" si="68"/>
        <v>370.86919358342783</v>
      </c>
      <c r="ES42" s="511">
        <f t="shared" si="68"/>
        <v>370.86919358342783</v>
      </c>
      <c r="ET42" s="511">
        <f t="shared" si="68"/>
        <v>370.86919358342783</v>
      </c>
      <c r="EU42" s="777">
        <f t="shared" si="29"/>
        <v>210</v>
      </c>
      <c r="EV42" s="728">
        <f t="shared" si="30"/>
        <v>26291.433000000005</v>
      </c>
      <c r="EW42" s="728">
        <f t="shared" si="31"/>
        <v>0</v>
      </c>
      <c r="EX42" s="728">
        <f t="shared" si="32"/>
        <v>12600</v>
      </c>
      <c r="EY42" s="728">
        <f t="shared" si="33"/>
        <v>0</v>
      </c>
      <c r="EZ42" s="777">
        <f t="shared" si="34"/>
        <v>0</v>
      </c>
      <c r="FA42" s="777">
        <f t="shared" si="35"/>
        <v>0</v>
      </c>
      <c r="FB42" s="778">
        <f t="shared" si="36"/>
        <v>2596.0843550839945</v>
      </c>
      <c r="FD42" s="10" t="b">
        <f t="shared" si="54"/>
        <v>1</v>
      </c>
      <c r="FE42" s="10" t="b">
        <f t="shared" si="54"/>
        <v>1</v>
      </c>
      <c r="FF42" s="10" t="b">
        <f t="shared" si="54"/>
        <v>1</v>
      </c>
      <c r="FG42" s="10" t="b">
        <f t="shared" si="54"/>
        <v>1</v>
      </c>
      <c r="FH42" s="10" t="b">
        <f t="shared" si="54"/>
        <v>1</v>
      </c>
      <c r="FI42" s="10" t="b">
        <f t="shared" si="54"/>
        <v>1</v>
      </c>
      <c r="FJ42" s="10" t="b">
        <f t="shared" si="54"/>
        <v>1</v>
      </c>
    </row>
    <row r="43" spans="1:166" s="10" customFormat="1" ht="12.75" hidden="1" customHeight="1">
      <c r="A43" s="662">
        <v>37</v>
      </c>
      <c r="B43" s="789" t="s">
        <v>2119</v>
      </c>
      <c r="C43" s="662" t="s">
        <v>2120</v>
      </c>
      <c r="D43" s="715" t="s">
        <v>2112</v>
      </c>
      <c r="E43" s="662" t="s">
        <v>331</v>
      </c>
      <c r="F43" s="704" t="s">
        <v>402</v>
      </c>
      <c r="G43" s="704">
        <v>664.85389999999995</v>
      </c>
      <c r="H43" s="1237"/>
      <c r="I43" s="704">
        <f t="shared" si="2"/>
        <v>664.85389999999995</v>
      </c>
      <c r="J43" s="704">
        <v>0</v>
      </c>
      <c r="K43" s="704">
        <f t="shared" si="43"/>
        <v>332.42694999999998</v>
      </c>
      <c r="L43" s="711" t="s">
        <v>2121</v>
      </c>
      <c r="M43" s="707" t="s">
        <v>378</v>
      </c>
      <c r="N43" s="707">
        <f t="shared" si="48"/>
        <v>300</v>
      </c>
      <c r="O43" s="1237">
        <v>0</v>
      </c>
      <c r="P43" s="707">
        <v>0</v>
      </c>
      <c r="Q43" s="1022">
        <v>0</v>
      </c>
      <c r="R43" s="872">
        <v>0</v>
      </c>
      <c r="S43" s="1022">
        <v>51.527082012037667</v>
      </c>
      <c r="T43" s="711" t="s">
        <v>2040</v>
      </c>
      <c r="U43" s="712"/>
      <c r="V43" s="1124">
        <v>0</v>
      </c>
      <c r="W43" s="790"/>
      <c r="X43" s="790"/>
      <c r="Y43" s="790"/>
      <c r="Z43" s="790"/>
      <c r="AA43" s="790"/>
      <c r="AB43" s="790"/>
      <c r="AC43" s="781">
        <f t="shared" si="47"/>
        <v>0</v>
      </c>
      <c r="AD43" s="781">
        <f t="shared" si="46"/>
        <v>0</v>
      </c>
      <c r="AE43" s="781">
        <f t="shared" si="46"/>
        <v>0</v>
      </c>
      <c r="AF43" s="781">
        <f t="shared" si="46"/>
        <v>0</v>
      </c>
      <c r="AG43" s="781">
        <f t="shared" si="46"/>
        <v>0</v>
      </c>
      <c r="AH43" s="781">
        <f t="shared" si="62"/>
        <v>0</v>
      </c>
      <c r="AI43" s="781">
        <f t="shared" si="62"/>
        <v>0</v>
      </c>
      <c r="AJ43" s="711" t="s">
        <v>2013</v>
      </c>
      <c r="AK43" s="711" t="s">
        <v>375</v>
      </c>
      <c r="AL43" s="711" t="s">
        <v>376</v>
      </c>
      <c r="AM43" s="711" t="s">
        <v>1981</v>
      </c>
      <c r="AN43" s="711" t="s">
        <v>1</v>
      </c>
      <c r="AO43" s="711" t="s">
        <v>2122</v>
      </c>
      <c r="AP43" s="711" t="s">
        <v>2120</v>
      </c>
      <c r="AQ43" s="711" t="s">
        <v>2112</v>
      </c>
      <c r="AR43" s="715" t="s">
        <v>943</v>
      </c>
      <c r="AS43" s="715" t="s">
        <v>1941</v>
      </c>
      <c r="AT43" s="715" t="s">
        <v>381</v>
      </c>
      <c r="AU43" s="711">
        <v>11</v>
      </c>
      <c r="AV43" s="711">
        <v>11</v>
      </c>
      <c r="AW43" s="711" t="s">
        <v>2115</v>
      </c>
      <c r="AX43" s="716">
        <v>1</v>
      </c>
      <c r="AY43" s="716">
        <v>0</v>
      </c>
      <c r="AZ43" s="716">
        <v>1</v>
      </c>
      <c r="BA43" s="499">
        <f t="shared" si="4"/>
        <v>664.85389999999995</v>
      </c>
      <c r="BB43" s="499">
        <f t="shared" si="57"/>
        <v>664.85389999999995</v>
      </c>
      <c r="BC43" s="499">
        <f t="shared" si="57"/>
        <v>664.85389999999995</v>
      </c>
      <c r="BD43" s="499">
        <f t="shared" si="57"/>
        <v>664.85389999999995</v>
      </c>
      <c r="BE43" s="499">
        <f t="shared" si="6"/>
        <v>664.85389999999995</v>
      </c>
      <c r="BF43" s="499">
        <f t="shared" si="6"/>
        <v>664.85389999999995</v>
      </c>
      <c r="BG43" s="499">
        <f t="shared" si="6"/>
        <v>664.85389999999995</v>
      </c>
      <c r="BH43" s="499">
        <f t="shared" si="7"/>
        <v>0</v>
      </c>
      <c r="BI43" s="499">
        <f t="shared" si="58"/>
        <v>0</v>
      </c>
      <c r="BJ43" s="499">
        <f t="shared" si="58"/>
        <v>0</v>
      </c>
      <c r="BK43" s="499">
        <f t="shared" si="58"/>
        <v>0</v>
      </c>
      <c r="BL43" s="499">
        <f t="shared" si="58"/>
        <v>0</v>
      </c>
      <c r="BM43" s="499">
        <f t="shared" si="58"/>
        <v>0</v>
      </c>
      <c r="BN43" s="499">
        <f t="shared" si="58"/>
        <v>0</v>
      </c>
      <c r="BO43" s="499">
        <f t="shared" si="9"/>
        <v>300</v>
      </c>
      <c r="BP43" s="499">
        <f t="shared" si="56"/>
        <v>300</v>
      </c>
      <c r="BQ43" s="499">
        <f t="shared" si="56"/>
        <v>300</v>
      </c>
      <c r="BR43" s="499">
        <f t="shared" si="56"/>
        <v>300</v>
      </c>
      <c r="BS43" s="499">
        <f t="shared" si="56"/>
        <v>300</v>
      </c>
      <c r="BT43" s="499">
        <f t="shared" si="56"/>
        <v>300</v>
      </c>
      <c r="BU43" s="499">
        <f t="shared" si="56"/>
        <v>300</v>
      </c>
      <c r="BV43" s="503">
        <f t="shared" si="27"/>
        <v>0</v>
      </c>
      <c r="BW43" s="503">
        <f t="shared" si="27"/>
        <v>0</v>
      </c>
      <c r="BX43" s="503">
        <f t="shared" si="27"/>
        <v>0</v>
      </c>
      <c r="BY43" s="503">
        <f t="shared" si="27"/>
        <v>0</v>
      </c>
      <c r="BZ43" s="503">
        <f t="shared" si="27"/>
        <v>0</v>
      </c>
      <c r="CA43" s="503">
        <f t="shared" si="27"/>
        <v>0</v>
      </c>
      <c r="CB43" s="503">
        <f t="shared" si="27"/>
        <v>0</v>
      </c>
      <c r="CC43" s="511">
        <f t="shared" si="12"/>
        <v>0</v>
      </c>
      <c r="CD43" s="511">
        <f t="shared" si="59"/>
        <v>0</v>
      </c>
      <c r="CE43" s="511">
        <f t="shared" si="59"/>
        <v>0</v>
      </c>
      <c r="CF43" s="511">
        <f t="shared" si="59"/>
        <v>0</v>
      </c>
      <c r="CG43" s="511">
        <f t="shared" si="59"/>
        <v>0</v>
      </c>
      <c r="CH43" s="511">
        <f t="shared" si="59"/>
        <v>0</v>
      </c>
      <c r="CI43" s="511">
        <f t="shared" si="59"/>
        <v>0</v>
      </c>
      <c r="CJ43" s="511">
        <f t="shared" si="14"/>
        <v>0</v>
      </c>
      <c r="CK43" s="511">
        <f t="shared" si="60"/>
        <v>0</v>
      </c>
      <c r="CL43" s="511">
        <f t="shared" si="60"/>
        <v>0</v>
      </c>
      <c r="CM43" s="511">
        <f t="shared" si="60"/>
        <v>0</v>
      </c>
      <c r="CN43" s="511">
        <f t="shared" si="60"/>
        <v>0</v>
      </c>
      <c r="CO43" s="511">
        <f t="shared" si="60"/>
        <v>0</v>
      </c>
      <c r="CP43" s="511">
        <f t="shared" si="60"/>
        <v>0</v>
      </c>
      <c r="CQ43" s="511">
        <f t="shared" si="16"/>
        <v>51.527082012037667</v>
      </c>
      <c r="CR43" s="511">
        <f t="shared" si="61"/>
        <v>51.527082012037667</v>
      </c>
      <c r="CS43" s="511">
        <f t="shared" si="61"/>
        <v>51.527082012037667</v>
      </c>
      <c r="CT43" s="511">
        <f t="shared" si="61"/>
        <v>51.527082012037667</v>
      </c>
      <c r="CU43" s="511">
        <f t="shared" si="61"/>
        <v>51.527082012037667</v>
      </c>
      <c r="CV43" s="511">
        <f t="shared" si="61"/>
        <v>51.527082012037667</v>
      </c>
      <c r="CW43" s="511">
        <f t="shared" si="61"/>
        <v>51.527082012037667</v>
      </c>
      <c r="CX43" s="508">
        <f t="shared" si="28"/>
        <v>0</v>
      </c>
      <c r="CY43" s="508">
        <f t="shared" si="28"/>
        <v>0</v>
      </c>
      <c r="CZ43" s="508">
        <f t="shared" si="28"/>
        <v>0</v>
      </c>
      <c r="DA43" s="508">
        <f t="shared" si="28"/>
        <v>0</v>
      </c>
      <c r="DB43" s="508">
        <f t="shared" si="28"/>
        <v>0</v>
      </c>
      <c r="DC43" s="508">
        <f t="shared" si="28"/>
        <v>0</v>
      </c>
      <c r="DD43" s="508">
        <f t="shared" si="28"/>
        <v>0</v>
      </c>
      <c r="DE43" s="508">
        <f t="shared" ref="DE43:DG49" si="69">AC43*BH43</f>
        <v>0</v>
      </c>
      <c r="DF43" s="508">
        <f t="shared" si="69"/>
        <v>0</v>
      </c>
      <c r="DG43" s="508">
        <f t="shared" si="69"/>
        <v>0</v>
      </c>
      <c r="DH43" s="508">
        <f t="shared" si="63"/>
        <v>0</v>
      </c>
      <c r="DI43" s="508">
        <f t="shared" si="63"/>
        <v>0</v>
      </c>
      <c r="DJ43" s="508">
        <f t="shared" si="63"/>
        <v>0</v>
      </c>
      <c r="DK43" s="508">
        <f t="shared" si="63"/>
        <v>0</v>
      </c>
      <c r="DL43" s="508">
        <f t="shared" ref="DL43:DN49" si="70">AC43*BO43</f>
        <v>0</v>
      </c>
      <c r="DM43" s="508">
        <f t="shared" si="70"/>
        <v>0</v>
      </c>
      <c r="DN43" s="508">
        <f t="shared" si="70"/>
        <v>0</v>
      </c>
      <c r="DO43" s="508">
        <f t="shared" si="64"/>
        <v>0</v>
      </c>
      <c r="DP43" s="508">
        <f t="shared" si="64"/>
        <v>0</v>
      </c>
      <c r="DQ43" s="508">
        <f t="shared" si="64"/>
        <v>0</v>
      </c>
      <c r="DR43" s="508">
        <f t="shared" si="64"/>
        <v>0</v>
      </c>
      <c r="DS43" s="508">
        <f t="shared" ref="DS43:DU49" si="71">BV43*AC43</f>
        <v>0</v>
      </c>
      <c r="DT43" s="508">
        <f t="shared" si="71"/>
        <v>0</v>
      </c>
      <c r="DU43" s="508">
        <f t="shared" si="71"/>
        <v>0</v>
      </c>
      <c r="DV43" s="508">
        <f t="shared" si="65"/>
        <v>0</v>
      </c>
      <c r="DW43" s="508">
        <f t="shared" si="65"/>
        <v>0</v>
      </c>
      <c r="DX43" s="508">
        <f t="shared" si="65"/>
        <v>0</v>
      </c>
      <c r="DY43" s="508">
        <f t="shared" si="65"/>
        <v>0</v>
      </c>
      <c r="DZ43" s="511">
        <f t="shared" ref="DZ43:EB49" si="72">AC43*CC43</f>
        <v>0</v>
      </c>
      <c r="EA43" s="511">
        <f t="shared" si="72"/>
        <v>0</v>
      </c>
      <c r="EB43" s="511">
        <f t="shared" si="72"/>
        <v>0</v>
      </c>
      <c r="EC43" s="511">
        <f t="shared" si="66"/>
        <v>0</v>
      </c>
      <c r="ED43" s="511">
        <f t="shared" si="66"/>
        <v>0</v>
      </c>
      <c r="EE43" s="511">
        <f t="shared" si="66"/>
        <v>0</v>
      </c>
      <c r="EF43" s="511">
        <f t="shared" si="66"/>
        <v>0</v>
      </c>
      <c r="EG43" s="511">
        <f t="shared" ref="EG43:EI49" si="73">AC43*CJ43</f>
        <v>0</v>
      </c>
      <c r="EH43" s="511">
        <f t="shared" si="73"/>
        <v>0</v>
      </c>
      <c r="EI43" s="511">
        <f t="shared" si="73"/>
        <v>0</v>
      </c>
      <c r="EJ43" s="511">
        <f t="shared" si="67"/>
        <v>0</v>
      </c>
      <c r="EK43" s="511">
        <f t="shared" si="67"/>
        <v>0</v>
      </c>
      <c r="EL43" s="511">
        <f t="shared" si="67"/>
        <v>0</v>
      </c>
      <c r="EM43" s="511">
        <f t="shared" si="67"/>
        <v>0</v>
      </c>
      <c r="EN43" s="511">
        <f t="shared" ref="EN43:EP49" si="74">AC43*CQ43</f>
        <v>0</v>
      </c>
      <c r="EO43" s="511">
        <f t="shared" si="74"/>
        <v>0</v>
      </c>
      <c r="EP43" s="511">
        <f t="shared" si="74"/>
        <v>0</v>
      </c>
      <c r="EQ43" s="511">
        <f t="shared" si="68"/>
        <v>0</v>
      </c>
      <c r="ER43" s="511">
        <f t="shared" si="68"/>
        <v>0</v>
      </c>
      <c r="ES43" s="511">
        <f t="shared" si="68"/>
        <v>0</v>
      </c>
      <c r="ET43" s="511">
        <f t="shared" si="68"/>
        <v>0</v>
      </c>
      <c r="EU43" s="777">
        <f t="shared" si="29"/>
        <v>0</v>
      </c>
      <c r="EV43" s="728">
        <f t="shared" si="30"/>
        <v>0</v>
      </c>
      <c r="EW43" s="728">
        <f t="shared" si="31"/>
        <v>0</v>
      </c>
      <c r="EX43" s="728">
        <f t="shared" si="32"/>
        <v>0</v>
      </c>
      <c r="EY43" s="728">
        <f t="shared" si="33"/>
        <v>0</v>
      </c>
      <c r="EZ43" s="777">
        <f t="shared" si="34"/>
        <v>0</v>
      </c>
      <c r="FA43" s="777">
        <f t="shared" si="35"/>
        <v>0</v>
      </c>
      <c r="FB43" s="778">
        <f t="shared" si="36"/>
        <v>0</v>
      </c>
      <c r="FD43" s="10" t="b">
        <f t="shared" si="54"/>
        <v>1</v>
      </c>
      <c r="FE43" s="10" t="b">
        <f t="shared" si="54"/>
        <v>1</v>
      </c>
      <c r="FF43" s="10" t="b">
        <f t="shared" si="54"/>
        <v>1</v>
      </c>
      <c r="FG43" s="10" t="b">
        <f t="shared" si="54"/>
        <v>1</v>
      </c>
      <c r="FH43" s="10" t="b">
        <f t="shared" si="54"/>
        <v>1</v>
      </c>
      <c r="FI43" s="10" t="b">
        <f t="shared" si="54"/>
        <v>1</v>
      </c>
      <c r="FJ43" s="10" t="b">
        <f t="shared" si="54"/>
        <v>1</v>
      </c>
    </row>
    <row r="44" spans="1:166" s="525" customFormat="1" ht="12.75" hidden="1" customHeight="1">
      <c r="A44" s="1238">
        <v>38</v>
      </c>
      <c r="B44" s="1239" t="s">
        <v>951</v>
      </c>
      <c r="C44" s="1238" t="s">
        <v>2123</v>
      </c>
      <c r="D44" s="1240" t="s">
        <v>2124</v>
      </c>
      <c r="E44" s="1238" t="s">
        <v>331</v>
      </c>
      <c r="F44" s="1241" t="s">
        <v>402</v>
      </c>
      <c r="G44" s="1241">
        <v>1422.8273999999999</v>
      </c>
      <c r="H44" s="1242"/>
      <c r="I44" s="1241">
        <f t="shared" si="2"/>
        <v>1422.8273999999999</v>
      </c>
      <c r="J44" s="1241">
        <v>0</v>
      </c>
      <c r="K44" s="1241">
        <f t="shared" si="43"/>
        <v>711.41369999999995</v>
      </c>
      <c r="L44" s="1243" t="s">
        <v>2125</v>
      </c>
      <c r="M44" s="1244" t="s">
        <v>378</v>
      </c>
      <c r="N44" s="1244">
        <f t="shared" si="48"/>
        <v>300</v>
      </c>
      <c r="O44" s="1242">
        <v>0</v>
      </c>
      <c r="P44" s="1244">
        <v>0</v>
      </c>
      <c r="Q44" s="1245">
        <f>$O$207</f>
        <v>289.95511020164105</v>
      </c>
      <c r="R44" s="1246">
        <v>0.1160707319801524</v>
      </c>
      <c r="S44" s="1245">
        <f>$Q$207</f>
        <v>20.293336281766397</v>
      </c>
      <c r="T44" s="1243" t="s">
        <v>1980</v>
      </c>
      <c r="U44" s="1247"/>
      <c r="V44" s="1248">
        <v>7.6172339919066889E-3</v>
      </c>
      <c r="W44" s="1249"/>
      <c r="X44" s="1249"/>
      <c r="Y44" s="1249"/>
      <c r="Z44" s="1249"/>
      <c r="AA44" s="1249"/>
      <c r="AB44" s="1249"/>
      <c r="AC44" s="1250">
        <f>MROUND((AC$6+AC$7)*$V44,5)</f>
        <v>20</v>
      </c>
      <c r="AD44" s="1250">
        <f t="shared" ref="AD44:AG48" si="75">MROUND((AD$6+AD$7)*$V44,5)</f>
        <v>20</v>
      </c>
      <c r="AE44" s="1250">
        <f t="shared" si="75"/>
        <v>20</v>
      </c>
      <c r="AF44" s="1250">
        <f t="shared" si="75"/>
        <v>20</v>
      </c>
      <c r="AG44" s="1250">
        <f t="shared" si="75"/>
        <v>20</v>
      </c>
      <c r="AH44" s="1250">
        <f t="shared" si="62"/>
        <v>20</v>
      </c>
      <c r="AI44" s="1250">
        <f t="shared" si="62"/>
        <v>20</v>
      </c>
      <c r="AJ44" s="1243" t="s">
        <v>374</v>
      </c>
      <c r="AK44" s="1243" t="s">
        <v>375</v>
      </c>
      <c r="AL44" s="1243" t="s">
        <v>376</v>
      </c>
      <c r="AM44" s="1243" t="s">
        <v>2002</v>
      </c>
      <c r="AN44" s="1243" t="s">
        <v>1</v>
      </c>
      <c r="AO44" s="1243" t="s">
        <v>2126</v>
      </c>
      <c r="AP44" s="1243" t="s">
        <v>2123</v>
      </c>
      <c r="AQ44" s="1243" t="s">
        <v>2124</v>
      </c>
      <c r="AR44" s="1240" t="s">
        <v>406</v>
      </c>
      <c r="AS44" s="1240" t="s">
        <v>407</v>
      </c>
      <c r="AT44" s="1240" t="s">
        <v>381</v>
      </c>
      <c r="AU44" s="1243">
        <v>20</v>
      </c>
      <c r="AV44" s="1243">
        <v>20</v>
      </c>
      <c r="AW44" s="1243" t="s">
        <v>2127</v>
      </c>
      <c r="AX44" s="1251">
        <v>1</v>
      </c>
      <c r="AY44" s="1251">
        <v>1</v>
      </c>
      <c r="AZ44" s="1251">
        <v>1</v>
      </c>
      <c r="BA44" s="1252">
        <f t="shared" si="4"/>
        <v>1422.8273999999999</v>
      </c>
      <c r="BB44" s="1252">
        <f t="shared" si="57"/>
        <v>1422.8273999999999</v>
      </c>
      <c r="BC44" s="1252">
        <f t="shared" si="57"/>
        <v>1422.8273999999999</v>
      </c>
      <c r="BD44" s="1252">
        <f t="shared" si="57"/>
        <v>1422.8273999999999</v>
      </c>
      <c r="BE44" s="1252">
        <f t="shared" si="6"/>
        <v>1422.8273999999999</v>
      </c>
      <c r="BF44" s="1252">
        <f t="shared" si="6"/>
        <v>1422.8273999999999</v>
      </c>
      <c r="BG44" s="1252">
        <f t="shared" si="6"/>
        <v>1422.8273999999999</v>
      </c>
      <c r="BH44" s="1252">
        <f t="shared" si="7"/>
        <v>0</v>
      </c>
      <c r="BI44" s="1252">
        <f t="shared" si="58"/>
        <v>0</v>
      </c>
      <c r="BJ44" s="1252">
        <f t="shared" si="58"/>
        <v>0</v>
      </c>
      <c r="BK44" s="1252">
        <f t="shared" si="58"/>
        <v>0</v>
      </c>
      <c r="BL44" s="1252">
        <f t="shared" si="58"/>
        <v>0</v>
      </c>
      <c r="BM44" s="1252">
        <f t="shared" si="58"/>
        <v>0</v>
      </c>
      <c r="BN44" s="1252">
        <f t="shared" si="58"/>
        <v>0</v>
      </c>
      <c r="BO44" s="1252">
        <f t="shared" si="9"/>
        <v>300</v>
      </c>
      <c r="BP44" s="1252">
        <f t="shared" si="56"/>
        <v>300</v>
      </c>
      <c r="BQ44" s="1252">
        <f t="shared" si="56"/>
        <v>300</v>
      </c>
      <c r="BR44" s="1252">
        <f t="shared" si="56"/>
        <v>300</v>
      </c>
      <c r="BS44" s="1252">
        <f t="shared" si="56"/>
        <v>300</v>
      </c>
      <c r="BT44" s="1252">
        <f t="shared" si="56"/>
        <v>300</v>
      </c>
      <c r="BU44" s="1252">
        <f t="shared" si="56"/>
        <v>300</v>
      </c>
      <c r="BV44" s="1253">
        <f t="shared" si="27"/>
        <v>0</v>
      </c>
      <c r="BW44" s="1253">
        <f t="shared" si="27"/>
        <v>0</v>
      </c>
      <c r="BX44" s="1253">
        <f t="shared" si="27"/>
        <v>0</v>
      </c>
      <c r="BY44" s="1253">
        <f t="shared" si="27"/>
        <v>0</v>
      </c>
      <c r="BZ44" s="1253">
        <f t="shared" si="27"/>
        <v>0</v>
      </c>
      <c r="CA44" s="1253">
        <f t="shared" si="27"/>
        <v>0</v>
      </c>
      <c r="CB44" s="1253">
        <f t="shared" si="27"/>
        <v>0</v>
      </c>
      <c r="CC44" s="1254">
        <f t="shared" si="12"/>
        <v>289.95511020164105</v>
      </c>
      <c r="CD44" s="1254">
        <f t="shared" si="59"/>
        <v>289.95511020164105</v>
      </c>
      <c r="CE44" s="1254">
        <f t="shared" si="59"/>
        <v>289.95511020164105</v>
      </c>
      <c r="CF44" s="1254">
        <f t="shared" si="59"/>
        <v>289.95511020164105</v>
      </c>
      <c r="CG44" s="1254">
        <f t="shared" si="59"/>
        <v>289.95511020164105</v>
      </c>
      <c r="CH44" s="1254">
        <f t="shared" si="59"/>
        <v>289.95511020164105</v>
      </c>
      <c r="CI44" s="1254">
        <f t="shared" si="59"/>
        <v>289.95511020164105</v>
      </c>
      <c r="CJ44" s="1254">
        <f t="shared" si="14"/>
        <v>0.1160707319801524</v>
      </c>
      <c r="CK44" s="1254">
        <f t="shared" si="60"/>
        <v>0.1160707319801524</v>
      </c>
      <c r="CL44" s="1254">
        <f t="shared" si="60"/>
        <v>0.1160707319801524</v>
      </c>
      <c r="CM44" s="1254">
        <f t="shared" si="60"/>
        <v>0.1160707319801524</v>
      </c>
      <c r="CN44" s="1254">
        <f t="shared" si="60"/>
        <v>0.1160707319801524</v>
      </c>
      <c r="CO44" s="1254">
        <f t="shared" si="60"/>
        <v>0.1160707319801524</v>
      </c>
      <c r="CP44" s="1254">
        <f t="shared" si="60"/>
        <v>0.1160707319801524</v>
      </c>
      <c r="CQ44" s="1254">
        <f t="shared" si="16"/>
        <v>20.293336281766397</v>
      </c>
      <c r="CR44" s="1254">
        <f t="shared" si="61"/>
        <v>20.293336281766397</v>
      </c>
      <c r="CS44" s="1254">
        <f t="shared" si="61"/>
        <v>20.293336281766397</v>
      </c>
      <c r="CT44" s="1254">
        <f t="shared" si="61"/>
        <v>20.293336281766397</v>
      </c>
      <c r="CU44" s="1254">
        <f t="shared" si="61"/>
        <v>20.293336281766397</v>
      </c>
      <c r="CV44" s="1254">
        <f t="shared" si="61"/>
        <v>20.293336281766397</v>
      </c>
      <c r="CW44" s="1254">
        <f t="shared" si="61"/>
        <v>20.293336281766397</v>
      </c>
      <c r="CX44" s="1255">
        <f t="shared" si="28"/>
        <v>28456.547999999999</v>
      </c>
      <c r="CY44" s="1255">
        <f t="shared" si="28"/>
        <v>28456.547999999999</v>
      </c>
      <c r="CZ44" s="1255">
        <f t="shared" si="28"/>
        <v>28456.547999999999</v>
      </c>
      <c r="DA44" s="1255">
        <f t="shared" si="28"/>
        <v>28456.547999999999</v>
      </c>
      <c r="DB44" s="1255">
        <f t="shared" si="28"/>
        <v>28456.547999999999</v>
      </c>
      <c r="DC44" s="1255">
        <f t="shared" si="28"/>
        <v>28456.547999999999</v>
      </c>
      <c r="DD44" s="1255">
        <f t="shared" si="28"/>
        <v>28456.547999999999</v>
      </c>
      <c r="DE44" s="1255">
        <f t="shared" si="69"/>
        <v>0</v>
      </c>
      <c r="DF44" s="1255">
        <f t="shared" si="69"/>
        <v>0</v>
      </c>
      <c r="DG44" s="1255">
        <f t="shared" si="69"/>
        <v>0</v>
      </c>
      <c r="DH44" s="1255">
        <f t="shared" si="63"/>
        <v>0</v>
      </c>
      <c r="DI44" s="1255">
        <f t="shared" si="63"/>
        <v>0</v>
      </c>
      <c r="DJ44" s="1255">
        <f t="shared" si="63"/>
        <v>0</v>
      </c>
      <c r="DK44" s="1255">
        <f t="shared" si="63"/>
        <v>0</v>
      </c>
      <c r="DL44" s="1255">
        <f t="shared" si="70"/>
        <v>6000</v>
      </c>
      <c r="DM44" s="1255">
        <f t="shared" si="70"/>
        <v>6000</v>
      </c>
      <c r="DN44" s="1255">
        <f t="shared" si="70"/>
        <v>6000</v>
      </c>
      <c r="DO44" s="1255">
        <f t="shared" si="64"/>
        <v>6000</v>
      </c>
      <c r="DP44" s="1255">
        <f t="shared" si="64"/>
        <v>6000</v>
      </c>
      <c r="DQ44" s="1255">
        <f t="shared" si="64"/>
        <v>6000</v>
      </c>
      <c r="DR44" s="1255">
        <f t="shared" si="64"/>
        <v>6000</v>
      </c>
      <c r="DS44" s="1255">
        <f t="shared" si="71"/>
        <v>0</v>
      </c>
      <c r="DT44" s="1255">
        <f t="shared" si="71"/>
        <v>0</v>
      </c>
      <c r="DU44" s="1255">
        <f t="shared" si="71"/>
        <v>0</v>
      </c>
      <c r="DV44" s="1255">
        <f t="shared" si="65"/>
        <v>0</v>
      </c>
      <c r="DW44" s="1255">
        <f t="shared" si="65"/>
        <v>0</v>
      </c>
      <c r="DX44" s="1255">
        <f t="shared" si="65"/>
        <v>0</v>
      </c>
      <c r="DY44" s="1255">
        <f t="shared" si="65"/>
        <v>0</v>
      </c>
      <c r="DZ44" s="1254">
        <f t="shared" si="72"/>
        <v>5799.1022040328207</v>
      </c>
      <c r="EA44" s="1254">
        <f t="shared" si="72"/>
        <v>5799.1022040328207</v>
      </c>
      <c r="EB44" s="1254">
        <f t="shared" si="72"/>
        <v>5799.1022040328207</v>
      </c>
      <c r="EC44" s="1254">
        <f t="shared" si="66"/>
        <v>5799.1022040328207</v>
      </c>
      <c r="ED44" s="1254">
        <f t="shared" si="66"/>
        <v>5799.1022040328207</v>
      </c>
      <c r="EE44" s="1254">
        <f t="shared" si="66"/>
        <v>5799.1022040328207</v>
      </c>
      <c r="EF44" s="1254">
        <f t="shared" si="66"/>
        <v>5799.1022040328207</v>
      </c>
      <c r="EG44" s="1254">
        <f t="shared" si="73"/>
        <v>2.3214146396030482</v>
      </c>
      <c r="EH44" s="1254">
        <f t="shared" si="73"/>
        <v>2.3214146396030482</v>
      </c>
      <c r="EI44" s="1254">
        <f t="shared" si="73"/>
        <v>2.3214146396030482</v>
      </c>
      <c r="EJ44" s="1254">
        <f t="shared" si="67"/>
        <v>2.3214146396030482</v>
      </c>
      <c r="EK44" s="1254">
        <f t="shared" si="67"/>
        <v>2.3214146396030482</v>
      </c>
      <c r="EL44" s="1254">
        <f t="shared" si="67"/>
        <v>2.3214146396030482</v>
      </c>
      <c r="EM44" s="1254">
        <f t="shared" si="67"/>
        <v>2.3214146396030482</v>
      </c>
      <c r="EN44" s="1254">
        <f t="shared" si="74"/>
        <v>405.86672563532795</v>
      </c>
      <c r="EO44" s="1254">
        <f t="shared" si="74"/>
        <v>405.86672563532795</v>
      </c>
      <c r="EP44" s="1254">
        <f t="shared" si="74"/>
        <v>405.86672563532795</v>
      </c>
      <c r="EQ44" s="1254">
        <f t="shared" si="68"/>
        <v>405.86672563532795</v>
      </c>
      <c r="ER44" s="1254">
        <f t="shared" si="68"/>
        <v>405.86672563532795</v>
      </c>
      <c r="ES44" s="1254">
        <f t="shared" si="68"/>
        <v>405.86672563532795</v>
      </c>
      <c r="ET44" s="1254">
        <f t="shared" si="68"/>
        <v>405.86672563532795</v>
      </c>
      <c r="EU44" s="1256">
        <f t="shared" si="29"/>
        <v>140</v>
      </c>
      <c r="EV44" s="1257">
        <f t="shared" si="30"/>
        <v>199195.83600000001</v>
      </c>
      <c r="EW44" s="1257">
        <f t="shared" si="31"/>
        <v>0</v>
      </c>
      <c r="EX44" s="1257">
        <f t="shared" si="32"/>
        <v>42000</v>
      </c>
      <c r="EY44" s="1257">
        <f t="shared" si="33"/>
        <v>0</v>
      </c>
      <c r="EZ44" s="1256">
        <f t="shared" si="34"/>
        <v>40593.715428229742</v>
      </c>
      <c r="FA44" s="1256">
        <f t="shared" si="35"/>
        <v>16.249902477221337</v>
      </c>
      <c r="FB44" s="1258">
        <f t="shared" si="36"/>
        <v>2841.0670794472953</v>
      </c>
      <c r="FD44" s="525" t="b">
        <f t="shared" si="54"/>
        <v>1</v>
      </c>
      <c r="FE44" s="525" t="b">
        <f t="shared" si="54"/>
        <v>1</v>
      </c>
      <c r="FF44" s="525" t="b">
        <f t="shared" si="54"/>
        <v>1</v>
      </c>
      <c r="FG44" s="525" t="b">
        <f t="shared" si="54"/>
        <v>1</v>
      </c>
      <c r="FH44" s="525" t="b">
        <f t="shared" si="54"/>
        <v>1</v>
      </c>
      <c r="FI44" s="525" t="b">
        <f t="shared" si="54"/>
        <v>1</v>
      </c>
      <c r="FJ44" s="525" t="b">
        <f t="shared" si="54"/>
        <v>1</v>
      </c>
    </row>
    <row r="45" spans="1:166" s="525" customFormat="1" ht="12.75" hidden="1" customHeight="1">
      <c r="A45" s="1238">
        <v>39</v>
      </c>
      <c r="B45" s="1239" t="s">
        <v>952</v>
      </c>
      <c r="C45" s="1238" t="s">
        <v>2128</v>
      </c>
      <c r="D45" s="1240" t="s">
        <v>2129</v>
      </c>
      <c r="E45" s="1238" t="s">
        <v>331</v>
      </c>
      <c r="F45" s="1241" t="s">
        <v>402</v>
      </c>
      <c r="G45" s="1241">
        <v>1162</v>
      </c>
      <c r="H45" s="1242"/>
      <c r="I45" s="1241">
        <f t="shared" si="2"/>
        <v>1162</v>
      </c>
      <c r="J45" s="1241">
        <v>0</v>
      </c>
      <c r="K45" s="1241">
        <f t="shared" si="43"/>
        <v>581</v>
      </c>
      <c r="L45" s="1243" t="s">
        <v>2130</v>
      </c>
      <c r="M45" s="1244" t="s">
        <v>378</v>
      </c>
      <c r="N45" s="1244">
        <f t="shared" si="48"/>
        <v>300</v>
      </c>
      <c r="O45" s="1242">
        <v>0</v>
      </c>
      <c r="P45" s="1244">
        <v>0</v>
      </c>
      <c r="Q45" s="1245">
        <f>$O$208</f>
        <v>734.19254888169826</v>
      </c>
      <c r="R45" s="1246">
        <v>0.58505406251679737</v>
      </c>
      <c r="S45" s="1245">
        <f>$Q$208</f>
        <v>35.406727089434739</v>
      </c>
      <c r="T45" s="1243" t="s">
        <v>2131</v>
      </c>
      <c r="U45" s="1247"/>
      <c r="V45" s="1248">
        <v>3.6895977148298023E-3</v>
      </c>
      <c r="W45" s="1249"/>
      <c r="X45" s="1249"/>
      <c r="Y45" s="1249"/>
      <c r="Z45" s="1249"/>
      <c r="AA45" s="1249"/>
      <c r="AB45" s="1249"/>
      <c r="AC45" s="1250">
        <f t="shared" ref="AC45:AC48" si="76">MROUND((AC$6+AC$7)*$V45,5)</f>
        <v>10</v>
      </c>
      <c r="AD45" s="1250">
        <f t="shared" si="75"/>
        <v>10</v>
      </c>
      <c r="AE45" s="1250">
        <f t="shared" si="75"/>
        <v>10</v>
      </c>
      <c r="AF45" s="1250">
        <f t="shared" si="75"/>
        <v>10</v>
      </c>
      <c r="AG45" s="1250">
        <f t="shared" si="75"/>
        <v>10</v>
      </c>
      <c r="AH45" s="1250">
        <f t="shared" si="62"/>
        <v>10</v>
      </c>
      <c r="AI45" s="1250">
        <f t="shared" si="62"/>
        <v>10</v>
      </c>
      <c r="AJ45" s="1243" t="s">
        <v>374</v>
      </c>
      <c r="AK45" s="1243" t="s">
        <v>375</v>
      </c>
      <c r="AL45" s="1243" t="s">
        <v>376</v>
      </c>
      <c r="AM45" s="1243" t="s">
        <v>2002</v>
      </c>
      <c r="AN45" s="1243" t="s">
        <v>1</v>
      </c>
      <c r="AO45" s="1243" t="s">
        <v>2132</v>
      </c>
      <c r="AP45" s="1243" t="s">
        <v>2128</v>
      </c>
      <c r="AQ45" s="1243" t="s">
        <v>2129</v>
      </c>
      <c r="AR45" s="1240" t="s">
        <v>406</v>
      </c>
      <c r="AS45" s="1240" t="s">
        <v>407</v>
      </c>
      <c r="AT45" s="1240" t="s">
        <v>381</v>
      </c>
      <c r="AU45" s="1243">
        <v>18</v>
      </c>
      <c r="AV45" s="1243">
        <v>18</v>
      </c>
      <c r="AW45" s="1243" t="s">
        <v>2130</v>
      </c>
      <c r="AX45" s="1251">
        <v>1</v>
      </c>
      <c r="AY45" s="1251">
        <v>1</v>
      </c>
      <c r="AZ45" s="1251">
        <v>1</v>
      </c>
      <c r="BA45" s="1252">
        <f t="shared" si="4"/>
        <v>1162</v>
      </c>
      <c r="BB45" s="1252">
        <f t="shared" si="57"/>
        <v>1162</v>
      </c>
      <c r="BC45" s="1252">
        <f t="shared" si="57"/>
        <v>1162</v>
      </c>
      <c r="BD45" s="1252">
        <f t="shared" si="57"/>
        <v>1162</v>
      </c>
      <c r="BE45" s="1252">
        <f t="shared" si="6"/>
        <v>1162</v>
      </c>
      <c r="BF45" s="1252">
        <f t="shared" si="6"/>
        <v>1162</v>
      </c>
      <c r="BG45" s="1252">
        <f t="shared" si="6"/>
        <v>1162</v>
      </c>
      <c r="BH45" s="1252">
        <f t="shared" si="7"/>
        <v>0</v>
      </c>
      <c r="BI45" s="1252">
        <f t="shared" si="58"/>
        <v>0</v>
      </c>
      <c r="BJ45" s="1252">
        <f t="shared" si="58"/>
        <v>0</v>
      </c>
      <c r="BK45" s="1252">
        <f t="shared" si="58"/>
        <v>0</v>
      </c>
      <c r="BL45" s="1252">
        <f t="shared" si="58"/>
        <v>0</v>
      </c>
      <c r="BM45" s="1252">
        <f t="shared" si="58"/>
        <v>0</v>
      </c>
      <c r="BN45" s="1252">
        <f t="shared" si="58"/>
        <v>0</v>
      </c>
      <c r="BO45" s="1252">
        <f t="shared" si="9"/>
        <v>300</v>
      </c>
      <c r="BP45" s="1252">
        <f t="shared" ref="BP45:BU49" si="77">BO45</f>
        <v>300</v>
      </c>
      <c r="BQ45" s="1252">
        <f t="shared" si="77"/>
        <v>300</v>
      </c>
      <c r="BR45" s="1252">
        <f t="shared" si="77"/>
        <v>300</v>
      </c>
      <c r="BS45" s="1252">
        <f t="shared" si="77"/>
        <v>300</v>
      </c>
      <c r="BT45" s="1252">
        <f t="shared" si="77"/>
        <v>300</v>
      </c>
      <c r="BU45" s="1252">
        <f t="shared" si="77"/>
        <v>300</v>
      </c>
      <c r="BV45" s="1253">
        <f t="shared" si="27"/>
        <v>0</v>
      </c>
      <c r="BW45" s="1253">
        <f t="shared" si="27"/>
        <v>0</v>
      </c>
      <c r="BX45" s="1253">
        <f t="shared" si="27"/>
        <v>0</v>
      </c>
      <c r="BY45" s="1253">
        <f t="shared" si="27"/>
        <v>0</v>
      </c>
      <c r="BZ45" s="1253">
        <f t="shared" si="27"/>
        <v>0</v>
      </c>
      <c r="CA45" s="1253">
        <f t="shared" si="27"/>
        <v>0</v>
      </c>
      <c r="CB45" s="1253">
        <f t="shared" si="27"/>
        <v>0</v>
      </c>
      <c r="CC45" s="1254">
        <f t="shared" si="12"/>
        <v>734.19254888169826</v>
      </c>
      <c r="CD45" s="1254">
        <f t="shared" si="59"/>
        <v>734.19254888169826</v>
      </c>
      <c r="CE45" s="1254">
        <f t="shared" si="59"/>
        <v>734.19254888169826</v>
      </c>
      <c r="CF45" s="1254">
        <f t="shared" si="59"/>
        <v>734.19254888169826</v>
      </c>
      <c r="CG45" s="1254">
        <f t="shared" si="59"/>
        <v>734.19254888169826</v>
      </c>
      <c r="CH45" s="1254">
        <f t="shared" si="59"/>
        <v>734.19254888169826</v>
      </c>
      <c r="CI45" s="1254">
        <f t="shared" si="59"/>
        <v>734.19254888169826</v>
      </c>
      <c r="CJ45" s="1254">
        <f t="shared" si="14"/>
        <v>0.58505406251679737</v>
      </c>
      <c r="CK45" s="1254">
        <f t="shared" si="60"/>
        <v>0.58505406251679737</v>
      </c>
      <c r="CL45" s="1254">
        <f t="shared" si="60"/>
        <v>0.58505406251679737</v>
      </c>
      <c r="CM45" s="1254">
        <f t="shared" si="60"/>
        <v>0.58505406251679737</v>
      </c>
      <c r="CN45" s="1254">
        <f t="shared" si="60"/>
        <v>0.58505406251679737</v>
      </c>
      <c r="CO45" s="1254">
        <f t="shared" si="60"/>
        <v>0.58505406251679737</v>
      </c>
      <c r="CP45" s="1254">
        <f t="shared" si="60"/>
        <v>0.58505406251679737</v>
      </c>
      <c r="CQ45" s="1254">
        <f t="shared" si="16"/>
        <v>35.406727089434739</v>
      </c>
      <c r="CR45" s="1254">
        <f t="shared" si="61"/>
        <v>35.406727089434739</v>
      </c>
      <c r="CS45" s="1254">
        <f t="shared" si="61"/>
        <v>35.406727089434739</v>
      </c>
      <c r="CT45" s="1254">
        <f t="shared" si="61"/>
        <v>35.406727089434739</v>
      </c>
      <c r="CU45" s="1254">
        <f t="shared" si="61"/>
        <v>35.406727089434739</v>
      </c>
      <c r="CV45" s="1254">
        <f t="shared" si="61"/>
        <v>35.406727089434739</v>
      </c>
      <c r="CW45" s="1254">
        <f t="shared" si="61"/>
        <v>35.406727089434739</v>
      </c>
      <c r="CX45" s="1255">
        <f t="shared" si="28"/>
        <v>11620</v>
      </c>
      <c r="CY45" s="1255">
        <f t="shared" si="28"/>
        <v>11620</v>
      </c>
      <c r="CZ45" s="1255">
        <f t="shared" si="28"/>
        <v>11620</v>
      </c>
      <c r="DA45" s="1255">
        <f t="shared" si="28"/>
        <v>11620</v>
      </c>
      <c r="DB45" s="1255">
        <f t="shared" si="28"/>
        <v>11620</v>
      </c>
      <c r="DC45" s="1255">
        <f t="shared" si="28"/>
        <v>11620</v>
      </c>
      <c r="DD45" s="1255">
        <f t="shared" si="28"/>
        <v>11620</v>
      </c>
      <c r="DE45" s="1255">
        <f t="shared" si="69"/>
        <v>0</v>
      </c>
      <c r="DF45" s="1255">
        <f t="shared" si="69"/>
        <v>0</v>
      </c>
      <c r="DG45" s="1255">
        <f t="shared" si="69"/>
        <v>0</v>
      </c>
      <c r="DH45" s="1255">
        <f t="shared" si="63"/>
        <v>0</v>
      </c>
      <c r="DI45" s="1255">
        <f t="shared" si="63"/>
        <v>0</v>
      </c>
      <c r="DJ45" s="1255">
        <f t="shared" si="63"/>
        <v>0</v>
      </c>
      <c r="DK45" s="1255">
        <f t="shared" si="63"/>
        <v>0</v>
      </c>
      <c r="DL45" s="1255">
        <f t="shared" si="70"/>
        <v>3000</v>
      </c>
      <c r="DM45" s="1255">
        <f t="shared" si="70"/>
        <v>3000</v>
      </c>
      <c r="DN45" s="1255">
        <f t="shared" si="70"/>
        <v>3000</v>
      </c>
      <c r="DO45" s="1255">
        <f t="shared" si="64"/>
        <v>3000</v>
      </c>
      <c r="DP45" s="1255">
        <f t="shared" si="64"/>
        <v>3000</v>
      </c>
      <c r="DQ45" s="1255">
        <f t="shared" si="64"/>
        <v>3000</v>
      </c>
      <c r="DR45" s="1255">
        <f t="shared" si="64"/>
        <v>3000</v>
      </c>
      <c r="DS45" s="1255">
        <f t="shared" si="71"/>
        <v>0</v>
      </c>
      <c r="DT45" s="1255">
        <f t="shared" si="71"/>
        <v>0</v>
      </c>
      <c r="DU45" s="1255">
        <f t="shared" si="71"/>
        <v>0</v>
      </c>
      <c r="DV45" s="1255">
        <f t="shared" si="65"/>
        <v>0</v>
      </c>
      <c r="DW45" s="1255">
        <f t="shared" si="65"/>
        <v>0</v>
      </c>
      <c r="DX45" s="1255">
        <f t="shared" si="65"/>
        <v>0</v>
      </c>
      <c r="DY45" s="1255">
        <f t="shared" si="65"/>
        <v>0</v>
      </c>
      <c r="DZ45" s="1254">
        <f t="shared" si="72"/>
        <v>7341.9254888169826</v>
      </c>
      <c r="EA45" s="1254">
        <f t="shared" si="72"/>
        <v>7341.9254888169826</v>
      </c>
      <c r="EB45" s="1254">
        <f t="shared" si="72"/>
        <v>7341.9254888169826</v>
      </c>
      <c r="EC45" s="1254">
        <f t="shared" si="66"/>
        <v>7341.9254888169826</v>
      </c>
      <c r="ED45" s="1254">
        <f t="shared" si="66"/>
        <v>7341.9254888169826</v>
      </c>
      <c r="EE45" s="1254">
        <f t="shared" si="66"/>
        <v>7341.9254888169826</v>
      </c>
      <c r="EF45" s="1254">
        <f t="shared" si="66"/>
        <v>7341.9254888169826</v>
      </c>
      <c r="EG45" s="1254">
        <f t="shared" si="73"/>
        <v>5.8505406251679739</v>
      </c>
      <c r="EH45" s="1254">
        <f t="shared" si="73"/>
        <v>5.8505406251679739</v>
      </c>
      <c r="EI45" s="1254">
        <f t="shared" si="73"/>
        <v>5.8505406251679739</v>
      </c>
      <c r="EJ45" s="1254">
        <f t="shared" si="67"/>
        <v>5.8505406251679739</v>
      </c>
      <c r="EK45" s="1254">
        <f t="shared" si="67"/>
        <v>5.8505406251679739</v>
      </c>
      <c r="EL45" s="1254">
        <f t="shared" si="67"/>
        <v>5.8505406251679739</v>
      </c>
      <c r="EM45" s="1254">
        <f t="shared" si="67"/>
        <v>5.8505406251679739</v>
      </c>
      <c r="EN45" s="1254">
        <f t="shared" si="74"/>
        <v>354.06727089434742</v>
      </c>
      <c r="EO45" s="1254">
        <f t="shared" si="74"/>
        <v>354.06727089434742</v>
      </c>
      <c r="EP45" s="1254">
        <f t="shared" si="74"/>
        <v>354.06727089434742</v>
      </c>
      <c r="EQ45" s="1254">
        <f t="shared" si="68"/>
        <v>354.06727089434742</v>
      </c>
      <c r="ER45" s="1254">
        <f t="shared" si="68"/>
        <v>354.06727089434742</v>
      </c>
      <c r="ES45" s="1254">
        <f t="shared" si="68"/>
        <v>354.06727089434742</v>
      </c>
      <c r="ET45" s="1254">
        <f t="shared" si="68"/>
        <v>354.06727089434742</v>
      </c>
      <c r="EU45" s="1256">
        <f t="shared" si="29"/>
        <v>70</v>
      </c>
      <c r="EV45" s="1257">
        <f t="shared" si="30"/>
        <v>81340</v>
      </c>
      <c r="EW45" s="1257">
        <f t="shared" si="31"/>
        <v>0</v>
      </c>
      <c r="EX45" s="1257">
        <f t="shared" si="32"/>
        <v>21000</v>
      </c>
      <c r="EY45" s="1257">
        <f t="shared" si="33"/>
        <v>0</v>
      </c>
      <c r="EZ45" s="1256">
        <f t="shared" si="34"/>
        <v>51393.478421718879</v>
      </c>
      <c r="FA45" s="1256">
        <f t="shared" si="35"/>
        <v>40.953784376175818</v>
      </c>
      <c r="FB45" s="1258">
        <f t="shared" si="36"/>
        <v>2478.4708962604323</v>
      </c>
      <c r="FD45" s="525" t="b">
        <f t="shared" si="54"/>
        <v>1</v>
      </c>
      <c r="FE45" s="525" t="b">
        <f t="shared" si="54"/>
        <v>1</v>
      </c>
      <c r="FF45" s="525" t="b">
        <f t="shared" si="54"/>
        <v>1</v>
      </c>
      <c r="FG45" s="525" t="b">
        <f t="shared" si="54"/>
        <v>1</v>
      </c>
      <c r="FH45" s="525" t="b">
        <f t="shared" si="54"/>
        <v>1</v>
      </c>
      <c r="FI45" s="525" t="b">
        <f t="shared" si="54"/>
        <v>1</v>
      </c>
      <c r="FJ45" s="525" t="b">
        <f t="shared" si="54"/>
        <v>1</v>
      </c>
    </row>
    <row r="46" spans="1:166" s="525" customFormat="1" ht="12.75" hidden="1" customHeight="1">
      <c r="A46" s="1238">
        <v>40</v>
      </c>
      <c r="B46" s="1239" t="s">
        <v>955</v>
      </c>
      <c r="C46" s="1238" t="s">
        <v>2133</v>
      </c>
      <c r="D46" s="1240" t="s">
        <v>2134</v>
      </c>
      <c r="E46" s="1238" t="s">
        <v>331</v>
      </c>
      <c r="F46" s="1241" t="s">
        <v>402</v>
      </c>
      <c r="G46" s="1241">
        <v>320.4744</v>
      </c>
      <c r="H46" s="1242"/>
      <c r="I46" s="1241">
        <f t="shared" si="2"/>
        <v>320.4744</v>
      </c>
      <c r="J46" s="1241">
        <v>0</v>
      </c>
      <c r="K46" s="1241">
        <f t="shared" si="43"/>
        <v>160.2372</v>
      </c>
      <c r="L46" s="1243" t="s">
        <v>2135</v>
      </c>
      <c r="M46" s="1244" t="s">
        <v>378</v>
      </c>
      <c r="N46" s="1244">
        <f t="shared" si="48"/>
        <v>160</v>
      </c>
      <c r="O46" s="1242">
        <v>0</v>
      </c>
      <c r="P46" s="1244">
        <v>0</v>
      </c>
      <c r="Q46" s="1245">
        <f>$O$209</f>
        <v>67.901079101881706</v>
      </c>
      <c r="R46" s="1246">
        <v>4.0429413628181456E-2</v>
      </c>
      <c r="S46" s="1245">
        <f>$Q$209</f>
        <v>4.9650899135728759</v>
      </c>
      <c r="T46" s="1243" t="s">
        <v>2136</v>
      </c>
      <c r="U46" s="1247"/>
      <c r="V46" s="1248">
        <v>0.11318733634848846</v>
      </c>
      <c r="W46" s="1249"/>
      <c r="X46" s="1249"/>
      <c r="Y46" s="1249"/>
      <c r="Z46" s="1249"/>
      <c r="AA46" s="1249"/>
      <c r="AB46" s="1249"/>
      <c r="AC46" s="1250">
        <f t="shared" si="76"/>
        <v>285</v>
      </c>
      <c r="AD46" s="1250">
        <f t="shared" si="75"/>
        <v>285</v>
      </c>
      <c r="AE46" s="1250">
        <f t="shared" si="75"/>
        <v>285</v>
      </c>
      <c r="AF46" s="1250">
        <f t="shared" si="75"/>
        <v>285</v>
      </c>
      <c r="AG46" s="1250">
        <f t="shared" si="75"/>
        <v>285</v>
      </c>
      <c r="AH46" s="1250">
        <f t="shared" si="62"/>
        <v>285</v>
      </c>
      <c r="AI46" s="1250">
        <f t="shared" si="62"/>
        <v>285</v>
      </c>
      <c r="AJ46" s="1243" t="s">
        <v>374</v>
      </c>
      <c r="AK46" s="1243" t="s">
        <v>375</v>
      </c>
      <c r="AL46" s="1243" t="s">
        <v>376</v>
      </c>
      <c r="AM46" s="1243" t="s">
        <v>2002</v>
      </c>
      <c r="AN46" s="1243" t="s">
        <v>1</v>
      </c>
      <c r="AO46" s="1243" t="s">
        <v>2137</v>
      </c>
      <c r="AP46" s="1243" t="s">
        <v>2133</v>
      </c>
      <c r="AQ46" s="1243" t="s">
        <v>2134</v>
      </c>
      <c r="AR46" s="1240" t="s">
        <v>406</v>
      </c>
      <c r="AS46" s="1240" t="s">
        <v>407</v>
      </c>
      <c r="AT46" s="1240" t="s">
        <v>381</v>
      </c>
      <c r="AU46" s="1243">
        <v>11</v>
      </c>
      <c r="AV46" s="1243">
        <v>11</v>
      </c>
      <c r="AW46" s="1243" t="s">
        <v>2138</v>
      </c>
      <c r="AX46" s="1251">
        <v>1</v>
      </c>
      <c r="AY46" s="1251">
        <v>1</v>
      </c>
      <c r="AZ46" s="1251">
        <v>1</v>
      </c>
      <c r="BA46" s="1252">
        <f t="shared" si="4"/>
        <v>320.4744</v>
      </c>
      <c r="BB46" s="1252">
        <f t="shared" si="57"/>
        <v>320.4744</v>
      </c>
      <c r="BC46" s="1252">
        <f t="shared" si="57"/>
        <v>320.4744</v>
      </c>
      <c r="BD46" s="1252">
        <f t="shared" si="57"/>
        <v>320.4744</v>
      </c>
      <c r="BE46" s="1252">
        <f t="shared" si="6"/>
        <v>320.4744</v>
      </c>
      <c r="BF46" s="1252">
        <f t="shared" si="6"/>
        <v>320.4744</v>
      </c>
      <c r="BG46" s="1252">
        <f t="shared" si="6"/>
        <v>320.4744</v>
      </c>
      <c r="BH46" s="1252">
        <f t="shared" si="7"/>
        <v>0</v>
      </c>
      <c r="BI46" s="1252">
        <f t="shared" si="58"/>
        <v>0</v>
      </c>
      <c r="BJ46" s="1252">
        <f t="shared" si="58"/>
        <v>0</v>
      </c>
      <c r="BK46" s="1252">
        <f t="shared" si="58"/>
        <v>0</v>
      </c>
      <c r="BL46" s="1252">
        <f t="shared" si="58"/>
        <v>0</v>
      </c>
      <c r="BM46" s="1252">
        <f t="shared" si="58"/>
        <v>0</v>
      </c>
      <c r="BN46" s="1252">
        <f t="shared" si="58"/>
        <v>0</v>
      </c>
      <c r="BO46" s="1252">
        <f t="shared" si="9"/>
        <v>160</v>
      </c>
      <c r="BP46" s="1252">
        <f t="shared" si="77"/>
        <v>160</v>
      </c>
      <c r="BQ46" s="1252">
        <f t="shared" si="77"/>
        <v>160</v>
      </c>
      <c r="BR46" s="1252">
        <f t="shared" si="77"/>
        <v>160</v>
      </c>
      <c r="BS46" s="1252">
        <f t="shared" si="77"/>
        <v>160</v>
      </c>
      <c r="BT46" s="1252">
        <f t="shared" si="77"/>
        <v>160</v>
      </c>
      <c r="BU46" s="1252">
        <f t="shared" si="77"/>
        <v>160</v>
      </c>
      <c r="BV46" s="1253">
        <f t="shared" si="27"/>
        <v>0</v>
      </c>
      <c r="BW46" s="1253">
        <f t="shared" si="27"/>
        <v>0</v>
      </c>
      <c r="BX46" s="1253">
        <f t="shared" si="27"/>
        <v>0</v>
      </c>
      <c r="BY46" s="1253">
        <f t="shared" si="27"/>
        <v>0</v>
      </c>
      <c r="BZ46" s="1253">
        <f t="shared" si="27"/>
        <v>0</v>
      </c>
      <c r="CA46" s="1253">
        <f t="shared" si="27"/>
        <v>0</v>
      </c>
      <c r="CB46" s="1253">
        <f t="shared" si="27"/>
        <v>0</v>
      </c>
      <c r="CC46" s="1254">
        <f t="shared" si="12"/>
        <v>67.901079101881706</v>
      </c>
      <c r="CD46" s="1254">
        <f t="shared" si="59"/>
        <v>67.901079101881706</v>
      </c>
      <c r="CE46" s="1254">
        <f t="shared" si="59"/>
        <v>67.901079101881706</v>
      </c>
      <c r="CF46" s="1254">
        <f t="shared" si="59"/>
        <v>67.901079101881706</v>
      </c>
      <c r="CG46" s="1254">
        <f t="shared" si="59"/>
        <v>67.901079101881706</v>
      </c>
      <c r="CH46" s="1254">
        <f t="shared" si="59"/>
        <v>67.901079101881706</v>
      </c>
      <c r="CI46" s="1254">
        <f t="shared" si="59"/>
        <v>67.901079101881706</v>
      </c>
      <c r="CJ46" s="1254">
        <f t="shared" si="14"/>
        <v>4.0429413628181456E-2</v>
      </c>
      <c r="CK46" s="1254">
        <f t="shared" si="60"/>
        <v>4.0429413628181456E-2</v>
      </c>
      <c r="CL46" s="1254">
        <f t="shared" si="60"/>
        <v>4.0429413628181456E-2</v>
      </c>
      <c r="CM46" s="1254">
        <f t="shared" si="60"/>
        <v>4.0429413628181456E-2</v>
      </c>
      <c r="CN46" s="1254">
        <f t="shared" si="60"/>
        <v>4.0429413628181456E-2</v>
      </c>
      <c r="CO46" s="1254">
        <f t="shared" si="60"/>
        <v>4.0429413628181456E-2</v>
      </c>
      <c r="CP46" s="1254">
        <f t="shared" si="60"/>
        <v>4.0429413628181456E-2</v>
      </c>
      <c r="CQ46" s="1254">
        <f t="shared" si="16"/>
        <v>4.9650899135728759</v>
      </c>
      <c r="CR46" s="1254">
        <f t="shared" si="61"/>
        <v>4.9650899135728759</v>
      </c>
      <c r="CS46" s="1254">
        <f t="shared" si="61"/>
        <v>4.9650899135728759</v>
      </c>
      <c r="CT46" s="1254">
        <f t="shared" si="61"/>
        <v>4.9650899135728759</v>
      </c>
      <c r="CU46" s="1254">
        <f t="shared" si="61"/>
        <v>4.9650899135728759</v>
      </c>
      <c r="CV46" s="1254">
        <f t="shared" si="61"/>
        <v>4.9650899135728759</v>
      </c>
      <c r="CW46" s="1254">
        <f t="shared" si="61"/>
        <v>4.9650899135728759</v>
      </c>
      <c r="CX46" s="1255">
        <f t="shared" si="28"/>
        <v>91335.203999999998</v>
      </c>
      <c r="CY46" s="1255">
        <f t="shared" si="28"/>
        <v>91335.203999999998</v>
      </c>
      <c r="CZ46" s="1255">
        <f t="shared" si="28"/>
        <v>91335.203999999998</v>
      </c>
      <c r="DA46" s="1255">
        <f t="shared" si="28"/>
        <v>91335.203999999998</v>
      </c>
      <c r="DB46" s="1255">
        <f t="shared" si="28"/>
        <v>91335.203999999998</v>
      </c>
      <c r="DC46" s="1255">
        <f t="shared" si="28"/>
        <v>91335.203999999998</v>
      </c>
      <c r="DD46" s="1255">
        <f t="shared" si="28"/>
        <v>91335.203999999998</v>
      </c>
      <c r="DE46" s="1255">
        <f t="shared" si="69"/>
        <v>0</v>
      </c>
      <c r="DF46" s="1255">
        <f t="shared" si="69"/>
        <v>0</v>
      </c>
      <c r="DG46" s="1255">
        <f t="shared" si="69"/>
        <v>0</v>
      </c>
      <c r="DH46" s="1255">
        <f t="shared" si="63"/>
        <v>0</v>
      </c>
      <c r="DI46" s="1255">
        <f t="shared" si="63"/>
        <v>0</v>
      </c>
      <c r="DJ46" s="1255">
        <f t="shared" si="63"/>
        <v>0</v>
      </c>
      <c r="DK46" s="1255">
        <f t="shared" si="63"/>
        <v>0</v>
      </c>
      <c r="DL46" s="1255">
        <f t="shared" si="70"/>
        <v>45600</v>
      </c>
      <c r="DM46" s="1255">
        <f t="shared" si="70"/>
        <v>45600</v>
      </c>
      <c r="DN46" s="1255">
        <f t="shared" si="70"/>
        <v>45600</v>
      </c>
      <c r="DO46" s="1255">
        <f t="shared" si="64"/>
        <v>45600</v>
      </c>
      <c r="DP46" s="1255">
        <f t="shared" si="64"/>
        <v>45600</v>
      </c>
      <c r="DQ46" s="1255">
        <f t="shared" si="64"/>
        <v>45600</v>
      </c>
      <c r="DR46" s="1255">
        <f t="shared" si="64"/>
        <v>45600</v>
      </c>
      <c r="DS46" s="1255">
        <f t="shared" si="71"/>
        <v>0</v>
      </c>
      <c r="DT46" s="1255">
        <f t="shared" si="71"/>
        <v>0</v>
      </c>
      <c r="DU46" s="1255">
        <f t="shared" si="71"/>
        <v>0</v>
      </c>
      <c r="DV46" s="1255">
        <f t="shared" si="65"/>
        <v>0</v>
      </c>
      <c r="DW46" s="1255">
        <f t="shared" si="65"/>
        <v>0</v>
      </c>
      <c r="DX46" s="1255">
        <f t="shared" si="65"/>
        <v>0</v>
      </c>
      <c r="DY46" s="1255">
        <f t="shared" si="65"/>
        <v>0</v>
      </c>
      <c r="DZ46" s="1254">
        <f t="shared" si="72"/>
        <v>19351.807544036285</v>
      </c>
      <c r="EA46" s="1254">
        <f t="shared" si="72"/>
        <v>19351.807544036285</v>
      </c>
      <c r="EB46" s="1254">
        <f t="shared" si="72"/>
        <v>19351.807544036285</v>
      </c>
      <c r="EC46" s="1254">
        <f t="shared" si="66"/>
        <v>19351.807544036285</v>
      </c>
      <c r="ED46" s="1254">
        <f t="shared" si="66"/>
        <v>19351.807544036285</v>
      </c>
      <c r="EE46" s="1254">
        <f t="shared" si="66"/>
        <v>19351.807544036285</v>
      </c>
      <c r="EF46" s="1254">
        <f t="shared" si="66"/>
        <v>19351.807544036285</v>
      </c>
      <c r="EG46" s="1254">
        <f t="shared" si="73"/>
        <v>11.522382884031716</v>
      </c>
      <c r="EH46" s="1254">
        <f t="shared" si="73"/>
        <v>11.522382884031716</v>
      </c>
      <c r="EI46" s="1254">
        <f t="shared" si="73"/>
        <v>11.522382884031716</v>
      </c>
      <c r="EJ46" s="1254">
        <f t="shared" si="67"/>
        <v>11.522382884031716</v>
      </c>
      <c r="EK46" s="1254">
        <f t="shared" si="67"/>
        <v>11.522382884031716</v>
      </c>
      <c r="EL46" s="1254">
        <f t="shared" si="67"/>
        <v>11.522382884031716</v>
      </c>
      <c r="EM46" s="1254">
        <f t="shared" si="67"/>
        <v>11.522382884031716</v>
      </c>
      <c r="EN46" s="1254">
        <f t="shared" si="74"/>
        <v>1415.0506253682697</v>
      </c>
      <c r="EO46" s="1254">
        <f t="shared" si="74"/>
        <v>1415.0506253682697</v>
      </c>
      <c r="EP46" s="1254">
        <f t="shared" si="74"/>
        <v>1415.0506253682697</v>
      </c>
      <c r="EQ46" s="1254">
        <f t="shared" si="68"/>
        <v>1415.0506253682697</v>
      </c>
      <c r="ER46" s="1254">
        <f t="shared" si="68"/>
        <v>1415.0506253682697</v>
      </c>
      <c r="ES46" s="1254">
        <f t="shared" si="68"/>
        <v>1415.0506253682697</v>
      </c>
      <c r="ET46" s="1254">
        <f t="shared" si="68"/>
        <v>1415.0506253682697</v>
      </c>
      <c r="EU46" s="1256">
        <f t="shared" si="29"/>
        <v>1995</v>
      </c>
      <c r="EV46" s="1257">
        <f t="shared" si="30"/>
        <v>639346.42800000007</v>
      </c>
      <c r="EW46" s="1257">
        <f t="shared" si="31"/>
        <v>0</v>
      </c>
      <c r="EX46" s="1257">
        <f t="shared" si="32"/>
        <v>319200</v>
      </c>
      <c r="EY46" s="1257">
        <f t="shared" si="33"/>
        <v>0</v>
      </c>
      <c r="EZ46" s="1256">
        <f t="shared" si="34"/>
        <v>135462.652808254</v>
      </c>
      <c r="FA46" s="1256">
        <f t="shared" si="35"/>
        <v>80.656680188222012</v>
      </c>
      <c r="FB46" s="1258">
        <f t="shared" si="36"/>
        <v>9905.354377577889</v>
      </c>
      <c r="FD46" s="525" t="b">
        <f t="shared" si="54"/>
        <v>1</v>
      </c>
      <c r="FE46" s="525" t="b">
        <f t="shared" si="54"/>
        <v>1</v>
      </c>
      <c r="FF46" s="525" t="b">
        <f t="shared" si="54"/>
        <v>1</v>
      </c>
      <c r="FG46" s="525" t="b">
        <f t="shared" si="54"/>
        <v>1</v>
      </c>
      <c r="FH46" s="525" t="b">
        <f t="shared" si="54"/>
        <v>1</v>
      </c>
      <c r="FI46" s="525" t="b">
        <f t="shared" si="54"/>
        <v>1</v>
      </c>
      <c r="FJ46" s="525" t="b">
        <f t="shared" si="54"/>
        <v>1</v>
      </c>
    </row>
    <row r="47" spans="1:166" s="525" customFormat="1" ht="12.75" hidden="1" customHeight="1">
      <c r="A47" s="1238">
        <v>41</v>
      </c>
      <c r="B47" s="1239" t="s">
        <v>958</v>
      </c>
      <c r="C47" s="1238" t="s">
        <v>2139</v>
      </c>
      <c r="D47" s="1240" t="s">
        <v>2124</v>
      </c>
      <c r="E47" s="1238" t="s">
        <v>331</v>
      </c>
      <c r="F47" s="1241" t="s">
        <v>402</v>
      </c>
      <c r="G47" s="1241">
        <v>1881.8047999999999</v>
      </c>
      <c r="H47" s="1242"/>
      <c r="I47" s="1241">
        <f t="shared" si="2"/>
        <v>1881.8047999999999</v>
      </c>
      <c r="J47" s="1241">
        <v>0</v>
      </c>
      <c r="K47" s="1241">
        <f t="shared" si="43"/>
        <v>940.90239999999994</v>
      </c>
      <c r="L47" s="1243" t="s">
        <v>2125</v>
      </c>
      <c r="M47" s="1244" t="s">
        <v>378</v>
      </c>
      <c r="N47" s="1244">
        <f t="shared" si="48"/>
        <v>300</v>
      </c>
      <c r="O47" s="1242">
        <v>0</v>
      </c>
      <c r="P47" s="1244">
        <v>0</v>
      </c>
      <c r="Q47" s="1245">
        <f>$O$210</f>
        <v>871.60811609264829</v>
      </c>
      <c r="R47" s="1246">
        <v>0.3829215253219283</v>
      </c>
      <c r="S47" s="1245">
        <f>$Q$210</f>
        <v>66.948447298614283</v>
      </c>
      <c r="T47" s="1243" t="s">
        <v>1980</v>
      </c>
      <c r="U47" s="1247"/>
      <c r="V47" s="1248">
        <v>1.4282313734825041E-3</v>
      </c>
      <c r="W47" s="1249"/>
      <c r="X47" s="1249"/>
      <c r="Y47" s="1249"/>
      <c r="Z47" s="1249"/>
      <c r="AA47" s="1249"/>
      <c r="AB47" s="1249"/>
      <c r="AC47" s="1250">
        <f t="shared" si="76"/>
        <v>5</v>
      </c>
      <c r="AD47" s="1250">
        <f t="shared" si="75"/>
        <v>5</v>
      </c>
      <c r="AE47" s="1250">
        <f t="shared" si="75"/>
        <v>5</v>
      </c>
      <c r="AF47" s="1250">
        <f t="shared" si="75"/>
        <v>5</v>
      </c>
      <c r="AG47" s="1250">
        <f t="shared" si="75"/>
        <v>5</v>
      </c>
      <c r="AH47" s="1250">
        <f t="shared" si="62"/>
        <v>5</v>
      </c>
      <c r="AI47" s="1250">
        <f t="shared" si="62"/>
        <v>5</v>
      </c>
      <c r="AJ47" s="1243" t="s">
        <v>374</v>
      </c>
      <c r="AK47" s="1243" t="s">
        <v>375</v>
      </c>
      <c r="AL47" s="1243" t="s">
        <v>376</v>
      </c>
      <c r="AM47" s="1243" t="s">
        <v>2002</v>
      </c>
      <c r="AN47" s="1243" t="s">
        <v>1</v>
      </c>
      <c r="AO47" s="1243" t="s">
        <v>2140</v>
      </c>
      <c r="AP47" s="1243" t="s">
        <v>2139</v>
      </c>
      <c r="AQ47" s="1243" t="s">
        <v>2124</v>
      </c>
      <c r="AR47" s="1240" t="s">
        <v>406</v>
      </c>
      <c r="AS47" s="1240" t="s">
        <v>407</v>
      </c>
      <c r="AT47" s="1240" t="s">
        <v>381</v>
      </c>
      <c r="AU47" s="1243">
        <v>20</v>
      </c>
      <c r="AV47" s="1243">
        <v>20</v>
      </c>
      <c r="AW47" s="1243" t="s">
        <v>2141</v>
      </c>
      <c r="AX47" s="1251">
        <v>1</v>
      </c>
      <c r="AY47" s="1251">
        <v>1</v>
      </c>
      <c r="AZ47" s="1251">
        <v>1</v>
      </c>
      <c r="BA47" s="1252">
        <f t="shared" si="4"/>
        <v>1881.8047999999999</v>
      </c>
      <c r="BB47" s="1252">
        <f t="shared" si="57"/>
        <v>1881.8047999999999</v>
      </c>
      <c r="BC47" s="1252">
        <f t="shared" si="57"/>
        <v>1881.8047999999999</v>
      </c>
      <c r="BD47" s="1252">
        <f t="shared" si="57"/>
        <v>1881.8047999999999</v>
      </c>
      <c r="BE47" s="1252">
        <f t="shared" si="6"/>
        <v>1881.8047999999999</v>
      </c>
      <c r="BF47" s="1252">
        <f t="shared" si="6"/>
        <v>1881.8047999999999</v>
      </c>
      <c r="BG47" s="1252">
        <f t="shared" si="6"/>
        <v>1881.8047999999999</v>
      </c>
      <c r="BH47" s="1252">
        <f t="shared" si="7"/>
        <v>0</v>
      </c>
      <c r="BI47" s="1252">
        <f t="shared" si="58"/>
        <v>0</v>
      </c>
      <c r="BJ47" s="1252">
        <f t="shared" si="58"/>
        <v>0</v>
      </c>
      <c r="BK47" s="1252">
        <f t="shared" si="58"/>
        <v>0</v>
      </c>
      <c r="BL47" s="1252">
        <f t="shared" si="58"/>
        <v>0</v>
      </c>
      <c r="BM47" s="1252">
        <f t="shared" si="58"/>
        <v>0</v>
      </c>
      <c r="BN47" s="1252">
        <f t="shared" si="58"/>
        <v>0</v>
      </c>
      <c r="BO47" s="1252">
        <f t="shared" si="9"/>
        <v>300</v>
      </c>
      <c r="BP47" s="1252">
        <f t="shared" si="77"/>
        <v>300</v>
      </c>
      <c r="BQ47" s="1252">
        <f t="shared" si="77"/>
        <v>300</v>
      </c>
      <c r="BR47" s="1252">
        <f t="shared" si="77"/>
        <v>300</v>
      </c>
      <c r="BS47" s="1252">
        <f t="shared" si="77"/>
        <v>300</v>
      </c>
      <c r="BT47" s="1252">
        <f t="shared" si="77"/>
        <v>300</v>
      </c>
      <c r="BU47" s="1252">
        <f t="shared" si="77"/>
        <v>300</v>
      </c>
      <c r="BV47" s="1253">
        <f t="shared" si="27"/>
        <v>0</v>
      </c>
      <c r="BW47" s="1253">
        <f t="shared" si="27"/>
        <v>0</v>
      </c>
      <c r="BX47" s="1253">
        <f t="shared" si="27"/>
        <v>0</v>
      </c>
      <c r="BY47" s="1253">
        <f t="shared" si="27"/>
        <v>0</v>
      </c>
      <c r="BZ47" s="1253">
        <f t="shared" si="27"/>
        <v>0</v>
      </c>
      <c r="CA47" s="1253">
        <f t="shared" si="27"/>
        <v>0</v>
      </c>
      <c r="CB47" s="1253">
        <f t="shared" si="27"/>
        <v>0</v>
      </c>
      <c r="CC47" s="1254">
        <f t="shared" si="12"/>
        <v>871.60811609264829</v>
      </c>
      <c r="CD47" s="1254">
        <f t="shared" si="59"/>
        <v>871.60811609264829</v>
      </c>
      <c r="CE47" s="1254">
        <f t="shared" si="59"/>
        <v>871.60811609264829</v>
      </c>
      <c r="CF47" s="1254">
        <f t="shared" si="59"/>
        <v>871.60811609264829</v>
      </c>
      <c r="CG47" s="1254">
        <f t="shared" si="59"/>
        <v>871.60811609264829</v>
      </c>
      <c r="CH47" s="1254">
        <f t="shared" si="59"/>
        <v>871.60811609264829</v>
      </c>
      <c r="CI47" s="1254">
        <f t="shared" si="59"/>
        <v>871.60811609264829</v>
      </c>
      <c r="CJ47" s="1254">
        <f t="shared" si="14"/>
        <v>0.3829215253219283</v>
      </c>
      <c r="CK47" s="1254">
        <f t="shared" si="60"/>
        <v>0.3829215253219283</v>
      </c>
      <c r="CL47" s="1254">
        <f t="shared" si="60"/>
        <v>0.3829215253219283</v>
      </c>
      <c r="CM47" s="1254">
        <f t="shared" si="60"/>
        <v>0.3829215253219283</v>
      </c>
      <c r="CN47" s="1254">
        <f t="shared" si="60"/>
        <v>0.3829215253219283</v>
      </c>
      <c r="CO47" s="1254">
        <f t="shared" si="60"/>
        <v>0.3829215253219283</v>
      </c>
      <c r="CP47" s="1254">
        <f t="shared" si="60"/>
        <v>0.3829215253219283</v>
      </c>
      <c r="CQ47" s="1254">
        <f t="shared" si="16"/>
        <v>66.948447298614283</v>
      </c>
      <c r="CR47" s="1254">
        <f t="shared" si="61"/>
        <v>66.948447298614283</v>
      </c>
      <c r="CS47" s="1254">
        <f t="shared" si="61"/>
        <v>66.948447298614283</v>
      </c>
      <c r="CT47" s="1254">
        <f t="shared" si="61"/>
        <v>66.948447298614283</v>
      </c>
      <c r="CU47" s="1254">
        <f t="shared" si="61"/>
        <v>66.948447298614283</v>
      </c>
      <c r="CV47" s="1254">
        <f t="shared" si="61"/>
        <v>66.948447298614283</v>
      </c>
      <c r="CW47" s="1254">
        <f t="shared" si="61"/>
        <v>66.948447298614283</v>
      </c>
      <c r="CX47" s="1255">
        <f t="shared" si="28"/>
        <v>9409.0239999999994</v>
      </c>
      <c r="CY47" s="1255">
        <f t="shared" si="28"/>
        <v>9409.0239999999994</v>
      </c>
      <c r="CZ47" s="1255">
        <f t="shared" si="28"/>
        <v>9409.0239999999994</v>
      </c>
      <c r="DA47" s="1255">
        <f t="shared" si="28"/>
        <v>9409.0239999999994</v>
      </c>
      <c r="DB47" s="1255">
        <f t="shared" si="28"/>
        <v>9409.0239999999994</v>
      </c>
      <c r="DC47" s="1255">
        <f t="shared" ref="DC47:DD49" si="78">AH47*BF47</f>
        <v>9409.0239999999994</v>
      </c>
      <c r="DD47" s="1255">
        <f t="shared" si="78"/>
        <v>9409.0239999999994</v>
      </c>
      <c r="DE47" s="1255">
        <f t="shared" si="69"/>
        <v>0</v>
      </c>
      <c r="DF47" s="1255">
        <f t="shared" si="69"/>
        <v>0</v>
      </c>
      <c r="DG47" s="1255">
        <f t="shared" si="69"/>
        <v>0</v>
      </c>
      <c r="DH47" s="1255">
        <f t="shared" si="63"/>
        <v>0</v>
      </c>
      <c r="DI47" s="1255">
        <f t="shared" si="63"/>
        <v>0</v>
      </c>
      <c r="DJ47" s="1255">
        <f t="shared" si="63"/>
        <v>0</v>
      </c>
      <c r="DK47" s="1255">
        <f t="shared" si="63"/>
        <v>0</v>
      </c>
      <c r="DL47" s="1255">
        <f t="shared" si="70"/>
        <v>1500</v>
      </c>
      <c r="DM47" s="1255">
        <f t="shared" si="70"/>
        <v>1500</v>
      </c>
      <c r="DN47" s="1255">
        <f t="shared" si="70"/>
        <v>1500</v>
      </c>
      <c r="DO47" s="1255">
        <f t="shared" si="64"/>
        <v>1500</v>
      </c>
      <c r="DP47" s="1255">
        <f t="shared" si="64"/>
        <v>1500</v>
      </c>
      <c r="DQ47" s="1255">
        <f t="shared" si="64"/>
        <v>1500</v>
      </c>
      <c r="DR47" s="1255">
        <f t="shared" si="64"/>
        <v>1500</v>
      </c>
      <c r="DS47" s="1255">
        <f t="shared" si="71"/>
        <v>0</v>
      </c>
      <c r="DT47" s="1255">
        <f t="shared" si="71"/>
        <v>0</v>
      </c>
      <c r="DU47" s="1255">
        <f t="shared" si="71"/>
        <v>0</v>
      </c>
      <c r="DV47" s="1255">
        <f t="shared" si="65"/>
        <v>0</v>
      </c>
      <c r="DW47" s="1255">
        <f t="shared" si="65"/>
        <v>0</v>
      </c>
      <c r="DX47" s="1255">
        <f t="shared" si="65"/>
        <v>0</v>
      </c>
      <c r="DY47" s="1255">
        <f t="shared" si="65"/>
        <v>0</v>
      </c>
      <c r="DZ47" s="1254">
        <f t="shared" si="72"/>
        <v>4358.040580463241</v>
      </c>
      <c r="EA47" s="1254">
        <f t="shared" si="72"/>
        <v>4358.040580463241</v>
      </c>
      <c r="EB47" s="1254">
        <f t="shared" si="72"/>
        <v>4358.040580463241</v>
      </c>
      <c r="EC47" s="1254">
        <f t="shared" si="66"/>
        <v>4358.040580463241</v>
      </c>
      <c r="ED47" s="1254">
        <f t="shared" si="66"/>
        <v>4358.040580463241</v>
      </c>
      <c r="EE47" s="1254">
        <f t="shared" si="66"/>
        <v>4358.040580463241</v>
      </c>
      <c r="EF47" s="1254">
        <f t="shared" si="66"/>
        <v>4358.040580463241</v>
      </c>
      <c r="EG47" s="1254">
        <f t="shared" si="73"/>
        <v>1.9146076266096415</v>
      </c>
      <c r="EH47" s="1254">
        <f t="shared" si="73"/>
        <v>1.9146076266096415</v>
      </c>
      <c r="EI47" s="1254">
        <f t="shared" si="73"/>
        <v>1.9146076266096415</v>
      </c>
      <c r="EJ47" s="1254">
        <f t="shared" si="67"/>
        <v>1.9146076266096415</v>
      </c>
      <c r="EK47" s="1254">
        <f t="shared" si="67"/>
        <v>1.9146076266096415</v>
      </c>
      <c r="EL47" s="1254">
        <f t="shared" si="67"/>
        <v>1.9146076266096415</v>
      </c>
      <c r="EM47" s="1254">
        <f t="shared" si="67"/>
        <v>1.9146076266096415</v>
      </c>
      <c r="EN47" s="1254">
        <f t="shared" si="74"/>
        <v>334.7422364930714</v>
      </c>
      <c r="EO47" s="1254">
        <f t="shared" si="74"/>
        <v>334.7422364930714</v>
      </c>
      <c r="EP47" s="1254">
        <f t="shared" si="74"/>
        <v>334.7422364930714</v>
      </c>
      <c r="EQ47" s="1254">
        <f t="shared" si="68"/>
        <v>334.7422364930714</v>
      </c>
      <c r="ER47" s="1254">
        <f t="shared" si="68"/>
        <v>334.7422364930714</v>
      </c>
      <c r="ES47" s="1254">
        <f t="shared" si="68"/>
        <v>334.7422364930714</v>
      </c>
      <c r="ET47" s="1254">
        <f t="shared" si="68"/>
        <v>334.7422364930714</v>
      </c>
      <c r="EU47" s="1256">
        <f t="shared" si="29"/>
        <v>35</v>
      </c>
      <c r="EV47" s="1257">
        <f t="shared" si="30"/>
        <v>65863.167999999991</v>
      </c>
      <c r="EW47" s="1257">
        <f t="shared" si="31"/>
        <v>0</v>
      </c>
      <c r="EX47" s="1257">
        <f t="shared" si="32"/>
        <v>10500</v>
      </c>
      <c r="EY47" s="1257">
        <f t="shared" si="33"/>
        <v>0</v>
      </c>
      <c r="EZ47" s="1256">
        <f t="shared" si="34"/>
        <v>30506.284063242681</v>
      </c>
      <c r="FA47" s="1256">
        <f t="shared" si="35"/>
        <v>13.402253386267489</v>
      </c>
      <c r="FB47" s="1258">
        <f t="shared" si="36"/>
        <v>2343.1956554515</v>
      </c>
      <c r="FD47" s="525" t="b">
        <f t="shared" si="54"/>
        <v>1</v>
      </c>
      <c r="FE47" s="525" t="b">
        <f t="shared" si="54"/>
        <v>1</v>
      </c>
      <c r="FF47" s="525" t="b">
        <f t="shared" si="54"/>
        <v>1</v>
      </c>
      <c r="FG47" s="525" t="b">
        <f t="shared" si="54"/>
        <v>1</v>
      </c>
      <c r="FH47" s="525" t="b">
        <f t="shared" si="54"/>
        <v>1</v>
      </c>
      <c r="FI47" s="525" t="b">
        <f t="shared" si="54"/>
        <v>1</v>
      </c>
      <c r="FJ47" s="525" t="b">
        <f t="shared" si="54"/>
        <v>1</v>
      </c>
    </row>
    <row r="48" spans="1:166" s="525" customFormat="1" ht="12.75" hidden="1" customHeight="1">
      <c r="A48" s="1238">
        <v>42</v>
      </c>
      <c r="B48" s="1239" t="s">
        <v>963</v>
      </c>
      <c r="C48" s="1238" t="s">
        <v>2142</v>
      </c>
      <c r="D48" s="1240" t="s">
        <v>2124</v>
      </c>
      <c r="E48" s="1238" t="s">
        <v>331</v>
      </c>
      <c r="F48" s="1241" t="s">
        <v>402</v>
      </c>
      <c r="G48" s="1241">
        <v>1014.4551</v>
      </c>
      <c r="H48" s="1242"/>
      <c r="I48" s="1241">
        <f t="shared" si="2"/>
        <v>1014.4551</v>
      </c>
      <c r="J48" s="1241">
        <v>0</v>
      </c>
      <c r="K48" s="1241">
        <f t="shared" si="43"/>
        <v>507.22755000000001</v>
      </c>
      <c r="L48" s="1243" t="s">
        <v>2125</v>
      </c>
      <c r="M48" s="1244" t="s">
        <v>378</v>
      </c>
      <c r="N48" s="1244">
        <f t="shared" si="48"/>
        <v>300</v>
      </c>
      <c r="O48" s="1242">
        <v>0</v>
      </c>
      <c r="P48" s="1244">
        <v>0</v>
      </c>
      <c r="Q48" s="1245">
        <v>139.02843860480436</v>
      </c>
      <c r="R48" s="1246">
        <v>0</v>
      </c>
      <c r="S48" s="1245">
        <v>44.565132211348242</v>
      </c>
      <c r="T48" s="1243" t="s">
        <v>1980</v>
      </c>
      <c r="U48" s="1247"/>
      <c r="V48" s="1248">
        <v>2.8564627469650082E-3</v>
      </c>
      <c r="W48" s="1249"/>
      <c r="X48" s="1249"/>
      <c r="Y48" s="1249"/>
      <c r="Z48" s="1249"/>
      <c r="AA48" s="1249"/>
      <c r="AB48" s="1249"/>
      <c r="AC48" s="1250">
        <f t="shared" si="76"/>
        <v>5</v>
      </c>
      <c r="AD48" s="1250">
        <f t="shared" si="75"/>
        <v>5</v>
      </c>
      <c r="AE48" s="1250">
        <f t="shared" si="75"/>
        <v>5</v>
      </c>
      <c r="AF48" s="1250">
        <f t="shared" si="75"/>
        <v>5</v>
      </c>
      <c r="AG48" s="1250">
        <f t="shared" si="75"/>
        <v>5</v>
      </c>
      <c r="AH48" s="1250">
        <f t="shared" si="62"/>
        <v>5</v>
      </c>
      <c r="AI48" s="1250">
        <f t="shared" si="62"/>
        <v>5</v>
      </c>
      <c r="AJ48" s="1243" t="s">
        <v>2013</v>
      </c>
      <c r="AK48" s="1243" t="s">
        <v>375</v>
      </c>
      <c r="AL48" s="1243" t="s">
        <v>376</v>
      </c>
      <c r="AM48" s="1243" t="s">
        <v>2082</v>
      </c>
      <c r="AN48" s="1243" t="s">
        <v>1</v>
      </c>
      <c r="AO48" s="1243" t="s">
        <v>2143</v>
      </c>
      <c r="AP48" s="1243" t="s">
        <v>2142</v>
      </c>
      <c r="AQ48" s="1243" t="s">
        <v>2124</v>
      </c>
      <c r="AR48" s="1240" t="s">
        <v>1944</v>
      </c>
      <c r="AS48" s="1240" t="s">
        <v>407</v>
      </c>
      <c r="AT48" s="1240" t="s">
        <v>381</v>
      </c>
      <c r="AU48" s="1243">
        <v>20</v>
      </c>
      <c r="AV48" s="1243">
        <v>20</v>
      </c>
      <c r="AW48" s="1243" t="s">
        <v>2144</v>
      </c>
      <c r="AX48" s="1251">
        <v>1</v>
      </c>
      <c r="AY48" s="1251">
        <v>1</v>
      </c>
      <c r="AZ48" s="1251">
        <v>1</v>
      </c>
      <c r="BA48" s="1252">
        <f t="shared" si="4"/>
        <v>1014.4551</v>
      </c>
      <c r="BB48" s="1252">
        <f t="shared" si="57"/>
        <v>1014.4551</v>
      </c>
      <c r="BC48" s="1252">
        <f t="shared" si="57"/>
        <v>1014.4551</v>
      </c>
      <c r="BD48" s="1252">
        <f t="shared" si="57"/>
        <v>1014.4551</v>
      </c>
      <c r="BE48" s="1252">
        <f t="shared" si="6"/>
        <v>1014.4551</v>
      </c>
      <c r="BF48" s="1252">
        <f t="shared" si="6"/>
        <v>1014.4551</v>
      </c>
      <c r="BG48" s="1252">
        <f t="shared" si="6"/>
        <v>1014.4551</v>
      </c>
      <c r="BH48" s="1252">
        <f t="shared" si="7"/>
        <v>0</v>
      </c>
      <c r="BI48" s="1252">
        <f t="shared" si="58"/>
        <v>0</v>
      </c>
      <c r="BJ48" s="1252">
        <f t="shared" si="58"/>
        <v>0</v>
      </c>
      <c r="BK48" s="1252">
        <f t="shared" si="58"/>
        <v>0</v>
      </c>
      <c r="BL48" s="1252">
        <f t="shared" si="58"/>
        <v>0</v>
      </c>
      <c r="BM48" s="1252">
        <f t="shared" si="58"/>
        <v>0</v>
      </c>
      <c r="BN48" s="1252">
        <f t="shared" si="58"/>
        <v>0</v>
      </c>
      <c r="BO48" s="1252">
        <f t="shared" si="9"/>
        <v>300</v>
      </c>
      <c r="BP48" s="1252">
        <f t="shared" si="77"/>
        <v>300</v>
      </c>
      <c r="BQ48" s="1252">
        <f t="shared" si="77"/>
        <v>300</v>
      </c>
      <c r="BR48" s="1252">
        <f t="shared" si="77"/>
        <v>300</v>
      </c>
      <c r="BS48" s="1252">
        <f t="shared" si="77"/>
        <v>300</v>
      </c>
      <c r="BT48" s="1252">
        <f t="shared" si="77"/>
        <v>300</v>
      </c>
      <c r="BU48" s="1252">
        <f t="shared" si="77"/>
        <v>300</v>
      </c>
      <c r="BV48" s="1253">
        <f t="shared" si="27"/>
        <v>0</v>
      </c>
      <c r="BW48" s="1253">
        <f t="shared" si="27"/>
        <v>0</v>
      </c>
      <c r="BX48" s="1253">
        <f t="shared" si="27"/>
        <v>0</v>
      </c>
      <c r="BY48" s="1253">
        <f t="shared" si="27"/>
        <v>0</v>
      </c>
      <c r="BZ48" s="1253">
        <f t="shared" si="27"/>
        <v>0</v>
      </c>
      <c r="CA48" s="1253">
        <f t="shared" si="27"/>
        <v>0</v>
      </c>
      <c r="CB48" s="1253">
        <f t="shared" si="27"/>
        <v>0</v>
      </c>
      <c r="CC48" s="1254">
        <f t="shared" si="12"/>
        <v>139.02843860480436</v>
      </c>
      <c r="CD48" s="1254">
        <f t="shared" si="59"/>
        <v>139.02843860480436</v>
      </c>
      <c r="CE48" s="1254">
        <f t="shared" si="59"/>
        <v>139.02843860480436</v>
      </c>
      <c r="CF48" s="1254">
        <f t="shared" si="59"/>
        <v>139.02843860480436</v>
      </c>
      <c r="CG48" s="1254">
        <f t="shared" si="59"/>
        <v>139.02843860480436</v>
      </c>
      <c r="CH48" s="1254">
        <f t="shared" si="59"/>
        <v>139.02843860480436</v>
      </c>
      <c r="CI48" s="1254">
        <f t="shared" si="59"/>
        <v>139.02843860480436</v>
      </c>
      <c r="CJ48" s="1254">
        <f t="shared" si="14"/>
        <v>0</v>
      </c>
      <c r="CK48" s="1254">
        <f t="shared" si="60"/>
        <v>0</v>
      </c>
      <c r="CL48" s="1254">
        <f t="shared" si="60"/>
        <v>0</v>
      </c>
      <c r="CM48" s="1254">
        <f t="shared" si="60"/>
        <v>0</v>
      </c>
      <c r="CN48" s="1254">
        <f t="shared" si="60"/>
        <v>0</v>
      </c>
      <c r="CO48" s="1254">
        <f t="shared" si="60"/>
        <v>0</v>
      </c>
      <c r="CP48" s="1254">
        <f t="shared" si="60"/>
        <v>0</v>
      </c>
      <c r="CQ48" s="1254">
        <f t="shared" si="16"/>
        <v>44.565132211348242</v>
      </c>
      <c r="CR48" s="1254">
        <f t="shared" si="61"/>
        <v>44.565132211348242</v>
      </c>
      <c r="CS48" s="1254">
        <f t="shared" si="61"/>
        <v>44.565132211348242</v>
      </c>
      <c r="CT48" s="1254">
        <f t="shared" si="61"/>
        <v>44.565132211348242</v>
      </c>
      <c r="CU48" s="1254">
        <f t="shared" si="61"/>
        <v>44.565132211348242</v>
      </c>
      <c r="CV48" s="1254">
        <f t="shared" si="61"/>
        <v>44.565132211348242</v>
      </c>
      <c r="CW48" s="1254">
        <f t="shared" si="61"/>
        <v>44.565132211348242</v>
      </c>
      <c r="CX48" s="1255">
        <f t="shared" ref="CX48:DB49" si="79">AC48*BA48</f>
        <v>5072.2754999999997</v>
      </c>
      <c r="CY48" s="1255">
        <f t="shared" si="79"/>
        <v>5072.2754999999997</v>
      </c>
      <c r="CZ48" s="1255">
        <f t="shared" si="79"/>
        <v>5072.2754999999997</v>
      </c>
      <c r="DA48" s="1255">
        <f t="shared" si="79"/>
        <v>5072.2754999999997</v>
      </c>
      <c r="DB48" s="1255">
        <f t="shared" si="79"/>
        <v>5072.2754999999997</v>
      </c>
      <c r="DC48" s="1255">
        <f t="shared" si="78"/>
        <v>5072.2754999999997</v>
      </c>
      <c r="DD48" s="1255">
        <f t="shared" si="78"/>
        <v>5072.2754999999997</v>
      </c>
      <c r="DE48" s="1255">
        <f t="shared" si="69"/>
        <v>0</v>
      </c>
      <c r="DF48" s="1255">
        <f t="shared" si="69"/>
        <v>0</v>
      </c>
      <c r="DG48" s="1255">
        <f t="shared" si="69"/>
        <v>0</v>
      </c>
      <c r="DH48" s="1255">
        <f t="shared" si="63"/>
        <v>0</v>
      </c>
      <c r="DI48" s="1255">
        <f t="shared" si="63"/>
        <v>0</v>
      </c>
      <c r="DJ48" s="1255">
        <f t="shared" si="63"/>
        <v>0</v>
      </c>
      <c r="DK48" s="1255">
        <f t="shared" si="63"/>
        <v>0</v>
      </c>
      <c r="DL48" s="1255">
        <f t="shared" si="70"/>
        <v>1500</v>
      </c>
      <c r="DM48" s="1255">
        <f t="shared" si="70"/>
        <v>1500</v>
      </c>
      <c r="DN48" s="1255">
        <f t="shared" si="70"/>
        <v>1500</v>
      </c>
      <c r="DO48" s="1255">
        <f t="shared" si="64"/>
        <v>1500</v>
      </c>
      <c r="DP48" s="1255">
        <f t="shared" si="64"/>
        <v>1500</v>
      </c>
      <c r="DQ48" s="1255">
        <f t="shared" si="64"/>
        <v>1500</v>
      </c>
      <c r="DR48" s="1255">
        <f t="shared" si="64"/>
        <v>1500</v>
      </c>
      <c r="DS48" s="1255">
        <f t="shared" si="71"/>
        <v>0</v>
      </c>
      <c r="DT48" s="1255">
        <f t="shared" si="71"/>
        <v>0</v>
      </c>
      <c r="DU48" s="1255">
        <f t="shared" si="71"/>
        <v>0</v>
      </c>
      <c r="DV48" s="1255">
        <f t="shared" si="65"/>
        <v>0</v>
      </c>
      <c r="DW48" s="1255">
        <f t="shared" si="65"/>
        <v>0</v>
      </c>
      <c r="DX48" s="1255">
        <f t="shared" si="65"/>
        <v>0</v>
      </c>
      <c r="DY48" s="1255">
        <f t="shared" si="65"/>
        <v>0</v>
      </c>
      <c r="DZ48" s="1254">
        <f t="shared" si="72"/>
        <v>695.14219302402182</v>
      </c>
      <c r="EA48" s="1254">
        <f t="shared" si="72"/>
        <v>695.14219302402182</v>
      </c>
      <c r="EB48" s="1254">
        <f t="shared" si="72"/>
        <v>695.14219302402182</v>
      </c>
      <c r="EC48" s="1254">
        <f t="shared" si="66"/>
        <v>695.14219302402182</v>
      </c>
      <c r="ED48" s="1254">
        <f t="shared" si="66"/>
        <v>695.14219302402182</v>
      </c>
      <c r="EE48" s="1254">
        <f t="shared" si="66"/>
        <v>695.14219302402182</v>
      </c>
      <c r="EF48" s="1254">
        <f t="shared" si="66"/>
        <v>695.14219302402182</v>
      </c>
      <c r="EG48" s="1254">
        <f t="shared" si="73"/>
        <v>0</v>
      </c>
      <c r="EH48" s="1254">
        <f t="shared" si="73"/>
        <v>0</v>
      </c>
      <c r="EI48" s="1254">
        <f t="shared" si="73"/>
        <v>0</v>
      </c>
      <c r="EJ48" s="1254">
        <f t="shared" si="67"/>
        <v>0</v>
      </c>
      <c r="EK48" s="1254">
        <f t="shared" si="67"/>
        <v>0</v>
      </c>
      <c r="EL48" s="1254">
        <f t="shared" si="67"/>
        <v>0</v>
      </c>
      <c r="EM48" s="1254">
        <f t="shared" si="67"/>
        <v>0</v>
      </c>
      <c r="EN48" s="1254">
        <f t="shared" si="74"/>
        <v>222.82566105674121</v>
      </c>
      <c r="EO48" s="1254">
        <f t="shared" si="74"/>
        <v>222.82566105674121</v>
      </c>
      <c r="EP48" s="1254">
        <f t="shared" si="74"/>
        <v>222.82566105674121</v>
      </c>
      <c r="EQ48" s="1254">
        <f t="shared" si="68"/>
        <v>222.82566105674121</v>
      </c>
      <c r="ER48" s="1254">
        <f t="shared" si="68"/>
        <v>222.82566105674121</v>
      </c>
      <c r="ES48" s="1254">
        <f t="shared" si="68"/>
        <v>222.82566105674121</v>
      </c>
      <c r="ET48" s="1254">
        <f t="shared" si="68"/>
        <v>222.82566105674121</v>
      </c>
      <c r="EU48" s="1256">
        <f t="shared" si="29"/>
        <v>35</v>
      </c>
      <c r="EV48" s="1257">
        <f t="shared" si="30"/>
        <v>35505.928499999995</v>
      </c>
      <c r="EW48" s="1257">
        <f t="shared" si="31"/>
        <v>0</v>
      </c>
      <c r="EX48" s="1257">
        <f t="shared" si="32"/>
        <v>10500</v>
      </c>
      <c r="EY48" s="1257">
        <f t="shared" si="33"/>
        <v>0</v>
      </c>
      <c r="EZ48" s="1256">
        <f t="shared" si="34"/>
        <v>4865.9953511681533</v>
      </c>
      <c r="FA48" s="1256">
        <f t="shared" si="35"/>
        <v>0</v>
      </c>
      <c r="FB48" s="1258">
        <f t="shared" si="36"/>
        <v>1559.7796273971885</v>
      </c>
      <c r="FD48" s="525" t="b">
        <f t="shared" si="54"/>
        <v>1</v>
      </c>
      <c r="FE48" s="525" t="b">
        <f t="shared" si="54"/>
        <v>1</v>
      </c>
      <c r="FF48" s="525" t="b">
        <f t="shared" si="54"/>
        <v>1</v>
      </c>
      <c r="FG48" s="525" t="b">
        <f t="shared" si="54"/>
        <v>1</v>
      </c>
      <c r="FH48" s="525" t="b">
        <f t="shared" si="54"/>
        <v>1</v>
      </c>
      <c r="FI48" s="525" t="b">
        <f t="shared" si="54"/>
        <v>1</v>
      </c>
      <c r="FJ48" s="525" t="b">
        <f t="shared" si="54"/>
        <v>1</v>
      </c>
    </row>
    <row r="49" spans="1:166" s="525" customFormat="1" ht="12.75" hidden="1" customHeight="1">
      <c r="A49" s="1238">
        <v>43</v>
      </c>
      <c r="B49" s="1239" t="s">
        <v>965</v>
      </c>
      <c r="C49" s="1238" t="s">
        <v>2145</v>
      </c>
      <c r="D49" s="1240" t="s">
        <v>2124</v>
      </c>
      <c r="E49" s="1238" t="s">
        <v>331</v>
      </c>
      <c r="F49" s="1241" t="s">
        <v>402</v>
      </c>
      <c r="G49" s="1241">
        <v>528.24879999999996</v>
      </c>
      <c r="H49" s="1242"/>
      <c r="I49" s="1241">
        <f t="shared" si="2"/>
        <v>528.24879999999996</v>
      </c>
      <c r="J49" s="1241">
        <v>0</v>
      </c>
      <c r="K49" s="1241">
        <f t="shared" si="43"/>
        <v>264.12439999999998</v>
      </c>
      <c r="L49" s="1243" t="s">
        <v>2146</v>
      </c>
      <c r="M49" s="1244" t="s">
        <v>378</v>
      </c>
      <c r="N49" s="1244">
        <f t="shared" si="48"/>
        <v>260</v>
      </c>
      <c r="O49" s="1242">
        <v>0</v>
      </c>
      <c r="P49" s="1244">
        <v>0</v>
      </c>
      <c r="Q49" s="1245">
        <v>161.34211715753887</v>
      </c>
      <c r="R49" s="1246">
        <v>0</v>
      </c>
      <c r="S49" s="1245">
        <v>36.015853570808666</v>
      </c>
      <c r="T49" s="1243" t="s">
        <v>1980</v>
      </c>
      <c r="U49" s="1247"/>
      <c r="V49" s="1248">
        <v>3.5705784337062603E-4</v>
      </c>
      <c r="W49" s="1249"/>
      <c r="X49" s="1249"/>
      <c r="Y49" s="1249"/>
      <c r="Z49" s="1249"/>
      <c r="AA49" s="1249"/>
      <c r="AB49" s="1249"/>
      <c r="AC49" s="1250">
        <f>MROUND((AC$6+AC$7)*$V49,1)</f>
        <v>1</v>
      </c>
      <c r="AD49" s="1250">
        <f t="shared" ref="AD49:AG49" si="80">MROUND((AD$6+AD$7)*$V49,1)</f>
        <v>1</v>
      </c>
      <c r="AE49" s="1250">
        <f t="shared" si="80"/>
        <v>1</v>
      </c>
      <c r="AF49" s="1250">
        <f t="shared" si="80"/>
        <v>1</v>
      </c>
      <c r="AG49" s="1250">
        <f t="shared" si="80"/>
        <v>1</v>
      </c>
      <c r="AH49" s="1250">
        <f t="shared" si="62"/>
        <v>1</v>
      </c>
      <c r="AI49" s="1250">
        <f t="shared" si="62"/>
        <v>1</v>
      </c>
      <c r="AJ49" s="1243" t="s">
        <v>2013</v>
      </c>
      <c r="AK49" s="1243" t="s">
        <v>375</v>
      </c>
      <c r="AL49" s="1243" t="s">
        <v>376</v>
      </c>
      <c r="AM49" s="1243" t="s">
        <v>2082</v>
      </c>
      <c r="AN49" s="1243" t="s">
        <v>1</v>
      </c>
      <c r="AO49" s="1243" t="s">
        <v>2147</v>
      </c>
      <c r="AP49" s="1243" t="s">
        <v>2145</v>
      </c>
      <c r="AQ49" s="1243" t="s">
        <v>2124</v>
      </c>
      <c r="AR49" s="1240" t="s">
        <v>1944</v>
      </c>
      <c r="AS49" s="1240" t="s">
        <v>407</v>
      </c>
      <c r="AT49" s="1240" t="s">
        <v>381</v>
      </c>
      <c r="AU49" s="1243">
        <v>20</v>
      </c>
      <c r="AV49" s="1243">
        <v>20</v>
      </c>
      <c r="AW49" s="1243" t="s">
        <v>2148</v>
      </c>
      <c r="AX49" s="1251">
        <v>1</v>
      </c>
      <c r="AY49" s="1251">
        <v>1</v>
      </c>
      <c r="AZ49" s="1251">
        <v>1</v>
      </c>
      <c r="BA49" s="1252">
        <f t="shared" si="4"/>
        <v>528.24879999999996</v>
      </c>
      <c r="BB49" s="1252">
        <f t="shared" si="57"/>
        <v>528.24879999999996</v>
      </c>
      <c r="BC49" s="1252">
        <f t="shared" si="57"/>
        <v>528.24879999999996</v>
      </c>
      <c r="BD49" s="1252">
        <f t="shared" si="57"/>
        <v>528.24879999999996</v>
      </c>
      <c r="BE49" s="1252">
        <f t="shared" si="6"/>
        <v>528.24879999999996</v>
      </c>
      <c r="BF49" s="1252">
        <f t="shared" si="6"/>
        <v>528.24879999999996</v>
      </c>
      <c r="BG49" s="1252">
        <f t="shared" si="6"/>
        <v>528.24879999999996</v>
      </c>
      <c r="BH49" s="1252">
        <f t="shared" si="7"/>
        <v>0</v>
      </c>
      <c r="BI49" s="1252">
        <f t="shared" si="58"/>
        <v>0</v>
      </c>
      <c r="BJ49" s="1252">
        <f t="shared" si="58"/>
        <v>0</v>
      </c>
      <c r="BK49" s="1252">
        <f t="shared" si="58"/>
        <v>0</v>
      </c>
      <c r="BL49" s="1252">
        <f t="shared" si="58"/>
        <v>0</v>
      </c>
      <c r="BM49" s="1252">
        <f t="shared" si="58"/>
        <v>0</v>
      </c>
      <c r="BN49" s="1252">
        <f t="shared" si="58"/>
        <v>0</v>
      </c>
      <c r="BO49" s="1252">
        <f t="shared" si="9"/>
        <v>260</v>
      </c>
      <c r="BP49" s="1252">
        <f t="shared" si="77"/>
        <v>260</v>
      </c>
      <c r="BQ49" s="1252">
        <f t="shared" si="77"/>
        <v>260</v>
      </c>
      <c r="BR49" s="1252">
        <f t="shared" si="77"/>
        <v>260</v>
      </c>
      <c r="BS49" s="1252">
        <f t="shared" si="77"/>
        <v>260</v>
      </c>
      <c r="BT49" s="1252">
        <f t="shared" si="77"/>
        <v>260</v>
      </c>
      <c r="BU49" s="1252">
        <f t="shared" si="77"/>
        <v>260</v>
      </c>
      <c r="BV49" s="1253">
        <f t="shared" si="27"/>
        <v>0</v>
      </c>
      <c r="BW49" s="1253">
        <f t="shared" si="27"/>
        <v>0</v>
      </c>
      <c r="BX49" s="1253">
        <f t="shared" si="27"/>
        <v>0</v>
      </c>
      <c r="BY49" s="1253">
        <f t="shared" si="27"/>
        <v>0</v>
      </c>
      <c r="BZ49" s="1253">
        <f t="shared" si="27"/>
        <v>0</v>
      </c>
      <c r="CA49" s="1253">
        <f t="shared" si="27"/>
        <v>0</v>
      </c>
      <c r="CB49" s="1253">
        <f t="shared" si="27"/>
        <v>0</v>
      </c>
      <c r="CC49" s="1254">
        <f t="shared" si="12"/>
        <v>161.34211715753887</v>
      </c>
      <c r="CD49" s="1254">
        <f t="shared" si="59"/>
        <v>161.34211715753887</v>
      </c>
      <c r="CE49" s="1254">
        <f t="shared" si="59"/>
        <v>161.34211715753887</v>
      </c>
      <c r="CF49" s="1254">
        <f t="shared" si="59"/>
        <v>161.34211715753887</v>
      </c>
      <c r="CG49" s="1254">
        <f t="shared" si="59"/>
        <v>161.34211715753887</v>
      </c>
      <c r="CH49" s="1254">
        <f t="shared" si="59"/>
        <v>161.34211715753887</v>
      </c>
      <c r="CI49" s="1254">
        <f t="shared" si="59"/>
        <v>161.34211715753887</v>
      </c>
      <c r="CJ49" s="1254">
        <f t="shared" si="14"/>
        <v>0</v>
      </c>
      <c r="CK49" s="1254">
        <f t="shared" si="60"/>
        <v>0</v>
      </c>
      <c r="CL49" s="1254">
        <f t="shared" si="60"/>
        <v>0</v>
      </c>
      <c r="CM49" s="1254">
        <f t="shared" si="60"/>
        <v>0</v>
      </c>
      <c r="CN49" s="1254">
        <f t="shared" si="60"/>
        <v>0</v>
      </c>
      <c r="CO49" s="1254">
        <f t="shared" si="60"/>
        <v>0</v>
      </c>
      <c r="CP49" s="1254">
        <f t="shared" si="60"/>
        <v>0</v>
      </c>
      <c r="CQ49" s="1254">
        <f t="shared" si="16"/>
        <v>36.015853570808666</v>
      </c>
      <c r="CR49" s="1254">
        <f t="shared" si="61"/>
        <v>36.015853570808666</v>
      </c>
      <c r="CS49" s="1254">
        <f t="shared" si="61"/>
        <v>36.015853570808666</v>
      </c>
      <c r="CT49" s="1254">
        <f t="shared" si="61"/>
        <v>36.015853570808666</v>
      </c>
      <c r="CU49" s="1254">
        <f t="shared" si="61"/>
        <v>36.015853570808666</v>
      </c>
      <c r="CV49" s="1254">
        <f t="shared" si="61"/>
        <v>36.015853570808666</v>
      </c>
      <c r="CW49" s="1254">
        <f t="shared" si="61"/>
        <v>36.015853570808666</v>
      </c>
      <c r="CX49" s="1255">
        <f t="shared" si="79"/>
        <v>528.24879999999996</v>
      </c>
      <c r="CY49" s="1255">
        <f t="shared" si="79"/>
        <v>528.24879999999996</v>
      </c>
      <c r="CZ49" s="1255">
        <f t="shared" si="79"/>
        <v>528.24879999999996</v>
      </c>
      <c r="DA49" s="1255">
        <f t="shared" si="79"/>
        <v>528.24879999999996</v>
      </c>
      <c r="DB49" s="1255">
        <f t="shared" si="79"/>
        <v>528.24879999999996</v>
      </c>
      <c r="DC49" s="1255">
        <f t="shared" si="78"/>
        <v>528.24879999999996</v>
      </c>
      <c r="DD49" s="1255">
        <f t="shared" si="78"/>
        <v>528.24879999999996</v>
      </c>
      <c r="DE49" s="1255">
        <f t="shared" si="69"/>
        <v>0</v>
      </c>
      <c r="DF49" s="1255">
        <f t="shared" si="69"/>
        <v>0</v>
      </c>
      <c r="DG49" s="1255">
        <f t="shared" si="69"/>
        <v>0</v>
      </c>
      <c r="DH49" s="1255">
        <f t="shared" si="63"/>
        <v>0</v>
      </c>
      <c r="DI49" s="1255">
        <f t="shared" si="63"/>
        <v>0</v>
      </c>
      <c r="DJ49" s="1255">
        <f t="shared" si="63"/>
        <v>0</v>
      </c>
      <c r="DK49" s="1255">
        <f t="shared" si="63"/>
        <v>0</v>
      </c>
      <c r="DL49" s="1255">
        <f t="shared" si="70"/>
        <v>260</v>
      </c>
      <c r="DM49" s="1255">
        <f t="shared" si="70"/>
        <v>260</v>
      </c>
      <c r="DN49" s="1255">
        <f t="shared" si="70"/>
        <v>260</v>
      </c>
      <c r="DO49" s="1255">
        <f t="shared" si="64"/>
        <v>260</v>
      </c>
      <c r="DP49" s="1255">
        <f t="shared" si="64"/>
        <v>260</v>
      </c>
      <c r="DQ49" s="1255">
        <f t="shared" si="64"/>
        <v>260</v>
      </c>
      <c r="DR49" s="1255">
        <f t="shared" si="64"/>
        <v>260</v>
      </c>
      <c r="DS49" s="1255">
        <f t="shared" si="71"/>
        <v>0</v>
      </c>
      <c r="DT49" s="1255">
        <f t="shared" si="71"/>
        <v>0</v>
      </c>
      <c r="DU49" s="1255">
        <f t="shared" si="71"/>
        <v>0</v>
      </c>
      <c r="DV49" s="1255">
        <f t="shared" si="65"/>
        <v>0</v>
      </c>
      <c r="DW49" s="1255">
        <f t="shared" si="65"/>
        <v>0</v>
      </c>
      <c r="DX49" s="1255">
        <f t="shared" si="65"/>
        <v>0</v>
      </c>
      <c r="DY49" s="1255">
        <f t="shared" si="65"/>
        <v>0</v>
      </c>
      <c r="DZ49" s="1254">
        <f t="shared" si="72"/>
        <v>161.34211715753887</v>
      </c>
      <c r="EA49" s="1254">
        <f t="shared" si="72"/>
        <v>161.34211715753887</v>
      </c>
      <c r="EB49" s="1254">
        <f t="shared" si="72"/>
        <v>161.34211715753887</v>
      </c>
      <c r="EC49" s="1254">
        <f t="shared" si="66"/>
        <v>161.34211715753887</v>
      </c>
      <c r="ED49" s="1254">
        <f t="shared" si="66"/>
        <v>161.34211715753887</v>
      </c>
      <c r="EE49" s="1254">
        <f t="shared" si="66"/>
        <v>161.34211715753887</v>
      </c>
      <c r="EF49" s="1254">
        <f t="shared" si="66"/>
        <v>161.34211715753887</v>
      </c>
      <c r="EG49" s="1254">
        <f t="shared" si="73"/>
        <v>0</v>
      </c>
      <c r="EH49" s="1254">
        <f t="shared" si="73"/>
        <v>0</v>
      </c>
      <c r="EI49" s="1254">
        <f t="shared" si="73"/>
        <v>0</v>
      </c>
      <c r="EJ49" s="1254">
        <f t="shared" si="67"/>
        <v>0</v>
      </c>
      <c r="EK49" s="1254">
        <f t="shared" si="67"/>
        <v>0</v>
      </c>
      <c r="EL49" s="1254">
        <f t="shared" si="67"/>
        <v>0</v>
      </c>
      <c r="EM49" s="1254">
        <f t="shared" si="67"/>
        <v>0</v>
      </c>
      <c r="EN49" s="1254">
        <f t="shared" si="74"/>
        <v>36.015853570808666</v>
      </c>
      <c r="EO49" s="1254">
        <f t="shared" si="74"/>
        <v>36.015853570808666</v>
      </c>
      <c r="EP49" s="1254">
        <f t="shared" si="74"/>
        <v>36.015853570808666</v>
      </c>
      <c r="EQ49" s="1254">
        <f t="shared" si="68"/>
        <v>36.015853570808666</v>
      </c>
      <c r="ER49" s="1254">
        <f t="shared" si="68"/>
        <v>36.015853570808666</v>
      </c>
      <c r="ES49" s="1254">
        <f t="shared" si="68"/>
        <v>36.015853570808666</v>
      </c>
      <c r="ET49" s="1254">
        <f t="shared" si="68"/>
        <v>36.015853570808666</v>
      </c>
      <c r="EU49" s="1256">
        <f t="shared" si="29"/>
        <v>7</v>
      </c>
      <c r="EV49" s="1257">
        <f t="shared" si="30"/>
        <v>3697.7415999999994</v>
      </c>
      <c r="EW49" s="1257">
        <f t="shared" si="31"/>
        <v>0</v>
      </c>
      <c r="EX49" s="1257">
        <f t="shared" si="32"/>
        <v>1820</v>
      </c>
      <c r="EY49" s="1257">
        <f t="shared" si="33"/>
        <v>0</v>
      </c>
      <c r="EZ49" s="1256">
        <f t="shared" si="34"/>
        <v>1129.394820102772</v>
      </c>
      <c r="FA49" s="1256">
        <f t="shared" si="35"/>
        <v>0</v>
      </c>
      <c r="FB49" s="1258">
        <f t="shared" si="36"/>
        <v>252.11097499566068</v>
      </c>
      <c r="FD49" s="525" t="b">
        <f t="shared" si="54"/>
        <v>1</v>
      </c>
      <c r="FE49" s="525" t="b">
        <f t="shared" si="54"/>
        <v>1</v>
      </c>
      <c r="FF49" s="525" t="b">
        <f t="shared" si="54"/>
        <v>1</v>
      </c>
      <c r="FG49" s="525" t="b">
        <f t="shared" si="54"/>
        <v>1</v>
      </c>
      <c r="FH49" s="525" t="b">
        <f t="shared" si="54"/>
        <v>1</v>
      </c>
      <c r="FI49" s="525" t="b">
        <f t="shared" si="54"/>
        <v>1</v>
      </c>
      <c r="FJ49" s="525" t="b">
        <f t="shared" si="54"/>
        <v>1</v>
      </c>
    </row>
    <row r="50" spans="1:166" s="10" customFormat="1" ht="12.75" hidden="1" customHeight="1">
      <c r="A50" s="1036"/>
      <c r="B50" s="1037" t="s">
        <v>2149</v>
      </c>
      <c r="C50" s="1036"/>
      <c r="D50" s="1038"/>
      <c r="E50" s="1036"/>
      <c r="F50" s="1041"/>
      <c r="G50" s="1041"/>
      <c r="H50" s="1259"/>
      <c r="I50" s="1041"/>
      <c r="J50" s="1041"/>
      <c r="K50" s="1041"/>
      <c r="L50" s="1048"/>
      <c r="M50" s="1260"/>
      <c r="N50" s="1260"/>
      <c r="O50" s="1259"/>
      <c r="P50" s="1259"/>
      <c r="Q50" s="1045"/>
      <c r="R50" s="1044"/>
      <c r="S50" s="1045"/>
      <c r="T50" s="1048"/>
      <c r="U50" s="1261"/>
      <c r="V50" s="1046"/>
      <c r="W50" s="1262"/>
      <c r="X50" s="1262"/>
      <c r="Y50" s="1262"/>
      <c r="Z50" s="1262"/>
      <c r="AA50" s="1262"/>
      <c r="AB50" s="1262"/>
      <c r="AC50" s="1047"/>
      <c r="AD50" s="1047"/>
      <c r="AE50" s="1047"/>
      <c r="AF50" s="1047"/>
      <c r="AG50" s="1047"/>
      <c r="AH50" s="1047"/>
      <c r="AI50" s="1047"/>
      <c r="AJ50" s="1047"/>
      <c r="AK50" s="1048"/>
      <c r="AL50" s="1048"/>
      <c r="AM50" s="1048"/>
      <c r="AN50" s="1048"/>
      <c r="AO50" s="1048"/>
      <c r="AP50" s="1048"/>
      <c r="AQ50" s="1048"/>
      <c r="AR50" s="1038"/>
      <c r="AS50" s="1038"/>
      <c r="AT50" s="1038"/>
      <c r="AU50" s="1048"/>
      <c r="AV50" s="1048"/>
      <c r="AW50" s="1048"/>
      <c r="AX50" s="1049"/>
      <c r="AY50" s="1049"/>
      <c r="AZ50" s="1049"/>
      <c r="BA50" s="1052"/>
      <c r="BB50" s="1052"/>
      <c r="BC50" s="1052"/>
      <c r="BD50" s="1052"/>
      <c r="BE50" s="1052"/>
      <c r="BF50" s="1052"/>
      <c r="BG50" s="1052"/>
      <c r="BH50" s="1052"/>
      <c r="BI50" s="1052"/>
      <c r="BJ50" s="1052"/>
      <c r="BK50" s="1052"/>
      <c r="BL50" s="1052"/>
      <c r="BM50" s="1052"/>
      <c r="BN50" s="1052"/>
      <c r="BO50" s="1052"/>
      <c r="BP50" s="1052"/>
      <c r="BQ50" s="1052"/>
      <c r="BR50" s="1052"/>
      <c r="BS50" s="1052"/>
      <c r="BT50" s="1052"/>
      <c r="BU50" s="1052"/>
      <c r="BV50" s="1052"/>
      <c r="BW50" s="1052"/>
      <c r="BX50" s="1052"/>
      <c r="BY50" s="1052"/>
      <c r="BZ50" s="1052"/>
      <c r="CA50" s="1052"/>
      <c r="CB50" s="1052"/>
      <c r="CC50" s="1054"/>
      <c r="CD50" s="1054"/>
      <c r="CE50" s="1054"/>
      <c r="CF50" s="1054"/>
      <c r="CG50" s="1054"/>
      <c r="CH50" s="1054"/>
      <c r="CI50" s="1054"/>
      <c r="CJ50" s="1054"/>
      <c r="CK50" s="1054"/>
      <c r="CL50" s="1054"/>
      <c r="CM50" s="1054"/>
      <c r="CN50" s="1054"/>
      <c r="CO50" s="1054"/>
      <c r="CP50" s="1054"/>
      <c r="CQ50" s="1054"/>
      <c r="CR50" s="1054"/>
      <c r="CS50" s="1054"/>
      <c r="CT50" s="1054"/>
      <c r="CU50" s="1054"/>
      <c r="CV50" s="1054"/>
      <c r="CW50" s="1054"/>
      <c r="CX50" s="1057"/>
      <c r="CY50" s="1057"/>
      <c r="CZ50" s="1057"/>
      <c r="DA50" s="1057"/>
      <c r="DB50" s="1057"/>
      <c r="DC50" s="1057"/>
      <c r="DD50" s="1057"/>
      <c r="DE50" s="1057"/>
      <c r="DF50" s="1057"/>
      <c r="DG50" s="1057"/>
      <c r="DH50" s="1057"/>
      <c r="DI50" s="1057"/>
      <c r="DJ50" s="1057"/>
      <c r="DK50" s="1057"/>
      <c r="DL50" s="1057"/>
      <c r="DM50" s="1057"/>
      <c r="DN50" s="1057"/>
      <c r="DO50" s="1057"/>
      <c r="DP50" s="1057"/>
      <c r="DQ50" s="1057"/>
      <c r="DR50" s="1057"/>
      <c r="DS50" s="1057"/>
      <c r="DT50" s="1057"/>
      <c r="DU50" s="1057"/>
      <c r="DV50" s="1057"/>
      <c r="DW50" s="1057"/>
      <c r="DX50" s="1057"/>
      <c r="DY50" s="1057"/>
      <c r="DZ50" s="1054"/>
      <c r="EA50" s="1054"/>
      <c r="EB50" s="1054"/>
      <c r="EC50" s="1054"/>
      <c r="ED50" s="1054"/>
      <c r="EE50" s="1054"/>
      <c r="EF50" s="1054"/>
      <c r="EG50" s="1054"/>
      <c r="EH50" s="1054"/>
      <c r="EI50" s="1054"/>
      <c r="EJ50" s="1054"/>
      <c r="EK50" s="1054"/>
      <c r="EL50" s="1054"/>
      <c r="EM50" s="1054"/>
      <c r="EN50" s="1054"/>
      <c r="EO50" s="1054"/>
      <c r="EP50" s="1054"/>
      <c r="EQ50" s="1054"/>
      <c r="ER50" s="1054"/>
      <c r="ES50" s="1054"/>
      <c r="ET50" s="1054"/>
      <c r="EU50" s="1063"/>
      <c r="EV50" s="1062"/>
      <c r="EW50" s="1062"/>
      <c r="EX50" s="1062"/>
      <c r="EY50" s="1062"/>
      <c r="EZ50" s="1063"/>
      <c r="FA50" s="1063"/>
      <c r="FB50" s="1054"/>
    </row>
    <row r="51" spans="1:166" s="10" customFormat="1" ht="12.75" hidden="1" customHeight="1">
      <c r="A51" s="662" t="s">
        <v>171</v>
      </c>
      <c r="B51" s="789" t="s">
        <v>2150</v>
      </c>
      <c r="C51" s="662" t="s">
        <v>1955</v>
      </c>
      <c r="D51" s="715"/>
      <c r="E51" s="662" t="s">
        <v>1143</v>
      </c>
      <c r="F51" s="704" t="s">
        <v>372</v>
      </c>
      <c r="G51" s="707">
        <f t="shared" ref="G51:P66" si="81">G6</f>
        <v>25</v>
      </c>
      <c r="H51" s="707">
        <f t="shared" si="81"/>
        <v>0</v>
      </c>
      <c r="I51" s="707">
        <f t="shared" si="81"/>
        <v>25</v>
      </c>
      <c r="J51" s="707">
        <f t="shared" si="81"/>
        <v>0</v>
      </c>
      <c r="K51" s="707">
        <f t="shared" si="81"/>
        <v>0</v>
      </c>
      <c r="L51" s="1263" t="str">
        <f t="shared" si="81"/>
        <v>Audit Fee to Customer</v>
      </c>
      <c r="M51" s="707">
        <f t="shared" si="81"/>
        <v>0</v>
      </c>
      <c r="N51" s="707">
        <f>N6</f>
        <v>0</v>
      </c>
      <c r="O51" s="707">
        <f t="shared" ref="O51:P51" si="82">O6</f>
        <v>0</v>
      </c>
      <c r="P51" s="707">
        <f t="shared" si="82"/>
        <v>0</v>
      </c>
      <c r="Q51" s="710">
        <v>0</v>
      </c>
      <c r="R51" s="710">
        <v>0</v>
      </c>
      <c r="S51" s="710">
        <v>0</v>
      </c>
      <c r="T51" s="711" t="str">
        <f>T6</f>
        <v>No saving for audit</v>
      </c>
      <c r="U51" s="712"/>
      <c r="V51" s="1124">
        <f t="shared" ref="V51:V94" si="83">V6</f>
        <v>1</v>
      </c>
      <c r="W51" s="790"/>
      <c r="X51" s="790"/>
      <c r="Y51" s="790"/>
      <c r="Z51" s="790"/>
      <c r="AA51" s="790"/>
      <c r="AB51" s="790"/>
      <c r="AC51" s="781">
        <f t="shared" ref="AC51:AG65" si="84">AC6*0.5</f>
        <v>1130</v>
      </c>
      <c r="AD51" s="781">
        <f t="shared" si="84"/>
        <v>1130</v>
      </c>
      <c r="AE51" s="781">
        <f t="shared" si="84"/>
        <v>1130</v>
      </c>
      <c r="AF51" s="781">
        <f t="shared" si="84"/>
        <v>1130</v>
      </c>
      <c r="AG51" s="781">
        <f t="shared" si="84"/>
        <v>1130</v>
      </c>
      <c r="AH51" s="781">
        <f t="shared" ref="AH51:AI66" si="85">AG51</f>
        <v>1130</v>
      </c>
      <c r="AI51" s="781">
        <f t="shared" si="85"/>
        <v>1130</v>
      </c>
      <c r="AJ51" s="711" t="s">
        <v>384</v>
      </c>
      <c r="AK51" s="711" t="s">
        <v>375</v>
      </c>
      <c r="AL51" s="711" t="s">
        <v>376</v>
      </c>
      <c r="AM51" s="711" t="s">
        <v>1958</v>
      </c>
      <c r="AN51" s="711" t="s">
        <v>1</v>
      </c>
      <c r="AO51" s="711" t="s">
        <v>378</v>
      </c>
      <c r="AP51" s="711" t="s">
        <v>378</v>
      </c>
      <c r="AQ51" s="711" t="s">
        <v>378</v>
      </c>
      <c r="AR51" s="715" t="s">
        <v>1945</v>
      </c>
      <c r="AS51" s="711"/>
      <c r="AT51" s="715" t="s">
        <v>385</v>
      </c>
      <c r="AU51" s="711">
        <v>1</v>
      </c>
      <c r="AV51" s="711">
        <v>1</v>
      </c>
      <c r="AW51" s="711" t="s">
        <v>1959</v>
      </c>
      <c r="AX51" s="716">
        <v>1</v>
      </c>
      <c r="AY51" s="716">
        <v>1</v>
      </c>
      <c r="AZ51" s="716">
        <v>1</v>
      </c>
      <c r="BA51" s="499">
        <f t="shared" ref="BA51:BA94" si="86">I51</f>
        <v>25</v>
      </c>
      <c r="BB51" s="499">
        <f t="shared" ref="BB51:BD65" si="87">BA51</f>
        <v>25</v>
      </c>
      <c r="BC51" s="499">
        <f t="shared" si="87"/>
        <v>25</v>
      </c>
      <c r="BD51" s="499">
        <f t="shared" si="87"/>
        <v>25</v>
      </c>
      <c r="BE51" s="499">
        <f t="shared" ref="BE51:BG94" si="88">BB51</f>
        <v>25</v>
      </c>
      <c r="BF51" s="499">
        <f t="shared" si="88"/>
        <v>25</v>
      </c>
      <c r="BG51" s="499">
        <f t="shared" si="88"/>
        <v>25</v>
      </c>
      <c r="BH51" s="499">
        <f t="shared" ref="BH51:BH94" si="89">J51</f>
        <v>0</v>
      </c>
      <c r="BI51" s="499">
        <f t="shared" ref="BI51:BN65" si="90">BH51</f>
        <v>0</v>
      </c>
      <c r="BJ51" s="499">
        <f t="shared" si="90"/>
        <v>0</v>
      </c>
      <c r="BK51" s="499">
        <f t="shared" si="90"/>
        <v>0</v>
      </c>
      <c r="BL51" s="499">
        <f t="shared" si="90"/>
        <v>0</v>
      </c>
      <c r="BM51" s="499">
        <f t="shared" si="90"/>
        <v>0</v>
      </c>
      <c r="BN51" s="499">
        <f t="shared" si="90"/>
        <v>0</v>
      </c>
      <c r="BO51" s="499">
        <f t="shared" ref="BO51:BO94" si="91">N51+O51</f>
        <v>0</v>
      </c>
      <c r="BP51" s="499">
        <f>BO51</f>
        <v>0</v>
      </c>
      <c r="BQ51" s="499">
        <f t="shared" ref="BQ51:BU65" si="92">BP51</f>
        <v>0</v>
      </c>
      <c r="BR51" s="499">
        <f t="shared" si="92"/>
        <v>0</v>
      </c>
      <c r="BS51" s="499">
        <f t="shared" si="92"/>
        <v>0</v>
      </c>
      <c r="BT51" s="499">
        <f t="shared" si="92"/>
        <v>0</v>
      </c>
      <c r="BU51" s="499">
        <f t="shared" si="92"/>
        <v>0</v>
      </c>
      <c r="BV51" s="503">
        <f>$P51</f>
        <v>0</v>
      </c>
      <c r="BW51" s="503">
        <f t="shared" ref="BW51:CB67" si="93">$P51</f>
        <v>0</v>
      </c>
      <c r="BX51" s="503">
        <f t="shared" si="93"/>
        <v>0</v>
      </c>
      <c r="BY51" s="503">
        <f t="shared" si="93"/>
        <v>0</v>
      </c>
      <c r="BZ51" s="503">
        <f t="shared" si="93"/>
        <v>0</v>
      </c>
      <c r="CA51" s="503">
        <f t="shared" si="93"/>
        <v>0</v>
      </c>
      <c r="CB51" s="503">
        <f t="shared" si="93"/>
        <v>0</v>
      </c>
      <c r="CC51" s="511">
        <f t="shared" ref="CC51:CC94" si="94">Q51*AY51</f>
        <v>0</v>
      </c>
      <c r="CD51" s="511">
        <f t="shared" ref="CD51:CI65" si="95">CC51</f>
        <v>0</v>
      </c>
      <c r="CE51" s="511">
        <f t="shared" si="95"/>
        <v>0</v>
      </c>
      <c r="CF51" s="511">
        <f t="shared" si="95"/>
        <v>0</v>
      </c>
      <c r="CG51" s="511">
        <f t="shared" si="95"/>
        <v>0</v>
      </c>
      <c r="CH51" s="511">
        <f t="shared" si="95"/>
        <v>0</v>
      </c>
      <c r="CI51" s="511">
        <f t="shared" si="95"/>
        <v>0</v>
      </c>
      <c r="CJ51" s="511">
        <f t="shared" ref="CJ51:CJ94" si="96">R51*AY51</f>
        <v>0</v>
      </c>
      <c r="CK51" s="511">
        <f t="shared" ref="CK51:CP65" si="97">CJ51</f>
        <v>0</v>
      </c>
      <c r="CL51" s="511">
        <f t="shared" si="97"/>
        <v>0</v>
      </c>
      <c r="CM51" s="511">
        <f t="shared" si="97"/>
        <v>0</v>
      </c>
      <c r="CN51" s="511">
        <f t="shared" si="97"/>
        <v>0</v>
      </c>
      <c r="CO51" s="511">
        <f t="shared" si="97"/>
        <v>0</v>
      </c>
      <c r="CP51" s="511">
        <f t="shared" si="97"/>
        <v>0</v>
      </c>
      <c r="CQ51" s="511">
        <f t="shared" ref="CQ51:CQ94" si="98">S51*AZ51</f>
        <v>0</v>
      </c>
      <c r="CR51" s="511">
        <f t="shared" ref="CR51:CW65" si="99">CQ51</f>
        <v>0</v>
      </c>
      <c r="CS51" s="511">
        <f t="shared" si="99"/>
        <v>0</v>
      </c>
      <c r="CT51" s="511">
        <f t="shared" si="99"/>
        <v>0</v>
      </c>
      <c r="CU51" s="511">
        <f t="shared" si="99"/>
        <v>0</v>
      </c>
      <c r="CV51" s="511">
        <f t="shared" si="99"/>
        <v>0</v>
      </c>
      <c r="CW51" s="511">
        <f t="shared" si="99"/>
        <v>0</v>
      </c>
      <c r="CX51" s="508">
        <f t="shared" ref="CX51:DD65" si="100">AC51*BA51</f>
        <v>28250</v>
      </c>
      <c r="CY51" s="508">
        <f t="shared" si="100"/>
        <v>28250</v>
      </c>
      <c r="CZ51" s="508">
        <f t="shared" si="100"/>
        <v>28250</v>
      </c>
      <c r="DA51" s="508">
        <f t="shared" si="100"/>
        <v>28250</v>
      </c>
      <c r="DB51" s="508">
        <f t="shared" si="100"/>
        <v>28250</v>
      </c>
      <c r="DC51" s="508">
        <f t="shared" si="100"/>
        <v>28250</v>
      </c>
      <c r="DD51" s="508">
        <f t="shared" si="100"/>
        <v>28250</v>
      </c>
      <c r="DE51" s="508">
        <f t="shared" ref="DE51:DK65" si="101">AC51*BH51</f>
        <v>0</v>
      </c>
      <c r="DF51" s="508">
        <f t="shared" si="101"/>
        <v>0</v>
      </c>
      <c r="DG51" s="508">
        <f t="shared" si="101"/>
        <v>0</v>
      </c>
      <c r="DH51" s="508">
        <f t="shared" si="101"/>
        <v>0</v>
      </c>
      <c r="DI51" s="508">
        <f t="shared" si="101"/>
        <v>0</v>
      </c>
      <c r="DJ51" s="508">
        <f t="shared" si="101"/>
        <v>0</v>
      </c>
      <c r="DK51" s="508">
        <f t="shared" si="101"/>
        <v>0</v>
      </c>
      <c r="DL51" s="508">
        <f t="shared" ref="DL51:DR65" si="102">AC51*BO51</f>
        <v>0</v>
      </c>
      <c r="DM51" s="508">
        <f t="shared" si="102"/>
        <v>0</v>
      </c>
      <c r="DN51" s="508">
        <f t="shared" si="102"/>
        <v>0</v>
      </c>
      <c r="DO51" s="508">
        <f t="shared" si="102"/>
        <v>0</v>
      </c>
      <c r="DP51" s="508">
        <f t="shared" si="102"/>
        <v>0</v>
      </c>
      <c r="DQ51" s="508">
        <f t="shared" si="102"/>
        <v>0</v>
      </c>
      <c r="DR51" s="508">
        <f t="shared" si="102"/>
        <v>0</v>
      </c>
      <c r="DS51" s="508">
        <f>BV51*AC51</f>
        <v>0</v>
      </c>
      <c r="DT51" s="508">
        <f>BW51*AD51</f>
        <v>0</v>
      </c>
      <c r="DU51" s="508">
        <f>BX51*AE51</f>
        <v>0</v>
      </c>
      <c r="DV51" s="508">
        <f>BY51*AF51</f>
        <v>0</v>
      </c>
      <c r="DW51" s="508">
        <f>BZ51*AG51</f>
        <v>0</v>
      </c>
      <c r="DX51" s="508">
        <f t="shared" ref="DX51:DY66" si="103">CA51*AH51</f>
        <v>0</v>
      </c>
      <c r="DY51" s="508">
        <f t="shared" si="103"/>
        <v>0</v>
      </c>
      <c r="DZ51" s="511">
        <f t="shared" ref="DZ51:EF65" si="104">AC51*CC51</f>
        <v>0</v>
      </c>
      <c r="EA51" s="511">
        <f t="shared" si="104"/>
        <v>0</v>
      </c>
      <c r="EB51" s="511">
        <f t="shared" si="104"/>
        <v>0</v>
      </c>
      <c r="EC51" s="511">
        <f t="shared" si="104"/>
        <v>0</v>
      </c>
      <c r="ED51" s="511">
        <f t="shared" si="104"/>
        <v>0</v>
      </c>
      <c r="EE51" s="511">
        <f t="shared" si="104"/>
        <v>0</v>
      </c>
      <c r="EF51" s="511">
        <f t="shared" si="104"/>
        <v>0</v>
      </c>
      <c r="EG51" s="511">
        <f t="shared" ref="EG51:EM65" si="105">AC51*CJ51</f>
        <v>0</v>
      </c>
      <c r="EH51" s="511">
        <f t="shared" si="105"/>
        <v>0</v>
      </c>
      <c r="EI51" s="511">
        <f t="shared" si="105"/>
        <v>0</v>
      </c>
      <c r="EJ51" s="511">
        <f t="shared" si="105"/>
        <v>0</v>
      </c>
      <c r="EK51" s="511">
        <f t="shared" si="105"/>
        <v>0</v>
      </c>
      <c r="EL51" s="511">
        <f t="shared" si="105"/>
        <v>0</v>
      </c>
      <c r="EM51" s="511">
        <f t="shared" si="105"/>
        <v>0</v>
      </c>
      <c r="EN51" s="511">
        <f t="shared" ref="EN51:ET65" si="106">AC51*CQ51</f>
        <v>0</v>
      </c>
      <c r="EO51" s="511">
        <f t="shared" si="106"/>
        <v>0</v>
      </c>
      <c r="EP51" s="511">
        <f t="shared" si="106"/>
        <v>0</v>
      </c>
      <c r="EQ51" s="511">
        <f t="shared" si="106"/>
        <v>0</v>
      </c>
      <c r="ER51" s="511">
        <f t="shared" si="106"/>
        <v>0</v>
      </c>
      <c r="ES51" s="511">
        <f t="shared" si="106"/>
        <v>0</v>
      </c>
      <c r="ET51" s="511">
        <f t="shared" si="106"/>
        <v>0</v>
      </c>
      <c r="EU51" s="777">
        <f t="shared" ref="EU51" si="107">SUM(AC51:AI51)</f>
        <v>7910</v>
      </c>
      <c r="EV51" s="728">
        <f t="shared" ref="EV51:EV94" si="108">SUM(CX51:DD51)</f>
        <v>197750</v>
      </c>
      <c r="EW51" s="728">
        <f t="shared" ref="EW51:EW94" si="109">SUM(DE51:DK51)</f>
        <v>0</v>
      </c>
      <c r="EX51" s="728">
        <f t="shared" ref="EX51:EX94" si="110">SUM(DL51:DR51)</f>
        <v>0</v>
      </c>
      <c r="EY51" s="728">
        <f t="shared" ref="EY51:EY94" si="111">SUM(DS51:DY51)</f>
        <v>0</v>
      </c>
      <c r="EZ51" s="777">
        <f t="shared" ref="EZ51:EZ94" si="112">SUM(DZ51:EF51)</f>
        <v>0</v>
      </c>
      <c r="FA51" s="777">
        <f t="shared" ref="FA51:FA94" si="113">SUM(EG51:EM51)</f>
        <v>0</v>
      </c>
      <c r="FB51" s="778">
        <f t="shared" ref="FB51:FB94" si="114">SUM(EN51:ET51)</f>
        <v>0</v>
      </c>
    </row>
    <row r="52" spans="1:166" s="10" customFormat="1" ht="12.75" hidden="1" customHeight="1">
      <c r="A52" s="662" t="s">
        <v>2151</v>
      </c>
      <c r="B52" s="789" t="s">
        <v>2152</v>
      </c>
      <c r="C52" s="662" t="s">
        <v>1961</v>
      </c>
      <c r="D52" s="715"/>
      <c r="E52" s="662" t="s">
        <v>1143</v>
      </c>
      <c r="F52" s="704" t="s">
        <v>372</v>
      </c>
      <c r="G52" s="707">
        <f t="shared" si="81"/>
        <v>100</v>
      </c>
      <c r="H52" s="707">
        <f t="shared" si="81"/>
        <v>0</v>
      </c>
      <c r="I52" s="707">
        <f t="shared" si="81"/>
        <v>100</v>
      </c>
      <c r="J52" s="707">
        <f t="shared" si="81"/>
        <v>0</v>
      </c>
      <c r="K52" s="707">
        <f t="shared" si="81"/>
        <v>0</v>
      </c>
      <c r="L52" s="1263" t="str">
        <f t="shared" si="81"/>
        <v>Audit Fee to Customer</v>
      </c>
      <c r="M52" s="707">
        <f t="shared" si="81"/>
        <v>0</v>
      </c>
      <c r="N52" s="707">
        <f t="shared" si="81"/>
        <v>0</v>
      </c>
      <c r="O52" s="707">
        <f t="shared" si="81"/>
        <v>0</v>
      </c>
      <c r="P52" s="707">
        <f t="shared" si="81"/>
        <v>0</v>
      </c>
      <c r="Q52" s="710">
        <v>0</v>
      </c>
      <c r="R52" s="710">
        <v>0</v>
      </c>
      <c r="S52" s="710">
        <v>0</v>
      </c>
      <c r="T52" s="711" t="str">
        <f t="shared" ref="T52:T94" si="115">T7</f>
        <v>No saving for audit</v>
      </c>
      <c r="U52" s="712"/>
      <c r="V52" s="1124">
        <f t="shared" si="83"/>
        <v>1</v>
      </c>
      <c r="W52" s="790"/>
      <c r="X52" s="790"/>
      <c r="Y52" s="790"/>
      <c r="Z52" s="790"/>
      <c r="AA52" s="790"/>
      <c r="AB52" s="790"/>
      <c r="AC52" s="781">
        <f t="shared" si="84"/>
        <v>125</v>
      </c>
      <c r="AD52" s="781">
        <f t="shared" si="84"/>
        <v>125</v>
      </c>
      <c r="AE52" s="781">
        <f t="shared" si="84"/>
        <v>125</v>
      </c>
      <c r="AF52" s="781">
        <f t="shared" si="84"/>
        <v>125</v>
      </c>
      <c r="AG52" s="781">
        <f t="shared" si="84"/>
        <v>125</v>
      </c>
      <c r="AH52" s="781">
        <f t="shared" si="85"/>
        <v>125</v>
      </c>
      <c r="AI52" s="781">
        <f t="shared" si="85"/>
        <v>125</v>
      </c>
      <c r="AJ52" s="711" t="s">
        <v>384</v>
      </c>
      <c r="AK52" s="711" t="s">
        <v>375</v>
      </c>
      <c r="AL52" s="711" t="s">
        <v>376</v>
      </c>
      <c r="AM52" s="711" t="s">
        <v>1958</v>
      </c>
      <c r="AN52" s="711" t="s">
        <v>1</v>
      </c>
      <c r="AO52" s="711" t="s">
        <v>378</v>
      </c>
      <c r="AP52" s="711" t="s">
        <v>378</v>
      </c>
      <c r="AQ52" s="711" t="s">
        <v>378</v>
      </c>
      <c r="AR52" s="715" t="s">
        <v>1945</v>
      </c>
      <c r="AS52" s="711"/>
      <c r="AT52" s="715" t="s">
        <v>385</v>
      </c>
      <c r="AU52" s="711">
        <v>1</v>
      </c>
      <c r="AV52" s="711">
        <v>1</v>
      </c>
      <c r="AW52" s="711" t="s">
        <v>1959</v>
      </c>
      <c r="AX52" s="716">
        <v>1</v>
      </c>
      <c r="AY52" s="716">
        <v>1</v>
      </c>
      <c r="AZ52" s="716">
        <v>1</v>
      </c>
      <c r="BA52" s="499">
        <f t="shared" si="86"/>
        <v>100</v>
      </c>
      <c r="BB52" s="499">
        <f t="shared" si="87"/>
        <v>100</v>
      </c>
      <c r="BC52" s="499">
        <f t="shared" si="87"/>
        <v>100</v>
      </c>
      <c r="BD52" s="499">
        <f t="shared" si="87"/>
        <v>100</v>
      </c>
      <c r="BE52" s="499">
        <f t="shared" si="88"/>
        <v>100</v>
      </c>
      <c r="BF52" s="499">
        <f t="shared" si="88"/>
        <v>100</v>
      </c>
      <c r="BG52" s="499">
        <f t="shared" si="88"/>
        <v>100</v>
      </c>
      <c r="BH52" s="499">
        <f t="shared" si="89"/>
        <v>0</v>
      </c>
      <c r="BI52" s="499">
        <f t="shared" si="90"/>
        <v>0</v>
      </c>
      <c r="BJ52" s="499">
        <f t="shared" si="90"/>
        <v>0</v>
      </c>
      <c r="BK52" s="499">
        <f t="shared" si="90"/>
        <v>0</v>
      </c>
      <c r="BL52" s="499">
        <f t="shared" si="90"/>
        <v>0</v>
      </c>
      <c r="BM52" s="499">
        <f t="shared" si="90"/>
        <v>0</v>
      </c>
      <c r="BN52" s="499">
        <f t="shared" si="90"/>
        <v>0</v>
      </c>
      <c r="BO52" s="499">
        <f t="shared" si="91"/>
        <v>0</v>
      </c>
      <c r="BP52" s="499">
        <f>BO52</f>
        <v>0</v>
      </c>
      <c r="BQ52" s="499">
        <f t="shared" si="92"/>
        <v>0</v>
      </c>
      <c r="BR52" s="499">
        <f t="shared" si="92"/>
        <v>0</v>
      </c>
      <c r="BS52" s="499">
        <f t="shared" si="92"/>
        <v>0</v>
      </c>
      <c r="BT52" s="499">
        <f t="shared" si="92"/>
        <v>0</v>
      </c>
      <c r="BU52" s="499">
        <f t="shared" si="92"/>
        <v>0</v>
      </c>
      <c r="BV52" s="503">
        <f t="shared" ref="BV52:CB94" si="116">$P52</f>
        <v>0</v>
      </c>
      <c r="BW52" s="503">
        <f t="shared" si="93"/>
        <v>0</v>
      </c>
      <c r="BX52" s="503">
        <f t="shared" si="93"/>
        <v>0</v>
      </c>
      <c r="BY52" s="503">
        <f t="shared" si="93"/>
        <v>0</v>
      </c>
      <c r="BZ52" s="503">
        <f t="shared" si="93"/>
        <v>0</v>
      </c>
      <c r="CA52" s="503">
        <f t="shared" si="93"/>
        <v>0</v>
      </c>
      <c r="CB52" s="503">
        <f t="shared" si="93"/>
        <v>0</v>
      </c>
      <c r="CC52" s="511">
        <f t="shared" si="94"/>
        <v>0</v>
      </c>
      <c r="CD52" s="511">
        <f t="shared" si="95"/>
        <v>0</v>
      </c>
      <c r="CE52" s="511">
        <f t="shared" si="95"/>
        <v>0</v>
      </c>
      <c r="CF52" s="511">
        <f t="shared" si="95"/>
        <v>0</v>
      </c>
      <c r="CG52" s="511">
        <f t="shared" si="95"/>
        <v>0</v>
      </c>
      <c r="CH52" s="511">
        <f t="shared" si="95"/>
        <v>0</v>
      </c>
      <c r="CI52" s="511">
        <f t="shared" si="95"/>
        <v>0</v>
      </c>
      <c r="CJ52" s="511">
        <f t="shared" si="96"/>
        <v>0</v>
      </c>
      <c r="CK52" s="511">
        <f t="shared" si="97"/>
        <v>0</v>
      </c>
      <c r="CL52" s="511">
        <f t="shared" si="97"/>
        <v>0</v>
      </c>
      <c r="CM52" s="511">
        <f t="shared" si="97"/>
        <v>0</v>
      </c>
      <c r="CN52" s="511">
        <f t="shared" si="97"/>
        <v>0</v>
      </c>
      <c r="CO52" s="511">
        <f t="shared" si="97"/>
        <v>0</v>
      </c>
      <c r="CP52" s="511">
        <f t="shared" si="97"/>
        <v>0</v>
      </c>
      <c r="CQ52" s="511">
        <f t="shared" si="98"/>
        <v>0</v>
      </c>
      <c r="CR52" s="511">
        <f t="shared" si="99"/>
        <v>0</v>
      </c>
      <c r="CS52" s="511">
        <f t="shared" si="99"/>
        <v>0</v>
      </c>
      <c r="CT52" s="511">
        <f t="shared" si="99"/>
        <v>0</v>
      </c>
      <c r="CU52" s="511">
        <f t="shared" si="99"/>
        <v>0</v>
      </c>
      <c r="CV52" s="511">
        <f t="shared" si="99"/>
        <v>0</v>
      </c>
      <c r="CW52" s="511">
        <f t="shared" si="99"/>
        <v>0</v>
      </c>
      <c r="CX52" s="508">
        <f t="shared" si="100"/>
        <v>12500</v>
      </c>
      <c r="CY52" s="508">
        <f t="shared" si="100"/>
        <v>12500</v>
      </c>
      <c r="CZ52" s="508">
        <f t="shared" si="100"/>
        <v>12500</v>
      </c>
      <c r="DA52" s="508">
        <f t="shared" si="100"/>
        <v>12500</v>
      </c>
      <c r="DB52" s="508">
        <f t="shared" si="100"/>
        <v>12500</v>
      </c>
      <c r="DC52" s="508">
        <f t="shared" si="100"/>
        <v>12500</v>
      </c>
      <c r="DD52" s="508">
        <f t="shared" si="100"/>
        <v>12500</v>
      </c>
      <c r="DE52" s="508">
        <f t="shared" si="101"/>
        <v>0</v>
      </c>
      <c r="DF52" s="508">
        <f t="shared" si="101"/>
        <v>0</v>
      </c>
      <c r="DG52" s="508">
        <f t="shared" si="101"/>
        <v>0</v>
      </c>
      <c r="DH52" s="508">
        <f t="shared" si="101"/>
        <v>0</v>
      </c>
      <c r="DI52" s="508">
        <f t="shared" si="101"/>
        <v>0</v>
      </c>
      <c r="DJ52" s="508">
        <f t="shared" si="101"/>
        <v>0</v>
      </c>
      <c r="DK52" s="508">
        <f t="shared" si="101"/>
        <v>0</v>
      </c>
      <c r="DL52" s="508">
        <f t="shared" si="102"/>
        <v>0</v>
      </c>
      <c r="DM52" s="508">
        <f t="shared" si="102"/>
        <v>0</v>
      </c>
      <c r="DN52" s="508">
        <f t="shared" si="102"/>
        <v>0</v>
      </c>
      <c r="DO52" s="508">
        <f t="shared" si="102"/>
        <v>0</v>
      </c>
      <c r="DP52" s="508">
        <f t="shared" si="102"/>
        <v>0</v>
      </c>
      <c r="DQ52" s="508">
        <f t="shared" si="102"/>
        <v>0</v>
      </c>
      <c r="DR52" s="508">
        <f t="shared" si="102"/>
        <v>0</v>
      </c>
      <c r="DS52" s="508">
        <f t="shared" ref="DS52:DY92" si="117">BV52*AC52</f>
        <v>0</v>
      </c>
      <c r="DT52" s="508">
        <f t="shared" si="117"/>
        <v>0</v>
      </c>
      <c r="DU52" s="508">
        <f t="shared" si="117"/>
        <v>0</v>
      </c>
      <c r="DV52" s="508">
        <f t="shared" si="117"/>
        <v>0</v>
      </c>
      <c r="DW52" s="508">
        <f t="shared" si="117"/>
        <v>0</v>
      </c>
      <c r="DX52" s="508">
        <f t="shared" si="103"/>
        <v>0</v>
      </c>
      <c r="DY52" s="508">
        <f t="shared" si="103"/>
        <v>0</v>
      </c>
      <c r="DZ52" s="511">
        <f t="shared" si="104"/>
        <v>0</v>
      </c>
      <c r="EA52" s="511">
        <f t="shared" si="104"/>
        <v>0</v>
      </c>
      <c r="EB52" s="511">
        <f t="shared" si="104"/>
        <v>0</v>
      </c>
      <c r="EC52" s="511">
        <f t="shared" si="104"/>
        <v>0</v>
      </c>
      <c r="ED52" s="511">
        <f t="shared" si="104"/>
        <v>0</v>
      </c>
      <c r="EE52" s="511">
        <f t="shared" si="104"/>
        <v>0</v>
      </c>
      <c r="EF52" s="511">
        <f t="shared" si="104"/>
        <v>0</v>
      </c>
      <c r="EG52" s="511">
        <f t="shared" si="105"/>
        <v>0</v>
      </c>
      <c r="EH52" s="511">
        <f t="shared" si="105"/>
        <v>0</v>
      </c>
      <c r="EI52" s="511">
        <f t="shared" si="105"/>
        <v>0</v>
      </c>
      <c r="EJ52" s="511">
        <f t="shared" si="105"/>
        <v>0</v>
      </c>
      <c r="EK52" s="511">
        <f t="shared" si="105"/>
        <v>0</v>
      </c>
      <c r="EL52" s="511">
        <f t="shared" si="105"/>
        <v>0</v>
      </c>
      <c r="EM52" s="511">
        <f t="shared" si="105"/>
        <v>0</v>
      </c>
      <c r="EN52" s="511">
        <f t="shared" si="106"/>
        <v>0</v>
      </c>
      <c r="EO52" s="511">
        <f t="shared" si="106"/>
        <v>0</v>
      </c>
      <c r="EP52" s="511">
        <f t="shared" si="106"/>
        <v>0</v>
      </c>
      <c r="EQ52" s="511">
        <f t="shared" si="106"/>
        <v>0</v>
      </c>
      <c r="ER52" s="511">
        <f t="shared" si="106"/>
        <v>0</v>
      </c>
      <c r="ES52" s="511">
        <f t="shared" si="106"/>
        <v>0</v>
      </c>
      <c r="ET52" s="511">
        <f t="shared" si="106"/>
        <v>0</v>
      </c>
      <c r="EU52" s="777">
        <f t="shared" ref="EU52:EU94" si="118">SUM(AC52:AI52)</f>
        <v>875</v>
      </c>
      <c r="EV52" s="728">
        <f t="shared" si="108"/>
        <v>87500</v>
      </c>
      <c r="EW52" s="728">
        <f t="shared" si="109"/>
        <v>0</v>
      </c>
      <c r="EX52" s="728">
        <f t="shared" si="110"/>
        <v>0</v>
      </c>
      <c r="EY52" s="728">
        <f t="shared" si="111"/>
        <v>0</v>
      </c>
      <c r="EZ52" s="777">
        <f t="shared" si="112"/>
        <v>0</v>
      </c>
      <c r="FA52" s="777">
        <f t="shared" si="113"/>
        <v>0</v>
      </c>
      <c r="FB52" s="778">
        <f t="shared" si="114"/>
        <v>0</v>
      </c>
    </row>
    <row r="53" spans="1:166" s="10" customFormat="1" ht="12.75" hidden="1" customHeight="1">
      <c r="A53" s="662" t="s">
        <v>173</v>
      </c>
      <c r="B53" s="789" t="s">
        <v>2153</v>
      </c>
      <c r="C53" s="662" t="s">
        <v>1963</v>
      </c>
      <c r="D53" s="715"/>
      <c r="E53" s="662" t="s">
        <v>1143</v>
      </c>
      <c r="F53" s="704" t="s">
        <v>372</v>
      </c>
      <c r="G53" s="707">
        <f t="shared" si="81"/>
        <v>0</v>
      </c>
      <c r="H53" s="707">
        <f t="shared" si="81"/>
        <v>0</v>
      </c>
      <c r="I53" s="707">
        <f t="shared" si="81"/>
        <v>0</v>
      </c>
      <c r="J53" s="707">
        <f t="shared" si="81"/>
        <v>0</v>
      </c>
      <c r="K53" s="707">
        <f t="shared" si="81"/>
        <v>0</v>
      </c>
      <c r="L53" s="1263" t="str">
        <f t="shared" si="81"/>
        <v>Free to customer</v>
      </c>
      <c r="M53" s="707">
        <f t="shared" si="81"/>
        <v>0</v>
      </c>
      <c r="N53" s="707">
        <f t="shared" si="81"/>
        <v>0</v>
      </c>
      <c r="O53" s="707">
        <f t="shared" si="81"/>
        <v>0</v>
      </c>
      <c r="P53" s="707">
        <f t="shared" si="81"/>
        <v>0</v>
      </c>
      <c r="Q53" s="710">
        <v>0</v>
      </c>
      <c r="R53" s="710">
        <v>0</v>
      </c>
      <c r="S53" s="710">
        <v>0</v>
      </c>
      <c r="T53" s="711" t="str">
        <f t="shared" si="115"/>
        <v>No saving for audit</v>
      </c>
      <c r="U53" s="712"/>
      <c r="V53" s="1124">
        <f t="shared" si="83"/>
        <v>1</v>
      </c>
      <c r="W53" s="790"/>
      <c r="X53" s="790"/>
      <c r="Y53" s="790"/>
      <c r="Z53" s="790"/>
      <c r="AA53" s="790"/>
      <c r="AB53" s="790"/>
      <c r="AC53" s="781">
        <f t="shared" si="84"/>
        <v>1320</v>
      </c>
      <c r="AD53" s="781">
        <f t="shared" si="84"/>
        <v>1320</v>
      </c>
      <c r="AE53" s="781">
        <f t="shared" si="84"/>
        <v>1320</v>
      </c>
      <c r="AF53" s="781">
        <f t="shared" si="84"/>
        <v>1320</v>
      </c>
      <c r="AG53" s="781">
        <f t="shared" si="84"/>
        <v>1320</v>
      </c>
      <c r="AH53" s="781">
        <f t="shared" si="85"/>
        <v>1320</v>
      </c>
      <c r="AI53" s="781">
        <f t="shared" si="85"/>
        <v>1320</v>
      </c>
      <c r="AJ53" s="711" t="s">
        <v>384</v>
      </c>
      <c r="AK53" s="711" t="s">
        <v>375</v>
      </c>
      <c r="AL53" s="711" t="s">
        <v>376</v>
      </c>
      <c r="AM53" s="711" t="s">
        <v>1958</v>
      </c>
      <c r="AN53" s="711" t="s">
        <v>1</v>
      </c>
      <c r="AO53" s="711" t="s">
        <v>378</v>
      </c>
      <c r="AP53" s="711" t="s">
        <v>378</v>
      </c>
      <c r="AQ53" s="711" t="s">
        <v>378</v>
      </c>
      <c r="AR53" s="715" t="s">
        <v>1945</v>
      </c>
      <c r="AS53" s="711"/>
      <c r="AT53" s="715" t="s">
        <v>385</v>
      </c>
      <c r="AU53" s="711">
        <v>1</v>
      </c>
      <c r="AV53" s="711">
        <v>1</v>
      </c>
      <c r="AW53" s="711" t="s">
        <v>1959</v>
      </c>
      <c r="AX53" s="716">
        <v>1</v>
      </c>
      <c r="AY53" s="716">
        <v>1</v>
      </c>
      <c r="AZ53" s="716">
        <v>1</v>
      </c>
      <c r="BA53" s="499">
        <f t="shared" si="86"/>
        <v>0</v>
      </c>
      <c r="BB53" s="499">
        <f t="shared" si="87"/>
        <v>0</v>
      </c>
      <c r="BC53" s="499">
        <f t="shared" si="87"/>
        <v>0</v>
      </c>
      <c r="BD53" s="499">
        <f t="shared" si="87"/>
        <v>0</v>
      </c>
      <c r="BE53" s="499">
        <f t="shared" si="88"/>
        <v>0</v>
      </c>
      <c r="BF53" s="499">
        <f t="shared" si="88"/>
        <v>0</v>
      </c>
      <c r="BG53" s="499">
        <f t="shared" si="88"/>
        <v>0</v>
      </c>
      <c r="BH53" s="499">
        <f t="shared" si="89"/>
        <v>0</v>
      </c>
      <c r="BI53" s="499">
        <f t="shared" si="90"/>
        <v>0</v>
      </c>
      <c r="BJ53" s="499">
        <f t="shared" si="90"/>
        <v>0</v>
      </c>
      <c r="BK53" s="499">
        <f t="shared" si="90"/>
        <v>0</v>
      </c>
      <c r="BL53" s="499">
        <f t="shared" si="90"/>
        <v>0</v>
      </c>
      <c r="BM53" s="499">
        <f t="shared" si="90"/>
        <v>0</v>
      </c>
      <c r="BN53" s="499">
        <f t="shared" si="90"/>
        <v>0</v>
      </c>
      <c r="BO53" s="499">
        <f t="shared" si="91"/>
        <v>0</v>
      </c>
      <c r="BP53" s="499">
        <f t="shared" ref="BP53:BU68" si="119">BO53</f>
        <v>0</v>
      </c>
      <c r="BQ53" s="499">
        <f t="shared" si="92"/>
        <v>0</v>
      </c>
      <c r="BR53" s="499">
        <f t="shared" si="92"/>
        <v>0</v>
      </c>
      <c r="BS53" s="499">
        <f t="shared" si="92"/>
        <v>0</v>
      </c>
      <c r="BT53" s="499">
        <f t="shared" si="92"/>
        <v>0</v>
      </c>
      <c r="BU53" s="499">
        <f t="shared" si="92"/>
        <v>0</v>
      </c>
      <c r="BV53" s="503">
        <f t="shared" si="116"/>
        <v>0</v>
      </c>
      <c r="BW53" s="503">
        <f t="shared" si="93"/>
        <v>0</v>
      </c>
      <c r="BX53" s="503">
        <f t="shared" si="93"/>
        <v>0</v>
      </c>
      <c r="BY53" s="503">
        <f t="shared" si="93"/>
        <v>0</v>
      </c>
      <c r="BZ53" s="503">
        <f t="shared" si="93"/>
        <v>0</v>
      </c>
      <c r="CA53" s="503">
        <f t="shared" si="93"/>
        <v>0</v>
      </c>
      <c r="CB53" s="503">
        <f t="shared" si="93"/>
        <v>0</v>
      </c>
      <c r="CC53" s="511">
        <f t="shared" si="94"/>
        <v>0</v>
      </c>
      <c r="CD53" s="511">
        <f t="shared" si="95"/>
        <v>0</v>
      </c>
      <c r="CE53" s="511">
        <f t="shared" si="95"/>
        <v>0</v>
      </c>
      <c r="CF53" s="511">
        <f t="shared" si="95"/>
        <v>0</v>
      </c>
      <c r="CG53" s="511">
        <f t="shared" si="95"/>
        <v>0</v>
      </c>
      <c r="CH53" s="511">
        <f t="shared" si="95"/>
        <v>0</v>
      </c>
      <c r="CI53" s="511">
        <f t="shared" si="95"/>
        <v>0</v>
      </c>
      <c r="CJ53" s="511">
        <f t="shared" si="96"/>
        <v>0</v>
      </c>
      <c r="CK53" s="511">
        <f t="shared" si="97"/>
        <v>0</v>
      </c>
      <c r="CL53" s="511">
        <f t="shared" si="97"/>
        <v>0</v>
      </c>
      <c r="CM53" s="511">
        <f t="shared" si="97"/>
        <v>0</v>
      </c>
      <c r="CN53" s="511">
        <f t="shared" si="97"/>
        <v>0</v>
      </c>
      <c r="CO53" s="511">
        <f t="shared" si="97"/>
        <v>0</v>
      </c>
      <c r="CP53" s="511">
        <f t="shared" si="97"/>
        <v>0</v>
      </c>
      <c r="CQ53" s="511">
        <f t="shared" si="98"/>
        <v>0</v>
      </c>
      <c r="CR53" s="511">
        <f t="shared" si="99"/>
        <v>0</v>
      </c>
      <c r="CS53" s="511">
        <f t="shared" si="99"/>
        <v>0</v>
      </c>
      <c r="CT53" s="511">
        <f t="shared" si="99"/>
        <v>0</v>
      </c>
      <c r="CU53" s="511">
        <f t="shared" si="99"/>
        <v>0</v>
      </c>
      <c r="CV53" s="511">
        <f t="shared" si="99"/>
        <v>0</v>
      </c>
      <c r="CW53" s="511">
        <f t="shared" si="99"/>
        <v>0</v>
      </c>
      <c r="CX53" s="508">
        <f t="shared" si="100"/>
        <v>0</v>
      </c>
      <c r="CY53" s="508">
        <f t="shared" si="100"/>
        <v>0</v>
      </c>
      <c r="CZ53" s="508">
        <f t="shared" si="100"/>
        <v>0</v>
      </c>
      <c r="DA53" s="508">
        <f t="shared" si="100"/>
        <v>0</v>
      </c>
      <c r="DB53" s="508">
        <f t="shared" si="100"/>
        <v>0</v>
      </c>
      <c r="DC53" s="508">
        <f t="shared" si="100"/>
        <v>0</v>
      </c>
      <c r="DD53" s="508">
        <f t="shared" si="100"/>
        <v>0</v>
      </c>
      <c r="DE53" s="508">
        <f t="shared" si="101"/>
        <v>0</v>
      </c>
      <c r="DF53" s="508">
        <f t="shared" si="101"/>
        <v>0</v>
      </c>
      <c r="DG53" s="508">
        <f t="shared" si="101"/>
        <v>0</v>
      </c>
      <c r="DH53" s="508">
        <f t="shared" si="101"/>
        <v>0</v>
      </c>
      <c r="DI53" s="508">
        <f t="shared" si="101"/>
        <v>0</v>
      </c>
      <c r="DJ53" s="508">
        <f t="shared" si="101"/>
        <v>0</v>
      </c>
      <c r="DK53" s="508">
        <f t="shared" si="101"/>
        <v>0</v>
      </c>
      <c r="DL53" s="508">
        <f t="shared" si="102"/>
        <v>0</v>
      </c>
      <c r="DM53" s="508">
        <f t="shared" si="102"/>
        <v>0</v>
      </c>
      <c r="DN53" s="508">
        <f t="shared" si="102"/>
        <v>0</v>
      </c>
      <c r="DO53" s="508">
        <f t="shared" si="102"/>
        <v>0</v>
      </c>
      <c r="DP53" s="508">
        <f t="shared" si="102"/>
        <v>0</v>
      </c>
      <c r="DQ53" s="508">
        <f t="shared" si="102"/>
        <v>0</v>
      </c>
      <c r="DR53" s="508">
        <f t="shared" si="102"/>
        <v>0</v>
      </c>
      <c r="DS53" s="508">
        <f t="shared" si="117"/>
        <v>0</v>
      </c>
      <c r="DT53" s="508">
        <f t="shared" si="117"/>
        <v>0</v>
      </c>
      <c r="DU53" s="508">
        <f t="shared" si="117"/>
        <v>0</v>
      </c>
      <c r="DV53" s="508">
        <f t="shared" si="117"/>
        <v>0</v>
      </c>
      <c r="DW53" s="508">
        <f t="shared" si="117"/>
        <v>0</v>
      </c>
      <c r="DX53" s="508">
        <f t="shared" si="103"/>
        <v>0</v>
      </c>
      <c r="DY53" s="508">
        <f t="shared" si="103"/>
        <v>0</v>
      </c>
      <c r="DZ53" s="511">
        <f t="shared" si="104"/>
        <v>0</v>
      </c>
      <c r="EA53" s="511">
        <f t="shared" si="104"/>
        <v>0</v>
      </c>
      <c r="EB53" s="511">
        <f t="shared" si="104"/>
        <v>0</v>
      </c>
      <c r="EC53" s="511">
        <f t="shared" si="104"/>
        <v>0</v>
      </c>
      <c r="ED53" s="511">
        <f t="shared" si="104"/>
        <v>0</v>
      </c>
      <c r="EE53" s="511">
        <f t="shared" si="104"/>
        <v>0</v>
      </c>
      <c r="EF53" s="511">
        <f t="shared" si="104"/>
        <v>0</v>
      </c>
      <c r="EG53" s="511">
        <f t="shared" si="105"/>
        <v>0</v>
      </c>
      <c r="EH53" s="511">
        <f t="shared" si="105"/>
        <v>0</v>
      </c>
      <c r="EI53" s="511">
        <f t="shared" si="105"/>
        <v>0</v>
      </c>
      <c r="EJ53" s="511">
        <f t="shared" si="105"/>
        <v>0</v>
      </c>
      <c r="EK53" s="511">
        <f t="shared" si="105"/>
        <v>0</v>
      </c>
      <c r="EL53" s="511">
        <f t="shared" si="105"/>
        <v>0</v>
      </c>
      <c r="EM53" s="511">
        <f t="shared" si="105"/>
        <v>0</v>
      </c>
      <c r="EN53" s="511">
        <f t="shared" si="106"/>
        <v>0</v>
      </c>
      <c r="EO53" s="511">
        <f t="shared" si="106"/>
        <v>0</v>
      </c>
      <c r="EP53" s="511">
        <f t="shared" si="106"/>
        <v>0</v>
      </c>
      <c r="EQ53" s="511">
        <f t="shared" si="106"/>
        <v>0</v>
      </c>
      <c r="ER53" s="511">
        <f t="shared" si="106"/>
        <v>0</v>
      </c>
      <c r="ES53" s="511">
        <f t="shared" si="106"/>
        <v>0</v>
      </c>
      <c r="ET53" s="511">
        <f t="shared" si="106"/>
        <v>0</v>
      </c>
      <c r="EU53" s="777">
        <f t="shared" si="118"/>
        <v>9240</v>
      </c>
      <c r="EV53" s="728">
        <f t="shared" si="108"/>
        <v>0</v>
      </c>
      <c r="EW53" s="728">
        <f t="shared" si="109"/>
        <v>0</v>
      </c>
      <c r="EX53" s="728">
        <f t="shared" si="110"/>
        <v>0</v>
      </c>
      <c r="EY53" s="728">
        <f t="shared" si="111"/>
        <v>0</v>
      </c>
      <c r="EZ53" s="777">
        <f t="shared" si="112"/>
        <v>0</v>
      </c>
      <c r="FA53" s="777">
        <f t="shared" si="113"/>
        <v>0</v>
      </c>
      <c r="FB53" s="778">
        <f t="shared" si="114"/>
        <v>0</v>
      </c>
    </row>
    <row r="54" spans="1:166" s="10" customFormat="1" ht="12.75" hidden="1" customHeight="1">
      <c r="A54" s="662" t="s">
        <v>175</v>
      </c>
      <c r="B54" s="789" t="s">
        <v>2154</v>
      </c>
      <c r="C54" s="789" t="s">
        <v>1965</v>
      </c>
      <c r="D54" s="715" t="s">
        <v>1966</v>
      </c>
      <c r="E54" s="662" t="s">
        <v>331</v>
      </c>
      <c r="F54" s="704" t="s">
        <v>372</v>
      </c>
      <c r="G54" s="707">
        <f t="shared" si="81"/>
        <v>0</v>
      </c>
      <c r="H54" s="707">
        <f t="shared" si="81"/>
        <v>0</v>
      </c>
      <c r="I54" s="707">
        <f t="shared" si="81"/>
        <v>0</v>
      </c>
      <c r="J54" s="707">
        <f t="shared" si="81"/>
        <v>-0.83289999999999997</v>
      </c>
      <c r="K54" s="707">
        <f t="shared" si="81"/>
        <v>0</v>
      </c>
      <c r="L54" s="1263" t="str">
        <f t="shared" si="81"/>
        <v>Calculated based based on the RTF LED/CFL workbook "ResLightingCFLand LEDLamps_v4_2.xlsm"; accessed 6/6/2016: http://rtf.nwcouncil.org//measures/measure.asp?id=141</v>
      </c>
      <c r="M54" s="707" t="str">
        <f t="shared" si="81"/>
        <v>Free</v>
      </c>
      <c r="N54" s="707">
        <f t="shared" si="81"/>
        <v>0</v>
      </c>
      <c r="O54" s="707">
        <f t="shared" si="81"/>
        <v>0</v>
      </c>
      <c r="P54" s="707">
        <f t="shared" si="81"/>
        <v>6.9531999999999998</v>
      </c>
      <c r="Q54" s="1022">
        <v>34.264824491684585</v>
      </c>
      <c r="R54" s="872">
        <v>1.3711999093251345E-3</v>
      </c>
      <c r="S54" s="1022">
        <v>0</v>
      </c>
      <c r="T54" s="711" t="str">
        <f t="shared" si="115"/>
        <v>Potential Study Results: Calculated based on assumptions from the RTF LED/CFL workbook "ResLightingCFLand LEDLamps_v4_2.xlsm"; accessed 6/6/2016: http://rtf.nwcouncil.org//measures/measure.asp?id=141</v>
      </c>
      <c r="U54" s="712"/>
      <c r="V54" s="1124">
        <f t="shared" si="83"/>
        <v>4</v>
      </c>
      <c r="W54" s="790"/>
      <c r="X54" s="790"/>
      <c r="Y54" s="790"/>
      <c r="Z54" s="790"/>
      <c r="AA54" s="790"/>
      <c r="AB54" s="790"/>
      <c r="AC54" s="781">
        <f t="shared" si="84"/>
        <v>2650</v>
      </c>
      <c r="AD54" s="781">
        <f t="shared" si="84"/>
        <v>2650</v>
      </c>
      <c r="AE54" s="781">
        <f t="shared" si="84"/>
        <v>0</v>
      </c>
      <c r="AF54" s="781">
        <f t="shared" si="84"/>
        <v>0</v>
      </c>
      <c r="AG54" s="781">
        <f t="shared" si="84"/>
        <v>0</v>
      </c>
      <c r="AH54" s="781">
        <f t="shared" si="85"/>
        <v>0</v>
      </c>
      <c r="AI54" s="781">
        <f t="shared" si="85"/>
        <v>0</v>
      </c>
      <c r="AJ54" s="711" t="s">
        <v>384</v>
      </c>
      <c r="AK54" s="711" t="s">
        <v>375</v>
      </c>
      <c r="AL54" s="711" t="s">
        <v>376</v>
      </c>
      <c r="AM54" s="711" t="s">
        <v>1958</v>
      </c>
      <c r="AN54" s="711" t="s">
        <v>1</v>
      </c>
      <c r="AO54" s="711" t="s">
        <v>1970</v>
      </c>
      <c r="AP54" s="711" t="s">
        <v>1702</v>
      </c>
      <c r="AQ54" s="711" t="s">
        <v>339</v>
      </c>
      <c r="AR54" s="715" t="s">
        <v>1945</v>
      </c>
      <c r="AS54" s="715"/>
      <c r="AT54" s="715" t="s">
        <v>385</v>
      </c>
      <c r="AU54" s="711">
        <v>12</v>
      </c>
      <c r="AV54" s="711">
        <v>1</v>
      </c>
      <c r="AW54" s="711" t="s">
        <v>1971</v>
      </c>
      <c r="AX54" s="716">
        <v>1</v>
      </c>
      <c r="AY54" s="716">
        <v>1</v>
      </c>
      <c r="AZ54" s="716">
        <v>0</v>
      </c>
      <c r="BA54" s="499">
        <f t="shared" si="86"/>
        <v>0</v>
      </c>
      <c r="BB54" s="499">
        <f t="shared" si="87"/>
        <v>0</v>
      </c>
      <c r="BC54" s="499">
        <f t="shared" si="87"/>
        <v>0</v>
      </c>
      <c r="BD54" s="499">
        <f t="shared" si="87"/>
        <v>0</v>
      </c>
      <c r="BE54" s="499">
        <f t="shared" si="88"/>
        <v>0</v>
      </c>
      <c r="BF54" s="499">
        <f t="shared" si="88"/>
        <v>0</v>
      </c>
      <c r="BG54" s="499">
        <f t="shared" si="88"/>
        <v>0</v>
      </c>
      <c r="BH54" s="499">
        <f t="shared" si="89"/>
        <v>-0.83289999999999997</v>
      </c>
      <c r="BI54" s="499">
        <f t="shared" si="90"/>
        <v>-0.83289999999999997</v>
      </c>
      <c r="BJ54" s="499">
        <f t="shared" si="90"/>
        <v>-0.83289999999999997</v>
      </c>
      <c r="BK54" s="499">
        <f t="shared" si="90"/>
        <v>-0.83289999999999997</v>
      </c>
      <c r="BL54" s="499">
        <f t="shared" si="90"/>
        <v>-0.83289999999999997</v>
      </c>
      <c r="BM54" s="499">
        <f t="shared" si="90"/>
        <v>-0.83289999999999997</v>
      </c>
      <c r="BN54" s="499">
        <f t="shared" si="90"/>
        <v>-0.83289999999999997</v>
      </c>
      <c r="BO54" s="499">
        <f t="shared" si="91"/>
        <v>0</v>
      </c>
      <c r="BP54" s="499">
        <f t="shared" si="119"/>
        <v>0</v>
      </c>
      <c r="BQ54" s="499">
        <f t="shared" si="92"/>
        <v>0</v>
      </c>
      <c r="BR54" s="499">
        <f t="shared" si="92"/>
        <v>0</v>
      </c>
      <c r="BS54" s="499">
        <f t="shared" si="92"/>
        <v>0</v>
      </c>
      <c r="BT54" s="499">
        <f t="shared" si="92"/>
        <v>0</v>
      </c>
      <c r="BU54" s="499">
        <f t="shared" si="92"/>
        <v>0</v>
      </c>
      <c r="BV54" s="503">
        <f t="shared" si="116"/>
        <v>6.9531999999999998</v>
      </c>
      <c r="BW54" s="503">
        <f t="shared" si="93"/>
        <v>6.9531999999999998</v>
      </c>
      <c r="BX54" s="503">
        <f t="shared" si="93"/>
        <v>6.9531999999999998</v>
      </c>
      <c r="BY54" s="503">
        <f t="shared" si="93"/>
        <v>6.9531999999999998</v>
      </c>
      <c r="BZ54" s="503">
        <f t="shared" si="93"/>
        <v>6.9531999999999998</v>
      </c>
      <c r="CA54" s="503">
        <f t="shared" si="93"/>
        <v>6.9531999999999998</v>
      </c>
      <c r="CB54" s="503">
        <f t="shared" si="93"/>
        <v>6.9531999999999998</v>
      </c>
      <c r="CC54" s="511">
        <f t="shared" si="94"/>
        <v>34.264824491684585</v>
      </c>
      <c r="CD54" s="511">
        <f t="shared" si="95"/>
        <v>34.264824491684585</v>
      </c>
      <c r="CE54" s="511">
        <f t="shared" si="95"/>
        <v>34.264824491684585</v>
      </c>
      <c r="CF54" s="511">
        <f t="shared" si="95"/>
        <v>34.264824491684585</v>
      </c>
      <c r="CG54" s="511">
        <f t="shared" si="95"/>
        <v>34.264824491684585</v>
      </c>
      <c r="CH54" s="511">
        <f t="shared" si="95"/>
        <v>34.264824491684585</v>
      </c>
      <c r="CI54" s="511">
        <f t="shared" si="95"/>
        <v>34.264824491684585</v>
      </c>
      <c r="CJ54" s="511">
        <f t="shared" si="96"/>
        <v>1.3711999093251345E-3</v>
      </c>
      <c r="CK54" s="511">
        <f t="shared" si="97"/>
        <v>1.3711999093251345E-3</v>
      </c>
      <c r="CL54" s="511">
        <f t="shared" si="97"/>
        <v>1.3711999093251345E-3</v>
      </c>
      <c r="CM54" s="511">
        <f t="shared" si="97"/>
        <v>1.3711999093251345E-3</v>
      </c>
      <c r="CN54" s="511">
        <f t="shared" si="97"/>
        <v>1.3711999093251345E-3</v>
      </c>
      <c r="CO54" s="511">
        <f t="shared" si="97"/>
        <v>1.3711999093251345E-3</v>
      </c>
      <c r="CP54" s="511">
        <f t="shared" si="97"/>
        <v>1.3711999093251345E-3</v>
      </c>
      <c r="CQ54" s="511">
        <f t="shared" si="98"/>
        <v>0</v>
      </c>
      <c r="CR54" s="511">
        <f t="shared" si="99"/>
        <v>0</v>
      </c>
      <c r="CS54" s="511">
        <f t="shared" si="99"/>
        <v>0</v>
      </c>
      <c r="CT54" s="511">
        <f t="shared" si="99"/>
        <v>0</v>
      </c>
      <c r="CU54" s="511">
        <f t="shared" si="99"/>
        <v>0</v>
      </c>
      <c r="CV54" s="511">
        <f t="shared" si="99"/>
        <v>0</v>
      </c>
      <c r="CW54" s="511">
        <f t="shared" si="99"/>
        <v>0</v>
      </c>
      <c r="CX54" s="508">
        <f t="shared" si="100"/>
        <v>0</v>
      </c>
      <c r="CY54" s="508">
        <f t="shared" si="100"/>
        <v>0</v>
      </c>
      <c r="CZ54" s="508">
        <f t="shared" si="100"/>
        <v>0</v>
      </c>
      <c r="DA54" s="508">
        <f t="shared" si="100"/>
        <v>0</v>
      </c>
      <c r="DB54" s="508">
        <f t="shared" si="100"/>
        <v>0</v>
      </c>
      <c r="DC54" s="508">
        <f t="shared" si="100"/>
        <v>0</v>
      </c>
      <c r="DD54" s="508">
        <f t="shared" si="100"/>
        <v>0</v>
      </c>
      <c r="DE54" s="508">
        <f t="shared" si="101"/>
        <v>-2207.1849999999999</v>
      </c>
      <c r="DF54" s="508">
        <f t="shared" si="101"/>
        <v>-2207.1849999999999</v>
      </c>
      <c r="DG54" s="508">
        <f t="shared" si="101"/>
        <v>0</v>
      </c>
      <c r="DH54" s="508">
        <f t="shared" si="101"/>
        <v>0</v>
      </c>
      <c r="DI54" s="508">
        <f t="shared" si="101"/>
        <v>0</v>
      </c>
      <c r="DJ54" s="508">
        <f t="shared" si="101"/>
        <v>0</v>
      </c>
      <c r="DK54" s="508">
        <f t="shared" si="101"/>
        <v>0</v>
      </c>
      <c r="DL54" s="508">
        <f t="shared" si="102"/>
        <v>0</v>
      </c>
      <c r="DM54" s="508">
        <f t="shared" si="102"/>
        <v>0</v>
      </c>
      <c r="DN54" s="508">
        <f t="shared" si="102"/>
        <v>0</v>
      </c>
      <c r="DO54" s="508">
        <f t="shared" si="102"/>
        <v>0</v>
      </c>
      <c r="DP54" s="508">
        <f t="shared" si="102"/>
        <v>0</v>
      </c>
      <c r="DQ54" s="508">
        <f t="shared" si="102"/>
        <v>0</v>
      </c>
      <c r="DR54" s="508">
        <f t="shared" si="102"/>
        <v>0</v>
      </c>
      <c r="DS54" s="508">
        <f t="shared" si="117"/>
        <v>18425.98</v>
      </c>
      <c r="DT54" s="508">
        <f t="shared" si="117"/>
        <v>18425.98</v>
      </c>
      <c r="DU54" s="508">
        <f t="shared" si="117"/>
        <v>0</v>
      </c>
      <c r="DV54" s="508">
        <f t="shared" si="117"/>
        <v>0</v>
      </c>
      <c r="DW54" s="508">
        <f t="shared" si="117"/>
        <v>0</v>
      </c>
      <c r="DX54" s="508">
        <f t="shared" si="103"/>
        <v>0</v>
      </c>
      <c r="DY54" s="508">
        <f t="shared" si="103"/>
        <v>0</v>
      </c>
      <c r="DZ54" s="511">
        <f t="shared" si="104"/>
        <v>90801.784902964151</v>
      </c>
      <c r="EA54" s="511">
        <f t="shared" si="104"/>
        <v>90801.784902964151</v>
      </c>
      <c r="EB54" s="511">
        <f t="shared" si="104"/>
        <v>0</v>
      </c>
      <c r="EC54" s="511">
        <f t="shared" si="104"/>
        <v>0</v>
      </c>
      <c r="ED54" s="511">
        <f t="shared" si="104"/>
        <v>0</v>
      </c>
      <c r="EE54" s="511">
        <f t="shared" si="104"/>
        <v>0</v>
      </c>
      <c r="EF54" s="511">
        <f t="shared" si="104"/>
        <v>0</v>
      </c>
      <c r="EG54" s="511">
        <f t="shared" si="105"/>
        <v>3.6336797597116064</v>
      </c>
      <c r="EH54" s="511">
        <f t="shared" si="105"/>
        <v>3.6336797597116064</v>
      </c>
      <c r="EI54" s="511">
        <f t="shared" si="105"/>
        <v>0</v>
      </c>
      <c r="EJ54" s="511">
        <f t="shared" si="105"/>
        <v>0</v>
      </c>
      <c r="EK54" s="511">
        <f t="shared" si="105"/>
        <v>0</v>
      </c>
      <c r="EL54" s="511">
        <f t="shared" si="105"/>
        <v>0</v>
      </c>
      <c r="EM54" s="511">
        <f t="shared" si="105"/>
        <v>0</v>
      </c>
      <c r="EN54" s="511">
        <f t="shared" si="106"/>
        <v>0</v>
      </c>
      <c r="EO54" s="511">
        <f t="shared" si="106"/>
        <v>0</v>
      </c>
      <c r="EP54" s="511">
        <f t="shared" si="106"/>
        <v>0</v>
      </c>
      <c r="EQ54" s="511">
        <f t="shared" si="106"/>
        <v>0</v>
      </c>
      <c r="ER54" s="511">
        <f t="shared" si="106"/>
        <v>0</v>
      </c>
      <c r="ES54" s="511">
        <f t="shared" si="106"/>
        <v>0</v>
      </c>
      <c r="ET54" s="511">
        <f t="shared" si="106"/>
        <v>0</v>
      </c>
      <c r="EU54" s="777">
        <f t="shared" si="118"/>
        <v>5300</v>
      </c>
      <c r="EV54" s="728">
        <f t="shared" si="108"/>
        <v>0</v>
      </c>
      <c r="EW54" s="728">
        <f t="shared" si="109"/>
        <v>-4414.37</v>
      </c>
      <c r="EX54" s="728">
        <f t="shared" si="110"/>
        <v>0</v>
      </c>
      <c r="EY54" s="728">
        <f t="shared" si="111"/>
        <v>36851.96</v>
      </c>
      <c r="EZ54" s="777">
        <f t="shared" si="112"/>
        <v>181603.5698059283</v>
      </c>
      <c r="FA54" s="777">
        <f t="shared" si="113"/>
        <v>7.2673595194232128</v>
      </c>
      <c r="FB54" s="778">
        <f t="shared" si="114"/>
        <v>0</v>
      </c>
    </row>
    <row r="55" spans="1:166" s="10" customFormat="1" ht="12.75" hidden="1" customHeight="1">
      <c r="A55" s="662" t="s">
        <v>176</v>
      </c>
      <c r="B55" s="789" t="s">
        <v>2154</v>
      </c>
      <c r="C55" s="789" t="s">
        <v>1965</v>
      </c>
      <c r="D55" s="715" t="s">
        <v>1972</v>
      </c>
      <c r="E55" s="662" t="s">
        <v>331</v>
      </c>
      <c r="F55" s="704" t="s">
        <v>372</v>
      </c>
      <c r="G55" s="707">
        <f t="shared" si="81"/>
        <v>0</v>
      </c>
      <c r="H55" s="707">
        <f t="shared" si="81"/>
        <v>0</v>
      </c>
      <c r="I55" s="707">
        <f t="shared" si="81"/>
        <v>0</v>
      </c>
      <c r="J55" s="707">
        <f t="shared" si="81"/>
        <v>-6.9408333333333336E-2</v>
      </c>
      <c r="K55" s="707">
        <f t="shared" si="81"/>
        <v>0</v>
      </c>
      <c r="L55" s="1263" t="str">
        <f t="shared" si="81"/>
        <v>Calculated based based on the RTF LED/CFL workbook "ResLightingCFLand LEDLamps_v4_2.xlsm"; accessed 6/6/2016: http://rtf.nwcouncil.org//measures/measure.asp?id=141</v>
      </c>
      <c r="M55" s="707" t="str">
        <f t="shared" si="81"/>
        <v>Free</v>
      </c>
      <c r="N55" s="707">
        <f t="shared" si="81"/>
        <v>0</v>
      </c>
      <c r="O55" s="707">
        <f t="shared" si="81"/>
        <v>0</v>
      </c>
      <c r="P55" s="707">
        <f t="shared" si="81"/>
        <v>6.9531999999999998</v>
      </c>
      <c r="Q55" s="1022">
        <v>8.547825549497361</v>
      </c>
      <c r="R55" s="872">
        <v>1.0291354805041944E-3</v>
      </c>
      <c r="S55" s="1022">
        <v>0</v>
      </c>
      <c r="T55" s="711" t="str">
        <f t="shared" si="115"/>
        <v>Potential Study Results: Calculated based on assumptions from the RTF LED/CFL workbook "ResLightingCFLand LEDLamps_v4_2.xlsm"; accessed 6/6/2016: http://rtf.nwcouncil.org//measures/measure.asp?id=141</v>
      </c>
      <c r="U55" s="712"/>
      <c r="V55" s="1124">
        <f t="shared" si="83"/>
        <v>1</v>
      </c>
      <c r="W55" s="790"/>
      <c r="X55" s="790"/>
      <c r="Y55" s="790"/>
      <c r="Z55" s="790"/>
      <c r="AA55" s="790"/>
      <c r="AB55" s="790"/>
      <c r="AC55" s="781">
        <f t="shared" si="84"/>
        <v>0</v>
      </c>
      <c r="AD55" s="781">
        <f t="shared" si="84"/>
        <v>0</v>
      </c>
      <c r="AE55" s="781">
        <f t="shared" si="84"/>
        <v>650</v>
      </c>
      <c r="AF55" s="781">
        <f t="shared" si="84"/>
        <v>650</v>
      </c>
      <c r="AG55" s="781">
        <f t="shared" si="84"/>
        <v>650</v>
      </c>
      <c r="AH55" s="781">
        <f t="shared" si="85"/>
        <v>650</v>
      </c>
      <c r="AI55" s="781">
        <f t="shared" si="85"/>
        <v>650</v>
      </c>
      <c r="AJ55" s="711" t="s">
        <v>384</v>
      </c>
      <c r="AK55" s="711" t="s">
        <v>375</v>
      </c>
      <c r="AL55" s="711" t="s">
        <v>376</v>
      </c>
      <c r="AM55" s="711" t="s">
        <v>1958</v>
      </c>
      <c r="AN55" s="711" t="s">
        <v>1</v>
      </c>
      <c r="AO55" s="711" t="s">
        <v>1972</v>
      </c>
      <c r="AP55" s="711" t="s">
        <v>1702</v>
      </c>
      <c r="AQ55" s="711" t="s">
        <v>339</v>
      </c>
      <c r="AR55" s="715" t="s">
        <v>1945</v>
      </c>
      <c r="AS55" s="715"/>
      <c r="AT55" s="715" t="s">
        <v>385</v>
      </c>
      <c r="AU55" s="711">
        <v>12</v>
      </c>
      <c r="AV55" s="711">
        <v>5</v>
      </c>
      <c r="AW55" s="711" t="s">
        <v>1973</v>
      </c>
      <c r="AX55" s="716">
        <v>1</v>
      </c>
      <c r="AY55" s="716">
        <v>1</v>
      </c>
      <c r="AZ55" s="716">
        <v>0</v>
      </c>
      <c r="BA55" s="499">
        <f t="shared" si="86"/>
        <v>0</v>
      </c>
      <c r="BB55" s="499">
        <f t="shared" si="87"/>
        <v>0</v>
      </c>
      <c r="BC55" s="499">
        <f t="shared" si="87"/>
        <v>0</v>
      </c>
      <c r="BD55" s="499">
        <f t="shared" si="87"/>
        <v>0</v>
      </c>
      <c r="BE55" s="499">
        <f t="shared" si="88"/>
        <v>0</v>
      </c>
      <c r="BF55" s="499">
        <f t="shared" si="88"/>
        <v>0</v>
      </c>
      <c r="BG55" s="499">
        <f t="shared" si="88"/>
        <v>0</v>
      </c>
      <c r="BH55" s="499">
        <f t="shared" si="89"/>
        <v>-6.9408333333333336E-2</v>
      </c>
      <c r="BI55" s="499">
        <f t="shared" si="90"/>
        <v>-6.9408333333333336E-2</v>
      </c>
      <c r="BJ55" s="499">
        <f t="shared" si="90"/>
        <v>-6.9408333333333336E-2</v>
      </c>
      <c r="BK55" s="499">
        <f t="shared" si="90"/>
        <v>-6.9408333333333336E-2</v>
      </c>
      <c r="BL55" s="499">
        <f t="shared" si="90"/>
        <v>-6.9408333333333336E-2</v>
      </c>
      <c r="BM55" s="499">
        <f t="shared" si="90"/>
        <v>-6.9408333333333336E-2</v>
      </c>
      <c r="BN55" s="499">
        <f t="shared" si="90"/>
        <v>-6.9408333333333336E-2</v>
      </c>
      <c r="BO55" s="499">
        <f t="shared" si="91"/>
        <v>0</v>
      </c>
      <c r="BP55" s="499">
        <f t="shared" si="119"/>
        <v>0</v>
      </c>
      <c r="BQ55" s="499">
        <f t="shared" si="92"/>
        <v>0</v>
      </c>
      <c r="BR55" s="499">
        <f t="shared" si="92"/>
        <v>0</v>
      </c>
      <c r="BS55" s="499">
        <f t="shared" si="92"/>
        <v>0</v>
      </c>
      <c r="BT55" s="499">
        <f t="shared" si="92"/>
        <v>0</v>
      </c>
      <c r="BU55" s="499">
        <f t="shared" si="92"/>
        <v>0</v>
      </c>
      <c r="BV55" s="503">
        <f t="shared" si="116"/>
        <v>6.9531999999999998</v>
      </c>
      <c r="BW55" s="503">
        <f t="shared" si="93"/>
        <v>6.9531999999999998</v>
      </c>
      <c r="BX55" s="503">
        <f t="shared" si="93"/>
        <v>6.9531999999999998</v>
      </c>
      <c r="BY55" s="503">
        <f t="shared" si="93"/>
        <v>6.9531999999999998</v>
      </c>
      <c r="BZ55" s="503">
        <f t="shared" si="93"/>
        <v>6.9531999999999998</v>
      </c>
      <c r="CA55" s="503">
        <f t="shared" si="93"/>
        <v>6.9531999999999998</v>
      </c>
      <c r="CB55" s="503">
        <f t="shared" si="93"/>
        <v>6.9531999999999998</v>
      </c>
      <c r="CC55" s="511">
        <f t="shared" si="94"/>
        <v>8.547825549497361</v>
      </c>
      <c r="CD55" s="511">
        <f t="shared" si="95"/>
        <v>8.547825549497361</v>
      </c>
      <c r="CE55" s="511">
        <f t="shared" si="95"/>
        <v>8.547825549497361</v>
      </c>
      <c r="CF55" s="511">
        <f t="shared" si="95"/>
        <v>8.547825549497361</v>
      </c>
      <c r="CG55" s="511">
        <f t="shared" si="95"/>
        <v>8.547825549497361</v>
      </c>
      <c r="CH55" s="511">
        <f t="shared" si="95"/>
        <v>8.547825549497361</v>
      </c>
      <c r="CI55" s="511">
        <f t="shared" si="95"/>
        <v>8.547825549497361</v>
      </c>
      <c r="CJ55" s="511">
        <f t="shared" si="96"/>
        <v>1.0291354805041944E-3</v>
      </c>
      <c r="CK55" s="511">
        <f t="shared" si="97"/>
        <v>1.0291354805041944E-3</v>
      </c>
      <c r="CL55" s="511">
        <f t="shared" si="97"/>
        <v>1.0291354805041944E-3</v>
      </c>
      <c r="CM55" s="511">
        <f t="shared" si="97"/>
        <v>1.0291354805041944E-3</v>
      </c>
      <c r="CN55" s="511">
        <f t="shared" si="97"/>
        <v>1.0291354805041944E-3</v>
      </c>
      <c r="CO55" s="511">
        <f t="shared" si="97"/>
        <v>1.0291354805041944E-3</v>
      </c>
      <c r="CP55" s="511">
        <f t="shared" si="97"/>
        <v>1.0291354805041944E-3</v>
      </c>
      <c r="CQ55" s="511">
        <f t="shared" si="98"/>
        <v>0</v>
      </c>
      <c r="CR55" s="511">
        <f t="shared" si="99"/>
        <v>0</v>
      </c>
      <c r="CS55" s="511">
        <f t="shared" si="99"/>
        <v>0</v>
      </c>
      <c r="CT55" s="511">
        <f t="shared" si="99"/>
        <v>0</v>
      </c>
      <c r="CU55" s="511">
        <f t="shared" si="99"/>
        <v>0</v>
      </c>
      <c r="CV55" s="511">
        <f t="shared" si="99"/>
        <v>0</v>
      </c>
      <c r="CW55" s="511">
        <f t="shared" si="99"/>
        <v>0</v>
      </c>
      <c r="CX55" s="508">
        <f t="shared" si="100"/>
        <v>0</v>
      </c>
      <c r="CY55" s="508">
        <f t="shared" si="100"/>
        <v>0</v>
      </c>
      <c r="CZ55" s="508">
        <f t="shared" si="100"/>
        <v>0</v>
      </c>
      <c r="DA55" s="508">
        <f t="shared" si="100"/>
        <v>0</v>
      </c>
      <c r="DB55" s="508">
        <f t="shared" si="100"/>
        <v>0</v>
      </c>
      <c r="DC55" s="508">
        <f t="shared" si="100"/>
        <v>0</v>
      </c>
      <c r="DD55" s="508">
        <f t="shared" si="100"/>
        <v>0</v>
      </c>
      <c r="DE55" s="508">
        <f t="shared" si="101"/>
        <v>0</v>
      </c>
      <c r="DF55" s="508">
        <f t="shared" si="101"/>
        <v>0</v>
      </c>
      <c r="DG55" s="508">
        <f t="shared" si="101"/>
        <v>-45.115416666666668</v>
      </c>
      <c r="DH55" s="508">
        <f t="shared" si="101"/>
        <v>-45.115416666666668</v>
      </c>
      <c r="DI55" s="508">
        <f t="shared" si="101"/>
        <v>-45.115416666666668</v>
      </c>
      <c r="DJ55" s="508">
        <f t="shared" si="101"/>
        <v>-45.115416666666668</v>
      </c>
      <c r="DK55" s="508">
        <f t="shared" si="101"/>
        <v>-45.115416666666668</v>
      </c>
      <c r="DL55" s="508">
        <f t="shared" si="102"/>
        <v>0</v>
      </c>
      <c r="DM55" s="508">
        <f t="shared" si="102"/>
        <v>0</v>
      </c>
      <c r="DN55" s="508">
        <f t="shared" si="102"/>
        <v>0</v>
      </c>
      <c r="DO55" s="508">
        <f t="shared" si="102"/>
        <v>0</v>
      </c>
      <c r="DP55" s="508">
        <f t="shared" si="102"/>
        <v>0</v>
      </c>
      <c r="DQ55" s="508">
        <f t="shared" si="102"/>
        <v>0</v>
      </c>
      <c r="DR55" s="508">
        <f t="shared" si="102"/>
        <v>0</v>
      </c>
      <c r="DS55" s="508">
        <f t="shared" si="117"/>
        <v>0</v>
      </c>
      <c r="DT55" s="508">
        <f t="shared" si="117"/>
        <v>0</v>
      </c>
      <c r="DU55" s="508">
        <f t="shared" si="117"/>
        <v>4519.58</v>
      </c>
      <c r="DV55" s="508">
        <f t="shared" si="117"/>
        <v>4519.58</v>
      </c>
      <c r="DW55" s="508">
        <f t="shared" si="117"/>
        <v>4519.58</v>
      </c>
      <c r="DX55" s="508">
        <f t="shared" si="103"/>
        <v>4519.58</v>
      </c>
      <c r="DY55" s="508">
        <f t="shared" si="103"/>
        <v>4519.58</v>
      </c>
      <c r="DZ55" s="511">
        <f t="shared" si="104"/>
        <v>0</v>
      </c>
      <c r="EA55" s="511">
        <f t="shared" si="104"/>
        <v>0</v>
      </c>
      <c r="EB55" s="511">
        <f t="shared" si="104"/>
        <v>5556.0866071732844</v>
      </c>
      <c r="EC55" s="511">
        <f t="shared" si="104"/>
        <v>5556.0866071732844</v>
      </c>
      <c r="ED55" s="511">
        <f t="shared" si="104"/>
        <v>5556.0866071732844</v>
      </c>
      <c r="EE55" s="511">
        <f t="shared" si="104"/>
        <v>5556.0866071732844</v>
      </c>
      <c r="EF55" s="511">
        <f t="shared" si="104"/>
        <v>5556.0866071732844</v>
      </c>
      <c r="EG55" s="511">
        <f t="shared" si="105"/>
        <v>0</v>
      </c>
      <c r="EH55" s="511">
        <f t="shared" si="105"/>
        <v>0</v>
      </c>
      <c r="EI55" s="511">
        <f t="shared" si="105"/>
        <v>0.66893806232772635</v>
      </c>
      <c r="EJ55" s="511">
        <f t="shared" si="105"/>
        <v>0.66893806232772635</v>
      </c>
      <c r="EK55" s="511">
        <f t="shared" si="105"/>
        <v>0.66893806232772635</v>
      </c>
      <c r="EL55" s="511">
        <f t="shared" si="105"/>
        <v>0.66893806232772635</v>
      </c>
      <c r="EM55" s="511">
        <f t="shared" si="105"/>
        <v>0.66893806232772635</v>
      </c>
      <c r="EN55" s="511">
        <f t="shared" si="106"/>
        <v>0</v>
      </c>
      <c r="EO55" s="511">
        <f t="shared" si="106"/>
        <v>0</v>
      </c>
      <c r="EP55" s="511">
        <f t="shared" si="106"/>
        <v>0</v>
      </c>
      <c r="EQ55" s="511">
        <f t="shared" si="106"/>
        <v>0</v>
      </c>
      <c r="ER55" s="511">
        <f t="shared" si="106"/>
        <v>0</v>
      </c>
      <c r="ES55" s="511">
        <f t="shared" si="106"/>
        <v>0</v>
      </c>
      <c r="ET55" s="511">
        <f t="shared" si="106"/>
        <v>0</v>
      </c>
      <c r="EU55" s="777">
        <f t="shared" si="118"/>
        <v>3250</v>
      </c>
      <c r="EV55" s="728">
        <f t="shared" si="108"/>
        <v>0</v>
      </c>
      <c r="EW55" s="728">
        <f t="shared" si="109"/>
        <v>-225.57708333333335</v>
      </c>
      <c r="EX55" s="728">
        <f t="shared" si="110"/>
        <v>0</v>
      </c>
      <c r="EY55" s="728">
        <f t="shared" si="111"/>
        <v>22597.9</v>
      </c>
      <c r="EZ55" s="777">
        <f t="shared" si="112"/>
        <v>27780.433035866423</v>
      </c>
      <c r="FA55" s="777">
        <f t="shared" si="113"/>
        <v>3.3446903116386317</v>
      </c>
      <c r="FB55" s="778">
        <f t="shared" si="114"/>
        <v>0</v>
      </c>
    </row>
    <row r="56" spans="1:166" s="10" customFormat="1" ht="12.75" hidden="1" customHeight="1">
      <c r="A56" s="662" t="s">
        <v>177</v>
      </c>
      <c r="B56" s="789" t="s">
        <v>2155</v>
      </c>
      <c r="C56" s="789" t="s">
        <v>561</v>
      </c>
      <c r="D56" s="715" t="s">
        <v>1966</v>
      </c>
      <c r="E56" s="662" t="s">
        <v>331</v>
      </c>
      <c r="F56" s="704" t="s">
        <v>372</v>
      </c>
      <c r="G56" s="707">
        <f t="shared" si="81"/>
        <v>0</v>
      </c>
      <c r="H56" s="707">
        <f t="shared" si="81"/>
        <v>0</v>
      </c>
      <c r="I56" s="707">
        <f t="shared" si="81"/>
        <v>0</v>
      </c>
      <c r="J56" s="707">
        <f t="shared" si="81"/>
        <v>-0.83289999999999997</v>
      </c>
      <c r="K56" s="707">
        <f t="shared" si="81"/>
        <v>0</v>
      </c>
      <c r="L56" s="1263" t="str">
        <f t="shared" si="81"/>
        <v>Calculated based based on the RTF LED/CFL workbook "ResLightingCFLand LEDLamps_v4_2.xlsm"; accessed 6/6/2016: http://rtf.nwcouncil.org//measures/measure.asp?id=141</v>
      </c>
      <c r="M56" s="707" t="str">
        <f t="shared" si="81"/>
        <v>Free</v>
      </c>
      <c r="N56" s="707">
        <f t="shared" si="81"/>
        <v>0</v>
      </c>
      <c r="O56" s="707">
        <f t="shared" si="81"/>
        <v>0</v>
      </c>
      <c r="P56" s="707">
        <f t="shared" si="81"/>
        <v>6.9531999999999998</v>
      </c>
      <c r="Q56" s="1022">
        <v>34.264824491684585</v>
      </c>
      <c r="R56" s="872">
        <v>1.3711999093251345E-3</v>
      </c>
      <c r="S56" s="1022">
        <v>0</v>
      </c>
      <c r="T56" s="711" t="str">
        <f t="shared" si="115"/>
        <v>Potential Study Results: Calculated based on assumptions from the RTF LED/CFL workbook "ResLightingCFLand LEDLamps_v4_2.xlsm"; accessed 6/6/2016: http://rtf.nwcouncil.org//measures/measure.asp?id=141</v>
      </c>
      <c r="U56" s="712"/>
      <c r="V56" s="1124">
        <f t="shared" si="83"/>
        <v>7</v>
      </c>
      <c r="W56" s="790"/>
      <c r="X56" s="790"/>
      <c r="Y56" s="790"/>
      <c r="Z56" s="790"/>
      <c r="AA56" s="790"/>
      <c r="AB56" s="790"/>
      <c r="AC56" s="781">
        <f t="shared" si="84"/>
        <v>8785</v>
      </c>
      <c r="AD56" s="781">
        <f t="shared" si="84"/>
        <v>8785</v>
      </c>
      <c r="AE56" s="781">
        <f t="shared" si="84"/>
        <v>0</v>
      </c>
      <c r="AF56" s="781">
        <f t="shared" si="84"/>
        <v>0</v>
      </c>
      <c r="AG56" s="781">
        <f t="shared" si="84"/>
        <v>0</v>
      </c>
      <c r="AH56" s="781">
        <f t="shared" si="85"/>
        <v>0</v>
      </c>
      <c r="AI56" s="781">
        <f t="shared" si="85"/>
        <v>0</v>
      </c>
      <c r="AJ56" s="711" t="s">
        <v>384</v>
      </c>
      <c r="AK56" s="711" t="s">
        <v>375</v>
      </c>
      <c r="AL56" s="711" t="s">
        <v>376</v>
      </c>
      <c r="AM56" s="711" t="s">
        <v>1958</v>
      </c>
      <c r="AN56" s="711" t="s">
        <v>1</v>
      </c>
      <c r="AO56" s="711" t="s">
        <v>1970</v>
      </c>
      <c r="AP56" s="711" t="s">
        <v>1702</v>
      </c>
      <c r="AQ56" s="711" t="s">
        <v>339</v>
      </c>
      <c r="AR56" s="715" t="s">
        <v>1945</v>
      </c>
      <c r="AS56" s="715"/>
      <c r="AT56" s="715" t="s">
        <v>385</v>
      </c>
      <c r="AU56" s="711">
        <v>12</v>
      </c>
      <c r="AV56" s="711">
        <v>1</v>
      </c>
      <c r="AW56" s="711" t="s">
        <v>1971</v>
      </c>
      <c r="AX56" s="716">
        <v>1</v>
      </c>
      <c r="AY56" s="716">
        <v>1</v>
      </c>
      <c r="AZ56" s="716">
        <v>0</v>
      </c>
      <c r="BA56" s="499">
        <f t="shared" si="86"/>
        <v>0</v>
      </c>
      <c r="BB56" s="499">
        <f t="shared" si="87"/>
        <v>0</v>
      </c>
      <c r="BC56" s="499">
        <f t="shared" si="87"/>
        <v>0</v>
      </c>
      <c r="BD56" s="499">
        <f t="shared" si="87"/>
        <v>0</v>
      </c>
      <c r="BE56" s="499">
        <f t="shared" si="88"/>
        <v>0</v>
      </c>
      <c r="BF56" s="499">
        <f t="shared" si="88"/>
        <v>0</v>
      </c>
      <c r="BG56" s="499">
        <f t="shared" si="88"/>
        <v>0</v>
      </c>
      <c r="BH56" s="499">
        <f t="shared" si="89"/>
        <v>-0.83289999999999997</v>
      </c>
      <c r="BI56" s="499">
        <f t="shared" si="90"/>
        <v>-0.83289999999999997</v>
      </c>
      <c r="BJ56" s="499">
        <f t="shared" si="90"/>
        <v>-0.83289999999999997</v>
      </c>
      <c r="BK56" s="499">
        <f t="shared" si="90"/>
        <v>-0.83289999999999997</v>
      </c>
      <c r="BL56" s="499">
        <f t="shared" si="90"/>
        <v>-0.83289999999999997</v>
      </c>
      <c r="BM56" s="499">
        <f t="shared" si="90"/>
        <v>-0.83289999999999997</v>
      </c>
      <c r="BN56" s="499">
        <f t="shared" si="90"/>
        <v>-0.83289999999999997</v>
      </c>
      <c r="BO56" s="499">
        <f t="shared" si="91"/>
        <v>0</v>
      </c>
      <c r="BP56" s="499">
        <f t="shared" si="119"/>
        <v>0</v>
      </c>
      <c r="BQ56" s="499">
        <f t="shared" si="92"/>
        <v>0</v>
      </c>
      <c r="BR56" s="499">
        <f t="shared" si="92"/>
        <v>0</v>
      </c>
      <c r="BS56" s="499">
        <f t="shared" si="92"/>
        <v>0</v>
      </c>
      <c r="BT56" s="499">
        <f t="shared" si="92"/>
        <v>0</v>
      </c>
      <c r="BU56" s="499">
        <f t="shared" si="92"/>
        <v>0</v>
      </c>
      <c r="BV56" s="503">
        <f t="shared" si="116"/>
        <v>6.9531999999999998</v>
      </c>
      <c r="BW56" s="503">
        <f t="shared" si="93"/>
        <v>6.9531999999999998</v>
      </c>
      <c r="BX56" s="503">
        <f t="shared" si="93"/>
        <v>6.9531999999999998</v>
      </c>
      <c r="BY56" s="503">
        <f t="shared" si="93"/>
        <v>6.9531999999999998</v>
      </c>
      <c r="BZ56" s="503">
        <f t="shared" si="93"/>
        <v>6.9531999999999998</v>
      </c>
      <c r="CA56" s="503">
        <f t="shared" si="93"/>
        <v>6.9531999999999998</v>
      </c>
      <c r="CB56" s="503">
        <f t="shared" si="93"/>
        <v>6.9531999999999998</v>
      </c>
      <c r="CC56" s="511">
        <f t="shared" si="94"/>
        <v>34.264824491684585</v>
      </c>
      <c r="CD56" s="511">
        <f t="shared" si="95"/>
        <v>34.264824491684585</v>
      </c>
      <c r="CE56" s="511">
        <f t="shared" si="95"/>
        <v>34.264824491684585</v>
      </c>
      <c r="CF56" s="511">
        <f t="shared" si="95"/>
        <v>34.264824491684585</v>
      </c>
      <c r="CG56" s="511">
        <f t="shared" si="95"/>
        <v>34.264824491684585</v>
      </c>
      <c r="CH56" s="511">
        <f t="shared" si="95"/>
        <v>34.264824491684585</v>
      </c>
      <c r="CI56" s="511">
        <f t="shared" si="95"/>
        <v>34.264824491684585</v>
      </c>
      <c r="CJ56" s="511">
        <f t="shared" si="96"/>
        <v>1.3711999093251345E-3</v>
      </c>
      <c r="CK56" s="511">
        <f t="shared" si="97"/>
        <v>1.3711999093251345E-3</v>
      </c>
      <c r="CL56" s="511">
        <f t="shared" si="97"/>
        <v>1.3711999093251345E-3</v>
      </c>
      <c r="CM56" s="511">
        <f t="shared" si="97"/>
        <v>1.3711999093251345E-3</v>
      </c>
      <c r="CN56" s="511">
        <f t="shared" si="97"/>
        <v>1.3711999093251345E-3</v>
      </c>
      <c r="CO56" s="511">
        <f t="shared" si="97"/>
        <v>1.3711999093251345E-3</v>
      </c>
      <c r="CP56" s="511">
        <f t="shared" si="97"/>
        <v>1.3711999093251345E-3</v>
      </c>
      <c r="CQ56" s="511">
        <f t="shared" si="98"/>
        <v>0</v>
      </c>
      <c r="CR56" s="511">
        <f t="shared" si="99"/>
        <v>0</v>
      </c>
      <c r="CS56" s="511">
        <f t="shared" si="99"/>
        <v>0</v>
      </c>
      <c r="CT56" s="511">
        <f t="shared" si="99"/>
        <v>0</v>
      </c>
      <c r="CU56" s="511">
        <f t="shared" si="99"/>
        <v>0</v>
      </c>
      <c r="CV56" s="511">
        <f t="shared" si="99"/>
        <v>0</v>
      </c>
      <c r="CW56" s="511">
        <f t="shared" si="99"/>
        <v>0</v>
      </c>
      <c r="CX56" s="508">
        <f t="shared" si="100"/>
        <v>0</v>
      </c>
      <c r="CY56" s="508">
        <f t="shared" si="100"/>
        <v>0</v>
      </c>
      <c r="CZ56" s="508">
        <f t="shared" si="100"/>
        <v>0</v>
      </c>
      <c r="DA56" s="508">
        <f t="shared" si="100"/>
        <v>0</v>
      </c>
      <c r="DB56" s="508">
        <f t="shared" si="100"/>
        <v>0</v>
      </c>
      <c r="DC56" s="508">
        <f t="shared" si="100"/>
        <v>0</v>
      </c>
      <c r="DD56" s="508">
        <f t="shared" si="100"/>
        <v>0</v>
      </c>
      <c r="DE56" s="508">
        <f t="shared" si="101"/>
        <v>-7317.0264999999999</v>
      </c>
      <c r="DF56" s="508">
        <f t="shared" si="101"/>
        <v>-7317.0264999999999</v>
      </c>
      <c r="DG56" s="508">
        <f t="shared" si="101"/>
        <v>0</v>
      </c>
      <c r="DH56" s="508">
        <f t="shared" si="101"/>
        <v>0</v>
      </c>
      <c r="DI56" s="508">
        <f t="shared" si="101"/>
        <v>0</v>
      </c>
      <c r="DJ56" s="508">
        <f t="shared" si="101"/>
        <v>0</v>
      </c>
      <c r="DK56" s="508">
        <f t="shared" si="101"/>
        <v>0</v>
      </c>
      <c r="DL56" s="508">
        <f t="shared" si="102"/>
        <v>0</v>
      </c>
      <c r="DM56" s="508">
        <f t="shared" si="102"/>
        <v>0</v>
      </c>
      <c r="DN56" s="508">
        <f t="shared" si="102"/>
        <v>0</v>
      </c>
      <c r="DO56" s="508">
        <f t="shared" si="102"/>
        <v>0</v>
      </c>
      <c r="DP56" s="508">
        <f t="shared" si="102"/>
        <v>0</v>
      </c>
      <c r="DQ56" s="508">
        <f t="shared" si="102"/>
        <v>0</v>
      </c>
      <c r="DR56" s="508">
        <f t="shared" si="102"/>
        <v>0</v>
      </c>
      <c r="DS56" s="508">
        <f t="shared" si="117"/>
        <v>61083.862000000001</v>
      </c>
      <c r="DT56" s="508">
        <f t="shared" si="117"/>
        <v>61083.862000000001</v>
      </c>
      <c r="DU56" s="508">
        <f t="shared" si="117"/>
        <v>0</v>
      </c>
      <c r="DV56" s="508">
        <f t="shared" si="117"/>
        <v>0</v>
      </c>
      <c r="DW56" s="508">
        <f t="shared" si="117"/>
        <v>0</v>
      </c>
      <c r="DX56" s="508">
        <f t="shared" si="103"/>
        <v>0</v>
      </c>
      <c r="DY56" s="508">
        <f t="shared" si="103"/>
        <v>0</v>
      </c>
      <c r="DZ56" s="511">
        <f t="shared" si="104"/>
        <v>301016.48315944907</v>
      </c>
      <c r="EA56" s="511">
        <f t="shared" si="104"/>
        <v>301016.48315944907</v>
      </c>
      <c r="EB56" s="511">
        <f t="shared" si="104"/>
        <v>0</v>
      </c>
      <c r="EC56" s="511">
        <f t="shared" si="104"/>
        <v>0</v>
      </c>
      <c r="ED56" s="511">
        <f t="shared" si="104"/>
        <v>0</v>
      </c>
      <c r="EE56" s="511">
        <f t="shared" si="104"/>
        <v>0</v>
      </c>
      <c r="EF56" s="511">
        <f t="shared" si="104"/>
        <v>0</v>
      </c>
      <c r="EG56" s="511">
        <f t="shared" si="105"/>
        <v>12.045991203421307</v>
      </c>
      <c r="EH56" s="511">
        <f t="shared" si="105"/>
        <v>12.045991203421307</v>
      </c>
      <c r="EI56" s="511">
        <f t="shared" si="105"/>
        <v>0</v>
      </c>
      <c r="EJ56" s="511">
        <f t="shared" si="105"/>
        <v>0</v>
      </c>
      <c r="EK56" s="511">
        <f t="shared" si="105"/>
        <v>0</v>
      </c>
      <c r="EL56" s="511">
        <f t="shared" si="105"/>
        <v>0</v>
      </c>
      <c r="EM56" s="511">
        <f t="shared" si="105"/>
        <v>0</v>
      </c>
      <c r="EN56" s="511">
        <f t="shared" si="106"/>
        <v>0</v>
      </c>
      <c r="EO56" s="511">
        <f t="shared" si="106"/>
        <v>0</v>
      </c>
      <c r="EP56" s="511">
        <f t="shared" si="106"/>
        <v>0</v>
      </c>
      <c r="EQ56" s="511">
        <f t="shared" si="106"/>
        <v>0</v>
      </c>
      <c r="ER56" s="511">
        <f t="shared" si="106"/>
        <v>0</v>
      </c>
      <c r="ES56" s="511">
        <f t="shared" si="106"/>
        <v>0</v>
      </c>
      <c r="ET56" s="511">
        <f t="shared" si="106"/>
        <v>0</v>
      </c>
      <c r="EU56" s="777">
        <f t="shared" si="118"/>
        <v>17570</v>
      </c>
      <c r="EV56" s="728">
        <f t="shared" si="108"/>
        <v>0</v>
      </c>
      <c r="EW56" s="728">
        <f t="shared" si="109"/>
        <v>-14634.053</v>
      </c>
      <c r="EX56" s="728">
        <f t="shared" si="110"/>
        <v>0</v>
      </c>
      <c r="EY56" s="728">
        <f t="shared" si="111"/>
        <v>122167.724</v>
      </c>
      <c r="EZ56" s="777">
        <f t="shared" si="112"/>
        <v>602032.96631889814</v>
      </c>
      <c r="FA56" s="777">
        <f t="shared" si="113"/>
        <v>24.091982406842614</v>
      </c>
      <c r="FB56" s="778">
        <f t="shared" si="114"/>
        <v>0</v>
      </c>
    </row>
    <row r="57" spans="1:166" s="10" customFormat="1" ht="12.75" hidden="1" customHeight="1">
      <c r="A57" s="662" t="s">
        <v>178</v>
      </c>
      <c r="B57" s="789" t="s">
        <v>2155</v>
      </c>
      <c r="C57" s="789" t="s">
        <v>561</v>
      </c>
      <c r="D57" s="715" t="s">
        <v>1972</v>
      </c>
      <c r="E57" s="662" t="s">
        <v>331</v>
      </c>
      <c r="F57" s="704" t="s">
        <v>372</v>
      </c>
      <c r="G57" s="707">
        <f t="shared" si="81"/>
        <v>0</v>
      </c>
      <c r="H57" s="707">
        <f t="shared" si="81"/>
        <v>0</v>
      </c>
      <c r="I57" s="707">
        <f t="shared" si="81"/>
        <v>0</v>
      </c>
      <c r="J57" s="707">
        <f t="shared" si="81"/>
        <v>-6.9408333333333336E-2</v>
      </c>
      <c r="K57" s="707">
        <f t="shared" si="81"/>
        <v>0</v>
      </c>
      <c r="L57" s="1263" t="str">
        <f t="shared" si="81"/>
        <v>Calculated based based on the RTF LED/CFL workbook "ResLightingCFLand LEDLamps_v4_2.xlsm"; accessed 6/6/2016: http://rtf.nwcouncil.org//measures/measure.asp?id=141</v>
      </c>
      <c r="M57" s="707" t="str">
        <f t="shared" si="81"/>
        <v>Free</v>
      </c>
      <c r="N57" s="707">
        <f t="shared" si="81"/>
        <v>0</v>
      </c>
      <c r="O57" s="707">
        <f t="shared" si="81"/>
        <v>0</v>
      </c>
      <c r="P57" s="707">
        <f t="shared" si="81"/>
        <v>6.9531999999999998</v>
      </c>
      <c r="Q57" s="1022">
        <v>8.547825549497361</v>
      </c>
      <c r="R57" s="872">
        <v>1.0291354805041944E-3</v>
      </c>
      <c r="S57" s="1022">
        <v>0</v>
      </c>
      <c r="T57" s="711" t="str">
        <f t="shared" si="115"/>
        <v>Potential Study Results: Calculated based on assumptions from the RTF LED/CFL workbook "ResLightingCFLand LEDLamps_v4_2.xlsm"; accessed 6/6/2016: http://rtf.nwcouncil.org//measures/measure.asp?id=141</v>
      </c>
      <c r="U57" s="712"/>
      <c r="V57" s="1124">
        <f t="shared" si="83"/>
        <v>1.75</v>
      </c>
      <c r="W57" s="790"/>
      <c r="X57" s="790"/>
      <c r="Y57" s="790"/>
      <c r="Z57" s="790"/>
      <c r="AA57" s="790"/>
      <c r="AB57" s="790"/>
      <c r="AC57" s="781">
        <f t="shared" si="84"/>
        <v>0</v>
      </c>
      <c r="AD57" s="781">
        <f t="shared" si="84"/>
        <v>0</v>
      </c>
      <c r="AE57" s="781">
        <f t="shared" si="84"/>
        <v>2195</v>
      </c>
      <c r="AF57" s="781">
        <f t="shared" si="84"/>
        <v>2195</v>
      </c>
      <c r="AG57" s="781">
        <f t="shared" si="84"/>
        <v>2195</v>
      </c>
      <c r="AH57" s="781">
        <f t="shared" si="85"/>
        <v>2195</v>
      </c>
      <c r="AI57" s="781">
        <f t="shared" si="85"/>
        <v>2195</v>
      </c>
      <c r="AJ57" s="711" t="s">
        <v>384</v>
      </c>
      <c r="AK57" s="711" t="s">
        <v>375</v>
      </c>
      <c r="AL57" s="711" t="s">
        <v>376</v>
      </c>
      <c r="AM57" s="711" t="s">
        <v>1958</v>
      </c>
      <c r="AN57" s="711" t="s">
        <v>1</v>
      </c>
      <c r="AO57" s="711" t="s">
        <v>1972</v>
      </c>
      <c r="AP57" s="711" t="s">
        <v>1702</v>
      </c>
      <c r="AQ57" s="711" t="s">
        <v>339</v>
      </c>
      <c r="AR57" s="715" t="s">
        <v>1945</v>
      </c>
      <c r="AS57" s="715"/>
      <c r="AT57" s="715" t="s">
        <v>385</v>
      </c>
      <c r="AU57" s="711">
        <v>12</v>
      </c>
      <c r="AV57" s="711">
        <v>5</v>
      </c>
      <c r="AW57" s="711" t="s">
        <v>1973</v>
      </c>
      <c r="AX57" s="716">
        <v>1</v>
      </c>
      <c r="AY57" s="716">
        <v>1</v>
      </c>
      <c r="AZ57" s="716">
        <v>0</v>
      </c>
      <c r="BA57" s="499">
        <f t="shared" si="86"/>
        <v>0</v>
      </c>
      <c r="BB57" s="499">
        <f t="shared" si="87"/>
        <v>0</v>
      </c>
      <c r="BC57" s="499">
        <f t="shared" si="87"/>
        <v>0</v>
      </c>
      <c r="BD57" s="499">
        <f t="shared" si="87"/>
        <v>0</v>
      </c>
      <c r="BE57" s="499">
        <f t="shared" si="88"/>
        <v>0</v>
      </c>
      <c r="BF57" s="499">
        <f t="shared" si="88"/>
        <v>0</v>
      </c>
      <c r="BG57" s="499">
        <f t="shared" si="88"/>
        <v>0</v>
      </c>
      <c r="BH57" s="499">
        <f t="shared" si="89"/>
        <v>-6.9408333333333336E-2</v>
      </c>
      <c r="BI57" s="499">
        <f t="shared" si="90"/>
        <v>-6.9408333333333336E-2</v>
      </c>
      <c r="BJ57" s="499">
        <f t="shared" si="90"/>
        <v>-6.9408333333333336E-2</v>
      </c>
      <c r="BK57" s="499">
        <f t="shared" si="90"/>
        <v>-6.9408333333333336E-2</v>
      </c>
      <c r="BL57" s="499">
        <f t="shared" si="90"/>
        <v>-6.9408333333333336E-2</v>
      </c>
      <c r="BM57" s="499">
        <f t="shared" si="90"/>
        <v>-6.9408333333333336E-2</v>
      </c>
      <c r="BN57" s="499">
        <f t="shared" si="90"/>
        <v>-6.9408333333333336E-2</v>
      </c>
      <c r="BO57" s="499">
        <f t="shared" si="91"/>
        <v>0</v>
      </c>
      <c r="BP57" s="499">
        <f t="shared" si="119"/>
        <v>0</v>
      </c>
      <c r="BQ57" s="499">
        <f t="shared" si="92"/>
        <v>0</v>
      </c>
      <c r="BR57" s="499">
        <f t="shared" si="92"/>
        <v>0</v>
      </c>
      <c r="BS57" s="499">
        <f t="shared" si="92"/>
        <v>0</v>
      </c>
      <c r="BT57" s="499">
        <f t="shared" si="92"/>
        <v>0</v>
      </c>
      <c r="BU57" s="499">
        <f t="shared" si="92"/>
        <v>0</v>
      </c>
      <c r="BV57" s="503">
        <f t="shared" si="116"/>
        <v>6.9531999999999998</v>
      </c>
      <c r="BW57" s="503">
        <f t="shared" si="93"/>
        <v>6.9531999999999998</v>
      </c>
      <c r="BX57" s="503">
        <f t="shared" si="93"/>
        <v>6.9531999999999998</v>
      </c>
      <c r="BY57" s="503">
        <f t="shared" si="93"/>
        <v>6.9531999999999998</v>
      </c>
      <c r="BZ57" s="503">
        <f t="shared" si="93"/>
        <v>6.9531999999999998</v>
      </c>
      <c r="CA57" s="503">
        <f t="shared" si="93"/>
        <v>6.9531999999999998</v>
      </c>
      <c r="CB57" s="503">
        <f t="shared" si="93"/>
        <v>6.9531999999999998</v>
      </c>
      <c r="CC57" s="511">
        <f t="shared" si="94"/>
        <v>8.547825549497361</v>
      </c>
      <c r="CD57" s="511">
        <f t="shared" si="95"/>
        <v>8.547825549497361</v>
      </c>
      <c r="CE57" s="511">
        <f t="shared" si="95"/>
        <v>8.547825549497361</v>
      </c>
      <c r="CF57" s="511">
        <f t="shared" si="95"/>
        <v>8.547825549497361</v>
      </c>
      <c r="CG57" s="511">
        <f t="shared" si="95"/>
        <v>8.547825549497361</v>
      </c>
      <c r="CH57" s="511">
        <f t="shared" si="95"/>
        <v>8.547825549497361</v>
      </c>
      <c r="CI57" s="511">
        <f t="shared" si="95"/>
        <v>8.547825549497361</v>
      </c>
      <c r="CJ57" s="511">
        <f t="shared" si="96"/>
        <v>1.0291354805041944E-3</v>
      </c>
      <c r="CK57" s="511">
        <f t="shared" si="97"/>
        <v>1.0291354805041944E-3</v>
      </c>
      <c r="CL57" s="511">
        <f t="shared" si="97"/>
        <v>1.0291354805041944E-3</v>
      </c>
      <c r="CM57" s="511">
        <f t="shared" si="97"/>
        <v>1.0291354805041944E-3</v>
      </c>
      <c r="CN57" s="511">
        <f t="shared" si="97"/>
        <v>1.0291354805041944E-3</v>
      </c>
      <c r="CO57" s="511">
        <f t="shared" si="97"/>
        <v>1.0291354805041944E-3</v>
      </c>
      <c r="CP57" s="511">
        <f t="shared" si="97"/>
        <v>1.0291354805041944E-3</v>
      </c>
      <c r="CQ57" s="511">
        <f t="shared" si="98"/>
        <v>0</v>
      </c>
      <c r="CR57" s="511">
        <f t="shared" si="99"/>
        <v>0</v>
      </c>
      <c r="CS57" s="511">
        <f t="shared" si="99"/>
        <v>0</v>
      </c>
      <c r="CT57" s="511">
        <f t="shared" si="99"/>
        <v>0</v>
      </c>
      <c r="CU57" s="511">
        <f t="shared" si="99"/>
        <v>0</v>
      </c>
      <c r="CV57" s="511">
        <f t="shared" si="99"/>
        <v>0</v>
      </c>
      <c r="CW57" s="511">
        <f t="shared" si="99"/>
        <v>0</v>
      </c>
      <c r="CX57" s="508">
        <f t="shared" si="100"/>
        <v>0</v>
      </c>
      <c r="CY57" s="508">
        <f t="shared" si="100"/>
        <v>0</v>
      </c>
      <c r="CZ57" s="508">
        <f t="shared" si="100"/>
        <v>0</v>
      </c>
      <c r="DA57" s="508">
        <f t="shared" si="100"/>
        <v>0</v>
      </c>
      <c r="DB57" s="508">
        <f t="shared" si="100"/>
        <v>0</v>
      </c>
      <c r="DC57" s="508">
        <f t="shared" si="100"/>
        <v>0</v>
      </c>
      <c r="DD57" s="508">
        <f t="shared" si="100"/>
        <v>0</v>
      </c>
      <c r="DE57" s="508">
        <f t="shared" si="101"/>
        <v>0</v>
      </c>
      <c r="DF57" s="508">
        <f t="shared" si="101"/>
        <v>0</v>
      </c>
      <c r="DG57" s="508">
        <f t="shared" si="101"/>
        <v>-152.35129166666667</v>
      </c>
      <c r="DH57" s="508">
        <f t="shared" si="101"/>
        <v>-152.35129166666667</v>
      </c>
      <c r="DI57" s="508">
        <f t="shared" si="101"/>
        <v>-152.35129166666667</v>
      </c>
      <c r="DJ57" s="508">
        <f t="shared" si="101"/>
        <v>-152.35129166666667</v>
      </c>
      <c r="DK57" s="508">
        <f t="shared" si="101"/>
        <v>-152.35129166666667</v>
      </c>
      <c r="DL57" s="508">
        <f t="shared" si="102"/>
        <v>0</v>
      </c>
      <c r="DM57" s="508">
        <f t="shared" si="102"/>
        <v>0</v>
      </c>
      <c r="DN57" s="508">
        <f t="shared" si="102"/>
        <v>0</v>
      </c>
      <c r="DO57" s="508">
        <f t="shared" si="102"/>
        <v>0</v>
      </c>
      <c r="DP57" s="508">
        <f t="shared" si="102"/>
        <v>0</v>
      </c>
      <c r="DQ57" s="508">
        <f t="shared" si="102"/>
        <v>0</v>
      </c>
      <c r="DR57" s="508">
        <f t="shared" si="102"/>
        <v>0</v>
      </c>
      <c r="DS57" s="508">
        <f t="shared" si="117"/>
        <v>0</v>
      </c>
      <c r="DT57" s="508">
        <f t="shared" si="117"/>
        <v>0</v>
      </c>
      <c r="DU57" s="508">
        <f t="shared" si="117"/>
        <v>15262.273999999999</v>
      </c>
      <c r="DV57" s="508">
        <f t="shared" si="117"/>
        <v>15262.273999999999</v>
      </c>
      <c r="DW57" s="508">
        <f t="shared" si="117"/>
        <v>15262.273999999999</v>
      </c>
      <c r="DX57" s="508">
        <f t="shared" si="103"/>
        <v>15262.273999999999</v>
      </c>
      <c r="DY57" s="508">
        <f t="shared" si="103"/>
        <v>15262.273999999999</v>
      </c>
      <c r="DZ57" s="511">
        <f t="shared" si="104"/>
        <v>0</v>
      </c>
      <c r="EA57" s="511">
        <f t="shared" si="104"/>
        <v>0</v>
      </c>
      <c r="EB57" s="511">
        <f t="shared" si="104"/>
        <v>18762.477081146706</v>
      </c>
      <c r="EC57" s="511">
        <f t="shared" si="104"/>
        <v>18762.477081146706</v>
      </c>
      <c r="ED57" s="511">
        <f t="shared" si="104"/>
        <v>18762.477081146706</v>
      </c>
      <c r="EE57" s="511">
        <f t="shared" si="104"/>
        <v>18762.477081146706</v>
      </c>
      <c r="EF57" s="511">
        <f t="shared" si="104"/>
        <v>18762.477081146706</v>
      </c>
      <c r="EG57" s="511">
        <f t="shared" si="105"/>
        <v>0</v>
      </c>
      <c r="EH57" s="511">
        <f t="shared" si="105"/>
        <v>0</v>
      </c>
      <c r="EI57" s="511">
        <f t="shared" si="105"/>
        <v>2.2589523797067068</v>
      </c>
      <c r="EJ57" s="511">
        <f t="shared" si="105"/>
        <v>2.2589523797067068</v>
      </c>
      <c r="EK57" s="511">
        <f t="shared" si="105"/>
        <v>2.2589523797067068</v>
      </c>
      <c r="EL57" s="511">
        <f t="shared" si="105"/>
        <v>2.2589523797067068</v>
      </c>
      <c r="EM57" s="511">
        <f t="shared" si="105"/>
        <v>2.2589523797067068</v>
      </c>
      <c r="EN57" s="511">
        <f t="shared" si="106"/>
        <v>0</v>
      </c>
      <c r="EO57" s="511">
        <f t="shared" si="106"/>
        <v>0</v>
      </c>
      <c r="EP57" s="511">
        <f t="shared" si="106"/>
        <v>0</v>
      </c>
      <c r="EQ57" s="511">
        <f t="shared" si="106"/>
        <v>0</v>
      </c>
      <c r="ER57" s="511">
        <f t="shared" si="106"/>
        <v>0</v>
      </c>
      <c r="ES57" s="511">
        <f t="shared" si="106"/>
        <v>0</v>
      </c>
      <c r="ET57" s="511">
        <f t="shared" si="106"/>
        <v>0</v>
      </c>
      <c r="EU57" s="777">
        <f t="shared" si="118"/>
        <v>10975</v>
      </c>
      <c r="EV57" s="728">
        <f t="shared" si="108"/>
        <v>0</v>
      </c>
      <c r="EW57" s="728">
        <f t="shared" si="109"/>
        <v>-761.75645833333328</v>
      </c>
      <c r="EX57" s="728">
        <f t="shared" si="110"/>
        <v>0</v>
      </c>
      <c r="EY57" s="728">
        <f t="shared" si="111"/>
        <v>76311.37</v>
      </c>
      <c r="EZ57" s="777">
        <f t="shared" si="112"/>
        <v>93812.385405733527</v>
      </c>
      <c r="FA57" s="777">
        <f t="shared" si="113"/>
        <v>11.294761898533533</v>
      </c>
      <c r="FB57" s="778">
        <f t="shared" si="114"/>
        <v>0</v>
      </c>
    </row>
    <row r="58" spans="1:166" s="10" customFormat="1" ht="12.75" hidden="1" customHeight="1">
      <c r="A58" s="662" t="s">
        <v>183</v>
      </c>
      <c r="B58" s="789" t="s">
        <v>2156</v>
      </c>
      <c r="C58" s="789" t="s">
        <v>562</v>
      </c>
      <c r="D58" s="715" t="s">
        <v>1966</v>
      </c>
      <c r="E58" s="662" t="s">
        <v>331</v>
      </c>
      <c r="F58" s="704" t="s">
        <v>372</v>
      </c>
      <c r="G58" s="707">
        <f t="shared" si="81"/>
        <v>0</v>
      </c>
      <c r="H58" s="707">
        <f t="shared" si="81"/>
        <v>0</v>
      </c>
      <c r="I58" s="707">
        <f t="shared" si="81"/>
        <v>0</v>
      </c>
      <c r="J58" s="707">
        <f t="shared" si="81"/>
        <v>-0.38829999999999998</v>
      </c>
      <c r="K58" s="707">
        <f t="shared" si="81"/>
        <v>0</v>
      </c>
      <c r="L58" s="1263" t="str">
        <f t="shared" si="81"/>
        <v>Calculated based based on the RTF LED/CFL workbook "ResLightingCFLand LEDLamps_v4_2.xlsm"; accessed 6/6/2016: http://rtf.nwcouncil.org//measures/measure.asp?id=141</v>
      </c>
      <c r="M58" s="707" t="str">
        <f t="shared" si="81"/>
        <v>Free</v>
      </c>
      <c r="N58" s="707">
        <f t="shared" si="81"/>
        <v>0</v>
      </c>
      <c r="O58" s="707">
        <f t="shared" si="81"/>
        <v>0</v>
      </c>
      <c r="P58" s="707">
        <f t="shared" si="81"/>
        <v>9.4653233901957208</v>
      </c>
      <c r="Q58" s="1022">
        <v>28.405951750654484</v>
      </c>
      <c r="R58" s="872">
        <v>1.1367412220145488E-3</v>
      </c>
      <c r="S58" s="1022">
        <v>0</v>
      </c>
      <c r="T58" s="711" t="str">
        <f t="shared" si="115"/>
        <v>Potential Study Results: Calculated based on assumptions from the RTF LED/CFL workbook "ResLightingCFLand LEDLamps_v4_2.xlsm"; accessed 6/6/2016: http://rtf.nwcouncil.org//measures/measure.asp?id=141</v>
      </c>
      <c r="U58" s="712"/>
      <c r="V58" s="1124">
        <f t="shared" si="83"/>
        <v>3</v>
      </c>
      <c r="W58" s="790"/>
      <c r="X58" s="790"/>
      <c r="Y58" s="790"/>
      <c r="Z58" s="790"/>
      <c r="AA58" s="790"/>
      <c r="AB58" s="790"/>
      <c r="AC58" s="781">
        <f t="shared" si="84"/>
        <v>3765</v>
      </c>
      <c r="AD58" s="781">
        <f t="shared" si="84"/>
        <v>3765</v>
      </c>
      <c r="AE58" s="781">
        <f t="shared" si="84"/>
        <v>0</v>
      </c>
      <c r="AF58" s="781">
        <f t="shared" si="84"/>
        <v>0</v>
      </c>
      <c r="AG58" s="781">
        <f t="shared" si="84"/>
        <v>0</v>
      </c>
      <c r="AH58" s="781">
        <f t="shared" si="85"/>
        <v>0</v>
      </c>
      <c r="AI58" s="781">
        <f t="shared" si="85"/>
        <v>0</v>
      </c>
      <c r="AJ58" s="711" t="s">
        <v>384</v>
      </c>
      <c r="AK58" s="711" t="s">
        <v>375</v>
      </c>
      <c r="AL58" s="711" t="s">
        <v>376</v>
      </c>
      <c r="AM58" s="711" t="s">
        <v>1974</v>
      </c>
      <c r="AN58" s="711" t="s">
        <v>1</v>
      </c>
      <c r="AO58" s="711" t="s">
        <v>1975</v>
      </c>
      <c r="AP58" s="711" t="s">
        <v>1702</v>
      </c>
      <c r="AQ58" s="711" t="s">
        <v>339</v>
      </c>
      <c r="AR58" s="715" t="s">
        <v>1945</v>
      </c>
      <c r="AS58" s="715"/>
      <c r="AT58" s="715" t="s">
        <v>385</v>
      </c>
      <c r="AU58" s="711">
        <v>12</v>
      </c>
      <c r="AV58" s="711">
        <v>1</v>
      </c>
      <c r="AW58" s="711" t="s">
        <v>1976</v>
      </c>
      <c r="AX58" s="716">
        <v>1</v>
      </c>
      <c r="AY58" s="716">
        <v>1</v>
      </c>
      <c r="AZ58" s="716">
        <v>0</v>
      </c>
      <c r="BA58" s="499">
        <f t="shared" si="86"/>
        <v>0</v>
      </c>
      <c r="BB58" s="499">
        <f t="shared" si="87"/>
        <v>0</v>
      </c>
      <c r="BC58" s="499">
        <f t="shared" si="87"/>
        <v>0</v>
      </c>
      <c r="BD58" s="499">
        <f t="shared" si="87"/>
        <v>0</v>
      </c>
      <c r="BE58" s="499">
        <f t="shared" si="88"/>
        <v>0</v>
      </c>
      <c r="BF58" s="499">
        <f t="shared" si="88"/>
        <v>0</v>
      </c>
      <c r="BG58" s="499">
        <f t="shared" si="88"/>
        <v>0</v>
      </c>
      <c r="BH58" s="499">
        <f t="shared" si="89"/>
        <v>-0.38829999999999998</v>
      </c>
      <c r="BI58" s="499">
        <f t="shared" si="90"/>
        <v>-0.38829999999999998</v>
      </c>
      <c r="BJ58" s="499">
        <f t="shared" si="90"/>
        <v>-0.38829999999999998</v>
      </c>
      <c r="BK58" s="499">
        <f t="shared" si="90"/>
        <v>-0.38829999999999998</v>
      </c>
      <c r="BL58" s="499">
        <f t="shared" si="90"/>
        <v>-0.38829999999999998</v>
      </c>
      <c r="BM58" s="499">
        <f t="shared" si="90"/>
        <v>-0.38829999999999998</v>
      </c>
      <c r="BN58" s="499">
        <f t="shared" si="90"/>
        <v>-0.38829999999999998</v>
      </c>
      <c r="BO58" s="499">
        <f t="shared" si="91"/>
        <v>0</v>
      </c>
      <c r="BP58" s="499">
        <f t="shared" si="119"/>
        <v>0</v>
      </c>
      <c r="BQ58" s="499">
        <f t="shared" si="92"/>
        <v>0</v>
      </c>
      <c r="BR58" s="499">
        <f t="shared" si="92"/>
        <v>0</v>
      </c>
      <c r="BS58" s="499">
        <f t="shared" si="92"/>
        <v>0</v>
      </c>
      <c r="BT58" s="499">
        <f t="shared" si="92"/>
        <v>0</v>
      </c>
      <c r="BU58" s="499">
        <f t="shared" si="92"/>
        <v>0</v>
      </c>
      <c r="BV58" s="503">
        <f t="shared" si="116"/>
        <v>9.4653233901957208</v>
      </c>
      <c r="BW58" s="503">
        <f t="shared" si="93"/>
        <v>9.4653233901957208</v>
      </c>
      <c r="BX58" s="503">
        <f t="shared" si="93"/>
        <v>9.4653233901957208</v>
      </c>
      <c r="BY58" s="503">
        <f t="shared" si="93"/>
        <v>9.4653233901957208</v>
      </c>
      <c r="BZ58" s="503">
        <f t="shared" si="93"/>
        <v>9.4653233901957208</v>
      </c>
      <c r="CA58" s="503">
        <f t="shared" si="93"/>
        <v>9.4653233901957208</v>
      </c>
      <c r="CB58" s="503">
        <f t="shared" si="93"/>
        <v>9.4653233901957208</v>
      </c>
      <c r="CC58" s="511">
        <f t="shared" si="94"/>
        <v>28.405951750654484</v>
      </c>
      <c r="CD58" s="511">
        <f t="shared" si="95"/>
        <v>28.405951750654484</v>
      </c>
      <c r="CE58" s="511">
        <f t="shared" si="95"/>
        <v>28.405951750654484</v>
      </c>
      <c r="CF58" s="511">
        <f t="shared" si="95"/>
        <v>28.405951750654484</v>
      </c>
      <c r="CG58" s="511">
        <f t="shared" si="95"/>
        <v>28.405951750654484</v>
      </c>
      <c r="CH58" s="511">
        <f t="shared" si="95"/>
        <v>28.405951750654484</v>
      </c>
      <c r="CI58" s="511">
        <f t="shared" si="95"/>
        <v>28.405951750654484</v>
      </c>
      <c r="CJ58" s="511">
        <f t="shared" si="96"/>
        <v>1.1367412220145488E-3</v>
      </c>
      <c r="CK58" s="511">
        <f t="shared" si="97"/>
        <v>1.1367412220145488E-3</v>
      </c>
      <c r="CL58" s="511">
        <f t="shared" si="97"/>
        <v>1.1367412220145488E-3</v>
      </c>
      <c r="CM58" s="511">
        <f t="shared" si="97"/>
        <v>1.1367412220145488E-3</v>
      </c>
      <c r="CN58" s="511">
        <f t="shared" si="97"/>
        <v>1.1367412220145488E-3</v>
      </c>
      <c r="CO58" s="511">
        <f t="shared" si="97"/>
        <v>1.1367412220145488E-3</v>
      </c>
      <c r="CP58" s="511">
        <f t="shared" si="97"/>
        <v>1.1367412220145488E-3</v>
      </c>
      <c r="CQ58" s="511">
        <f t="shared" si="98"/>
        <v>0</v>
      </c>
      <c r="CR58" s="511">
        <f t="shared" si="99"/>
        <v>0</v>
      </c>
      <c r="CS58" s="511">
        <f t="shared" si="99"/>
        <v>0</v>
      </c>
      <c r="CT58" s="511">
        <f t="shared" si="99"/>
        <v>0</v>
      </c>
      <c r="CU58" s="511">
        <f t="shared" si="99"/>
        <v>0</v>
      </c>
      <c r="CV58" s="511">
        <f t="shared" si="99"/>
        <v>0</v>
      </c>
      <c r="CW58" s="511">
        <f t="shared" si="99"/>
        <v>0</v>
      </c>
      <c r="CX58" s="508">
        <f t="shared" si="100"/>
        <v>0</v>
      </c>
      <c r="CY58" s="508">
        <f t="shared" si="100"/>
        <v>0</v>
      </c>
      <c r="CZ58" s="508">
        <f t="shared" si="100"/>
        <v>0</v>
      </c>
      <c r="DA58" s="508">
        <f t="shared" si="100"/>
        <v>0</v>
      </c>
      <c r="DB58" s="508">
        <f t="shared" si="100"/>
        <v>0</v>
      </c>
      <c r="DC58" s="508">
        <f t="shared" si="100"/>
        <v>0</v>
      </c>
      <c r="DD58" s="508">
        <f t="shared" si="100"/>
        <v>0</v>
      </c>
      <c r="DE58" s="508">
        <f t="shared" si="101"/>
        <v>-1461.9494999999999</v>
      </c>
      <c r="DF58" s="508">
        <f t="shared" si="101"/>
        <v>-1461.9494999999999</v>
      </c>
      <c r="DG58" s="508">
        <f t="shared" si="101"/>
        <v>0</v>
      </c>
      <c r="DH58" s="508">
        <f t="shared" si="101"/>
        <v>0</v>
      </c>
      <c r="DI58" s="508">
        <f t="shared" si="101"/>
        <v>0</v>
      </c>
      <c r="DJ58" s="508">
        <f t="shared" si="101"/>
        <v>0</v>
      </c>
      <c r="DK58" s="508">
        <f t="shared" si="101"/>
        <v>0</v>
      </c>
      <c r="DL58" s="508">
        <f t="shared" si="102"/>
        <v>0</v>
      </c>
      <c r="DM58" s="508">
        <f t="shared" si="102"/>
        <v>0</v>
      </c>
      <c r="DN58" s="508">
        <f t="shared" si="102"/>
        <v>0</v>
      </c>
      <c r="DO58" s="508">
        <f t="shared" si="102"/>
        <v>0</v>
      </c>
      <c r="DP58" s="508">
        <f t="shared" si="102"/>
        <v>0</v>
      </c>
      <c r="DQ58" s="508">
        <f t="shared" si="102"/>
        <v>0</v>
      </c>
      <c r="DR58" s="508">
        <f t="shared" si="102"/>
        <v>0</v>
      </c>
      <c r="DS58" s="508">
        <f t="shared" si="117"/>
        <v>35636.942564086887</v>
      </c>
      <c r="DT58" s="508">
        <f t="shared" si="117"/>
        <v>35636.942564086887</v>
      </c>
      <c r="DU58" s="508">
        <f t="shared" si="117"/>
        <v>0</v>
      </c>
      <c r="DV58" s="508">
        <f t="shared" si="117"/>
        <v>0</v>
      </c>
      <c r="DW58" s="508">
        <f t="shared" si="117"/>
        <v>0</v>
      </c>
      <c r="DX58" s="508">
        <f t="shared" si="103"/>
        <v>0</v>
      </c>
      <c r="DY58" s="508">
        <f t="shared" si="103"/>
        <v>0</v>
      </c>
      <c r="DZ58" s="511">
        <f t="shared" si="104"/>
        <v>106948.40834121413</v>
      </c>
      <c r="EA58" s="511">
        <f t="shared" si="104"/>
        <v>106948.40834121413</v>
      </c>
      <c r="EB58" s="511">
        <f t="shared" si="104"/>
        <v>0</v>
      </c>
      <c r="EC58" s="511">
        <f t="shared" si="104"/>
        <v>0</v>
      </c>
      <c r="ED58" s="511">
        <f t="shared" si="104"/>
        <v>0</v>
      </c>
      <c r="EE58" s="511">
        <f t="shared" si="104"/>
        <v>0</v>
      </c>
      <c r="EF58" s="511">
        <f t="shared" si="104"/>
        <v>0</v>
      </c>
      <c r="EG58" s="511">
        <f t="shared" si="105"/>
        <v>4.2798307008847765</v>
      </c>
      <c r="EH58" s="511">
        <f t="shared" si="105"/>
        <v>4.2798307008847765</v>
      </c>
      <c r="EI58" s="511">
        <f t="shared" si="105"/>
        <v>0</v>
      </c>
      <c r="EJ58" s="511">
        <f t="shared" si="105"/>
        <v>0</v>
      </c>
      <c r="EK58" s="511">
        <f t="shared" si="105"/>
        <v>0</v>
      </c>
      <c r="EL58" s="511">
        <f t="shared" si="105"/>
        <v>0</v>
      </c>
      <c r="EM58" s="511">
        <f t="shared" si="105"/>
        <v>0</v>
      </c>
      <c r="EN58" s="511">
        <f t="shared" si="106"/>
        <v>0</v>
      </c>
      <c r="EO58" s="511">
        <f t="shared" si="106"/>
        <v>0</v>
      </c>
      <c r="EP58" s="511">
        <f t="shared" si="106"/>
        <v>0</v>
      </c>
      <c r="EQ58" s="511">
        <f t="shared" si="106"/>
        <v>0</v>
      </c>
      <c r="ER58" s="511">
        <f t="shared" si="106"/>
        <v>0</v>
      </c>
      <c r="ES58" s="511">
        <f t="shared" si="106"/>
        <v>0</v>
      </c>
      <c r="ET58" s="511">
        <f t="shared" si="106"/>
        <v>0</v>
      </c>
      <c r="EU58" s="777">
        <f t="shared" si="118"/>
        <v>7530</v>
      </c>
      <c r="EV58" s="728">
        <f t="shared" si="108"/>
        <v>0</v>
      </c>
      <c r="EW58" s="728">
        <f t="shared" si="109"/>
        <v>-2923.8989999999999</v>
      </c>
      <c r="EX58" s="728">
        <f t="shared" si="110"/>
        <v>0</v>
      </c>
      <c r="EY58" s="728">
        <f t="shared" si="111"/>
        <v>71273.885128173773</v>
      </c>
      <c r="EZ58" s="777">
        <f t="shared" si="112"/>
        <v>213896.81668242827</v>
      </c>
      <c r="FA58" s="777">
        <f t="shared" si="113"/>
        <v>8.5596614017695529</v>
      </c>
      <c r="FB58" s="778">
        <f t="shared" si="114"/>
        <v>0</v>
      </c>
    </row>
    <row r="59" spans="1:166" s="10" customFormat="1" ht="12.75" hidden="1" customHeight="1">
      <c r="A59" s="662" t="s">
        <v>184</v>
      </c>
      <c r="B59" s="789" t="s">
        <v>2156</v>
      </c>
      <c r="C59" s="789" t="s">
        <v>562</v>
      </c>
      <c r="D59" s="715" t="s">
        <v>1972</v>
      </c>
      <c r="E59" s="662" t="s">
        <v>331</v>
      </c>
      <c r="F59" s="704" t="s">
        <v>372</v>
      </c>
      <c r="G59" s="707">
        <f t="shared" si="81"/>
        <v>0</v>
      </c>
      <c r="H59" s="707">
        <f t="shared" si="81"/>
        <v>0</v>
      </c>
      <c r="I59" s="707">
        <f t="shared" si="81"/>
        <v>0</v>
      </c>
      <c r="J59" s="707">
        <f t="shared" si="81"/>
        <v>-3.2358333333333336E-2</v>
      </c>
      <c r="K59" s="707">
        <f t="shared" si="81"/>
        <v>0</v>
      </c>
      <c r="L59" s="1263" t="str">
        <f t="shared" si="81"/>
        <v>Calculated based based on the RTF LED/CFL workbook "ResLightingCFLand LEDLamps_v4_2.xlsm"; accessed 6/6/2016: http://rtf.nwcouncil.org//measures/measure.asp?id=141</v>
      </c>
      <c r="M59" s="707" t="str">
        <f t="shared" si="81"/>
        <v>Free</v>
      </c>
      <c r="N59" s="707">
        <f t="shared" si="81"/>
        <v>0</v>
      </c>
      <c r="O59" s="707">
        <f t="shared" si="81"/>
        <v>0</v>
      </c>
      <c r="P59" s="707">
        <f t="shared" si="81"/>
        <v>9.4653233901957208</v>
      </c>
      <c r="Q59" s="1022">
        <v>16.044680439380667</v>
      </c>
      <c r="R59" s="872">
        <v>6.4207141551151433E-4</v>
      </c>
      <c r="S59" s="1022">
        <v>0</v>
      </c>
      <c r="T59" s="711" t="str">
        <f t="shared" si="115"/>
        <v>Potential Study Results: Calculated based on assumptions from the RTF LED/CFL workbook "ResLightingCFLand LEDLamps_v4_2.xlsm"; accessed 6/6/2016: http://rtf.nwcouncil.org//measures/measure.asp?id=141</v>
      </c>
      <c r="U59" s="712"/>
      <c r="V59" s="1124">
        <f t="shared" si="83"/>
        <v>0.75</v>
      </c>
      <c r="W59" s="790"/>
      <c r="X59" s="790"/>
      <c r="Y59" s="790"/>
      <c r="Z59" s="790"/>
      <c r="AA59" s="790"/>
      <c r="AB59" s="790"/>
      <c r="AC59" s="781">
        <f t="shared" si="84"/>
        <v>0</v>
      </c>
      <c r="AD59" s="781">
        <f t="shared" si="84"/>
        <v>0</v>
      </c>
      <c r="AE59" s="781">
        <f t="shared" si="84"/>
        <v>940</v>
      </c>
      <c r="AF59" s="781">
        <f t="shared" si="84"/>
        <v>940</v>
      </c>
      <c r="AG59" s="781">
        <f t="shared" si="84"/>
        <v>940</v>
      </c>
      <c r="AH59" s="781">
        <f t="shared" si="85"/>
        <v>940</v>
      </c>
      <c r="AI59" s="781">
        <f t="shared" si="85"/>
        <v>940</v>
      </c>
      <c r="AJ59" s="711" t="s">
        <v>384</v>
      </c>
      <c r="AK59" s="711" t="s">
        <v>375</v>
      </c>
      <c r="AL59" s="711" t="s">
        <v>376</v>
      </c>
      <c r="AM59" s="711" t="s">
        <v>1974</v>
      </c>
      <c r="AN59" s="711" t="s">
        <v>1</v>
      </c>
      <c r="AO59" s="711" t="s">
        <v>1975</v>
      </c>
      <c r="AP59" s="711" t="s">
        <v>1702</v>
      </c>
      <c r="AQ59" s="711" t="s">
        <v>339</v>
      </c>
      <c r="AR59" s="715" t="s">
        <v>1945</v>
      </c>
      <c r="AS59" s="715"/>
      <c r="AT59" s="715" t="s">
        <v>385</v>
      </c>
      <c r="AU59" s="711">
        <v>12</v>
      </c>
      <c r="AV59" s="711">
        <v>1</v>
      </c>
      <c r="AW59" s="711" t="s">
        <v>1976</v>
      </c>
      <c r="AX59" s="716">
        <v>1</v>
      </c>
      <c r="AY59" s="716">
        <v>1</v>
      </c>
      <c r="AZ59" s="716">
        <v>0</v>
      </c>
      <c r="BA59" s="499">
        <f t="shared" si="86"/>
        <v>0</v>
      </c>
      <c r="BB59" s="499">
        <f t="shared" si="87"/>
        <v>0</v>
      </c>
      <c r="BC59" s="499">
        <f t="shared" si="87"/>
        <v>0</v>
      </c>
      <c r="BD59" s="499">
        <f t="shared" si="87"/>
        <v>0</v>
      </c>
      <c r="BE59" s="499">
        <f t="shared" si="88"/>
        <v>0</v>
      </c>
      <c r="BF59" s="499">
        <f t="shared" si="88"/>
        <v>0</v>
      </c>
      <c r="BG59" s="499">
        <f t="shared" si="88"/>
        <v>0</v>
      </c>
      <c r="BH59" s="499">
        <f t="shared" si="89"/>
        <v>-3.2358333333333336E-2</v>
      </c>
      <c r="BI59" s="499">
        <f t="shared" si="90"/>
        <v>-3.2358333333333336E-2</v>
      </c>
      <c r="BJ59" s="499">
        <f t="shared" si="90"/>
        <v>-3.2358333333333336E-2</v>
      </c>
      <c r="BK59" s="499">
        <f t="shared" si="90"/>
        <v>-3.2358333333333336E-2</v>
      </c>
      <c r="BL59" s="499">
        <f t="shared" si="90"/>
        <v>-3.2358333333333336E-2</v>
      </c>
      <c r="BM59" s="499">
        <f t="shared" si="90"/>
        <v>-3.2358333333333336E-2</v>
      </c>
      <c r="BN59" s="499">
        <f t="shared" si="90"/>
        <v>-3.2358333333333336E-2</v>
      </c>
      <c r="BO59" s="499">
        <f t="shared" si="91"/>
        <v>0</v>
      </c>
      <c r="BP59" s="499">
        <f t="shared" si="119"/>
        <v>0</v>
      </c>
      <c r="BQ59" s="499">
        <f t="shared" si="92"/>
        <v>0</v>
      </c>
      <c r="BR59" s="499">
        <f t="shared" si="92"/>
        <v>0</v>
      </c>
      <c r="BS59" s="499">
        <f t="shared" si="92"/>
        <v>0</v>
      </c>
      <c r="BT59" s="499">
        <f t="shared" si="92"/>
        <v>0</v>
      </c>
      <c r="BU59" s="499">
        <f t="shared" si="92"/>
        <v>0</v>
      </c>
      <c r="BV59" s="503">
        <f t="shared" si="116"/>
        <v>9.4653233901957208</v>
      </c>
      <c r="BW59" s="503">
        <f t="shared" si="93"/>
        <v>9.4653233901957208</v>
      </c>
      <c r="BX59" s="503">
        <f t="shared" si="93"/>
        <v>9.4653233901957208</v>
      </c>
      <c r="BY59" s="503">
        <f t="shared" si="93"/>
        <v>9.4653233901957208</v>
      </c>
      <c r="BZ59" s="503">
        <f t="shared" si="93"/>
        <v>9.4653233901957208</v>
      </c>
      <c r="CA59" s="503">
        <f t="shared" si="93"/>
        <v>9.4653233901957208</v>
      </c>
      <c r="CB59" s="503">
        <f t="shared" si="93"/>
        <v>9.4653233901957208</v>
      </c>
      <c r="CC59" s="511">
        <f t="shared" si="94"/>
        <v>16.044680439380667</v>
      </c>
      <c r="CD59" s="511">
        <f t="shared" si="95"/>
        <v>16.044680439380667</v>
      </c>
      <c r="CE59" s="511">
        <f t="shared" si="95"/>
        <v>16.044680439380667</v>
      </c>
      <c r="CF59" s="511">
        <f t="shared" si="95"/>
        <v>16.044680439380667</v>
      </c>
      <c r="CG59" s="511">
        <f t="shared" si="95"/>
        <v>16.044680439380667</v>
      </c>
      <c r="CH59" s="511">
        <f t="shared" si="95"/>
        <v>16.044680439380667</v>
      </c>
      <c r="CI59" s="511">
        <f t="shared" si="95"/>
        <v>16.044680439380667</v>
      </c>
      <c r="CJ59" s="511">
        <f t="shared" si="96"/>
        <v>6.4207141551151433E-4</v>
      </c>
      <c r="CK59" s="511">
        <f t="shared" si="97"/>
        <v>6.4207141551151433E-4</v>
      </c>
      <c r="CL59" s="511">
        <f t="shared" si="97"/>
        <v>6.4207141551151433E-4</v>
      </c>
      <c r="CM59" s="511">
        <f t="shared" si="97"/>
        <v>6.4207141551151433E-4</v>
      </c>
      <c r="CN59" s="511">
        <f t="shared" si="97"/>
        <v>6.4207141551151433E-4</v>
      </c>
      <c r="CO59" s="511">
        <f t="shared" si="97"/>
        <v>6.4207141551151433E-4</v>
      </c>
      <c r="CP59" s="511">
        <f t="shared" si="97"/>
        <v>6.4207141551151433E-4</v>
      </c>
      <c r="CQ59" s="511">
        <f t="shared" si="98"/>
        <v>0</v>
      </c>
      <c r="CR59" s="511">
        <f t="shared" si="99"/>
        <v>0</v>
      </c>
      <c r="CS59" s="511">
        <f t="shared" si="99"/>
        <v>0</v>
      </c>
      <c r="CT59" s="511">
        <f t="shared" si="99"/>
        <v>0</v>
      </c>
      <c r="CU59" s="511">
        <f t="shared" si="99"/>
        <v>0</v>
      </c>
      <c r="CV59" s="511">
        <f t="shared" si="99"/>
        <v>0</v>
      </c>
      <c r="CW59" s="511">
        <f t="shared" si="99"/>
        <v>0</v>
      </c>
      <c r="CX59" s="508">
        <f t="shared" si="100"/>
        <v>0</v>
      </c>
      <c r="CY59" s="508">
        <f t="shared" si="100"/>
        <v>0</v>
      </c>
      <c r="CZ59" s="508">
        <f t="shared" si="100"/>
        <v>0</v>
      </c>
      <c r="DA59" s="508">
        <f t="shared" si="100"/>
        <v>0</v>
      </c>
      <c r="DB59" s="508">
        <f t="shared" si="100"/>
        <v>0</v>
      </c>
      <c r="DC59" s="508">
        <f t="shared" si="100"/>
        <v>0</v>
      </c>
      <c r="DD59" s="508">
        <f t="shared" si="100"/>
        <v>0</v>
      </c>
      <c r="DE59" s="508">
        <f t="shared" si="101"/>
        <v>0</v>
      </c>
      <c r="DF59" s="508">
        <f t="shared" si="101"/>
        <v>0</v>
      </c>
      <c r="DG59" s="508">
        <f t="shared" si="101"/>
        <v>-30.416833333333336</v>
      </c>
      <c r="DH59" s="508">
        <f t="shared" si="101"/>
        <v>-30.416833333333336</v>
      </c>
      <c r="DI59" s="508">
        <f t="shared" si="101"/>
        <v>-30.416833333333336</v>
      </c>
      <c r="DJ59" s="508">
        <f t="shared" si="101"/>
        <v>-30.416833333333336</v>
      </c>
      <c r="DK59" s="508">
        <f t="shared" si="101"/>
        <v>-30.416833333333336</v>
      </c>
      <c r="DL59" s="508">
        <f t="shared" si="102"/>
        <v>0</v>
      </c>
      <c r="DM59" s="508">
        <f t="shared" si="102"/>
        <v>0</v>
      </c>
      <c r="DN59" s="508">
        <f t="shared" si="102"/>
        <v>0</v>
      </c>
      <c r="DO59" s="508">
        <f t="shared" si="102"/>
        <v>0</v>
      </c>
      <c r="DP59" s="508">
        <f t="shared" si="102"/>
        <v>0</v>
      </c>
      <c r="DQ59" s="508">
        <f t="shared" si="102"/>
        <v>0</v>
      </c>
      <c r="DR59" s="508">
        <f t="shared" si="102"/>
        <v>0</v>
      </c>
      <c r="DS59" s="508">
        <f t="shared" si="117"/>
        <v>0</v>
      </c>
      <c r="DT59" s="508">
        <f t="shared" si="117"/>
        <v>0</v>
      </c>
      <c r="DU59" s="508">
        <f t="shared" si="117"/>
        <v>8897.4039867839783</v>
      </c>
      <c r="DV59" s="508">
        <f t="shared" si="117"/>
        <v>8897.4039867839783</v>
      </c>
      <c r="DW59" s="508">
        <f t="shared" si="117"/>
        <v>8897.4039867839783</v>
      </c>
      <c r="DX59" s="508">
        <f t="shared" si="103"/>
        <v>8897.4039867839783</v>
      </c>
      <c r="DY59" s="508">
        <f t="shared" si="103"/>
        <v>8897.4039867839783</v>
      </c>
      <c r="DZ59" s="511">
        <f t="shared" si="104"/>
        <v>0</v>
      </c>
      <c r="EA59" s="511">
        <f t="shared" si="104"/>
        <v>0</v>
      </c>
      <c r="EB59" s="511">
        <f t="shared" si="104"/>
        <v>15081.999613017826</v>
      </c>
      <c r="EC59" s="511">
        <f t="shared" si="104"/>
        <v>15081.999613017826</v>
      </c>
      <c r="ED59" s="511">
        <f t="shared" si="104"/>
        <v>15081.999613017826</v>
      </c>
      <c r="EE59" s="511">
        <f t="shared" si="104"/>
        <v>15081.999613017826</v>
      </c>
      <c r="EF59" s="511">
        <f t="shared" si="104"/>
        <v>15081.999613017826</v>
      </c>
      <c r="EG59" s="511">
        <f t="shared" si="105"/>
        <v>0</v>
      </c>
      <c r="EH59" s="511">
        <f t="shared" si="105"/>
        <v>0</v>
      </c>
      <c r="EI59" s="511">
        <f t="shared" si="105"/>
        <v>0.60354713058082343</v>
      </c>
      <c r="EJ59" s="511">
        <f t="shared" si="105"/>
        <v>0.60354713058082343</v>
      </c>
      <c r="EK59" s="511">
        <f t="shared" si="105"/>
        <v>0.60354713058082343</v>
      </c>
      <c r="EL59" s="511">
        <f t="shared" si="105"/>
        <v>0.60354713058082343</v>
      </c>
      <c r="EM59" s="511">
        <f t="shared" si="105"/>
        <v>0.60354713058082343</v>
      </c>
      <c r="EN59" s="511">
        <f t="shared" si="106"/>
        <v>0</v>
      </c>
      <c r="EO59" s="511">
        <f t="shared" si="106"/>
        <v>0</v>
      </c>
      <c r="EP59" s="511">
        <f t="shared" si="106"/>
        <v>0</v>
      </c>
      <c r="EQ59" s="511">
        <f t="shared" si="106"/>
        <v>0</v>
      </c>
      <c r="ER59" s="511">
        <f t="shared" si="106"/>
        <v>0</v>
      </c>
      <c r="ES59" s="511">
        <f t="shared" si="106"/>
        <v>0</v>
      </c>
      <c r="ET59" s="511">
        <f t="shared" si="106"/>
        <v>0</v>
      </c>
      <c r="EU59" s="777">
        <f t="shared" si="118"/>
        <v>4700</v>
      </c>
      <c r="EV59" s="728">
        <f t="shared" si="108"/>
        <v>0</v>
      </c>
      <c r="EW59" s="728">
        <f t="shared" si="109"/>
        <v>-152.08416666666668</v>
      </c>
      <c r="EX59" s="728">
        <f t="shared" si="110"/>
        <v>0</v>
      </c>
      <c r="EY59" s="728">
        <f t="shared" si="111"/>
        <v>44487.019933919888</v>
      </c>
      <c r="EZ59" s="777">
        <f t="shared" si="112"/>
        <v>75409.998065089138</v>
      </c>
      <c r="FA59" s="777">
        <f t="shared" si="113"/>
        <v>3.017735652904117</v>
      </c>
      <c r="FB59" s="778">
        <f t="shared" si="114"/>
        <v>0</v>
      </c>
    </row>
    <row r="60" spans="1:166" s="10" customFormat="1" ht="12.75" hidden="1" customHeight="1">
      <c r="A60" s="662" t="s">
        <v>185</v>
      </c>
      <c r="B60" s="789" t="s">
        <v>2157</v>
      </c>
      <c r="C60" s="662" t="s">
        <v>1977</v>
      </c>
      <c r="D60" s="715" t="s">
        <v>1978</v>
      </c>
      <c r="E60" s="662" t="s">
        <v>331</v>
      </c>
      <c r="F60" s="704" t="s">
        <v>372</v>
      </c>
      <c r="G60" s="707">
        <f t="shared" si="81"/>
        <v>0</v>
      </c>
      <c r="H60" s="707">
        <f t="shared" si="81"/>
        <v>0</v>
      </c>
      <c r="I60" s="707">
        <f t="shared" si="81"/>
        <v>0</v>
      </c>
      <c r="J60" s="707">
        <f t="shared" si="81"/>
        <v>0</v>
      </c>
      <c r="K60" s="707">
        <f t="shared" si="81"/>
        <v>0</v>
      </c>
      <c r="L60" s="1263" t="str">
        <f t="shared" si="81"/>
        <v>Applied Multifamily cost estimates based on program development by Franklin Energy, Feb 2017</v>
      </c>
      <c r="M60" s="707" t="str">
        <f t="shared" si="81"/>
        <v>Free</v>
      </c>
      <c r="N60" s="707">
        <f t="shared" si="81"/>
        <v>0</v>
      </c>
      <c r="O60" s="707">
        <f t="shared" si="81"/>
        <v>0</v>
      </c>
      <c r="P60" s="707">
        <f t="shared" si="81"/>
        <v>3.99</v>
      </c>
      <c r="Q60" s="1022">
        <v>73.158813589915397</v>
      </c>
      <c r="R60" s="872">
        <v>4.8681772558510162E-3</v>
      </c>
      <c r="S60" s="1022">
        <v>0</v>
      </c>
      <c r="T60" s="711" t="str">
        <f t="shared" si="115"/>
        <v>Potential Study Results: Engineering Calculation</v>
      </c>
      <c r="U60" s="712"/>
      <c r="V60" s="1124">
        <f t="shared" si="83"/>
        <v>0.45715305879552487</v>
      </c>
      <c r="W60" s="790"/>
      <c r="X60" s="790"/>
      <c r="Y60" s="790"/>
      <c r="Z60" s="790"/>
      <c r="AA60" s="790"/>
      <c r="AB60" s="790"/>
      <c r="AC60" s="781">
        <f t="shared" si="84"/>
        <v>575</v>
      </c>
      <c r="AD60" s="781">
        <f t="shared" si="84"/>
        <v>575</v>
      </c>
      <c r="AE60" s="781">
        <f t="shared" si="84"/>
        <v>575</v>
      </c>
      <c r="AF60" s="781">
        <f t="shared" si="84"/>
        <v>575</v>
      </c>
      <c r="AG60" s="781">
        <f t="shared" si="84"/>
        <v>575</v>
      </c>
      <c r="AH60" s="781">
        <f t="shared" si="85"/>
        <v>575</v>
      </c>
      <c r="AI60" s="781">
        <f t="shared" si="85"/>
        <v>575</v>
      </c>
      <c r="AJ60" s="711" t="s">
        <v>374</v>
      </c>
      <c r="AK60" s="711" t="s">
        <v>375</v>
      </c>
      <c r="AL60" s="711" t="s">
        <v>376</v>
      </c>
      <c r="AM60" s="711" t="s">
        <v>1981</v>
      </c>
      <c r="AN60" s="711" t="s">
        <v>1</v>
      </c>
      <c r="AO60" s="711" t="s">
        <v>1982</v>
      </c>
      <c r="AP60" s="711" t="s">
        <v>1977</v>
      </c>
      <c r="AQ60" s="711" t="s">
        <v>1978</v>
      </c>
      <c r="AR60" s="715" t="s">
        <v>943</v>
      </c>
      <c r="AS60" s="715" t="s">
        <v>1941</v>
      </c>
      <c r="AT60" s="715" t="s">
        <v>385</v>
      </c>
      <c r="AU60" s="711">
        <v>10</v>
      </c>
      <c r="AV60" s="711">
        <v>10</v>
      </c>
      <c r="AW60" s="711" t="s">
        <v>1983</v>
      </c>
      <c r="AX60" s="716">
        <v>1</v>
      </c>
      <c r="AY60" s="716">
        <v>1</v>
      </c>
      <c r="AZ60" s="716">
        <v>0</v>
      </c>
      <c r="BA60" s="499">
        <f t="shared" si="86"/>
        <v>0</v>
      </c>
      <c r="BB60" s="499">
        <f t="shared" si="87"/>
        <v>0</v>
      </c>
      <c r="BC60" s="499">
        <f t="shared" si="87"/>
        <v>0</v>
      </c>
      <c r="BD60" s="499">
        <f t="shared" si="87"/>
        <v>0</v>
      </c>
      <c r="BE60" s="499">
        <f t="shared" si="88"/>
        <v>0</v>
      </c>
      <c r="BF60" s="499">
        <f t="shared" si="88"/>
        <v>0</v>
      </c>
      <c r="BG60" s="499">
        <f t="shared" si="88"/>
        <v>0</v>
      </c>
      <c r="BH60" s="499">
        <f t="shared" si="89"/>
        <v>0</v>
      </c>
      <c r="BI60" s="499">
        <f t="shared" si="90"/>
        <v>0</v>
      </c>
      <c r="BJ60" s="499">
        <f t="shared" si="90"/>
        <v>0</v>
      </c>
      <c r="BK60" s="499">
        <f t="shared" si="90"/>
        <v>0</v>
      </c>
      <c r="BL60" s="499">
        <f t="shared" si="90"/>
        <v>0</v>
      </c>
      <c r="BM60" s="499">
        <f t="shared" si="90"/>
        <v>0</v>
      </c>
      <c r="BN60" s="499">
        <f t="shared" si="90"/>
        <v>0</v>
      </c>
      <c r="BO60" s="499">
        <f t="shared" si="91"/>
        <v>0</v>
      </c>
      <c r="BP60" s="499">
        <f t="shared" si="119"/>
        <v>0</v>
      </c>
      <c r="BQ60" s="499">
        <f t="shared" si="92"/>
        <v>0</v>
      </c>
      <c r="BR60" s="499">
        <f t="shared" si="92"/>
        <v>0</v>
      </c>
      <c r="BS60" s="499">
        <f t="shared" si="92"/>
        <v>0</v>
      </c>
      <c r="BT60" s="499">
        <f t="shared" si="92"/>
        <v>0</v>
      </c>
      <c r="BU60" s="499">
        <f t="shared" si="92"/>
        <v>0</v>
      </c>
      <c r="BV60" s="503">
        <f t="shared" si="116"/>
        <v>3.99</v>
      </c>
      <c r="BW60" s="503">
        <f t="shared" si="93"/>
        <v>3.99</v>
      </c>
      <c r="BX60" s="503">
        <f t="shared" si="93"/>
        <v>3.99</v>
      </c>
      <c r="BY60" s="503">
        <f t="shared" si="93"/>
        <v>3.99</v>
      </c>
      <c r="BZ60" s="503">
        <f t="shared" si="93"/>
        <v>3.99</v>
      </c>
      <c r="CA60" s="503">
        <f t="shared" si="93"/>
        <v>3.99</v>
      </c>
      <c r="CB60" s="503">
        <f t="shared" si="93"/>
        <v>3.99</v>
      </c>
      <c r="CC60" s="511">
        <f t="shared" si="94"/>
        <v>73.158813589915397</v>
      </c>
      <c r="CD60" s="511">
        <f t="shared" si="95"/>
        <v>73.158813589915397</v>
      </c>
      <c r="CE60" s="511">
        <f t="shared" si="95"/>
        <v>73.158813589915397</v>
      </c>
      <c r="CF60" s="511">
        <f t="shared" si="95"/>
        <v>73.158813589915397</v>
      </c>
      <c r="CG60" s="511">
        <f t="shared" si="95"/>
        <v>73.158813589915397</v>
      </c>
      <c r="CH60" s="511">
        <f t="shared" si="95"/>
        <v>73.158813589915397</v>
      </c>
      <c r="CI60" s="511">
        <f t="shared" si="95"/>
        <v>73.158813589915397</v>
      </c>
      <c r="CJ60" s="511">
        <f t="shared" si="96"/>
        <v>4.8681772558510162E-3</v>
      </c>
      <c r="CK60" s="511">
        <f t="shared" si="97"/>
        <v>4.8681772558510162E-3</v>
      </c>
      <c r="CL60" s="511">
        <f t="shared" si="97"/>
        <v>4.8681772558510162E-3</v>
      </c>
      <c r="CM60" s="511">
        <f t="shared" si="97"/>
        <v>4.8681772558510162E-3</v>
      </c>
      <c r="CN60" s="511">
        <f t="shared" si="97"/>
        <v>4.8681772558510162E-3</v>
      </c>
      <c r="CO60" s="511">
        <f t="shared" si="97"/>
        <v>4.8681772558510162E-3</v>
      </c>
      <c r="CP60" s="511">
        <f t="shared" si="97"/>
        <v>4.8681772558510162E-3</v>
      </c>
      <c r="CQ60" s="511">
        <f t="shared" si="98"/>
        <v>0</v>
      </c>
      <c r="CR60" s="511">
        <f t="shared" si="99"/>
        <v>0</v>
      </c>
      <c r="CS60" s="511">
        <f t="shared" si="99"/>
        <v>0</v>
      </c>
      <c r="CT60" s="511">
        <f t="shared" si="99"/>
        <v>0</v>
      </c>
      <c r="CU60" s="511">
        <f t="shared" si="99"/>
        <v>0</v>
      </c>
      <c r="CV60" s="511">
        <f t="shared" si="99"/>
        <v>0</v>
      </c>
      <c r="CW60" s="511">
        <f t="shared" si="99"/>
        <v>0</v>
      </c>
      <c r="CX60" s="508">
        <f t="shared" si="100"/>
        <v>0</v>
      </c>
      <c r="CY60" s="508">
        <f t="shared" si="100"/>
        <v>0</v>
      </c>
      <c r="CZ60" s="508">
        <f t="shared" si="100"/>
        <v>0</v>
      </c>
      <c r="DA60" s="508">
        <f t="shared" si="100"/>
        <v>0</v>
      </c>
      <c r="DB60" s="508">
        <f t="shared" si="100"/>
        <v>0</v>
      </c>
      <c r="DC60" s="508">
        <f t="shared" si="100"/>
        <v>0</v>
      </c>
      <c r="DD60" s="508">
        <f t="shared" si="100"/>
        <v>0</v>
      </c>
      <c r="DE60" s="508">
        <f t="shared" si="101"/>
        <v>0</v>
      </c>
      <c r="DF60" s="508">
        <f t="shared" si="101"/>
        <v>0</v>
      </c>
      <c r="DG60" s="508">
        <f t="shared" si="101"/>
        <v>0</v>
      </c>
      <c r="DH60" s="508">
        <f t="shared" si="101"/>
        <v>0</v>
      </c>
      <c r="DI60" s="508">
        <f t="shared" si="101"/>
        <v>0</v>
      </c>
      <c r="DJ60" s="508">
        <f t="shared" si="101"/>
        <v>0</v>
      </c>
      <c r="DK60" s="508">
        <f t="shared" si="101"/>
        <v>0</v>
      </c>
      <c r="DL60" s="508">
        <f t="shared" si="102"/>
        <v>0</v>
      </c>
      <c r="DM60" s="508">
        <f t="shared" si="102"/>
        <v>0</v>
      </c>
      <c r="DN60" s="508">
        <f t="shared" si="102"/>
        <v>0</v>
      </c>
      <c r="DO60" s="508">
        <f t="shared" si="102"/>
        <v>0</v>
      </c>
      <c r="DP60" s="508">
        <f t="shared" si="102"/>
        <v>0</v>
      </c>
      <c r="DQ60" s="508">
        <f t="shared" si="102"/>
        <v>0</v>
      </c>
      <c r="DR60" s="508">
        <f t="shared" si="102"/>
        <v>0</v>
      </c>
      <c r="DS60" s="508">
        <f t="shared" si="117"/>
        <v>2294.25</v>
      </c>
      <c r="DT60" s="508">
        <f t="shared" si="117"/>
        <v>2294.25</v>
      </c>
      <c r="DU60" s="508">
        <f t="shared" si="117"/>
        <v>2294.25</v>
      </c>
      <c r="DV60" s="508">
        <f t="shared" si="117"/>
        <v>2294.25</v>
      </c>
      <c r="DW60" s="508">
        <f t="shared" si="117"/>
        <v>2294.25</v>
      </c>
      <c r="DX60" s="508">
        <f t="shared" si="103"/>
        <v>2294.25</v>
      </c>
      <c r="DY60" s="508">
        <f t="shared" si="103"/>
        <v>2294.25</v>
      </c>
      <c r="DZ60" s="511">
        <f t="shared" si="104"/>
        <v>42066.317814201357</v>
      </c>
      <c r="EA60" s="511">
        <f t="shared" si="104"/>
        <v>42066.317814201357</v>
      </c>
      <c r="EB60" s="511">
        <f t="shared" si="104"/>
        <v>42066.317814201357</v>
      </c>
      <c r="EC60" s="511">
        <f t="shared" si="104"/>
        <v>42066.317814201357</v>
      </c>
      <c r="ED60" s="511">
        <f t="shared" si="104"/>
        <v>42066.317814201357</v>
      </c>
      <c r="EE60" s="511">
        <f t="shared" si="104"/>
        <v>42066.317814201357</v>
      </c>
      <c r="EF60" s="511">
        <f t="shared" si="104"/>
        <v>42066.317814201357</v>
      </c>
      <c r="EG60" s="511">
        <f t="shared" si="105"/>
        <v>2.7992019221143343</v>
      </c>
      <c r="EH60" s="511">
        <f t="shared" si="105"/>
        <v>2.7992019221143343</v>
      </c>
      <c r="EI60" s="511">
        <f t="shared" si="105"/>
        <v>2.7992019221143343</v>
      </c>
      <c r="EJ60" s="511">
        <f t="shared" si="105"/>
        <v>2.7992019221143343</v>
      </c>
      <c r="EK60" s="511">
        <f t="shared" si="105"/>
        <v>2.7992019221143343</v>
      </c>
      <c r="EL60" s="511">
        <f t="shared" si="105"/>
        <v>2.7992019221143343</v>
      </c>
      <c r="EM60" s="511">
        <f t="shared" si="105"/>
        <v>2.7992019221143343</v>
      </c>
      <c r="EN60" s="511">
        <f t="shared" si="106"/>
        <v>0</v>
      </c>
      <c r="EO60" s="511">
        <f t="shared" si="106"/>
        <v>0</v>
      </c>
      <c r="EP60" s="511">
        <f t="shared" si="106"/>
        <v>0</v>
      </c>
      <c r="EQ60" s="511">
        <f t="shared" si="106"/>
        <v>0</v>
      </c>
      <c r="ER60" s="511">
        <f t="shared" si="106"/>
        <v>0</v>
      </c>
      <c r="ES60" s="511">
        <f t="shared" si="106"/>
        <v>0</v>
      </c>
      <c r="ET60" s="511">
        <f t="shared" si="106"/>
        <v>0</v>
      </c>
      <c r="EU60" s="777">
        <f t="shared" si="118"/>
        <v>4025</v>
      </c>
      <c r="EV60" s="728">
        <f t="shared" si="108"/>
        <v>0</v>
      </c>
      <c r="EW60" s="728">
        <f t="shared" si="109"/>
        <v>0</v>
      </c>
      <c r="EX60" s="728">
        <f t="shared" si="110"/>
        <v>0</v>
      </c>
      <c r="EY60" s="728">
        <f t="shared" si="111"/>
        <v>16059.75</v>
      </c>
      <c r="EZ60" s="777">
        <f t="shared" si="112"/>
        <v>294464.2246994095</v>
      </c>
      <c r="FA60" s="777">
        <f t="shared" si="113"/>
        <v>19.594413454800343</v>
      </c>
      <c r="FB60" s="778">
        <f t="shared" si="114"/>
        <v>0</v>
      </c>
    </row>
    <row r="61" spans="1:166" s="10" customFormat="1" ht="12.75" hidden="1" customHeight="1">
      <c r="A61" s="662" t="s">
        <v>186</v>
      </c>
      <c r="B61" s="789" t="s">
        <v>2158</v>
      </c>
      <c r="C61" s="662" t="s">
        <v>1977</v>
      </c>
      <c r="D61" s="715" t="s">
        <v>1978</v>
      </c>
      <c r="E61" s="662" t="s">
        <v>331</v>
      </c>
      <c r="F61" s="704" t="s">
        <v>372</v>
      </c>
      <c r="G61" s="707">
        <f t="shared" si="81"/>
        <v>0</v>
      </c>
      <c r="H61" s="707">
        <f t="shared" si="81"/>
        <v>0</v>
      </c>
      <c r="I61" s="707">
        <f t="shared" si="81"/>
        <v>0</v>
      </c>
      <c r="J61" s="707">
        <f t="shared" si="81"/>
        <v>0</v>
      </c>
      <c r="K61" s="707">
        <f t="shared" si="81"/>
        <v>0</v>
      </c>
      <c r="L61" s="1263" t="str">
        <f t="shared" si="81"/>
        <v>Applied Multifamily cost estimates based on program development by Franklin Energy, Feb 2017</v>
      </c>
      <c r="M61" s="707" t="str">
        <f t="shared" si="81"/>
        <v>Free</v>
      </c>
      <c r="N61" s="707">
        <f t="shared" si="81"/>
        <v>0</v>
      </c>
      <c r="O61" s="707">
        <f t="shared" si="81"/>
        <v>0</v>
      </c>
      <c r="P61" s="707">
        <f t="shared" si="81"/>
        <v>5.24</v>
      </c>
      <c r="Q61" s="1022">
        <v>205.75916322163712</v>
      </c>
      <c r="R61" s="872">
        <v>1.3691748532080987E-2</v>
      </c>
      <c r="S61" s="1022">
        <v>0</v>
      </c>
      <c r="T61" s="711" t="str">
        <f t="shared" si="115"/>
        <v>Potential Study Results: Engineering Calculation</v>
      </c>
      <c r="U61" s="712"/>
      <c r="V61" s="1124">
        <f t="shared" si="83"/>
        <v>0.14805998571768628</v>
      </c>
      <c r="W61" s="790"/>
      <c r="X61" s="790"/>
      <c r="Y61" s="790"/>
      <c r="Z61" s="790"/>
      <c r="AA61" s="790"/>
      <c r="AB61" s="790"/>
      <c r="AC61" s="781">
        <f t="shared" si="84"/>
        <v>185</v>
      </c>
      <c r="AD61" s="781">
        <f t="shared" si="84"/>
        <v>185</v>
      </c>
      <c r="AE61" s="781">
        <f t="shared" si="84"/>
        <v>185</v>
      </c>
      <c r="AF61" s="781">
        <f t="shared" si="84"/>
        <v>185</v>
      </c>
      <c r="AG61" s="781">
        <f t="shared" si="84"/>
        <v>185</v>
      </c>
      <c r="AH61" s="781">
        <f t="shared" si="85"/>
        <v>185</v>
      </c>
      <c r="AI61" s="781">
        <f t="shared" si="85"/>
        <v>185</v>
      </c>
      <c r="AJ61" s="711" t="s">
        <v>374</v>
      </c>
      <c r="AK61" s="711" t="s">
        <v>375</v>
      </c>
      <c r="AL61" s="711" t="s">
        <v>376</v>
      </c>
      <c r="AM61" s="711" t="s">
        <v>1981</v>
      </c>
      <c r="AN61" s="711" t="s">
        <v>1</v>
      </c>
      <c r="AO61" s="711" t="s">
        <v>1985</v>
      </c>
      <c r="AP61" s="711" t="s">
        <v>1977</v>
      </c>
      <c r="AQ61" s="711" t="s">
        <v>1978</v>
      </c>
      <c r="AR61" s="715" t="s">
        <v>943</v>
      </c>
      <c r="AS61" s="715" t="s">
        <v>1941</v>
      </c>
      <c r="AT61" s="715" t="s">
        <v>385</v>
      </c>
      <c r="AU61" s="711">
        <v>10</v>
      </c>
      <c r="AV61" s="711">
        <v>10</v>
      </c>
      <c r="AW61" s="711" t="s">
        <v>1983</v>
      </c>
      <c r="AX61" s="716">
        <v>1</v>
      </c>
      <c r="AY61" s="716">
        <v>1</v>
      </c>
      <c r="AZ61" s="716">
        <v>0</v>
      </c>
      <c r="BA61" s="499">
        <f t="shared" si="86"/>
        <v>0</v>
      </c>
      <c r="BB61" s="499">
        <f t="shared" si="87"/>
        <v>0</v>
      </c>
      <c r="BC61" s="499">
        <f t="shared" si="87"/>
        <v>0</v>
      </c>
      <c r="BD61" s="499">
        <f t="shared" si="87"/>
        <v>0</v>
      </c>
      <c r="BE61" s="499">
        <f t="shared" si="88"/>
        <v>0</v>
      </c>
      <c r="BF61" s="499">
        <f t="shared" si="88"/>
        <v>0</v>
      </c>
      <c r="BG61" s="499">
        <f t="shared" si="88"/>
        <v>0</v>
      </c>
      <c r="BH61" s="499">
        <f t="shared" si="89"/>
        <v>0</v>
      </c>
      <c r="BI61" s="499">
        <f t="shared" si="90"/>
        <v>0</v>
      </c>
      <c r="BJ61" s="499">
        <f t="shared" si="90"/>
        <v>0</v>
      </c>
      <c r="BK61" s="499">
        <f t="shared" si="90"/>
        <v>0</v>
      </c>
      <c r="BL61" s="499">
        <f t="shared" si="90"/>
        <v>0</v>
      </c>
      <c r="BM61" s="499">
        <f t="shared" si="90"/>
        <v>0</v>
      </c>
      <c r="BN61" s="499">
        <f t="shared" si="90"/>
        <v>0</v>
      </c>
      <c r="BO61" s="499">
        <f t="shared" si="91"/>
        <v>0</v>
      </c>
      <c r="BP61" s="499">
        <f t="shared" si="119"/>
        <v>0</v>
      </c>
      <c r="BQ61" s="499">
        <f t="shared" si="92"/>
        <v>0</v>
      </c>
      <c r="BR61" s="499">
        <f t="shared" si="92"/>
        <v>0</v>
      </c>
      <c r="BS61" s="499">
        <f t="shared" si="92"/>
        <v>0</v>
      </c>
      <c r="BT61" s="499">
        <f t="shared" si="92"/>
        <v>0</v>
      </c>
      <c r="BU61" s="499">
        <f t="shared" si="92"/>
        <v>0</v>
      </c>
      <c r="BV61" s="503">
        <f t="shared" si="116"/>
        <v>5.24</v>
      </c>
      <c r="BW61" s="503">
        <f t="shared" si="93"/>
        <v>5.24</v>
      </c>
      <c r="BX61" s="503">
        <f t="shared" si="93"/>
        <v>5.24</v>
      </c>
      <c r="BY61" s="503">
        <f t="shared" si="93"/>
        <v>5.24</v>
      </c>
      <c r="BZ61" s="503">
        <f t="shared" si="93"/>
        <v>5.24</v>
      </c>
      <c r="CA61" s="503">
        <f t="shared" si="93"/>
        <v>5.24</v>
      </c>
      <c r="CB61" s="503">
        <f t="shared" si="93"/>
        <v>5.24</v>
      </c>
      <c r="CC61" s="511">
        <f t="shared" si="94"/>
        <v>205.75916322163712</v>
      </c>
      <c r="CD61" s="511">
        <f t="shared" si="95"/>
        <v>205.75916322163712</v>
      </c>
      <c r="CE61" s="511">
        <f t="shared" si="95"/>
        <v>205.75916322163712</v>
      </c>
      <c r="CF61" s="511">
        <f t="shared" si="95"/>
        <v>205.75916322163712</v>
      </c>
      <c r="CG61" s="511">
        <f t="shared" si="95"/>
        <v>205.75916322163712</v>
      </c>
      <c r="CH61" s="511">
        <f t="shared" si="95"/>
        <v>205.75916322163712</v>
      </c>
      <c r="CI61" s="511">
        <f t="shared" si="95"/>
        <v>205.75916322163712</v>
      </c>
      <c r="CJ61" s="511">
        <f t="shared" si="96"/>
        <v>1.3691748532080987E-2</v>
      </c>
      <c r="CK61" s="511">
        <f t="shared" si="97"/>
        <v>1.3691748532080987E-2</v>
      </c>
      <c r="CL61" s="511">
        <f t="shared" si="97"/>
        <v>1.3691748532080987E-2</v>
      </c>
      <c r="CM61" s="511">
        <f t="shared" si="97"/>
        <v>1.3691748532080987E-2</v>
      </c>
      <c r="CN61" s="511">
        <f t="shared" si="97"/>
        <v>1.3691748532080987E-2</v>
      </c>
      <c r="CO61" s="511">
        <f t="shared" si="97"/>
        <v>1.3691748532080987E-2</v>
      </c>
      <c r="CP61" s="511">
        <f t="shared" si="97"/>
        <v>1.3691748532080987E-2</v>
      </c>
      <c r="CQ61" s="511">
        <f t="shared" si="98"/>
        <v>0</v>
      </c>
      <c r="CR61" s="511">
        <f t="shared" si="99"/>
        <v>0</v>
      </c>
      <c r="CS61" s="511">
        <f t="shared" si="99"/>
        <v>0</v>
      </c>
      <c r="CT61" s="511">
        <f t="shared" si="99"/>
        <v>0</v>
      </c>
      <c r="CU61" s="511">
        <f t="shared" si="99"/>
        <v>0</v>
      </c>
      <c r="CV61" s="511">
        <f t="shared" si="99"/>
        <v>0</v>
      </c>
      <c r="CW61" s="511">
        <f t="shared" si="99"/>
        <v>0</v>
      </c>
      <c r="CX61" s="508">
        <f t="shared" si="100"/>
        <v>0</v>
      </c>
      <c r="CY61" s="508">
        <f t="shared" si="100"/>
        <v>0</v>
      </c>
      <c r="CZ61" s="508">
        <f t="shared" si="100"/>
        <v>0</v>
      </c>
      <c r="DA61" s="508">
        <f t="shared" si="100"/>
        <v>0</v>
      </c>
      <c r="DB61" s="508">
        <f t="shared" si="100"/>
        <v>0</v>
      </c>
      <c r="DC61" s="508">
        <f t="shared" si="100"/>
        <v>0</v>
      </c>
      <c r="DD61" s="508">
        <f t="shared" si="100"/>
        <v>0</v>
      </c>
      <c r="DE61" s="508">
        <f t="shared" si="101"/>
        <v>0</v>
      </c>
      <c r="DF61" s="508">
        <f t="shared" si="101"/>
        <v>0</v>
      </c>
      <c r="DG61" s="508">
        <f t="shared" si="101"/>
        <v>0</v>
      </c>
      <c r="DH61" s="508">
        <f t="shared" si="101"/>
        <v>0</v>
      </c>
      <c r="DI61" s="508">
        <f t="shared" si="101"/>
        <v>0</v>
      </c>
      <c r="DJ61" s="508">
        <f t="shared" si="101"/>
        <v>0</v>
      </c>
      <c r="DK61" s="508">
        <f t="shared" si="101"/>
        <v>0</v>
      </c>
      <c r="DL61" s="508">
        <f t="shared" si="102"/>
        <v>0</v>
      </c>
      <c r="DM61" s="508">
        <f t="shared" si="102"/>
        <v>0</v>
      </c>
      <c r="DN61" s="508">
        <f t="shared" si="102"/>
        <v>0</v>
      </c>
      <c r="DO61" s="508">
        <f t="shared" si="102"/>
        <v>0</v>
      </c>
      <c r="DP61" s="508">
        <f t="shared" si="102"/>
        <v>0</v>
      </c>
      <c r="DQ61" s="508">
        <f t="shared" si="102"/>
        <v>0</v>
      </c>
      <c r="DR61" s="508">
        <f t="shared" si="102"/>
        <v>0</v>
      </c>
      <c r="DS61" s="508">
        <f t="shared" si="117"/>
        <v>969.40000000000009</v>
      </c>
      <c r="DT61" s="508">
        <f t="shared" si="117"/>
        <v>969.40000000000009</v>
      </c>
      <c r="DU61" s="508">
        <f t="shared" si="117"/>
        <v>969.40000000000009</v>
      </c>
      <c r="DV61" s="508">
        <f t="shared" si="117"/>
        <v>969.40000000000009</v>
      </c>
      <c r="DW61" s="508">
        <f t="shared" si="117"/>
        <v>969.40000000000009</v>
      </c>
      <c r="DX61" s="508">
        <f t="shared" si="103"/>
        <v>969.40000000000009</v>
      </c>
      <c r="DY61" s="508">
        <f t="shared" si="103"/>
        <v>969.40000000000009</v>
      </c>
      <c r="DZ61" s="511">
        <f t="shared" si="104"/>
        <v>38065.445196002867</v>
      </c>
      <c r="EA61" s="511">
        <f t="shared" si="104"/>
        <v>38065.445196002867</v>
      </c>
      <c r="EB61" s="511">
        <f t="shared" si="104"/>
        <v>38065.445196002867</v>
      </c>
      <c r="EC61" s="511">
        <f t="shared" si="104"/>
        <v>38065.445196002867</v>
      </c>
      <c r="ED61" s="511">
        <f t="shared" si="104"/>
        <v>38065.445196002867</v>
      </c>
      <c r="EE61" s="511">
        <f t="shared" si="104"/>
        <v>38065.445196002867</v>
      </c>
      <c r="EF61" s="511">
        <f t="shared" si="104"/>
        <v>38065.445196002867</v>
      </c>
      <c r="EG61" s="511">
        <f t="shared" si="105"/>
        <v>2.5329734784349824</v>
      </c>
      <c r="EH61" s="511">
        <f t="shared" si="105"/>
        <v>2.5329734784349824</v>
      </c>
      <c r="EI61" s="511">
        <f t="shared" si="105"/>
        <v>2.5329734784349824</v>
      </c>
      <c r="EJ61" s="511">
        <f t="shared" si="105"/>
        <v>2.5329734784349824</v>
      </c>
      <c r="EK61" s="511">
        <f t="shared" si="105"/>
        <v>2.5329734784349824</v>
      </c>
      <c r="EL61" s="511">
        <f t="shared" si="105"/>
        <v>2.5329734784349824</v>
      </c>
      <c r="EM61" s="511">
        <f t="shared" si="105"/>
        <v>2.5329734784349824</v>
      </c>
      <c r="EN61" s="511">
        <f t="shared" si="106"/>
        <v>0</v>
      </c>
      <c r="EO61" s="511">
        <f t="shared" si="106"/>
        <v>0</v>
      </c>
      <c r="EP61" s="511">
        <f t="shared" si="106"/>
        <v>0</v>
      </c>
      <c r="EQ61" s="511">
        <f t="shared" si="106"/>
        <v>0</v>
      </c>
      <c r="ER61" s="511">
        <f t="shared" si="106"/>
        <v>0</v>
      </c>
      <c r="ES61" s="511">
        <f t="shared" si="106"/>
        <v>0</v>
      </c>
      <c r="ET61" s="511">
        <f t="shared" si="106"/>
        <v>0</v>
      </c>
      <c r="EU61" s="777">
        <f t="shared" si="118"/>
        <v>1295</v>
      </c>
      <c r="EV61" s="728">
        <f t="shared" si="108"/>
        <v>0</v>
      </c>
      <c r="EW61" s="728">
        <f t="shared" si="109"/>
        <v>0</v>
      </c>
      <c r="EX61" s="728">
        <f t="shared" si="110"/>
        <v>0</v>
      </c>
      <c r="EY61" s="728">
        <f t="shared" si="111"/>
        <v>6785.7999999999993</v>
      </c>
      <c r="EZ61" s="777">
        <f t="shared" si="112"/>
        <v>266458.1163720201</v>
      </c>
      <c r="FA61" s="777">
        <f t="shared" si="113"/>
        <v>17.730814349044877</v>
      </c>
      <c r="FB61" s="778">
        <f t="shared" si="114"/>
        <v>0</v>
      </c>
    </row>
    <row r="62" spans="1:166" s="10" customFormat="1" ht="12.75" hidden="1" customHeight="1">
      <c r="A62" s="662" t="s">
        <v>187</v>
      </c>
      <c r="B62" s="789" t="s">
        <v>2159</v>
      </c>
      <c r="C62" s="662" t="s">
        <v>1986</v>
      </c>
      <c r="D62" s="715" t="s">
        <v>1987</v>
      </c>
      <c r="E62" s="662" t="s">
        <v>331</v>
      </c>
      <c r="F62" s="704" t="s">
        <v>372</v>
      </c>
      <c r="G62" s="707">
        <f t="shared" si="81"/>
        <v>0</v>
      </c>
      <c r="H62" s="707">
        <f t="shared" si="81"/>
        <v>0</v>
      </c>
      <c r="I62" s="707">
        <f t="shared" si="81"/>
        <v>0</v>
      </c>
      <c r="J62" s="707">
        <f t="shared" si="81"/>
        <v>0</v>
      </c>
      <c r="K62" s="707">
        <f t="shared" si="81"/>
        <v>0</v>
      </c>
      <c r="L62" s="1263" t="str">
        <f t="shared" si="81"/>
        <v>LG&amp;E and KU Data: 
CAC  (nonprofit): The cost for their standard 1.5 GPM is $13.72.
SEEL: The cost for their standard 1.5 GPM is $18.00.
Nexant: The cost for their standard 1.5 GPM is $6.87.</v>
      </c>
      <c r="M62" s="707" t="str">
        <f t="shared" si="81"/>
        <v>Free</v>
      </c>
      <c r="N62" s="707">
        <f t="shared" si="81"/>
        <v>0</v>
      </c>
      <c r="O62" s="707">
        <f t="shared" si="81"/>
        <v>0</v>
      </c>
      <c r="P62" s="707">
        <f t="shared" si="81"/>
        <v>12.863333333333332</v>
      </c>
      <c r="Q62" s="1022">
        <v>448.19006665355232</v>
      </c>
      <c r="R62" s="872">
        <v>2.9823729797088104E-2</v>
      </c>
      <c r="S62" s="1022">
        <v>0</v>
      </c>
      <c r="T62" s="711" t="str">
        <f t="shared" si="115"/>
        <v>Potential Study Results: Engineering Calculation</v>
      </c>
      <c r="U62" s="712"/>
      <c r="V62" s="1124">
        <f t="shared" si="83"/>
        <v>0.61235420138062369</v>
      </c>
      <c r="W62" s="790"/>
      <c r="X62" s="790"/>
      <c r="Y62" s="790"/>
      <c r="Z62" s="790"/>
      <c r="AA62" s="790"/>
      <c r="AB62" s="790"/>
      <c r="AC62" s="781">
        <f t="shared" si="84"/>
        <v>770</v>
      </c>
      <c r="AD62" s="781">
        <f t="shared" si="84"/>
        <v>770</v>
      </c>
      <c r="AE62" s="781">
        <f t="shared" si="84"/>
        <v>770</v>
      </c>
      <c r="AF62" s="781">
        <f t="shared" si="84"/>
        <v>770</v>
      </c>
      <c r="AG62" s="781">
        <f t="shared" si="84"/>
        <v>770</v>
      </c>
      <c r="AH62" s="781">
        <f t="shared" si="85"/>
        <v>770</v>
      </c>
      <c r="AI62" s="781">
        <f t="shared" si="85"/>
        <v>770</v>
      </c>
      <c r="AJ62" s="711" t="s">
        <v>374</v>
      </c>
      <c r="AK62" s="711" t="s">
        <v>375</v>
      </c>
      <c r="AL62" s="711" t="s">
        <v>376</v>
      </c>
      <c r="AM62" s="711" t="s">
        <v>1981</v>
      </c>
      <c r="AN62" s="711" t="s">
        <v>1</v>
      </c>
      <c r="AO62" s="711" t="s">
        <v>1989</v>
      </c>
      <c r="AP62" s="711" t="s">
        <v>1986</v>
      </c>
      <c r="AQ62" s="711" t="s">
        <v>1987</v>
      </c>
      <c r="AR62" s="715" t="s">
        <v>943</v>
      </c>
      <c r="AS62" s="715" t="s">
        <v>1941</v>
      </c>
      <c r="AT62" s="715" t="s">
        <v>385</v>
      </c>
      <c r="AU62" s="711">
        <v>10</v>
      </c>
      <c r="AV62" s="711">
        <v>10</v>
      </c>
      <c r="AW62" s="711" t="s">
        <v>1990</v>
      </c>
      <c r="AX62" s="716">
        <v>1</v>
      </c>
      <c r="AY62" s="716">
        <v>1</v>
      </c>
      <c r="AZ62" s="716">
        <v>0</v>
      </c>
      <c r="BA62" s="499">
        <f t="shared" si="86"/>
        <v>0</v>
      </c>
      <c r="BB62" s="499">
        <f t="shared" si="87"/>
        <v>0</v>
      </c>
      <c r="BC62" s="499">
        <f t="shared" si="87"/>
        <v>0</v>
      </c>
      <c r="BD62" s="499">
        <f t="shared" si="87"/>
        <v>0</v>
      </c>
      <c r="BE62" s="499">
        <f t="shared" si="88"/>
        <v>0</v>
      </c>
      <c r="BF62" s="499">
        <f t="shared" si="88"/>
        <v>0</v>
      </c>
      <c r="BG62" s="499">
        <f t="shared" si="88"/>
        <v>0</v>
      </c>
      <c r="BH62" s="499">
        <f t="shared" si="89"/>
        <v>0</v>
      </c>
      <c r="BI62" s="499">
        <f t="shared" si="90"/>
        <v>0</v>
      </c>
      <c r="BJ62" s="499">
        <f t="shared" si="90"/>
        <v>0</v>
      </c>
      <c r="BK62" s="499">
        <f t="shared" si="90"/>
        <v>0</v>
      </c>
      <c r="BL62" s="499">
        <f t="shared" si="90"/>
        <v>0</v>
      </c>
      <c r="BM62" s="499">
        <f t="shared" si="90"/>
        <v>0</v>
      </c>
      <c r="BN62" s="499">
        <f t="shared" si="90"/>
        <v>0</v>
      </c>
      <c r="BO62" s="499">
        <f t="shared" si="91"/>
        <v>0</v>
      </c>
      <c r="BP62" s="499">
        <f t="shared" si="119"/>
        <v>0</v>
      </c>
      <c r="BQ62" s="499">
        <f t="shared" si="92"/>
        <v>0</v>
      </c>
      <c r="BR62" s="499">
        <f t="shared" si="92"/>
        <v>0</v>
      </c>
      <c r="BS62" s="499">
        <f t="shared" si="92"/>
        <v>0</v>
      </c>
      <c r="BT62" s="499">
        <f t="shared" si="92"/>
        <v>0</v>
      </c>
      <c r="BU62" s="499">
        <f t="shared" si="92"/>
        <v>0</v>
      </c>
      <c r="BV62" s="503">
        <f t="shared" si="116"/>
        <v>12.863333333333332</v>
      </c>
      <c r="BW62" s="503">
        <f t="shared" si="93"/>
        <v>12.863333333333332</v>
      </c>
      <c r="BX62" s="503">
        <f t="shared" si="93"/>
        <v>12.863333333333332</v>
      </c>
      <c r="BY62" s="503">
        <f t="shared" si="93"/>
        <v>12.863333333333332</v>
      </c>
      <c r="BZ62" s="503">
        <f t="shared" si="93"/>
        <v>12.863333333333332</v>
      </c>
      <c r="CA62" s="503">
        <f t="shared" si="93"/>
        <v>12.863333333333332</v>
      </c>
      <c r="CB62" s="503">
        <f t="shared" si="93"/>
        <v>12.863333333333332</v>
      </c>
      <c r="CC62" s="511">
        <f t="shared" si="94"/>
        <v>448.19006665355232</v>
      </c>
      <c r="CD62" s="511">
        <f t="shared" si="95"/>
        <v>448.19006665355232</v>
      </c>
      <c r="CE62" s="511">
        <f t="shared" si="95"/>
        <v>448.19006665355232</v>
      </c>
      <c r="CF62" s="511">
        <f t="shared" si="95"/>
        <v>448.19006665355232</v>
      </c>
      <c r="CG62" s="511">
        <f t="shared" si="95"/>
        <v>448.19006665355232</v>
      </c>
      <c r="CH62" s="511">
        <f t="shared" si="95"/>
        <v>448.19006665355232</v>
      </c>
      <c r="CI62" s="511">
        <f t="shared" si="95"/>
        <v>448.19006665355232</v>
      </c>
      <c r="CJ62" s="511">
        <f t="shared" si="96"/>
        <v>2.9823729797088104E-2</v>
      </c>
      <c r="CK62" s="511">
        <f t="shared" si="97"/>
        <v>2.9823729797088104E-2</v>
      </c>
      <c r="CL62" s="511">
        <f t="shared" si="97"/>
        <v>2.9823729797088104E-2</v>
      </c>
      <c r="CM62" s="511">
        <f t="shared" si="97"/>
        <v>2.9823729797088104E-2</v>
      </c>
      <c r="CN62" s="511">
        <f t="shared" si="97"/>
        <v>2.9823729797088104E-2</v>
      </c>
      <c r="CO62" s="511">
        <f t="shared" si="97"/>
        <v>2.9823729797088104E-2</v>
      </c>
      <c r="CP62" s="511">
        <f t="shared" si="97"/>
        <v>2.9823729797088104E-2</v>
      </c>
      <c r="CQ62" s="511">
        <f t="shared" si="98"/>
        <v>0</v>
      </c>
      <c r="CR62" s="511">
        <f t="shared" si="99"/>
        <v>0</v>
      </c>
      <c r="CS62" s="511">
        <f t="shared" si="99"/>
        <v>0</v>
      </c>
      <c r="CT62" s="511">
        <f t="shared" si="99"/>
        <v>0</v>
      </c>
      <c r="CU62" s="511">
        <f t="shared" si="99"/>
        <v>0</v>
      </c>
      <c r="CV62" s="511">
        <f t="shared" si="99"/>
        <v>0</v>
      </c>
      <c r="CW62" s="511">
        <f t="shared" si="99"/>
        <v>0</v>
      </c>
      <c r="CX62" s="508">
        <f t="shared" si="100"/>
        <v>0</v>
      </c>
      <c r="CY62" s="508">
        <f t="shared" si="100"/>
        <v>0</v>
      </c>
      <c r="CZ62" s="508">
        <f t="shared" si="100"/>
        <v>0</v>
      </c>
      <c r="DA62" s="508">
        <f t="shared" si="100"/>
        <v>0</v>
      </c>
      <c r="DB62" s="508">
        <f t="shared" si="100"/>
        <v>0</v>
      </c>
      <c r="DC62" s="508">
        <f t="shared" si="100"/>
        <v>0</v>
      </c>
      <c r="DD62" s="508">
        <f t="shared" si="100"/>
        <v>0</v>
      </c>
      <c r="DE62" s="508">
        <f t="shared" si="101"/>
        <v>0</v>
      </c>
      <c r="DF62" s="508">
        <f t="shared" si="101"/>
        <v>0</v>
      </c>
      <c r="DG62" s="508">
        <f t="shared" si="101"/>
        <v>0</v>
      </c>
      <c r="DH62" s="508">
        <f t="shared" si="101"/>
        <v>0</v>
      </c>
      <c r="DI62" s="508">
        <f t="shared" si="101"/>
        <v>0</v>
      </c>
      <c r="DJ62" s="508">
        <f t="shared" si="101"/>
        <v>0</v>
      </c>
      <c r="DK62" s="508">
        <f t="shared" si="101"/>
        <v>0</v>
      </c>
      <c r="DL62" s="508">
        <f t="shared" si="102"/>
        <v>0</v>
      </c>
      <c r="DM62" s="508">
        <f t="shared" si="102"/>
        <v>0</v>
      </c>
      <c r="DN62" s="508">
        <f t="shared" si="102"/>
        <v>0</v>
      </c>
      <c r="DO62" s="508">
        <f t="shared" si="102"/>
        <v>0</v>
      </c>
      <c r="DP62" s="508">
        <f t="shared" si="102"/>
        <v>0</v>
      </c>
      <c r="DQ62" s="508">
        <f t="shared" si="102"/>
        <v>0</v>
      </c>
      <c r="DR62" s="508">
        <f t="shared" si="102"/>
        <v>0</v>
      </c>
      <c r="DS62" s="508">
        <f t="shared" si="117"/>
        <v>9904.7666666666646</v>
      </c>
      <c r="DT62" s="508">
        <f t="shared" si="117"/>
        <v>9904.7666666666646</v>
      </c>
      <c r="DU62" s="508">
        <f t="shared" si="117"/>
        <v>9904.7666666666646</v>
      </c>
      <c r="DV62" s="508">
        <f t="shared" si="117"/>
        <v>9904.7666666666646</v>
      </c>
      <c r="DW62" s="508">
        <f t="shared" si="117"/>
        <v>9904.7666666666646</v>
      </c>
      <c r="DX62" s="508">
        <f t="shared" si="103"/>
        <v>9904.7666666666646</v>
      </c>
      <c r="DY62" s="508">
        <f t="shared" si="103"/>
        <v>9904.7666666666646</v>
      </c>
      <c r="DZ62" s="511">
        <f t="shared" si="104"/>
        <v>345106.35132323531</v>
      </c>
      <c r="EA62" s="511">
        <f t="shared" si="104"/>
        <v>345106.35132323531</v>
      </c>
      <c r="EB62" s="511">
        <f t="shared" si="104"/>
        <v>345106.35132323531</v>
      </c>
      <c r="EC62" s="511">
        <f t="shared" si="104"/>
        <v>345106.35132323531</v>
      </c>
      <c r="ED62" s="511">
        <f t="shared" si="104"/>
        <v>345106.35132323531</v>
      </c>
      <c r="EE62" s="511">
        <f t="shared" si="104"/>
        <v>345106.35132323531</v>
      </c>
      <c r="EF62" s="511">
        <f t="shared" si="104"/>
        <v>345106.35132323531</v>
      </c>
      <c r="EG62" s="511">
        <f t="shared" si="105"/>
        <v>22.96427194375784</v>
      </c>
      <c r="EH62" s="511">
        <f t="shared" si="105"/>
        <v>22.96427194375784</v>
      </c>
      <c r="EI62" s="511">
        <f t="shared" si="105"/>
        <v>22.96427194375784</v>
      </c>
      <c r="EJ62" s="511">
        <f t="shared" si="105"/>
        <v>22.96427194375784</v>
      </c>
      <c r="EK62" s="511">
        <f t="shared" si="105"/>
        <v>22.96427194375784</v>
      </c>
      <c r="EL62" s="511">
        <f t="shared" si="105"/>
        <v>22.96427194375784</v>
      </c>
      <c r="EM62" s="511">
        <f t="shared" si="105"/>
        <v>22.96427194375784</v>
      </c>
      <c r="EN62" s="511">
        <f t="shared" si="106"/>
        <v>0</v>
      </c>
      <c r="EO62" s="511">
        <f t="shared" si="106"/>
        <v>0</v>
      </c>
      <c r="EP62" s="511">
        <f t="shared" si="106"/>
        <v>0</v>
      </c>
      <c r="EQ62" s="511">
        <f t="shared" si="106"/>
        <v>0</v>
      </c>
      <c r="ER62" s="511">
        <f t="shared" si="106"/>
        <v>0</v>
      </c>
      <c r="ES62" s="511">
        <f t="shared" si="106"/>
        <v>0</v>
      </c>
      <c r="ET62" s="511">
        <f t="shared" si="106"/>
        <v>0</v>
      </c>
      <c r="EU62" s="777">
        <f t="shared" si="118"/>
        <v>5390</v>
      </c>
      <c r="EV62" s="728">
        <f t="shared" si="108"/>
        <v>0</v>
      </c>
      <c r="EW62" s="728">
        <f t="shared" si="109"/>
        <v>0</v>
      </c>
      <c r="EX62" s="728">
        <f t="shared" si="110"/>
        <v>0</v>
      </c>
      <c r="EY62" s="728">
        <f t="shared" si="111"/>
        <v>69333.366666666654</v>
      </c>
      <c r="EZ62" s="777">
        <f t="shared" si="112"/>
        <v>2415744.4592626472</v>
      </c>
      <c r="FA62" s="777">
        <f t="shared" si="113"/>
        <v>160.74990360630488</v>
      </c>
      <c r="FB62" s="778">
        <f t="shared" si="114"/>
        <v>0</v>
      </c>
    </row>
    <row r="63" spans="1:166" s="10" customFormat="1" ht="12.75" hidden="1" customHeight="1">
      <c r="A63" s="662" t="s">
        <v>188</v>
      </c>
      <c r="B63" s="789" t="s">
        <v>2160</v>
      </c>
      <c r="C63" s="662" t="s">
        <v>1991</v>
      </c>
      <c r="D63" s="715" t="s">
        <v>1992</v>
      </c>
      <c r="E63" s="662" t="s">
        <v>331</v>
      </c>
      <c r="F63" s="704" t="s">
        <v>372</v>
      </c>
      <c r="G63" s="707">
        <f t="shared" si="81"/>
        <v>0</v>
      </c>
      <c r="H63" s="707">
        <f t="shared" si="81"/>
        <v>0</v>
      </c>
      <c r="I63" s="707">
        <f t="shared" si="81"/>
        <v>0</v>
      </c>
      <c r="J63" s="707">
        <f t="shared" si="81"/>
        <v>0</v>
      </c>
      <c r="K63" s="707">
        <f t="shared" si="81"/>
        <v>0</v>
      </c>
      <c r="L63" s="1263" t="str">
        <f t="shared" si="81"/>
        <v>RSMeans Online; Louisville ,KY; Polyethylene closed cell foam tubing for a 3/4" iron pipe size assumed - Accessed 06/08/2016</v>
      </c>
      <c r="M63" s="707" t="str">
        <f t="shared" si="81"/>
        <v>Free</v>
      </c>
      <c r="N63" s="707">
        <f t="shared" si="81"/>
        <v>0</v>
      </c>
      <c r="O63" s="707">
        <f t="shared" si="81"/>
        <v>0</v>
      </c>
      <c r="P63" s="707">
        <f t="shared" si="81"/>
        <v>9.9</v>
      </c>
      <c r="Q63" s="1022">
        <v>53.333333333333336</v>
      </c>
      <c r="R63" s="872">
        <v>3.5489383653406295E-3</v>
      </c>
      <c r="S63" s="1022">
        <v>0</v>
      </c>
      <c r="T63" s="711" t="str">
        <f t="shared" si="115"/>
        <v>Potential Study Results: Engineering Calculation and 5th Power Plan</v>
      </c>
      <c r="U63" s="712"/>
      <c r="V63" s="1124">
        <f t="shared" si="83"/>
        <v>0.17769578671744823</v>
      </c>
      <c r="W63" s="790"/>
      <c r="X63" s="790"/>
      <c r="Y63" s="790"/>
      <c r="Z63" s="790"/>
      <c r="AA63" s="790"/>
      <c r="AB63" s="790"/>
      <c r="AC63" s="781">
        <f t="shared" si="84"/>
        <v>225</v>
      </c>
      <c r="AD63" s="781">
        <f t="shared" si="84"/>
        <v>225</v>
      </c>
      <c r="AE63" s="781">
        <f t="shared" si="84"/>
        <v>225</v>
      </c>
      <c r="AF63" s="781">
        <f t="shared" si="84"/>
        <v>225</v>
      </c>
      <c r="AG63" s="781">
        <f t="shared" si="84"/>
        <v>225</v>
      </c>
      <c r="AH63" s="781">
        <f t="shared" si="85"/>
        <v>225</v>
      </c>
      <c r="AI63" s="781">
        <f t="shared" si="85"/>
        <v>225</v>
      </c>
      <c r="AJ63" s="711" t="s">
        <v>374</v>
      </c>
      <c r="AK63" s="711" t="s">
        <v>375</v>
      </c>
      <c r="AL63" s="711" t="s">
        <v>376</v>
      </c>
      <c r="AM63" s="711" t="s">
        <v>1981</v>
      </c>
      <c r="AN63" s="711" t="s">
        <v>1</v>
      </c>
      <c r="AO63" s="711" t="s">
        <v>1995</v>
      </c>
      <c r="AP63" s="711" t="s">
        <v>1991</v>
      </c>
      <c r="AQ63" s="711" t="s">
        <v>1992</v>
      </c>
      <c r="AR63" s="715" t="s">
        <v>943</v>
      </c>
      <c r="AS63" s="715" t="s">
        <v>1941</v>
      </c>
      <c r="AT63" s="715" t="s">
        <v>385</v>
      </c>
      <c r="AU63" s="711">
        <v>13</v>
      </c>
      <c r="AV63" s="711">
        <v>13</v>
      </c>
      <c r="AW63" s="711" t="s">
        <v>1996</v>
      </c>
      <c r="AX63" s="716">
        <v>1</v>
      </c>
      <c r="AY63" s="716">
        <v>1</v>
      </c>
      <c r="AZ63" s="716">
        <v>0</v>
      </c>
      <c r="BA63" s="499">
        <f t="shared" si="86"/>
        <v>0</v>
      </c>
      <c r="BB63" s="499">
        <f t="shared" si="87"/>
        <v>0</v>
      </c>
      <c r="BC63" s="499">
        <f t="shared" si="87"/>
        <v>0</v>
      </c>
      <c r="BD63" s="499">
        <f t="shared" si="87"/>
        <v>0</v>
      </c>
      <c r="BE63" s="499">
        <f t="shared" si="88"/>
        <v>0</v>
      </c>
      <c r="BF63" s="499">
        <f t="shared" si="88"/>
        <v>0</v>
      </c>
      <c r="BG63" s="499">
        <f t="shared" si="88"/>
        <v>0</v>
      </c>
      <c r="BH63" s="499">
        <f t="shared" si="89"/>
        <v>0</v>
      </c>
      <c r="BI63" s="499">
        <f t="shared" si="90"/>
        <v>0</v>
      </c>
      <c r="BJ63" s="499">
        <f t="shared" si="90"/>
        <v>0</v>
      </c>
      <c r="BK63" s="499">
        <f t="shared" si="90"/>
        <v>0</v>
      </c>
      <c r="BL63" s="499">
        <f t="shared" si="90"/>
        <v>0</v>
      </c>
      <c r="BM63" s="499">
        <f t="shared" si="90"/>
        <v>0</v>
      </c>
      <c r="BN63" s="499">
        <f t="shared" si="90"/>
        <v>0</v>
      </c>
      <c r="BO63" s="499">
        <f t="shared" si="91"/>
        <v>0</v>
      </c>
      <c r="BP63" s="499">
        <f t="shared" si="119"/>
        <v>0</v>
      </c>
      <c r="BQ63" s="499">
        <f t="shared" si="92"/>
        <v>0</v>
      </c>
      <c r="BR63" s="499">
        <f t="shared" si="92"/>
        <v>0</v>
      </c>
      <c r="BS63" s="499">
        <f t="shared" si="92"/>
        <v>0</v>
      </c>
      <c r="BT63" s="499">
        <f t="shared" si="92"/>
        <v>0</v>
      </c>
      <c r="BU63" s="499">
        <f t="shared" si="92"/>
        <v>0</v>
      </c>
      <c r="BV63" s="503">
        <f t="shared" si="116"/>
        <v>9.9</v>
      </c>
      <c r="BW63" s="503">
        <f t="shared" si="93"/>
        <v>9.9</v>
      </c>
      <c r="BX63" s="503">
        <f t="shared" si="93"/>
        <v>9.9</v>
      </c>
      <c r="BY63" s="503">
        <f t="shared" si="93"/>
        <v>9.9</v>
      </c>
      <c r="BZ63" s="503">
        <f t="shared" si="93"/>
        <v>9.9</v>
      </c>
      <c r="CA63" s="503">
        <f t="shared" si="93"/>
        <v>9.9</v>
      </c>
      <c r="CB63" s="503">
        <f t="shared" si="93"/>
        <v>9.9</v>
      </c>
      <c r="CC63" s="511">
        <f t="shared" si="94"/>
        <v>53.333333333333336</v>
      </c>
      <c r="CD63" s="511">
        <f t="shared" si="95"/>
        <v>53.333333333333336</v>
      </c>
      <c r="CE63" s="511">
        <f t="shared" si="95"/>
        <v>53.333333333333336</v>
      </c>
      <c r="CF63" s="511">
        <f t="shared" si="95"/>
        <v>53.333333333333336</v>
      </c>
      <c r="CG63" s="511">
        <f t="shared" si="95"/>
        <v>53.333333333333336</v>
      </c>
      <c r="CH63" s="511">
        <f t="shared" si="95"/>
        <v>53.333333333333336</v>
      </c>
      <c r="CI63" s="511">
        <f t="shared" si="95"/>
        <v>53.333333333333336</v>
      </c>
      <c r="CJ63" s="511">
        <f t="shared" si="96"/>
        <v>3.5489383653406295E-3</v>
      </c>
      <c r="CK63" s="511">
        <f t="shared" si="97"/>
        <v>3.5489383653406295E-3</v>
      </c>
      <c r="CL63" s="511">
        <f t="shared" si="97"/>
        <v>3.5489383653406295E-3</v>
      </c>
      <c r="CM63" s="511">
        <f t="shared" si="97"/>
        <v>3.5489383653406295E-3</v>
      </c>
      <c r="CN63" s="511">
        <f t="shared" si="97"/>
        <v>3.5489383653406295E-3</v>
      </c>
      <c r="CO63" s="511">
        <f t="shared" si="97"/>
        <v>3.5489383653406295E-3</v>
      </c>
      <c r="CP63" s="511">
        <f t="shared" si="97"/>
        <v>3.5489383653406295E-3</v>
      </c>
      <c r="CQ63" s="511">
        <f t="shared" si="98"/>
        <v>0</v>
      </c>
      <c r="CR63" s="511">
        <f t="shared" si="99"/>
        <v>0</v>
      </c>
      <c r="CS63" s="511">
        <f t="shared" si="99"/>
        <v>0</v>
      </c>
      <c r="CT63" s="511">
        <f t="shared" si="99"/>
        <v>0</v>
      </c>
      <c r="CU63" s="511">
        <f t="shared" si="99"/>
        <v>0</v>
      </c>
      <c r="CV63" s="511">
        <f t="shared" si="99"/>
        <v>0</v>
      </c>
      <c r="CW63" s="511">
        <f t="shared" si="99"/>
        <v>0</v>
      </c>
      <c r="CX63" s="508">
        <f t="shared" si="100"/>
        <v>0</v>
      </c>
      <c r="CY63" s="508">
        <f t="shared" si="100"/>
        <v>0</v>
      </c>
      <c r="CZ63" s="508">
        <f t="shared" si="100"/>
        <v>0</v>
      </c>
      <c r="DA63" s="508">
        <f t="shared" si="100"/>
        <v>0</v>
      </c>
      <c r="DB63" s="508">
        <f t="shared" si="100"/>
        <v>0</v>
      </c>
      <c r="DC63" s="508">
        <f t="shared" si="100"/>
        <v>0</v>
      </c>
      <c r="DD63" s="508">
        <f t="shared" si="100"/>
        <v>0</v>
      </c>
      <c r="DE63" s="508">
        <f t="shared" si="101"/>
        <v>0</v>
      </c>
      <c r="DF63" s="508">
        <f t="shared" si="101"/>
        <v>0</v>
      </c>
      <c r="DG63" s="508">
        <f t="shared" si="101"/>
        <v>0</v>
      </c>
      <c r="DH63" s="508">
        <f t="shared" si="101"/>
        <v>0</v>
      </c>
      <c r="DI63" s="508">
        <f t="shared" si="101"/>
        <v>0</v>
      </c>
      <c r="DJ63" s="508">
        <f t="shared" si="101"/>
        <v>0</v>
      </c>
      <c r="DK63" s="508">
        <f t="shared" si="101"/>
        <v>0</v>
      </c>
      <c r="DL63" s="508">
        <f t="shared" si="102"/>
        <v>0</v>
      </c>
      <c r="DM63" s="508">
        <f t="shared" si="102"/>
        <v>0</v>
      </c>
      <c r="DN63" s="508">
        <f t="shared" si="102"/>
        <v>0</v>
      </c>
      <c r="DO63" s="508">
        <f t="shared" si="102"/>
        <v>0</v>
      </c>
      <c r="DP63" s="508">
        <f t="shared" si="102"/>
        <v>0</v>
      </c>
      <c r="DQ63" s="508">
        <f t="shared" si="102"/>
        <v>0</v>
      </c>
      <c r="DR63" s="508">
        <f t="shared" si="102"/>
        <v>0</v>
      </c>
      <c r="DS63" s="508">
        <f t="shared" si="117"/>
        <v>2227.5</v>
      </c>
      <c r="DT63" s="508">
        <f t="shared" si="117"/>
        <v>2227.5</v>
      </c>
      <c r="DU63" s="508">
        <f t="shared" si="117"/>
        <v>2227.5</v>
      </c>
      <c r="DV63" s="508">
        <f t="shared" si="117"/>
        <v>2227.5</v>
      </c>
      <c r="DW63" s="508">
        <f t="shared" si="117"/>
        <v>2227.5</v>
      </c>
      <c r="DX63" s="508">
        <f t="shared" si="103"/>
        <v>2227.5</v>
      </c>
      <c r="DY63" s="508">
        <f t="shared" si="103"/>
        <v>2227.5</v>
      </c>
      <c r="DZ63" s="511">
        <f t="shared" si="104"/>
        <v>12000</v>
      </c>
      <c r="EA63" s="511">
        <f t="shared" si="104"/>
        <v>12000</v>
      </c>
      <c r="EB63" s="511">
        <f t="shared" si="104"/>
        <v>12000</v>
      </c>
      <c r="EC63" s="511">
        <f t="shared" si="104"/>
        <v>12000</v>
      </c>
      <c r="ED63" s="511">
        <f t="shared" si="104"/>
        <v>12000</v>
      </c>
      <c r="EE63" s="511">
        <f t="shared" si="104"/>
        <v>12000</v>
      </c>
      <c r="EF63" s="511">
        <f t="shared" si="104"/>
        <v>12000</v>
      </c>
      <c r="EG63" s="511">
        <f t="shared" si="105"/>
        <v>0.7985111322016416</v>
      </c>
      <c r="EH63" s="511">
        <f t="shared" si="105"/>
        <v>0.7985111322016416</v>
      </c>
      <c r="EI63" s="511">
        <f t="shared" si="105"/>
        <v>0.7985111322016416</v>
      </c>
      <c r="EJ63" s="511">
        <f t="shared" si="105"/>
        <v>0.7985111322016416</v>
      </c>
      <c r="EK63" s="511">
        <f t="shared" si="105"/>
        <v>0.7985111322016416</v>
      </c>
      <c r="EL63" s="511">
        <f t="shared" si="105"/>
        <v>0.7985111322016416</v>
      </c>
      <c r="EM63" s="511">
        <f t="shared" si="105"/>
        <v>0.7985111322016416</v>
      </c>
      <c r="EN63" s="511">
        <f t="shared" si="106"/>
        <v>0</v>
      </c>
      <c r="EO63" s="511">
        <f t="shared" si="106"/>
        <v>0</v>
      </c>
      <c r="EP63" s="511">
        <f t="shared" si="106"/>
        <v>0</v>
      </c>
      <c r="EQ63" s="511">
        <f t="shared" si="106"/>
        <v>0</v>
      </c>
      <c r="ER63" s="511">
        <f t="shared" si="106"/>
        <v>0</v>
      </c>
      <c r="ES63" s="511">
        <f t="shared" si="106"/>
        <v>0</v>
      </c>
      <c r="ET63" s="511">
        <f t="shared" si="106"/>
        <v>0</v>
      </c>
      <c r="EU63" s="777">
        <f t="shared" si="118"/>
        <v>1575</v>
      </c>
      <c r="EV63" s="728">
        <f t="shared" si="108"/>
        <v>0</v>
      </c>
      <c r="EW63" s="728">
        <f t="shared" si="109"/>
        <v>0</v>
      </c>
      <c r="EX63" s="728">
        <f t="shared" si="110"/>
        <v>0</v>
      </c>
      <c r="EY63" s="728">
        <f t="shared" si="111"/>
        <v>15592.5</v>
      </c>
      <c r="EZ63" s="777">
        <f t="shared" si="112"/>
        <v>84000</v>
      </c>
      <c r="FA63" s="777">
        <f t="shared" si="113"/>
        <v>5.5895779254114917</v>
      </c>
      <c r="FB63" s="778">
        <f t="shared" si="114"/>
        <v>0</v>
      </c>
    </row>
    <row r="64" spans="1:166" s="10" customFormat="1" ht="12.75" hidden="1" customHeight="1">
      <c r="A64" s="662" t="s">
        <v>189</v>
      </c>
      <c r="B64" s="789" t="s">
        <v>2161</v>
      </c>
      <c r="C64" s="662" t="s">
        <v>1998</v>
      </c>
      <c r="D64" s="715" t="s">
        <v>1999</v>
      </c>
      <c r="E64" s="662" t="s">
        <v>331</v>
      </c>
      <c r="F64" s="704" t="s">
        <v>372</v>
      </c>
      <c r="G64" s="707">
        <f t="shared" si="81"/>
        <v>0</v>
      </c>
      <c r="H64" s="707">
        <f t="shared" si="81"/>
        <v>0</v>
      </c>
      <c r="I64" s="707">
        <f t="shared" si="81"/>
        <v>0</v>
      </c>
      <c r="J64" s="707">
        <f t="shared" si="81"/>
        <v>0</v>
      </c>
      <c r="K64" s="707">
        <f t="shared" si="81"/>
        <v>0</v>
      </c>
      <c r="L64" s="1263" t="str">
        <f t="shared" si="81"/>
        <v>Company cost estimates based on program estimates</v>
      </c>
      <c r="M64" s="707" t="str">
        <f t="shared" si="81"/>
        <v>Free</v>
      </c>
      <c r="N64" s="707">
        <f t="shared" si="81"/>
        <v>0</v>
      </c>
      <c r="O64" s="707">
        <f t="shared" si="81"/>
        <v>0</v>
      </c>
      <c r="P64" s="707">
        <f t="shared" si="81"/>
        <v>30</v>
      </c>
      <c r="Q64" s="1022">
        <f>O168</f>
        <v>106.30593020921889</v>
      </c>
      <c r="R64" s="872">
        <v>0</v>
      </c>
      <c r="S64" s="1022">
        <f>Q175</f>
        <v>0</v>
      </c>
      <c r="T64" s="711" t="str">
        <f t="shared" si="115"/>
        <v>Potential Study Results: Pennsylvania 2017 TRM Protocol for Smart Thermostats; based on numerous recent evaluations and studies. Assuming installation of thermostat by consumer.</v>
      </c>
      <c r="U64" s="712"/>
      <c r="V64" s="1124">
        <f t="shared" si="83"/>
        <v>9.8786003332539864E-3</v>
      </c>
      <c r="W64" s="790"/>
      <c r="X64" s="790"/>
      <c r="Y64" s="790"/>
      <c r="Z64" s="790"/>
      <c r="AA64" s="790"/>
      <c r="AB64" s="790"/>
      <c r="AC64" s="781">
        <f t="shared" si="84"/>
        <v>10</v>
      </c>
      <c r="AD64" s="781">
        <f t="shared" si="84"/>
        <v>10</v>
      </c>
      <c r="AE64" s="781">
        <f t="shared" si="84"/>
        <v>10</v>
      </c>
      <c r="AF64" s="781">
        <f t="shared" si="84"/>
        <v>10</v>
      </c>
      <c r="AG64" s="781">
        <f t="shared" si="84"/>
        <v>10</v>
      </c>
      <c r="AH64" s="781">
        <f t="shared" si="85"/>
        <v>10</v>
      </c>
      <c r="AI64" s="781">
        <f t="shared" si="85"/>
        <v>10</v>
      </c>
      <c r="AJ64" s="711" t="s">
        <v>374</v>
      </c>
      <c r="AK64" s="711" t="s">
        <v>375</v>
      </c>
      <c r="AL64" s="711" t="s">
        <v>376</v>
      </c>
      <c r="AM64" s="711" t="s">
        <v>2002</v>
      </c>
      <c r="AN64" s="711" t="s">
        <v>1</v>
      </c>
      <c r="AO64" s="711" t="s">
        <v>1998</v>
      </c>
      <c r="AP64" s="711" t="s">
        <v>1998</v>
      </c>
      <c r="AQ64" s="711" t="s">
        <v>1999</v>
      </c>
      <c r="AR64" s="715" t="s">
        <v>406</v>
      </c>
      <c r="AS64" s="715" t="s">
        <v>407</v>
      </c>
      <c r="AT64" s="715" t="s">
        <v>385</v>
      </c>
      <c r="AU64" s="711">
        <v>11</v>
      </c>
      <c r="AV64" s="711">
        <v>11</v>
      </c>
      <c r="AW64" s="711" t="s">
        <v>2003</v>
      </c>
      <c r="AX64" s="716">
        <v>1</v>
      </c>
      <c r="AY64" s="716">
        <v>1</v>
      </c>
      <c r="AZ64" s="716">
        <v>0</v>
      </c>
      <c r="BA64" s="499">
        <f t="shared" si="86"/>
        <v>0</v>
      </c>
      <c r="BB64" s="499">
        <f t="shared" si="87"/>
        <v>0</v>
      </c>
      <c r="BC64" s="499">
        <f t="shared" si="87"/>
        <v>0</v>
      </c>
      <c r="BD64" s="499">
        <f t="shared" si="87"/>
        <v>0</v>
      </c>
      <c r="BE64" s="499">
        <f t="shared" si="88"/>
        <v>0</v>
      </c>
      <c r="BF64" s="499">
        <f t="shared" si="88"/>
        <v>0</v>
      </c>
      <c r="BG64" s="499">
        <f t="shared" si="88"/>
        <v>0</v>
      </c>
      <c r="BH64" s="499">
        <f t="shared" si="89"/>
        <v>0</v>
      </c>
      <c r="BI64" s="499">
        <f t="shared" si="90"/>
        <v>0</v>
      </c>
      <c r="BJ64" s="499">
        <f t="shared" si="90"/>
        <v>0</v>
      </c>
      <c r="BK64" s="499">
        <f t="shared" si="90"/>
        <v>0</v>
      </c>
      <c r="BL64" s="499">
        <f t="shared" si="90"/>
        <v>0</v>
      </c>
      <c r="BM64" s="499">
        <f t="shared" si="90"/>
        <v>0</v>
      </c>
      <c r="BN64" s="499">
        <f t="shared" si="90"/>
        <v>0</v>
      </c>
      <c r="BO64" s="499">
        <f t="shared" si="91"/>
        <v>0</v>
      </c>
      <c r="BP64" s="499">
        <f t="shared" si="119"/>
        <v>0</v>
      </c>
      <c r="BQ64" s="499">
        <f t="shared" si="92"/>
        <v>0</v>
      </c>
      <c r="BR64" s="499">
        <f t="shared" si="92"/>
        <v>0</v>
      </c>
      <c r="BS64" s="499">
        <f t="shared" si="92"/>
        <v>0</v>
      </c>
      <c r="BT64" s="499">
        <f t="shared" si="92"/>
        <v>0</v>
      </c>
      <c r="BU64" s="499">
        <f t="shared" si="92"/>
        <v>0</v>
      </c>
      <c r="BV64" s="503">
        <f t="shared" si="116"/>
        <v>30</v>
      </c>
      <c r="BW64" s="503">
        <f t="shared" si="93"/>
        <v>30</v>
      </c>
      <c r="BX64" s="503">
        <f t="shared" si="93"/>
        <v>30</v>
      </c>
      <c r="BY64" s="503">
        <f t="shared" si="93"/>
        <v>30</v>
      </c>
      <c r="BZ64" s="503">
        <f t="shared" si="93"/>
        <v>30</v>
      </c>
      <c r="CA64" s="503">
        <f t="shared" si="93"/>
        <v>30</v>
      </c>
      <c r="CB64" s="503">
        <f t="shared" si="93"/>
        <v>30</v>
      </c>
      <c r="CC64" s="511">
        <f t="shared" si="94"/>
        <v>106.30593020921889</v>
      </c>
      <c r="CD64" s="511">
        <f t="shared" si="95"/>
        <v>106.30593020921889</v>
      </c>
      <c r="CE64" s="511">
        <f t="shared" si="95"/>
        <v>106.30593020921889</v>
      </c>
      <c r="CF64" s="511">
        <f t="shared" si="95"/>
        <v>106.30593020921889</v>
      </c>
      <c r="CG64" s="511">
        <f t="shared" si="95"/>
        <v>106.30593020921889</v>
      </c>
      <c r="CH64" s="511">
        <f t="shared" si="95"/>
        <v>106.30593020921889</v>
      </c>
      <c r="CI64" s="511">
        <f t="shared" si="95"/>
        <v>106.30593020921889</v>
      </c>
      <c r="CJ64" s="511">
        <f t="shared" si="96"/>
        <v>0</v>
      </c>
      <c r="CK64" s="511">
        <f t="shared" si="97"/>
        <v>0</v>
      </c>
      <c r="CL64" s="511">
        <f t="shared" si="97"/>
        <v>0</v>
      </c>
      <c r="CM64" s="511">
        <f t="shared" si="97"/>
        <v>0</v>
      </c>
      <c r="CN64" s="511">
        <f t="shared" si="97"/>
        <v>0</v>
      </c>
      <c r="CO64" s="511">
        <f t="shared" si="97"/>
        <v>0</v>
      </c>
      <c r="CP64" s="511">
        <f t="shared" si="97"/>
        <v>0</v>
      </c>
      <c r="CQ64" s="511">
        <f t="shared" si="98"/>
        <v>0</v>
      </c>
      <c r="CR64" s="511">
        <f t="shared" si="99"/>
        <v>0</v>
      </c>
      <c r="CS64" s="511">
        <f t="shared" si="99"/>
        <v>0</v>
      </c>
      <c r="CT64" s="511">
        <f t="shared" si="99"/>
        <v>0</v>
      </c>
      <c r="CU64" s="511">
        <f t="shared" si="99"/>
        <v>0</v>
      </c>
      <c r="CV64" s="511">
        <f t="shared" si="99"/>
        <v>0</v>
      </c>
      <c r="CW64" s="511">
        <f t="shared" si="99"/>
        <v>0</v>
      </c>
      <c r="CX64" s="508">
        <f t="shared" si="100"/>
        <v>0</v>
      </c>
      <c r="CY64" s="508">
        <f t="shared" si="100"/>
        <v>0</v>
      </c>
      <c r="CZ64" s="508">
        <f t="shared" si="100"/>
        <v>0</v>
      </c>
      <c r="DA64" s="508">
        <f t="shared" si="100"/>
        <v>0</v>
      </c>
      <c r="DB64" s="508">
        <f t="shared" si="100"/>
        <v>0</v>
      </c>
      <c r="DC64" s="508">
        <f t="shared" si="100"/>
        <v>0</v>
      </c>
      <c r="DD64" s="508">
        <f t="shared" si="100"/>
        <v>0</v>
      </c>
      <c r="DE64" s="508">
        <f t="shared" si="101"/>
        <v>0</v>
      </c>
      <c r="DF64" s="508">
        <f t="shared" si="101"/>
        <v>0</v>
      </c>
      <c r="DG64" s="508">
        <f t="shared" si="101"/>
        <v>0</v>
      </c>
      <c r="DH64" s="508">
        <f t="shared" si="101"/>
        <v>0</v>
      </c>
      <c r="DI64" s="508">
        <f t="shared" si="101"/>
        <v>0</v>
      </c>
      <c r="DJ64" s="508">
        <f t="shared" si="101"/>
        <v>0</v>
      </c>
      <c r="DK64" s="508">
        <f t="shared" si="101"/>
        <v>0</v>
      </c>
      <c r="DL64" s="508">
        <f t="shared" si="102"/>
        <v>0</v>
      </c>
      <c r="DM64" s="508">
        <f t="shared" si="102"/>
        <v>0</v>
      </c>
      <c r="DN64" s="508">
        <f t="shared" si="102"/>
        <v>0</v>
      </c>
      <c r="DO64" s="508">
        <f t="shared" si="102"/>
        <v>0</v>
      </c>
      <c r="DP64" s="508">
        <f t="shared" si="102"/>
        <v>0</v>
      </c>
      <c r="DQ64" s="508">
        <f t="shared" si="102"/>
        <v>0</v>
      </c>
      <c r="DR64" s="508">
        <f t="shared" si="102"/>
        <v>0</v>
      </c>
      <c r="DS64" s="508">
        <f t="shared" si="117"/>
        <v>300</v>
      </c>
      <c r="DT64" s="508">
        <f t="shared" si="117"/>
        <v>300</v>
      </c>
      <c r="DU64" s="508">
        <f t="shared" si="117"/>
        <v>300</v>
      </c>
      <c r="DV64" s="508">
        <f t="shared" si="117"/>
        <v>300</v>
      </c>
      <c r="DW64" s="508">
        <f t="shared" si="117"/>
        <v>300</v>
      </c>
      <c r="DX64" s="508">
        <f t="shared" si="103"/>
        <v>300</v>
      </c>
      <c r="DY64" s="508">
        <f t="shared" si="103"/>
        <v>300</v>
      </c>
      <c r="DZ64" s="511">
        <f t="shared" si="104"/>
        <v>1063.0593020921888</v>
      </c>
      <c r="EA64" s="511">
        <f t="shared" si="104"/>
        <v>1063.0593020921888</v>
      </c>
      <c r="EB64" s="511">
        <f t="shared" si="104"/>
        <v>1063.0593020921888</v>
      </c>
      <c r="EC64" s="511">
        <f t="shared" si="104"/>
        <v>1063.0593020921888</v>
      </c>
      <c r="ED64" s="511">
        <f t="shared" si="104"/>
        <v>1063.0593020921888</v>
      </c>
      <c r="EE64" s="511">
        <f t="shared" si="104"/>
        <v>1063.0593020921888</v>
      </c>
      <c r="EF64" s="511">
        <f t="shared" si="104"/>
        <v>1063.0593020921888</v>
      </c>
      <c r="EG64" s="511">
        <f t="shared" si="105"/>
        <v>0</v>
      </c>
      <c r="EH64" s="511">
        <f t="shared" si="105"/>
        <v>0</v>
      </c>
      <c r="EI64" s="511">
        <f t="shared" si="105"/>
        <v>0</v>
      </c>
      <c r="EJ64" s="511">
        <f t="shared" si="105"/>
        <v>0</v>
      </c>
      <c r="EK64" s="511">
        <f t="shared" si="105"/>
        <v>0</v>
      </c>
      <c r="EL64" s="511">
        <f t="shared" si="105"/>
        <v>0</v>
      </c>
      <c r="EM64" s="511">
        <f t="shared" si="105"/>
        <v>0</v>
      </c>
      <c r="EN64" s="511">
        <f t="shared" si="106"/>
        <v>0</v>
      </c>
      <c r="EO64" s="511">
        <f t="shared" si="106"/>
        <v>0</v>
      </c>
      <c r="EP64" s="511">
        <f t="shared" si="106"/>
        <v>0</v>
      </c>
      <c r="EQ64" s="511">
        <f t="shared" si="106"/>
        <v>0</v>
      </c>
      <c r="ER64" s="511">
        <f t="shared" si="106"/>
        <v>0</v>
      </c>
      <c r="ES64" s="511">
        <f t="shared" si="106"/>
        <v>0</v>
      </c>
      <c r="ET64" s="511">
        <f t="shared" si="106"/>
        <v>0</v>
      </c>
      <c r="EU64" s="777">
        <f t="shared" si="118"/>
        <v>70</v>
      </c>
      <c r="EV64" s="728">
        <f t="shared" si="108"/>
        <v>0</v>
      </c>
      <c r="EW64" s="728">
        <f t="shared" si="109"/>
        <v>0</v>
      </c>
      <c r="EX64" s="728">
        <f t="shared" si="110"/>
        <v>0</v>
      </c>
      <c r="EY64" s="728">
        <f t="shared" si="111"/>
        <v>2100</v>
      </c>
      <c r="EZ64" s="777">
        <f t="shared" si="112"/>
        <v>7441.4151146453214</v>
      </c>
      <c r="FA64" s="777">
        <f t="shared" si="113"/>
        <v>0</v>
      </c>
      <c r="FB64" s="778">
        <f t="shared" si="114"/>
        <v>0</v>
      </c>
    </row>
    <row r="65" spans="1:158" s="10" customFormat="1" ht="12.75" hidden="1" customHeight="1">
      <c r="A65" s="662" t="s">
        <v>190</v>
      </c>
      <c r="B65" s="789" t="s">
        <v>2162</v>
      </c>
      <c r="C65" s="662" t="s">
        <v>2005</v>
      </c>
      <c r="D65" s="715" t="s">
        <v>2006</v>
      </c>
      <c r="E65" s="662" t="s">
        <v>331</v>
      </c>
      <c r="F65" s="704" t="s">
        <v>402</v>
      </c>
      <c r="G65" s="707">
        <f t="shared" si="81"/>
        <v>40</v>
      </c>
      <c r="H65" s="707">
        <f t="shared" si="81"/>
        <v>0</v>
      </c>
      <c r="I65" s="707">
        <f t="shared" si="81"/>
        <v>40</v>
      </c>
      <c r="J65" s="707">
        <f t="shared" si="81"/>
        <v>0</v>
      </c>
      <c r="K65" s="707">
        <f t="shared" si="81"/>
        <v>20</v>
      </c>
      <c r="L65" s="1263" t="str">
        <f t="shared" si="81"/>
        <v>ENERGY STAR Appliances Calculator - Accessed 05/19/2016</v>
      </c>
      <c r="M65" s="707" t="str">
        <f t="shared" si="81"/>
        <v>NA</v>
      </c>
      <c r="N65" s="707">
        <f t="shared" si="81"/>
        <v>20</v>
      </c>
      <c r="O65" s="707">
        <f t="shared" si="81"/>
        <v>0</v>
      </c>
      <c r="P65" s="707">
        <f t="shared" si="81"/>
        <v>0</v>
      </c>
      <c r="Q65" s="1022">
        <v>160.23413943875073</v>
      </c>
      <c r="R65" s="872">
        <v>2.0139185152679033E-2</v>
      </c>
      <c r="S65" s="1022">
        <v>0</v>
      </c>
      <c r="T65" s="711" t="str">
        <f t="shared" si="115"/>
        <v>Potential Study Results: ENERGY STAR Appliances Calculator - Accessed 05/19/2016; Calculations using ENERGY STAR appliances calculator</v>
      </c>
      <c r="U65" s="712"/>
      <c r="V65" s="1124">
        <f t="shared" si="83"/>
        <v>0</v>
      </c>
      <c r="W65" s="790"/>
      <c r="X65" s="790"/>
      <c r="Y65" s="790"/>
      <c r="Z65" s="790"/>
      <c r="AA65" s="790"/>
      <c r="AB65" s="790"/>
      <c r="AC65" s="781">
        <f t="shared" si="84"/>
        <v>0</v>
      </c>
      <c r="AD65" s="781">
        <f t="shared" si="84"/>
        <v>0</v>
      </c>
      <c r="AE65" s="781">
        <f t="shared" si="84"/>
        <v>0</v>
      </c>
      <c r="AF65" s="781">
        <f t="shared" si="84"/>
        <v>0</v>
      </c>
      <c r="AG65" s="781">
        <f t="shared" si="84"/>
        <v>0</v>
      </c>
      <c r="AH65" s="781">
        <f t="shared" si="85"/>
        <v>0</v>
      </c>
      <c r="AI65" s="781">
        <f t="shared" si="85"/>
        <v>0</v>
      </c>
      <c r="AJ65" s="711" t="s">
        <v>384</v>
      </c>
      <c r="AK65" s="711" t="s">
        <v>375</v>
      </c>
      <c r="AL65" s="711" t="s">
        <v>376</v>
      </c>
      <c r="AM65" s="711" t="s">
        <v>2009</v>
      </c>
      <c r="AN65" s="711" t="s">
        <v>1</v>
      </c>
      <c r="AO65" s="711" t="s">
        <v>2010</v>
      </c>
      <c r="AP65" s="711" t="s">
        <v>1702</v>
      </c>
      <c r="AQ65" s="711" t="s">
        <v>339</v>
      </c>
      <c r="AR65" s="715" t="s">
        <v>1943</v>
      </c>
      <c r="AS65" s="715" t="s">
        <v>1942</v>
      </c>
      <c r="AT65" s="715" t="s">
        <v>385</v>
      </c>
      <c r="AU65" s="711">
        <v>11</v>
      </c>
      <c r="AV65" s="711">
        <v>11</v>
      </c>
      <c r="AW65" s="711" t="s">
        <v>2007</v>
      </c>
      <c r="AX65" s="716">
        <v>1</v>
      </c>
      <c r="AY65" s="716">
        <v>1</v>
      </c>
      <c r="AZ65" s="716">
        <v>0</v>
      </c>
      <c r="BA65" s="499">
        <f t="shared" si="86"/>
        <v>40</v>
      </c>
      <c r="BB65" s="499">
        <f t="shared" si="87"/>
        <v>40</v>
      </c>
      <c r="BC65" s="499">
        <f t="shared" si="87"/>
        <v>40</v>
      </c>
      <c r="BD65" s="499">
        <f t="shared" si="87"/>
        <v>40</v>
      </c>
      <c r="BE65" s="499">
        <f t="shared" si="88"/>
        <v>40</v>
      </c>
      <c r="BF65" s="499">
        <f t="shared" si="88"/>
        <v>40</v>
      </c>
      <c r="BG65" s="499">
        <f t="shared" si="88"/>
        <v>40</v>
      </c>
      <c r="BH65" s="499">
        <f t="shared" si="89"/>
        <v>0</v>
      </c>
      <c r="BI65" s="499">
        <f t="shared" si="90"/>
        <v>0</v>
      </c>
      <c r="BJ65" s="499">
        <f t="shared" si="90"/>
        <v>0</v>
      </c>
      <c r="BK65" s="499">
        <f t="shared" si="90"/>
        <v>0</v>
      </c>
      <c r="BL65" s="499">
        <f t="shared" si="90"/>
        <v>0</v>
      </c>
      <c r="BM65" s="499">
        <f t="shared" si="90"/>
        <v>0</v>
      </c>
      <c r="BN65" s="499">
        <f t="shared" si="90"/>
        <v>0</v>
      </c>
      <c r="BO65" s="499">
        <f t="shared" si="91"/>
        <v>20</v>
      </c>
      <c r="BP65" s="499">
        <f t="shared" si="119"/>
        <v>20</v>
      </c>
      <c r="BQ65" s="499">
        <f t="shared" si="92"/>
        <v>20</v>
      </c>
      <c r="BR65" s="499">
        <f t="shared" si="92"/>
        <v>20</v>
      </c>
      <c r="BS65" s="499">
        <f t="shared" si="92"/>
        <v>20</v>
      </c>
      <c r="BT65" s="499">
        <f t="shared" si="92"/>
        <v>20</v>
      </c>
      <c r="BU65" s="499">
        <f t="shared" si="92"/>
        <v>20</v>
      </c>
      <c r="BV65" s="503">
        <f t="shared" si="116"/>
        <v>0</v>
      </c>
      <c r="BW65" s="503">
        <f t="shared" si="93"/>
        <v>0</v>
      </c>
      <c r="BX65" s="503">
        <f t="shared" si="93"/>
        <v>0</v>
      </c>
      <c r="BY65" s="503">
        <f t="shared" si="93"/>
        <v>0</v>
      </c>
      <c r="BZ65" s="503">
        <f t="shared" si="93"/>
        <v>0</v>
      </c>
      <c r="CA65" s="503">
        <f t="shared" si="93"/>
        <v>0</v>
      </c>
      <c r="CB65" s="503">
        <f t="shared" si="93"/>
        <v>0</v>
      </c>
      <c r="CC65" s="511">
        <f t="shared" si="94"/>
        <v>160.23413943875073</v>
      </c>
      <c r="CD65" s="511">
        <f t="shared" si="95"/>
        <v>160.23413943875073</v>
      </c>
      <c r="CE65" s="511">
        <f t="shared" si="95"/>
        <v>160.23413943875073</v>
      </c>
      <c r="CF65" s="511">
        <f t="shared" si="95"/>
        <v>160.23413943875073</v>
      </c>
      <c r="CG65" s="511">
        <f t="shared" si="95"/>
        <v>160.23413943875073</v>
      </c>
      <c r="CH65" s="511">
        <f t="shared" si="95"/>
        <v>160.23413943875073</v>
      </c>
      <c r="CI65" s="511">
        <f t="shared" si="95"/>
        <v>160.23413943875073</v>
      </c>
      <c r="CJ65" s="511">
        <f t="shared" si="96"/>
        <v>2.0139185152679033E-2</v>
      </c>
      <c r="CK65" s="511">
        <f t="shared" si="97"/>
        <v>2.0139185152679033E-2</v>
      </c>
      <c r="CL65" s="511">
        <f t="shared" si="97"/>
        <v>2.0139185152679033E-2</v>
      </c>
      <c r="CM65" s="511">
        <f t="shared" si="97"/>
        <v>2.0139185152679033E-2</v>
      </c>
      <c r="CN65" s="511">
        <f t="shared" si="97"/>
        <v>2.0139185152679033E-2</v>
      </c>
      <c r="CO65" s="511">
        <f t="shared" si="97"/>
        <v>2.0139185152679033E-2</v>
      </c>
      <c r="CP65" s="511">
        <f t="shared" si="97"/>
        <v>2.0139185152679033E-2</v>
      </c>
      <c r="CQ65" s="511">
        <f t="shared" si="98"/>
        <v>0</v>
      </c>
      <c r="CR65" s="511">
        <f t="shared" si="99"/>
        <v>0</v>
      </c>
      <c r="CS65" s="511">
        <f t="shared" si="99"/>
        <v>0</v>
      </c>
      <c r="CT65" s="511">
        <f t="shared" si="99"/>
        <v>0</v>
      </c>
      <c r="CU65" s="511">
        <f t="shared" si="99"/>
        <v>0</v>
      </c>
      <c r="CV65" s="511">
        <f t="shared" si="99"/>
        <v>0</v>
      </c>
      <c r="CW65" s="511">
        <f t="shared" si="99"/>
        <v>0</v>
      </c>
      <c r="CX65" s="508">
        <f t="shared" si="100"/>
        <v>0</v>
      </c>
      <c r="CY65" s="508">
        <f t="shared" si="100"/>
        <v>0</v>
      </c>
      <c r="CZ65" s="508">
        <f t="shared" si="100"/>
        <v>0</v>
      </c>
      <c r="DA65" s="508">
        <f t="shared" si="100"/>
        <v>0</v>
      </c>
      <c r="DB65" s="508">
        <f t="shared" si="100"/>
        <v>0</v>
      </c>
      <c r="DC65" s="508">
        <f t="shared" si="100"/>
        <v>0</v>
      </c>
      <c r="DD65" s="508">
        <f t="shared" si="100"/>
        <v>0</v>
      </c>
      <c r="DE65" s="508">
        <f t="shared" si="101"/>
        <v>0</v>
      </c>
      <c r="DF65" s="508">
        <f t="shared" si="101"/>
        <v>0</v>
      </c>
      <c r="DG65" s="508">
        <f t="shared" si="101"/>
        <v>0</v>
      </c>
      <c r="DH65" s="508">
        <f t="shared" si="101"/>
        <v>0</v>
      </c>
      <c r="DI65" s="508">
        <f t="shared" si="101"/>
        <v>0</v>
      </c>
      <c r="DJ65" s="508">
        <f t="shared" si="101"/>
        <v>0</v>
      </c>
      <c r="DK65" s="508">
        <f t="shared" si="101"/>
        <v>0</v>
      </c>
      <c r="DL65" s="508">
        <f t="shared" si="102"/>
        <v>0</v>
      </c>
      <c r="DM65" s="508">
        <f t="shared" si="102"/>
        <v>0</v>
      </c>
      <c r="DN65" s="508">
        <f t="shared" si="102"/>
        <v>0</v>
      </c>
      <c r="DO65" s="508">
        <f t="shared" si="102"/>
        <v>0</v>
      </c>
      <c r="DP65" s="508">
        <f t="shared" si="102"/>
        <v>0</v>
      </c>
      <c r="DQ65" s="508">
        <f t="shared" si="102"/>
        <v>0</v>
      </c>
      <c r="DR65" s="508">
        <f t="shared" si="102"/>
        <v>0</v>
      </c>
      <c r="DS65" s="508">
        <f t="shared" si="117"/>
        <v>0</v>
      </c>
      <c r="DT65" s="508">
        <f t="shared" si="117"/>
        <v>0</v>
      </c>
      <c r="DU65" s="508">
        <f t="shared" si="117"/>
        <v>0</v>
      </c>
      <c r="DV65" s="508">
        <f t="shared" si="117"/>
        <v>0</v>
      </c>
      <c r="DW65" s="508">
        <f t="shared" si="117"/>
        <v>0</v>
      </c>
      <c r="DX65" s="508">
        <f t="shared" si="103"/>
        <v>0</v>
      </c>
      <c r="DY65" s="508">
        <f t="shared" si="103"/>
        <v>0</v>
      </c>
      <c r="DZ65" s="511">
        <f t="shared" si="104"/>
        <v>0</v>
      </c>
      <c r="EA65" s="511">
        <f t="shared" si="104"/>
        <v>0</v>
      </c>
      <c r="EB65" s="511">
        <f t="shared" si="104"/>
        <v>0</v>
      </c>
      <c r="EC65" s="511">
        <f t="shared" si="104"/>
        <v>0</v>
      </c>
      <c r="ED65" s="511">
        <f t="shared" si="104"/>
        <v>0</v>
      </c>
      <c r="EE65" s="511">
        <f t="shared" si="104"/>
        <v>0</v>
      </c>
      <c r="EF65" s="511">
        <f t="shared" si="104"/>
        <v>0</v>
      </c>
      <c r="EG65" s="511">
        <f t="shared" si="105"/>
        <v>0</v>
      </c>
      <c r="EH65" s="511">
        <f t="shared" si="105"/>
        <v>0</v>
      </c>
      <c r="EI65" s="511">
        <f t="shared" si="105"/>
        <v>0</v>
      </c>
      <c r="EJ65" s="511">
        <f t="shared" si="105"/>
        <v>0</v>
      </c>
      <c r="EK65" s="511">
        <f t="shared" si="105"/>
        <v>0</v>
      </c>
      <c r="EL65" s="511">
        <f t="shared" si="105"/>
        <v>0</v>
      </c>
      <c r="EM65" s="511">
        <f t="shared" si="105"/>
        <v>0</v>
      </c>
      <c r="EN65" s="511">
        <f t="shared" si="106"/>
        <v>0</v>
      </c>
      <c r="EO65" s="511">
        <f t="shared" si="106"/>
        <v>0</v>
      </c>
      <c r="EP65" s="511">
        <f t="shared" si="106"/>
        <v>0</v>
      </c>
      <c r="EQ65" s="511">
        <f t="shared" si="106"/>
        <v>0</v>
      </c>
      <c r="ER65" s="511">
        <f t="shared" si="106"/>
        <v>0</v>
      </c>
      <c r="ES65" s="511">
        <f t="shared" si="106"/>
        <v>0</v>
      </c>
      <c r="ET65" s="511">
        <f t="shared" si="106"/>
        <v>0</v>
      </c>
      <c r="EU65" s="777">
        <f t="shared" si="118"/>
        <v>0</v>
      </c>
      <c r="EV65" s="728">
        <f t="shared" si="108"/>
        <v>0</v>
      </c>
      <c r="EW65" s="728">
        <f t="shared" si="109"/>
        <v>0</v>
      </c>
      <c r="EX65" s="728">
        <f t="shared" si="110"/>
        <v>0</v>
      </c>
      <c r="EY65" s="728">
        <f t="shared" si="111"/>
        <v>0</v>
      </c>
      <c r="EZ65" s="777">
        <f t="shared" si="112"/>
        <v>0</v>
      </c>
      <c r="FA65" s="777">
        <f t="shared" si="113"/>
        <v>0</v>
      </c>
      <c r="FB65" s="778">
        <f t="shared" si="114"/>
        <v>0</v>
      </c>
    </row>
    <row r="66" spans="1:158" s="10" customFormat="1" ht="12.75" hidden="1" customHeight="1">
      <c r="A66" s="662"/>
      <c r="B66" s="789"/>
      <c r="C66" s="662"/>
      <c r="D66" s="715"/>
      <c r="E66" s="662"/>
      <c r="F66" s="704"/>
      <c r="G66" s="707">
        <f t="shared" si="81"/>
        <v>40</v>
      </c>
      <c r="H66" s="707">
        <f t="shared" si="81"/>
        <v>0</v>
      </c>
      <c r="I66" s="707">
        <f t="shared" si="81"/>
        <v>40</v>
      </c>
      <c r="J66" s="707">
        <f t="shared" si="81"/>
        <v>0</v>
      </c>
      <c r="K66" s="707">
        <f t="shared" si="81"/>
        <v>20</v>
      </c>
      <c r="L66" s="1263" t="str">
        <f t="shared" si="81"/>
        <v>ENERGY STAR Appliances Calculator - Accessed 05/19/2016</v>
      </c>
      <c r="M66" s="707" t="str">
        <f t="shared" si="81"/>
        <v>NA</v>
      </c>
      <c r="N66" s="707">
        <f t="shared" si="81"/>
        <v>20</v>
      </c>
      <c r="O66" s="707">
        <f t="shared" si="81"/>
        <v>0</v>
      </c>
      <c r="P66" s="707">
        <f t="shared" si="81"/>
        <v>0</v>
      </c>
      <c r="Q66" s="1022"/>
      <c r="R66" s="872"/>
      <c r="S66" s="1022"/>
      <c r="T66" s="711" t="str">
        <f t="shared" si="115"/>
        <v>Potential Study Results: ENERGY STAR Appliances Calculator - Accessed 05/19/2016; Calculations using ENERGY STAR appliances calculator</v>
      </c>
      <c r="U66" s="712"/>
      <c r="V66" s="1124">
        <f t="shared" si="83"/>
        <v>0</v>
      </c>
      <c r="W66" s="790"/>
      <c r="X66" s="790"/>
      <c r="Y66" s="790"/>
      <c r="Z66" s="790"/>
      <c r="AA66" s="790"/>
      <c r="AB66" s="790"/>
      <c r="AC66" s="781"/>
      <c r="AD66" s="781"/>
      <c r="AE66" s="781"/>
      <c r="AF66" s="781"/>
      <c r="AG66" s="781"/>
      <c r="AH66" s="781">
        <f t="shared" si="85"/>
        <v>0</v>
      </c>
      <c r="AI66" s="781">
        <f t="shared" si="85"/>
        <v>0</v>
      </c>
      <c r="AJ66" s="711"/>
      <c r="AK66" s="711"/>
      <c r="AL66" s="711"/>
      <c r="AM66" s="711"/>
      <c r="AN66" s="711"/>
      <c r="AO66" s="711"/>
      <c r="AP66" s="711"/>
      <c r="AQ66" s="711"/>
      <c r="AR66" s="715"/>
      <c r="AS66" s="715"/>
      <c r="AT66" s="715"/>
      <c r="AU66" s="711"/>
      <c r="AV66" s="711"/>
      <c r="AW66" s="711"/>
      <c r="AX66" s="716"/>
      <c r="AY66" s="716"/>
      <c r="AZ66" s="716"/>
      <c r="BA66" s="499"/>
      <c r="BB66" s="499"/>
      <c r="BC66" s="499"/>
      <c r="BD66" s="499"/>
      <c r="BE66" s="499"/>
      <c r="BF66" s="499"/>
      <c r="BG66" s="499"/>
      <c r="BH66" s="499"/>
      <c r="BI66" s="499"/>
      <c r="BJ66" s="499"/>
      <c r="BK66" s="499"/>
      <c r="BL66" s="499"/>
      <c r="BM66" s="499"/>
      <c r="BN66" s="499"/>
      <c r="BO66" s="499"/>
      <c r="BP66" s="499"/>
      <c r="BQ66" s="499"/>
      <c r="BR66" s="499"/>
      <c r="BS66" s="499"/>
      <c r="BT66" s="499"/>
      <c r="BU66" s="499"/>
      <c r="BV66" s="503">
        <f t="shared" si="116"/>
        <v>0</v>
      </c>
      <c r="BW66" s="503">
        <f t="shared" si="93"/>
        <v>0</v>
      </c>
      <c r="BX66" s="503">
        <f t="shared" si="93"/>
        <v>0</v>
      </c>
      <c r="BY66" s="503">
        <f t="shared" si="93"/>
        <v>0</v>
      </c>
      <c r="BZ66" s="503">
        <f t="shared" si="93"/>
        <v>0</v>
      </c>
      <c r="CA66" s="503">
        <f t="shared" si="93"/>
        <v>0</v>
      </c>
      <c r="CB66" s="503">
        <f t="shared" si="93"/>
        <v>0</v>
      </c>
      <c r="CC66" s="511"/>
      <c r="CD66" s="511"/>
      <c r="CE66" s="511"/>
      <c r="CF66" s="511"/>
      <c r="CG66" s="511"/>
      <c r="CH66" s="511"/>
      <c r="CI66" s="511"/>
      <c r="CJ66" s="511"/>
      <c r="CK66" s="511"/>
      <c r="CL66" s="511"/>
      <c r="CM66" s="511"/>
      <c r="CN66" s="511"/>
      <c r="CO66" s="511"/>
      <c r="CP66" s="511"/>
      <c r="CQ66" s="511"/>
      <c r="CR66" s="511"/>
      <c r="CS66" s="511"/>
      <c r="CT66" s="511"/>
      <c r="CU66" s="511"/>
      <c r="CV66" s="511"/>
      <c r="CW66" s="511"/>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f t="shared" si="117"/>
        <v>0</v>
      </c>
      <c r="DT66" s="508">
        <f t="shared" si="117"/>
        <v>0</v>
      </c>
      <c r="DU66" s="508">
        <f t="shared" si="117"/>
        <v>0</v>
      </c>
      <c r="DV66" s="508">
        <f t="shared" si="117"/>
        <v>0</v>
      </c>
      <c r="DW66" s="508">
        <f t="shared" si="117"/>
        <v>0</v>
      </c>
      <c r="DX66" s="508">
        <f t="shared" si="103"/>
        <v>0</v>
      </c>
      <c r="DY66" s="508">
        <f t="shared" si="103"/>
        <v>0</v>
      </c>
      <c r="DZ66" s="511"/>
      <c r="EA66" s="511"/>
      <c r="EB66" s="511"/>
      <c r="EC66" s="511"/>
      <c r="ED66" s="511"/>
      <c r="EE66" s="511"/>
      <c r="EF66" s="511"/>
      <c r="EG66" s="511"/>
      <c r="EH66" s="511"/>
      <c r="EI66" s="511"/>
      <c r="EJ66" s="511"/>
      <c r="EK66" s="511"/>
      <c r="EL66" s="511"/>
      <c r="EM66" s="511"/>
      <c r="EN66" s="511"/>
      <c r="EO66" s="511"/>
      <c r="EP66" s="511"/>
      <c r="EQ66" s="511"/>
      <c r="ER66" s="511"/>
      <c r="ES66" s="511"/>
      <c r="ET66" s="511"/>
      <c r="EU66" s="777">
        <f t="shared" si="118"/>
        <v>0</v>
      </c>
      <c r="EV66" s="728">
        <f t="shared" si="108"/>
        <v>0</v>
      </c>
      <c r="EW66" s="728">
        <f t="shared" si="109"/>
        <v>0</v>
      </c>
      <c r="EX66" s="728">
        <f t="shared" si="110"/>
        <v>0</v>
      </c>
      <c r="EY66" s="728">
        <f t="shared" si="111"/>
        <v>0</v>
      </c>
      <c r="EZ66" s="777">
        <f t="shared" si="112"/>
        <v>0</v>
      </c>
      <c r="FA66" s="777">
        <f t="shared" si="113"/>
        <v>0</v>
      </c>
      <c r="FB66" s="778">
        <f t="shared" si="114"/>
        <v>0</v>
      </c>
    </row>
    <row r="67" spans="1:158" s="10" customFormat="1" ht="12.75" hidden="1" customHeight="1">
      <c r="A67" s="662" t="s">
        <v>199</v>
      </c>
      <c r="B67" s="789" t="s">
        <v>2163</v>
      </c>
      <c r="C67" s="662" t="s">
        <v>2015</v>
      </c>
      <c r="D67" s="715" t="s">
        <v>2016</v>
      </c>
      <c r="E67" s="662" t="s">
        <v>331</v>
      </c>
      <c r="F67" s="704" t="s">
        <v>402</v>
      </c>
      <c r="G67" s="707">
        <f t="shared" ref="G67:P82" si="120">G22</f>
        <v>6.61</v>
      </c>
      <c r="H67" s="707">
        <f t="shared" si="120"/>
        <v>0</v>
      </c>
      <c r="I67" s="707">
        <f t="shared" si="120"/>
        <v>6.61</v>
      </c>
      <c r="J67" s="707">
        <f t="shared" si="120"/>
        <v>0</v>
      </c>
      <c r="K67" s="707">
        <f t="shared" si="120"/>
        <v>3.3050000000000002</v>
      </c>
      <c r="L67" s="1263" t="str">
        <f t="shared" si="120"/>
        <v>As referenced in SWE 2014 potential study, Regional Technical Forum Freezers v2.2 (Regional Technical Forum (RTF): Accessed from &lt;http://www.nwcouncil.org/energy/rtf/measures/Default.asp&gt;)</v>
      </c>
      <c r="M67" s="707" t="str">
        <f t="shared" si="120"/>
        <v>NA</v>
      </c>
      <c r="N67" s="707">
        <f t="shared" si="120"/>
        <v>15</v>
      </c>
      <c r="O67" s="707">
        <f t="shared" si="120"/>
        <v>0</v>
      </c>
      <c r="P67" s="707">
        <f t="shared" si="120"/>
        <v>0</v>
      </c>
      <c r="Q67" s="1022">
        <v>35.050566067415673</v>
      </c>
      <c r="R67" s="872">
        <v>4.9026853562064753E-3</v>
      </c>
      <c r="S67" s="1022">
        <v>0</v>
      </c>
      <c r="T67" s="711" t="str">
        <f t="shared" si="115"/>
        <v>Potential Study Results: Below Standard Freezer: Calculated based on maximum allowed kWh/yr abiding by the outdated 1997 Federal Standards and using the average volume found in the ENERGY STAR Appliance Calculator, accessed 9/8/2015: http://www.energystar.gov/sites/default/files/a</v>
      </c>
      <c r="U67" s="712"/>
      <c r="V67" s="1124">
        <f t="shared" si="83"/>
        <v>8.3313496786479408E-4</v>
      </c>
      <c r="W67" s="790"/>
      <c r="X67" s="790"/>
      <c r="Y67" s="790"/>
      <c r="Z67" s="790"/>
      <c r="AA67" s="790"/>
      <c r="AB67" s="790"/>
      <c r="AC67" s="781">
        <f t="shared" ref="AC67:AG70" si="121">AC22*0.5</f>
        <v>0</v>
      </c>
      <c r="AD67" s="781">
        <f t="shared" si="121"/>
        <v>0</v>
      </c>
      <c r="AE67" s="781">
        <f t="shared" si="121"/>
        <v>0</v>
      </c>
      <c r="AF67" s="781">
        <f t="shared" si="121"/>
        <v>0</v>
      </c>
      <c r="AG67" s="781">
        <f t="shared" si="121"/>
        <v>0</v>
      </c>
      <c r="AH67" s="781">
        <f t="shared" ref="AH67:AI82" si="122">AG67</f>
        <v>0</v>
      </c>
      <c r="AI67" s="781">
        <f t="shared" si="122"/>
        <v>0</v>
      </c>
      <c r="AJ67" s="711" t="s">
        <v>384</v>
      </c>
      <c r="AK67" s="711" t="s">
        <v>375</v>
      </c>
      <c r="AL67" s="711" t="s">
        <v>376</v>
      </c>
      <c r="AM67" s="711" t="s">
        <v>864</v>
      </c>
      <c r="AN67" s="711" t="s">
        <v>1</v>
      </c>
      <c r="AO67" s="711" t="s">
        <v>2019</v>
      </c>
      <c r="AP67" s="711" t="s">
        <v>1702</v>
      </c>
      <c r="AQ67" s="711" t="s">
        <v>339</v>
      </c>
      <c r="AR67" s="715" t="s">
        <v>865</v>
      </c>
      <c r="AS67" s="715"/>
      <c r="AT67" s="715" t="s">
        <v>385</v>
      </c>
      <c r="AU67" s="711">
        <v>12</v>
      </c>
      <c r="AV67" s="711">
        <v>12</v>
      </c>
      <c r="AW67" s="711" t="s">
        <v>2020</v>
      </c>
      <c r="AX67" s="716">
        <v>1</v>
      </c>
      <c r="AY67" s="716">
        <v>1</v>
      </c>
      <c r="AZ67" s="716">
        <v>0</v>
      </c>
      <c r="BA67" s="499">
        <f t="shared" si="86"/>
        <v>6.61</v>
      </c>
      <c r="BB67" s="499">
        <f t="shared" ref="BB67:BD82" si="123">BA67</f>
        <v>6.61</v>
      </c>
      <c r="BC67" s="499">
        <f t="shared" si="123"/>
        <v>6.61</v>
      </c>
      <c r="BD67" s="499">
        <f t="shared" si="123"/>
        <v>6.61</v>
      </c>
      <c r="BE67" s="499">
        <f t="shared" si="88"/>
        <v>6.61</v>
      </c>
      <c r="BF67" s="499">
        <f t="shared" si="88"/>
        <v>6.61</v>
      </c>
      <c r="BG67" s="499">
        <f t="shared" si="88"/>
        <v>6.61</v>
      </c>
      <c r="BH67" s="499">
        <f t="shared" si="89"/>
        <v>0</v>
      </c>
      <c r="BI67" s="499">
        <f t="shared" ref="BI67:BN82" si="124">BH67</f>
        <v>0</v>
      </c>
      <c r="BJ67" s="499">
        <f t="shared" si="124"/>
        <v>0</v>
      </c>
      <c r="BK67" s="499">
        <f t="shared" si="124"/>
        <v>0</v>
      </c>
      <c r="BL67" s="499">
        <f t="shared" si="124"/>
        <v>0</v>
      </c>
      <c r="BM67" s="499">
        <f t="shared" si="124"/>
        <v>0</v>
      </c>
      <c r="BN67" s="499">
        <f t="shared" si="124"/>
        <v>0</v>
      </c>
      <c r="BO67" s="499">
        <f t="shared" si="91"/>
        <v>15</v>
      </c>
      <c r="BP67" s="499">
        <f t="shared" si="119"/>
        <v>15</v>
      </c>
      <c r="BQ67" s="499">
        <f t="shared" si="119"/>
        <v>15</v>
      </c>
      <c r="BR67" s="499">
        <f t="shared" si="119"/>
        <v>15</v>
      </c>
      <c r="BS67" s="499">
        <f t="shared" si="119"/>
        <v>15</v>
      </c>
      <c r="BT67" s="499">
        <f t="shared" si="119"/>
        <v>15</v>
      </c>
      <c r="BU67" s="499">
        <f t="shared" si="119"/>
        <v>15</v>
      </c>
      <c r="BV67" s="503">
        <f t="shared" si="116"/>
        <v>0</v>
      </c>
      <c r="BW67" s="503">
        <f t="shared" si="93"/>
        <v>0</v>
      </c>
      <c r="BX67" s="503">
        <f t="shared" si="93"/>
        <v>0</v>
      </c>
      <c r="BY67" s="503">
        <f t="shared" si="93"/>
        <v>0</v>
      </c>
      <c r="BZ67" s="503">
        <f t="shared" si="93"/>
        <v>0</v>
      </c>
      <c r="CA67" s="503">
        <f t="shared" si="93"/>
        <v>0</v>
      </c>
      <c r="CB67" s="503">
        <f t="shared" si="93"/>
        <v>0</v>
      </c>
      <c r="CC67" s="511">
        <f t="shared" si="94"/>
        <v>35.050566067415673</v>
      </c>
      <c r="CD67" s="511">
        <f t="shared" ref="CD67:CI82" si="125">CC67</f>
        <v>35.050566067415673</v>
      </c>
      <c r="CE67" s="511">
        <f t="shared" si="125"/>
        <v>35.050566067415673</v>
      </c>
      <c r="CF67" s="511">
        <f t="shared" si="125"/>
        <v>35.050566067415673</v>
      </c>
      <c r="CG67" s="511">
        <f t="shared" si="125"/>
        <v>35.050566067415673</v>
      </c>
      <c r="CH67" s="511">
        <f t="shared" si="125"/>
        <v>35.050566067415673</v>
      </c>
      <c r="CI67" s="511">
        <f t="shared" si="125"/>
        <v>35.050566067415673</v>
      </c>
      <c r="CJ67" s="511">
        <f t="shared" si="96"/>
        <v>4.9026853562064753E-3</v>
      </c>
      <c r="CK67" s="511">
        <f t="shared" ref="CK67:CP82" si="126">CJ67</f>
        <v>4.9026853562064753E-3</v>
      </c>
      <c r="CL67" s="511">
        <f t="shared" si="126"/>
        <v>4.9026853562064753E-3</v>
      </c>
      <c r="CM67" s="511">
        <f t="shared" si="126"/>
        <v>4.9026853562064753E-3</v>
      </c>
      <c r="CN67" s="511">
        <f t="shared" si="126"/>
        <v>4.9026853562064753E-3</v>
      </c>
      <c r="CO67" s="511">
        <f t="shared" si="126"/>
        <v>4.9026853562064753E-3</v>
      </c>
      <c r="CP67" s="511">
        <f t="shared" si="126"/>
        <v>4.9026853562064753E-3</v>
      </c>
      <c r="CQ67" s="511">
        <f t="shared" si="98"/>
        <v>0</v>
      </c>
      <c r="CR67" s="511">
        <f t="shared" ref="CR67:CW82" si="127">CQ67</f>
        <v>0</v>
      </c>
      <c r="CS67" s="511">
        <f t="shared" si="127"/>
        <v>0</v>
      </c>
      <c r="CT67" s="511">
        <f t="shared" si="127"/>
        <v>0</v>
      </c>
      <c r="CU67" s="511">
        <f t="shared" si="127"/>
        <v>0</v>
      </c>
      <c r="CV67" s="511">
        <f t="shared" si="127"/>
        <v>0</v>
      </c>
      <c r="CW67" s="511">
        <f t="shared" si="127"/>
        <v>0</v>
      </c>
      <c r="CX67" s="508">
        <f t="shared" ref="CX67:DD70" si="128">AC67*BA67</f>
        <v>0</v>
      </c>
      <c r="CY67" s="508">
        <f t="shared" si="128"/>
        <v>0</v>
      </c>
      <c r="CZ67" s="508">
        <f t="shared" si="128"/>
        <v>0</v>
      </c>
      <c r="DA67" s="508">
        <f t="shared" si="128"/>
        <v>0</v>
      </c>
      <c r="DB67" s="508">
        <f t="shared" si="128"/>
        <v>0</v>
      </c>
      <c r="DC67" s="508">
        <f t="shared" si="128"/>
        <v>0</v>
      </c>
      <c r="DD67" s="508">
        <f t="shared" si="128"/>
        <v>0</v>
      </c>
      <c r="DE67" s="508">
        <f t="shared" ref="DE67:DK70" si="129">AC67*BH67</f>
        <v>0</v>
      </c>
      <c r="DF67" s="508">
        <f t="shared" si="129"/>
        <v>0</v>
      </c>
      <c r="DG67" s="508">
        <f t="shared" si="129"/>
        <v>0</v>
      </c>
      <c r="DH67" s="508">
        <f t="shared" si="129"/>
        <v>0</v>
      </c>
      <c r="DI67" s="508">
        <f t="shared" si="129"/>
        <v>0</v>
      </c>
      <c r="DJ67" s="508">
        <f t="shared" si="129"/>
        <v>0</v>
      </c>
      <c r="DK67" s="508">
        <f t="shared" si="129"/>
        <v>0</v>
      </c>
      <c r="DL67" s="508">
        <f t="shared" ref="DL67:DR70" si="130">AC67*BO67</f>
        <v>0</v>
      </c>
      <c r="DM67" s="508">
        <f t="shared" si="130"/>
        <v>0</v>
      </c>
      <c r="DN67" s="508">
        <f t="shared" si="130"/>
        <v>0</v>
      </c>
      <c r="DO67" s="508">
        <f t="shared" si="130"/>
        <v>0</v>
      </c>
      <c r="DP67" s="508">
        <f t="shared" si="130"/>
        <v>0</v>
      </c>
      <c r="DQ67" s="508">
        <f t="shared" si="130"/>
        <v>0</v>
      </c>
      <c r="DR67" s="508">
        <f t="shared" si="130"/>
        <v>0</v>
      </c>
      <c r="DS67" s="508">
        <f t="shared" si="117"/>
        <v>0</v>
      </c>
      <c r="DT67" s="508">
        <f t="shared" si="117"/>
        <v>0</v>
      </c>
      <c r="DU67" s="508">
        <f t="shared" si="117"/>
        <v>0</v>
      </c>
      <c r="DV67" s="508">
        <f t="shared" si="117"/>
        <v>0</v>
      </c>
      <c r="DW67" s="508">
        <f t="shared" si="117"/>
        <v>0</v>
      </c>
      <c r="DX67" s="508">
        <f t="shared" si="117"/>
        <v>0</v>
      </c>
      <c r="DY67" s="508">
        <f t="shared" si="117"/>
        <v>0</v>
      </c>
      <c r="DZ67" s="511">
        <f t="shared" ref="DZ67:EF70" si="131">AC67*CC67</f>
        <v>0</v>
      </c>
      <c r="EA67" s="511">
        <f t="shared" si="131"/>
        <v>0</v>
      </c>
      <c r="EB67" s="511">
        <f t="shared" si="131"/>
        <v>0</v>
      </c>
      <c r="EC67" s="511">
        <f t="shared" si="131"/>
        <v>0</v>
      </c>
      <c r="ED67" s="511">
        <f t="shared" si="131"/>
        <v>0</v>
      </c>
      <c r="EE67" s="511">
        <f t="shared" si="131"/>
        <v>0</v>
      </c>
      <c r="EF67" s="511">
        <f t="shared" si="131"/>
        <v>0</v>
      </c>
      <c r="EG67" s="511">
        <f t="shared" ref="EG67:EM70" si="132">AC67*CJ67</f>
        <v>0</v>
      </c>
      <c r="EH67" s="511">
        <f t="shared" si="132"/>
        <v>0</v>
      </c>
      <c r="EI67" s="511">
        <f t="shared" si="132"/>
        <v>0</v>
      </c>
      <c r="EJ67" s="511">
        <f t="shared" si="132"/>
        <v>0</v>
      </c>
      <c r="EK67" s="511">
        <f t="shared" si="132"/>
        <v>0</v>
      </c>
      <c r="EL67" s="511">
        <f t="shared" si="132"/>
        <v>0</v>
      </c>
      <c r="EM67" s="511">
        <f t="shared" si="132"/>
        <v>0</v>
      </c>
      <c r="EN67" s="511">
        <f t="shared" ref="EN67:ET70" si="133">AC67*CQ67</f>
        <v>0</v>
      </c>
      <c r="EO67" s="511">
        <f t="shared" si="133"/>
        <v>0</v>
      </c>
      <c r="EP67" s="511">
        <f t="shared" si="133"/>
        <v>0</v>
      </c>
      <c r="EQ67" s="511">
        <f t="shared" si="133"/>
        <v>0</v>
      </c>
      <c r="ER67" s="511">
        <f t="shared" si="133"/>
        <v>0</v>
      </c>
      <c r="ES67" s="511">
        <f t="shared" si="133"/>
        <v>0</v>
      </c>
      <c r="ET67" s="511">
        <f t="shared" si="133"/>
        <v>0</v>
      </c>
      <c r="EU67" s="777">
        <f t="shared" si="118"/>
        <v>0</v>
      </c>
      <c r="EV67" s="728">
        <f t="shared" si="108"/>
        <v>0</v>
      </c>
      <c r="EW67" s="728">
        <f t="shared" si="109"/>
        <v>0</v>
      </c>
      <c r="EX67" s="728">
        <f t="shared" si="110"/>
        <v>0</v>
      </c>
      <c r="EY67" s="728">
        <f t="shared" si="111"/>
        <v>0</v>
      </c>
      <c r="EZ67" s="777">
        <f t="shared" si="112"/>
        <v>0</v>
      </c>
      <c r="FA67" s="777">
        <f t="shared" si="113"/>
        <v>0</v>
      </c>
      <c r="FB67" s="778">
        <f t="shared" si="114"/>
        <v>0</v>
      </c>
    </row>
    <row r="68" spans="1:158" s="10" customFormat="1" ht="12.75" hidden="1" customHeight="1">
      <c r="A68" s="662" t="s">
        <v>200</v>
      </c>
      <c r="B68" s="789" t="s">
        <v>2164</v>
      </c>
      <c r="C68" s="662" t="s">
        <v>2022</v>
      </c>
      <c r="D68" s="715" t="s">
        <v>2023</v>
      </c>
      <c r="E68" s="662" t="s">
        <v>331</v>
      </c>
      <c r="F68" s="704" t="s">
        <v>402</v>
      </c>
      <c r="G68" s="707">
        <f t="shared" si="120"/>
        <v>56.837899999999998</v>
      </c>
      <c r="H68" s="707">
        <f t="shared" si="120"/>
        <v>0</v>
      </c>
      <c r="I68" s="707">
        <f t="shared" si="120"/>
        <v>56.837899999999998</v>
      </c>
      <c r="J68" s="707">
        <f t="shared" si="120"/>
        <v>0</v>
      </c>
      <c r="K68" s="707">
        <f t="shared" si="120"/>
        <v>28.418949999999999</v>
      </c>
      <c r="L68" s="1263" t="str">
        <f t="shared" si="120"/>
        <v>Ratio-adjusted based on magnitude of kWh/yr savings; Incremental Cost of CEE Tier 2 = Incremental Cost of ENERGY STAR x {(?kWh/yr of CEE Tier 2) / (?kWh/yr of Federal Standard)}</v>
      </c>
      <c r="M68" s="707" t="str">
        <f t="shared" si="120"/>
        <v>NA</v>
      </c>
      <c r="N68" s="707">
        <f t="shared" si="120"/>
        <v>30</v>
      </c>
      <c r="O68" s="707">
        <f t="shared" si="120"/>
        <v>0</v>
      </c>
      <c r="P68" s="707">
        <f t="shared" si="120"/>
        <v>0</v>
      </c>
      <c r="Q68" s="1022">
        <v>47.708726850976518</v>
      </c>
      <c r="R68" s="872">
        <v>5.8131345957194358E-3</v>
      </c>
      <c r="S68" s="1022">
        <v>0</v>
      </c>
      <c r="T68" s="711" t="str">
        <f t="shared" si="115"/>
        <v>Potential Study Results: Engineering calculation based on ENERGY STAR Appliance Calculator and CEE Efficiency Specfications</v>
      </c>
      <c r="U68" s="712"/>
      <c r="V68" s="1124">
        <f t="shared" si="83"/>
        <v>1.5948583670554631E-2</v>
      </c>
      <c r="W68" s="790"/>
      <c r="X68" s="790"/>
      <c r="Y68" s="790"/>
      <c r="Z68" s="790"/>
      <c r="AA68" s="790"/>
      <c r="AB68" s="790"/>
      <c r="AC68" s="781">
        <f t="shared" si="121"/>
        <v>20</v>
      </c>
      <c r="AD68" s="781">
        <f t="shared" si="121"/>
        <v>20</v>
      </c>
      <c r="AE68" s="781">
        <f t="shared" si="121"/>
        <v>20</v>
      </c>
      <c r="AF68" s="781">
        <f t="shared" si="121"/>
        <v>20</v>
      </c>
      <c r="AG68" s="781">
        <f t="shared" si="121"/>
        <v>20</v>
      </c>
      <c r="AH68" s="781">
        <f t="shared" si="122"/>
        <v>20</v>
      </c>
      <c r="AI68" s="781">
        <f t="shared" si="122"/>
        <v>20</v>
      </c>
      <c r="AJ68" s="711" t="s">
        <v>384</v>
      </c>
      <c r="AK68" s="711" t="s">
        <v>375</v>
      </c>
      <c r="AL68" s="711" t="s">
        <v>376</v>
      </c>
      <c r="AM68" s="711" t="s">
        <v>858</v>
      </c>
      <c r="AN68" s="711" t="s">
        <v>1</v>
      </c>
      <c r="AO68" s="711" t="s">
        <v>2026</v>
      </c>
      <c r="AP68" s="711" t="s">
        <v>1702</v>
      </c>
      <c r="AQ68" s="711" t="s">
        <v>339</v>
      </c>
      <c r="AR68" s="715" t="s">
        <v>859</v>
      </c>
      <c r="AS68" s="715"/>
      <c r="AT68" s="715" t="s">
        <v>385</v>
      </c>
      <c r="AU68" s="711">
        <v>12</v>
      </c>
      <c r="AV68" s="711">
        <v>12</v>
      </c>
      <c r="AW68" s="711" t="s">
        <v>2020</v>
      </c>
      <c r="AX68" s="716">
        <v>1</v>
      </c>
      <c r="AY68" s="716">
        <v>1</v>
      </c>
      <c r="AZ68" s="716">
        <v>0</v>
      </c>
      <c r="BA68" s="499">
        <f t="shared" si="86"/>
        <v>56.837899999999998</v>
      </c>
      <c r="BB68" s="499">
        <f t="shared" si="123"/>
        <v>56.837899999999998</v>
      </c>
      <c r="BC68" s="499">
        <f t="shared" si="123"/>
        <v>56.837899999999998</v>
      </c>
      <c r="BD68" s="499">
        <f t="shared" si="123"/>
        <v>56.837899999999998</v>
      </c>
      <c r="BE68" s="499">
        <f t="shared" si="88"/>
        <v>56.837899999999998</v>
      </c>
      <c r="BF68" s="499">
        <f t="shared" si="88"/>
        <v>56.837899999999998</v>
      </c>
      <c r="BG68" s="499">
        <f t="shared" si="88"/>
        <v>56.837899999999998</v>
      </c>
      <c r="BH68" s="499">
        <f t="shared" si="89"/>
        <v>0</v>
      </c>
      <c r="BI68" s="499">
        <f t="shared" si="124"/>
        <v>0</v>
      </c>
      <c r="BJ68" s="499">
        <f t="shared" si="124"/>
        <v>0</v>
      </c>
      <c r="BK68" s="499">
        <f t="shared" si="124"/>
        <v>0</v>
      </c>
      <c r="BL68" s="499">
        <f t="shared" si="124"/>
        <v>0</v>
      </c>
      <c r="BM68" s="499">
        <f t="shared" si="124"/>
        <v>0</v>
      </c>
      <c r="BN68" s="499">
        <f t="shared" si="124"/>
        <v>0</v>
      </c>
      <c r="BO68" s="499">
        <f t="shared" si="91"/>
        <v>30</v>
      </c>
      <c r="BP68" s="499">
        <f t="shared" si="119"/>
        <v>30</v>
      </c>
      <c r="BQ68" s="499">
        <f t="shared" si="119"/>
        <v>30</v>
      </c>
      <c r="BR68" s="499">
        <f t="shared" si="119"/>
        <v>30</v>
      </c>
      <c r="BS68" s="499">
        <f t="shared" si="119"/>
        <v>30</v>
      </c>
      <c r="BT68" s="499">
        <f t="shared" si="119"/>
        <v>30</v>
      </c>
      <c r="BU68" s="499">
        <f t="shared" si="119"/>
        <v>30</v>
      </c>
      <c r="BV68" s="503">
        <f t="shared" si="116"/>
        <v>0</v>
      </c>
      <c r="BW68" s="503">
        <f t="shared" si="116"/>
        <v>0</v>
      </c>
      <c r="BX68" s="503">
        <f t="shared" si="116"/>
        <v>0</v>
      </c>
      <c r="BY68" s="503">
        <f t="shared" si="116"/>
        <v>0</v>
      </c>
      <c r="BZ68" s="503">
        <f t="shared" si="116"/>
        <v>0</v>
      </c>
      <c r="CA68" s="503">
        <f t="shared" si="116"/>
        <v>0</v>
      </c>
      <c r="CB68" s="503">
        <f t="shared" si="116"/>
        <v>0</v>
      </c>
      <c r="CC68" s="511">
        <f t="shared" si="94"/>
        <v>47.708726850976518</v>
      </c>
      <c r="CD68" s="511">
        <f t="shared" si="125"/>
        <v>47.708726850976518</v>
      </c>
      <c r="CE68" s="511">
        <f t="shared" si="125"/>
        <v>47.708726850976518</v>
      </c>
      <c r="CF68" s="511">
        <f t="shared" si="125"/>
        <v>47.708726850976518</v>
      </c>
      <c r="CG68" s="511">
        <f t="shared" si="125"/>
        <v>47.708726850976518</v>
      </c>
      <c r="CH68" s="511">
        <f t="shared" si="125"/>
        <v>47.708726850976518</v>
      </c>
      <c r="CI68" s="511">
        <f t="shared" si="125"/>
        <v>47.708726850976518</v>
      </c>
      <c r="CJ68" s="511">
        <f t="shared" si="96"/>
        <v>5.8131345957194358E-3</v>
      </c>
      <c r="CK68" s="511">
        <f t="shared" si="126"/>
        <v>5.8131345957194358E-3</v>
      </c>
      <c r="CL68" s="511">
        <f t="shared" si="126"/>
        <v>5.8131345957194358E-3</v>
      </c>
      <c r="CM68" s="511">
        <f t="shared" si="126"/>
        <v>5.8131345957194358E-3</v>
      </c>
      <c r="CN68" s="511">
        <f t="shared" si="126"/>
        <v>5.8131345957194358E-3</v>
      </c>
      <c r="CO68" s="511">
        <f t="shared" si="126"/>
        <v>5.8131345957194358E-3</v>
      </c>
      <c r="CP68" s="511">
        <f t="shared" si="126"/>
        <v>5.8131345957194358E-3</v>
      </c>
      <c r="CQ68" s="511">
        <f t="shared" si="98"/>
        <v>0</v>
      </c>
      <c r="CR68" s="511">
        <f t="shared" si="127"/>
        <v>0</v>
      </c>
      <c r="CS68" s="511">
        <f t="shared" si="127"/>
        <v>0</v>
      </c>
      <c r="CT68" s="511">
        <f t="shared" si="127"/>
        <v>0</v>
      </c>
      <c r="CU68" s="511">
        <f t="shared" si="127"/>
        <v>0</v>
      </c>
      <c r="CV68" s="511">
        <f t="shared" si="127"/>
        <v>0</v>
      </c>
      <c r="CW68" s="511">
        <f t="shared" si="127"/>
        <v>0</v>
      </c>
      <c r="CX68" s="508">
        <f t="shared" si="128"/>
        <v>1136.758</v>
      </c>
      <c r="CY68" s="508">
        <f t="shared" si="128"/>
        <v>1136.758</v>
      </c>
      <c r="CZ68" s="508">
        <f t="shared" si="128"/>
        <v>1136.758</v>
      </c>
      <c r="DA68" s="508">
        <f t="shared" si="128"/>
        <v>1136.758</v>
      </c>
      <c r="DB68" s="508">
        <f t="shared" si="128"/>
        <v>1136.758</v>
      </c>
      <c r="DC68" s="508">
        <f t="shared" si="128"/>
        <v>1136.758</v>
      </c>
      <c r="DD68" s="508">
        <f t="shared" si="128"/>
        <v>1136.758</v>
      </c>
      <c r="DE68" s="508">
        <f t="shared" si="129"/>
        <v>0</v>
      </c>
      <c r="DF68" s="508">
        <f t="shared" si="129"/>
        <v>0</v>
      </c>
      <c r="DG68" s="508">
        <f t="shared" si="129"/>
        <v>0</v>
      </c>
      <c r="DH68" s="508">
        <f t="shared" si="129"/>
        <v>0</v>
      </c>
      <c r="DI68" s="508">
        <f t="shared" si="129"/>
        <v>0</v>
      </c>
      <c r="DJ68" s="508">
        <f t="shared" si="129"/>
        <v>0</v>
      </c>
      <c r="DK68" s="508">
        <f t="shared" si="129"/>
        <v>0</v>
      </c>
      <c r="DL68" s="508">
        <f t="shared" si="130"/>
        <v>600</v>
      </c>
      <c r="DM68" s="508">
        <f t="shared" si="130"/>
        <v>600</v>
      </c>
      <c r="DN68" s="508">
        <f t="shared" si="130"/>
        <v>600</v>
      </c>
      <c r="DO68" s="508">
        <f t="shared" si="130"/>
        <v>600</v>
      </c>
      <c r="DP68" s="508">
        <f t="shared" si="130"/>
        <v>600</v>
      </c>
      <c r="DQ68" s="508">
        <f t="shared" si="130"/>
        <v>600</v>
      </c>
      <c r="DR68" s="508">
        <f t="shared" si="130"/>
        <v>600</v>
      </c>
      <c r="DS68" s="508">
        <f t="shared" si="117"/>
        <v>0</v>
      </c>
      <c r="DT68" s="508">
        <f t="shared" si="117"/>
        <v>0</v>
      </c>
      <c r="DU68" s="508">
        <f t="shared" si="117"/>
        <v>0</v>
      </c>
      <c r="DV68" s="508">
        <f t="shared" si="117"/>
        <v>0</v>
      </c>
      <c r="DW68" s="508">
        <f t="shared" si="117"/>
        <v>0</v>
      </c>
      <c r="DX68" s="508">
        <f t="shared" si="117"/>
        <v>0</v>
      </c>
      <c r="DY68" s="508">
        <f t="shared" si="117"/>
        <v>0</v>
      </c>
      <c r="DZ68" s="511">
        <f t="shared" si="131"/>
        <v>954.17453701953036</v>
      </c>
      <c r="EA68" s="511">
        <f t="shared" si="131"/>
        <v>954.17453701953036</v>
      </c>
      <c r="EB68" s="511">
        <f t="shared" si="131"/>
        <v>954.17453701953036</v>
      </c>
      <c r="EC68" s="511">
        <f t="shared" si="131"/>
        <v>954.17453701953036</v>
      </c>
      <c r="ED68" s="511">
        <f t="shared" si="131"/>
        <v>954.17453701953036</v>
      </c>
      <c r="EE68" s="511">
        <f t="shared" si="131"/>
        <v>954.17453701953036</v>
      </c>
      <c r="EF68" s="511">
        <f t="shared" si="131"/>
        <v>954.17453701953036</v>
      </c>
      <c r="EG68" s="511">
        <f t="shared" si="132"/>
        <v>0.11626269191438872</v>
      </c>
      <c r="EH68" s="511">
        <f t="shared" si="132"/>
        <v>0.11626269191438872</v>
      </c>
      <c r="EI68" s="511">
        <f t="shared" si="132"/>
        <v>0.11626269191438872</v>
      </c>
      <c r="EJ68" s="511">
        <f t="shared" si="132"/>
        <v>0.11626269191438872</v>
      </c>
      <c r="EK68" s="511">
        <f t="shared" si="132"/>
        <v>0.11626269191438872</v>
      </c>
      <c r="EL68" s="511">
        <f t="shared" si="132"/>
        <v>0.11626269191438872</v>
      </c>
      <c r="EM68" s="511">
        <f t="shared" si="132"/>
        <v>0.11626269191438872</v>
      </c>
      <c r="EN68" s="511">
        <f t="shared" si="133"/>
        <v>0</v>
      </c>
      <c r="EO68" s="511">
        <f t="shared" si="133"/>
        <v>0</v>
      </c>
      <c r="EP68" s="511">
        <f t="shared" si="133"/>
        <v>0</v>
      </c>
      <c r="EQ68" s="511">
        <f t="shared" si="133"/>
        <v>0</v>
      </c>
      <c r="ER68" s="511">
        <f t="shared" si="133"/>
        <v>0</v>
      </c>
      <c r="ES68" s="511">
        <f t="shared" si="133"/>
        <v>0</v>
      </c>
      <c r="ET68" s="511">
        <f t="shared" si="133"/>
        <v>0</v>
      </c>
      <c r="EU68" s="777">
        <f t="shared" si="118"/>
        <v>140</v>
      </c>
      <c r="EV68" s="728">
        <f t="shared" si="108"/>
        <v>7957.3059999999996</v>
      </c>
      <c r="EW68" s="728">
        <f t="shared" si="109"/>
        <v>0</v>
      </c>
      <c r="EX68" s="728">
        <f t="shared" si="110"/>
        <v>4200</v>
      </c>
      <c r="EY68" s="728">
        <f t="shared" si="111"/>
        <v>0</v>
      </c>
      <c r="EZ68" s="777">
        <f t="shared" si="112"/>
        <v>6679.2217591367125</v>
      </c>
      <c r="FA68" s="777">
        <f t="shared" si="113"/>
        <v>0.8138388434007211</v>
      </c>
      <c r="FB68" s="778">
        <f t="shared" si="114"/>
        <v>0</v>
      </c>
    </row>
    <row r="69" spans="1:158" s="10" customFormat="1" ht="12.75" hidden="1" customHeight="1">
      <c r="A69" s="662" t="s">
        <v>201</v>
      </c>
      <c r="B69" s="789" t="s">
        <v>2165</v>
      </c>
      <c r="C69" s="662" t="s">
        <v>2028</v>
      </c>
      <c r="D69" s="715" t="s">
        <v>2029</v>
      </c>
      <c r="E69" s="662" t="s">
        <v>331</v>
      </c>
      <c r="F69" s="704" t="s">
        <v>402</v>
      </c>
      <c r="G69" s="707">
        <f t="shared" si="120"/>
        <v>28.011622424253943</v>
      </c>
      <c r="H69" s="707">
        <f t="shared" si="120"/>
        <v>0</v>
      </c>
      <c r="I69" s="707">
        <f t="shared" si="120"/>
        <v>28.011622424253943</v>
      </c>
      <c r="J69" s="707">
        <f t="shared" si="120"/>
        <v>0</v>
      </c>
      <c r="K69" s="707">
        <f t="shared" si="120"/>
        <v>14.005811212126972</v>
      </c>
      <c r="L69" s="1263" t="str">
        <f t="shared" si="120"/>
        <v>Based on online research from various retailers: Best Buy, Lowes, Home Depot and Sears. Reviewed all possible models found on these retailers websites. Mapped model numbers to ENERGY STAR qualified product list. Engineering calculation to interpolate costs</v>
      </c>
      <c r="M69" s="707" t="str">
        <f t="shared" si="120"/>
        <v>NA</v>
      </c>
      <c r="N69" s="707">
        <f t="shared" si="120"/>
        <v>15</v>
      </c>
      <c r="O69" s="707">
        <f t="shared" si="120"/>
        <v>0</v>
      </c>
      <c r="P69" s="707">
        <f t="shared" si="120"/>
        <v>0</v>
      </c>
      <c r="Q69" s="1022">
        <v>150.5125729221453</v>
      </c>
      <c r="R69" s="872">
        <v>0</v>
      </c>
      <c r="S69" s="1022">
        <v>0</v>
      </c>
      <c r="T69" s="711" t="str">
        <f t="shared" si="115"/>
        <v>Potential Study Results: Calculations based on ENERGY STAR Appliances Calculator. Accessed 06.07.2016</v>
      </c>
      <c r="U69" s="712"/>
      <c r="V69" s="1124">
        <f t="shared" si="83"/>
        <v>1.0830754582242324E-2</v>
      </c>
      <c r="W69" s="790"/>
      <c r="X69" s="790"/>
      <c r="Y69" s="790"/>
      <c r="Z69" s="790"/>
      <c r="AA69" s="790"/>
      <c r="AB69" s="790"/>
      <c r="AC69" s="781">
        <f t="shared" si="121"/>
        <v>15</v>
      </c>
      <c r="AD69" s="781">
        <f t="shared" si="121"/>
        <v>15</v>
      </c>
      <c r="AE69" s="781">
        <f t="shared" si="121"/>
        <v>15</v>
      </c>
      <c r="AF69" s="781">
        <f t="shared" si="121"/>
        <v>15</v>
      </c>
      <c r="AG69" s="781">
        <f t="shared" si="121"/>
        <v>15</v>
      </c>
      <c r="AH69" s="781">
        <f t="shared" si="122"/>
        <v>15</v>
      </c>
      <c r="AI69" s="781">
        <f t="shared" si="122"/>
        <v>15</v>
      </c>
      <c r="AJ69" s="711" t="s">
        <v>384</v>
      </c>
      <c r="AK69" s="711" t="s">
        <v>375</v>
      </c>
      <c r="AL69" s="711" t="s">
        <v>376</v>
      </c>
      <c r="AM69" s="711" t="s">
        <v>1981</v>
      </c>
      <c r="AN69" s="711" t="s">
        <v>1</v>
      </c>
      <c r="AO69" s="711" t="s">
        <v>2032</v>
      </c>
      <c r="AP69" s="711" t="s">
        <v>2028</v>
      </c>
      <c r="AQ69" s="711" t="s">
        <v>2029</v>
      </c>
      <c r="AR69" s="715" t="s">
        <v>943</v>
      </c>
      <c r="AS69" s="715" t="s">
        <v>1941</v>
      </c>
      <c r="AT69" s="715" t="s">
        <v>385</v>
      </c>
      <c r="AU69" s="711">
        <v>11</v>
      </c>
      <c r="AV69" s="912">
        <v>11</v>
      </c>
      <c r="AW69" s="711" t="s">
        <v>2033</v>
      </c>
      <c r="AX69" s="716">
        <v>1</v>
      </c>
      <c r="AY69" s="716">
        <v>1</v>
      </c>
      <c r="AZ69" s="716">
        <v>0</v>
      </c>
      <c r="BA69" s="499">
        <f t="shared" si="86"/>
        <v>28.011622424253943</v>
      </c>
      <c r="BB69" s="499">
        <f t="shared" si="123"/>
        <v>28.011622424253943</v>
      </c>
      <c r="BC69" s="499">
        <f t="shared" si="123"/>
        <v>28.011622424253943</v>
      </c>
      <c r="BD69" s="499">
        <f t="shared" si="123"/>
        <v>28.011622424253943</v>
      </c>
      <c r="BE69" s="499">
        <f t="shared" si="88"/>
        <v>28.011622424253943</v>
      </c>
      <c r="BF69" s="499">
        <f t="shared" si="88"/>
        <v>28.011622424253943</v>
      </c>
      <c r="BG69" s="499">
        <f t="shared" si="88"/>
        <v>28.011622424253943</v>
      </c>
      <c r="BH69" s="499">
        <f t="shared" si="89"/>
        <v>0</v>
      </c>
      <c r="BI69" s="499">
        <f t="shared" si="124"/>
        <v>0</v>
      </c>
      <c r="BJ69" s="499">
        <f t="shared" si="124"/>
        <v>0</v>
      </c>
      <c r="BK69" s="499">
        <f t="shared" si="124"/>
        <v>0</v>
      </c>
      <c r="BL69" s="499">
        <f t="shared" si="124"/>
        <v>0</v>
      </c>
      <c r="BM69" s="499">
        <f t="shared" si="124"/>
        <v>0</v>
      </c>
      <c r="BN69" s="499">
        <f t="shared" si="124"/>
        <v>0</v>
      </c>
      <c r="BO69" s="499">
        <f t="shared" si="91"/>
        <v>15</v>
      </c>
      <c r="BP69" s="499">
        <f t="shared" ref="BP69:BU84" si="134">BO69</f>
        <v>15</v>
      </c>
      <c r="BQ69" s="499">
        <f t="shared" si="134"/>
        <v>15</v>
      </c>
      <c r="BR69" s="499">
        <f t="shared" si="134"/>
        <v>15</v>
      </c>
      <c r="BS69" s="499">
        <f t="shared" si="134"/>
        <v>15</v>
      </c>
      <c r="BT69" s="499">
        <f t="shared" si="134"/>
        <v>15</v>
      </c>
      <c r="BU69" s="499">
        <f t="shared" si="134"/>
        <v>15</v>
      </c>
      <c r="BV69" s="503">
        <f t="shared" si="116"/>
        <v>0</v>
      </c>
      <c r="BW69" s="503">
        <f t="shared" si="116"/>
        <v>0</v>
      </c>
      <c r="BX69" s="503">
        <f t="shared" si="116"/>
        <v>0</v>
      </c>
      <c r="BY69" s="503">
        <f t="shared" si="116"/>
        <v>0</v>
      </c>
      <c r="BZ69" s="503">
        <f t="shared" si="116"/>
        <v>0</v>
      </c>
      <c r="CA69" s="503">
        <f t="shared" si="116"/>
        <v>0</v>
      </c>
      <c r="CB69" s="503">
        <f t="shared" si="116"/>
        <v>0</v>
      </c>
      <c r="CC69" s="511">
        <f t="shared" si="94"/>
        <v>150.5125729221453</v>
      </c>
      <c r="CD69" s="511">
        <f t="shared" si="125"/>
        <v>150.5125729221453</v>
      </c>
      <c r="CE69" s="511">
        <f t="shared" si="125"/>
        <v>150.5125729221453</v>
      </c>
      <c r="CF69" s="511">
        <f t="shared" si="125"/>
        <v>150.5125729221453</v>
      </c>
      <c r="CG69" s="511">
        <f t="shared" si="125"/>
        <v>150.5125729221453</v>
      </c>
      <c r="CH69" s="511">
        <f t="shared" si="125"/>
        <v>150.5125729221453</v>
      </c>
      <c r="CI69" s="511">
        <f t="shared" si="125"/>
        <v>150.5125729221453</v>
      </c>
      <c r="CJ69" s="511">
        <f t="shared" si="96"/>
        <v>0</v>
      </c>
      <c r="CK69" s="511">
        <f t="shared" si="126"/>
        <v>0</v>
      </c>
      <c r="CL69" s="511">
        <f t="shared" si="126"/>
        <v>0</v>
      </c>
      <c r="CM69" s="511">
        <f t="shared" si="126"/>
        <v>0</v>
      </c>
      <c r="CN69" s="511">
        <f t="shared" si="126"/>
        <v>0</v>
      </c>
      <c r="CO69" s="511">
        <f t="shared" si="126"/>
        <v>0</v>
      </c>
      <c r="CP69" s="511">
        <f t="shared" si="126"/>
        <v>0</v>
      </c>
      <c r="CQ69" s="511">
        <f t="shared" si="98"/>
        <v>0</v>
      </c>
      <c r="CR69" s="511">
        <f t="shared" si="127"/>
        <v>0</v>
      </c>
      <c r="CS69" s="511">
        <f t="shared" si="127"/>
        <v>0</v>
      </c>
      <c r="CT69" s="511">
        <f t="shared" si="127"/>
        <v>0</v>
      </c>
      <c r="CU69" s="511">
        <f t="shared" si="127"/>
        <v>0</v>
      </c>
      <c r="CV69" s="511">
        <f t="shared" si="127"/>
        <v>0</v>
      </c>
      <c r="CW69" s="511">
        <f t="shared" si="127"/>
        <v>0</v>
      </c>
      <c r="CX69" s="508">
        <f t="shared" si="128"/>
        <v>420.17433636380918</v>
      </c>
      <c r="CY69" s="508">
        <f t="shared" si="128"/>
        <v>420.17433636380918</v>
      </c>
      <c r="CZ69" s="508">
        <f t="shared" si="128"/>
        <v>420.17433636380918</v>
      </c>
      <c r="DA69" s="508">
        <f t="shared" si="128"/>
        <v>420.17433636380918</v>
      </c>
      <c r="DB69" s="508">
        <f t="shared" si="128"/>
        <v>420.17433636380918</v>
      </c>
      <c r="DC69" s="508">
        <f t="shared" si="128"/>
        <v>420.17433636380918</v>
      </c>
      <c r="DD69" s="508">
        <f t="shared" si="128"/>
        <v>420.17433636380918</v>
      </c>
      <c r="DE69" s="508">
        <f t="shared" si="129"/>
        <v>0</v>
      </c>
      <c r="DF69" s="508">
        <f t="shared" si="129"/>
        <v>0</v>
      </c>
      <c r="DG69" s="508">
        <f t="shared" si="129"/>
        <v>0</v>
      </c>
      <c r="DH69" s="508">
        <f t="shared" si="129"/>
        <v>0</v>
      </c>
      <c r="DI69" s="508">
        <f t="shared" si="129"/>
        <v>0</v>
      </c>
      <c r="DJ69" s="508">
        <f t="shared" si="129"/>
        <v>0</v>
      </c>
      <c r="DK69" s="508">
        <f t="shared" si="129"/>
        <v>0</v>
      </c>
      <c r="DL69" s="508">
        <f t="shared" si="130"/>
        <v>225</v>
      </c>
      <c r="DM69" s="508">
        <f t="shared" si="130"/>
        <v>225</v>
      </c>
      <c r="DN69" s="508">
        <f t="shared" si="130"/>
        <v>225</v>
      </c>
      <c r="DO69" s="508">
        <f t="shared" si="130"/>
        <v>225</v>
      </c>
      <c r="DP69" s="508">
        <f t="shared" si="130"/>
        <v>225</v>
      </c>
      <c r="DQ69" s="508">
        <f t="shared" si="130"/>
        <v>225</v>
      </c>
      <c r="DR69" s="508">
        <f t="shared" si="130"/>
        <v>225</v>
      </c>
      <c r="DS69" s="508">
        <f t="shared" si="117"/>
        <v>0</v>
      </c>
      <c r="DT69" s="508">
        <f t="shared" si="117"/>
        <v>0</v>
      </c>
      <c r="DU69" s="508">
        <f t="shared" si="117"/>
        <v>0</v>
      </c>
      <c r="DV69" s="508">
        <f t="shared" si="117"/>
        <v>0</v>
      </c>
      <c r="DW69" s="508">
        <f t="shared" si="117"/>
        <v>0</v>
      </c>
      <c r="DX69" s="508">
        <f t="shared" si="117"/>
        <v>0</v>
      </c>
      <c r="DY69" s="508">
        <f t="shared" si="117"/>
        <v>0</v>
      </c>
      <c r="DZ69" s="511">
        <f t="shared" si="131"/>
        <v>2257.6885938321793</v>
      </c>
      <c r="EA69" s="511">
        <f t="shared" si="131"/>
        <v>2257.6885938321793</v>
      </c>
      <c r="EB69" s="511">
        <f t="shared" si="131"/>
        <v>2257.6885938321793</v>
      </c>
      <c r="EC69" s="511">
        <f t="shared" si="131"/>
        <v>2257.6885938321793</v>
      </c>
      <c r="ED69" s="511">
        <f t="shared" si="131"/>
        <v>2257.6885938321793</v>
      </c>
      <c r="EE69" s="511">
        <f t="shared" si="131"/>
        <v>2257.6885938321793</v>
      </c>
      <c r="EF69" s="511">
        <f t="shared" si="131"/>
        <v>2257.6885938321793</v>
      </c>
      <c r="EG69" s="511">
        <f t="shared" si="132"/>
        <v>0</v>
      </c>
      <c r="EH69" s="511">
        <f t="shared" si="132"/>
        <v>0</v>
      </c>
      <c r="EI69" s="511">
        <f t="shared" si="132"/>
        <v>0</v>
      </c>
      <c r="EJ69" s="511">
        <f t="shared" si="132"/>
        <v>0</v>
      </c>
      <c r="EK69" s="511">
        <f t="shared" si="132"/>
        <v>0</v>
      </c>
      <c r="EL69" s="511">
        <f t="shared" si="132"/>
        <v>0</v>
      </c>
      <c r="EM69" s="511">
        <f t="shared" si="132"/>
        <v>0</v>
      </c>
      <c r="EN69" s="511">
        <f t="shared" si="133"/>
        <v>0</v>
      </c>
      <c r="EO69" s="511">
        <f t="shared" si="133"/>
        <v>0</v>
      </c>
      <c r="EP69" s="511">
        <f t="shared" si="133"/>
        <v>0</v>
      </c>
      <c r="EQ69" s="511">
        <f t="shared" si="133"/>
        <v>0</v>
      </c>
      <c r="ER69" s="511">
        <f t="shared" si="133"/>
        <v>0</v>
      </c>
      <c r="ES69" s="511">
        <f t="shared" si="133"/>
        <v>0</v>
      </c>
      <c r="ET69" s="511">
        <f t="shared" si="133"/>
        <v>0</v>
      </c>
      <c r="EU69" s="777">
        <f t="shared" si="118"/>
        <v>105</v>
      </c>
      <c r="EV69" s="728">
        <f t="shared" si="108"/>
        <v>2941.2203545466646</v>
      </c>
      <c r="EW69" s="728">
        <f t="shared" si="109"/>
        <v>0</v>
      </c>
      <c r="EX69" s="728">
        <f t="shared" si="110"/>
        <v>1575</v>
      </c>
      <c r="EY69" s="728">
        <f t="shared" si="111"/>
        <v>0</v>
      </c>
      <c r="EZ69" s="777">
        <f t="shared" si="112"/>
        <v>15803.820156825255</v>
      </c>
      <c r="FA69" s="777">
        <f t="shared" si="113"/>
        <v>0</v>
      </c>
      <c r="FB69" s="778">
        <f t="shared" si="114"/>
        <v>0</v>
      </c>
    </row>
    <row r="70" spans="1:158" s="10" customFormat="1" ht="12.75" hidden="1" customHeight="1">
      <c r="A70" s="662" t="s">
        <v>202</v>
      </c>
      <c r="B70" s="789" t="s">
        <v>2166</v>
      </c>
      <c r="C70" s="662" t="s">
        <v>2035</v>
      </c>
      <c r="D70" s="715" t="s">
        <v>2036</v>
      </c>
      <c r="E70" s="662" t="s">
        <v>331</v>
      </c>
      <c r="F70" s="704" t="s">
        <v>402</v>
      </c>
      <c r="G70" s="707">
        <f t="shared" si="120"/>
        <v>95.810292993796438</v>
      </c>
      <c r="H70" s="707">
        <f t="shared" si="120"/>
        <v>0</v>
      </c>
      <c r="I70" s="707">
        <f t="shared" si="120"/>
        <v>95.810292993796438</v>
      </c>
      <c r="J70" s="707">
        <f t="shared" si="120"/>
        <v>0</v>
      </c>
      <c r="K70" s="707">
        <f t="shared" si="120"/>
        <v>47.905146496898219</v>
      </c>
      <c r="L70" s="1263" t="str">
        <f t="shared" si="120"/>
        <v>Based on online research from various retailers: Best Buy, Lowes, Home Depot and Sears. Reviewed all possible models found on these retailers websites. Mapped model numbers to ENERGY STAR qualified product list. Engineering calculation to interpolate costs</v>
      </c>
      <c r="M70" s="707" t="str">
        <f t="shared" si="120"/>
        <v>NA</v>
      </c>
      <c r="N70" s="707">
        <f t="shared" si="120"/>
        <v>50</v>
      </c>
      <c r="O70" s="707">
        <f t="shared" si="120"/>
        <v>0</v>
      </c>
      <c r="P70" s="707">
        <f t="shared" si="120"/>
        <v>0</v>
      </c>
      <c r="Q70" s="1022">
        <v>396.56513073049956</v>
      </c>
      <c r="R70" s="872">
        <v>0</v>
      </c>
      <c r="S70" s="1022">
        <v>0</v>
      </c>
      <c r="T70" s="711" t="str">
        <f t="shared" si="115"/>
        <v>Potential Study Results: Calculations based on ENERGY STAR Appliances Calculator. Accessed 06.07.2016</v>
      </c>
      <c r="U70" s="712"/>
      <c r="V70" s="1124">
        <f t="shared" si="83"/>
        <v>0</v>
      </c>
      <c r="W70" s="790"/>
      <c r="X70" s="790"/>
      <c r="Y70" s="790"/>
      <c r="Z70" s="790"/>
      <c r="AA70" s="790"/>
      <c r="AB70" s="790"/>
      <c r="AC70" s="781">
        <f t="shared" si="121"/>
        <v>0</v>
      </c>
      <c r="AD70" s="781">
        <f t="shared" si="121"/>
        <v>0</v>
      </c>
      <c r="AE70" s="781">
        <f t="shared" si="121"/>
        <v>0</v>
      </c>
      <c r="AF70" s="781">
        <f t="shared" si="121"/>
        <v>0</v>
      </c>
      <c r="AG70" s="781">
        <f t="shared" si="121"/>
        <v>0</v>
      </c>
      <c r="AH70" s="781">
        <f t="shared" si="122"/>
        <v>0</v>
      </c>
      <c r="AI70" s="781">
        <f t="shared" si="122"/>
        <v>0</v>
      </c>
      <c r="AJ70" s="711" t="s">
        <v>384</v>
      </c>
      <c r="AK70" s="711" t="s">
        <v>375</v>
      </c>
      <c r="AL70" s="711" t="s">
        <v>376</v>
      </c>
      <c r="AM70" s="711" t="s">
        <v>1981</v>
      </c>
      <c r="AN70" s="711" t="s">
        <v>1</v>
      </c>
      <c r="AO70" s="711" t="s">
        <v>2037</v>
      </c>
      <c r="AP70" s="711" t="s">
        <v>2035</v>
      </c>
      <c r="AQ70" s="711" t="s">
        <v>2036</v>
      </c>
      <c r="AR70" s="715" t="s">
        <v>943</v>
      </c>
      <c r="AS70" s="715" t="s">
        <v>1941</v>
      </c>
      <c r="AT70" s="715" t="s">
        <v>385</v>
      </c>
      <c r="AU70" s="711">
        <v>11</v>
      </c>
      <c r="AV70" s="912">
        <v>11</v>
      </c>
      <c r="AW70" s="711" t="s">
        <v>2033</v>
      </c>
      <c r="AX70" s="716">
        <v>1</v>
      </c>
      <c r="AY70" s="716">
        <v>1</v>
      </c>
      <c r="AZ70" s="716">
        <v>0</v>
      </c>
      <c r="BA70" s="499">
        <f t="shared" si="86"/>
        <v>95.810292993796438</v>
      </c>
      <c r="BB70" s="499">
        <f t="shared" si="123"/>
        <v>95.810292993796438</v>
      </c>
      <c r="BC70" s="499">
        <f t="shared" si="123"/>
        <v>95.810292993796438</v>
      </c>
      <c r="BD70" s="499">
        <f t="shared" si="123"/>
        <v>95.810292993796438</v>
      </c>
      <c r="BE70" s="499">
        <f t="shared" si="88"/>
        <v>95.810292993796438</v>
      </c>
      <c r="BF70" s="499">
        <f t="shared" si="88"/>
        <v>95.810292993796438</v>
      </c>
      <c r="BG70" s="499">
        <f t="shared" si="88"/>
        <v>95.810292993796438</v>
      </c>
      <c r="BH70" s="499">
        <f t="shared" si="89"/>
        <v>0</v>
      </c>
      <c r="BI70" s="499">
        <f t="shared" si="124"/>
        <v>0</v>
      </c>
      <c r="BJ70" s="499">
        <f t="shared" si="124"/>
        <v>0</v>
      </c>
      <c r="BK70" s="499">
        <f t="shared" si="124"/>
        <v>0</v>
      </c>
      <c r="BL70" s="499">
        <f t="shared" si="124"/>
        <v>0</v>
      </c>
      <c r="BM70" s="499">
        <f t="shared" si="124"/>
        <v>0</v>
      </c>
      <c r="BN70" s="499">
        <f t="shared" si="124"/>
        <v>0</v>
      </c>
      <c r="BO70" s="499">
        <f t="shared" si="91"/>
        <v>50</v>
      </c>
      <c r="BP70" s="499">
        <f t="shared" si="134"/>
        <v>50</v>
      </c>
      <c r="BQ70" s="499">
        <f t="shared" si="134"/>
        <v>50</v>
      </c>
      <c r="BR70" s="499">
        <f t="shared" si="134"/>
        <v>50</v>
      </c>
      <c r="BS70" s="499">
        <f t="shared" si="134"/>
        <v>50</v>
      </c>
      <c r="BT70" s="499">
        <f t="shared" si="134"/>
        <v>50</v>
      </c>
      <c r="BU70" s="499">
        <f t="shared" si="134"/>
        <v>50</v>
      </c>
      <c r="BV70" s="503">
        <f t="shared" si="116"/>
        <v>0</v>
      </c>
      <c r="BW70" s="503">
        <f t="shared" si="116"/>
        <v>0</v>
      </c>
      <c r="BX70" s="503">
        <f t="shared" si="116"/>
        <v>0</v>
      </c>
      <c r="BY70" s="503">
        <f t="shared" si="116"/>
        <v>0</v>
      </c>
      <c r="BZ70" s="503">
        <f t="shared" si="116"/>
        <v>0</v>
      </c>
      <c r="CA70" s="503">
        <f t="shared" si="116"/>
        <v>0</v>
      </c>
      <c r="CB70" s="503">
        <f t="shared" si="116"/>
        <v>0</v>
      </c>
      <c r="CC70" s="511">
        <f t="shared" si="94"/>
        <v>396.56513073049956</v>
      </c>
      <c r="CD70" s="511">
        <f t="shared" si="125"/>
        <v>396.56513073049956</v>
      </c>
      <c r="CE70" s="511">
        <f t="shared" si="125"/>
        <v>396.56513073049956</v>
      </c>
      <c r="CF70" s="511">
        <f t="shared" si="125"/>
        <v>396.56513073049956</v>
      </c>
      <c r="CG70" s="511">
        <f t="shared" si="125"/>
        <v>396.56513073049956</v>
      </c>
      <c r="CH70" s="511">
        <f t="shared" si="125"/>
        <v>396.56513073049956</v>
      </c>
      <c r="CI70" s="511">
        <f t="shared" si="125"/>
        <v>396.56513073049956</v>
      </c>
      <c r="CJ70" s="511">
        <f t="shared" si="96"/>
        <v>0</v>
      </c>
      <c r="CK70" s="511">
        <f t="shared" si="126"/>
        <v>0</v>
      </c>
      <c r="CL70" s="511">
        <f t="shared" si="126"/>
        <v>0</v>
      </c>
      <c r="CM70" s="511">
        <f t="shared" si="126"/>
        <v>0</v>
      </c>
      <c r="CN70" s="511">
        <f t="shared" si="126"/>
        <v>0</v>
      </c>
      <c r="CO70" s="511">
        <f t="shared" si="126"/>
        <v>0</v>
      </c>
      <c r="CP70" s="511">
        <f t="shared" si="126"/>
        <v>0</v>
      </c>
      <c r="CQ70" s="511">
        <f t="shared" si="98"/>
        <v>0</v>
      </c>
      <c r="CR70" s="511">
        <f t="shared" si="127"/>
        <v>0</v>
      </c>
      <c r="CS70" s="511">
        <f t="shared" si="127"/>
        <v>0</v>
      </c>
      <c r="CT70" s="511">
        <f t="shared" si="127"/>
        <v>0</v>
      </c>
      <c r="CU70" s="511">
        <f t="shared" si="127"/>
        <v>0</v>
      </c>
      <c r="CV70" s="511">
        <f t="shared" si="127"/>
        <v>0</v>
      </c>
      <c r="CW70" s="511">
        <f t="shared" si="127"/>
        <v>0</v>
      </c>
      <c r="CX70" s="508">
        <f t="shared" si="128"/>
        <v>0</v>
      </c>
      <c r="CY70" s="508">
        <f t="shared" si="128"/>
        <v>0</v>
      </c>
      <c r="CZ70" s="508">
        <f t="shared" si="128"/>
        <v>0</v>
      </c>
      <c r="DA70" s="508">
        <f t="shared" si="128"/>
        <v>0</v>
      </c>
      <c r="DB70" s="508">
        <f t="shared" si="128"/>
        <v>0</v>
      </c>
      <c r="DC70" s="508">
        <f t="shared" si="128"/>
        <v>0</v>
      </c>
      <c r="DD70" s="508">
        <f t="shared" si="128"/>
        <v>0</v>
      </c>
      <c r="DE70" s="508">
        <f t="shared" si="129"/>
        <v>0</v>
      </c>
      <c r="DF70" s="508">
        <f t="shared" si="129"/>
        <v>0</v>
      </c>
      <c r="DG70" s="508">
        <f t="shared" si="129"/>
        <v>0</v>
      </c>
      <c r="DH70" s="508">
        <f t="shared" si="129"/>
        <v>0</v>
      </c>
      <c r="DI70" s="508">
        <f t="shared" si="129"/>
        <v>0</v>
      </c>
      <c r="DJ70" s="508">
        <f t="shared" si="129"/>
        <v>0</v>
      </c>
      <c r="DK70" s="508">
        <f t="shared" si="129"/>
        <v>0</v>
      </c>
      <c r="DL70" s="508">
        <f t="shared" si="130"/>
        <v>0</v>
      </c>
      <c r="DM70" s="508">
        <f t="shared" si="130"/>
        <v>0</v>
      </c>
      <c r="DN70" s="508">
        <f t="shared" si="130"/>
        <v>0</v>
      </c>
      <c r="DO70" s="508">
        <f t="shared" si="130"/>
        <v>0</v>
      </c>
      <c r="DP70" s="508">
        <f t="shared" si="130"/>
        <v>0</v>
      </c>
      <c r="DQ70" s="508">
        <f t="shared" si="130"/>
        <v>0</v>
      </c>
      <c r="DR70" s="508">
        <f t="shared" si="130"/>
        <v>0</v>
      </c>
      <c r="DS70" s="508">
        <f t="shared" si="117"/>
        <v>0</v>
      </c>
      <c r="DT70" s="508">
        <f t="shared" si="117"/>
        <v>0</v>
      </c>
      <c r="DU70" s="508">
        <f t="shared" si="117"/>
        <v>0</v>
      </c>
      <c r="DV70" s="508">
        <f t="shared" si="117"/>
        <v>0</v>
      </c>
      <c r="DW70" s="508">
        <f t="shared" si="117"/>
        <v>0</v>
      </c>
      <c r="DX70" s="508">
        <f t="shared" si="117"/>
        <v>0</v>
      </c>
      <c r="DY70" s="508">
        <f t="shared" si="117"/>
        <v>0</v>
      </c>
      <c r="DZ70" s="511">
        <f t="shared" si="131"/>
        <v>0</v>
      </c>
      <c r="EA70" s="511">
        <f t="shared" si="131"/>
        <v>0</v>
      </c>
      <c r="EB70" s="511">
        <f t="shared" si="131"/>
        <v>0</v>
      </c>
      <c r="EC70" s="511">
        <f t="shared" si="131"/>
        <v>0</v>
      </c>
      <c r="ED70" s="511">
        <f t="shared" si="131"/>
        <v>0</v>
      </c>
      <c r="EE70" s="511">
        <f t="shared" si="131"/>
        <v>0</v>
      </c>
      <c r="EF70" s="511">
        <f t="shared" si="131"/>
        <v>0</v>
      </c>
      <c r="EG70" s="511">
        <f t="shared" si="132"/>
        <v>0</v>
      </c>
      <c r="EH70" s="511">
        <f t="shared" si="132"/>
        <v>0</v>
      </c>
      <c r="EI70" s="511">
        <f t="shared" si="132"/>
        <v>0</v>
      </c>
      <c r="EJ70" s="511">
        <f t="shared" si="132"/>
        <v>0</v>
      </c>
      <c r="EK70" s="511">
        <f t="shared" si="132"/>
        <v>0</v>
      </c>
      <c r="EL70" s="511">
        <f t="shared" si="132"/>
        <v>0</v>
      </c>
      <c r="EM70" s="511">
        <f t="shared" si="132"/>
        <v>0</v>
      </c>
      <c r="EN70" s="511">
        <f t="shared" si="133"/>
        <v>0</v>
      </c>
      <c r="EO70" s="511">
        <f t="shared" si="133"/>
        <v>0</v>
      </c>
      <c r="EP70" s="511">
        <f t="shared" si="133"/>
        <v>0</v>
      </c>
      <c r="EQ70" s="511">
        <f t="shared" si="133"/>
        <v>0</v>
      </c>
      <c r="ER70" s="511">
        <f t="shared" si="133"/>
        <v>0</v>
      </c>
      <c r="ES70" s="511">
        <f t="shared" si="133"/>
        <v>0</v>
      </c>
      <c r="ET70" s="511">
        <f t="shared" si="133"/>
        <v>0</v>
      </c>
      <c r="EU70" s="777">
        <f t="shared" si="118"/>
        <v>0</v>
      </c>
      <c r="EV70" s="728">
        <f t="shared" si="108"/>
        <v>0</v>
      </c>
      <c r="EW70" s="728">
        <f t="shared" si="109"/>
        <v>0</v>
      </c>
      <c r="EX70" s="728">
        <f t="shared" si="110"/>
        <v>0</v>
      </c>
      <c r="EY70" s="728">
        <f t="shared" si="111"/>
        <v>0</v>
      </c>
      <c r="EZ70" s="777">
        <f t="shared" si="112"/>
        <v>0</v>
      </c>
      <c r="FA70" s="777">
        <f t="shared" si="113"/>
        <v>0</v>
      </c>
      <c r="FB70" s="778">
        <f t="shared" si="114"/>
        <v>0</v>
      </c>
    </row>
    <row r="71" spans="1:158" s="10" customFormat="1" ht="12.75" hidden="1" customHeight="1">
      <c r="A71" s="662"/>
      <c r="B71" s="789" t="s">
        <v>2149</v>
      </c>
      <c r="C71" s="662"/>
      <c r="D71" s="715"/>
      <c r="E71" s="662"/>
      <c r="F71" s="704"/>
      <c r="G71" s="707">
        <f t="shared" si="120"/>
        <v>28.011622424253943</v>
      </c>
      <c r="H71" s="707">
        <f t="shared" si="120"/>
        <v>0</v>
      </c>
      <c r="I71" s="707">
        <f t="shared" si="120"/>
        <v>28.011622424253943</v>
      </c>
      <c r="J71" s="707">
        <f t="shared" si="120"/>
        <v>0</v>
      </c>
      <c r="K71" s="707">
        <f t="shared" si="120"/>
        <v>14.005811212126972</v>
      </c>
      <c r="L71" s="1263" t="str">
        <f t="shared" si="120"/>
        <v>Based on online research from various retailers: Best Buy, Lowes, Home Depot and Sears. Reviewed all possible models found on these retailers websites. Mapped model numbers to ENERGY STAR qualified product list. Engineering calculation to interpolate costs</v>
      </c>
      <c r="M71" s="707" t="str">
        <f t="shared" si="120"/>
        <v>NA</v>
      </c>
      <c r="N71" s="707">
        <f t="shared" si="120"/>
        <v>15</v>
      </c>
      <c r="O71" s="707">
        <f t="shared" si="120"/>
        <v>0</v>
      </c>
      <c r="P71" s="707">
        <f t="shared" si="120"/>
        <v>0</v>
      </c>
      <c r="Q71" s="1022"/>
      <c r="R71" s="872"/>
      <c r="S71" s="1022"/>
      <c r="T71" s="711" t="str">
        <f t="shared" si="115"/>
        <v>Potential Study Results: Engineering calculations based on ENERGY STAR Appliances Calculator. Accessed 06.07.2016</v>
      </c>
      <c r="U71" s="712"/>
      <c r="V71" s="1124">
        <f t="shared" si="83"/>
        <v>1.0830754582242324E-2</v>
      </c>
      <c r="W71" s="790"/>
      <c r="X71" s="790"/>
      <c r="Y71" s="790"/>
      <c r="Z71" s="790"/>
      <c r="AA71" s="790"/>
      <c r="AB71" s="790"/>
      <c r="AC71" s="781"/>
      <c r="AD71" s="781"/>
      <c r="AE71" s="781"/>
      <c r="AF71" s="781"/>
      <c r="AG71" s="781"/>
      <c r="AH71" s="781">
        <f t="shared" si="122"/>
        <v>0</v>
      </c>
      <c r="AI71" s="781">
        <f t="shared" si="122"/>
        <v>0</v>
      </c>
      <c r="AJ71" s="711"/>
      <c r="AK71" s="711"/>
      <c r="AL71" s="711"/>
      <c r="AM71" s="711"/>
      <c r="AN71" s="711"/>
      <c r="AO71" s="711"/>
      <c r="AP71" s="711"/>
      <c r="AQ71" s="711"/>
      <c r="AR71" s="715"/>
      <c r="AS71" s="715"/>
      <c r="AT71" s="715"/>
      <c r="AU71" s="711"/>
      <c r="AV71" s="912"/>
      <c r="AW71" s="711"/>
      <c r="AX71" s="716"/>
      <c r="AY71" s="716"/>
      <c r="AZ71" s="716"/>
      <c r="BA71" s="499"/>
      <c r="BB71" s="499"/>
      <c r="BC71" s="499"/>
      <c r="BD71" s="499"/>
      <c r="BE71" s="499"/>
      <c r="BF71" s="499"/>
      <c r="BG71" s="499"/>
      <c r="BH71" s="499"/>
      <c r="BI71" s="499"/>
      <c r="BJ71" s="499"/>
      <c r="BK71" s="499"/>
      <c r="BL71" s="499"/>
      <c r="BM71" s="499"/>
      <c r="BN71" s="499"/>
      <c r="BO71" s="499"/>
      <c r="BP71" s="499"/>
      <c r="BQ71" s="499"/>
      <c r="BR71" s="499"/>
      <c r="BS71" s="499"/>
      <c r="BT71" s="499"/>
      <c r="BU71" s="499"/>
      <c r="BV71" s="503">
        <f t="shared" si="116"/>
        <v>0</v>
      </c>
      <c r="BW71" s="503">
        <f t="shared" si="116"/>
        <v>0</v>
      </c>
      <c r="BX71" s="503">
        <f t="shared" si="116"/>
        <v>0</v>
      </c>
      <c r="BY71" s="503">
        <f t="shared" si="116"/>
        <v>0</v>
      </c>
      <c r="BZ71" s="503">
        <f t="shared" si="116"/>
        <v>0</v>
      </c>
      <c r="CA71" s="503">
        <f t="shared" si="116"/>
        <v>0</v>
      </c>
      <c r="CB71" s="503">
        <f t="shared" si="116"/>
        <v>0</v>
      </c>
      <c r="CC71" s="511"/>
      <c r="CD71" s="511"/>
      <c r="CE71" s="511"/>
      <c r="CF71" s="511"/>
      <c r="CG71" s="511"/>
      <c r="CH71" s="511"/>
      <c r="CI71" s="511"/>
      <c r="CJ71" s="511"/>
      <c r="CK71" s="511"/>
      <c r="CL71" s="511"/>
      <c r="CM71" s="511"/>
      <c r="CN71" s="511"/>
      <c r="CO71" s="511"/>
      <c r="CP71" s="511"/>
      <c r="CQ71" s="511"/>
      <c r="CR71" s="511"/>
      <c r="CS71" s="511"/>
      <c r="CT71" s="511"/>
      <c r="CU71" s="511"/>
      <c r="CV71" s="511"/>
      <c r="CW71" s="511"/>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f t="shared" si="117"/>
        <v>0</v>
      </c>
      <c r="DT71" s="508">
        <f t="shared" si="117"/>
        <v>0</v>
      </c>
      <c r="DU71" s="508">
        <f t="shared" si="117"/>
        <v>0</v>
      </c>
      <c r="DV71" s="508">
        <f t="shared" si="117"/>
        <v>0</v>
      </c>
      <c r="DW71" s="508">
        <f t="shared" si="117"/>
        <v>0</v>
      </c>
      <c r="DX71" s="508">
        <f t="shared" si="117"/>
        <v>0</v>
      </c>
      <c r="DY71" s="508">
        <f t="shared" si="117"/>
        <v>0</v>
      </c>
      <c r="DZ71" s="511"/>
      <c r="EA71" s="511"/>
      <c r="EB71" s="511"/>
      <c r="EC71" s="511"/>
      <c r="ED71" s="511"/>
      <c r="EE71" s="511"/>
      <c r="EF71" s="511"/>
      <c r="EG71" s="511"/>
      <c r="EH71" s="511"/>
      <c r="EI71" s="511"/>
      <c r="EJ71" s="511"/>
      <c r="EK71" s="511"/>
      <c r="EL71" s="511"/>
      <c r="EM71" s="511"/>
      <c r="EN71" s="511"/>
      <c r="EO71" s="511"/>
      <c r="EP71" s="511"/>
      <c r="EQ71" s="511"/>
      <c r="ER71" s="511"/>
      <c r="ES71" s="511"/>
      <c r="ET71" s="511"/>
      <c r="EU71" s="777">
        <f t="shared" si="118"/>
        <v>0</v>
      </c>
      <c r="EV71" s="728">
        <f t="shared" si="108"/>
        <v>0</v>
      </c>
      <c r="EW71" s="728">
        <f t="shared" si="109"/>
        <v>0</v>
      </c>
      <c r="EX71" s="728">
        <f t="shared" si="110"/>
        <v>0</v>
      </c>
      <c r="EY71" s="728">
        <f t="shared" si="111"/>
        <v>0</v>
      </c>
      <c r="EZ71" s="777">
        <f t="shared" si="112"/>
        <v>0</v>
      </c>
      <c r="FA71" s="777">
        <f t="shared" si="113"/>
        <v>0</v>
      </c>
      <c r="FB71" s="778">
        <f t="shared" si="114"/>
        <v>0</v>
      </c>
    </row>
    <row r="72" spans="1:158" s="10" customFormat="1" ht="12.75" hidden="1" customHeight="1">
      <c r="A72" s="662"/>
      <c r="B72" s="789"/>
      <c r="C72" s="662"/>
      <c r="D72" s="715"/>
      <c r="E72" s="662"/>
      <c r="F72" s="704"/>
      <c r="G72" s="707">
        <f t="shared" si="120"/>
        <v>95.810292993796438</v>
      </c>
      <c r="H72" s="707">
        <f t="shared" si="120"/>
        <v>0</v>
      </c>
      <c r="I72" s="707">
        <f t="shared" si="120"/>
        <v>95.810292993796438</v>
      </c>
      <c r="J72" s="707">
        <f t="shared" si="120"/>
        <v>0</v>
      </c>
      <c r="K72" s="707">
        <f t="shared" si="120"/>
        <v>47.905146496898219</v>
      </c>
      <c r="L72" s="1263" t="str">
        <f t="shared" si="120"/>
        <v>Based on online research from various retailers: Best Buy, Lowes, Home Depot and Sears. Reviewed all possible models found on these retailers websites. Mapped model numbers to ENERGY STAR qualified product list. Engineering calculation to interpolate costs</v>
      </c>
      <c r="M72" s="707" t="str">
        <f t="shared" si="120"/>
        <v>NA</v>
      </c>
      <c r="N72" s="707">
        <f t="shared" si="120"/>
        <v>50</v>
      </c>
      <c r="O72" s="707">
        <f t="shared" si="120"/>
        <v>0</v>
      </c>
      <c r="P72" s="707">
        <f t="shared" si="120"/>
        <v>0</v>
      </c>
      <c r="Q72" s="1022"/>
      <c r="R72" s="872"/>
      <c r="S72" s="1022"/>
      <c r="T72" s="711" t="str">
        <f t="shared" si="115"/>
        <v>Potential Study Results: Engineering calculations based on ENERGY STAR Appliances Calculator. Accessed 06.07.2016</v>
      </c>
      <c r="U72" s="712"/>
      <c r="V72" s="1124">
        <f t="shared" si="83"/>
        <v>0</v>
      </c>
      <c r="W72" s="790"/>
      <c r="X72" s="790"/>
      <c r="Y72" s="790"/>
      <c r="Z72" s="790"/>
      <c r="AA72" s="790"/>
      <c r="AB72" s="790"/>
      <c r="AC72" s="781"/>
      <c r="AD72" s="781"/>
      <c r="AE72" s="781"/>
      <c r="AF72" s="781"/>
      <c r="AG72" s="781"/>
      <c r="AH72" s="781">
        <f t="shared" si="122"/>
        <v>0</v>
      </c>
      <c r="AI72" s="781">
        <f t="shared" si="122"/>
        <v>0</v>
      </c>
      <c r="AJ72" s="711"/>
      <c r="AK72" s="711"/>
      <c r="AL72" s="711"/>
      <c r="AM72" s="711"/>
      <c r="AN72" s="711"/>
      <c r="AO72" s="711"/>
      <c r="AP72" s="711"/>
      <c r="AQ72" s="711"/>
      <c r="AR72" s="715"/>
      <c r="AS72" s="715"/>
      <c r="AT72" s="715"/>
      <c r="AU72" s="711"/>
      <c r="AV72" s="912"/>
      <c r="AW72" s="711"/>
      <c r="AX72" s="716"/>
      <c r="AY72" s="716"/>
      <c r="AZ72" s="716"/>
      <c r="BA72" s="499"/>
      <c r="BB72" s="499"/>
      <c r="BC72" s="499"/>
      <c r="BD72" s="499"/>
      <c r="BE72" s="499"/>
      <c r="BF72" s="499"/>
      <c r="BG72" s="499"/>
      <c r="BH72" s="499"/>
      <c r="BI72" s="499"/>
      <c r="BJ72" s="499"/>
      <c r="BK72" s="499"/>
      <c r="BL72" s="499"/>
      <c r="BM72" s="499"/>
      <c r="BN72" s="499"/>
      <c r="BO72" s="499"/>
      <c r="BP72" s="499"/>
      <c r="BQ72" s="499"/>
      <c r="BR72" s="499"/>
      <c r="BS72" s="499"/>
      <c r="BT72" s="499"/>
      <c r="BU72" s="499"/>
      <c r="BV72" s="503">
        <f t="shared" si="116"/>
        <v>0</v>
      </c>
      <c r="BW72" s="503">
        <f t="shared" si="116"/>
        <v>0</v>
      </c>
      <c r="BX72" s="503">
        <f t="shared" si="116"/>
        <v>0</v>
      </c>
      <c r="BY72" s="503">
        <f t="shared" si="116"/>
        <v>0</v>
      </c>
      <c r="BZ72" s="503">
        <f t="shared" si="116"/>
        <v>0</v>
      </c>
      <c r="CA72" s="503">
        <f t="shared" si="116"/>
        <v>0</v>
      </c>
      <c r="CB72" s="503">
        <f t="shared" si="116"/>
        <v>0</v>
      </c>
      <c r="CC72" s="511"/>
      <c r="CD72" s="511"/>
      <c r="CE72" s="511"/>
      <c r="CF72" s="511"/>
      <c r="CG72" s="511"/>
      <c r="CH72" s="511"/>
      <c r="CI72" s="511"/>
      <c r="CJ72" s="511"/>
      <c r="CK72" s="511"/>
      <c r="CL72" s="511"/>
      <c r="CM72" s="511"/>
      <c r="CN72" s="511"/>
      <c r="CO72" s="511"/>
      <c r="CP72" s="511"/>
      <c r="CQ72" s="511"/>
      <c r="CR72" s="511"/>
      <c r="CS72" s="511"/>
      <c r="CT72" s="511"/>
      <c r="CU72" s="511"/>
      <c r="CV72" s="511"/>
      <c r="CW72" s="511"/>
      <c r="CX72" s="508"/>
      <c r="CY72" s="508"/>
      <c r="CZ72" s="508"/>
      <c r="DA72" s="508"/>
      <c r="DB72" s="508"/>
      <c r="DC72" s="508"/>
      <c r="DD72" s="508"/>
      <c r="DE72" s="508"/>
      <c r="DF72" s="508"/>
      <c r="DG72" s="508"/>
      <c r="DH72" s="508"/>
      <c r="DI72" s="508"/>
      <c r="DJ72" s="508"/>
      <c r="DK72" s="508"/>
      <c r="DL72" s="508"/>
      <c r="DM72" s="508"/>
      <c r="DN72" s="508"/>
      <c r="DO72" s="508"/>
      <c r="DP72" s="508"/>
      <c r="DQ72" s="508"/>
      <c r="DR72" s="508"/>
      <c r="DS72" s="508">
        <f t="shared" si="117"/>
        <v>0</v>
      </c>
      <c r="DT72" s="508">
        <f t="shared" si="117"/>
        <v>0</v>
      </c>
      <c r="DU72" s="508">
        <f t="shared" si="117"/>
        <v>0</v>
      </c>
      <c r="DV72" s="508">
        <f t="shared" si="117"/>
        <v>0</v>
      </c>
      <c r="DW72" s="508">
        <f t="shared" si="117"/>
        <v>0</v>
      </c>
      <c r="DX72" s="508">
        <f t="shared" si="117"/>
        <v>0</v>
      </c>
      <c r="DY72" s="508">
        <f t="shared" si="117"/>
        <v>0</v>
      </c>
      <c r="DZ72" s="511"/>
      <c r="EA72" s="511"/>
      <c r="EB72" s="511"/>
      <c r="EC72" s="511"/>
      <c r="ED72" s="511"/>
      <c r="EE72" s="511"/>
      <c r="EF72" s="511"/>
      <c r="EG72" s="511"/>
      <c r="EH72" s="511"/>
      <c r="EI72" s="511"/>
      <c r="EJ72" s="511"/>
      <c r="EK72" s="511"/>
      <c r="EL72" s="511"/>
      <c r="EM72" s="511"/>
      <c r="EN72" s="511"/>
      <c r="EO72" s="511"/>
      <c r="EP72" s="511"/>
      <c r="EQ72" s="511"/>
      <c r="ER72" s="511"/>
      <c r="ES72" s="511"/>
      <c r="ET72" s="511"/>
      <c r="EU72" s="777">
        <f t="shared" si="118"/>
        <v>0</v>
      </c>
      <c r="EV72" s="728">
        <f t="shared" si="108"/>
        <v>0</v>
      </c>
      <c r="EW72" s="728">
        <f t="shared" si="109"/>
        <v>0</v>
      </c>
      <c r="EX72" s="728">
        <f t="shared" si="110"/>
        <v>0</v>
      </c>
      <c r="EY72" s="728">
        <f t="shared" si="111"/>
        <v>0</v>
      </c>
      <c r="EZ72" s="777">
        <f t="shared" si="112"/>
        <v>0</v>
      </c>
      <c r="FA72" s="777">
        <f t="shared" si="113"/>
        <v>0</v>
      </c>
      <c r="FB72" s="778">
        <f t="shared" si="114"/>
        <v>0</v>
      </c>
    </row>
    <row r="73" spans="1:158" s="10" customFormat="1" ht="12.75" hidden="1" customHeight="1">
      <c r="A73" s="662" t="s">
        <v>203</v>
      </c>
      <c r="B73" s="789" t="s">
        <v>2167</v>
      </c>
      <c r="C73" s="662" t="s">
        <v>2044</v>
      </c>
      <c r="D73" s="715" t="s">
        <v>2045</v>
      </c>
      <c r="E73" s="662" t="s">
        <v>331</v>
      </c>
      <c r="F73" s="704" t="s">
        <v>402</v>
      </c>
      <c r="G73" s="707">
        <f t="shared" si="120"/>
        <v>9.3725000000000005</v>
      </c>
      <c r="H73" s="707">
        <f t="shared" si="120"/>
        <v>0</v>
      </c>
      <c r="I73" s="707">
        <f t="shared" si="120"/>
        <v>9.3725000000000005</v>
      </c>
      <c r="J73" s="707">
        <f t="shared" si="120"/>
        <v>0</v>
      </c>
      <c r="K73" s="707">
        <f t="shared" si="120"/>
        <v>4.6862500000000002</v>
      </c>
      <c r="L73" s="1263" t="str">
        <f t="shared" si="120"/>
        <v>ENERGY STAR Appliance Calculator, accessed 6/13/2016: http://www.energystar.gov/sites/default/files/asset/document/appliance_calculator.xlsx</v>
      </c>
      <c r="M73" s="707" t="str">
        <f t="shared" si="120"/>
        <v>NA</v>
      </c>
      <c r="N73" s="707">
        <f t="shared" si="120"/>
        <v>15</v>
      </c>
      <c r="O73" s="707">
        <f t="shared" si="120"/>
        <v>0</v>
      </c>
      <c r="P73" s="707">
        <f t="shared" si="120"/>
        <v>0</v>
      </c>
      <c r="Q73" s="1022">
        <v>36.580313978715026</v>
      </c>
      <c r="R73" s="872">
        <v>2.4341489942862728E-3</v>
      </c>
      <c r="S73" s="1022">
        <v>0</v>
      </c>
      <c r="T73" s="711" t="str">
        <f t="shared" si="115"/>
        <v>Potential Study Results: ENERGY STAR Appliance Calculator, accessed 6/13/2016: http://www.energystar.gov/sites/default/files/asset/document/appliance_calculator.xlsx. Also provided in Measure Description</v>
      </c>
      <c r="U73" s="712"/>
      <c r="V73" s="1124">
        <f t="shared" si="83"/>
        <v>1.0830754582242324E-2</v>
      </c>
      <c r="W73" s="790"/>
      <c r="X73" s="790"/>
      <c r="Y73" s="790"/>
      <c r="Z73" s="790"/>
      <c r="AA73" s="790"/>
      <c r="AB73" s="790"/>
      <c r="AC73" s="781">
        <f t="shared" ref="AC73:AG88" si="135">AC28*0.5</f>
        <v>15</v>
      </c>
      <c r="AD73" s="781">
        <f t="shared" si="135"/>
        <v>15</v>
      </c>
      <c r="AE73" s="781">
        <f t="shared" si="135"/>
        <v>15</v>
      </c>
      <c r="AF73" s="781">
        <f t="shared" si="135"/>
        <v>15</v>
      </c>
      <c r="AG73" s="781">
        <f t="shared" si="135"/>
        <v>15</v>
      </c>
      <c r="AH73" s="781">
        <f t="shared" si="122"/>
        <v>15</v>
      </c>
      <c r="AI73" s="781">
        <f t="shared" si="122"/>
        <v>15</v>
      </c>
      <c r="AJ73" s="711" t="s">
        <v>374</v>
      </c>
      <c r="AK73" s="711" t="s">
        <v>375</v>
      </c>
      <c r="AL73" s="711" t="s">
        <v>376</v>
      </c>
      <c r="AM73" s="711" t="s">
        <v>1981</v>
      </c>
      <c r="AN73" s="711" t="s">
        <v>1</v>
      </c>
      <c r="AO73" s="711" t="s">
        <v>2048</v>
      </c>
      <c r="AP73" s="711" t="s">
        <v>2044</v>
      </c>
      <c r="AQ73" s="711" t="s">
        <v>2045</v>
      </c>
      <c r="AR73" s="715" t="s">
        <v>943</v>
      </c>
      <c r="AS73" s="715" t="s">
        <v>1941</v>
      </c>
      <c r="AT73" s="715" t="s">
        <v>385</v>
      </c>
      <c r="AU73" s="711">
        <v>10</v>
      </c>
      <c r="AV73" s="711">
        <v>10</v>
      </c>
      <c r="AW73" s="711" t="s">
        <v>2046</v>
      </c>
      <c r="AX73" s="716">
        <v>1</v>
      </c>
      <c r="AY73" s="716">
        <v>1</v>
      </c>
      <c r="AZ73" s="716">
        <v>0</v>
      </c>
      <c r="BA73" s="499">
        <f t="shared" si="86"/>
        <v>9.3725000000000005</v>
      </c>
      <c r="BB73" s="499">
        <f t="shared" si="123"/>
        <v>9.3725000000000005</v>
      </c>
      <c r="BC73" s="499">
        <f t="shared" si="123"/>
        <v>9.3725000000000005</v>
      </c>
      <c r="BD73" s="499">
        <f t="shared" si="123"/>
        <v>9.3725000000000005</v>
      </c>
      <c r="BE73" s="499">
        <f t="shared" si="88"/>
        <v>9.3725000000000005</v>
      </c>
      <c r="BF73" s="499">
        <f t="shared" si="88"/>
        <v>9.3725000000000005</v>
      </c>
      <c r="BG73" s="499">
        <f t="shared" si="88"/>
        <v>9.3725000000000005</v>
      </c>
      <c r="BH73" s="499">
        <f t="shared" si="89"/>
        <v>0</v>
      </c>
      <c r="BI73" s="499">
        <f t="shared" si="124"/>
        <v>0</v>
      </c>
      <c r="BJ73" s="499">
        <f t="shared" si="124"/>
        <v>0</v>
      </c>
      <c r="BK73" s="499">
        <f t="shared" si="124"/>
        <v>0</v>
      </c>
      <c r="BL73" s="499">
        <f t="shared" si="124"/>
        <v>0</v>
      </c>
      <c r="BM73" s="499">
        <f t="shared" si="124"/>
        <v>0</v>
      </c>
      <c r="BN73" s="499">
        <f t="shared" si="124"/>
        <v>0</v>
      </c>
      <c r="BO73" s="499">
        <f t="shared" si="91"/>
        <v>15</v>
      </c>
      <c r="BP73" s="499">
        <f t="shared" si="134"/>
        <v>15</v>
      </c>
      <c r="BQ73" s="499">
        <f t="shared" si="134"/>
        <v>15</v>
      </c>
      <c r="BR73" s="499">
        <f t="shared" si="134"/>
        <v>15</v>
      </c>
      <c r="BS73" s="499">
        <f t="shared" si="134"/>
        <v>15</v>
      </c>
      <c r="BT73" s="499">
        <f t="shared" si="134"/>
        <v>15</v>
      </c>
      <c r="BU73" s="499">
        <f t="shared" si="134"/>
        <v>15</v>
      </c>
      <c r="BV73" s="503">
        <f t="shared" si="116"/>
        <v>0</v>
      </c>
      <c r="BW73" s="503">
        <f t="shared" si="116"/>
        <v>0</v>
      </c>
      <c r="BX73" s="503">
        <f t="shared" si="116"/>
        <v>0</v>
      </c>
      <c r="BY73" s="503">
        <f t="shared" si="116"/>
        <v>0</v>
      </c>
      <c r="BZ73" s="503">
        <f t="shared" si="116"/>
        <v>0</v>
      </c>
      <c r="CA73" s="503">
        <f t="shared" si="116"/>
        <v>0</v>
      </c>
      <c r="CB73" s="503">
        <f t="shared" si="116"/>
        <v>0</v>
      </c>
      <c r="CC73" s="511">
        <f t="shared" si="94"/>
        <v>36.580313978715026</v>
      </c>
      <c r="CD73" s="511">
        <f t="shared" si="125"/>
        <v>36.580313978715026</v>
      </c>
      <c r="CE73" s="511">
        <f t="shared" si="125"/>
        <v>36.580313978715026</v>
      </c>
      <c r="CF73" s="511">
        <f t="shared" si="125"/>
        <v>36.580313978715026</v>
      </c>
      <c r="CG73" s="511">
        <f t="shared" si="125"/>
        <v>36.580313978715026</v>
      </c>
      <c r="CH73" s="511">
        <f t="shared" si="125"/>
        <v>36.580313978715026</v>
      </c>
      <c r="CI73" s="511">
        <f t="shared" si="125"/>
        <v>36.580313978715026</v>
      </c>
      <c r="CJ73" s="511">
        <f t="shared" si="96"/>
        <v>2.4341489942862728E-3</v>
      </c>
      <c r="CK73" s="511">
        <f t="shared" si="126"/>
        <v>2.4341489942862728E-3</v>
      </c>
      <c r="CL73" s="511">
        <f t="shared" si="126"/>
        <v>2.4341489942862728E-3</v>
      </c>
      <c r="CM73" s="511">
        <f t="shared" si="126"/>
        <v>2.4341489942862728E-3</v>
      </c>
      <c r="CN73" s="511">
        <f t="shared" si="126"/>
        <v>2.4341489942862728E-3</v>
      </c>
      <c r="CO73" s="511">
        <f t="shared" si="126"/>
        <v>2.4341489942862728E-3</v>
      </c>
      <c r="CP73" s="511">
        <f t="shared" si="126"/>
        <v>2.4341489942862728E-3</v>
      </c>
      <c r="CQ73" s="511">
        <f t="shared" si="98"/>
        <v>0</v>
      </c>
      <c r="CR73" s="511">
        <f t="shared" si="127"/>
        <v>0</v>
      </c>
      <c r="CS73" s="511">
        <f t="shared" si="127"/>
        <v>0</v>
      </c>
      <c r="CT73" s="511">
        <f t="shared" si="127"/>
        <v>0</v>
      </c>
      <c r="CU73" s="511">
        <f t="shared" si="127"/>
        <v>0</v>
      </c>
      <c r="CV73" s="511">
        <f t="shared" si="127"/>
        <v>0</v>
      </c>
      <c r="CW73" s="511">
        <f t="shared" si="127"/>
        <v>0</v>
      </c>
      <c r="CX73" s="508">
        <f t="shared" ref="CX73:DD94" si="136">AC73*BA73</f>
        <v>140.58750000000001</v>
      </c>
      <c r="CY73" s="508">
        <f t="shared" si="136"/>
        <v>140.58750000000001</v>
      </c>
      <c r="CZ73" s="508">
        <f t="shared" si="136"/>
        <v>140.58750000000001</v>
      </c>
      <c r="DA73" s="508">
        <f t="shared" si="136"/>
        <v>140.58750000000001</v>
      </c>
      <c r="DB73" s="508">
        <f t="shared" si="136"/>
        <v>140.58750000000001</v>
      </c>
      <c r="DC73" s="508">
        <f t="shared" si="136"/>
        <v>140.58750000000001</v>
      </c>
      <c r="DD73" s="508">
        <f t="shared" si="136"/>
        <v>140.58750000000001</v>
      </c>
      <c r="DE73" s="508">
        <f t="shared" ref="DE73:DK94" si="137">AC73*BH73</f>
        <v>0</v>
      </c>
      <c r="DF73" s="508">
        <f t="shared" si="137"/>
        <v>0</v>
      </c>
      <c r="DG73" s="508">
        <f t="shared" si="137"/>
        <v>0</v>
      </c>
      <c r="DH73" s="508">
        <f t="shared" si="137"/>
        <v>0</v>
      </c>
      <c r="DI73" s="508">
        <f t="shared" si="137"/>
        <v>0</v>
      </c>
      <c r="DJ73" s="508">
        <f t="shared" si="137"/>
        <v>0</v>
      </c>
      <c r="DK73" s="508">
        <f t="shared" si="137"/>
        <v>0</v>
      </c>
      <c r="DL73" s="508">
        <f t="shared" ref="DL73:DR94" si="138">AC73*BO73</f>
        <v>225</v>
      </c>
      <c r="DM73" s="508">
        <f t="shared" si="138"/>
        <v>225</v>
      </c>
      <c r="DN73" s="508">
        <f t="shared" si="138"/>
        <v>225</v>
      </c>
      <c r="DO73" s="508">
        <f t="shared" si="138"/>
        <v>225</v>
      </c>
      <c r="DP73" s="508">
        <f t="shared" si="138"/>
        <v>225</v>
      </c>
      <c r="DQ73" s="508">
        <f t="shared" si="138"/>
        <v>225</v>
      </c>
      <c r="DR73" s="508">
        <f t="shared" si="138"/>
        <v>225</v>
      </c>
      <c r="DS73" s="508">
        <f t="shared" si="117"/>
        <v>0</v>
      </c>
      <c r="DT73" s="508">
        <f t="shared" si="117"/>
        <v>0</v>
      </c>
      <c r="DU73" s="508">
        <f t="shared" si="117"/>
        <v>0</v>
      </c>
      <c r="DV73" s="508">
        <f t="shared" si="117"/>
        <v>0</v>
      </c>
      <c r="DW73" s="508">
        <f t="shared" si="117"/>
        <v>0</v>
      </c>
      <c r="DX73" s="508">
        <f t="shared" si="117"/>
        <v>0</v>
      </c>
      <c r="DY73" s="508">
        <f t="shared" si="117"/>
        <v>0</v>
      </c>
      <c r="DZ73" s="511">
        <f t="shared" ref="DZ73:EF94" si="139">AC73*CC73</f>
        <v>548.70470968072539</v>
      </c>
      <c r="EA73" s="511">
        <f t="shared" si="139"/>
        <v>548.70470968072539</v>
      </c>
      <c r="EB73" s="511">
        <f t="shared" si="139"/>
        <v>548.70470968072539</v>
      </c>
      <c r="EC73" s="511">
        <f t="shared" si="139"/>
        <v>548.70470968072539</v>
      </c>
      <c r="ED73" s="511">
        <f t="shared" si="139"/>
        <v>548.70470968072539</v>
      </c>
      <c r="EE73" s="511">
        <f t="shared" si="139"/>
        <v>548.70470968072539</v>
      </c>
      <c r="EF73" s="511">
        <f t="shared" si="139"/>
        <v>548.70470968072539</v>
      </c>
      <c r="EG73" s="511">
        <f t="shared" ref="EG73:EM94" si="140">AC73*CJ73</f>
        <v>3.6512234914294089E-2</v>
      </c>
      <c r="EH73" s="511">
        <f t="shared" si="140"/>
        <v>3.6512234914294089E-2</v>
      </c>
      <c r="EI73" s="511">
        <f t="shared" si="140"/>
        <v>3.6512234914294089E-2</v>
      </c>
      <c r="EJ73" s="511">
        <f t="shared" si="140"/>
        <v>3.6512234914294089E-2</v>
      </c>
      <c r="EK73" s="511">
        <f t="shared" si="140"/>
        <v>3.6512234914294089E-2</v>
      </c>
      <c r="EL73" s="511">
        <f t="shared" si="140"/>
        <v>3.6512234914294089E-2</v>
      </c>
      <c r="EM73" s="511">
        <f t="shared" si="140"/>
        <v>3.6512234914294089E-2</v>
      </c>
      <c r="EN73" s="511">
        <f t="shared" ref="EN73:ET94" si="141">AC73*CQ73</f>
        <v>0</v>
      </c>
      <c r="EO73" s="511">
        <f t="shared" si="141"/>
        <v>0</v>
      </c>
      <c r="EP73" s="511">
        <f t="shared" si="141"/>
        <v>0</v>
      </c>
      <c r="EQ73" s="511">
        <f t="shared" si="141"/>
        <v>0</v>
      </c>
      <c r="ER73" s="511">
        <f t="shared" si="141"/>
        <v>0</v>
      </c>
      <c r="ES73" s="511">
        <f t="shared" si="141"/>
        <v>0</v>
      </c>
      <c r="ET73" s="511">
        <f t="shared" si="141"/>
        <v>0</v>
      </c>
      <c r="EU73" s="777">
        <f t="shared" si="118"/>
        <v>105</v>
      </c>
      <c r="EV73" s="728">
        <f t="shared" si="108"/>
        <v>984.11249999999995</v>
      </c>
      <c r="EW73" s="728">
        <f t="shared" si="109"/>
        <v>0</v>
      </c>
      <c r="EX73" s="728">
        <f t="shared" si="110"/>
        <v>1575</v>
      </c>
      <c r="EY73" s="728">
        <f t="shared" si="111"/>
        <v>0</v>
      </c>
      <c r="EZ73" s="777">
        <f t="shared" si="112"/>
        <v>3840.932967765078</v>
      </c>
      <c r="FA73" s="777">
        <f t="shared" si="113"/>
        <v>0.2555856444000586</v>
      </c>
      <c r="FB73" s="778">
        <f t="shared" si="114"/>
        <v>0</v>
      </c>
    </row>
    <row r="74" spans="1:158" s="10" customFormat="1" ht="12.75" hidden="1" customHeight="1">
      <c r="A74" s="662" t="s">
        <v>204</v>
      </c>
      <c r="B74" s="789" t="s">
        <v>2168</v>
      </c>
      <c r="C74" s="662" t="s">
        <v>2049</v>
      </c>
      <c r="D74" s="715" t="s">
        <v>2050</v>
      </c>
      <c r="E74" s="662" t="s">
        <v>331</v>
      </c>
      <c r="F74" s="704" t="s">
        <v>402</v>
      </c>
      <c r="G74" s="707">
        <f t="shared" si="120"/>
        <v>417.93299999999999</v>
      </c>
      <c r="H74" s="707">
        <f t="shared" si="120"/>
        <v>0</v>
      </c>
      <c r="I74" s="707">
        <f t="shared" si="120"/>
        <v>417.93299999999999</v>
      </c>
      <c r="J74" s="707">
        <f t="shared" si="120"/>
        <v>0</v>
      </c>
      <c r="K74" s="707">
        <f t="shared" si="120"/>
        <v>208.9665</v>
      </c>
      <c r="L74" s="1263" t="str">
        <f t="shared" si="120"/>
        <v>2012 - Cadmus Analysis of Installed Cost Data from Rebate Applications</v>
      </c>
      <c r="M74" s="707" t="str">
        <f t="shared" si="120"/>
        <v>NA</v>
      </c>
      <c r="N74" s="707">
        <f t="shared" si="120"/>
        <v>210</v>
      </c>
      <c r="O74" s="707">
        <f t="shared" si="120"/>
        <v>0</v>
      </c>
      <c r="P74" s="707">
        <f t="shared" si="120"/>
        <v>0</v>
      </c>
      <c r="Q74" s="1022">
        <v>202.00221957552003</v>
      </c>
      <c r="R74" s="872">
        <v>0.16283946197183058</v>
      </c>
      <c r="S74" s="1022">
        <v>0</v>
      </c>
      <c r="T74" s="711" t="str">
        <f t="shared" si="115"/>
        <v>Potential Study Results: End use usage based on prototypical building simulations adjusted by CDD to the region.</v>
      </c>
      <c r="U74" s="712"/>
      <c r="V74" s="1124">
        <f t="shared" si="83"/>
        <v>0</v>
      </c>
      <c r="W74" s="790"/>
      <c r="X74" s="790"/>
      <c r="Y74" s="790"/>
      <c r="Z74" s="790"/>
      <c r="AA74" s="790"/>
      <c r="AB74" s="790"/>
      <c r="AC74" s="781">
        <f t="shared" si="135"/>
        <v>0</v>
      </c>
      <c r="AD74" s="781">
        <f t="shared" si="135"/>
        <v>0</v>
      </c>
      <c r="AE74" s="781">
        <f t="shared" si="135"/>
        <v>0</v>
      </c>
      <c r="AF74" s="781">
        <f t="shared" si="135"/>
        <v>0</v>
      </c>
      <c r="AG74" s="781">
        <f t="shared" si="135"/>
        <v>0</v>
      </c>
      <c r="AH74" s="781">
        <f t="shared" si="122"/>
        <v>0</v>
      </c>
      <c r="AI74" s="781">
        <f t="shared" si="122"/>
        <v>0</v>
      </c>
      <c r="AJ74" s="711" t="s">
        <v>384</v>
      </c>
      <c r="AK74" s="711" t="s">
        <v>375</v>
      </c>
      <c r="AL74" s="711" t="s">
        <v>376</v>
      </c>
      <c r="AM74" s="711" t="s">
        <v>2002</v>
      </c>
      <c r="AN74" s="711" t="s">
        <v>1</v>
      </c>
      <c r="AO74" s="711" t="s">
        <v>2053</v>
      </c>
      <c r="AP74" s="711" t="s">
        <v>1702</v>
      </c>
      <c r="AQ74" s="711" t="s">
        <v>339</v>
      </c>
      <c r="AR74" s="715" t="s">
        <v>406</v>
      </c>
      <c r="AS74" s="715"/>
      <c r="AT74" s="715" t="s">
        <v>385</v>
      </c>
      <c r="AU74" s="711">
        <v>15</v>
      </c>
      <c r="AV74" s="711">
        <v>15</v>
      </c>
      <c r="AW74" s="711" t="s">
        <v>2054</v>
      </c>
      <c r="AX74" s="716">
        <v>1</v>
      </c>
      <c r="AY74" s="716">
        <v>1</v>
      </c>
      <c r="AZ74" s="716">
        <v>0</v>
      </c>
      <c r="BA74" s="499">
        <f t="shared" si="86"/>
        <v>417.93299999999999</v>
      </c>
      <c r="BB74" s="499">
        <f t="shared" si="123"/>
        <v>417.93299999999999</v>
      </c>
      <c r="BC74" s="499">
        <f t="shared" si="123"/>
        <v>417.93299999999999</v>
      </c>
      <c r="BD74" s="499">
        <f t="shared" si="123"/>
        <v>417.93299999999999</v>
      </c>
      <c r="BE74" s="499">
        <f t="shared" si="88"/>
        <v>417.93299999999999</v>
      </c>
      <c r="BF74" s="499">
        <f t="shared" si="88"/>
        <v>417.93299999999999</v>
      </c>
      <c r="BG74" s="499">
        <f t="shared" si="88"/>
        <v>417.93299999999999</v>
      </c>
      <c r="BH74" s="499">
        <f t="shared" si="89"/>
        <v>0</v>
      </c>
      <c r="BI74" s="499">
        <f t="shared" si="124"/>
        <v>0</v>
      </c>
      <c r="BJ74" s="499">
        <f t="shared" si="124"/>
        <v>0</v>
      </c>
      <c r="BK74" s="499">
        <f t="shared" si="124"/>
        <v>0</v>
      </c>
      <c r="BL74" s="499">
        <f t="shared" si="124"/>
        <v>0</v>
      </c>
      <c r="BM74" s="499">
        <f t="shared" si="124"/>
        <v>0</v>
      </c>
      <c r="BN74" s="499">
        <f t="shared" si="124"/>
        <v>0</v>
      </c>
      <c r="BO74" s="499">
        <f t="shared" si="91"/>
        <v>210</v>
      </c>
      <c r="BP74" s="499">
        <f t="shared" si="134"/>
        <v>210</v>
      </c>
      <c r="BQ74" s="499">
        <f t="shared" si="134"/>
        <v>210</v>
      </c>
      <c r="BR74" s="499">
        <f t="shared" si="134"/>
        <v>210</v>
      </c>
      <c r="BS74" s="499">
        <f t="shared" si="134"/>
        <v>210</v>
      </c>
      <c r="BT74" s="499">
        <f t="shared" si="134"/>
        <v>210</v>
      </c>
      <c r="BU74" s="499">
        <f t="shared" si="134"/>
        <v>210</v>
      </c>
      <c r="BV74" s="503">
        <f t="shared" si="116"/>
        <v>0</v>
      </c>
      <c r="BW74" s="503">
        <f t="shared" si="116"/>
        <v>0</v>
      </c>
      <c r="BX74" s="503">
        <f t="shared" si="116"/>
        <v>0</v>
      </c>
      <c r="BY74" s="503">
        <f t="shared" si="116"/>
        <v>0</v>
      </c>
      <c r="BZ74" s="503">
        <f t="shared" si="116"/>
        <v>0</v>
      </c>
      <c r="CA74" s="503">
        <f t="shared" si="116"/>
        <v>0</v>
      </c>
      <c r="CB74" s="503">
        <f t="shared" si="116"/>
        <v>0</v>
      </c>
      <c r="CC74" s="511">
        <f t="shared" si="94"/>
        <v>202.00221957552003</v>
      </c>
      <c r="CD74" s="511">
        <f t="shared" si="125"/>
        <v>202.00221957552003</v>
      </c>
      <c r="CE74" s="511">
        <f t="shared" si="125"/>
        <v>202.00221957552003</v>
      </c>
      <c r="CF74" s="511">
        <f t="shared" si="125"/>
        <v>202.00221957552003</v>
      </c>
      <c r="CG74" s="511">
        <f t="shared" si="125"/>
        <v>202.00221957552003</v>
      </c>
      <c r="CH74" s="511">
        <f t="shared" si="125"/>
        <v>202.00221957552003</v>
      </c>
      <c r="CI74" s="511">
        <f t="shared" si="125"/>
        <v>202.00221957552003</v>
      </c>
      <c r="CJ74" s="511">
        <f t="shared" si="96"/>
        <v>0.16283946197183058</v>
      </c>
      <c r="CK74" s="511">
        <f t="shared" si="126"/>
        <v>0.16283946197183058</v>
      </c>
      <c r="CL74" s="511">
        <f t="shared" si="126"/>
        <v>0.16283946197183058</v>
      </c>
      <c r="CM74" s="511">
        <f t="shared" si="126"/>
        <v>0.16283946197183058</v>
      </c>
      <c r="CN74" s="511">
        <f t="shared" si="126"/>
        <v>0.16283946197183058</v>
      </c>
      <c r="CO74" s="511">
        <f t="shared" si="126"/>
        <v>0.16283946197183058</v>
      </c>
      <c r="CP74" s="511">
        <f t="shared" si="126"/>
        <v>0.16283946197183058</v>
      </c>
      <c r="CQ74" s="511">
        <f t="shared" si="98"/>
        <v>0</v>
      </c>
      <c r="CR74" s="511">
        <f t="shared" si="127"/>
        <v>0</v>
      </c>
      <c r="CS74" s="511">
        <f t="shared" si="127"/>
        <v>0</v>
      </c>
      <c r="CT74" s="511">
        <f t="shared" si="127"/>
        <v>0</v>
      </c>
      <c r="CU74" s="511">
        <f t="shared" si="127"/>
        <v>0</v>
      </c>
      <c r="CV74" s="511">
        <f t="shared" si="127"/>
        <v>0</v>
      </c>
      <c r="CW74" s="511">
        <f t="shared" si="127"/>
        <v>0</v>
      </c>
      <c r="CX74" s="508">
        <f t="shared" si="136"/>
        <v>0</v>
      </c>
      <c r="CY74" s="508">
        <f t="shared" si="136"/>
        <v>0</v>
      </c>
      <c r="CZ74" s="508">
        <f t="shared" si="136"/>
        <v>0</v>
      </c>
      <c r="DA74" s="508">
        <f t="shared" si="136"/>
        <v>0</v>
      </c>
      <c r="DB74" s="508">
        <f t="shared" si="136"/>
        <v>0</v>
      </c>
      <c r="DC74" s="508">
        <f t="shared" si="136"/>
        <v>0</v>
      </c>
      <c r="DD74" s="508">
        <f t="shared" si="136"/>
        <v>0</v>
      </c>
      <c r="DE74" s="508">
        <f t="shared" si="137"/>
        <v>0</v>
      </c>
      <c r="DF74" s="508">
        <f t="shared" si="137"/>
        <v>0</v>
      </c>
      <c r="DG74" s="508">
        <f t="shared" si="137"/>
        <v>0</v>
      </c>
      <c r="DH74" s="508">
        <f t="shared" si="137"/>
        <v>0</v>
      </c>
      <c r="DI74" s="508">
        <f t="shared" si="137"/>
        <v>0</v>
      </c>
      <c r="DJ74" s="508">
        <f t="shared" si="137"/>
        <v>0</v>
      </c>
      <c r="DK74" s="508">
        <f t="shared" si="137"/>
        <v>0</v>
      </c>
      <c r="DL74" s="508">
        <f t="shared" si="138"/>
        <v>0</v>
      </c>
      <c r="DM74" s="508">
        <f t="shared" si="138"/>
        <v>0</v>
      </c>
      <c r="DN74" s="508">
        <f t="shared" si="138"/>
        <v>0</v>
      </c>
      <c r="DO74" s="508">
        <f t="shared" si="138"/>
        <v>0</v>
      </c>
      <c r="DP74" s="508">
        <f t="shared" si="138"/>
        <v>0</v>
      </c>
      <c r="DQ74" s="508">
        <f t="shared" si="138"/>
        <v>0</v>
      </c>
      <c r="DR74" s="508">
        <f t="shared" si="138"/>
        <v>0</v>
      </c>
      <c r="DS74" s="508">
        <f t="shared" si="117"/>
        <v>0</v>
      </c>
      <c r="DT74" s="508">
        <f t="shared" si="117"/>
        <v>0</v>
      </c>
      <c r="DU74" s="508">
        <f t="shared" si="117"/>
        <v>0</v>
      </c>
      <c r="DV74" s="508">
        <f t="shared" si="117"/>
        <v>0</v>
      </c>
      <c r="DW74" s="508">
        <f t="shared" si="117"/>
        <v>0</v>
      </c>
      <c r="DX74" s="508">
        <f t="shared" si="117"/>
        <v>0</v>
      </c>
      <c r="DY74" s="508">
        <f t="shared" si="117"/>
        <v>0</v>
      </c>
      <c r="DZ74" s="511">
        <f t="shared" si="139"/>
        <v>0</v>
      </c>
      <c r="EA74" s="511">
        <f t="shared" si="139"/>
        <v>0</v>
      </c>
      <c r="EB74" s="511">
        <f t="shared" si="139"/>
        <v>0</v>
      </c>
      <c r="EC74" s="511">
        <f t="shared" si="139"/>
        <v>0</v>
      </c>
      <c r="ED74" s="511">
        <f t="shared" si="139"/>
        <v>0</v>
      </c>
      <c r="EE74" s="511">
        <f t="shared" si="139"/>
        <v>0</v>
      </c>
      <c r="EF74" s="511">
        <f t="shared" si="139"/>
        <v>0</v>
      </c>
      <c r="EG74" s="511">
        <f t="shared" si="140"/>
        <v>0</v>
      </c>
      <c r="EH74" s="511">
        <f t="shared" si="140"/>
        <v>0</v>
      </c>
      <c r="EI74" s="511">
        <f t="shared" si="140"/>
        <v>0</v>
      </c>
      <c r="EJ74" s="511">
        <f t="shared" si="140"/>
        <v>0</v>
      </c>
      <c r="EK74" s="511">
        <f t="shared" si="140"/>
        <v>0</v>
      </c>
      <c r="EL74" s="511">
        <f t="shared" si="140"/>
        <v>0</v>
      </c>
      <c r="EM74" s="511">
        <f t="shared" si="140"/>
        <v>0</v>
      </c>
      <c r="EN74" s="511">
        <f t="shared" si="141"/>
        <v>0</v>
      </c>
      <c r="EO74" s="511">
        <f t="shared" si="141"/>
        <v>0</v>
      </c>
      <c r="EP74" s="511">
        <f t="shared" si="141"/>
        <v>0</v>
      </c>
      <c r="EQ74" s="511">
        <f t="shared" si="141"/>
        <v>0</v>
      </c>
      <c r="ER74" s="511">
        <f t="shared" si="141"/>
        <v>0</v>
      </c>
      <c r="ES74" s="511">
        <f t="shared" si="141"/>
        <v>0</v>
      </c>
      <c r="ET74" s="511">
        <f t="shared" si="141"/>
        <v>0</v>
      </c>
      <c r="EU74" s="777">
        <f t="shared" si="118"/>
        <v>0</v>
      </c>
      <c r="EV74" s="728">
        <f t="shared" si="108"/>
        <v>0</v>
      </c>
      <c r="EW74" s="728">
        <f t="shared" si="109"/>
        <v>0</v>
      </c>
      <c r="EX74" s="728">
        <f t="shared" si="110"/>
        <v>0</v>
      </c>
      <c r="EY74" s="728">
        <f t="shared" si="111"/>
        <v>0</v>
      </c>
      <c r="EZ74" s="777">
        <f t="shared" si="112"/>
        <v>0</v>
      </c>
      <c r="FA74" s="777">
        <f t="shared" si="113"/>
        <v>0</v>
      </c>
      <c r="FB74" s="778">
        <f t="shared" si="114"/>
        <v>0</v>
      </c>
    </row>
    <row r="75" spans="1:158" s="10" customFormat="1" ht="12.75" hidden="1" customHeight="1">
      <c r="A75" s="662" t="s">
        <v>205</v>
      </c>
      <c r="B75" s="789" t="s">
        <v>2169</v>
      </c>
      <c r="C75" s="662" t="s">
        <v>2056</v>
      </c>
      <c r="D75" s="715" t="s">
        <v>2050</v>
      </c>
      <c r="E75" s="662" t="s">
        <v>331</v>
      </c>
      <c r="F75" s="704" t="s">
        <v>402</v>
      </c>
      <c r="G75" s="707">
        <f t="shared" si="120"/>
        <v>-1872.0323100000001</v>
      </c>
      <c r="H75" s="707">
        <f t="shared" si="120"/>
        <v>0</v>
      </c>
      <c r="I75" s="707">
        <f t="shared" si="120"/>
        <v>-1872.0323100000001</v>
      </c>
      <c r="J75" s="707">
        <f t="shared" si="120"/>
        <v>0</v>
      </c>
      <c r="K75" s="707">
        <f t="shared" si="120"/>
        <v>-936.01615500000003</v>
      </c>
      <c r="L75" s="1263" t="str">
        <f t="shared" si="120"/>
        <v>Xcel TRM 2015/2016 Demand-Side Management Plan pg. 472; PSCC Proceding No. 14A-1057EG, High Efficiency Air Conditioning, Accessed 6/7/2016 - https://www.xcelenergy.com/staticfiles/xe/Regulatory/Regulatory%20PDFs/EvaporativeCoolingEvaluationFile.pdf. A two-</v>
      </c>
      <c r="M75" s="707" t="str">
        <f t="shared" si="120"/>
        <v>NA</v>
      </c>
      <c r="N75" s="707">
        <f t="shared" si="120"/>
        <v>15</v>
      </c>
      <c r="O75" s="707">
        <f t="shared" si="120"/>
        <v>0</v>
      </c>
      <c r="P75" s="707">
        <f t="shared" si="120"/>
        <v>0</v>
      </c>
      <c r="Q75" s="1022">
        <v>2643.4072689535774</v>
      </c>
      <c r="R75" s="872">
        <v>2.1309222163665349</v>
      </c>
      <c r="S75" s="1022">
        <v>0</v>
      </c>
      <c r="T75" s="711" t="str">
        <f t="shared" si="115"/>
        <v>Potential Study Results: End use usage based on prototypical building simulations adjusted by CDD to the region.</v>
      </c>
      <c r="U75" s="712"/>
      <c r="V75" s="1124">
        <f t="shared" si="83"/>
        <v>0</v>
      </c>
      <c r="W75" s="790"/>
      <c r="X75" s="790"/>
      <c r="Y75" s="790"/>
      <c r="Z75" s="790"/>
      <c r="AA75" s="790"/>
      <c r="AB75" s="790"/>
      <c r="AC75" s="781">
        <f t="shared" si="135"/>
        <v>0</v>
      </c>
      <c r="AD75" s="781">
        <f t="shared" si="135"/>
        <v>0</v>
      </c>
      <c r="AE75" s="781">
        <f t="shared" si="135"/>
        <v>0</v>
      </c>
      <c r="AF75" s="781">
        <f t="shared" si="135"/>
        <v>0</v>
      </c>
      <c r="AG75" s="781">
        <f t="shared" si="135"/>
        <v>0</v>
      </c>
      <c r="AH75" s="781">
        <f t="shared" si="122"/>
        <v>0</v>
      </c>
      <c r="AI75" s="781">
        <f t="shared" si="122"/>
        <v>0</v>
      </c>
      <c r="AJ75" s="711" t="s">
        <v>384</v>
      </c>
      <c r="AK75" s="711" t="s">
        <v>375</v>
      </c>
      <c r="AL75" s="711" t="s">
        <v>376</v>
      </c>
      <c r="AM75" s="711" t="s">
        <v>2002</v>
      </c>
      <c r="AN75" s="711" t="s">
        <v>1</v>
      </c>
      <c r="AO75" s="711" t="s">
        <v>2058</v>
      </c>
      <c r="AP75" s="711" t="s">
        <v>1702</v>
      </c>
      <c r="AQ75" s="711" t="s">
        <v>339</v>
      </c>
      <c r="AR75" s="715" t="s">
        <v>406</v>
      </c>
      <c r="AS75" s="715"/>
      <c r="AT75" s="715" t="s">
        <v>385</v>
      </c>
      <c r="AU75" s="711">
        <v>15</v>
      </c>
      <c r="AV75" s="711">
        <v>15</v>
      </c>
      <c r="AW75" s="711" t="s">
        <v>2059</v>
      </c>
      <c r="AX75" s="716">
        <v>1</v>
      </c>
      <c r="AY75" s="716">
        <v>1</v>
      </c>
      <c r="AZ75" s="716">
        <v>0</v>
      </c>
      <c r="BA75" s="499">
        <f t="shared" si="86"/>
        <v>-1872.0323100000001</v>
      </c>
      <c r="BB75" s="499">
        <f t="shared" si="123"/>
        <v>-1872.0323100000001</v>
      </c>
      <c r="BC75" s="499">
        <f t="shared" si="123"/>
        <v>-1872.0323100000001</v>
      </c>
      <c r="BD75" s="499">
        <f t="shared" si="123"/>
        <v>-1872.0323100000001</v>
      </c>
      <c r="BE75" s="499">
        <f t="shared" si="88"/>
        <v>-1872.0323100000001</v>
      </c>
      <c r="BF75" s="499">
        <f t="shared" si="88"/>
        <v>-1872.0323100000001</v>
      </c>
      <c r="BG75" s="499">
        <f t="shared" si="88"/>
        <v>-1872.0323100000001</v>
      </c>
      <c r="BH75" s="499">
        <f t="shared" si="89"/>
        <v>0</v>
      </c>
      <c r="BI75" s="499">
        <f t="shared" si="124"/>
        <v>0</v>
      </c>
      <c r="BJ75" s="499">
        <f t="shared" si="124"/>
        <v>0</v>
      </c>
      <c r="BK75" s="499">
        <f t="shared" si="124"/>
        <v>0</v>
      </c>
      <c r="BL75" s="499">
        <f t="shared" si="124"/>
        <v>0</v>
      </c>
      <c r="BM75" s="499">
        <f t="shared" si="124"/>
        <v>0</v>
      </c>
      <c r="BN75" s="499">
        <f t="shared" si="124"/>
        <v>0</v>
      </c>
      <c r="BO75" s="499">
        <f t="shared" si="91"/>
        <v>15</v>
      </c>
      <c r="BP75" s="499">
        <f t="shared" si="134"/>
        <v>15</v>
      </c>
      <c r="BQ75" s="499">
        <f t="shared" si="134"/>
        <v>15</v>
      </c>
      <c r="BR75" s="499">
        <f t="shared" si="134"/>
        <v>15</v>
      </c>
      <c r="BS75" s="499">
        <f t="shared" si="134"/>
        <v>15</v>
      </c>
      <c r="BT75" s="499">
        <f t="shared" si="134"/>
        <v>15</v>
      </c>
      <c r="BU75" s="499">
        <f t="shared" si="134"/>
        <v>15</v>
      </c>
      <c r="BV75" s="503">
        <f t="shared" si="116"/>
        <v>0</v>
      </c>
      <c r="BW75" s="503">
        <f t="shared" si="116"/>
        <v>0</v>
      </c>
      <c r="BX75" s="503">
        <f t="shared" si="116"/>
        <v>0</v>
      </c>
      <c r="BY75" s="503">
        <f t="shared" si="116"/>
        <v>0</v>
      </c>
      <c r="BZ75" s="503">
        <f t="shared" si="116"/>
        <v>0</v>
      </c>
      <c r="CA75" s="503">
        <f t="shared" si="116"/>
        <v>0</v>
      </c>
      <c r="CB75" s="503">
        <f t="shared" si="116"/>
        <v>0</v>
      </c>
      <c r="CC75" s="511">
        <f t="shared" si="94"/>
        <v>2643.4072689535774</v>
      </c>
      <c r="CD75" s="511">
        <f t="shared" si="125"/>
        <v>2643.4072689535774</v>
      </c>
      <c r="CE75" s="511">
        <f t="shared" si="125"/>
        <v>2643.4072689535774</v>
      </c>
      <c r="CF75" s="511">
        <f t="shared" si="125"/>
        <v>2643.4072689535774</v>
      </c>
      <c r="CG75" s="511">
        <f t="shared" si="125"/>
        <v>2643.4072689535774</v>
      </c>
      <c r="CH75" s="511">
        <f t="shared" si="125"/>
        <v>2643.4072689535774</v>
      </c>
      <c r="CI75" s="511">
        <f t="shared" si="125"/>
        <v>2643.4072689535774</v>
      </c>
      <c r="CJ75" s="511">
        <f t="shared" si="96"/>
        <v>2.1309222163665349</v>
      </c>
      <c r="CK75" s="511">
        <f t="shared" si="126"/>
        <v>2.1309222163665349</v>
      </c>
      <c r="CL75" s="511">
        <f t="shared" si="126"/>
        <v>2.1309222163665349</v>
      </c>
      <c r="CM75" s="511">
        <f t="shared" si="126"/>
        <v>2.1309222163665349</v>
      </c>
      <c r="CN75" s="511">
        <f t="shared" si="126"/>
        <v>2.1309222163665349</v>
      </c>
      <c r="CO75" s="511">
        <f t="shared" si="126"/>
        <v>2.1309222163665349</v>
      </c>
      <c r="CP75" s="511">
        <f t="shared" si="126"/>
        <v>2.1309222163665349</v>
      </c>
      <c r="CQ75" s="511">
        <f t="shared" si="98"/>
        <v>0</v>
      </c>
      <c r="CR75" s="511">
        <f t="shared" si="127"/>
        <v>0</v>
      </c>
      <c r="CS75" s="511">
        <f t="shared" si="127"/>
        <v>0</v>
      </c>
      <c r="CT75" s="511">
        <f t="shared" si="127"/>
        <v>0</v>
      </c>
      <c r="CU75" s="511">
        <f t="shared" si="127"/>
        <v>0</v>
      </c>
      <c r="CV75" s="511">
        <f t="shared" si="127"/>
        <v>0</v>
      </c>
      <c r="CW75" s="511">
        <f t="shared" si="127"/>
        <v>0</v>
      </c>
      <c r="CX75" s="508">
        <f t="shared" si="136"/>
        <v>0</v>
      </c>
      <c r="CY75" s="508">
        <f t="shared" si="136"/>
        <v>0</v>
      </c>
      <c r="CZ75" s="508">
        <f t="shared" si="136"/>
        <v>0</v>
      </c>
      <c r="DA75" s="508">
        <f t="shared" si="136"/>
        <v>0</v>
      </c>
      <c r="DB75" s="508">
        <f t="shared" si="136"/>
        <v>0</v>
      </c>
      <c r="DC75" s="508">
        <f t="shared" si="136"/>
        <v>0</v>
      </c>
      <c r="DD75" s="508">
        <f t="shared" si="136"/>
        <v>0</v>
      </c>
      <c r="DE75" s="508">
        <f t="shared" si="137"/>
        <v>0</v>
      </c>
      <c r="DF75" s="508">
        <f t="shared" si="137"/>
        <v>0</v>
      </c>
      <c r="DG75" s="508">
        <f t="shared" si="137"/>
        <v>0</v>
      </c>
      <c r="DH75" s="508">
        <f t="shared" si="137"/>
        <v>0</v>
      </c>
      <c r="DI75" s="508">
        <f t="shared" si="137"/>
        <v>0</v>
      </c>
      <c r="DJ75" s="508">
        <f t="shared" si="137"/>
        <v>0</v>
      </c>
      <c r="DK75" s="508">
        <f t="shared" si="137"/>
        <v>0</v>
      </c>
      <c r="DL75" s="508">
        <f t="shared" si="138"/>
        <v>0</v>
      </c>
      <c r="DM75" s="508">
        <f t="shared" si="138"/>
        <v>0</v>
      </c>
      <c r="DN75" s="508">
        <f t="shared" si="138"/>
        <v>0</v>
      </c>
      <c r="DO75" s="508">
        <f t="shared" si="138"/>
        <v>0</v>
      </c>
      <c r="DP75" s="508">
        <f t="shared" si="138"/>
        <v>0</v>
      </c>
      <c r="DQ75" s="508">
        <f t="shared" si="138"/>
        <v>0</v>
      </c>
      <c r="DR75" s="508">
        <f t="shared" si="138"/>
        <v>0</v>
      </c>
      <c r="DS75" s="508">
        <f t="shared" si="117"/>
        <v>0</v>
      </c>
      <c r="DT75" s="508">
        <f t="shared" si="117"/>
        <v>0</v>
      </c>
      <c r="DU75" s="508">
        <f t="shared" si="117"/>
        <v>0</v>
      </c>
      <c r="DV75" s="508">
        <f t="shared" si="117"/>
        <v>0</v>
      </c>
      <c r="DW75" s="508">
        <f t="shared" si="117"/>
        <v>0</v>
      </c>
      <c r="DX75" s="508">
        <f t="shared" si="117"/>
        <v>0</v>
      </c>
      <c r="DY75" s="508">
        <f t="shared" si="117"/>
        <v>0</v>
      </c>
      <c r="DZ75" s="511">
        <f t="shared" si="139"/>
        <v>0</v>
      </c>
      <c r="EA75" s="511">
        <f t="shared" si="139"/>
        <v>0</v>
      </c>
      <c r="EB75" s="511">
        <f t="shared" si="139"/>
        <v>0</v>
      </c>
      <c r="EC75" s="511">
        <f t="shared" si="139"/>
        <v>0</v>
      </c>
      <c r="ED75" s="511">
        <f t="shared" si="139"/>
        <v>0</v>
      </c>
      <c r="EE75" s="511">
        <f t="shared" si="139"/>
        <v>0</v>
      </c>
      <c r="EF75" s="511">
        <f t="shared" si="139"/>
        <v>0</v>
      </c>
      <c r="EG75" s="511">
        <f t="shared" si="140"/>
        <v>0</v>
      </c>
      <c r="EH75" s="511">
        <f t="shared" si="140"/>
        <v>0</v>
      </c>
      <c r="EI75" s="511">
        <f t="shared" si="140"/>
        <v>0</v>
      </c>
      <c r="EJ75" s="511">
        <f t="shared" si="140"/>
        <v>0</v>
      </c>
      <c r="EK75" s="511">
        <f t="shared" si="140"/>
        <v>0</v>
      </c>
      <c r="EL75" s="511">
        <f t="shared" si="140"/>
        <v>0</v>
      </c>
      <c r="EM75" s="511">
        <f t="shared" si="140"/>
        <v>0</v>
      </c>
      <c r="EN75" s="511">
        <f t="shared" si="141"/>
        <v>0</v>
      </c>
      <c r="EO75" s="511">
        <f t="shared" si="141"/>
        <v>0</v>
      </c>
      <c r="EP75" s="511">
        <f t="shared" si="141"/>
        <v>0</v>
      </c>
      <c r="EQ75" s="511">
        <f t="shared" si="141"/>
        <v>0</v>
      </c>
      <c r="ER75" s="511">
        <f t="shared" si="141"/>
        <v>0</v>
      </c>
      <c r="ES75" s="511">
        <f t="shared" si="141"/>
        <v>0</v>
      </c>
      <c r="ET75" s="511">
        <f t="shared" si="141"/>
        <v>0</v>
      </c>
      <c r="EU75" s="777">
        <f t="shared" si="118"/>
        <v>0</v>
      </c>
      <c r="EV75" s="728">
        <f t="shared" si="108"/>
        <v>0</v>
      </c>
      <c r="EW75" s="728">
        <f t="shared" si="109"/>
        <v>0</v>
      </c>
      <c r="EX75" s="728">
        <f t="shared" si="110"/>
        <v>0</v>
      </c>
      <c r="EY75" s="728">
        <f t="shared" si="111"/>
        <v>0</v>
      </c>
      <c r="EZ75" s="777">
        <f t="shared" si="112"/>
        <v>0</v>
      </c>
      <c r="FA75" s="777">
        <f t="shared" si="113"/>
        <v>0</v>
      </c>
      <c r="FB75" s="778">
        <f t="shared" si="114"/>
        <v>0</v>
      </c>
    </row>
    <row r="76" spans="1:158" s="10" customFormat="1" ht="12.75" hidden="1" customHeight="1">
      <c r="A76" s="662" t="s">
        <v>206</v>
      </c>
      <c r="B76" s="789" t="s">
        <v>2170</v>
      </c>
      <c r="C76" s="662" t="s">
        <v>2060</v>
      </c>
      <c r="D76" s="715" t="s">
        <v>2061</v>
      </c>
      <c r="E76" s="662" t="s">
        <v>331</v>
      </c>
      <c r="F76" s="704" t="s">
        <v>402</v>
      </c>
      <c r="G76" s="707">
        <f t="shared" si="120"/>
        <v>340.28</v>
      </c>
      <c r="H76" s="707">
        <f t="shared" si="120"/>
        <v>0</v>
      </c>
      <c r="I76" s="707">
        <f t="shared" si="120"/>
        <v>340.28</v>
      </c>
      <c r="J76" s="707">
        <f t="shared" si="120"/>
        <v>0</v>
      </c>
      <c r="K76" s="707">
        <f t="shared" si="120"/>
        <v>170.14</v>
      </c>
      <c r="L76" s="1263" t="str">
        <f t="shared" si="120"/>
        <v>2012 - Cadmus Evaluation of a Mid-Atlantic Utility Program</v>
      </c>
      <c r="M76" s="707" t="str">
        <f t="shared" si="120"/>
        <v>NA</v>
      </c>
      <c r="N76" s="707">
        <f t="shared" si="120"/>
        <v>170</v>
      </c>
      <c r="O76" s="707">
        <f t="shared" si="120"/>
        <v>0</v>
      </c>
      <c r="P76" s="707">
        <f t="shared" si="120"/>
        <v>0</v>
      </c>
      <c r="Q76" s="1022">
        <v>420.54276325570027</v>
      </c>
      <c r="R76" s="872">
        <v>0.33901091507117342</v>
      </c>
      <c r="S76" s="1022">
        <v>0</v>
      </c>
      <c r="T76" s="711" t="str">
        <f t="shared" si="115"/>
        <v>Potential Study Results: End use usage based on prototypical building simulations adjusted by HDD to the region.</v>
      </c>
      <c r="U76" s="712"/>
      <c r="V76" s="1124">
        <f t="shared" si="83"/>
        <v>0</v>
      </c>
      <c r="W76" s="790"/>
      <c r="X76" s="790"/>
      <c r="Y76" s="790"/>
      <c r="Z76" s="790"/>
      <c r="AA76" s="790"/>
      <c r="AB76" s="790"/>
      <c r="AC76" s="781">
        <f t="shared" si="135"/>
        <v>0</v>
      </c>
      <c r="AD76" s="781">
        <f t="shared" si="135"/>
        <v>0</v>
      </c>
      <c r="AE76" s="781">
        <f t="shared" si="135"/>
        <v>0</v>
      </c>
      <c r="AF76" s="781">
        <f t="shared" si="135"/>
        <v>0</v>
      </c>
      <c r="AG76" s="781">
        <f t="shared" si="135"/>
        <v>0</v>
      </c>
      <c r="AH76" s="781">
        <f t="shared" si="122"/>
        <v>0</v>
      </c>
      <c r="AI76" s="781">
        <f t="shared" si="122"/>
        <v>0</v>
      </c>
      <c r="AJ76" s="711" t="s">
        <v>384</v>
      </c>
      <c r="AK76" s="711" t="s">
        <v>375</v>
      </c>
      <c r="AL76" s="711" t="s">
        <v>376</v>
      </c>
      <c r="AM76" s="711" t="s">
        <v>2064</v>
      </c>
      <c r="AN76" s="711" t="s">
        <v>1</v>
      </c>
      <c r="AO76" s="711" t="s">
        <v>2065</v>
      </c>
      <c r="AP76" s="711" t="s">
        <v>1702</v>
      </c>
      <c r="AQ76" s="711" t="s">
        <v>339</v>
      </c>
      <c r="AR76" s="715" t="s">
        <v>406</v>
      </c>
      <c r="AS76" s="715"/>
      <c r="AT76" s="715" t="s">
        <v>385</v>
      </c>
      <c r="AU76" s="711">
        <v>15</v>
      </c>
      <c r="AV76" s="711">
        <v>15</v>
      </c>
      <c r="AW76" s="711" t="s">
        <v>2066</v>
      </c>
      <c r="AX76" s="716">
        <v>1</v>
      </c>
      <c r="AY76" s="716">
        <v>1</v>
      </c>
      <c r="AZ76" s="716">
        <v>0</v>
      </c>
      <c r="BA76" s="499">
        <f t="shared" si="86"/>
        <v>340.28</v>
      </c>
      <c r="BB76" s="499">
        <f t="shared" si="123"/>
        <v>340.28</v>
      </c>
      <c r="BC76" s="499">
        <f t="shared" si="123"/>
        <v>340.28</v>
      </c>
      <c r="BD76" s="499">
        <f t="shared" si="123"/>
        <v>340.28</v>
      </c>
      <c r="BE76" s="499">
        <f t="shared" si="88"/>
        <v>340.28</v>
      </c>
      <c r="BF76" s="499">
        <f t="shared" si="88"/>
        <v>340.28</v>
      </c>
      <c r="BG76" s="499">
        <f t="shared" si="88"/>
        <v>340.28</v>
      </c>
      <c r="BH76" s="499">
        <f t="shared" si="89"/>
        <v>0</v>
      </c>
      <c r="BI76" s="499">
        <f t="shared" si="124"/>
        <v>0</v>
      </c>
      <c r="BJ76" s="499">
        <f t="shared" si="124"/>
        <v>0</v>
      </c>
      <c r="BK76" s="499">
        <f t="shared" si="124"/>
        <v>0</v>
      </c>
      <c r="BL76" s="499">
        <f t="shared" si="124"/>
        <v>0</v>
      </c>
      <c r="BM76" s="499">
        <f t="shared" si="124"/>
        <v>0</v>
      </c>
      <c r="BN76" s="499">
        <f t="shared" si="124"/>
        <v>0</v>
      </c>
      <c r="BO76" s="499">
        <f t="shared" si="91"/>
        <v>170</v>
      </c>
      <c r="BP76" s="499">
        <f t="shared" si="134"/>
        <v>170</v>
      </c>
      <c r="BQ76" s="499">
        <f t="shared" si="134"/>
        <v>170</v>
      </c>
      <c r="BR76" s="499">
        <f t="shared" si="134"/>
        <v>170</v>
      </c>
      <c r="BS76" s="499">
        <f t="shared" si="134"/>
        <v>170</v>
      </c>
      <c r="BT76" s="499">
        <f t="shared" si="134"/>
        <v>170</v>
      </c>
      <c r="BU76" s="499">
        <f t="shared" si="134"/>
        <v>170</v>
      </c>
      <c r="BV76" s="503">
        <f t="shared" si="116"/>
        <v>0</v>
      </c>
      <c r="BW76" s="503">
        <f t="shared" si="116"/>
        <v>0</v>
      </c>
      <c r="BX76" s="503">
        <f t="shared" si="116"/>
        <v>0</v>
      </c>
      <c r="BY76" s="503">
        <f t="shared" si="116"/>
        <v>0</v>
      </c>
      <c r="BZ76" s="503">
        <f t="shared" si="116"/>
        <v>0</v>
      </c>
      <c r="CA76" s="503">
        <f t="shared" si="116"/>
        <v>0</v>
      </c>
      <c r="CB76" s="503">
        <f t="shared" si="116"/>
        <v>0</v>
      </c>
      <c r="CC76" s="511">
        <f t="shared" si="94"/>
        <v>420.54276325570027</v>
      </c>
      <c r="CD76" s="511">
        <f t="shared" si="125"/>
        <v>420.54276325570027</v>
      </c>
      <c r="CE76" s="511">
        <f t="shared" si="125"/>
        <v>420.54276325570027</v>
      </c>
      <c r="CF76" s="511">
        <f t="shared" si="125"/>
        <v>420.54276325570027</v>
      </c>
      <c r="CG76" s="511">
        <f t="shared" si="125"/>
        <v>420.54276325570027</v>
      </c>
      <c r="CH76" s="511">
        <f t="shared" si="125"/>
        <v>420.54276325570027</v>
      </c>
      <c r="CI76" s="511">
        <f t="shared" si="125"/>
        <v>420.54276325570027</v>
      </c>
      <c r="CJ76" s="511">
        <f t="shared" si="96"/>
        <v>0.33901091507117342</v>
      </c>
      <c r="CK76" s="511">
        <f t="shared" si="126"/>
        <v>0.33901091507117342</v>
      </c>
      <c r="CL76" s="511">
        <f t="shared" si="126"/>
        <v>0.33901091507117342</v>
      </c>
      <c r="CM76" s="511">
        <f t="shared" si="126"/>
        <v>0.33901091507117342</v>
      </c>
      <c r="CN76" s="511">
        <f t="shared" si="126"/>
        <v>0.33901091507117342</v>
      </c>
      <c r="CO76" s="511">
        <f t="shared" si="126"/>
        <v>0.33901091507117342</v>
      </c>
      <c r="CP76" s="511">
        <f t="shared" si="126"/>
        <v>0.33901091507117342</v>
      </c>
      <c r="CQ76" s="511">
        <f t="shared" si="98"/>
        <v>0</v>
      </c>
      <c r="CR76" s="511">
        <f t="shared" si="127"/>
        <v>0</v>
      </c>
      <c r="CS76" s="511">
        <f t="shared" si="127"/>
        <v>0</v>
      </c>
      <c r="CT76" s="511">
        <f t="shared" si="127"/>
        <v>0</v>
      </c>
      <c r="CU76" s="511">
        <f t="shared" si="127"/>
        <v>0</v>
      </c>
      <c r="CV76" s="511">
        <f t="shared" si="127"/>
        <v>0</v>
      </c>
      <c r="CW76" s="511">
        <f t="shared" si="127"/>
        <v>0</v>
      </c>
      <c r="CX76" s="508">
        <f t="shared" si="136"/>
        <v>0</v>
      </c>
      <c r="CY76" s="508">
        <f t="shared" si="136"/>
        <v>0</v>
      </c>
      <c r="CZ76" s="508">
        <f t="shared" si="136"/>
        <v>0</v>
      </c>
      <c r="DA76" s="508">
        <f t="shared" si="136"/>
        <v>0</v>
      </c>
      <c r="DB76" s="508">
        <f t="shared" si="136"/>
        <v>0</v>
      </c>
      <c r="DC76" s="508">
        <f t="shared" si="136"/>
        <v>0</v>
      </c>
      <c r="DD76" s="508">
        <f t="shared" si="136"/>
        <v>0</v>
      </c>
      <c r="DE76" s="508">
        <f t="shared" si="137"/>
        <v>0</v>
      </c>
      <c r="DF76" s="508">
        <f t="shared" si="137"/>
        <v>0</v>
      </c>
      <c r="DG76" s="508">
        <f t="shared" si="137"/>
        <v>0</v>
      </c>
      <c r="DH76" s="508">
        <f t="shared" si="137"/>
        <v>0</v>
      </c>
      <c r="DI76" s="508">
        <f t="shared" si="137"/>
        <v>0</v>
      </c>
      <c r="DJ76" s="508">
        <f t="shared" si="137"/>
        <v>0</v>
      </c>
      <c r="DK76" s="508">
        <f t="shared" si="137"/>
        <v>0</v>
      </c>
      <c r="DL76" s="508">
        <f t="shared" si="138"/>
        <v>0</v>
      </c>
      <c r="DM76" s="508">
        <f t="shared" si="138"/>
        <v>0</v>
      </c>
      <c r="DN76" s="508">
        <f t="shared" si="138"/>
        <v>0</v>
      </c>
      <c r="DO76" s="508">
        <f t="shared" si="138"/>
        <v>0</v>
      </c>
      <c r="DP76" s="508">
        <f t="shared" si="138"/>
        <v>0</v>
      </c>
      <c r="DQ76" s="508">
        <f t="shared" si="138"/>
        <v>0</v>
      </c>
      <c r="DR76" s="508">
        <f t="shared" si="138"/>
        <v>0</v>
      </c>
      <c r="DS76" s="508">
        <f t="shared" si="117"/>
        <v>0</v>
      </c>
      <c r="DT76" s="508">
        <f t="shared" si="117"/>
        <v>0</v>
      </c>
      <c r="DU76" s="508">
        <f t="shared" si="117"/>
        <v>0</v>
      </c>
      <c r="DV76" s="508">
        <f t="shared" si="117"/>
        <v>0</v>
      </c>
      <c r="DW76" s="508">
        <f t="shared" si="117"/>
        <v>0</v>
      </c>
      <c r="DX76" s="508">
        <f t="shared" si="117"/>
        <v>0</v>
      </c>
      <c r="DY76" s="508">
        <f t="shared" si="117"/>
        <v>0</v>
      </c>
      <c r="DZ76" s="511">
        <f t="shared" si="139"/>
        <v>0</v>
      </c>
      <c r="EA76" s="511">
        <f t="shared" si="139"/>
        <v>0</v>
      </c>
      <c r="EB76" s="511">
        <f t="shared" si="139"/>
        <v>0</v>
      </c>
      <c r="EC76" s="511">
        <f t="shared" si="139"/>
        <v>0</v>
      </c>
      <c r="ED76" s="511">
        <f t="shared" si="139"/>
        <v>0</v>
      </c>
      <c r="EE76" s="511">
        <f t="shared" si="139"/>
        <v>0</v>
      </c>
      <c r="EF76" s="511">
        <f t="shared" si="139"/>
        <v>0</v>
      </c>
      <c r="EG76" s="511">
        <f t="shared" si="140"/>
        <v>0</v>
      </c>
      <c r="EH76" s="511">
        <f t="shared" si="140"/>
        <v>0</v>
      </c>
      <c r="EI76" s="511">
        <f t="shared" si="140"/>
        <v>0</v>
      </c>
      <c r="EJ76" s="511">
        <f t="shared" si="140"/>
        <v>0</v>
      </c>
      <c r="EK76" s="511">
        <f t="shared" si="140"/>
        <v>0</v>
      </c>
      <c r="EL76" s="511">
        <f t="shared" si="140"/>
        <v>0</v>
      </c>
      <c r="EM76" s="511">
        <f t="shared" si="140"/>
        <v>0</v>
      </c>
      <c r="EN76" s="511">
        <f t="shared" si="141"/>
        <v>0</v>
      </c>
      <c r="EO76" s="511">
        <f t="shared" si="141"/>
        <v>0</v>
      </c>
      <c r="EP76" s="511">
        <f t="shared" si="141"/>
        <v>0</v>
      </c>
      <c r="EQ76" s="511">
        <f t="shared" si="141"/>
        <v>0</v>
      </c>
      <c r="ER76" s="511">
        <f t="shared" si="141"/>
        <v>0</v>
      </c>
      <c r="ES76" s="511">
        <f t="shared" si="141"/>
        <v>0</v>
      </c>
      <c r="ET76" s="511">
        <f t="shared" si="141"/>
        <v>0</v>
      </c>
      <c r="EU76" s="777">
        <f t="shared" si="118"/>
        <v>0</v>
      </c>
      <c r="EV76" s="728">
        <f t="shared" si="108"/>
        <v>0</v>
      </c>
      <c r="EW76" s="728">
        <f t="shared" si="109"/>
        <v>0</v>
      </c>
      <c r="EX76" s="728">
        <f t="shared" si="110"/>
        <v>0</v>
      </c>
      <c r="EY76" s="728">
        <f t="shared" si="111"/>
        <v>0</v>
      </c>
      <c r="EZ76" s="777">
        <f t="shared" si="112"/>
        <v>0</v>
      </c>
      <c r="FA76" s="777">
        <f t="shared" si="113"/>
        <v>0</v>
      </c>
      <c r="FB76" s="778">
        <f t="shared" si="114"/>
        <v>0</v>
      </c>
    </row>
    <row r="77" spans="1:158" s="10" customFormat="1" ht="12.75" hidden="1" customHeight="1">
      <c r="A77" s="662" t="s">
        <v>207</v>
      </c>
      <c r="B77" s="789" t="s">
        <v>2171</v>
      </c>
      <c r="C77" s="662" t="s">
        <v>2068</v>
      </c>
      <c r="D77" s="715" t="s">
        <v>2061</v>
      </c>
      <c r="E77" s="662" t="s">
        <v>331</v>
      </c>
      <c r="F77" s="704" t="s">
        <v>402</v>
      </c>
      <c r="G77" s="707">
        <f t="shared" si="120"/>
        <v>6893.3159999999998</v>
      </c>
      <c r="H77" s="707">
        <f t="shared" si="120"/>
        <v>0</v>
      </c>
      <c r="I77" s="707">
        <f t="shared" si="120"/>
        <v>6893.3159999999998</v>
      </c>
      <c r="J77" s="707">
        <f t="shared" si="120"/>
        <v>0</v>
      </c>
      <c r="K77" s="707">
        <f t="shared" si="120"/>
        <v>3446.6579999999999</v>
      </c>
      <c r="L77" s="1263" t="str">
        <f t="shared" si="120"/>
        <v>2008 - Indiana - GHP Program Report</v>
      </c>
      <c r="M77" s="707" t="str">
        <f t="shared" si="120"/>
        <v>NA</v>
      </c>
      <c r="N77" s="707">
        <f t="shared" si="120"/>
        <v>300</v>
      </c>
      <c r="O77" s="707">
        <f t="shared" si="120"/>
        <v>0</v>
      </c>
      <c r="P77" s="707">
        <f t="shared" si="120"/>
        <v>0</v>
      </c>
      <c r="Q77" s="1022">
        <v>2962.0422247490405</v>
      </c>
      <c r="R77" s="872">
        <v>2.3877824868931818</v>
      </c>
      <c r="S77" s="1022">
        <v>0</v>
      </c>
      <c r="T77" s="711" t="str">
        <f t="shared" si="115"/>
        <v>Potential Study Results: End use usage based on prototypical building simulations adjusted by HDD to the region.</v>
      </c>
      <c r="U77" s="712"/>
      <c r="V77" s="1124">
        <f t="shared" si="83"/>
        <v>0</v>
      </c>
      <c r="W77" s="790"/>
      <c r="X77" s="790"/>
      <c r="Y77" s="790"/>
      <c r="Z77" s="790"/>
      <c r="AA77" s="790"/>
      <c r="AB77" s="790"/>
      <c r="AC77" s="781">
        <f t="shared" si="135"/>
        <v>0</v>
      </c>
      <c r="AD77" s="781">
        <f t="shared" si="135"/>
        <v>0</v>
      </c>
      <c r="AE77" s="781">
        <f t="shared" si="135"/>
        <v>0</v>
      </c>
      <c r="AF77" s="781">
        <f t="shared" si="135"/>
        <v>0</v>
      </c>
      <c r="AG77" s="781">
        <f t="shared" si="135"/>
        <v>0</v>
      </c>
      <c r="AH77" s="781">
        <f t="shared" si="122"/>
        <v>0</v>
      </c>
      <c r="AI77" s="781">
        <f t="shared" si="122"/>
        <v>0</v>
      </c>
      <c r="AJ77" s="711" t="s">
        <v>384</v>
      </c>
      <c r="AK77" s="711" t="s">
        <v>375</v>
      </c>
      <c r="AL77" s="711" t="s">
        <v>376</v>
      </c>
      <c r="AM77" s="711" t="s">
        <v>2064</v>
      </c>
      <c r="AN77" s="711" t="s">
        <v>1</v>
      </c>
      <c r="AO77" s="711" t="s">
        <v>2070</v>
      </c>
      <c r="AP77" s="711" t="s">
        <v>1702</v>
      </c>
      <c r="AQ77" s="711" t="s">
        <v>339</v>
      </c>
      <c r="AR77" s="715" t="s">
        <v>406</v>
      </c>
      <c r="AS77" s="715"/>
      <c r="AT77" s="715" t="s">
        <v>385</v>
      </c>
      <c r="AU77" s="711">
        <v>20</v>
      </c>
      <c r="AV77" s="711">
        <v>20</v>
      </c>
      <c r="AW77" s="711" t="s">
        <v>2071</v>
      </c>
      <c r="AX77" s="716">
        <v>1</v>
      </c>
      <c r="AY77" s="716">
        <v>1</v>
      </c>
      <c r="AZ77" s="716">
        <v>0</v>
      </c>
      <c r="BA77" s="499">
        <f t="shared" si="86"/>
        <v>6893.3159999999998</v>
      </c>
      <c r="BB77" s="499">
        <f t="shared" si="123"/>
        <v>6893.3159999999998</v>
      </c>
      <c r="BC77" s="499">
        <f t="shared" si="123"/>
        <v>6893.3159999999998</v>
      </c>
      <c r="BD77" s="499">
        <f t="shared" si="123"/>
        <v>6893.3159999999998</v>
      </c>
      <c r="BE77" s="499">
        <f t="shared" si="88"/>
        <v>6893.3159999999998</v>
      </c>
      <c r="BF77" s="499">
        <f t="shared" si="88"/>
        <v>6893.3159999999998</v>
      </c>
      <c r="BG77" s="499">
        <f t="shared" si="88"/>
        <v>6893.3159999999998</v>
      </c>
      <c r="BH77" s="499">
        <f t="shared" si="89"/>
        <v>0</v>
      </c>
      <c r="BI77" s="499">
        <f t="shared" si="124"/>
        <v>0</v>
      </c>
      <c r="BJ77" s="499">
        <f t="shared" si="124"/>
        <v>0</v>
      </c>
      <c r="BK77" s="499">
        <f t="shared" si="124"/>
        <v>0</v>
      </c>
      <c r="BL77" s="499">
        <f t="shared" si="124"/>
        <v>0</v>
      </c>
      <c r="BM77" s="499">
        <f t="shared" si="124"/>
        <v>0</v>
      </c>
      <c r="BN77" s="499">
        <f t="shared" si="124"/>
        <v>0</v>
      </c>
      <c r="BO77" s="499">
        <f t="shared" si="91"/>
        <v>300</v>
      </c>
      <c r="BP77" s="499">
        <f t="shared" si="134"/>
        <v>300</v>
      </c>
      <c r="BQ77" s="499">
        <f t="shared" si="134"/>
        <v>300</v>
      </c>
      <c r="BR77" s="499">
        <f t="shared" si="134"/>
        <v>300</v>
      </c>
      <c r="BS77" s="499">
        <f t="shared" si="134"/>
        <v>300</v>
      </c>
      <c r="BT77" s="499">
        <f t="shared" si="134"/>
        <v>300</v>
      </c>
      <c r="BU77" s="499">
        <f t="shared" si="134"/>
        <v>300</v>
      </c>
      <c r="BV77" s="503">
        <f t="shared" si="116"/>
        <v>0</v>
      </c>
      <c r="BW77" s="503">
        <f t="shared" si="116"/>
        <v>0</v>
      </c>
      <c r="BX77" s="503">
        <f t="shared" si="116"/>
        <v>0</v>
      </c>
      <c r="BY77" s="503">
        <f t="shared" si="116"/>
        <v>0</v>
      </c>
      <c r="BZ77" s="503">
        <f t="shared" si="116"/>
        <v>0</v>
      </c>
      <c r="CA77" s="503">
        <f t="shared" si="116"/>
        <v>0</v>
      </c>
      <c r="CB77" s="503">
        <f t="shared" si="116"/>
        <v>0</v>
      </c>
      <c r="CC77" s="511">
        <f t="shared" si="94"/>
        <v>2962.0422247490405</v>
      </c>
      <c r="CD77" s="511">
        <f t="shared" si="125"/>
        <v>2962.0422247490405</v>
      </c>
      <c r="CE77" s="511">
        <f t="shared" si="125"/>
        <v>2962.0422247490405</v>
      </c>
      <c r="CF77" s="511">
        <f t="shared" si="125"/>
        <v>2962.0422247490405</v>
      </c>
      <c r="CG77" s="511">
        <f t="shared" si="125"/>
        <v>2962.0422247490405</v>
      </c>
      <c r="CH77" s="511">
        <f t="shared" si="125"/>
        <v>2962.0422247490405</v>
      </c>
      <c r="CI77" s="511">
        <f t="shared" si="125"/>
        <v>2962.0422247490405</v>
      </c>
      <c r="CJ77" s="511">
        <f t="shared" si="96"/>
        <v>2.3877824868931818</v>
      </c>
      <c r="CK77" s="511">
        <f t="shared" si="126"/>
        <v>2.3877824868931818</v>
      </c>
      <c r="CL77" s="511">
        <f t="shared" si="126"/>
        <v>2.3877824868931818</v>
      </c>
      <c r="CM77" s="511">
        <f t="shared" si="126"/>
        <v>2.3877824868931818</v>
      </c>
      <c r="CN77" s="511">
        <f t="shared" si="126"/>
        <v>2.3877824868931818</v>
      </c>
      <c r="CO77" s="511">
        <f t="shared" si="126"/>
        <v>2.3877824868931818</v>
      </c>
      <c r="CP77" s="511">
        <f t="shared" si="126"/>
        <v>2.3877824868931818</v>
      </c>
      <c r="CQ77" s="511">
        <f t="shared" si="98"/>
        <v>0</v>
      </c>
      <c r="CR77" s="511">
        <f t="shared" si="127"/>
        <v>0</v>
      </c>
      <c r="CS77" s="511">
        <f t="shared" si="127"/>
        <v>0</v>
      </c>
      <c r="CT77" s="511">
        <f t="shared" si="127"/>
        <v>0</v>
      </c>
      <c r="CU77" s="511">
        <f t="shared" si="127"/>
        <v>0</v>
      </c>
      <c r="CV77" s="511">
        <f t="shared" si="127"/>
        <v>0</v>
      </c>
      <c r="CW77" s="511">
        <f t="shared" si="127"/>
        <v>0</v>
      </c>
      <c r="CX77" s="508">
        <f t="shared" si="136"/>
        <v>0</v>
      </c>
      <c r="CY77" s="508">
        <f t="shared" si="136"/>
        <v>0</v>
      </c>
      <c r="CZ77" s="508">
        <f t="shared" si="136"/>
        <v>0</v>
      </c>
      <c r="DA77" s="508">
        <f t="shared" si="136"/>
        <v>0</v>
      </c>
      <c r="DB77" s="508">
        <f t="shared" si="136"/>
        <v>0</v>
      </c>
      <c r="DC77" s="508">
        <f t="shared" si="136"/>
        <v>0</v>
      </c>
      <c r="DD77" s="508">
        <f t="shared" si="136"/>
        <v>0</v>
      </c>
      <c r="DE77" s="508">
        <f t="shared" si="137"/>
        <v>0</v>
      </c>
      <c r="DF77" s="508">
        <f t="shared" si="137"/>
        <v>0</v>
      </c>
      <c r="DG77" s="508">
        <f t="shared" si="137"/>
        <v>0</v>
      </c>
      <c r="DH77" s="508">
        <f t="shared" si="137"/>
        <v>0</v>
      </c>
      <c r="DI77" s="508">
        <f t="shared" si="137"/>
        <v>0</v>
      </c>
      <c r="DJ77" s="508">
        <f t="shared" si="137"/>
        <v>0</v>
      </c>
      <c r="DK77" s="508">
        <f t="shared" si="137"/>
        <v>0</v>
      </c>
      <c r="DL77" s="508">
        <f t="shared" si="138"/>
        <v>0</v>
      </c>
      <c r="DM77" s="508">
        <f t="shared" si="138"/>
        <v>0</v>
      </c>
      <c r="DN77" s="508">
        <f t="shared" si="138"/>
        <v>0</v>
      </c>
      <c r="DO77" s="508">
        <f t="shared" si="138"/>
        <v>0</v>
      </c>
      <c r="DP77" s="508">
        <f t="shared" si="138"/>
        <v>0</v>
      </c>
      <c r="DQ77" s="508">
        <f t="shared" si="138"/>
        <v>0</v>
      </c>
      <c r="DR77" s="508">
        <f t="shared" si="138"/>
        <v>0</v>
      </c>
      <c r="DS77" s="508">
        <f t="shared" si="117"/>
        <v>0</v>
      </c>
      <c r="DT77" s="508">
        <f t="shared" si="117"/>
        <v>0</v>
      </c>
      <c r="DU77" s="508">
        <f t="shared" si="117"/>
        <v>0</v>
      </c>
      <c r="DV77" s="508">
        <f t="shared" si="117"/>
        <v>0</v>
      </c>
      <c r="DW77" s="508">
        <f t="shared" si="117"/>
        <v>0</v>
      </c>
      <c r="DX77" s="508">
        <f t="shared" si="117"/>
        <v>0</v>
      </c>
      <c r="DY77" s="508">
        <f t="shared" si="117"/>
        <v>0</v>
      </c>
      <c r="DZ77" s="511">
        <f t="shared" si="139"/>
        <v>0</v>
      </c>
      <c r="EA77" s="511">
        <f t="shared" si="139"/>
        <v>0</v>
      </c>
      <c r="EB77" s="511">
        <f t="shared" si="139"/>
        <v>0</v>
      </c>
      <c r="EC77" s="511">
        <f t="shared" si="139"/>
        <v>0</v>
      </c>
      <c r="ED77" s="511">
        <f t="shared" si="139"/>
        <v>0</v>
      </c>
      <c r="EE77" s="511">
        <f t="shared" si="139"/>
        <v>0</v>
      </c>
      <c r="EF77" s="511">
        <f t="shared" si="139"/>
        <v>0</v>
      </c>
      <c r="EG77" s="511">
        <f t="shared" si="140"/>
        <v>0</v>
      </c>
      <c r="EH77" s="511">
        <f t="shared" si="140"/>
        <v>0</v>
      </c>
      <c r="EI77" s="511">
        <f t="shared" si="140"/>
        <v>0</v>
      </c>
      <c r="EJ77" s="511">
        <f t="shared" si="140"/>
        <v>0</v>
      </c>
      <c r="EK77" s="511">
        <f t="shared" si="140"/>
        <v>0</v>
      </c>
      <c r="EL77" s="511">
        <f t="shared" si="140"/>
        <v>0</v>
      </c>
      <c r="EM77" s="511">
        <f t="shared" si="140"/>
        <v>0</v>
      </c>
      <c r="EN77" s="511">
        <f t="shared" si="141"/>
        <v>0</v>
      </c>
      <c r="EO77" s="511">
        <f t="shared" si="141"/>
        <v>0</v>
      </c>
      <c r="EP77" s="511">
        <f t="shared" si="141"/>
        <v>0</v>
      </c>
      <c r="EQ77" s="511">
        <f t="shared" si="141"/>
        <v>0</v>
      </c>
      <c r="ER77" s="511">
        <f t="shared" si="141"/>
        <v>0</v>
      </c>
      <c r="ES77" s="511">
        <f t="shared" si="141"/>
        <v>0</v>
      </c>
      <c r="ET77" s="511">
        <f t="shared" si="141"/>
        <v>0</v>
      </c>
      <c r="EU77" s="777">
        <f t="shared" si="118"/>
        <v>0</v>
      </c>
      <c r="EV77" s="728">
        <f t="shared" si="108"/>
        <v>0</v>
      </c>
      <c r="EW77" s="728">
        <f t="shared" si="109"/>
        <v>0</v>
      </c>
      <c r="EX77" s="728">
        <f t="shared" si="110"/>
        <v>0</v>
      </c>
      <c r="EY77" s="728">
        <f t="shared" si="111"/>
        <v>0</v>
      </c>
      <c r="EZ77" s="777">
        <f t="shared" si="112"/>
        <v>0</v>
      </c>
      <c r="FA77" s="777">
        <f t="shared" si="113"/>
        <v>0</v>
      </c>
      <c r="FB77" s="778">
        <f t="shared" si="114"/>
        <v>0</v>
      </c>
    </row>
    <row r="78" spans="1:158" s="10" customFormat="1" ht="12.75" customHeight="1">
      <c r="A78" s="662" t="s">
        <v>208</v>
      </c>
      <c r="B78" s="789" t="s">
        <v>2172</v>
      </c>
      <c r="C78" s="662" t="s">
        <v>931</v>
      </c>
      <c r="D78" s="715" t="s">
        <v>932</v>
      </c>
      <c r="E78" s="662" t="s">
        <v>331</v>
      </c>
      <c r="F78" s="704" t="s">
        <v>402</v>
      </c>
      <c r="G78" s="707">
        <f t="shared" si="120"/>
        <v>4088.0155679999998</v>
      </c>
      <c r="H78" s="707">
        <f t="shared" si="120"/>
        <v>0</v>
      </c>
      <c r="I78" s="707">
        <f t="shared" si="120"/>
        <v>4088.0155679999998</v>
      </c>
      <c r="J78" s="707">
        <f t="shared" si="120"/>
        <v>0</v>
      </c>
      <c r="K78" s="707">
        <f t="shared" si="120"/>
        <v>2044.0077839999999</v>
      </c>
      <c r="L78" s="1263" t="str">
        <f t="shared" si="120"/>
        <v>NEEP Incremental Cost Study - Phase 2; Accessed 6/3/2016, http://www.neep.org/file/1002/download?token=hYnSw9sW</v>
      </c>
      <c r="M78" s="707" t="str">
        <f t="shared" si="120"/>
        <v>NA</v>
      </c>
      <c r="N78" s="707">
        <f t="shared" si="120"/>
        <v>300</v>
      </c>
      <c r="O78" s="707">
        <f t="shared" si="120"/>
        <v>0</v>
      </c>
      <c r="P78" s="707">
        <f t="shared" si="120"/>
        <v>0</v>
      </c>
      <c r="Q78" s="1022">
        <v>4172.3665824240761</v>
      </c>
      <c r="R78" s="872">
        <v>0</v>
      </c>
      <c r="S78" s="1022">
        <v>0</v>
      </c>
      <c r="T78" s="711" t="str">
        <f t="shared" si="115"/>
        <v>Potential Study Results: Calculations based on ENERGY STAR Appliances Calculator. Accessed 06.07.2016</v>
      </c>
      <c r="U78" s="712"/>
      <c r="V78" s="1124">
        <f t="shared" si="83"/>
        <v>0</v>
      </c>
      <c r="W78" s="790"/>
      <c r="X78" s="790"/>
      <c r="Y78" s="790"/>
      <c r="Z78" s="790"/>
      <c r="AA78" s="790"/>
      <c r="AB78" s="790"/>
      <c r="AC78" s="781">
        <f t="shared" si="135"/>
        <v>0</v>
      </c>
      <c r="AD78" s="781">
        <f t="shared" si="135"/>
        <v>0</v>
      </c>
      <c r="AE78" s="781">
        <f t="shared" si="135"/>
        <v>0</v>
      </c>
      <c r="AF78" s="781">
        <f t="shared" si="135"/>
        <v>0</v>
      </c>
      <c r="AG78" s="781">
        <f t="shared" si="135"/>
        <v>0</v>
      </c>
      <c r="AH78" s="781">
        <f t="shared" si="122"/>
        <v>0</v>
      </c>
      <c r="AI78" s="781">
        <f t="shared" si="122"/>
        <v>0</v>
      </c>
      <c r="AJ78" s="711" t="s">
        <v>384</v>
      </c>
      <c r="AK78" s="711" t="s">
        <v>375</v>
      </c>
      <c r="AL78" s="711" t="s">
        <v>376</v>
      </c>
      <c r="AM78" s="711" t="s">
        <v>2073</v>
      </c>
      <c r="AN78" s="711" t="s">
        <v>1</v>
      </c>
      <c r="AO78" s="711" t="s">
        <v>2074</v>
      </c>
      <c r="AP78" s="711" t="s">
        <v>1702</v>
      </c>
      <c r="AQ78" s="711" t="s">
        <v>339</v>
      </c>
      <c r="AR78" s="715" t="s">
        <v>406</v>
      </c>
      <c r="AS78" s="715"/>
      <c r="AT78" s="715" t="s">
        <v>385</v>
      </c>
      <c r="AU78" s="711">
        <v>15</v>
      </c>
      <c r="AV78" s="711">
        <v>15</v>
      </c>
      <c r="AW78" s="711" t="s">
        <v>2075</v>
      </c>
      <c r="AX78" s="716">
        <v>1</v>
      </c>
      <c r="AY78" s="716">
        <v>1</v>
      </c>
      <c r="AZ78" s="716">
        <v>0</v>
      </c>
      <c r="BA78" s="499">
        <f t="shared" si="86"/>
        <v>4088.0155679999998</v>
      </c>
      <c r="BB78" s="499">
        <f t="shared" si="123"/>
        <v>4088.0155679999998</v>
      </c>
      <c r="BC78" s="499">
        <f t="shared" si="123"/>
        <v>4088.0155679999998</v>
      </c>
      <c r="BD78" s="499">
        <f t="shared" si="123"/>
        <v>4088.0155679999998</v>
      </c>
      <c r="BE78" s="499">
        <f t="shared" si="88"/>
        <v>4088.0155679999998</v>
      </c>
      <c r="BF78" s="499">
        <f t="shared" si="88"/>
        <v>4088.0155679999998</v>
      </c>
      <c r="BG78" s="499">
        <f t="shared" si="88"/>
        <v>4088.0155679999998</v>
      </c>
      <c r="BH78" s="499">
        <f t="shared" si="89"/>
        <v>0</v>
      </c>
      <c r="BI78" s="499">
        <f t="shared" si="124"/>
        <v>0</v>
      </c>
      <c r="BJ78" s="499">
        <f t="shared" si="124"/>
        <v>0</v>
      </c>
      <c r="BK78" s="499">
        <f t="shared" si="124"/>
        <v>0</v>
      </c>
      <c r="BL78" s="499">
        <f t="shared" si="124"/>
        <v>0</v>
      </c>
      <c r="BM78" s="499">
        <f t="shared" si="124"/>
        <v>0</v>
      </c>
      <c r="BN78" s="499">
        <f t="shared" si="124"/>
        <v>0</v>
      </c>
      <c r="BO78" s="499">
        <f t="shared" si="91"/>
        <v>300</v>
      </c>
      <c r="BP78" s="499">
        <f t="shared" si="134"/>
        <v>300</v>
      </c>
      <c r="BQ78" s="499">
        <f t="shared" si="134"/>
        <v>300</v>
      </c>
      <c r="BR78" s="499">
        <f t="shared" si="134"/>
        <v>300</v>
      </c>
      <c r="BS78" s="499">
        <f t="shared" si="134"/>
        <v>300</v>
      </c>
      <c r="BT78" s="499">
        <f t="shared" si="134"/>
        <v>300</v>
      </c>
      <c r="BU78" s="499">
        <f t="shared" si="134"/>
        <v>300</v>
      </c>
      <c r="BV78" s="503">
        <f t="shared" si="116"/>
        <v>0</v>
      </c>
      <c r="BW78" s="503">
        <f t="shared" si="116"/>
        <v>0</v>
      </c>
      <c r="BX78" s="503">
        <f t="shared" si="116"/>
        <v>0</v>
      </c>
      <c r="BY78" s="503">
        <f t="shared" si="116"/>
        <v>0</v>
      </c>
      <c r="BZ78" s="503">
        <f t="shared" si="116"/>
        <v>0</v>
      </c>
      <c r="CA78" s="503">
        <f t="shared" si="116"/>
        <v>0</v>
      </c>
      <c r="CB78" s="503">
        <f t="shared" si="116"/>
        <v>0</v>
      </c>
      <c r="CC78" s="511">
        <f t="shared" si="94"/>
        <v>4172.3665824240761</v>
      </c>
      <c r="CD78" s="511">
        <f t="shared" si="125"/>
        <v>4172.3665824240761</v>
      </c>
      <c r="CE78" s="511">
        <f t="shared" si="125"/>
        <v>4172.3665824240761</v>
      </c>
      <c r="CF78" s="511">
        <f t="shared" si="125"/>
        <v>4172.3665824240761</v>
      </c>
      <c r="CG78" s="511">
        <f t="shared" si="125"/>
        <v>4172.3665824240761</v>
      </c>
      <c r="CH78" s="511">
        <f t="shared" si="125"/>
        <v>4172.3665824240761</v>
      </c>
      <c r="CI78" s="511">
        <f t="shared" si="125"/>
        <v>4172.3665824240761</v>
      </c>
      <c r="CJ78" s="511">
        <f t="shared" si="96"/>
        <v>0</v>
      </c>
      <c r="CK78" s="511">
        <f t="shared" si="126"/>
        <v>0</v>
      </c>
      <c r="CL78" s="511">
        <f t="shared" si="126"/>
        <v>0</v>
      </c>
      <c r="CM78" s="511">
        <f t="shared" si="126"/>
        <v>0</v>
      </c>
      <c r="CN78" s="511">
        <f t="shared" si="126"/>
        <v>0</v>
      </c>
      <c r="CO78" s="511">
        <f t="shared" si="126"/>
        <v>0</v>
      </c>
      <c r="CP78" s="511">
        <f t="shared" si="126"/>
        <v>0</v>
      </c>
      <c r="CQ78" s="511">
        <f t="shared" si="98"/>
        <v>0</v>
      </c>
      <c r="CR78" s="511">
        <f t="shared" si="127"/>
        <v>0</v>
      </c>
      <c r="CS78" s="511">
        <f t="shared" si="127"/>
        <v>0</v>
      </c>
      <c r="CT78" s="511">
        <f t="shared" si="127"/>
        <v>0</v>
      </c>
      <c r="CU78" s="511">
        <f t="shared" si="127"/>
        <v>0</v>
      </c>
      <c r="CV78" s="511">
        <f t="shared" si="127"/>
        <v>0</v>
      </c>
      <c r="CW78" s="511">
        <f t="shared" si="127"/>
        <v>0</v>
      </c>
      <c r="CX78" s="508">
        <f t="shared" si="136"/>
        <v>0</v>
      </c>
      <c r="CY78" s="508">
        <f t="shared" si="136"/>
        <v>0</v>
      </c>
      <c r="CZ78" s="508">
        <f t="shared" si="136"/>
        <v>0</v>
      </c>
      <c r="DA78" s="508">
        <f t="shared" si="136"/>
        <v>0</v>
      </c>
      <c r="DB78" s="508">
        <f t="shared" si="136"/>
        <v>0</v>
      </c>
      <c r="DC78" s="508">
        <f t="shared" si="136"/>
        <v>0</v>
      </c>
      <c r="DD78" s="508">
        <f t="shared" si="136"/>
        <v>0</v>
      </c>
      <c r="DE78" s="508">
        <f t="shared" si="137"/>
        <v>0</v>
      </c>
      <c r="DF78" s="508">
        <f t="shared" si="137"/>
        <v>0</v>
      </c>
      <c r="DG78" s="508">
        <f t="shared" si="137"/>
        <v>0</v>
      </c>
      <c r="DH78" s="508">
        <f t="shared" si="137"/>
        <v>0</v>
      </c>
      <c r="DI78" s="508">
        <f t="shared" si="137"/>
        <v>0</v>
      </c>
      <c r="DJ78" s="508">
        <f t="shared" si="137"/>
        <v>0</v>
      </c>
      <c r="DK78" s="508">
        <f t="shared" si="137"/>
        <v>0</v>
      </c>
      <c r="DL78" s="508">
        <f t="shared" si="138"/>
        <v>0</v>
      </c>
      <c r="DM78" s="508">
        <f t="shared" si="138"/>
        <v>0</v>
      </c>
      <c r="DN78" s="508">
        <f t="shared" si="138"/>
        <v>0</v>
      </c>
      <c r="DO78" s="508">
        <f t="shared" si="138"/>
        <v>0</v>
      </c>
      <c r="DP78" s="508">
        <f t="shared" si="138"/>
        <v>0</v>
      </c>
      <c r="DQ78" s="508">
        <f t="shared" si="138"/>
        <v>0</v>
      </c>
      <c r="DR78" s="508">
        <f t="shared" si="138"/>
        <v>0</v>
      </c>
      <c r="DS78" s="508">
        <f t="shared" si="117"/>
        <v>0</v>
      </c>
      <c r="DT78" s="508">
        <f t="shared" si="117"/>
        <v>0</v>
      </c>
      <c r="DU78" s="508">
        <f t="shared" si="117"/>
        <v>0</v>
      </c>
      <c r="DV78" s="508">
        <f t="shared" si="117"/>
        <v>0</v>
      </c>
      <c r="DW78" s="508">
        <f t="shared" si="117"/>
        <v>0</v>
      </c>
      <c r="DX78" s="508">
        <f t="shared" si="117"/>
        <v>0</v>
      </c>
      <c r="DY78" s="508">
        <f t="shared" si="117"/>
        <v>0</v>
      </c>
      <c r="DZ78" s="511">
        <f t="shared" si="139"/>
        <v>0</v>
      </c>
      <c r="EA78" s="511">
        <f t="shared" si="139"/>
        <v>0</v>
      </c>
      <c r="EB78" s="511">
        <f t="shared" si="139"/>
        <v>0</v>
      </c>
      <c r="EC78" s="511">
        <f t="shared" si="139"/>
        <v>0</v>
      </c>
      <c r="ED78" s="511">
        <f t="shared" si="139"/>
        <v>0</v>
      </c>
      <c r="EE78" s="511">
        <f t="shared" si="139"/>
        <v>0</v>
      </c>
      <c r="EF78" s="511">
        <f t="shared" si="139"/>
        <v>0</v>
      </c>
      <c r="EG78" s="511">
        <f t="shared" si="140"/>
        <v>0</v>
      </c>
      <c r="EH78" s="511">
        <f t="shared" si="140"/>
        <v>0</v>
      </c>
      <c r="EI78" s="511">
        <f t="shared" si="140"/>
        <v>0</v>
      </c>
      <c r="EJ78" s="511">
        <f t="shared" si="140"/>
        <v>0</v>
      </c>
      <c r="EK78" s="511">
        <f t="shared" si="140"/>
        <v>0</v>
      </c>
      <c r="EL78" s="511">
        <f t="shared" si="140"/>
        <v>0</v>
      </c>
      <c r="EM78" s="511">
        <f t="shared" si="140"/>
        <v>0</v>
      </c>
      <c r="EN78" s="511">
        <f t="shared" si="141"/>
        <v>0</v>
      </c>
      <c r="EO78" s="511">
        <f t="shared" si="141"/>
        <v>0</v>
      </c>
      <c r="EP78" s="511">
        <f t="shared" si="141"/>
        <v>0</v>
      </c>
      <c r="EQ78" s="511">
        <f t="shared" si="141"/>
        <v>0</v>
      </c>
      <c r="ER78" s="511">
        <f t="shared" si="141"/>
        <v>0</v>
      </c>
      <c r="ES78" s="511">
        <f t="shared" si="141"/>
        <v>0</v>
      </c>
      <c r="ET78" s="511">
        <f t="shared" si="141"/>
        <v>0</v>
      </c>
      <c r="EU78" s="777">
        <f t="shared" si="118"/>
        <v>0</v>
      </c>
      <c r="EV78" s="728">
        <f t="shared" si="108"/>
        <v>0</v>
      </c>
      <c r="EW78" s="728">
        <f t="shared" si="109"/>
        <v>0</v>
      </c>
      <c r="EX78" s="728">
        <f t="shared" si="110"/>
        <v>0</v>
      </c>
      <c r="EY78" s="728">
        <f t="shared" si="111"/>
        <v>0</v>
      </c>
      <c r="EZ78" s="777">
        <f t="shared" si="112"/>
        <v>0</v>
      </c>
      <c r="FA78" s="777">
        <f t="shared" si="113"/>
        <v>0</v>
      </c>
      <c r="FB78" s="778">
        <f t="shared" si="114"/>
        <v>0</v>
      </c>
    </row>
    <row r="79" spans="1:158" s="10" customFormat="1" ht="12.75" hidden="1" customHeight="1">
      <c r="A79" s="662" t="s">
        <v>209</v>
      </c>
      <c r="B79" s="789" t="s">
        <v>2173</v>
      </c>
      <c r="C79" s="662" t="s">
        <v>934</v>
      </c>
      <c r="D79" s="715" t="s">
        <v>935</v>
      </c>
      <c r="E79" s="662" t="s">
        <v>331</v>
      </c>
      <c r="F79" s="704" t="s">
        <v>402</v>
      </c>
      <c r="G79" s="707">
        <f t="shared" si="120"/>
        <v>2547.6200000000008</v>
      </c>
      <c r="H79" s="707">
        <f t="shared" si="120"/>
        <v>0</v>
      </c>
      <c r="I79" s="707">
        <f t="shared" si="120"/>
        <v>2547.6200000000008</v>
      </c>
      <c r="J79" s="707">
        <f t="shared" si="120"/>
        <v>0</v>
      </c>
      <c r="K79" s="707">
        <f t="shared" si="120"/>
        <v>1273.8100000000004</v>
      </c>
      <c r="L79" s="1263" t="str">
        <f t="shared" si="120"/>
        <v>Various contractor estimates and retailers.</v>
      </c>
      <c r="M79" s="707" t="str">
        <f t="shared" si="120"/>
        <v>NA</v>
      </c>
      <c r="N79" s="707">
        <f t="shared" si="120"/>
        <v>300</v>
      </c>
      <c r="O79" s="707">
        <f t="shared" si="120"/>
        <v>0</v>
      </c>
      <c r="P79" s="707">
        <f t="shared" si="120"/>
        <v>0</v>
      </c>
      <c r="Q79" s="1022">
        <v>0</v>
      </c>
      <c r="R79" s="872">
        <v>0</v>
      </c>
      <c r="S79" s="1022">
        <v>63.564077474565465</v>
      </c>
      <c r="T79" s="711" t="str">
        <f t="shared" si="115"/>
        <v>Potential Study Results: Calculations based on ENERGY STAR Appliances Calculator. Accessed 06.07.2016</v>
      </c>
      <c r="U79" s="712"/>
      <c r="V79" s="1124">
        <f t="shared" si="83"/>
        <v>0</v>
      </c>
      <c r="W79" s="790"/>
      <c r="X79" s="790"/>
      <c r="Y79" s="790"/>
      <c r="Z79" s="790"/>
      <c r="AA79" s="790"/>
      <c r="AB79" s="790"/>
      <c r="AC79" s="781">
        <f t="shared" si="135"/>
        <v>0</v>
      </c>
      <c r="AD79" s="781">
        <f t="shared" si="135"/>
        <v>0</v>
      </c>
      <c r="AE79" s="781">
        <f t="shared" si="135"/>
        <v>0</v>
      </c>
      <c r="AF79" s="781">
        <f t="shared" si="135"/>
        <v>0</v>
      </c>
      <c r="AG79" s="781">
        <f t="shared" si="135"/>
        <v>0</v>
      </c>
      <c r="AH79" s="781">
        <f t="shared" si="122"/>
        <v>0</v>
      </c>
      <c r="AI79" s="781">
        <f t="shared" si="122"/>
        <v>0</v>
      </c>
      <c r="AJ79" s="711" t="s">
        <v>2013</v>
      </c>
      <c r="AK79" s="711" t="s">
        <v>375</v>
      </c>
      <c r="AL79" s="711" t="s">
        <v>376</v>
      </c>
      <c r="AM79" s="711" t="s">
        <v>2077</v>
      </c>
      <c r="AN79" s="711" t="s">
        <v>1</v>
      </c>
      <c r="AO79" s="711" t="s">
        <v>2078</v>
      </c>
      <c r="AP79" s="711" t="s">
        <v>934</v>
      </c>
      <c r="AQ79" s="711" t="s">
        <v>935</v>
      </c>
      <c r="AR79" s="715" t="s">
        <v>1944</v>
      </c>
      <c r="AS79" s="715" t="s">
        <v>407</v>
      </c>
      <c r="AT79" s="715" t="s">
        <v>385</v>
      </c>
      <c r="AU79" s="711">
        <v>20</v>
      </c>
      <c r="AV79" s="711">
        <v>20</v>
      </c>
      <c r="AW79" s="711" t="s">
        <v>2079</v>
      </c>
      <c r="AX79" s="716">
        <v>1</v>
      </c>
      <c r="AY79" s="716">
        <v>0</v>
      </c>
      <c r="AZ79" s="716">
        <v>1</v>
      </c>
      <c r="BA79" s="499">
        <f t="shared" si="86"/>
        <v>2547.6200000000008</v>
      </c>
      <c r="BB79" s="499">
        <f t="shared" si="123"/>
        <v>2547.6200000000008</v>
      </c>
      <c r="BC79" s="499">
        <f t="shared" si="123"/>
        <v>2547.6200000000008</v>
      </c>
      <c r="BD79" s="499">
        <f t="shared" si="123"/>
        <v>2547.6200000000008</v>
      </c>
      <c r="BE79" s="499">
        <f t="shared" si="88"/>
        <v>2547.6200000000008</v>
      </c>
      <c r="BF79" s="499">
        <f t="shared" si="88"/>
        <v>2547.6200000000008</v>
      </c>
      <c r="BG79" s="499">
        <f t="shared" si="88"/>
        <v>2547.6200000000008</v>
      </c>
      <c r="BH79" s="499">
        <f t="shared" si="89"/>
        <v>0</v>
      </c>
      <c r="BI79" s="499">
        <f t="shared" si="124"/>
        <v>0</v>
      </c>
      <c r="BJ79" s="499">
        <f t="shared" si="124"/>
        <v>0</v>
      </c>
      <c r="BK79" s="499">
        <f t="shared" si="124"/>
        <v>0</v>
      </c>
      <c r="BL79" s="499">
        <f t="shared" si="124"/>
        <v>0</v>
      </c>
      <c r="BM79" s="499">
        <f t="shared" si="124"/>
        <v>0</v>
      </c>
      <c r="BN79" s="499">
        <f t="shared" si="124"/>
        <v>0</v>
      </c>
      <c r="BO79" s="499">
        <f t="shared" si="91"/>
        <v>300</v>
      </c>
      <c r="BP79" s="499">
        <f t="shared" si="134"/>
        <v>300</v>
      </c>
      <c r="BQ79" s="499">
        <f t="shared" si="134"/>
        <v>300</v>
      </c>
      <c r="BR79" s="499">
        <f t="shared" si="134"/>
        <v>300</v>
      </c>
      <c r="BS79" s="499">
        <f t="shared" si="134"/>
        <v>300</v>
      </c>
      <c r="BT79" s="499">
        <f t="shared" si="134"/>
        <v>300</v>
      </c>
      <c r="BU79" s="499">
        <f t="shared" si="134"/>
        <v>300</v>
      </c>
      <c r="BV79" s="503">
        <f t="shared" si="116"/>
        <v>0</v>
      </c>
      <c r="BW79" s="503">
        <f t="shared" si="116"/>
        <v>0</v>
      </c>
      <c r="BX79" s="503">
        <f t="shared" si="116"/>
        <v>0</v>
      </c>
      <c r="BY79" s="503">
        <f t="shared" si="116"/>
        <v>0</v>
      </c>
      <c r="BZ79" s="503">
        <f t="shared" si="116"/>
        <v>0</v>
      </c>
      <c r="CA79" s="503">
        <f t="shared" si="116"/>
        <v>0</v>
      </c>
      <c r="CB79" s="503">
        <f t="shared" si="116"/>
        <v>0</v>
      </c>
      <c r="CC79" s="511">
        <f t="shared" si="94"/>
        <v>0</v>
      </c>
      <c r="CD79" s="511">
        <f t="shared" si="125"/>
        <v>0</v>
      </c>
      <c r="CE79" s="511">
        <f t="shared" si="125"/>
        <v>0</v>
      </c>
      <c r="CF79" s="511">
        <f t="shared" si="125"/>
        <v>0</v>
      </c>
      <c r="CG79" s="511">
        <f t="shared" si="125"/>
        <v>0</v>
      </c>
      <c r="CH79" s="511">
        <f t="shared" si="125"/>
        <v>0</v>
      </c>
      <c r="CI79" s="511">
        <f t="shared" si="125"/>
        <v>0</v>
      </c>
      <c r="CJ79" s="511">
        <f t="shared" si="96"/>
        <v>0</v>
      </c>
      <c r="CK79" s="511">
        <f t="shared" si="126"/>
        <v>0</v>
      </c>
      <c r="CL79" s="511">
        <f t="shared" si="126"/>
        <v>0</v>
      </c>
      <c r="CM79" s="511">
        <f t="shared" si="126"/>
        <v>0</v>
      </c>
      <c r="CN79" s="511">
        <f t="shared" si="126"/>
        <v>0</v>
      </c>
      <c r="CO79" s="511">
        <f t="shared" si="126"/>
        <v>0</v>
      </c>
      <c r="CP79" s="511">
        <f t="shared" si="126"/>
        <v>0</v>
      </c>
      <c r="CQ79" s="511">
        <f t="shared" si="98"/>
        <v>63.564077474565465</v>
      </c>
      <c r="CR79" s="511">
        <f t="shared" si="127"/>
        <v>63.564077474565465</v>
      </c>
      <c r="CS79" s="511">
        <f t="shared" si="127"/>
        <v>63.564077474565465</v>
      </c>
      <c r="CT79" s="511">
        <f t="shared" si="127"/>
        <v>63.564077474565465</v>
      </c>
      <c r="CU79" s="511">
        <f t="shared" si="127"/>
        <v>63.564077474565465</v>
      </c>
      <c r="CV79" s="511">
        <f t="shared" si="127"/>
        <v>63.564077474565465</v>
      </c>
      <c r="CW79" s="511">
        <f t="shared" si="127"/>
        <v>63.564077474565465</v>
      </c>
      <c r="CX79" s="508">
        <f t="shared" si="136"/>
        <v>0</v>
      </c>
      <c r="CY79" s="508">
        <f t="shared" si="136"/>
        <v>0</v>
      </c>
      <c r="CZ79" s="508">
        <f t="shared" si="136"/>
        <v>0</v>
      </c>
      <c r="DA79" s="508">
        <f t="shared" si="136"/>
        <v>0</v>
      </c>
      <c r="DB79" s="508">
        <f t="shared" si="136"/>
        <v>0</v>
      </c>
      <c r="DC79" s="508">
        <f t="shared" si="136"/>
        <v>0</v>
      </c>
      <c r="DD79" s="508">
        <f t="shared" si="136"/>
        <v>0</v>
      </c>
      <c r="DE79" s="508">
        <f t="shared" si="137"/>
        <v>0</v>
      </c>
      <c r="DF79" s="508">
        <f t="shared" si="137"/>
        <v>0</v>
      </c>
      <c r="DG79" s="508">
        <f t="shared" si="137"/>
        <v>0</v>
      </c>
      <c r="DH79" s="508">
        <f t="shared" si="137"/>
        <v>0</v>
      </c>
      <c r="DI79" s="508">
        <f t="shared" si="137"/>
        <v>0</v>
      </c>
      <c r="DJ79" s="508">
        <f t="shared" si="137"/>
        <v>0</v>
      </c>
      <c r="DK79" s="508">
        <f t="shared" si="137"/>
        <v>0</v>
      </c>
      <c r="DL79" s="508">
        <f t="shared" si="138"/>
        <v>0</v>
      </c>
      <c r="DM79" s="508">
        <f t="shared" si="138"/>
        <v>0</v>
      </c>
      <c r="DN79" s="508">
        <f t="shared" si="138"/>
        <v>0</v>
      </c>
      <c r="DO79" s="508">
        <f t="shared" si="138"/>
        <v>0</v>
      </c>
      <c r="DP79" s="508">
        <f t="shared" si="138"/>
        <v>0</v>
      </c>
      <c r="DQ79" s="508">
        <f t="shared" si="138"/>
        <v>0</v>
      </c>
      <c r="DR79" s="508">
        <f t="shared" si="138"/>
        <v>0</v>
      </c>
      <c r="DS79" s="508">
        <f t="shared" si="117"/>
        <v>0</v>
      </c>
      <c r="DT79" s="508">
        <f t="shared" si="117"/>
        <v>0</v>
      </c>
      <c r="DU79" s="508">
        <f t="shared" si="117"/>
        <v>0</v>
      </c>
      <c r="DV79" s="508">
        <f t="shared" si="117"/>
        <v>0</v>
      </c>
      <c r="DW79" s="508">
        <f t="shared" si="117"/>
        <v>0</v>
      </c>
      <c r="DX79" s="508">
        <f t="shared" si="117"/>
        <v>0</v>
      </c>
      <c r="DY79" s="508">
        <f t="shared" si="117"/>
        <v>0</v>
      </c>
      <c r="DZ79" s="511">
        <f t="shared" si="139"/>
        <v>0</v>
      </c>
      <c r="EA79" s="511">
        <f t="shared" si="139"/>
        <v>0</v>
      </c>
      <c r="EB79" s="511">
        <f t="shared" si="139"/>
        <v>0</v>
      </c>
      <c r="EC79" s="511">
        <f t="shared" si="139"/>
        <v>0</v>
      </c>
      <c r="ED79" s="511">
        <f t="shared" si="139"/>
        <v>0</v>
      </c>
      <c r="EE79" s="511">
        <f t="shared" si="139"/>
        <v>0</v>
      </c>
      <c r="EF79" s="511">
        <f t="shared" si="139"/>
        <v>0</v>
      </c>
      <c r="EG79" s="511">
        <f t="shared" si="140"/>
        <v>0</v>
      </c>
      <c r="EH79" s="511">
        <f t="shared" si="140"/>
        <v>0</v>
      </c>
      <c r="EI79" s="511">
        <f t="shared" si="140"/>
        <v>0</v>
      </c>
      <c r="EJ79" s="511">
        <f t="shared" si="140"/>
        <v>0</v>
      </c>
      <c r="EK79" s="511">
        <f t="shared" si="140"/>
        <v>0</v>
      </c>
      <c r="EL79" s="511">
        <f t="shared" si="140"/>
        <v>0</v>
      </c>
      <c r="EM79" s="511">
        <f t="shared" si="140"/>
        <v>0</v>
      </c>
      <c r="EN79" s="511">
        <f t="shared" si="141"/>
        <v>0</v>
      </c>
      <c r="EO79" s="511">
        <f t="shared" si="141"/>
        <v>0</v>
      </c>
      <c r="EP79" s="511">
        <f t="shared" si="141"/>
        <v>0</v>
      </c>
      <c r="EQ79" s="511">
        <f t="shared" si="141"/>
        <v>0</v>
      </c>
      <c r="ER79" s="511">
        <f t="shared" si="141"/>
        <v>0</v>
      </c>
      <c r="ES79" s="511">
        <f t="shared" si="141"/>
        <v>0</v>
      </c>
      <c r="ET79" s="511">
        <f t="shared" si="141"/>
        <v>0</v>
      </c>
      <c r="EU79" s="777">
        <f t="shared" si="118"/>
        <v>0</v>
      </c>
      <c r="EV79" s="728">
        <f t="shared" si="108"/>
        <v>0</v>
      </c>
      <c r="EW79" s="728">
        <f t="shared" si="109"/>
        <v>0</v>
      </c>
      <c r="EX79" s="728">
        <f t="shared" si="110"/>
        <v>0</v>
      </c>
      <c r="EY79" s="728">
        <f t="shared" si="111"/>
        <v>0</v>
      </c>
      <c r="EZ79" s="777">
        <f t="shared" si="112"/>
        <v>0</v>
      </c>
      <c r="FA79" s="777">
        <f t="shared" si="113"/>
        <v>0</v>
      </c>
      <c r="FB79" s="778">
        <f t="shared" si="114"/>
        <v>0</v>
      </c>
    </row>
    <row r="80" spans="1:158" s="10" customFormat="1" ht="12.75" hidden="1" customHeight="1">
      <c r="A80" s="662" t="s">
        <v>210</v>
      </c>
      <c r="B80" s="789" t="s">
        <v>2174</v>
      </c>
      <c r="C80" s="662" t="s">
        <v>2080</v>
      </c>
      <c r="D80" s="715" t="s">
        <v>938</v>
      </c>
      <c r="E80" s="662" t="s">
        <v>331</v>
      </c>
      <c r="F80" s="704" t="s">
        <v>402</v>
      </c>
      <c r="G80" s="707">
        <f t="shared" si="120"/>
        <v>344.28999999999996</v>
      </c>
      <c r="H80" s="707">
        <f t="shared" si="120"/>
        <v>0</v>
      </c>
      <c r="I80" s="707">
        <f t="shared" si="120"/>
        <v>344.28999999999996</v>
      </c>
      <c r="J80" s="707">
        <f t="shared" si="120"/>
        <v>0</v>
      </c>
      <c r="K80" s="707">
        <f t="shared" si="120"/>
        <v>172.14499999999998</v>
      </c>
      <c r="L80" s="1263" t="str">
        <f t="shared" si="120"/>
        <v>DEER 2008</v>
      </c>
      <c r="M80" s="707" t="str">
        <f t="shared" si="120"/>
        <v>NA</v>
      </c>
      <c r="N80" s="707">
        <f t="shared" si="120"/>
        <v>170</v>
      </c>
      <c r="O80" s="707">
        <f t="shared" si="120"/>
        <v>0</v>
      </c>
      <c r="P80" s="707">
        <f t="shared" si="120"/>
        <v>0</v>
      </c>
      <c r="Q80" s="1022">
        <v>0</v>
      </c>
      <c r="R80" s="872">
        <v>0</v>
      </c>
      <c r="S80" s="1022">
        <v>60.283976832989254</v>
      </c>
      <c r="T80" s="711" t="str">
        <f t="shared" si="115"/>
        <v>Potential Study Results: Engineering calculations based on ENERGY STAR Appliances Calculator. Accessed 06.07.2016</v>
      </c>
      <c r="U80" s="712"/>
      <c r="V80" s="1124">
        <f t="shared" si="83"/>
        <v>2.3803856224708403E-4</v>
      </c>
      <c r="W80" s="790"/>
      <c r="X80" s="790"/>
      <c r="Y80" s="790"/>
      <c r="Z80" s="790"/>
      <c r="AA80" s="790"/>
      <c r="AB80" s="790"/>
      <c r="AC80" s="781">
        <f t="shared" si="135"/>
        <v>0</v>
      </c>
      <c r="AD80" s="781">
        <f t="shared" si="135"/>
        <v>0</v>
      </c>
      <c r="AE80" s="781">
        <f t="shared" si="135"/>
        <v>0</v>
      </c>
      <c r="AF80" s="781">
        <f t="shared" si="135"/>
        <v>0</v>
      </c>
      <c r="AG80" s="781">
        <f t="shared" si="135"/>
        <v>0</v>
      </c>
      <c r="AH80" s="781">
        <f t="shared" si="122"/>
        <v>0</v>
      </c>
      <c r="AI80" s="781">
        <f t="shared" si="122"/>
        <v>0</v>
      </c>
      <c r="AJ80" s="711" t="s">
        <v>2013</v>
      </c>
      <c r="AK80" s="711" t="s">
        <v>375</v>
      </c>
      <c r="AL80" s="711" t="s">
        <v>376</v>
      </c>
      <c r="AM80" s="711" t="s">
        <v>2082</v>
      </c>
      <c r="AN80" s="711" t="s">
        <v>1</v>
      </c>
      <c r="AO80" s="711" t="s">
        <v>2083</v>
      </c>
      <c r="AP80" s="711" t="s">
        <v>2080</v>
      </c>
      <c r="AQ80" s="711" t="s">
        <v>938</v>
      </c>
      <c r="AR80" s="715" t="s">
        <v>1944</v>
      </c>
      <c r="AS80" s="715" t="s">
        <v>407</v>
      </c>
      <c r="AT80" s="715" t="s">
        <v>385</v>
      </c>
      <c r="AU80" s="711">
        <v>20</v>
      </c>
      <c r="AV80" s="711">
        <v>20</v>
      </c>
      <c r="AW80" s="711" t="s">
        <v>2084</v>
      </c>
      <c r="AX80" s="716">
        <v>1</v>
      </c>
      <c r="AY80" s="716">
        <v>0</v>
      </c>
      <c r="AZ80" s="716">
        <v>1</v>
      </c>
      <c r="BA80" s="499">
        <f t="shared" si="86"/>
        <v>344.28999999999996</v>
      </c>
      <c r="BB80" s="499">
        <f t="shared" si="123"/>
        <v>344.28999999999996</v>
      </c>
      <c r="BC80" s="499">
        <f t="shared" si="123"/>
        <v>344.28999999999996</v>
      </c>
      <c r="BD80" s="499">
        <f t="shared" si="123"/>
        <v>344.28999999999996</v>
      </c>
      <c r="BE80" s="499">
        <f t="shared" si="88"/>
        <v>344.28999999999996</v>
      </c>
      <c r="BF80" s="499">
        <f t="shared" si="88"/>
        <v>344.28999999999996</v>
      </c>
      <c r="BG80" s="499">
        <f t="shared" si="88"/>
        <v>344.28999999999996</v>
      </c>
      <c r="BH80" s="499">
        <f t="shared" si="89"/>
        <v>0</v>
      </c>
      <c r="BI80" s="499">
        <f t="shared" si="124"/>
        <v>0</v>
      </c>
      <c r="BJ80" s="499">
        <f t="shared" si="124"/>
        <v>0</v>
      </c>
      <c r="BK80" s="499">
        <f t="shared" si="124"/>
        <v>0</v>
      </c>
      <c r="BL80" s="499">
        <f t="shared" si="124"/>
        <v>0</v>
      </c>
      <c r="BM80" s="499">
        <f t="shared" si="124"/>
        <v>0</v>
      </c>
      <c r="BN80" s="499">
        <f t="shared" si="124"/>
        <v>0</v>
      </c>
      <c r="BO80" s="499">
        <f t="shared" si="91"/>
        <v>170</v>
      </c>
      <c r="BP80" s="499">
        <f t="shared" si="134"/>
        <v>170</v>
      </c>
      <c r="BQ80" s="499">
        <f t="shared" si="134"/>
        <v>170</v>
      </c>
      <c r="BR80" s="499">
        <f t="shared" si="134"/>
        <v>170</v>
      </c>
      <c r="BS80" s="499">
        <f t="shared" si="134"/>
        <v>170</v>
      </c>
      <c r="BT80" s="499">
        <f t="shared" si="134"/>
        <v>170</v>
      </c>
      <c r="BU80" s="499">
        <f t="shared" si="134"/>
        <v>170</v>
      </c>
      <c r="BV80" s="503">
        <f t="shared" si="116"/>
        <v>0</v>
      </c>
      <c r="BW80" s="503">
        <f t="shared" si="116"/>
        <v>0</v>
      </c>
      <c r="BX80" s="503">
        <f t="shared" si="116"/>
        <v>0</v>
      </c>
      <c r="BY80" s="503">
        <f t="shared" si="116"/>
        <v>0</v>
      </c>
      <c r="BZ80" s="503">
        <f t="shared" si="116"/>
        <v>0</v>
      </c>
      <c r="CA80" s="503">
        <f t="shared" si="116"/>
        <v>0</v>
      </c>
      <c r="CB80" s="503">
        <f t="shared" si="116"/>
        <v>0</v>
      </c>
      <c r="CC80" s="511">
        <f t="shared" si="94"/>
        <v>0</v>
      </c>
      <c r="CD80" s="511">
        <f t="shared" si="125"/>
        <v>0</v>
      </c>
      <c r="CE80" s="511">
        <f t="shared" si="125"/>
        <v>0</v>
      </c>
      <c r="CF80" s="511">
        <f t="shared" si="125"/>
        <v>0</v>
      </c>
      <c r="CG80" s="511">
        <f t="shared" si="125"/>
        <v>0</v>
      </c>
      <c r="CH80" s="511">
        <f t="shared" si="125"/>
        <v>0</v>
      </c>
      <c r="CI80" s="511">
        <f t="shared" si="125"/>
        <v>0</v>
      </c>
      <c r="CJ80" s="511">
        <f t="shared" si="96"/>
        <v>0</v>
      </c>
      <c r="CK80" s="511">
        <f t="shared" si="126"/>
        <v>0</v>
      </c>
      <c r="CL80" s="511">
        <f t="shared" si="126"/>
        <v>0</v>
      </c>
      <c r="CM80" s="511">
        <f t="shared" si="126"/>
        <v>0</v>
      </c>
      <c r="CN80" s="511">
        <f t="shared" si="126"/>
        <v>0</v>
      </c>
      <c r="CO80" s="511">
        <f t="shared" si="126"/>
        <v>0</v>
      </c>
      <c r="CP80" s="511">
        <f t="shared" si="126"/>
        <v>0</v>
      </c>
      <c r="CQ80" s="511">
        <f t="shared" si="98"/>
        <v>60.283976832989254</v>
      </c>
      <c r="CR80" s="511">
        <f t="shared" si="127"/>
        <v>60.283976832989254</v>
      </c>
      <c r="CS80" s="511">
        <f t="shared" si="127"/>
        <v>60.283976832989254</v>
      </c>
      <c r="CT80" s="511">
        <f t="shared" si="127"/>
        <v>60.283976832989254</v>
      </c>
      <c r="CU80" s="511">
        <f t="shared" si="127"/>
        <v>60.283976832989254</v>
      </c>
      <c r="CV80" s="511">
        <f t="shared" si="127"/>
        <v>60.283976832989254</v>
      </c>
      <c r="CW80" s="511">
        <f t="shared" si="127"/>
        <v>60.283976832989254</v>
      </c>
      <c r="CX80" s="508">
        <f t="shared" si="136"/>
        <v>0</v>
      </c>
      <c r="CY80" s="508">
        <f t="shared" si="136"/>
        <v>0</v>
      </c>
      <c r="CZ80" s="508">
        <f t="shared" si="136"/>
        <v>0</v>
      </c>
      <c r="DA80" s="508">
        <f t="shared" si="136"/>
        <v>0</v>
      </c>
      <c r="DB80" s="508">
        <f t="shared" si="136"/>
        <v>0</v>
      </c>
      <c r="DC80" s="508">
        <f t="shared" si="136"/>
        <v>0</v>
      </c>
      <c r="DD80" s="508">
        <f t="shared" si="136"/>
        <v>0</v>
      </c>
      <c r="DE80" s="508">
        <f t="shared" si="137"/>
        <v>0</v>
      </c>
      <c r="DF80" s="508">
        <f t="shared" si="137"/>
        <v>0</v>
      </c>
      <c r="DG80" s="508">
        <f t="shared" si="137"/>
        <v>0</v>
      </c>
      <c r="DH80" s="508">
        <f t="shared" si="137"/>
        <v>0</v>
      </c>
      <c r="DI80" s="508">
        <f t="shared" si="137"/>
        <v>0</v>
      </c>
      <c r="DJ80" s="508">
        <f t="shared" si="137"/>
        <v>0</v>
      </c>
      <c r="DK80" s="508">
        <f t="shared" si="137"/>
        <v>0</v>
      </c>
      <c r="DL80" s="508">
        <f t="shared" si="138"/>
        <v>0</v>
      </c>
      <c r="DM80" s="508">
        <f t="shared" si="138"/>
        <v>0</v>
      </c>
      <c r="DN80" s="508">
        <f t="shared" si="138"/>
        <v>0</v>
      </c>
      <c r="DO80" s="508">
        <f t="shared" si="138"/>
        <v>0</v>
      </c>
      <c r="DP80" s="508">
        <f t="shared" si="138"/>
        <v>0</v>
      </c>
      <c r="DQ80" s="508">
        <f t="shared" si="138"/>
        <v>0</v>
      </c>
      <c r="DR80" s="508">
        <f t="shared" si="138"/>
        <v>0</v>
      </c>
      <c r="DS80" s="508">
        <f t="shared" si="117"/>
        <v>0</v>
      </c>
      <c r="DT80" s="508">
        <f t="shared" si="117"/>
        <v>0</v>
      </c>
      <c r="DU80" s="508">
        <f t="shared" si="117"/>
        <v>0</v>
      </c>
      <c r="DV80" s="508">
        <f t="shared" si="117"/>
        <v>0</v>
      </c>
      <c r="DW80" s="508">
        <f t="shared" si="117"/>
        <v>0</v>
      </c>
      <c r="DX80" s="508">
        <f t="shared" si="117"/>
        <v>0</v>
      </c>
      <c r="DY80" s="508">
        <f t="shared" si="117"/>
        <v>0</v>
      </c>
      <c r="DZ80" s="511">
        <f t="shared" si="139"/>
        <v>0</v>
      </c>
      <c r="EA80" s="511">
        <f t="shared" si="139"/>
        <v>0</v>
      </c>
      <c r="EB80" s="511">
        <f t="shared" si="139"/>
        <v>0</v>
      </c>
      <c r="EC80" s="511">
        <f t="shared" si="139"/>
        <v>0</v>
      </c>
      <c r="ED80" s="511">
        <f t="shared" si="139"/>
        <v>0</v>
      </c>
      <c r="EE80" s="511">
        <f t="shared" si="139"/>
        <v>0</v>
      </c>
      <c r="EF80" s="511">
        <f t="shared" si="139"/>
        <v>0</v>
      </c>
      <c r="EG80" s="511">
        <f t="shared" si="140"/>
        <v>0</v>
      </c>
      <c r="EH80" s="511">
        <f t="shared" si="140"/>
        <v>0</v>
      </c>
      <c r="EI80" s="511">
        <f t="shared" si="140"/>
        <v>0</v>
      </c>
      <c r="EJ80" s="511">
        <f t="shared" si="140"/>
        <v>0</v>
      </c>
      <c r="EK80" s="511">
        <f t="shared" si="140"/>
        <v>0</v>
      </c>
      <c r="EL80" s="511">
        <f t="shared" si="140"/>
        <v>0</v>
      </c>
      <c r="EM80" s="511">
        <f t="shared" si="140"/>
        <v>0</v>
      </c>
      <c r="EN80" s="511">
        <f t="shared" si="141"/>
        <v>0</v>
      </c>
      <c r="EO80" s="511">
        <f t="shared" si="141"/>
        <v>0</v>
      </c>
      <c r="EP80" s="511">
        <f t="shared" si="141"/>
        <v>0</v>
      </c>
      <c r="EQ80" s="511">
        <f t="shared" si="141"/>
        <v>0</v>
      </c>
      <c r="ER80" s="511">
        <f t="shared" si="141"/>
        <v>0</v>
      </c>
      <c r="ES80" s="511">
        <f t="shared" si="141"/>
        <v>0</v>
      </c>
      <c r="ET80" s="511">
        <f t="shared" si="141"/>
        <v>0</v>
      </c>
      <c r="EU80" s="777">
        <f t="shared" si="118"/>
        <v>0</v>
      </c>
      <c r="EV80" s="728">
        <f t="shared" si="108"/>
        <v>0</v>
      </c>
      <c r="EW80" s="728">
        <f t="shared" si="109"/>
        <v>0</v>
      </c>
      <c r="EX80" s="728">
        <f t="shared" si="110"/>
        <v>0</v>
      </c>
      <c r="EY80" s="728">
        <f t="shared" si="111"/>
        <v>0</v>
      </c>
      <c r="EZ80" s="777">
        <f t="shared" si="112"/>
        <v>0</v>
      </c>
      <c r="FA80" s="777">
        <f t="shared" si="113"/>
        <v>0</v>
      </c>
      <c r="FB80" s="778">
        <f t="shared" si="114"/>
        <v>0</v>
      </c>
    </row>
    <row r="81" spans="1:158" s="10" customFormat="1" ht="12.75" hidden="1" customHeight="1">
      <c r="A81" s="662" t="s">
        <v>211</v>
      </c>
      <c r="B81" s="789" t="s">
        <v>2175</v>
      </c>
      <c r="C81" s="662" t="s">
        <v>2086</v>
      </c>
      <c r="D81" s="715" t="s">
        <v>2087</v>
      </c>
      <c r="E81" s="662" t="s">
        <v>331</v>
      </c>
      <c r="F81" s="704" t="s">
        <v>402</v>
      </c>
      <c r="G81" s="707">
        <f t="shared" si="120"/>
        <v>100</v>
      </c>
      <c r="H81" s="707">
        <f t="shared" si="120"/>
        <v>0</v>
      </c>
      <c r="I81" s="707">
        <f t="shared" si="120"/>
        <v>100</v>
      </c>
      <c r="J81" s="707">
        <f t="shared" si="120"/>
        <v>0</v>
      </c>
      <c r="K81" s="707">
        <f t="shared" si="120"/>
        <v>50</v>
      </c>
      <c r="L81" s="1263" t="str">
        <f t="shared" si="120"/>
        <v>Assuming equipment cost included in labor cost</v>
      </c>
      <c r="M81" s="707" t="str">
        <f t="shared" si="120"/>
        <v>NA</v>
      </c>
      <c r="N81" s="707">
        <f t="shared" si="120"/>
        <v>50</v>
      </c>
      <c r="O81" s="707">
        <f t="shared" si="120"/>
        <v>0</v>
      </c>
      <c r="P81" s="707">
        <f t="shared" si="120"/>
        <v>0</v>
      </c>
      <c r="Q81" s="1022">
        <v>432.31309726714431</v>
      </c>
      <c r="R81" s="872">
        <v>0.34849930020713837</v>
      </c>
      <c r="S81" s="1022">
        <v>0</v>
      </c>
      <c r="T81" s="711" t="str">
        <f t="shared" si="115"/>
        <v>Potential Study Results: Engineering calculations based on ENERGY STAR Appliances Calculator. Accessed 06.07.2016</v>
      </c>
      <c r="U81" s="712"/>
      <c r="V81" s="1124">
        <f t="shared" si="83"/>
        <v>2.0471316353249225E-2</v>
      </c>
      <c r="W81" s="790"/>
      <c r="X81" s="790"/>
      <c r="Y81" s="790"/>
      <c r="Z81" s="790"/>
      <c r="AA81" s="790"/>
      <c r="AB81" s="790"/>
      <c r="AC81" s="781">
        <f t="shared" si="135"/>
        <v>25</v>
      </c>
      <c r="AD81" s="781">
        <f t="shared" si="135"/>
        <v>25</v>
      </c>
      <c r="AE81" s="781">
        <f t="shared" si="135"/>
        <v>25</v>
      </c>
      <c r="AF81" s="781">
        <f t="shared" si="135"/>
        <v>25</v>
      </c>
      <c r="AG81" s="781">
        <f t="shared" si="135"/>
        <v>25</v>
      </c>
      <c r="AH81" s="781">
        <f t="shared" si="122"/>
        <v>25</v>
      </c>
      <c r="AI81" s="781">
        <f t="shared" si="122"/>
        <v>25</v>
      </c>
      <c r="AJ81" s="711" t="s">
        <v>384</v>
      </c>
      <c r="AK81" s="711" t="s">
        <v>375</v>
      </c>
      <c r="AL81" s="711" t="s">
        <v>376</v>
      </c>
      <c r="AM81" s="711" t="s">
        <v>2002</v>
      </c>
      <c r="AN81" s="711" t="s">
        <v>1</v>
      </c>
      <c r="AO81" s="711" t="s">
        <v>2089</v>
      </c>
      <c r="AP81" s="711" t="s">
        <v>2086</v>
      </c>
      <c r="AQ81" s="711" t="s">
        <v>2087</v>
      </c>
      <c r="AR81" s="715" t="s">
        <v>406</v>
      </c>
      <c r="AS81" s="715"/>
      <c r="AT81" s="715" t="s">
        <v>385</v>
      </c>
      <c r="AU81" s="711">
        <v>5</v>
      </c>
      <c r="AV81" s="711">
        <v>5</v>
      </c>
      <c r="AW81" s="711" t="s">
        <v>2090</v>
      </c>
      <c r="AX81" s="716">
        <v>1</v>
      </c>
      <c r="AY81" s="716">
        <v>1</v>
      </c>
      <c r="AZ81" s="716">
        <v>0</v>
      </c>
      <c r="BA81" s="499">
        <f t="shared" si="86"/>
        <v>100</v>
      </c>
      <c r="BB81" s="499">
        <f t="shared" si="123"/>
        <v>100</v>
      </c>
      <c r="BC81" s="499">
        <f t="shared" si="123"/>
        <v>100</v>
      </c>
      <c r="BD81" s="499">
        <f t="shared" si="123"/>
        <v>100</v>
      </c>
      <c r="BE81" s="499">
        <f t="shared" si="88"/>
        <v>100</v>
      </c>
      <c r="BF81" s="499">
        <f t="shared" si="88"/>
        <v>100</v>
      </c>
      <c r="BG81" s="499">
        <f t="shared" si="88"/>
        <v>100</v>
      </c>
      <c r="BH81" s="499">
        <f t="shared" si="89"/>
        <v>0</v>
      </c>
      <c r="BI81" s="499">
        <f t="shared" si="124"/>
        <v>0</v>
      </c>
      <c r="BJ81" s="499">
        <f t="shared" si="124"/>
        <v>0</v>
      </c>
      <c r="BK81" s="499">
        <f t="shared" si="124"/>
        <v>0</v>
      </c>
      <c r="BL81" s="499">
        <f t="shared" si="124"/>
        <v>0</v>
      </c>
      <c r="BM81" s="499">
        <f t="shared" si="124"/>
        <v>0</v>
      </c>
      <c r="BN81" s="499">
        <f t="shared" si="124"/>
        <v>0</v>
      </c>
      <c r="BO81" s="499">
        <f t="shared" si="91"/>
        <v>50</v>
      </c>
      <c r="BP81" s="499">
        <f t="shared" si="134"/>
        <v>50</v>
      </c>
      <c r="BQ81" s="499">
        <f t="shared" si="134"/>
        <v>50</v>
      </c>
      <c r="BR81" s="499">
        <f t="shared" si="134"/>
        <v>50</v>
      </c>
      <c r="BS81" s="499">
        <f t="shared" si="134"/>
        <v>50</v>
      </c>
      <c r="BT81" s="499">
        <f t="shared" si="134"/>
        <v>50</v>
      </c>
      <c r="BU81" s="499">
        <f t="shared" si="134"/>
        <v>50</v>
      </c>
      <c r="BV81" s="503">
        <f t="shared" si="116"/>
        <v>0</v>
      </c>
      <c r="BW81" s="503">
        <f t="shared" si="116"/>
        <v>0</v>
      </c>
      <c r="BX81" s="503">
        <f t="shared" si="116"/>
        <v>0</v>
      </c>
      <c r="BY81" s="503">
        <f t="shared" si="116"/>
        <v>0</v>
      </c>
      <c r="BZ81" s="503">
        <f t="shared" si="116"/>
        <v>0</v>
      </c>
      <c r="CA81" s="503">
        <f t="shared" si="116"/>
        <v>0</v>
      </c>
      <c r="CB81" s="503">
        <f t="shared" si="116"/>
        <v>0</v>
      </c>
      <c r="CC81" s="511">
        <f t="shared" si="94"/>
        <v>432.31309726714431</v>
      </c>
      <c r="CD81" s="511">
        <f t="shared" si="125"/>
        <v>432.31309726714431</v>
      </c>
      <c r="CE81" s="511">
        <f t="shared" si="125"/>
        <v>432.31309726714431</v>
      </c>
      <c r="CF81" s="511">
        <f t="shared" si="125"/>
        <v>432.31309726714431</v>
      </c>
      <c r="CG81" s="511">
        <f t="shared" si="125"/>
        <v>432.31309726714431</v>
      </c>
      <c r="CH81" s="511">
        <f t="shared" si="125"/>
        <v>432.31309726714431</v>
      </c>
      <c r="CI81" s="511">
        <f t="shared" si="125"/>
        <v>432.31309726714431</v>
      </c>
      <c r="CJ81" s="511">
        <f t="shared" si="96"/>
        <v>0.34849930020713837</v>
      </c>
      <c r="CK81" s="511">
        <f t="shared" si="126"/>
        <v>0.34849930020713837</v>
      </c>
      <c r="CL81" s="511">
        <f t="shared" si="126"/>
        <v>0.34849930020713837</v>
      </c>
      <c r="CM81" s="511">
        <f t="shared" si="126"/>
        <v>0.34849930020713837</v>
      </c>
      <c r="CN81" s="511">
        <f t="shared" si="126"/>
        <v>0.34849930020713837</v>
      </c>
      <c r="CO81" s="511">
        <f t="shared" si="126"/>
        <v>0.34849930020713837</v>
      </c>
      <c r="CP81" s="511">
        <f t="shared" si="126"/>
        <v>0.34849930020713837</v>
      </c>
      <c r="CQ81" s="511">
        <f t="shared" si="98"/>
        <v>0</v>
      </c>
      <c r="CR81" s="511">
        <f t="shared" si="127"/>
        <v>0</v>
      </c>
      <c r="CS81" s="511">
        <f t="shared" si="127"/>
        <v>0</v>
      </c>
      <c r="CT81" s="511">
        <f t="shared" si="127"/>
        <v>0</v>
      </c>
      <c r="CU81" s="511">
        <f t="shared" si="127"/>
        <v>0</v>
      </c>
      <c r="CV81" s="511">
        <f t="shared" si="127"/>
        <v>0</v>
      </c>
      <c r="CW81" s="511">
        <f t="shared" si="127"/>
        <v>0</v>
      </c>
      <c r="CX81" s="508">
        <f t="shared" si="136"/>
        <v>2500</v>
      </c>
      <c r="CY81" s="508">
        <f t="shared" si="136"/>
        <v>2500</v>
      </c>
      <c r="CZ81" s="508">
        <f t="shared" si="136"/>
        <v>2500</v>
      </c>
      <c r="DA81" s="508">
        <f t="shared" si="136"/>
        <v>2500</v>
      </c>
      <c r="DB81" s="508">
        <f t="shared" si="136"/>
        <v>2500</v>
      </c>
      <c r="DC81" s="508">
        <f t="shared" si="136"/>
        <v>2500</v>
      </c>
      <c r="DD81" s="508">
        <f t="shared" si="136"/>
        <v>2500</v>
      </c>
      <c r="DE81" s="508">
        <f t="shared" si="137"/>
        <v>0</v>
      </c>
      <c r="DF81" s="508">
        <f t="shared" si="137"/>
        <v>0</v>
      </c>
      <c r="DG81" s="508">
        <f t="shared" si="137"/>
        <v>0</v>
      </c>
      <c r="DH81" s="508">
        <f t="shared" si="137"/>
        <v>0</v>
      </c>
      <c r="DI81" s="508">
        <f t="shared" si="137"/>
        <v>0</v>
      </c>
      <c r="DJ81" s="508">
        <f t="shared" si="137"/>
        <v>0</v>
      </c>
      <c r="DK81" s="508">
        <f t="shared" si="137"/>
        <v>0</v>
      </c>
      <c r="DL81" s="508">
        <f t="shared" si="138"/>
        <v>1250</v>
      </c>
      <c r="DM81" s="508">
        <f t="shared" si="138"/>
        <v>1250</v>
      </c>
      <c r="DN81" s="508">
        <f t="shared" si="138"/>
        <v>1250</v>
      </c>
      <c r="DO81" s="508">
        <f t="shared" si="138"/>
        <v>1250</v>
      </c>
      <c r="DP81" s="508">
        <f t="shared" si="138"/>
        <v>1250</v>
      </c>
      <c r="DQ81" s="508">
        <f t="shared" si="138"/>
        <v>1250</v>
      </c>
      <c r="DR81" s="508">
        <f t="shared" si="138"/>
        <v>1250</v>
      </c>
      <c r="DS81" s="508">
        <f t="shared" si="117"/>
        <v>0</v>
      </c>
      <c r="DT81" s="508">
        <f t="shared" si="117"/>
        <v>0</v>
      </c>
      <c r="DU81" s="508">
        <f t="shared" si="117"/>
        <v>0</v>
      </c>
      <c r="DV81" s="508">
        <f t="shared" si="117"/>
        <v>0</v>
      </c>
      <c r="DW81" s="508">
        <f t="shared" si="117"/>
        <v>0</v>
      </c>
      <c r="DX81" s="508">
        <f t="shared" si="117"/>
        <v>0</v>
      </c>
      <c r="DY81" s="508">
        <f t="shared" si="117"/>
        <v>0</v>
      </c>
      <c r="DZ81" s="511">
        <f t="shared" si="139"/>
        <v>10807.827431678608</v>
      </c>
      <c r="EA81" s="511">
        <f t="shared" si="139"/>
        <v>10807.827431678608</v>
      </c>
      <c r="EB81" s="511">
        <f t="shared" si="139"/>
        <v>10807.827431678608</v>
      </c>
      <c r="EC81" s="511">
        <f t="shared" si="139"/>
        <v>10807.827431678608</v>
      </c>
      <c r="ED81" s="511">
        <f t="shared" si="139"/>
        <v>10807.827431678608</v>
      </c>
      <c r="EE81" s="511">
        <f t="shared" si="139"/>
        <v>10807.827431678608</v>
      </c>
      <c r="EF81" s="511">
        <f t="shared" si="139"/>
        <v>10807.827431678608</v>
      </c>
      <c r="EG81" s="511">
        <f t="shared" si="140"/>
        <v>8.7124825051784587</v>
      </c>
      <c r="EH81" s="511">
        <f t="shared" si="140"/>
        <v>8.7124825051784587</v>
      </c>
      <c r="EI81" s="511">
        <f t="shared" si="140"/>
        <v>8.7124825051784587</v>
      </c>
      <c r="EJ81" s="511">
        <f t="shared" si="140"/>
        <v>8.7124825051784587</v>
      </c>
      <c r="EK81" s="511">
        <f t="shared" si="140"/>
        <v>8.7124825051784587</v>
      </c>
      <c r="EL81" s="511">
        <f t="shared" si="140"/>
        <v>8.7124825051784587</v>
      </c>
      <c r="EM81" s="511">
        <f t="shared" si="140"/>
        <v>8.7124825051784587</v>
      </c>
      <c r="EN81" s="511">
        <f t="shared" si="141"/>
        <v>0</v>
      </c>
      <c r="EO81" s="511">
        <f t="shared" si="141"/>
        <v>0</v>
      </c>
      <c r="EP81" s="511">
        <f t="shared" si="141"/>
        <v>0</v>
      </c>
      <c r="EQ81" s="511">
        <f t="shared" si="141"/>
        <v>0</v>
      </c>
      <c r="ER81" s="511">
        <f t="shared" si="141"/>
        <v>0</v>
      </c>
      <c r="ES81" s="511">
        <f t="shared" si="141"/>
        <v>0</v>
      </c>
      <c r="ET81" s="511">
        <f t="shared" si="141"/>
        <v>0</v>
      </c>
      <c r="EU81" s="777">
        <f t="shared" si="118"/>
        <v>175</v>
      </c>
      <c r="EV81" s="728">
        <f t="shared" si="108"/>
        <v>17500</v>
      </c>
      <c r="EW81" s="728">
        <f t="shared" si="109"/>
        <v>0</v>
      </c>
      <c r="EX81" s="728">
        <f t="shared" si="110"/>
        <v>8750</v>
      </c>
      <c r="EY81" s="728">
        <f t="shared" si="111"/>
        <v>0</v>
      </c>
      <c r="EZ81" s="777">
        <f t="shared" si="112"/>
        <v>75654.792021750269</v>
      </c>
      <c r="FA81" s="777">
        <f t="shared" si="113"/>
        <v>60.987377536249205</v>
      </c>
      <c r="FB81" s="778">
        <f t="shared" si="114"/>
        <v>0</v>
      </c>
    </row>
    <row r="82" spans="1:158" s="10" customFormat="1" ht="12.75" hidden="1" customHeight="1">
      <c r="A82" s="662" t="s">
        <v>212</v>
      </c>
      <c r="B82" s="789" t="s">
        <v>2176</v>
      </c>
      <c r="C82" s="662" t="s">
        <v>2092</v>
      </c>
      <c r="D82" s="715" t="s">
        <v>2093</v>
      </c>
      <c r="E82" s="662" t="s">
        <v>331</v>
      </c>
      <c r="F82" s="704" t="s">
        <v>402</v>
      </c>
      <c r="G82" s="707">
        <f t="shared" si="120"/>
        <v>100</v>
      </c>
      <c r="H82" s="707">
        <f t="shared" si="120"/>
        <v>0</v>
      </c>
      <c r="I82" s="707">
        <f t="shared" si="120"/>
        <v>100</v>
      </c>
      <c r="J82" s="707">
        <f t="shared" si="120"/>
        <v>0</v>
      </c>
      <c r="K82" s="707">
        <f t="shared" si="120"/>
        <v>50</v>
      </c>
      <c r="L82" s="1263" t="str">
        <f t="shared" si="120"/>
        <v>Assuming equipment cost included in labor cost</v>
      </c>
      <c r="M82" s="707" t="str">
        <f t="shared" si="120"/>
        <v>NA</v>
      </c>
      <c r="N82" s="707">
        <f t="shared" si="120"/>
        <v>50</v>
      </c>
      <c r="O82" s="707">
        <f t="shared" si="120"/>
        <v>0</v>
      </c>
      <c r="P82" s="707">
        <f t="shared" si="120"/>
        <v>0</v>
      </c>
      <c r="Q82" s="1022">
        <v>789.14827304805954</v>
      </c>
      <c r="R82" s="872">
        <v>0.63615380300859958</v>
      </c>
      <c r="S82" s="1022">
        <v>0</v>
      </c>
      <c r="T82" s="711" t="str">
        <f t="shared" si="115"/>
        <v>Potential Study Results: Engineering calculations based on ENERGY STAR Appliances Calculator. Accessed 06.07.2016</v>
      </c>
      <c r="U82" s="712"/>
      <c r="V82" s="1124">
        <f t="shared" si="83"/>
        <v>0</v>
      </c>
      <c r="W82" s="790"/>
      <c r="X82" s="790"/>
      <c r="Y82" s="790"/>
      <c r="Z82" s="790"/>
      <c r="AA82" s="790"/>
      <c r="AB82" s="790"/>
      <c r="AC82" s="781">
        <f t="shared" si="135"/>
        <v>0</v>
      </c>
      <c r="AD82" s="781">
        <f t="shared" si="135"/>
        <v>0</v>
      </c>
      <c r="AE82" s="781">
        <f t="shared" si="135"/>
        <v>0</v>
      </c>
      <c r="AF82" s="781">
        <f t="shared" si="135"/>
        <v>0</v>
      </c>
      <c r="AG82" s="781">
        <f t="shared" si="135"/>
        <v>0</v>
      </c>
      <c r="AH82" s="781">
        <f t="shared" si="122"/>
        <v>0</v>
      </c>
      <c r="AI82" s="781">
        <f t="shared" si="122"/>
        <v>0</v>
      </c>
      <c r="AJ82" s="711" t="s">
        <v>384</v>
      </c>
      <c r="AK82" s="711" t="s">
        <v>375</v>
      </c>
      <c r="AL82" s="711" t="s">
        <v>376</v>
      </c>
      <c r="AM82" s="711" t="s">
        <v>2064</v>
      </c>
      <c r="AN82" s="711" t="s">
        <v>1</v>
      </c>
      <c r="AO82" s="711" t="s">
        <v>2094</v>
      </c>
      <c r="AP82" s="711" t="s">
        <v>2092</v>
      </c>
      <c r="AQ82" s="711" t="s">
        <v>2093</v>
      </c>
      <c r="AR82" s="715" t="s">
        <v>406</v>
      </c>
      <c r="AS82" s="715"/>
      <c r="AT82" s="715" t="s">
        <v>385</v>
      </c>
      <c r="AU82" s="711">
        <v>5</v>
      </c>
      <c r="AV82" s="711">
        <v>5</v>
      </c>
      <c r="AW82" s="711" t="s">
        <v>2090</v>
      </c>
      <c r="AX82" s="716">
        <v>1</v>
      </c>
      <c r="AY82" s="716">
        <v>1</v>
      </c>
      <c r="AZ82" s="716">
        <v>0</v>
      </c>
      <c r="BA82" s="499">
        <f t="shared" si="86"/>
        <v>100</v>
      </c>
      <c r="BB82" s="499">
        <f t="shared" si="123"/>
        <v>100</v>
      </c>
      <c r="BC82" s="499">
        <f t="shared" si="123"/>
        <v>100</v>
      </c>
      <c r="BD82" s="499">
        <f t="shared" si="123"/>
        <v>100</v>
      </c>
      <c r="BE82" s="499">
        <f t="shared" si="88"/>
        <v>100</v>
      </c>
      <c r="BF82" s="499">
        <f t="shared" si="88"/>
        <v>100</v>
      </c>
      <c r="BG82" s="499">
        <f t="shared" si="88"/>
        <v>100</v>
      </c>
      <c r="BH82" s="499">
        <f t="shared" si="89"/>
        <v>0</v>
      </c>
      <c r="BI82" s="499">
        <f t="shared" si="124"/>
        <v>0</v>
      </c>
      <c r="BJ82" s="499">
        <f t="shared" si="124"/>
        <v>0</v>
      </c>
      <c r="BK82" s="499">
        <f t="shared" si="124"/>
        <v>0</v>
      </c>
      <c r="BL82" s="499">
        <f t="shared" si="124"/>
        <v>0</v>
      </c>
      <c r="BM82" s="499">
        <f t="shared" si="124"/>
        <v>0</v>
      </c>
      <c r="BN82" s="499">
        <f t="shared" si="124"/>
        <v>0</v>
      </c>
      <c r="BO82" s="499">
        <f t="shared" si="91"/>
        <v>50</v>
      </c>
      <c r="BP82" s="499">
        <f t="shared" si="134"/>
        <v>50</v>
      </c>
      <c r="BQ82" s="499">
        <f t="shared" si="134"/>
        <v>50</v>
      </c>
      <c r="BR82" s="499">
        <f t="shared" si="134"/>
        <v>50</v>
      </c>
      <c r="BS82" s="499">
        <f t="shared" si="134"/>
        <v>50</v>
      </c>
      <c r="BT82" s="499">
        <f t="shared" si="134"/>
        <v>50</v>
      </c>
      <c r="BU82" s="499">
        <f t="shared" si="134"/>
        <v>50</v>
      </c>
      <c r="BV82" s="503">
        <f t="shared" si="116"/>
        <v>0</v>
      </c>
      <c r="BW82" s="503">
        <f t="shared" si="116"/>
        <v>0</v>
      </c>
      <c r="BX82" s="503">
        <f t="shared" si="116"/>
        <v>0</v>
      </c>
      <c r="BY82" s="503">
        <f t="shared" si="116"/>
        <v>0</v>
      </c>
      <c r="BZ82" s="503">
        <f t="shared" si="116"/>
        <v>0</v>
      </c>
      <c r="CA82" s="503">
        <f t="shared" si="116"/>
        <v>0</v>
      </c>
      <c r="CB82" s="503">
        <f t="shared" si="116"/>
        <v>0</v>
      </c>
      <c r="CC82" s="511">
        <f t="shared" si="94"/>
        <v>789.14827304805954</v>
      </c>
      <c r="CD82" s="511">
        <f t="shared" si="125"/>
        <v>789.14827304805954</v>
      </c>
      <c r="CE82" s="511">
        <f t="shared" si="125"/>
        <v>789.14827304805954</v>
      </c>
      <c r="CF82" s="511">
        <f t="shared" si="125"/>
        <v>789.14827304805954</v>
      </c>
      <c r="CG82" s="511">
        <f t="shared" si="125"/>
        <v>789.14827304805954</v>
      </c>
      <c r="CH82" s="511">
        <f t="shared" si="125"/>
        <v>789.14827304805954</v>
      </c>
      <c r="CI82" s="511">
        <f t="shared" si="125"/>
        <v>789.14827304805954</v>
      </c>
      <c r="CJ82" s="511">
        <f t="shared" si="96"/>
        <v>0.63615380300859958</v>
      </c>
      <c r="CK82" s="511">
        <f t="shared" si="126"/>
        <v>0.63615380300859958</v>
      </c>
      <c r="CL82" s="511">
        <f t="shared" si="126"/>
        <v>0.63615380300859958</v>
      </c>
      <c r="CM82" s="511">
        <f t="shared" si="126"/>
        <v>0.63615380300859958</v>
      </c>
      <c r="CN82" s="511">
        <f t="shared" si="126"/>
        <v>0.63615380300859958</v>
      </c>
      <c r="CO82" s="511">
        <f t="shared" si="126"/>
        <v>0.63615380300859958</v>
      </c>
      <c r="CP82" s="511">
        <f t="shared" si="126"/>
        <v>0.63615380300859958</v>
      </c>
      <c r="CQ82" s="511">
        <f t="shared" si="98"/>
        <v>0</v>
      </c>
      <c r="CR82" s="511">
        <f t="shared" si="127"/>
        <v>0</v>
      </c>
      <c r="CS82" s="511">
        <f t="shared" si="127"/>
        <v>0</v>
      </c>
      <c r="CT82" s="511">
        <f t="shared" si="127"/>
        <v>0</v>
      </c>
      <c r="CU82" s="511">
        <f t="shared" si="127"/>
        <v>0</v>
      </c>
      <c r="CV82" s="511">
        <f t="shared" si="127"/>
        <v>0</v>
      </c>
      <c r="CW82" s="511">
        <f t="shared" si="127"/>
        <v>0</v>
      </c>
      <c r="CX82" s="508">
        <f t="shared" si="136"/>
        <v>0</v>
      </c>
      <c r="CY82" s="508">
        <f t="shared" si="136"/>
        <v>0</v>
      </c>
      <c r="CZ82" s="508">
        <f t="shared" si="136"/>
        <v>0</v>
      </c>
      <c r="DA82" s="508">
        <f t="shared" si="136"/>
        <v>0</v>
      </c>
      <c r="DB82" s="508">
        <f t="shared" si="136"/>
        <v>0</v>
      </c>
      <c r="DC82" s="508">
        <f t="shared" si="136"/>
        <v>0</v>
      </c>
      <c r="DD82" s="508">
        <f t="shared" si="136"/>
        <v>0</v>
      </c>
      <c r="DE82" s="508">
        <f t="shared" si="137"/>
        <v>0</v>
      </c>
      <c r="DF82" s="508">
        <f t="shared" si="137"/>
        <v>0</v>
      </c>
      <c r="DG82" s="508">
        <f t="shared" si="137"/>
        <v>0</v>
      </c>
      <c r="DH82" s="508">
        <f t="shared" si="137"/>
        <v>0</v>
      </c>
      <c r="DI82" s="508">
        <f t="shared" si="137"/>
        <v>0</v>
      </c>
      <c r="DJ82" s="508">
        <f t="shared" si="137"/>
        <v>0</v>
      </c>
      <c r="DK82" s="508">
        <f t="shared" si="137"/>
        <v>0</v>
      </c>
      <c r="DL82" s="508">
        <f t="shared" si="138"/>
        <v>0</v>
      </c>
      <c r="DM82" s="508">
        <f t="shared" si="138"/>
        <v>0</v>
      </c>
      <c r="DN82" s="508">
        <f t="shared" si="138"/>
        <v>0</v>
      </c>
      <c r="DO82" s="508">
        <f t="shared" si="138"/>
        <v>0</v>
      </c>
      <c r="DP82" s="508">
        <f t="shared" si="138"/>
        <v>0</v>
      </c>
      <c r="DQ82" s="508">
        <f t="shared" si="138"/>
        <v>0</v>
      </c>
      <c r="DR82" s="508">
        <f t="shared" si="138"/>
        <v>0</v>
      </c>
      <c r="DS82" s="508">
        <f t="shared" si="117"/>
        <v>0</v>
      </c>
      <c r="DT82" s="508">
        <f t="shared" si="117"/>
        <v>0</v>
      </c>
      <c r="DU82" s="508">
        <f t="shared" si="117"/>
        <v>0</v>
      </c>
      <c r="DV82" s="508">
        <f t="shared" si="117"/>
        <v>0</v>
      </c>
      <c r="DW82" s="508">
        <f t="shared" si="117"/>
        <v>0</v>
      </c>
      <c r="DX82" s="508">
        <f t="shared" si="117"/>
        <v>0</v>
      </c>
      <c r="DY82" s="508">
        <f t="shared" si="117"/>
        <v>0</v>
      </c>
      <c r="DZ82" s="511">
        <f t="shared" si="139"/>
        <v>0</v>
      </c>
      <c r="EA82" s="511">
        <f t="shared" si="139"/>
        <v>0</v>
      </c>
      <c r="EB82" s="511">
        <f t="shared" si="139"/>
        <v>0</v>
      </c>
      <c r="EC82" s="511">
        <f t="shared" si="139"/>
        <v>0</v>
      </c>
      <c r="ED82" s="511">
        <f t="shared" si="139"/>
        <v>0</v>
      </c>
      <c r="EE82" s="511">
        <f t="shared" si="139"/>
        <v>0</v>
      </c>
      <c r="EF82" s="511">
        <f t="shared" si="139"/>
        <v>0</v>
      </c>
      <c r="EG82" s="511">
        <f t="shared" si="140"/>
        <v>0</v>
      </c>
      <c r="EH82" s="511">
        <f t="shared" si="140"/>
        <v>0</v>
      </c>
      <c r="EI82" s="511">
        <f t="shared" si="140"/>
        <v>0</v>
      </c>
      <c r="EJ82" s="511">
        <f t="shared" si="140"/>
        <v>0</v>
      </c>
      <c r="EK82" s="511">
        <f t="shared" si="140"/>
        <v>0</v>
      </c>
      <c r="EL82" s="511">
        <f t="shared" si="140"/>
        <v>0</v>
      </c>
      <c r="EM82" s="511">
        <f t="shared" si="140"/>
        <v>0</v>
      </c>
      <c r="EN82" s="511">
        <f t="shared" si="141"/>
        <v>0</v>
      </c>
      <c r="EO82" s="511">
        <f t="shared" si="141"/>
        <v>0</v>
      </c>
      <c r="EP82" s="511">
        <f t="shared" si="141"/>
        <v>0</v>
      </c>
      <c r="EQ82" s="511">
        <f t="shared" si="141"/>
        <v>0</v>
      </c>
      <c r="ER82" s="511">
        <f t="shared" si="141"/>
        <v>0</v>
      </c>
      <c r="ES82" s="511">
        <f t="shared" si="141"/>
        <v>0</v>
      </c>
      <c r="ET82" s="511">
        <f t="shared" si="141"/>
        <v>0</v>
      </c>
      <c r="EU82" s="777">
        <f t="shared" si="118"/>
        <v>0</v>
      </c>
      <c r="EV82" s="728">
        <f t="shared" si="108"/>
        <v>0</v>
      </c>
      <c r="EW82" s="728">
        <f t="shared" si="109"/>
        <v>0</v>
      </c>
      <c r="EX82" s="728">
        <f t="shared" si="110"/>
        <v>0</v>
      </c>
      <c r="EY82" s="728">
        <f t="shared" si="111"/>
        <v>0</v>
      </c>
      <c r="EZ82" s="777">
        <f t="shared" si="112"/>
        <v>0</v>
      </c>
      <c r="FA82" s="777">
        <f t="shared" si="113"/>
        <v>0</v>
      </c>
      <c r="FB82" s="778">
        <f t="shared" si="114"/>
        <v>0</v>
      </c>
    </row>
    <row r="83" spans="1:158" s="10" customFormat="1" ht="12.75" hidden="1" customHeight="1">
      <c r="A83" s="662" t="s">
        <v>213</v>
      </c>
      <c r="B83" s="789" t="s">
        <v>2177</v>
      </c>
      <c r="C83" s="662" t="s">
        <v>2096</v>
      </c>
      <c r="D83" s="715" t="s">
        <v>2097</v>
      </c>
      <c r="E83" s="662" t="s">
        <v>331</v>
      </c>
      <c r="F83" s="704" t="s">
        <v>402</v>
      </c>
      <c r="G83" s="707">
        <f t="shared" ref="G83:P94" si="142">G38</f>
        <v>100</v>
      </c>
      <c r="H83" s="707">
        <f t="shared" si="142"/>
        <v>0</v>
      </c>
      <c r="I83" s="707">
        <f t="shared" si="142"/>
        <v>100</v>
      </c>
      <c r="J83" s="707">
        <f t="shared" si="142"/>
        <v>0</v>
      </c>
      <c r="K83" s="707">
        <f t="shared" si="142"/>
        <v>50</v>
      </c>
      <c r="L83" s="1263" t="str">
        <f t="shared" si="142"/>
        <v>Assuming equipment cost included in labor cost</v>
      </c>
      <c r="M83" s="707" t="str">
        <f t="shared" si="142"/>
        <v>NA</v>
      </c>
      <c r="N83" s="707">
        <f t="shared" si="142"/>
        <v>50</v>
      </c>
      <c r="O83" s="707">
        <f t="shared" si="142"/>
        <v>0</v>
      </c>
      <c r="P83" s="707">
        <f t="shared" si="142"/>
        <v>0</v>
      </c>
      <c r="Q83" s="1022">
        <v>0</v>
      </c>
      <c r="R83" s="872">
        <v>0</v>
      </c>
      <c r="S83" s="1022">
        <v>8.4000097135200011</v>
      </c>
      <c r="T83" s="711" t="str">
        <f t="shared" si="115"/>
        <v>Potential Study Results: Engineering calculations based on ENERGY STAR Appliances Calculator. Accessed 06.07.2016</v>
      </c>
      <c r="U83" s="712"/>
      <c r="V83" s="1124">
        <f t="shared" si="83"/>
        <v>1.9995239228755058E-2</v>
      </c>
      <c r="W83" s="790"/>
      <c r="X83" s="790"/>
      <c r="Y83" s="790"/>
      <c r="Z83" s="790"/>
      <c r="AA83" s="790"/>
      <c r="AB83" s="790"/>
      <c r="AC83" s="781">
        <f t="shared" si="135"/>
        <v>25</v>
      </c>
      <c r="AD83" s="781">
        <f t="shared" si="135"/>
        <v>25</v>
      </c>
      <c r="AE83" s="781">
        <f t="shared" si="135"/>
        <v>25</v>
      </c>
      <c r="AF83" s="781">
        <f t="shared" si="135"/>
        <v>25</v>
      </c>
      <c r="AG83" s="781">
        <f t="shared" si="135"/>
        <v>25</v>
      </c>
      <c r="AH83" s="781">
        <f t="shared" ref="AH83:AI94" si="143">AG83</f>
        <v>25</v>
      </c>
      <c r="AI83" s="781">
        <f t="shared" si="143"/>
        <v>25</v>
      </c>
      <c r="AJ83" s="711" t="s">
        <v>2013</v>
      </c>
      <c r="AK83" s="711" t="s">
        <v>375</v>
      </c>
      <c r="AL83" s="711" t="s">
        <v>376</v>
      </c>
      <c r="AM83" s="711" t="s">
        <v>2082</v>
      </c>
      <c r="AN83" s="711" t="s">
        <v>1</v>
      </c>
      <c r="AO83" s="711" t="s">
        <v>2098</v>
      </c>
      <c r="AP83" s="711" t="s">
        <v>2096</v>
      </c>
      <c r="AQ83" s="711" t="s">
        <v>2097</v>
      </c>
      <c r="AR83" s="715" t="s">
        <v>406</v>
      </c>
      <c r="AS83" s="715" t="s">
        <v>407</v>
      </c>
      <c r="AT83" s="715" t="s">
        <v>385</v>
      </c>
      <c r="AU83" s="711">
        <v>5</v>
      </c>
      <c r="AV83" s="711">
        <v>5</v>
      </c>
      <c r="AW83" s="711" t="s">
        <v>2090</v>
      </c>
      <c r="AX83" s="716">
        <v>1</v>
      </c>
      <c r="AY83" s="716">
        <v>0</v>
      </c>
      <c r="AZ83" s="716">
        <v>1</v>
      </c>
      <c r="BA83" s="499">
        <f t="shared" si="86"/>
        <v>100</v>
      </c>
      <c r="BB83" s="499">
        <f t="shared" ref="BB83:BD94" si="144">BA83</f>
        <v>100</v>
      </c>
      <c r="BC83" s="499">
        <f t="shared" si="144"/>
        <v>100</v>
      </c>
      <c r="BD83" s="499">
        <f t="shared" si="144"/>
        <v>100</v>
      </c>
      <c r="BE83" s="499">
        <f t="shared" si="88"/>
        <v>100</v>
      </c>
      <c r="BF83" s="499">
        <f t="shared" si="88"/>
        <v>100</v>
      </c>
      <c r="BG83" s="499">
        <f t="shared" si="88"/>
        <v>100</v>
      </c>
      <c r="BH83" s="499">
        <f t="shared" si="89"/>
        <v>0</v>
      </c>
      <c r="BI83" s="499">
        <f t="shared" ref="BI83:BN94" si="145">BH83</f>
        <v>0</v>
      </c>
      <c r="BJ83" s="499">
        <f t="shared" si="145"/>
        <v>0</v>
      </c>
      <c r="BK83" s="499">
        <f t="shared" si="145"/>
        <v>0</v>
      </c>
      <c r="BL83" s="499">
        <f t="shared" si="145"/>
        <v>0</v>
      </c>
      <c r="BM83" s="499">
        <f t="shared" si="145"/>
        <v>0</v>
      </c>
      <c r="BN83" s="499">
        <f t="shared" si="145"/>
        <v>0</v>
      </c>
      <c r="BO83" s="499">
        <f t="shared" si="91"/>
        <v>50</v>
      </c>
      <c r="BP83" s="499">
        <f t="shared" si="134"/>
        <v>50</v>
      </c>
      <c r="BQ83" s="499">
        <f t="shared" si="134"/>
        <v>50</v>
      </c>
      <c r="BR83" s="499">
        <f t="shared" si="134"/>
        <v>50</v>
      </c>
      <c r="BS83" s="499">
        <f t="shared" si="134"/>
        <v>50</v>
      </c>
      <c r="BT83" s="499">
        <f t="shared" si="134"/>
        <v>50</v>
      </c>
      <c r="BU83" s="499">
        <f t="shared" si="134"/>
        <v>50</v>
      </c>
      <c r="BV83" s="503">
        <f t="shared" si="116"/>
        <v>0</v>
      </c>
      <c r="BW83" s="503">
        <f t="shared" si="116"/>
        <v>0</v>
      </c>
      <c r="BX83" s="503">
        <f t="shared" si="116"/>
        <v>0</v>
      </c>
      <c r="BY83" s="503">
        <f t="shared" si="116"/>
        <v>0</v>
      </c>
      <c r="BZ83" s="503">
        <f t="shared" si="116"/>
        <v>0</v>
      </c>
      <c r="CA83" s="503">
        <f t="shared" si="116"/>
        <v>0</v>
      </c>
      <c r="CB83" s="503">
        <f t="shared" si="116"/>
        <v>0</v>
      </c>
      <c r="CC83" s="511">
        <f t="shared" si="94"/>
        <v>0</v>
      </c>
      <c r="CD83" s="511">
        <f t="shared" ref="CD83:CI94" si="146">CC83</f>
        <v>0</v>
      </c>
      <c r="CE83" s="511">
        <f t="shared" si="146"/>
        <v>0</v>
      </c>
      <c r="CF83" s="511">
        <f t="shared" si="146"/>
        <v>0</v>
      </c>
      <c r="CG83" s="511">
        <f t="shared" si="146"/>
        <v>0</v>
      </c>
      <c r="CH83" s="511">
        <f t="shared" si="146"/>
        <v>0</v>
      </c>
      <c r="CI83" s="511">
        <f t="shared" si="146"/>
        <v>0</v>
      </c>
      <c r="CJ83" s="511">
        <f t="shared" si="96"/>
        <v>0</v>
      </c>
      <c r="CK83" s="511">
        <f t="shared" ref="CK83:CP94" si="147">CJ83</f>
        <v>0</v>
      </c>
      <c r="CL83" s="511">
        <f t="shared" si="147"/>
        <v>0</v>
      </c>
      <c r="CM83" s="511">
        <f t="shared" si="147"/>
        <v>0</v>
      </c>
      <c r="CN83" s="511">
        <f t="shared" si="147"/>
        <v>0</v>
      </c>
      <c r="CO83" s="511">
        <f t="shared" si="147"/>
        <v>0</v>
      </c>
      <c r="CP83" s="511">
        <f t="shared" si="147"/>
        <v>0</v>
      </c>
      <c r="CQ83" s="511">
        <f t="shared" si="98"/>
        <v>8.4000097135200011</v>
      </c>
      <c r="CR83" s="511">
        <f t="shared" ref="CR83:CW94" si="148">CQ83</f>
        <v>8.4000097135200011</v>
      </c>
      <c r="CS83" s="511">
        <f t="shared" si="148"/>
        <v>8.4000097135200011</v>
      </c>
      <c r="CT83" s="511">
        <f t="shared" si="148"/>
        <v>8.4000097135200011</v>
      </c>
      <c r="CU83" s="511">
        <f t="shared" si="148"/>
        <v>8.4000097135200011</v>
      </c>
      <c r="CV83" s="511">
        <f t="shared" si="148"/>
        <v>8.4000097135200011</v>
      </c>
      <c r="CW83" s="511">
        <f t="shared" si="148"/>
        <v>8.4000097135200011</v>
      </c>
      <c r="CX83" s="508">
        <f t="shared" si="136"/>
        <v>2500</v>
      </c>
      <c r="CY83" s="508">
        <f t="shared" si="136"/>
        <v>2500</v>
      </c>
      <c r="CZ83" s="508">
        <f t="shared" si="136"/>
        <v>2500</v>
      </c>
      <c r="DA83" s="508">
        <f t="shared" si="136"/>
        <v>2500</v>
      </c>
      <c r="DB83" s="508">
        <f t="shared" si="136"/>
        <v>2500</v>
      </c>
      <c r="DC83" s="508">
        <f t="shared" si="136"/>
        <v>2500</v>
      </c>
      <c r="DD83" s="508">
        <f t="shared" si="136"/>
        <v>2500</v>
      </c>
      <c r="DE83" s="508">
        <f t="shared" si="137"/>
        <v>0</v>
      </c>
      <c r="DF83" s="508">
        <f t="shared" si="137"/>
        <v>0</v>
      </c>
      <c r="DG83" s="508">
        <f t="shared" si="137"/>
        <v>0</v>
      </c>
      <c r="DH83" s="508">
        <f t="shared" si="137"/>
        <v>0</v>
      </c>
      <c r="DI83" s="508">
        <f t="shared" si="137"/>
        <v>0</v>
      </c>
      <c r="DJ83" s="508">
        <f t="shared" si="137"/>
        <v>0</v>
      </c>
      <c r="DK83" s="508">
        <f t="shared" si="137"/>
        <v>0</v>
      </c>
      <c r="DL83" s="508">
        <f t="shared" si="138"/>
        <v>1250</v>
      </c>
      <c r="DM83" s="508">
        <f t="shared" si="138"/>
        <v>1250</v>
      </c>
      <c r="DN83" s="508">
        <f t="shared" si="138"/>
        <v>1250</v>
      </c>
      <c r="DO83" s="508">
        <f t="shared" si="138"/>
        <v>1250</v>
      </c>
      <c r="DP83" s="508">
        <f t="shared" si="138"/>
        <v>1250</v>
      </c>
      <c r="DQ83" s="508">
        <f t="shared" si="138"/>
        <v>1250</v>
      </c>
      <c r="DR83" s="508">
        <f t="shared" si="138"/>
        <v>1250</v>
      </c>
      <c r="DS83" s="508">
        <f t="shared" si="117"/>
        <v>0</v>
      </c>
      <c r="DT83" s="508">
        <f t="shared" si="117"/>
        <v>0</v>
      </c>
      <c r="DU83" s="508">
        <f t="shared" si="117"/>
        <v>0</v>
      </c>
      <c r="DV83" s="508">
        <f t="shared" si="117"/>
        <v>0</v>
      </c>
      <c r="DW83" s="508">
        <f t="shared" si="117"/>
        <v>0</v>
      </c>
      <c r="DX83" s="508">
        <f t="shared" si="117"/>
        <v>0</v>
      </c>
      <c r="DY83" s="508">
        <f t="shared" si="117"/>
        <v>0</v>
      </c>
      <c r="DZ83" s="511">
        <f t="shared" si="139"/>
        <v>0</v>
      </c>
      <c r="EA83" s="511">
        <f t="shared" si="139"/>
        <v>0</v>
      </c>
      <c r="EB83" s="511">
        <f t="shared" si="139"/>
        <v>0</v>
      </c>
      <c r="EC83" s="511">
        <f t="shared" si="139"/>
        <v>0</v>
      </c>
      <c r="ED83" s="511">
        <f t="shared" si="139"/>
        <v>0</v>
      </c>
      <c r="EE83" s="511">
        <f t="shared" si="139"/>
        <v>0</v>
      </c>
      <c r="EF83" s="511">
        <f t="shared" si="139"/>
        <v>0</v>
      </c>
      <c r="EG83" s="511">
        <f t="shared" si="140"/>
        <v>0</v>
      </c>
      <c r="EH83" s="511">
        <f t="shared" si="140"/>
        <v>0</v>
      </c>
      <c r="EI83" s="511">
        <f t="shared" si="140"/>
        <v>0</v>
      </c>
      <c r="EJ83" s="511">
        <f t="shared" si="140"/>
        <v>0</v>
      </c>
      <c r="EK83" s="511">
        <f t="shared" si="140"/>
        <v>0</v>
      </c>
      <c r="EL83" s="511">
        <f t="shared" si="140"/>
        <v>0</v>
      </c>
      <c r="EM83" s="511">
        <f t="shared" si="140"/>
        <v>0</v>
      </c>
      <c r="EN83" s="511">
        <f t="shared" si="141"/>
        <v>210.00024283800002</v>
      </c>
      <c r="EO83" s="511">
        <f t="shared" si="141"/>
        <v>210.00024283800002</v>
      </c>
      <c r="EP83" s="511">
        <f t="shared" si="141"/>
        <v>210.00024283800002</v>
      </c>
      <c r="EQ83" s="511">
        <f t="shared" si="141"/>
        <v>210.00024283800002</v>
      </c>
      <c r="ER83" s="511">
        <f t="shared" si="141"/>
        <v>210.00024283800002</v>
      </c>
      <c r="ES83" s="511">
        <f t="shared" si="141"/>
        <v>210.00024283800002</v>
      </c>
      <c r="ET83" s="511">
        <f t="shared" si="141"/>
        <v>210.00024283800002</v>
      </c>
      <c r="EU83" s="777">
        <f t="shared" si="118"/>
        <v>175</v>
      </c>
      <c r="EV83" s="728">
        <f t="shared" si="108"/>
        <v>17500</v>
      </c>
      <c r="EW83" s="728">
        <f t="shared" si="109"/>
        <v>0</v>
      </c>
      <c r="EX83" s="728">
        <f t="shared" si="110"/>
        <v>8750</v>
      </c>
      <c r="EY83" s="728">
        <f t="shared" si="111"/>
        <v>0</v>
      </c>
      <c r="EZ83" s="777">
        <f t="shared" si="112"/>
        <v>0</v>
      </c>
      <c r="FA83" s="777">
        <f t="shared" si="113"/>
        <v>0</v>
      </c>
      <c r="FB83" s="778">
        <f t="shared" si="114"/>
        <v>1470.0016998660003</v>
      </c>
    </row>
    <row r="84" spans="1:158" s="10" customFormat="1" ht="12.75" hidden="1" customHeight="1">
      <c r="A84" s="662" t="s">
        <v>214</v>
      </c>
      <c r="B84" s="789" t="s">
        <v>2178</v>
      </c>
      <c r="C84" s="662" t="s">
        <v>2100</v>
      </c>
      <c r="D84" s="715" t="s">
        <v>2101</v>
      </c>
      <c r="E84" s="662" t="s">
        <v>331</v>
      </c>
      <c r="F84" s="704" t="s">
        <v>402</v>
      </c>
      <c r="G84" s="707">
        <f t="shared" si="142"/>
        <v>78</v>
      </c>
      <c r="H84" s="707">
        <f t="shared" si="142"/>
        <v>0</v>
      </c>
      <c r="I84" s="707">
        <f t="shared" si="142"/>
        <v>78</v>
      </c>
      <c r="J84" s="707">
        <f t="shared" si="142"/>
        <v>0</v>
      </c>
      <c r="K84" s="707">
        <f t="shared" si="142"/>
        <v>39</v>
      </c>
      <c r="L84" s="1263" t="str">
        <f t="shared" si="142"/>
        <v>Based on the EERE TSD TECHNICAL SUPPORT DOCUMENT: ENERGY EFFICIENCY PROGRAM FOR CONSUMER PRODUCTS AND COMMERCIAL AND INDUSTRIAL EQUIPMENT: RESIDENTIAL FURNACE FANS from June 2014. Based on cost tables 8.2.5 and 8.2.6; Assuming the motor product class of no</v>
      </c>
      <c r="M84" s="707" t="str">
        <f t="shared" si="142"/>
        <v>NA</v>
      </c>
      <c r="N84" s="707">
        <f t="shared" si="142"/>
        <v>40</v>
      </c>
      <c r="O84" s="707">
        <f t="shared" si="142"/>
        <v>0</v>
      </c>
      <c r="P84" s="707">
        <f t="shared" si="142"/>
        <v>0</v>
      </c>
      <c r="Q84" s="1022">
        <v>72.562148261364186</v>
      </c>
      <c r="R84" s="872">
        <v>0</v>
      </c>
      <c r="S84" s="1022">
        <v>0</v>
      </c>
      <c r="T84" s="711" t="str">
        <f t="shared" si="115"/>
        <v>Potential Study Results: Engineering calculations based on ENERGY STAR Appliances Calculator. Accessed 06.07.2016</v>
      </c>
      <c r="U84" s="712"/>
      <c r="V84" s="1124">
        <f t="shared" si="83"/>
        <v>0</v>
      </c>
      <c r="W84" s="790"/>
      <c r="X84" s="790"/>
      <c r="Y84" s="790"/>
      <c r="Z84" s="790"/>
      <c r="AA84" s="790"/>
      <c r="AB84" s="790"/>
      <c r="AC84" s="781">
        <f t="shared" si="135"/>
        <v>0</v>
      </c>
      <c r="AD84" s="781">
        <f t="shared" si="135"/>
        <v>0</v>
      </c>
      <c r="AE84" s="781">
        <f t="shared" si="135"/>
        <v>0</v>
      </c>
      <c r="AF84" s="781">
        <f t="shared" si="135"/>
        <v>0</v>
      </c>
      <c r="AG84" s="781">
        <f t="shared" si="135"/>
        <v>0</v>
      </c>
      <c r="AH84" s="781">
        <f t="shared" si="143"/>
        <v>0</v>
      </c>
      <c r="AI84" s="781">
        <f t="shared" si="143"/>
        <v>0</v>
      </c>
      <c r="AJ84" s="711" t="s">
        <v>384</v>
      </c>
      <c r="AK84" s="711" t="s">
        <v>375</v>
      </c>
      <c r="AL84" s="711" t="s">
        <v>376</v>
      </c>
      <c r="AM84" s="711" t="s">
        <v>1232</v>
      </c>
      <c r="AN84" s="711" t="s">
        <v>1</v>
      </c>
      <c r="AO84" s="711" t="s">
        <v>2103</v>
      </c>
      <c r="AP84" s="711" t="s">
        <v>1702</v>
      </c>
      <c r="AQ84" s="711" t="s">
        <v>339</v>
      </c>
      <c r="AR84" s="715" t="s">
        <v>1944</v>
      </c>
      <c r="AS84" s="715"/>
      <c r="AT84" s="715" t="s">
        <v>385</v>
      </c>
      <c r="AU84" s="711">
        <v>15</v>
      </c>
      <c r="AV84" s="711">
        <v>15</v>
      </c>
      <c r="AW84" s="711" t="s">
        <v>2104</v>
      </c>
      <c r="AX84" s="716">
        <v>1</v>
      </c>
      <c r="AY84" s="716">
        <v>1</v>
      </c>
      <c r="AZ84" s="716">
        <v>0</v>
      </c>
      <c r="BA84" s="499">
        <f t="shared" si="86"/>
        <v>78</v>
      </c>
      <c r="BB84" s="499">
        <f t="shared" si="144"/>
        <v>78</v>
      </c>
      <c r="BC84" s="499">
        <f t="shared" si="144"/>
        <v>78</v>
      </c>
      <c r="BD84" s="499">
        <f t="shared" si="144"/>
        <v>78</v>
      </c>
      <c r="BE84" s="499">
        <f t="shared" si="88"/>
        <v>78</v>
      </c>
      <c r="BF84" s="499">
        <f t="shared" si="88"/>
        <v>78</v>
      </c>
      <c r="BG84" s="499">
        <f t="shared" si="88"/>
        <v>78</v>
      </c>
      <c r="BH84" s="499">
        <f t="shared" si="89"/>
        <v>0</v>
      </c>
      <c r="BI84" s="499">
        <f t="shared" si="145"/>
        <v>0</v>
      </c>
      <c r="BJ84" s="499">
        <f t="shared" si="145"/>
        <v>0</v>
      </c>
      <c r="BK84" s="499">
        <f t="shared" si="145"/>
        <v>0</v>
      </c>
      <c r="BL84" s="499">
        <f t="shared" si="145"/>
        <v>0</v>
      </c>
      <c r="BM84" s="499">
        <f t="shared" si="145"/>
        <v>0</v>
      </c>
      <c r="BN84" s="499">
        <f t="shared" si="145"/>
        <v>0</v>
      </c>
      <c r="BO84" s="499">
        <f t="shared" si="91"/>
        <v>40</v>
      </c>
      <c r="BP84" s="499">
        <f t="shared" si="134"/>
        <v>40</v>
      </c>
      <c r="BQ84" s="499">
        <f t="shared" si="134"/>
        <v>40</v>
      </c>
      <c r="BR84" s="499">
        <f t="shared" si="134"/>
        <v>40</v>
      </c>
      <c r="BS84" s="499">
        <f t="shared" si="134"/>
        <v>40</v>
      </c>
      <c r="BT84" s="499">
        <f t="shared" si="134"/>
        <v>40</v>
      </c>
      <c r="BU84" s="499">
        <f t="shared" si="134"/>
        <v>40</v>
      </c>
      <c r="BV84" s="503">
        <f t="shared" si="116"/>
        <v>0</v>
      </c>
      <c r="BW84" s="503">
        <f t="shared" si="116"/>
        <v>0</v>
      </c>
      <c r="BX84" s="503">
        <f t="shared" si="116"/>
        <v>0</v>
      </c>
      <c r="BY84" s="503">
        <f t="shared" si="116"/>
        <v>0</v>
      </c>
      <c r="BZ84" s="503">
        <f t="shared" si="116"/>
        <v>0</v>
      </c>
      <c r="CA84" s="503">
        <f t="shared" si="116"/>
        <v>0</v>
      </c>
      <c r="CB84" s="503">
        <f t="shared" si="116"/>
        <v>0</v>
      </c>
      <c r="CC84" s="511">
        <f t="shared" si="94"/>
        <v>72.562148261364186</v>
      </c>
      <c r="CD84" s="511">
        <f t="shared" si="146"/>
        <v>72.562148261364186</v>
      </c>
      <c r="CE84" s="511">
        <f t="shared" si="146"/>
        <v>72.562148261364186</v>
      </c>
      <c r="CF84" s="511">
        <f t="shared" si="146"/>
        <v>72.562148261364186</v>
      </c>
      <c r="CG84" s="511">
        <f t="shared" si="146"/>
        <v>72.562148261364186</v>
      </c>
      <c r="CH84" s="511">
        <f t="shared" si="146"/>
        <v>72.562148261364186</v>
      </c>
      <c r="CI84" s="511">
        <f t="shared" si="146"/>
        <v>72.562148261364186</v>
      </c>
      <c r="CJ84" s="511">
        <f t="shared" si="96"/>
        <v>0</v>
      </c>
      <c r="CK84" s="511">
        <f t="shared" si="147"/>
        <v>0</v>
      </c>
      <c r="CL84" s="511">
        <f t="shared" si="147"/>
        <v>0</v>
      </c>
      <c r="CM84" s="511">
        <f t="shared" si="147"/>
        <v>0</v>
      </c>
      <c r="CN84" s="511">
        <f t="shared" si="147"/>
        <v>0</v>
      </c>
      <c r="CO84" s="511">
        <f t="shared" si="147"/>
        <v>0</v>
      </c>
      <c r="CP84" s="511">
        <f t="shared" si="147"/>
        <v>0</v>
      </c>
      <c r="CQ84" s="511">
        <f t="shared" si="98"/>
        <v>0</v>
      </c>
      <c r="CR84" s="511">
        <f t="shared" si="148"/>
        <v>0</v>
      </c>
      <c r="CS84" s="511">
        <f t="shared" si="148"/>
        <v>0</v>
      </c>
      <c r="CT84" s="511">
        <f t="shared" si="148"/>
        <v>0</v>
      </c>
      <c r="CU84" s="511">
        <f t="shared" si="148"/>
        <v>0</v>
      </c>
      <c r="CV84" s="511">
        <f t="shared" si="148"/>
        <v>0</v>
      </c>
      <c r="CW84" s="511">
        <f t="shared" si="148"/>
        <v>0</v>
      </c>
      <c r="CX84" s="508">
        <f t="shared" si="136"/>
        <v>0</v>
      </c>
      <c r="CY84" s="508">
        <f t="shared" si="136"/>
        <v>0</v>
      </c>
      <c r="CZ84" s="508">
        <f t="shared" si="136"/>
        <v>0</v>
      </c>
      <c r="DA84" s="508">
        <f t="shared" si="136"/>
        <v>0</v>
      </c>
      <c r="DB84" s="508">
        <f t="shared" si="136"/>
        <v>0</v>
      </c>
      <c r="DC84" s="508">
        <f t="shared" si="136"/>
        <v>0</v>
      </c>
      <c r="DD84" s="508">
        <f t="shared" si="136"/>
        <v>0</v>
      </c>
      <c r="DE84" s="508">
        <f t="shared" si="137"/>
        <v>0</v>
      </c>
      <c r="DF84" s="508">
        <f t="shared" si="137"/>
        <v>0</v>
      </c>
      <c r="DG84" s="508">
        <f t="shared" si="137"/>
        <v>0</v>
      </c>
      <c r="DH84" s="508">
        <f t="shared" si="137"/>
        <v>0</v>
      </c>
      <c r="DI84" s="508">
        <f t="shared" si="137"/>
        <v>0</v>
      </c>
      <c r="DJ84" s="508">
        <f t="shared" si="137"/>
        <v>0</v>
      </c>
      <c r="DK84" s="508">
        <f t="shared" si="137"/>
        <v>0</v>
      </c>
      <c r="DL84" s="508">
        <f t="shared" si="138"/>
        <v>0</v>
      </c>
      <c r="DM84" s="508">
        <f t="shared" si="138"/>
        <v>0</v>
      </c>
      <c r="DN84" s="508">
        <f t="shared" si="138"/>
        <v>0</v>
      </c>
      <c r="DO84" s="508">
        <f t="shared" si="138"/>
        <v>0</v>
      </c>
      <c r="DP84" s="508">
        <f t="shared" si="138"/>
        <v>0</v>
      </c>
      <c r="DQ84" s="508">
        <f t="shared" si="138"/>
        <v>0</v>
      </c>
      <c r="DR84" s="508">
        <f t="shared" si="138"/>
        <v>0</v>
      </c>
      <c r="DS84" s="508">
        <f t="shared" si="117"/>
        <v>0</v>
      </c>
      <c r="DT84" s="508">
        <f t="shared" si="117"/>
        <v>0</v>
      </c>
      <c r="DU84" s="508">
        <f t="shared" si="117"/>
        <v>0</v>
      </c>
      <c r="DV84" s="508">
        <f t="shared" si="117"/>
        <v>0</v>
      </c>
      <c r="DW84" s="508">
        <f t="shared" si="117"/>
        <v>0</v>
      </c>
      <c r="DX84" s="508">
        <f t="shared" si="117"/>
        <v>0</v>
      </c>
      <c r="DY84" s="508">
        <f t="shared" si="117"/>
        <v>0</v>
      </c>
      <c r="DZ84" s="511">
        <f t="shared" si="139"/>
        <v>0</v>
      </c>
      <c r="EA84" s="511">
        <f t="shared" si="139"/>
        <v>0</v>
      </c>
      <c r="EB84" s="511">
        <f t="shared" si="139"/>
        <v>0</v>
      </c>
      <c r="EC84" s="511">
        <f t="shared" si="139"/>
        <v>0</v>
      </c>
      <c r="ED84" s="511">
        <f t="shared" si="139"/>
        <v>0</v>
      </c>
      <c r="EE84" s="511">
        <f t="shared" si="139"/>
        <v>0</v>
      </c>
      <c r="EF84" s="511">
        <f t="shared" si="139"/>
        <v>0</v>
      </c>
      <c r="EG84" s="511">
        <f t="shared" si="140"/>
        <v>0</v>
      </c>
      <c r="EH84" s="511">
        <f t="shared" si="140"/>
        <v>0</v>
      </c>
      <c r="EI84" s="511">
        <f t="shared" si="140"/>
        <v>0</v>
      </c>
      <c r="EJ84" s="511">
        <f t="shared" si="140"/>
        <v>0</v>
      </c>
      <c r="EK84" s="511">
        <f t="shared" si="140"/>
        <v>0</v>
      </c>
      <c r="EL84" s="511">
        <f t="shared" si="140"/>
        <v>0</v>
      </c>
      <c r="EM84" s="511">
        <f t="shared" si="140"/>
        <v>0</v>
      </c>
      <c r="EN84" s="511">
        <f t="shared" si="141"/>
        <v>0</v>
      </c>
      <c r="EO84" s="511">
        <f t="shared" si="141"/>
        <v>0</v>
      </c>
      <c r="EP84" s="511">
        <f t="shared" si="141"/>
        <v>0</v>
      </c>
      <c r="EQ84" s="511">
        <f t="shared" si="141"/>
        <v>0</v>
      </c>
      <c r="ER84" s="511">
        <f t="shared" si="141"/>
        <v>0</v>
      </c>
      <c r="ES84" s="511">
        <f t="shared" si="141"/>
        <v>0</v>
      </c>
      <c r="ET84" s="511">
        <f t="shared" si="141"/>
        <v>0</v>
      </c>
      <c r="EU84" s="777">
        <f t="shared" si="118"/>
        <v>0</v>
      </c>
      <c r="EV84" s="728">
        <f t="shared" si="108"/>
        <v>0</v>
      </c>
      <c r="EW84" s="728">
        <f t="shared" si="109"/>
        <v>0</v>
      </c>
      <c r="EX84" s="728">
        <f t="shared" si="110"/>
        <v>0</v>
      </c>
      <c r="EY84" s="728">
        <f t="shared" si="111"/>
        <v>0</v>
      </c>
      <c r="EZ84" s="777">
        <f t="shared" si="112"/>
        <v>0</v>
      </c>
      <c r="FA84" s="777">
        <f t="shared" si="113"/>
        <v>0</v>
      </c>
      <c r="FB84" s="778">
        <f t="shared" si="114"/>
        <v>0</v>
      </c>
    </row>
    <row r="85" spans="1:158" s="10" customFormat="1" ht="12.75" hidden="1" customHeight="1">
      <c r="A85" s="662" t="s">
        <v>215</v>
      </c>
      <c r="B85" s="789" t="s">
        <v>2179</v>
      </c>
      <c r="C85" s="662" t="s">
        <v>2105</v>
      </c>
      <c r="D85" s="715" t="s">
        <v>2106</v>
      </c>
      <c r="E85" s="662" t="s">
        <v>331</v>
      </c>
      <c r="F85" s="704" t="s">
        <v>402</v>
      </c>
      <c r="G85" s="707">
        <f t="shared" si="142"/>
        <v>829</v>
      </c>
      <c r="H85" s="707">
        <f t="shared" si="142"/>
        <v>0</v>
      </c>
      <c r="I85" s="707">
        <f t="shared" si="142"/>
        <v>829</v>
      </c>
      <c r="J85" s="707">
        <f t="shared" si="142"/>
        <v>0</v>
      </c>
      <c r="K85" s="707">
        <f t="shared" si="142"/>
        <v>414.5</v>
      </c>
      <c r="L85" s="1263" t="str">
        <f t="shared" si="142"/>
        <v>As referenced in SWE 2014 Potential Study, Regional Technical Forum Heat Pump Water Heaters v1.3</v>
      </c>
      <c r="M85" s="707" t="str">
        <f t="shared" si="142"/>
        <v>NA</v>
      </c>
      <c r="N85" s="707">
        <f t="shared" si="142"/>
        <v>300</v>
      </c>
      <c r="O85" s="707">
        <f t="shared" si="142"/>
        <v>0</v>
      </c>
      <c r="P85" s="707">
        <f t="shared" si="142"/>
        <v>0</v>
      </c>
      <c r="Q85" s="1022">
        <v>1663.4994772349723</v>
      </c>
      <c r="R85" s="872">
        <v>0.1106935709153114</v>
      </c>
      <c r="S85" s="1022">
        <v>0</v>
      </c>
      <c r="T85" s="711" t="str">
        <f t="shared" si="115"/>
        <v>Potential Study Results: Engineering calculations based on ENERGY STAR Appliances Calculator. Accessed 06.07.2016</v>
      </c>
      <c r="U85" s="712"/>
      <c r="V85" s="1124">
        <f t="shared" si="83"/>
        <v>0</v>
      </c>
      <c r="W85" s="790"/>
      <c r="X85" s="790"/>
      <c r="Y85" s="790"/>
      <c r="Z85" s="790"/>
      <c r="AA85" s="790"/>
      <c r="AB85" s="790"/>
      <c r="AC85" s="781">
        <f t="shared" si="135"/>
        <v>0</v>
      </c>
      <c r="AD85" s="781">
        <f t="shared" si="135"/>
        <v>0</v>
      </c>
      <c r="AE85" s="781">
        <f t="shared" si="135"/>
        <v>0</v>
      </c>
      <c r="AF85" s="781">
        <f t="shared" si="135"/>
        <v>0</v>
      </c>
      <c r="AG85" s="781">
        <f t="shared" si="135"/>
        <v>0</v>
      </c>
      <c r="AH85" s="781">
        <f t="shared" si="143"/>
        <v>0</v>
      </c>
      <c r="AI85" s="781">
        <f t="shared" si="143"/>
        <v>0</v>
      </c>
      <c r="AJ85" s="711" t="s">
        <v>384</v>
      </c>
      <c r="AK85" s="711" t="s">
        <v>375</v>
      </c>
      <c r="AL85" s="711" t="s">
        <v>376</v>
      </c>
      <c r="AM85" s="711" t="s">
        <v>1981</v>
      </c>
      <c r="AN85" s="711" t="s">
        <v>1</v>
      </c>
      <c r="AO85" s="711" t="s">
        <v>2108</v>
      </c>
      <c r="AP85" s="711" t="s">
        <v>1702</v>
      </c>
      <c r="AQ85" s="711" t="s">
        <v>339</v>
      </c>
      <c r="AR85" s="715" t="s">
        <v>943</v>
      </c>
      <c r="AS85" s="715"/>
      <c r="AT85" s="715" t="s">
        <v>385</v>
      </c>
      <c r="AU85" s="711">
        <v>10</v>
      </c>
      <c r="AV85" s="711">
        <v>10</v>
      </c>
      <c r="AW85" s="711" t="s">
        <v>2109</v>
      </c>
      <c r="AX85" s="716">
        <v>1</v>
      </c>
      <c r="AY85" s="716">
        <v>1</v>
      </c>
      <c r="AZ85" s="716">
        <v>0</v>
      </c>
      <c r="BA85" s="499">
        <f t="shared" si="86"/>
        <v>829</v>
      </c>
      <c r="BB85" s="499">
        <f t="shared" si="144"/>
        <v>829</v>
      </c>
      <c r="BC85" s="499">
        <f t="shared" si="144"/>
        <v>829</v>
      </c>
      <c r="BD85" s="499">
        <f t="shared" si="144"/>
        <v>829</v>
      </c>
      <c r="BE85" s="499">
        <f t="shared" si="88"/>
        <v>829</v>
      </c>
      <c r="BF85" s="499">
        <f t="shared" si="88"/>
        <v>829</v>
      </c>
      <c r="BG85" s="499">
        <f t="shared" si="88"/>
        <v>829</v>
      </c>
      <c r="BH85" s="499">
        <f t="shared" si="89"/>
        <v>0</v>
      </c>
      <c r="BI85" s="499">
        <f t="shared" si="145"/>
        <v>0</v>
      </c>
      <c r="BJ85" s="499">
        <f t="shared" si="145"/>
        <v>0</v>
      </c>
      <c r="BK85" s="499">
        <f t="shared" si="145"/>
        <v>0</v>
      </c>
      <c r="BL85" s="499">
        <f t="shared" si="145"/>
        <v>0</v>
      </c>
      <c r="BM85" s="499">
        <f t="shared" si="145"/>
        <v>0</v>
      </c>
      <c r="BN85" s="499">
        <f t="shared" si="145"/>
        <v>0</v>
      </c>
      <c r="BO85" s="499">
        <f t="shared" si="91"/>
        <v>300</v>
      </c>
      <c r="BP85" s="499">
        <f t="shared" ref="BP85:BU94" si="149">BO85</f>
        <v>300</v>
      </c>
      <c r="BQ85" s="499">
        <f t="shared" si="149"/>
        <v>300</v>
      </c>
      <c r="BR85" s="499">
        <f t="shared" si="149"/>
        <v>300</v>
      </c>
      <c r="BS85" s="499">
        <f t="shared" si="149"/>
        <v>300</v>
      </c>
      <c r="BT85" s="499">
        <f t="shared" si="149"/>
        <v>300</v>
      </c>
      <c r="BU85" s="499">
        <f t="shared" si="149"/>
        <v>300</v>
      </c>
      <c r="BV85" s="503">
        <f t="shared" si="116"/>
        <v>0</v>
      </c>
      <c r="BW85" s="503">
        <f t="shared" si="116"/>
        <v>0</v>
      </c>
      <c r="BX85" s="503">
        <f t="shared" si="116"/>
        <v>0</v>
      </c>
      <c r="BY85" s="503">
        <f t="shared" si="116"/>
        <v>0</v>
      </c>
      <c r="BZ85" s="503">
        <f t="shared" si="116"/>
        <v>0</v>
      </c>
      <c r="CA85" s="503">
        <f t="shared" si="116"/>
        <v>0</v>
      </c>
      <c r="CB85" s="503">
        <f t="shared" si="116"/>
        <v>0</v>
      </c>
      <c r="CC85" s="511">
        <f t="shared" si="94"/>
        <v>1663.4994772349723</v>
      </c>
      <c r="CD85" s="511">
        <f t="shared" si="146"/>
        <v>1663.4994772349723</v>
      </c>
      <c r="CE85" s="511">
        <f t="shared" si="146"/>
        <v>1663.4994772349723</v>
      </c>
      <c r="CF85" s="511">
        <f t="shared" si="146"/>
        <v>1663.4994772349723</v>
      </c>
      <c r="CG85" s="511">
        <f t="shared" si="146"/>
        <v>1663.4994772349723</v>
      </c>
      <c r="CH85" s="511">
        <f t="shared" si="146"/>
        <v>1663.4994772349723</v>
      </c>
      <c r="CI85" s="511">
        <f t="shared" si="146"/>
        <v>1663.4994772349723</v>
      </c>
      <c r="CJ85" s="511">
        <f t="shared" si="96"/>
        <v>0.1106935709153114</v>
      </c>
      <c r="CK85" s="511">
        <f t="shared" si="147"/>
        <v>0.1106935709153114</v>
      </c>
      <c r="CL85" s="511">
        <f t="shared" si="147"/>
        <v>0.1106935709153114</v>
      </c>
      <c r="CM85" s="511">
        <f t="shared" si="147"/>
        <v>0.1106935709153114</v>
      </c>
      <c r="CN85" s="511">
        <f t="shared" si="147"/>
        <v>0.1106935709153114</v>
      </c>
      <c r="CO85" s="511">
        <f t="shared" si="147"/>
        <v>0.1106935709153114</v>
      </c>
      <c r="CP85" s="511">
        <f t="shared" si="147"/>
        <v>0.1106935709153114</v>
      </c>
      <c r="CQ85" s="511">
        <f t="shared" si="98"/>
        <v>0</v>
      </c>
      <c r="CR85" s="511">
        <f t="shared" si="148"/>
        <v>0</v>
      </c>
      <c r="CS85" s="511">
        <f t="shared" si="148"/>
        <v>0</v>
      </c>
      <c r="CT85" s="511">
        <f t="shared" si="148"/>
        <v>0</v>
      </c>
      <c r="CU85" s="511">
        <f t="shared" si="148"/>
        <v>0</v>
      </c>
      <c r="CV85" s="511">
        <f t="shared" si="148"/>
        <v>0</v>
      </c>
      <c r="CW85" s="511">
        <f t="shared" si="148"/>
        <v>0</v>
      </c>
      <c r="CX85" s="508">
        <f t="shared" si="136"/>
        <v>0</v>
      </c>
      <c r="CY85" s="508">
        <f t="shared" si="136"/>
        <v>0</v>
      </c>
      <c r="CZ85" s="508">
        <f t="shared" si="136"/>
        <v>0</v>
      </c>
      <c r="DA85" s="508">
        <f t="shared" si="136"/>
        <v>0</v>
      </c>
      <c r="DB85" s="508">
        <f t="shared" si="136"/>
        <v>0</v>
      </c>
      <c r="DC85" s="508">
        <f t="shared" si="136"/>
        <v>0</v>
      </c>
      <c r="DD85" s="508">
        <f t="shared" si="136"/>
        <v>0</v>
      </c>
      <c r="DE85" s="508">
        <f t="shared" si="137"/>
        <v>0</v>
      </c>
      <c r="DF85" s="508">
        <f t="shared" si="137"/>
        <v>0</v>
      </c>
      <c r="DG85" s="508">
        <f t="shared" si="137"/>
        <v>0</v>
      </c>
      <c r="DH85" s="508">
        <f t="shared" si="137"/>
        <v>0</v>
      </c>
      <c r="DI85" s="508">
        <f t="shared" si="137"/>
        <v>0</v>
      </c>
      <c r="DJ85" s="508">
        <f t="shared" si="137"/>
        <v>0</v>
      </c>
      <c r="DK85" s="508">
        <f t="shared" si="137"/>
        <v>0</v>
      </c>
      <c r="DL85" s="508">
        <f t="shared" si="138"/>
        <v>0</v>
      </c>
      <c r="DM85" s="508">
        <f t="shared" si="138"/>
        <v>0</v>
      </c>
      <c r="DN85" s="508">
        <f t="shared" si="138"/>
        <v>0</v>
      </c>
      <c r="DO85" s="508">
        <f t="shared" si="138"/>
        <v>0</v>
      </c>
      <c r="DP85" s="508">
        <f t="shared" si="138"/>
        <v>0</v>
      </c>
      <c r="DQ85" s="508">
        <f t="shared" si="138"/>
        <v>0</v>
      </c>
      <c r="DR85" s="508">
        <f t="shared" si="138"/>
        <v>0</v>
      </c>
      <c r="DS85" s="508">
        <f t="shared" si="117"/>
        <v>0</v>
      </c>
      <c r="DT85" s="508">
        <f t="shared" si="117"/>
        <v>0</v>
      </c>
      <c r="DU85" s="508">
        <f t="shared" si="117"/>
        <v>0</v>
      </c>
      <c r="DV85" s="508">
        <f t="shared" si="117"/>
        <v>0</v>
      </c>
      <c r="DW85" s="508">
        <f t="shared" si="117"/>
        <v>0</v>
      </c>
      <c r="DX85" s="508">
        <f t="shared" si="117"/>
        <v>0</v>
      </c>
      <c r="DY85" s="508">
        <f t="shared" si="117"/>
        <v>0</v>
      </c>
      <c r="DZ85" s="511">
        <f t="shared" si="139"/>
        <v>0</v>
      </c>
      <c r="EA85" s="511">
        <f t="shared" si="139"/>
        <v>0</v>
      </c>
      <c r="EB85" s="511">
        <f t="shared" si="139"/>
        <v>0</v>
      </c>
      <c r="EC85" s="511">
        <f t="shared" si="139"/>
        <v>0</v>
      </c>
      <c r="ED85" s="511">
        <f t="shared" si="139"/>
        <v>0</v>
      </c>
      <c r="EE85" s="511">
        <f t="shared" si="139"/>
        <v>0</v>
      </c>
      <c r="EF85" s="511">
        <f t="shared" si="139"/>
        <v>0</v>
      </c>
      <c r="EG85" s="511">
        <f t="shared" si="140"/>
        <v>0</v>
      </c>
      <c r="EH85" s="511">
        <f t="shared" si="140"/>
        <v>0</v>
      </c>
      <c r="EI85" s="511">
        <f t="shared" si="140"/>
        <v>0</v>
      </c>
      <c r="EJ85" s="511">
        <f t="shared" si="140"/>
        <v>0</v>
      </c>
      <c r="EK85" s="511">
        <f t="shared" si="140"/>
        <v>0</v>
      </c>
      <c r="EL85" s="511">
        <f t="shared" si="140"/>
        <v>0</v>
      </c>
      <c r="EM85" s="511">
        <f t="shared" si="140"/>
        <v>0</v>
      </c>
      <c r="EN85" s="511">
        <f t="shared" si="141"/>
        <v>0</v>
      </c>
      <c r="EO85" s="511">
        <f t="shared" si="141"/>
        <v>0</v>
      </c>
      <c r="EP85" s="511">
        <f t="shared" si="141"/>
        <v>0</v>
      </c>
      <c r="EQ85" s="511">
        <f t="shared" si="141"/>
        <v>0</v>
      </c>
      <c r="ER85" s="511">
        <f t="shared" si="141"/>
        <v>0</v>
      </c>
      <c r="ES85" s="511">
        <f t="shared" si="141"/>
        <v>0</v>
      </c>
      <c r="ET85" s="511">
        <f t="shared" si="141"/>
        <v>0</v>
      </c>
      <c r="EU85" s="777">
        <f t="shared" si="118"/>
        <v>0</v>
      </c>
      <c r="EV85" s="728">
        <f t="shared" si="108"/>
        <v>0</v>
      </c>
      <c r="EW85" s="728">
        <f t="shared" si="109"/>
        <v>0</v>
      </c>
      <c r="EX85" s="728">
        <f t="shared" si="110"/>
        <v>0</v>
      </c>
      <c r="EY85" s="728">
        <f t="shared" si="111"/>
        <v>0</v>
      </c>
      <c r="EZ85" s="777">
        <f t="shared" si="112"/>
        <v>0</v>
      </c>
      <c r="FA85" s="777">
        <f t="shared" si="113"/>
        <v>0</v>
      </c>
      <c r="FB85" s="778">
        <f t="shared" si="114"/>
        <v>0</v>
      </c>
    </row>
    <row r="86" spans="1:158" s="10" customFormat="1" ht="12.75" hidden="1" customHeight="1">
      <c r="A86" s="662" t="s">
        <v>216</v>
      </c>
      <c r="B86" s="789" t="s">
        <v>2180</v>
      </c>
      <c r="C86" s="662" t="s">
        <v>2111</v>
      </c>
      <c r="D86" s="715" t="s">
        <v>2112</v>
      </c>
      <c r="E86" s="662" t="s">
        <v>331</v>
      </c>
      <c r="F86" s="704" t="s">
        <v>402</v>
      </c>
      <c r="G86" s="707">
        <f t="shared" si="142"/>
        <v>1295.1303</v>
      </c>
      <c r="H86" s="707">
        <f t="shared" si="142"/>
        <v>0</v>
      </c>
      <c r="I86" s="707">
        <f t="shared" si="142"/>
        <v>1295.1303</v>
      </c>
      <c r="J86" s="707">
        <f t="shared" si="142"/>
        <v>0</v>
      </c>
      <c r="K86" s="707">
        <f t="shared" si="142"/>
        <v>647.56515000000002</v>
      </c>
      <c r="L86" s="1263" t="str">
        <f t="shared" si="142"/>
        <v>DEER 2008 and ACEEE 2011</v>
      </c>
      <c r="M86" s="707" t="str">
        <f t="shared" si="142"/>
        <v>NA</v>
      </c>
      <c r="N86" s="707">
        <f t="shared" si="142"/>
        <v>300</v>
      </c>
      <c r="O86" s="707">
        <f t="shared" si="142"/>
        <v>0</v>
      </c>
      <c r="P86" s="707">
        <f t="shared" si="142"/>
        <v>0</v>
      </c>
      <c r="Q86" s="1022">
        <v>0</v>
      </c>
      <c r="R86" s="872">
        <v>0</v>
      </c>
      <c r="S86" s="1022">
        <v>51.537082012037658</v>
      </c>
      <c r="T86" s="711" t="str">
        <f t="shared" si="115"/>
        <v>Potential Study Results: Engineering calculations based on ENERGY STAR Appliances Calculator. Accessed 06.07.2016</v>
      </c>
      <c r="U86" s="712"/>
      <c r="V86" s="1124">
        <f t="shared" si="83"/>
        <v>0</v>
      </c>
      <c r="W86" s="790"/>
      <c r="X86" s="790"/>
      <c r="Y86" s="790"/>
      <c r="Z86" s="790"/>
      <c r="AA86" s="790"/>
      <c r="AB86" s="790"/>
      <c r="AC86" s="781">
        <f t="shared" si="135"/>
        <v>0</v>
      </c>
      <c r="AD86" s="781">
        <f t="shared" si="135"/>
        <v>0</v>
      </c>
      <c r="AE86" s="781">
        <f t="shared" si="135"/>
        <v>0</v>
      </c>
      <c r="AF86" s="781">
        <f t="shared" si="135"/>
        <v>0</v>
      </c>
      <c r="AG86" s="781">
        <f t="shared" si="135"/>
        <v>0</v>
      </c>
      <c r="AH86" s="781">
        <f t="shared" si="143"/>
        <v>0</v>
      </c>
      <c r="AI86" s="781">
        <f t="shared" si="143"/>
        <v>0</v>
      </c>
      <c r="AJ86" s="711" t="s">
        <v>2013</v>
      </c>
      <c r="AK86" s="711" t="s">
        <v>375</v>
      </c>
      <c r="AL86" s="711" t="s">
        <v>376</v>
      </c>
      <c r="AM86" s="711" t="s">
        <v>1981</v>
      </c>
      <c r="AN86" s="711" t="s">
        <v>1</v>
      </c>
      <c r="AO86" s="711" t="s">
        <v>2114</v>
      </c>
      <c r="AP86" s="711" t="s">
        <v>2111</v>
      </c>
      <c r="AQ86" s="711" t="s">
        <v>2112</v>
      </c>
      <c r="AR86" s="715" t="s">
        <v>943</v>
      </c>
      <c r="AS86" s="715" t="s">
        <v>1941</v>
      </c>
      <c r="AT86" s="715" t="s">
        <v>385</v>
      </c>
      <c r="AU86" s="711">
        <v>11</v>
      </c>
      <c r="AV86" s="711">
        <v>11</v>
      </c>
      <c r="AW86" s="711" t="s">
        <v>2115</v>
      </c>
      <c r="AX86" s="716">
        <v>1</v>
      </c>
      <c r="AY86" s="716">
        <v>0</v>
      </c>
      <c r="AZ86" s="716">
        <v>1</v>
      </c>
      <c r="BA86" s="499">
        <f t="shared" si="86"/>
        <v>1295.1303</v>
      </c>
      <c r="BB86" s="499">
        <f t="shared" si="144"/>
        <v>1295.1303</v>
      </c>
      <c r="BC86" s="499">
        <f t="shared" si="144"/>
        <v>1295.1303</v>
      </c>
      <c r="BD86" s="499">
        <f t="shared" si="144"/>
        <v>1295.1303</v>
      </c>
      <c r="BE86" s="499">
        <f t="shared" si="88"/>
        <v>1295.1303</v>
      </c>
      <c r="BF86" s="499">
        <f t="shared" si="88"/>
        <v>1295.1303</v>
      </c>
      <c r="BG86" s="499">
        <f t="shared" si="88"/>
        <v>1295.1303</v>
      </c>
      <c r="BH86" s="499">
        <f t="shared" si="89"/>
        <v>0</v>
      </c>
      <c r="BI86" s="499">
        <f t="shared" si="145"/>
        <v>0</v>
      </c>
      <c r="BJ86" s="499">
        <f t="shared" si="145"/>
        <v>0</v>
      </c>
      <c r="BK86" s="499">
        <f t="shared" si="145"/>
        <v>0</v>
      </c>
      <c r="BL86" s="499">
        <f t="shared" si="145"/>
        <v>0</v>
      </c>
      <c r="BM86" s="499">
        <f t="shared" si="145"/>
        <v>0</v>
      </c>
      <c r="BN86" s="499">
        <f t="shared" si="145"/>
        <v>0</v>
      </c>
      <c r="BO86" s="499">
        <f t="shared" si="91"/>
        <v>300</v>
      </c>
      <c r="BP86" s="499">
        <f t="shared" si="149"/>
        <v>300</v>
      </c>
      <c r="BQ86" s="499">
        <f t="shared" si="149"/>
        <v>300</v>
      </c>
      <c r="BR86" s="499">
        <f t="shared" si="149"/>
        <v>300</v>
      </c>
      <c r="BS86" s="499">
        <f t="shared" si="149"/>
        <v>300</v>
      </c>
      <c r="BT86" s="499">
        <f t="shared" si="149"/>
        <v>300</v>
      </c>
      <c r="BU86" s="499">
        <f t="shared" si="149"/>
        <v>300</v>
      </c>
      <c r="BV86" s="503">
        <f t="shared" si="116"/>
        <v>0</v>
      </c>
      <c r="BW86" s="503">
        <f t="shared" si="116"/>
        <v>0</v>
      </c>
      <c r="BX86" s="503">
        <f t="shared" si="116"/>
        <v>0</v>
      </c>
      <c r="BY86" s="503">
        <f t="shared" si="116"/>
        <v>0</v>
      </c>
      <c r="BZ86" s="503">
        <f t="shared" si="116"/>
        <v>0</v>
      </c>
      <c r="CA86" s="503">
        <f t="shared" si="116"/>
        <v>0</v>
      </c>
      <c r="CB86" s="503">
        <f t="shared" si="116"/>
        <v>0</v>
      </c>
      <c r="CC86" s="511">
        <f t="shared" si="94"/>
        <v>0</v>
      </c>
      <c r="CD86" s="511">
        <f t="shared" si="146"/>
        <v>0</v>
      </c>
      <c r="CE86" s="511">
        <f t="shared" si="146"/>
        <v>0</v>
      </c>
      <c r="CF86" s="511">
        <f t="shared" si="146"/>
        <v>0</v>
      </c>
      <c r="CG86" s="511">
        <f t="shared" si="146"/>
        <v>0</v>
      </c>
      <c r="CH86" s="511">
        <f t="shared" si="146"/>
        <v>0</v>
      </c>
      <c r="CI86" s="511">
        <f t="shared" si="146"/>
        <v>0</v>
      </c>
      <c r="CJ86" s="511">
        <f t="shared" si="96"/>
        <v>0</v>
      </c>
      <c r="CK86" s="511">
        <f t="shared" si="147"/>
        <v>0</v>
      </c>
      <c r="CL86" s="511">
        <f t="shared" si="147"/>
        <v>0</v>
      </c>
      <c r="CM86" s="511">
        <f t="shared" si="147"/>
        <v>0</v>
      </c>
      <c r="CN86" s="511">
        <f t="shared" si="147"/>
        <v>0</v>
      </c>
      <c r="CO86" s="511">
        <f t="shared" si="147"/>
        <v>0</v>
      </c>
      <c r="CP86" s="511">
        <f t="shared" si="147"/>
        <v>0</v>
      </c>
      <c r="CQ86" s="511">
        <f t="shared" si="98"/>
        <v>51.537082012037658</v>
      </c>
      <c r="CR86" s="511">
        <f t="shared" si="148"/>
        <v>51.537082012037658</v>
      </c>
      <c r="CS86" s="511">
        <f t="shared" si="148"/>
        <v>51.537082012037658</v>
      </c>
      <c r="CT86" s="511">
        <f t="shared" si="148"/>
        <v>51.537082012037658</v>
      </c>
      <c r="CU86" s="511">
        <f t="shared" si="148"/>
        <v>51.537082012037658</v>
      </c>
      <c r="CV86" s="511">
        <f t="shared" si="148"/>
        <v>51.537082012037658</v>
      </c>
      <c r="CW86" s="511">
        <f t="shared" si="148"/>
        <v>51.537082012037658</v>
      </c>
      <c r="CX86" s="508">
        <f t="shared" si="136"/>
        <v>0</v>
      </c>
      <c r="CY86" s="508">
        <f t="shared" si="136"/>
        <v>0</v>
      </c>
      <c r="CZ86" s="508">
        <f t="shared" si="136"/>
        <v>0</v>
      </c>
      <c r="DA86" s="508">
        <f t="shared" si="136"/>
        <v>0</v>
      </c>
      <c r="DB86" s="508">
        <f t="shared" si="136"/>
        <v>0</v>
      </c>
      <c r="DC86" s="508">
        <f t="shared" si="136"/>
        <v>0</v>
      </c>
      <c r="DD86" s="508">
        <f t="shared" si="136"/>
        <v>0</v>
      </c>
      <c r="DE86" s="508">
        <f t="shared" si="137"/>
        <v>0</v>
      </c>
      <c r="DF86" s="508">
        <f t="shared" si="137"/>
        <v>0</v>
      </c>
      <c r="DG86" s="508">
        <f t="shared" si="137"/>
        <v>0</v>
      </c>
      <c r="DH86" s="508">
        <f t="shared" si="137"/>
        <v>0</v>
      </c>
      <c r="DI86" s="508">
        <f t="shared" si="137"/>
        <v>0</v>
      </c>
      <c r="DJ86" s="508">
        <f t="shared" si="137"/>
        <v>0</v>
      </c>
      <c r="DK86" s="508">
        <f t="shared" si="137"/>
        <v>0</v>
      </c>
      <c r="DL86" s="508">
        <f t="shared" si="138"/>
        <v>0</v>
      </c>
      <c r="DM86" s="508">
        <f t="shared" si="138"/>
        <v>0</v>
      </c>
      <c r="DN86" s="508">
        <f t="shared" si="138"/>
        <v>0</v>
      </c>
      <c r="DO86" s="508">
        <f t="shared" si="138"/>
        <v>0</v>
      </c>
      <c r="DP86" s="508">
        <f t="shared" si="138"/>
        <v>0</v>
      </c>
      <c r="DQ86" s="508">
        <f t="shared" si="138"/>
        <v>0</v>
      </c>
      <c r="DR86" s="508">
        <f t="shared" si="138"/>
        <v>0</v>
      </c>
      <c r="DS86" s="508">
        <f t="shared" si="117"/>
        <v>0</v>
      </c>
      <c r="DT86" s="508">
        <f t="shared" si="117"/>
        <v>0</v>
      </c>
      <c r="DU86" s="508">
        <f t="shared" si="117"/>
        <v>0</v>
      </c>
      <c r="DV86" s="508">
        <f t="shared" si="117"/>
        <v>0</v>
      </c>
      <c r="DW86" s="508">
        <f t="shared" si="117"/>
        <v>0</v>
      </c>
      <c r="DX86" s="508">
        <f t="shared" si="117"/>
        <v>0</v>
      </c>
      <c r="DY86" s="508">
        <f t="shared" si="117"/>
        <v>0</v>
      </c>
      <c r="DZ86" s="511">
        <f t="shared" si="139"/>
        <v>0</v>
      </c>
      <c r="EA86" s="511">
        <f t="shared" si="139"/>
        <v>0</v>
      </c>
      <c r="EB86" s="511">
        <f t="shared" si="139"/>
        <v>0</v>
      </c>
      <c r="EC86" s="511">
        <f t="shared" si="139"/>
        <v>0</v>
      </c>
      <c r="ED86" s="511">
        <f t="shared" si="139"/>
        <v>0</v>
      </c>
      <c r="EE86" s="511">
        <f t="shared" si="139"/>
        <v>0</v>
      </c>
      <c r="EF86" s="511">
        <f t="shared" si="139"/>
        <v>0</v>
      </c>
      <c r="EG86" s="511">
        <f t="shared" si="140"/>
        <v>0</v>
      </c>
      <c r="EH86" s="511">
        <f t="shared" si="140"/>
        <v>0</v>
      </c>
      <c r="EI86" s="511">
        <f t="shared" si="140"/>
        <v>0</v>
      </c>
      <c r="EJ86" s="511">
        <f t="shared" si="140"/>
        <v>0</v>
      </c>
      <c r="EK86" s="511">
        <f t="shared" si="140"/>
        <v>0</v>
      </c>
      <c r="EL86" s="511">
        <f t="shared" si="140"/>
        <v>0</v>
      </c>
      <c r="EM86" s="511">
        <f t="shared" si="140"/>
        <v>0</v>
      </c>
      <c r="EN86" s="511">
        <f t="shared" si="141"/>
        <v>0</v>
      </c>
      <c r="EO86" s="511">
        <f t="shared" si="141"/>
        <v>0</v>
      </c>
      <c r="EP86" s="511">
        <f t="shared" si="141"/>
        <v>0</v>
      </c>
      <c r="EQ86" s="511">
        <f t="shared" si="141"/>
        <v>0</v>
      </c>
      <c r="ER86" s="511">
        <f t="shared" si="141"/>
        <v>0</v>
      </c>
      <c r="ES86" s="511">
        <f t="shared" si="141"/>
        <v>0</v>
      </c>
      <c r="ET86" s="511">
        <f t="shared" si="141"/>
        <v>0</v>
      </c>
      <c r="EU86" s="777">
        <f t="shared" si="118"/>
        <v>0</v>
      </c>
      <c r="EV86" s="728">
        <f t="shared" si="108"/>
        <v>0</v>
      </c>
      <c r="EW86" s="728">
        <f t="shared" si="109"/>
        <v>0</v>
      </c>
      <c r="EX86" s="728">
        <f t="shared" si="110"/>
        <v>0</v>
      </c>
      <c r="EY86" s="728">
        <f t="shared" si="111"/>
        <v>0</v>
      </c>
      <c r="EZ86" s="777">
        <f t="shared" si="112"/>
        <v>0</v>
      </c>
      <c r="FA86" s="777">
        <f t="shared" si="113"/>
        <v>0</v>
      </c>
      <c r="FB86" s="778">
        <f t="shared" si="114"/>
        <v>0</v>
      </c>
    </row>
    <row r="87" spans="1:158" s="10" customFormat="1" ht="12.75" hidden="1" customHeight="1">
      <c r="A87" s="662" t="s">
        <v>217</v>
      </c>
      <c r="B87" s="789" t="s">
        <v>2181</v>
      </c>
      <c r="C87" s="662" t="s">
        <v>2117</v>
      </c>
      <c r="D87" s="715" t="s">
        <v>2112</v>
      </c>
      <c r="E87" s="662" t="s">
        <v>331</v>
      </c>
      <c r="F87" s="704" t="s">
        <v>402</v>
      </c>
      <c r="G87" s="707">
        <f t="shared" si="142"/>
        <v>125.1973</v>
      </c>
      <c r="H87" s="707">
        <f t="shared" si="142"/>
        <v>0</v>
      </c>
      <c r="I87" s="707">
        <f t="shared" si="142"/>
        <v>125.1973</v>
      </c>
      <c r="J87" s="707">
        <f t="shared" si="142"/>
        <v>0</v>
      </c>
      <c r="K87" s="707">
        <f t="shared" si="142"/>
        <v>62.598649999999999</v>
      </c>
      <c r="L87" s="1263" t="str">
        <f t="shared" si="142"/>
        <v>DEER 2008 and ACEEE 2011</v>
      </c>
      <c r="M87" s="707" t="str">
        <f t="shared" si="142"/>
        <v>NA</v>
      </c>
      <c r="N87" s="707">
        <f t="shared" si="142"/>
        <v>60</v>
      </c>
      <c r="O87" s="707">
        <f t="shared" si="142"/>
        <v>0</v>
      </c>
      <c r="P87" s="707">
        <f t="shared" si="142"/>
        <v>0</v>
      </c>
      <c r="Q87" s="1022">
        <v>0</v>
      </c>
      <c r="R87" s="872">
        <v>0</v>
      </c>
      <c r="S87" s="1022">
        <v>12.362306452780928</v>
      </c>
      <c r="T87" s="711" t="str">
        <f t="shared" si="115"/>
        <v>Potential Study Results: Engineering calculations based on ENERGY STAR Appliances Calculator. Accessed 06.07.2016</v>
      </c>
      <c r="U87" s="712"/>
      <c r="V87" s="1124">
        <f t="shared" si="83"/>
        <v>1.0592716019995238E-2</v>
      </c>
      <c r="W87" s="790"/>
      <c r="X87" s="790"/>
      <c r="Y87" s="790"/>
      <c r="Z87" s="790"/>
      <c r="AA87" s="790"/>
      <c r="AB87" s="790"/>
      <c r="AC87" s="781">
        <f t="shared" si="135"/>
        <v>15</v>
      </c>
      <c r="AD87" s="781">
        <f t="shared" si="135"/>
        <v>15</v>
      </c>
      <c r="AE87" s="781">
        <f t="shared" si="135"/>
        <v>15</v>
      </c>
      <c r="AF87" s="781">
        <f t="shared" si="135"/>
        <v>15</v>
      </c>
      <c r="AG87" s="781">
        <f t="shared" si="135"/>
        <v>15</v>
      </c>
      <c r="AH87" s="781">
        <f t="shared" si="143"/>
        <v>15</v>
      </c>
      <c r="AI87" s="781">
        <f t="shared" si="143"/>
        <v>15</v>
      </c>
      <c r="AJ87" s="711" t="s">
        <v>2013</v>
      </c>
      <c r="AK87" s="711" t="s">
        <v>375</v>
      </c>
      <c r="AL87" s="711" t="s">
        <v>376</v>
      </c>
      <c r="AM87" s="711" t="s">
        <v>1981</v>
      </c>
      <c r="AN87" s="711" t="s">
        <v>1</v>
      </c>
      <c r="AO87" s="711" t="s">
        <v>2118</v>
      </c>
      <c r="AP87" s="711" t="s">
        <v>2117</v>
      </c>
      <c r="AQ87" s="711" t="s">
        <v>2112</v>
      </c>
      <c r="AR87" s="715" t="s">
        <v>943</v>
      </c>
      <c r="AS87" s="715" t="s">
        <v>1941</v>
      </c>
      <c r="AT87" s="715" t="s">
        <v>385</v>
      </c>
      <c r="AU87" s="711">
        <v>11</v>
      </c>
      <c r="AV87" s="711">
        <v>11</v>
      </c>
      <c r="AW87" s="711" t="s">
        <v>2115</v>
      </c>
      <c r="AX87" s="716">
        <v>1</v>
      </c>
      <c r="AY87" s="716">
        <v>0</v>
      </c>
      <c r="AZ87" s="716">
        <v>1</v>
      </c>
      <c r="BA87" s="499">
        <f t="shared" si="86"/>
        <v>125.1973</v>
      </c>
      <c r="BB87" s="499">
        <f t="shared" si="144"/>
        <v>125.1973</v>
      </c>
      <c r="BC87" s="499">
        <f t="shared" si="144"/>
        <v>125.1973</v>
      </c>
      <c r="BD87" s="499">
        <f t="shared" si="144"/>
        <v>125.1973</v>
      </c>
      <c r="BE87" s="499">
        <f t="shared" si="88"/>
        <v>125.1973</v>
      </c>
      <c r="BF87" s="499">
        <f t="shared" si="88"/>
        <v>125.1973</v>
      </c>
      <c r="BG87" s="499">
        <f t="shared" si="88"/>
        <v>125.1973</v>
      </c>
      <c r="BH87" s="499">
        <f t="shared" si="89"/>
        <v>0</v>
      </c>
      <c r="BI87" s="499">
        <f t="shared" si="145"/>
        <v>0</v>
      </c>
      <c r="BJ87" s="499">
        <f t="shared" si="145"/>
        <v>0</v>
      </c>
      <c r="BK87" s="499">
        <f t="shared" si="145"/>
        <v>0</v>
      </c>
      <c r="BL87" s="499">
        <f t="shared" si="145"/>
        <v>0</v>
      </c>
      <c r="BM87" s="499">
        <f t="shared" si="145"/>
        <v>0</v>
      </c>
      <c r="BN87" s="499">
        <f t="shared" si="145"/>
        <v>0</v>
      </c>
      <c r="BO87" s="499">
        <f t="shared" si="91"/>
        <v>60</v>
      </c>
      <c r="BP87" s="499">
        <f t="shared" si="149"/>
        <v>60</v>
      </c>
      <c r="BQ87" s="499">
        <f t="shared" si="149"/>
        <v>60</v>
      </c>
      <c r="BR87" s="499">
        <f t="shared" si="149"/>
        <v>60</v>
      </c>
      <c r="BS87" s="499">
        <f t="shared" si="149"/>
        <v>60</v>
      </c>
      <c r="BT87" s="499">
        <f t="shared" si="149"/>
        <v>60</v>
      </c>
      <c r="BU87" s="499">
        <f t="shared" si="149"/>
        <v>60</v>
      </c>
      <c r="BV87" s="503">
        <f t="shared" si="116"/>
        <v>0</v>
      </c>
      <c r="BW87" s="503">
        <f t="shared" si="116"/>
        <v>0</v>
      </c>
      <c r="BX87" s="503">
        <f t="shared" si="116"/>
        <v>0</v>
      </c>
      <c r="BY87" s="503">
        <f t="shared" si="116"/>
        <v>0</v>
      </c>
      <c r="BZ87" s="503">
        <f t="shared" si="116"/>
        <v>0</v>
      </c>
      <c r="CA87" s="503">
        <f t="shared" si="116"/>
        <v>0</v>
      </c>
      <c r="CB87" s="503">
        <f t="shared" si="116"/>
        <v>0</v>
      </c>
      <c r="CC87" s="511">
        <f t="shared" si="94"/>
        <v>0</v>
      </c>
      <c r="CD87" s="511">
        <f t="shared" si="146"/>
        <v>0</v>
      </c>
      <c r="CE87" s="511">
        <f t="shared" si="146"/>
        <v>0</v>
      </c>
      <c r="CF87" s="511">
        <f t="shared" si="146"/>
        <v>0</v>
      </c>
      <c r="CG87" s="511">
        <f t="shared" si="146"/>
        <v>0</v>
      </c>
      <c r="CH87" s="511">
        <f t="shared" si="146"/>
        <v>0</v>
      </c>
      <c r="CI87" s="511">
        <f t="shared" si="146"/>
        <v>0</v>
      </c>
      <c r="CJ87" s="511">
        <f t="shared" si="96"/>
        <v>0</v>
      </c>
      <c r="CK87" s="511">
        <f t="shared" si="147"/>
        <v>0</v>
      </c>
      <c r="CL87" s="511">
        <f t="shared" si="147"/>
        <v>0</v>
      </c>
      <c r="CM87" s="511">
        <f t="shared" si="147"/>
        <v>0</v>
      </c>
      <c r="CN87" s="511">
        <f t="shared" si="147"/>
        <v>0</v>
      </c>
      <c r="CO87" s="511">
        <f t="shared" si="147"/>
        <v>0</v>
      </c>
      <c r="CP87" s="511">
        <f t="shared" si="147"/>
        <v>0</v>
      </c>
      <c r="CQ87" s="511">
        <f t="shared" si="98"/>
        <v>12.362306452780928</v>
      </c>
      <c r="CR87" s="511">
        <f t="shared" si="148"/>
        <v>12.362306452780928</v>
      </c>
      <c r="CS87" s="511">
        <f t="shared" si="148"/>
        <v>12.362306452780928</v>
      </c>
      <c r="CT87" s="511">
        <f t="shared" si="148"/>
        <v>12.362306452780928</v>
      </c>
      <c r="CU87" s="511">
        <f t="shared" si="148"/>
        <v>12.362306452780928</v>
      </c>
      <c r="CV87" s="511">
        <f t="shared" si="148"/>
        <v>12.362306452780928</v>
      </c>
      <c r="CW87" s="511">
        <f t="shared" si="148"/>
        <v>12.362306452780928</v>
      </c>
      <c r="CX87" s="508">
        <f t="shared" si="136"/>
        <v>1877.9594999999999</v>
      </c>
      <c r="CY87" s="508">
        <f t="shared" si="136"/>
        <v>1877.9594999999999</v>
      </c>
      <c r="CZ87" s="508">
        <f t="shared" si="136"/>
        <v>1877.9594999999999</v>
      </c>
      <c r="DA87" s="508">
        <f t="shared" si="136"/>
        <v>1877.9594999999999</v>
      </c>
      <c r="DB87" s="508">
        <f t="shared" si="136"/>
        <v>1877.9594999999999</v>
      </c>
      <c r="DC87" s="508">
        <f t="shared" si="136"/>
        <v>1877.9594999999999</v>
      </c>
      <c r="DD87" s="508">
        <f t="shared" si="136"/>
        <v>1877.9594999999999</v>
      </c>
      <c r="DE87" s="508">
        <f t="shared" si="137"/>
        <v>0</v>
      </c>
      <c r="DF87" s="508">
        <f t="shared" si="137"/>
        <v>0</v>
      </c>
      <c r="DG87" s="508">
        <f t="shared" si="137"/>
        <v>0</v>
      </c>
      <c r="DH87" s="508">
        <f t="shared" si="137"/>
        <v>0</v>
      </c>
      <c r="DI87" s="508">
        <f t="shared" si="137"/>
        <v>0</v>
      </c>
      <c r="DJ87" s="508">
        <f t="shared" si="137"/>
        <v>0</v>
      </c>
      <c r="DK87" s="508">
        <f t="shared" si="137"/>
        <v>0</v>
      </c>
      <c r="DL87" s="508">
        <f t="shared" si="138"/>
        <v>900</v>
      </c>
      <c r="DM87" s="508">
        <f t="shared" si="138"/>
        <v>900</v>
      </c>
      <c r="DN87" s="508">
        <f t="shared" si="138"/>
        <v>900</v>
      </c>
      <c r="DO87" s="508">
        <f t="shared" si="138"/>
        <v>900</v>
      </c>
      <c r="DP87" s="508">
        <f t="shared" si="138"/>
        <v>900</v>
      </c>
      <c r="DQ87" s="508">
        <f t="shared" si="138"/>
        <v>900</v>
      </c>
      <c r="DR87" s="508">
        <f t="shared" si="138"/>
        <v>900</v>
      </c>
      <c r="DS87" s="508">
        <f t="shared" si="117"/>
        <v>0</v>
      </c>
      <c r="DT87" s="508">
        <f t="shared" si="117"/>
        <v>0</v>
      </c>
      <c r="DU87" s="508">
        <f t="shared" si="117"/>
        <v>0</v>
      </c>
      <c r="DV87" s="508">
        <f t="shared" si="117"/>
        <v>0</v>
      </c>
      <c r="DW87" s="508">
        <f t="shared" si="117"/>
        <v>0</v>
      </c>
      <c r="DX87" s="508">
        <f t="shared" si="117"/>
        <v>0</v>
      </c>
      <c r="DY87" s="508">
        <f t="shared" si="117"/>
        <v>0</v>
      </c>
      <c r="DZ87" s="511">
        <f t="shared" si="139"/>
        <v>0</v>
      </c>
      <c r="EA87" s="511">
        <f t="shared" si="139"/>
        <v>0</v>
      </c>
      <c r="EB87" s="511">
        <f t="shared" si="139"/>
        <v>0</v>
      </c>
      <c r="EC87" s="511">
        <f t="shared" si="139"/>
        <v>0</v>
      </c>
      <c r="ED87" s="511">
        <f t="shared" si="139"/>
        <v>0</v>
      </c>
      <c r="EE87" s="511">
        <f t="shared" si="139"/>
        <v>0</v>
      </c>
      <c r="EF87" s="511">
        <f t="shared" si="139"/>
        <v>0</v>
      </c>
      <c r="EG87" s="511">
        <f t="shared" si="140"/>
        <v>0</v>
      </c>
      <c r="EH87" s="511">
        <f t="shared" si="140"/>
        <v>0</v>
      </c>
      <c r="EI87" s="511">
        <f t="shared" si="140"/>
        <v>0</v>
      </c>
      <c r="EJ87" s="511">
        <f t="shared" si="140"/>
        <v>0</v>
      </c>
      <c r="EK87" s="511">
        <f t="shared" si="140"/>
        <v>0</v>
      </c>
      <c r="EL87" s="511">
        <f t="shared" si="140"/>
        <v>0</v>
      </c>
      <c r="EM87" s="511">
        <f t="shared" si="140"/>
        <v>0</v>
      </c>
      <c r="EN87" s="511">
        <f t="shared" si="141"/>
        <v>185.43459679171391</v>
      </c>
      <c r="EO87" s="511">
        <f t="shared" si="141"/>
        <v>185.43459679171391</v>
      </c>
      <c r="EP87" s="511">
        <f t="shared" si="141"/>
        <v>185.43459679171391</v>
      </c>
      <c r="EQ87" s="511">
        <f t="shared" si="141"/>
        <v>185.43459679171391</v>
      </c>
      <c r="ER87" s="511">
        <f t="shared" si="141"/>
        <v>185.43459679171391</v>
      </c>
      <c r="ES87" s="511">
        <f t="shared" si="141"/>
        <v>185.43459679171391</v>
      </c>
      <c r="ET87" s="511">
        <f t="shared" si="141"/>
        <v>185.43459679171391</v>
      </c>
      <c r="EU87" s="777">
        <f t="shared" si="118"/>
        <v>105</v>
      </c>
      <c r="EV87" s="728">
        <f t="shared" si="108"/>
        <v>13145.716500000002</v>
      </c>
      <c r="EW87" s="728">
        <f t="shared" si="109"/>
        <v>0</v>
      </c>
      <c r="EX87" s="728">
        <f t="shared" si="110"/>
        <v>6300</v>
      </c>
      <c r="EY87" s="728">
        <f t="shared" si="111"/>
        <v>0</v>
      </c>
      <c r="EZ87" s="777">
        <f t="shared" si="112"/>
        <v>0</v>
      </c>
      <c r="FA87" s="777">
        <f t="shared" si="113"/>
        <v>0</v>
      </c>
      <c r="FB87" s="778">
        <f t="shared" si="114"/>
        <v>1298.0421775419973</v>
      </c>
    </row>
    <row r="88" spans="1:158" s="10" customFormat="1" ht="12.75" hidden="1" customHeight="1">
      <c r="A88" s="662" t="s">
        <v>218</v>
      </c>
      <c r="B88" s="789" t="s">
        <v>2182</v>
      </c>
      <c r="C88" s="662" t="s">
        <v>2120</v>
      </c>
      <c r="D88" s="715" t="s">
        <v>2112</v>
      </c>
      <c r="E88" s="662" t="s">
        <v>331</v>
      </c>
      <c r="F88" s="704" t="s">
        <v>402</v>
      </c>
      <c r="G88" s="707">
        <f t="shared" si="142"/>
        <v>664.85389999999995</v>
      </c>
      <c r="H88" s="707">
        <f t="shared" si="142"/>
        <v>0</v>
      </c>
      <c r="I88" s="707">
        <f t="shared" si="142"/>
        <v>664.85389999999995</v>
      </c>
      <c r="J88" s="707">
        <f t="shared" si="142"/>
        <v>0</v>
      </c>
      <c r="K88" s="707">
        <f t="shared" si="142"/>
        <v>332.42694999999998</v>
      </c>
      <c r="L88" s="1263" t="str">
        <f t="shared" si="142"/>
        <v>Various Retailers</v>
      </c>
      <c r="M88" s="707" t="str">
        <f t="shared" si="142"/>
        <v>NA</v>
      </c>
      <c r="N88" s="707">
        <f t="shared" si="142"/>
        <v>300</v>
      </c>
      <c r="O88" s="707">
        <f t="shared" si="142"/>
        <v>0</v>
      </c>
      <c r="P88" s="707">
        <f t="shared" si="142"/>
        <v>0</v>
      </c>
      <c r="Q88" s="1022">
        <v>0</v>
      </c>
      <c r="R88" s="872">
        <v>0</v>
      </c>
      <c r="S88" s="1022">
        <v>51.527082012037667</v>
      </c>
      <c r="T88" s="711" t="str">
        <f t="shared" si="115"/>
        <v>Potential Study Results: Engineering calculations based on ENERGY STAR Appliances Calculator. Accessed 06.07.2016</v>
      </c>
      <c r="U88" s="712"/>
      <c r="V88" s="1124">
        <f t="shared" si="83"/>
        <v>0</v>
      </c>
      <c r="W88" s="790"/>
      <c r="X88" s="790"/>
      <c r="Y88" s="790"/>
      <c r="Z88" s="790"/>
      <c r="AA88" s="790"/>
      <c r="AB88" s="790"/>
      <c r="AC88" s="781">
        <f t="shared" si="135"/>
        <v>0</v>
      </c>
      <c r="AD88" s="781">
        <f t="shared" si="135"/>
        <v>0</v>
      </c>
      <c r="AE88" s="781">
        <f t="shared" si="135"/>
        <v>0</v>
      </c>
      <c r="AF88" s="781">
        <f t="shared" si="135"/>
        <v>0</v>
      </c>
      <c r="AG88" s="781">
        <f t="shared" si="135"/>
        <v>0</v>
      </c>
      <c r="AH88" s="781">
        <f t="shared" si="143"/>
        <v>0</v>
      </c>
      <c r="AI88" s="781">
        <f t="shared" si="143"/>
        <v>0</v>
      </c>
      <c r="AJ88" s="711" t="s">
        <v>2013</v>
      </c>
      <c r="AK88" s="711" t="s">
        <v>375</v>
      </c>
      <c r="AL88" s="711" t="s">
        <v>376</v>
      </c>
      <c r="AM88" s="711" t="s">
        <v>1981</v>
      </c>
      <c r="AN88" s="711" t="s">
        <v>1</v>
      </c>
      <c r="AO88" s="711" t="s">
        <v>2122</v>
      </c>
      <c r="AP88" s="711" t="s">
        <v>2120</v>
      </c>
      <c r="AQ88" s="711" t="s">
        <v>2112</v>
      </c>
      <c r="AR88" s="715" t="s">
        <v>943</v>
      </c>
      <c r="AS88" s="715" t="s">
        <v>1941</v>
      </c>
      <c r="AT88" s="715" t="s">
        <v>385</v>
      </c>
      <c r="AU88" s="711">
        <v>11</v>
      </c>
      <c r="AV88" s="711">
        <v>11</v>
      </c>
      <c r="AW88" s="711" t="s">
        <v>2115</v>
      </c>
      <c r="AX88" s="716">
        <v>1</v>
      </c>
      <c r="AY88" s="716">
        <v>0</v>
      </c>
      <c r="AZ88" s="716">
        <v>1</v>
      </c>
      <c r="BA88" s="499">
        <f t="shared" si="86"/>
        <v>664.85389999999995</v>
      </c>
      <c r="BB88" s="499">
        <f t="shared" si="144"/>
        <v>664.85389999999995</v>
      </c>
      <c r="BC88" s="499">
        <f t="shared" si="144"/>
        <v>664.85389999999995</v>
      </c>
      <c r="BD88" s="499">
        <f t="shared" si="144"/>
        <v>664.85389999999995</v>
      </c>
      <c r="BE88" s="499">
        <f t="shared" si="88"/>
        <v>664.85389999999995</v>
      </c>
      <c r="BF88" s="499">
        <f t="shared" si="88"/>
        <v>664.85389999999995</v>
      </c>
      <c r="BG88" s="499">
        <f t="shared" si="88"/>
        <v>664.85389999999995</v>
      </c>
      <c r="BH88" s="499">
        <f t="shared" si="89"/>
        <v>0</v>
      </c>
      <c r="BI88" s="499">
        <f t="shared" si="145"/>
        <v>0</v>
      </c>
      <c r="BJ88" s="499">
        <f t="shared" si="145"/>
        <v>0</v>
      </c>
      <c r="BK88" s="499">
        <f t="shared" si="145"/>
        <v>0</v>
      </c>
      <c r="BL88" s="499">
        <f t="shared" si="145"/>
        <v>0</v>
      </c>
      <c r="BM88" s="499">
        <f t="shared" si="145"/>
        <v>0</v>
      </c>
      <c r="BN88" s="499">
        <f t="shared" si="145"/>
        <v>0</v>
      </c>
      <c r="BO88" s="499">
        <f t="shared" si="91"/>
        <v>300</v>
      </c>
      <c r="BP88" s="499">
        <f t="shared" si="149"/>
        <v>300</v>
      </c>
      <c r="BQ88" s="499">
        <f t="shared" si="149"/>
        <v>300</v>
      </c>
      <c r="BR88" s="499">
        <f t="shared" si="149"/>
        <v>300</v>
      </c>
      <c r="BS88" s="499">
        <f t="shared" si="149"/>
        <v>300</v>
      </c>
      <c r="BT88" s="499">
        <f t="shared" si="149"/>
        <v>300</v>
      </c>
      <c r="BU88" s="499">
        <f t="shared" si="149"/>
        <v>300</v>
      </c>
      <c r="BV88" s="503">
        <f t="shared" si="116"/>
        <v>0</v>
      </c>
      <c r="BW88" s="503">
        <f t="shared" si="116"/>
        <v>0</v>
      </c>
      <c r="BX88" s="503">
        <f t="shared" si="116"/>
        <v>0</v>
      </c>
      <c r="BY88" s="503">
        <f t="shared" si="116"/>
        <v>0</v>
      </c>
      <c r="BZ88" s="503">
        <f t="shared" si="116"/>
        <v>0</v>
      </c>
      <c r="CA88" s="503">
        <f t="shared" si="116"/>
        <v>0</v>
      </c>
      <c r="CB88" s="503">
        <f t="shared" si="116"/>
        <v>0</v>
      </c>
      <c r="CC88" s="511">
        <f t="shared" si="94"/>
        <v>0</v>
      </c>
      <c r="CD88" s="511">
        <f t="shared" si="146"/>
        <v>0</v>
      </c>
      <c r="CE88" s="511">
        <f t="shared" si="146"/>
        <v>0</v>
      </c>
      <c r="CF88" s="511">
        <f t="shared" si="146"/>
        <v>0</v>
      </c>
      <c r="CG88" s="511">
        <f t="shared" si="146"/>
        <v>0</v>
      </c>
      <c r="CH88" s="511">
        <f t="shared" si="146"/>
        <v>0</v>
      </c>
      <c r="CI88" s="511">
        <f t="shared" si="146"/>
        <v>0</v>
      </c>
      <c r="CJ88" s="511">
        <f t="shared" si="96"/>
        <v>0</v>
      </c>
      <c r="CK88" s="511">
        <f t="shared" si="147"/>
        <v>0</v>
      </c>
      <c r="CL88" s="511">
        <f t="shared" si="147"/>
        <v>0</v>
      </c>
      <c r="CM88" s="511">
        <f t="shared" si="147"/>
        <v>0</v>
      </c>
      <c r="CN88" s="511">
        <f t="shared" si="147"/>
        <v>0</v>
      </c>
      <c r="CO88" s="511">
        <f t="shared" si="147"/>
        <v>0</v>
      </c>
      <c r="CP88" s="511">
        <f t="shared" si="147"/>
        <v>0</v>
      </c>
      <c r="CQ88" s="511">
        <f t="shared" si="98"/>
        <v>51.527082012037667</v>
      </c>
      <c r="CR88" s="511">
        <f t="shared" si="148"/>
        <v>51.527082012037667</v>
      </c>
      <c r="CS88" s="511">
        <f t="shared" si="148"/>
        <v>51.527082012037667</v>
      </c>
      <c r="CT88" s="511">
        <f t="shared" si="148"/>
        <v>51.527082012037667</v>
      </c>
      <c r="CU88" s="511">
        <f t="shared" si="148"/>
        <v>51.527082012037667</v>
      </c>
      <c r="CV88" s="511">
        <f t="shared" si="148"/>
        <v>51.527082012037667</v>
      </c>
      <c r="CW88" s="511">
        <f t="shared" si="148"/>
        <v>51.527082012037667</v>
      </c>
      <c r="CX88" s="508">
        <f t="shared" si="136"/>
        <v>0</v>
      </c>
      <c r="CY88" s="508">
        <f t="shared" si="136"/>
        <v>0</v>
      </c>
      <c r="CZ88" s="508">
        <f t="shared" si="136"/>
        <v>0</v>
      </c>
      <c r="DA88" s="508">
        <f t="shared" si="136"/>
        <v>0</v>
      </c>
      <c r="DB88" s="508">
        <f t="shared" si="136"/>
        <v>0</v>
      </c>
      <c r="DC88" s="508">
        <f t="shared" si="136"/>
        <v>0</v>
      </c>
      <c r="DD88" s="508">
        <f t="shared" si="136"/>
        <v>0</v>
      </c>
      <c r="DE88" s="508">
        <f t="shared" si="137"/>
        <v>0</v>
      </c>
      <c r="DF88" s="508">
        <f t="shared" si="137"/>
        <v>0</v>
      </c>
      <c r="DG88" s="508">
        <f t="shared" si="137"/>
        <v>0</v>
      </c>
      <c r="DH88" s="508">
        <f t="shared" si="137"/>
        <v>0</v>
      </c>
      <c r="DI88" s="508">
        <f t="shared" si="137"/>
        <v>0</v>
      </c>
      <c r="DJ88" s="508">
        <f t="shared" si="137"/>
        <v>0</v>
      </c>
      <c r="DK88" s="508">
        <f t="shared" si="137"/>
        <v>0</v>
      </c>
      <c r="DL88" s="508">
        <f t="shared" si="138"/>
        <v>0</v>
      </c>
      <c r="DM88" s="508">
        <f t="shared" si="138"/>
        <v>0</v>
      </c>
      <c r="DN88" s="508">
        <f t="shared" si="138"/>
        <v>0</v>
      </c>
      <c r="DO88" s="508">
        <f t="shared" si="138"/>
        <v>0</v>
      </c>
      <c r="DP88" s="508">
        <f t="shared" si="138"/>
        <v>0</v>
      </c>
      <c r="DQ88" s="508">
        <f t="shared" si="138"/>
        <v>0</v>
      </c>
      <c r="DR88" s="508">
        <f t="shared" si="138"/>
        <v>0</v>
      </c>
      <c r="DS88" s="508">
        <f t="shared" si="117"/>
        <v>0</v>
      </c>
      <c r="DT88" s="508">
        <f t="shared" si="117"/>
        <v>0</v>
      </c>
      <c r="DU88" s="508">
        <f t="shared" si="117"/>
        <v>0</v>
      </c>
      <c r="DV88" s="508">
        <f t="shared" si="117"/>
        <v>0</v>
      </c>
      <c r="DW88" s="508">
        <f t="shared" si="117"/>
        <v>0</v>
      </c>
      <c r="DX88" s="508">
        <f t="shared" si="117"/>
        <v>0</v>
      </c>
      <c r="DY88" s="508">
        <f t="shared" si="117"/>
        <v>0</v>
      </c>
      <c r="DZ88" s="511">
        <f t="shared" si="139"/>
        <v>0</v>
      </c>
      <c r="EA88" s="511">
        <f t="shared" si="139"/>
        <v>0</v>
      </c>
      <c r="EB88" s="511">
        <f t="shared" si="139"/>
        <v>0</v>
      </c>
      <c r="EC88" s="511">
        <f t="shared" si="139"/>
        <v>0</v>
      </c>
      <c r="ED88" s="511">
        <f t="shared" si="139"/>
        <v>0</v>
      </c>
      <c r="EE88" s="511">
        <f t="shared" si="139"/>
        <v>0</v>
      </c>
      <c r="EF88" s="511">
        <f t="shared" si="139"/>
        <v>0</v>
      </c>
      <c r="EG88" s="511">
        <f t="shared" si="140"/>
        <v>0</v>
      </c>
      <c r="EH88" s="511">
        <f t="shared" si="140"/>
        <v>0</v>
      </c>
      <c r="EI88" s="511">
        <f t="shared" si="140"/>
        <v>0</v>
      </c>
      <c r="EJ88" s="511">
        <f t="shared" si="140"/>
        <v>0</v>
      </c>
      <c r="EK88" s="511">
        <f t="shared" si="140"/>
        <v>0</v>
      </c>
      <c r="EL88" s="511">
        <f t="shared" si="140"/>
        <v>0</v>
      </c>
      <c r="EM88" s="511">
        <f t="shared" si="140"/>
        <v>0</v>
      </c>
      <c r="EN88" s="511">
        <f t="shared" si="141"/>
        <v>0</v>
      </c>
      <c r="EO88" s="511">
        <f t="shared" si="141"/>
        <v>0</v>
      </c>
      <c r="EP88" s="511">
        <f t="shared" si="141"/>
        <v>0</v>
      </c>
      <c r="EQ88" s="511">
        <f t="shared" si="141"/>
        <v>0</v>
      </c>
      <c r="ER88" s="511">
        <f t="shared" si="141"/>
        <v>0</v>
      </c>
      <c r="ES88" s="511">
        <f t="shared" si="141"/>
        <v>0</v>
      </c>
      <c r="ET88" s="511">
        <f t="shared" si="141"/>
        <v>0</v>
      </c>
      <c r="EU88" s="777">
        <f t="shared" si="118"/>
        <v>0</v>
      </c>
      <c r="EV88" s="728">
        <f t="shared" si="108"/>
        <v>0</v>
      </c>
      <c r="EW88" s="728">
        <f t="shared" si="109"/>
        <v>0</v>
      </c>
      <c r="EX88" s="728">
        <f t="shared" si="110"/>
        <v>0</v>
      </c>
      <c r="EY88" s="728">
        <f t="shared" si="111"/>
        <v>0</v>
      </c>
      <c r="EZ88" s="777">
        <f t="shared" si="112"/>
        <v>0</v>
      </c>
      <c r="FA88" s="777">
        <f t="shared" si="113"/>
        <v>0</v>
      </c>
      <c r="FB88" s="778">
        <f t="shared" si="114"/>
        <v>0</v>
      </c>
    </row>
    <row r="89" spans="1:158" s="10" customFormat="1" ht="12.75" hidden="1" customHeight="1">
      <c r="A89" s="662" t="s">
        <v>219</v>
      </c>
      <c r="B89" s="789" t="s">
        <v>2183</v>
      </c>
      <c r="C89" s="662" t="s">
        <v>2123</v>
      </c>
      <c r="D89" s="715" t="s">
        <v>2124</v>
      </c>
      <c r="E89" s="662" t="s">
        <v>331</v>
      </c>
      <c r="F89" s="704" t="s">
        <v>402</v>
      </c>
      <c r="G89" s="707">
        <f t="shared" si="142"/>
        <v>1422.8273999999999</v>
      </c>
      <c r="H89" s="707">
        <f t="shared" si="142"/>
        <v>0</v>
      </c>
      <c r="I89" s="707">
        <f t="shared" si="142"/>
        <v>1422.8273999999999</v>
      </c>
      <c r="J89" s="707">
        <f t="shared" si="142"/>
        <v>0</v>
      </c>
      <c r="K89" s="707">
        <f t="shared" si="142"/>
        <v>711.41369999999995</v>
      </c>
      <c r="L89" s="1263" t="str">
        <f t="shared" si="142"/>
        <v>RS Means 2009</v>
      </c>
      <c r="M89" s="707" t="str">
        <f t="shared" si="142"/>
        <v>NA</v>
      </c>
      <c r="N89" s="707">
        <f t="shared" si="142"/>
        <v>300</v>
      </c>
      <c r="O89" s="707">
        <f t="shared" si="142"/>
        <v>0</v>
      </c>
      <c r="P89" s="707">
        <f t="shared" si="142"/>
        <v>0</v>
      </c>
      <c r="Q89" s="1022">
        <f>O223</f>
        <v>325.90272303728102</v>
      </c>
      <c r="R89" s="872">
        <v>0.1160707319801524</v>
      </c>
      <c r="S89" s="1022">
        <f>Q223</f>
        <v>0</v>
      </c>
      <c r="T89" s="711" t="str">
        <f t="shared" si="115"/>
        <v>Potential Study Results: Engineering Calculation</v>
      </c>
      <c r="U89" s="712"/>
      <c r="V89" s="1124">
        <f t="shared" si="83"/>
        <v>7.6172339919066889E-3</v>
      </c>
      <c r="W89" s="790"/>
      <c r="X89" s="790"/>
      <c r="Y89" s="790"/>
      <c r="Z89" s="790"/>
      <c r="AA89" s="790"/>
      <c r="AB89" s="790"/>
      <c r="AC89" s="781">
        <f t="shared" ref="AC89:AG94" si="150">AC44*0.5</f>
        <v>10</v>
      </c>
      <c r="AD89" s="781">
        <f t="shared" si="150"/>
        <v>10</v>
      </c>
      <c r="AE89" s="781">
        <f t="shared" si="150"/>
        <v>10</v>
      </c>
      <c r="AF89" s="781">
        <f t="shared" si="150"/>
        <v>10</v>
      </c>
      <c r="AG89" s="781">
        <f t="shared" si="150"/>
        <v>10</v>
      </c>
      <c r="AH89" s="781">
        <f t="shared" si="143"/>
        <v>10</v>
      </c>
      <c r="AI89" s="781">
        <f t="shared" si="143"/>
        <v>10</v>
      </c>
      <c r="AJ89" s="711" t="s">
        <v>374</v>
      </c>
      <c r="AK89" s="711" t="s">
        <v>375</v>
      </c>
      <c r="AL89" s="711" t="s">
        <v>376</v>
      </c>
      <c r="AM89" s="711" t="s">
        <v>2002</v>
      </c>
      <c r="AN89" s="711" t="s">
        <v>1</v>
      </c>
      <c r="AO89" s="711" t="s">
        <v>2126</v>
      </c>
      <c r="AP89" s="711" t="s">
        <v>2123</v>
      </c>
      <c r="AQ89" s="711" t="s">
        <v>2124</v>
      </c>
      <c r="AR89" s="715" t="s">
        <v>406</v>
      </c>
      <c r="AS89" s="715" t="s">
        <v>407</v>
      </c>
      <c r="AT89" s="715" t="s">
        <v>385</v>
      </c>
      <c r="AU89" s="711">
        <v>20</v>
      </c>
      <c r="AV89" s="711">
        <v>20</v>
      </c>
      <c r="AW89" s="711" t="s">
        <v>2127</v>
      </c>
      <c r="AX89" s="716">
        <v>1</v>
      </c>
      <c r="AY89" s="716">
        <v>1</v>
      </c>
      <c r="AZ89" s="716">
        <v>1</v>
      </c>
      <c r="BA89" s="499">
        <f t="shared" si="86"/>
        <v>1422.8273999999999</v>
      </c>
      <c r="BB89" s="499">
        <f t="shared" si="144"/>
        <v>1422.8273999999999</v>
      </c>
      <c r="BC89" s="499">
        <f t="shared" si="144"/>
        <v>1422.8273999999999</v>
      </c>
      <c r="BD89" s="499">
        <f t="shared" si="144"/>
        <v>1422.8273999999999</v>
      </c>
      <c r="BE89" s="499">
        <f t="shared" si="88"/>
        <v>1422.8273999999999</v>
      </c>
      <c r="BF89" s="499">
        <f t="shared" si="88"/>
        <v>1422.8273999999999</v>
      </c>
      <c r="BG89" s="499">
        <f t="shared" si="88"/>
        <v>1422.8273999999999</v>
      </c>
      <c r="BH89" s="499">
        <f t="shared" si="89"/>
        <v>0</v>
      </c>
      <c r="BI89" s="499">
        <f t="shared" si="145"/>
        <v>0</v>
      </c>
      <c r="BJ89" s="499">
        <f t="shared" si="145"/>
        <v>0</v>
      </c>
      <c r="BK89" s="499">
        <f t="shared" si="145"/>
        <v>0</v>
      </c>
      <c r="BL89" s="499">
        <f t="shared" si="145"/>
        <v>0</v>
      </c>
      <c r="BM89" s="499">
        <f t="shared" si="145"/>
        <v>0</v>
      </c>
      <c r="BN89" s="499">
        <f t="shared" si="145"/>
        <v>0</v>
      </c>
      <c r="BO89" s="499">
        <f t="shared" si="91"/>
        <v>300</v>
      </c>
      <c r="BP89" s="499">
        <f t="shared" si="149"/>
        <v>300</v>
      </c>
      <c r="BQ89" s="499">
        <f t="shared" si="149"/>
        <v>300</v>
      </c>
      <c r="BR89" s="499">
        <f t="shared" si="149"/>
        <v>300</v>
      </c>
      <c r="BS89" s="499">
        <f t="shared" si="149"/>
        <v>300</v>
      </c>
      <c r="BT89" s="499">
        <f t="shared" si="149"/>
        <v>300</v>
      </c>
      <c r="BU89" s="499">
        <f t="shared" si="149"/>
        <v>300</v>
      </c>
      <c r="BV89" s="503">
        <f t="shared" si="116"/>
        <v>0</v>
      </c>
      <c r="BW89" s="503">
        <f t="shared" si="116"/>
        <v>0</v>
      </c>
      <c r="BX89" s="503">
        <f t="shared" si="116"/>
        <v>0</v>
      </c>
      <c r="BY89" s="503">
        <f t="shared" si="116"/>
        <v>0</v>
      </c>
      <c r="BZ89" s="503">
        <f t="shared" si="116"/>
        <v>0</v>
      </c>
      <c r="CA89" s="503">
        <f t="shared" si="116"/>
        <v>0</v>
      </c>
      <c r="CB89" s="503">
        <f t="shared" si="116"/>
        <v>0</v>
      </c>
      <c r="CC89" s="511">
        <f t="shared" si="94"/>
        <v>325.90272303728102</v>
      </c>
      <c r="CD89" s="511">
        <f t="shared" si="146"/>
        <v>325.90272303728102</v>
      </c>
      <c r="CE89" s="511">
        <f t="shared" si="146"/>
        <v>325.90272303728102</v>
      </c>
      <c r="CF89" s="511">
        <f t="shared" si="146"/>
        <v>325.90272303728102</v>
      </c>
      <c r="CG89" s="511">
        <f t="shared" si="146"/>
        <v>325.90272303728102</v>
      </c>
      <c r="CH89" s="511">
        <f t="shared" si="146"/>
        <v>325.90272303728102</v>
      </c>
      <c r="CI89" s="511">
        <f t="shared" si="146"/>
        <v>325.90272303728102</v>
      </c>
      <c r="CJ89" s="511">
        <f t="shared" si="96"/>
        <v>0.1160707319801524</v>
      </c>
      <c r="CK89" s="511">
        <f t="shared" si="147"/>
        <v>0.1160707319801524</v>
      </c>
      <c r="CL89" s="511">
        <f t="shared" si="147"/>
        <v>0.1160707319801524</v>
      </c>
      <c r="CM89" s="511">
        <f t="shared" si="147"/>
        <v>0.1160707319801524</v>
      </c>
      <c r="CN89" s="511">
        <f t="shared" si="147"/>
        <v>0.1160707319801524</v>
      </c>
      <c r="CO89" s="511">
        <f t="shared" si="147"/>
        <v>0.1160707319801524</v>
      </c>
      <c r="CP89" s="511">
        <f t="shared" si="147"/>
        <v>0.1160707319801524</v>
      </c>
      <c r="CQ89" s="511">
        <f t="shared" si="98"/>
        <v>0</v>
      </c>
      <c r="CR89" s="511">
        <f t="shared" si="148"/>
        <v>0</v>
      </c>
      <c r="CS89" s="511">
        <f t="shared" si="148"/>
        <v>0</v>
      </c>
      <c r="CT89" s="511">
        <f t="shared" si="148"/>
        <v>0</v>
      </c>
      <c r="CU89" s="511">
        <f t="shared" si="148"/>
        <v>0</v>
      </c>
      <c r="CV89" s="511">
        <f t="shared" si="148"/>
        <v>0</v>
      </c>
      <c r="CW89" s="511">
        <f t="shared" si="148"/>
        <v>0</v>
      </c>
      <c r="CX89" s="508">
        <f t="shared" si="136"/>
        <v>14228.273999999999</v>
      </c>
      <c r="CY89" s="508">
        <f t="shared" si="136"/>
        <v>14228.273999999999</v>
      </c>
      <c r="CZ89" s="508">
        <f t="shared" si="136"/>
        <v>14228.273999999999</v>
      </c>
      <c r="DA89" s="508">
        <f t="shared" si="136"/>
        <v>14228.273999999999</v>
      </c>
      <c r="DB89" s="508">
        <f t="shared" si="136"/>
        <v>14228.273999999999</v>
      </c>
      <c r="DC89" s="508">
        <f t="shared" si="136"/>
        <v>14228.273999999999</v>
      </c>
      <c r="DD89" s="508">
        <f t="shared" si="136"/>
        <v>14228.273999999999</v>
      </c>
      <c r="DE89" s="508">
        <f t="shared" si="137"/>
        <v>0</v>
      </c>
      <c r="DF89" s="508">
        <f t="shared" si="137"/>
        <v>0</v>
      </c>
      <c r="DG89" s="508">
        <f t="shared" si="137"/>
        <v>0</v>
      </c>
      <c r="DH89" s="508">
        <f t="shared" si="137"/>
        <v>0</v>
      </c>
      <c r="DI89" s="508">
        <f t="shared" si="137"/>
        <v>0</v>
      </c>
      <c r="DJ89" s="508">
        <f t="shared" si="137"/>
        <v>0</v>
      </c>
      <c r="DK89" s="508">
        <f t="shared" si="137"/>
        <v>0</v>
      </c>
      <c r="DL89" s="508">
        <f t="shared" si="138"/>
        <v>3000</v>
      </c>
      <c r="DM89" s="508">
        <f t="shared" si="138"/>
        <v>3000</v>
      </c>
      <c r="DN89" s="508">
        <f t="shared" si="138"/>
        <v>3000</v>
      </c>
      <c r="DO89" s="508">
        <f t="shared" si="138"/>
        <v>3000</v>
      </c>
      <c r="DP89" s="508">
        <f t="shared" si="138"/>
        <v>3000</v>
      </c>
      <c r="DQ89" s="508">
        <f t="shared" si="138"/>
        <v>3000</v>
      </c>
      <c r="DR89" s="508">
        <f t="shared" si="138"/>
        <v>3000</v>
      </c>
      <c r="DS89" s="508">
        <f t="shared" si="117"/>
        <v>0</v>
      </c>
      <c r="DT89" s="508">
        <f t="shared" si="117"/>
        <v>0</v>
      </c>
      <c r="DU89" s="508">
        <f t="shared" si="117"/>
        <v>0</v>
      </c>
      <c r="DV89" s="508">
        <f t="shared" si="117"/>
        <v>0</v>
      </c>
      <c r="DW89" s="508">
        <f t="shared" si="117"/>
        <v>0</v>
      </c>
      <c r="DX89" s="508">
        <f t="shared" si="117"/>
        <v>0</v>
      </c>
      <c r="DY89" s="508">
        <f t="shared" si="117"/>
        <v>0</v>
      </c>
      <c r="DZ89" s="511">
        <f t="shared" si="139"/>
        <v>3259.0272303728102</v>
      </c>
      <c r="EA89" s="511">
        <f t="shared" si="139"/>
        <v>3259.0272303728102</v>
      </c>
      <c r="EB89" s="511">
        <f t="shared" si="139"/>
        <v>3259.0272303728102</v>
      </c>
      <c r="EC89" s="511">
        <f t="shared" si="139"/>
        <v>3259.0272303728102</v>
      </c>
      <c r="ED89" s="511">
        <f t="shared" si="139"/>
        <v>3259.0272303728102</v>
      </c>
      <c r="EE89" s="511">
        <f t="shared" si="139"/>
        <v>3259.0272303728102</v>
      </c>
      <c r="EF89" s="511">
        <f t="shared" si="139"/>
        <v>3259.0272303728102</v>
      </c>
      <c r="EG89" s="511">
        <f t="shared" si="140"/>
        <v>1.1607073198015241</v>
      </c>
      <c r="EH89" s="511">
        <f t="shared" si="140"/>
        <v>1.1607073198015241</v>
      </c>
      <c r="EI89" s="511">
        <f t="shared" si="140"/>
        <v>1.1607073198015241</v>
      </c>
      <c r="EJ89" s="511">
        <f t="shared" si="140"/>
        <v>1.1607073198015241</v>
      </c>
      <c r="EK89" s="511">
        <f t="shared" si="140"/>
        <v>1.1607073198015241</v>
      </c>
      <c r="EL89" s="511">
        <f t="shared" si="140"/>
        <v>1.1607073198015241</v>
      </c>
      <c r="EM89" s="511">
        <f t="shared" si="140"/>
        <v>1.1607073198015241</v>
      </c>
      <c r="EN89" s="511">
        <f t="shared" si="141"/>
        <v>0</v>
      </c>
      <c r="EO89" s="511">
        <f t="shared" si="141"/>
        <v>0</v>
      </c>
      <c r="EP89" s="511">
        <f t="shared" si="141"/>
        <v>0</v>
      </c>
      <c r="EQ89" s="511">
        <f t="shared" si="141"/>
        <v>0</v>
      </c>
      <c r="ER89" s="511">
        <f t="shared" si="141"/>
        <v>0</v>
      </c>
      <c r="ES89" s="511">
        <f t="shared" si="141"/>
        <v>0</v>
      </c>
      <c r="ET89" s="511">
        <f t="shared" si="141"/>
        <v>0</v>
      </c>
      <c r="EU89" s="777">
        <f t="shared" si="118"/>
        <v>70</v>
      </c>
      <c r="EV89" s="728">
        <f t="shared" si="108"/>
        <v>99597.918000000005</v>
      </c>
      <c r="EW89" s="728">
        <f t="shared" si="109"/>
        <v>0</v>
      </c>
      <c r="EX89" s="728">
        <f t="shared" si="110"/>
        <v>21000</v>
      </c>
      <c r="EY89" s="728">
        <f t="shared" si="111"/>
        <v>0</v>
      </c>
      <c r="EZ89" s="777">
        <f t="shared" si="112"/>
        <v>22813.190612609669</v>
      </c>
      <c r="FA89" s="777">
        <f t="shared" si="113"/>
        <v>8.1249512386106684</v>
      </c>
      <c r="FB89" s="778">
        <f t="shared" si="114"/>
        <v>0</v>
      </c>
    </row>
    <row r="90" spans="1:158" s="10" customFormat="1" ht="12.75" hidden="1" customHeight="1">
      <c r="A90" s="662" t="s">
        <v>220</v>
      </c>
      <c r="B90" s="789" t="s">
        <v>2184</v>
      </c>
      <c r="C90" s="662" t="s">
        <v>2128</v>
      </c>
      <c r="D90" s="715" t="s">
        <v>2129</v>
      </c>
      <c r="E90" s="662" t="s">
        <v>331</v>
      </c>
      <c r="F90" s="704" t="s">
        <v>402</v>
      </c>
      <c r="G90" s="707">
        <f t="shared" si="142"/>
        <v>1162</v>
      </c>
      <c r="H90" s="707">
        <f t="shared" si="142"/>
        <v>0</v>
      </c>
      <c r="I90" s="707">
        <f t="shared" si="142"/>
        <v>1162</v>
      </c>
      <c r="J90" s="707">
        <f t="shared" si="142"/>
        <v>0</v>
      </c>
      <c r="K90" s="707">
        <f t="shared" si="142"/>
        <v>581</v>
      </c>
      <c r="L90" s="1263" t="str">
        <f t="shared" si="142"/>
        <v>2010 - ETO - Residential Duct Insulation</v>
      </c>
      <c r="M90" s="707" t="str">
        <f t="shared" si="142"/>
        <v>NA</v>
      </c>
      <c r="N90" s="707">
        <f t="shared" si="142"/>
        <v>300</v>
      </c>
      <c r="O90" s="707">
        <f t="shared" si="142"/>
        <v>0</v>
      </c>
      <c r="P90" s="707">
        <f t="shared" si="142"/>
        <v>0</v>
      </c>
      <c r="Q90" s="1022">
        <f t="shared" ref="Q90:Q92" si="151">O224</f>
        <v>783.65817251594262</v>
      </c>
      <c r="R90" s="872">
        <v>0.58505406251679737</v>
      </c>
      <c r="S90" s="1022">
        <f t="shared" ref="S90:S92" si="152">Q224</f>
        <v>0</v>
      </c>
      <c r="T90" s="711" t="str">
        <f t="shared" si="115"/>
        <v>Potential Study Results: NAIMA Duct Insulation 2001 &amp; 2013 - EnergyStar - QI Fact Sheet</v>
      </c>
      <c r="U90" s="712"/>
      <c r="V90" s="1124">
        <f t="shared" si="83"/>
        <v>3.6895977148298023E-3</v>
      </c>
      <c r="W90" s="790"/>
      <c r="X90" s="790"/>
      <c r="Y90" s="790"/>
      <c r="Z90" s="790"/>
      <c r="AA90" s="790"/>
      <c r="AB90" s="790"/>
      <c r="AC90" s="781">
        <f t="shared" si="150"/>
        <v>5</v>
      </c>
      <c r="AD90" s="781">
        <f t="shared" si="150"/>
        <v>5</v>
      </c>
      <c r="AE90" s="781">
        <f t="shared" si="150"/>
        <v>5</v>
      </c>
      <c r="AF90" s="781">
        <f t="shared" si="150"/>
        <v>5</v>
      </c>
      <c r="AG90" s="781">
        <f t="shared" si="150"/>
        <v>5</v>
      </c>
      <c r="AH90" s="781">
        <f t="shared" si="143"/>
        <v>5</v>
      </c>
      <c r="AI90" s="781">
        <f t="shared" si="143"/>
        <v>5</v>
      </c>
      <c r="AJ90" s="711" t="s">
        <v>374</v>
      </c>
      <c r="AK90" s="711" t="s">
        <v>375</v>
      </c>
      <c r="AL90" s="711" t="s">
        <v>376</v>
      </c>
      <c r="AM90" s="711" t="s">
        <v>2002</v>
      </c>
      <c r="AN90" s="711" t="s">
        <v>1</v>
      </c>
      <c r="AO90" s="711" t="s">
        <v>2132</v>
      </c>
      <c r="AP90" s="711" t="s">
        <v>2128</v>
      </c>
      <c r="AQ90" s="711" t="s">
        <v>2129</v>
      </c>
      <c r="AR90" s="715" t="s">
        <v>406</v>
      </c>
      <c r="AS90" s="715" t="s">
        <v>407</v>
      </c>
      <c r="AT90" s="715" t="s">
        <v>385</v>
      </c>
      <c r="AU90" s="711">
        <v>18</v>
      </c>
      <c r="AV90" s="711">
        <v>18</v>
      </c>
      <c r="AW90" s="711" t="s">
        <v>2130</v>
      </c>
      <c r="AX90" s="716">
        <v>1</v>
      </c>
      <c r="AY90" s="716">
        <v>1</v>
      </c>
      <c r="AZ90" s="716">
        <v>1</v>
      </c>
      <c r="BA90" s="499">
        <f t="shared" si="86"/>
        <v>1162</v>
      </c>
      <c r="BB90" s="499">
        <f t="shared" si="144"/>
        <v>1162</v>
      </c>
      <c r="BC90" s="499">
        <f t="shared" si="144"/>
        <v>1162</v>
      </c>
      <c r="BD90" s="499">
        <f t="shared" si="144"/>
        <v>1162</v>
      </c>
      <c r="BE90" s="499">
        <f t="shared" si="88"/>
        <v>1162</v>
      </c>
      <c r="BF90" s="499">
        <f t="shared" si="88"/>
        <v>1162</v>
      </c>
      <c r="BG90" s="499">
        <f t="shared" si="88"/>
        <v>1162</v>
      </c>
      <c r="BH90" s="499">
        <f t="shared" si="89"/>
        <v>0</v>
      </c>
      <c r="BI90" s="499">
        <f t="shared" si="145"/>
        <v>0</v>
      </c>
      <c r="BJ90" s="499">
        <f t="shared" si="145"/>
        <v>0</v>
      </c>
      <c r="BK90" s="499">
        <f t="shared" si="145"/>
        <v>0</v>
      </c>
      <c r="BL90" s="499">
        <f t="shared" si="145"/>
        <v>0</v>
      </c>
      <c r="BM90" s="499">
        <f t="shared" si="145"/>
        <v>0</v>
      </c>
      <c r="BN90" s="499">
        <f t="shared" si="145"/>
        <v>0</v>
      </c>
      <c r="BO90" s="499">
        <f t="shared" si="91"/>
        <v>300</v>
      </c>
      <c r="BP90" s="499">
        <f t="shared" si="149"/>
        <v>300</v>
      </c>
      <c r="BQ90" s="499">
        <f t="shared" si="149"/>
        <v>300</v>
      </c>
      <c r="BR90" s="499">
        <f t="shared" si="149"/>
        <v>300</v>
      </c>
      <c r="BS90" s="499">
        <f t="shared" si="149"/>
        <v>300</v>
      </c>
      <c r="BT90" s="499">
        <f t="shared" si="149"/>
        <v>300</v>
      </c>
      <c r="BU90" s="499">
        <f t="shared" si="149"/>
        <v>300</v>
      </c>
      <c r="BV90" s="503">
        <f t="shared" si="116"/>
        <v>0</v>
      </c>
      <c r="BW90" s="503">
        <f t="shared" si="116"/>
        <v>0</v>
      </c>
      <c r="BX90" s="503">
        <f t="shared" si="116"/>
        <v>0</v>
      </c>
      <c r="BY90" s="503">
        <f t="shared" si="116"/>
        <v>0</v>
      </c>
      <c r="BZ90" s="503">
        <f t="shared" si="116"/>
        <v>0</v>
      </c>
      <c r="CA90" s="503">
        <f t="shared" si="116"/>
        <v>0</v>
      </c>
      <c r="CB90" s="503">
        <f t="shared" si="116"/>
        <v>0</v>
      </c>
      <c r="CC90" s="511">
        <f t="shared" si="94"/>
        <v>783.65817251594262</v>
      </c>
      <c r="CD90" s="511">
        <f t="shared" si="146"/>
        <v>783.65817251594262</v>
      </c>
      <c r="CE90" s="511">
        <f t="shared" si="146"/>
        <v>783.65817251594262</v>
      </c>
      <c r="CF90" s="511">
        <f t="shared" si="146"/>
        <v>783.65817251594262</v>
      </c>
      <c r="CG90" s="511">
        <f t="shared" si="146"/>
        <v>783.65817251594262</v>
      </c>
      <c r="CH90" s="511">
        <f t="shared" si="146"/>
        <v>783.65817251594262</v>
      </c>
      <c r="CI90" s="511">
        <f t="shared" si="146"/>
        <v>783.65817251594262</v>
      </c>
      <c r="CJ90" s="511">
        <f t="shared" si="96"/>
        <v>0.58505406251679737</v>
      </c>
      <c r="CK90" s="511">
        <f t="shared" si="147"/>
        <v>0.58505406251679737</v>
      </c>
      <c r="CL90" s="511">
        <f t="shared" si="147"/>
        <v>0.58505406251679737</v>
      </c>
      <c r="CM90" s="511">
        <f t="shared" si="147"/>
        <v>0.58505406251679737</v>
      </c>
      <c r="CN90" s="511">
        <f t="shared" si="147"/>
        <v>0.58505406251679737</v>
      </c>
      <c r="CO90" s="511">
        <f t="shared" si="147"/>
        <v>0.58505406251679737</v>
      </c>
      <c r="CP90" s="511">
        <f t="shared" si="147"/>
        <v>0.58505406251679737</v>
      </c>
      <c r="CQ90" s="511">
        <f t="shared" si="98"/>
        <v>0</v>
      </c>
      <c r="CR90" s="511">
        <f t="shared" si="148"/>
        <v>0</v>
      </c>
      <c r="CS90" s="511">
        <f t="shared" si="148"/>
        <v>0</v>
      </c>
      <c r="CT90" s="511">
        <f t="shared" si="148"/>
        <v>0</v>
      </c>
      <c r="CU90" s="511">
        <f t="shared" si="148"/>
        <v>0</v>
      </c>
      <c r="CV90" s="511">
        <f t="shared" si="148"/>
        <v>0</v>
      </c>
      <c r="CW90" s="511">
        <f t="shared" si="148"/>
        <v>0</v>
      </c>
      <c r="CX90" s="508">
        <f t="shared" si="136"/>
        <v>5810</v>
      </c>
      <c r="CY90" s="508">
        <f t="shared" si="136"/>
        <v>5810</v>
      </c>
      <c r="CZ90" s="508">
        <f t="shared" si="136"/>
        <v>5810</v>
      </c>
      <c r="DA90" s="508">
        <f t="shared" si="136"/>
        <v>5810</v>
      </c>
      <c r="DB90" s="508">
        <f t="shared" si="136"/>
        <v>5810</v>
      </c>
      <c r="DC90" s="508">
        <f t="shared" si="136"/>
        <v>5810</v>
      </c>
      <c r="DD90" s="508">
        <f t="shared" si="136"/>
        <v>5810</v>
      </c>
      <c r="DE90" s="508">
        <f t="shared" si="137"/>
        <v>0</v>
      </c>
      <c r="DF90" s="508">
        <f t="shared" si="137"/>
        <v>0</v>
      </c>
      <c r="DG90" s="508">
        <f t="shared" si="137"/>
        <v>0</v>
      </c>
      <c r="DH90" s="508">
        <f t="shared" si="137"/>
        <v>0</v>
      </c>
      <c r="DI90" s="508">
        <f t="shared" si="137"/>
        <v>0</v>
      </c>
      <c r="DJ90" s="508">
        <f t="shared" si="137"/>
        <v>0</v>
      </c>
      <c r="DK90" s="508">
        <f t="shared" si="137"/>
        <v>0</v>
      </c>
      <c r="DL90" s="508">
        <f t="shared" si="138"/>
        <v>1500</v>
      </c>
      <c r="DM90" s="508">
        <f t="shared" si="138"/>
        <v>1500</v>
      </c>
      <c r="DN90" s="508">
        <f t="shared" si="138"/>
        <v>1500</v>
      </c>
      <c r="DO90" s="508">
        <f t="shared" si="138"/>
        <v>1500</v>
      </c>
      <c r="DP90" s="508">
        <f t="shared" si="138"/>
        <v>1500</v>
      </c>
      <c r="DQ90" s="508">
        <f t="shared" si="138"/>
        <v>1500</v>
      </c>
      <c r="DR90" s="508">
        <f t="shared" si="138"/>
        <v>1500</v>
      </c>
      <c r="DS90" s="508">
        <f t="shared" si="117"/>
        <v>0</v>
      </c>
      <c r="DT90" s="508">
        <f t="shared" si="117"/>
        <v>0</v>
      </c>
      <c r="DU90" s="508">
        <f t="shared" si="117"/>
        <v>0</v>
      </c>
      <c r="DV90" s="508">
        <f t="shared" si="117"/>
        <v>0</v>
      </c>
      <c r="DW90" s="508">
        <f t="shared" si="117"/>
        <v>0</v>
      </c>
      <c r="DX90" s="508">
        <f t="shared" si="117"/>
        <v>0</v>
      </c>
      <c r="DY90" s="508">
        <f t="shared" si="117"/>
        <v>0</v>
      </c>
      <c r="DZ90" s="511">
        <f t="shared" si="139"/>
        <v>3918.2908625797131</v>
      </c>
      <c r="EA90" s="511">
        <f t="shared" si="139"/>
        <v>3918.2908625797131</v>
      </c>
      <c r="EB90" s="511">
        <f t="shared" si="139"/>
        <v>3918.2908625797131</v>
      </c>
      <c r="EC90" s="511">
        <f t="shared" si="139"/>
        <v>3918.2908625797131</v>
      </c>
      <c r="ED90" s="511">
        <f t="shared" si="139"/>
        <v>3918.2908625797131</v>
      </c>
      <c r="EE90" s="511">
        <f t="shared" si="139"/>
        <v>3918.2908625797131</v>
      </c>
      <c r="EF90" s="511">
        <f t="shared" si="139"/>
        <v>3918.2908625797131</v>
      </c>
      <c r="EG90" s="511">
        <f t="shared" si="140"/>
        <v>2.925270312583987</v>
      </c>
      <c r="EH90" s="511">
        <f t="shared" si="140"/>
        <v>2.925270312583987</v>
      </c>
      <c r="EI90" s="511">
        <f t="shared" si="140"/>
        <v>2.925270312583987</v>
      </c>
      <c r="EJ90" s="511">
        <f t="shared" si="140"/>
        <v>2.925270312583987</v>
      </c>
      <c r="EK90" s="511">
        <f t="shared" si="140"/>
        <v>2.925270312583987</v>
      </c>
      <c r="EL90" s="511">
        <f t="shared" si="140"/>
        <v>2.925270312583987</v>
      </c>
      <c r="EM90" s="511">
        <f t="shared" si="140"/>
        <v>2.925270312583987</v>
      </c>
      <c r="EN90" s="511">
        <f t="shared" si="141"/>
        <v>0</v>
      </c>
      <c r="EO90" s="511">
        <f t="shared" si="141"/>
        <v>0</v>
      </c>
      <c r="EP90" s="511">
        <f t="shared" si="141"/>
        <v>0</v>
      </c>
      <c r="EQ90" s="511">
        <f t="shared" si="141"/>
        <v>0</v>
      </c>
      <c r="ER90" s="511">
        <f t="shared" si="141"/>
        <v>0</v>
      </c>
      <c r="ES90" s="511">
        <f t="shared" si="141"/>
        <v>0</v>
      </c>
      <c r="ET90" s="511">
        <f t="shared" si="141"/>
        <v>0</v>
      </c>
      <c r="EU90" s="777">
        <f t="shared" si="118"/>
        <v>35</v>
      </c>
      <c r="EV90" s="728">
        <f t="shared" si="108"/>
        <v>40670</v>
      </c>
      <c r="EW90" s="728">
        <f t="shared" si="109"/>
        <v>0</v>
      </c>
      <c r="EX90" s="728">
        <f t="shared" si="110"/>
        <v>10500</v>
      </c>
      <c r="EY90" s="728">
        <f t="shared" si="111"/>
        <v>0</v>
      </c>
      <c r="EZ90" s="777">
        <f t="shared" si="112"/>
        <v>27428.036038057991</v>
      </c>
      <c r="FA90" s="777">
        <f t="shared" si="113"/>
        <v>20.476892188087909</v>
      </c>
      <c r="FB90" s="778">
        <f t="shared" si="114"/>
        <v>0</v>
      </c>
    </row>
    <row r="91" spans="1:158" s="10" customFormat="1" ht="12.75" hidden="1" customHeight="1">
      <c r="A91" s="662" t="s">
        <v>221</v>
      </c>
      <c r="B91" s="789" t="s">
        <v>2185</v>
      </c>
      <c r="C91" s="662" t="s">
        <v>2133</v>
      </c>
      <c r="D91" s="715" t="s">
        <v>2134</v>
      </c>
      <c r="E91" s="662" t="s">
        <v>331</v>
      </c>
      <c r="F91" s="704" t="s">
        <v>402</v>
      </c>
      <c r="G91" s="707">
        <f t="shared" si="142"/>
        <v>320.4744</v>
      </c>
      <c r="H91" s="707">
        <f t="shared" si="142"/>
        <v>0</v>
      </c>
      <c r="I91" s="707">
        <f t="shared" si="142"/>
        <v>320.4744</v>
      </c>
      <c r="J91" s="707">
        <f t="shared" si="142"/>
        <v>0</v>
      </c>
      <c r="K91" s="707">
        <f t="shared" si="142"/>
        <v>160.2372</v>
      </c>
      <c r="L91" s="1263" t="str">
        <f t="shared" si="142"/>
        <v>RSMeans</v>
      </c>
      <c r="M91" s="707" t="str">
        <f t="shared" si="142"/>
        <v>NA</v>
      </c>
      <c r="N91" s="707">
        <f t="shared" si="142"/>
        <v>160</v>
      </c>
      <c r="O91" s="707">
        <f t="shared" si="142"/>
        <v>0</v>
      </c>
      <c r="P91" s="707">
        <f t="shared" si="142"/>
        <v>0</v>
      </c>
      <c r="Q91" s="1022">
        <f t="shared" si="151"/>
        <v>74.354487197747787</v>
      </c>
      <c r="R91" s="872">
        <v>4.0429413628181456E-2</v>
      </c>
      <c r="S91" s="1022">
        <f t="shared" si="152"/>
        <v>0</v>
      </c>
      <c r="T91" s="711" t="str">
        <f t="shared" si="115"/>
        <v>Potential Study Results: Cadmus analysis using building modeling to calculate measure percent savings</v>
      </c>
      <c r="U91" s="712"/>
      <c r="V91" s="1124">
        <f t="shared" si="83"/>
        <v>0.11318733634848846</v>
      </c>
      <c r="W91" s="790"/>
      <c r="X91" s="790"/>
      <c r="Y91" s="790"/>
      <c r="Z91" s="790"/>
      <c r="AA91" s="790"/>
      <c r="AB91" s="790"/>
      <c r="AC91" s="781">
        <f t="shared" si="150"/>
        <v>142.5</v>
      </c>
      <c r="AD91" s="781">
        <f t="shared" si="150"/>
        <v>142.5</v>
      </c>
      <c r="AE91" s="781">
        <f t="shared" si="150"/>
        <v>142.5</v>
      </c>
      <c r="AF91" s="781">
        <f t="shared" si="150"/>
        <v>142.5</v>
      </c>
      <c r="AG91" s="781">
        <f t="shared" si="150"/>
        <v>142.5</v>
      </c>
      <c r="AH91" s="781">
        <f t="shared" si="143"/>
        <v>142.5</v>
      </c>
      <c r="AI91" s="781">
        <f t="shared" si="143"/>
        <v>142.5</v>
      </c>
      <c r="AJ91" s="711" t="s">
        <v>374</v>
      </c>
      <c r="AK91" s="711" t="s">
        <v>375</v>
      </c>
      <c r="AL91" s="711" t="s">
        <v>376</v>
      </c>
      <c r="AM91" s="711" t="s">
        <v>2002</v>
      </c>
      <c r="AN91" s="711" t="s">
        <v>1</v>
      </c>
      <c r="AO91" s="711" t="s">
        <v>2137</v>
      </c>
      <c r="AP91" s="711" t="s">
        <v>2133</v>
      </c>
      <c r="AQ91" s="711" t="s">
        <v>2134</v>
      </c>
      <c r="AR91" s="715" t="s">
        <v>406</v>
      </c>
      <c r="AS91" s="715" t="s">
        <v>407</v>
      </c>
      <c r="AT91" s="715" t="s">
        <v>385</v>
      </c>
      <c r="AU91" s="711">
        <v>11</v>
      </c>
      <c r="AV91" s="711">
        <v>11</v>
      </c>
      <c r="AW91" s="711" t="s">
        <v>2138</v>
      </c>
      <c r="AX91" s="716">
        <v>1</v>
      </c>
      <c r="AY91" s="716">
        <v>1</v>
      </c>
      <c r="AZ91" s="716">
        <v>1</v>
      </c>
      <c r="BA91" s="499">
        <f t="shared" si="86"/>
        <v>320.4744</v>
      </c>
      <c r="BB91" s="499">
        <f t="shared" si="144"/>
        <v>320.4744</v>
      </c>
      <c r="BC91" s="499">
        <f t="shared" si="144"/>
        <v>320.4744</v>
      </c>
      <c r="BD91" s="499">
        <f t="shared" si="144"/>
        <v>320.4744</v>
      </c>
      <c r="BE91" s="499">
        <f t="shared" si="88"/>
        <v>320.4744</v>
      </c>
      <c r="BF91" s="499">
        <f t="shared" si="88"/>
        <v>320.4744</v>
      </c>
      <c r="BG91" s="499">
        <f t="shared" si="88"/>
        <v>320.4744</v>
      </c>
      <c r="BH91" s="499">
        <f t="shared" si="89"/>
        <v>0</v>
      </c>
      <c r="BI91" s="499">
        <f t="shared" si="145"/>
        <v>0</v>
      </c>
      <c r="BJ91" s="499">
        <f t="shared" si="145"/>
        <v>0</v>
      </c>
      <c r="BK91" s="499">
        <f t="shared" si="145"/>
        <v>0</v>
      </c>
      <c r="BL91" s="499">
        <f t="shared" si="145"/>
        <v>0</v>
      </c>
      <c r="BM91" s="499">
        <f t="shared" si="145"/>
        <v>0</v>
      </c>
      <c r="BN91" s="499">
        <f t="shared" si="145"/>
        <v>0</v>
      </c>
      <c r="BO91" s="499">
        <f t="shared" si="91"/>
        <v>160</v>
      </c>
      <c r="BP91" s="499">
        <f t="shared" si="149"/>
        <v>160</v>
      </c>
      <c r="BQ91" s="499">
        <f t="shared" si="149"/>
        <v>160</v>
      </c>
      <c r="BR91" s="499">
        <f t="shared" si="149"/>
        <v>160</v>
      </c>
      <c r="BS91" s="499">
        <f t="shared" si="149"/>
        <v>160</v>
      </c>
      <c r="BT91" s="499">
        <f t="shared" si="149"/>
        <v>160</v>
      </c>
      <c r="BU91" s="499">
        <f t="shared" si="149"/>
        <v>160</v>
      </c>
      <c r="BV91" s="503">
        <f t="shared" si="116"/>
        <v>0</v>
      </c>
      <c r="BW91" s="503">
        <f t="shared" si="116"/>
        <v>0</v>
      </c>
      <c r="BX91" s="503">
        <f t="shared" si="116"/>
        <v>0</v>
      </c>
      <c r="BY91" s="503">
        <f t="shared" si="116"/>
        <v>0</v>
      </c>
      <c r="BZ91" s="503">
        <f t="shared" si="116"/>
        <v>0</v>
      </c>
      <c r="CA91" s="503">
        <f t="shared" si="116"/>
        <v>0</v>
      </c>
      <c r="CB91" s="503">
        <f t="shared" si="116"/>
        <v>0</v>
      </c>
      <c r="CC91" s="511">
        <f t="shared" si="94"/>
        <v>74.354487197747787</v>
      </c>
      <c r="CD91" s="511">
        <f t="shared" si="146"/>
        <v>74.354487197747787</v>
      </c>
      <c r="CE91" s="511">
        <f t="shared" si="146"/>
        <v>74.354487197747787</v>
      </c>
      <c r="CF91" s="511">
        <f t="shared" si="146"/>
        <v>74.354487197747787</v>
      </c>
      <c r="CG91" s="511">
        <f t="shared" si="146"/>
        <v>74.354487197747787</v>
      </c>
      <c r="CH91" s="511">
        <f t="shared" si="146"/>
        <v>74.354487197747787</v>
      </c>
      <c r="CI91" s="511">
        <f t="shared" si="146"/>
        <v>74.354487197747787</v>
      </c>
      <c r="CJ91" s="511">
        <f t="shared" si="96"/>
        <v>4.0429413628181456E-2</v>
      </c>
      <c r="CK91" s="511">
        <f t="shared" si="147"/>
        <v>4.0429413628181456E-2</v>
      </c>
      <c r="CL91" s="511">
        <f t="shared" si="147"/>
        <v>4.0429413628181456E-2</v>
      </c>
      <c r="CM91" s="511">
        <f t="shared" si="147"/>
        <v>4.0429413628181456E-2</v>
      </c>
      <c r="CN91" s="511">
        <f t="shared" si="147"/>
        <v>4.0429413628181456E-2</v>
      </c>
      <c r="CO91" s="511">
        <f t="shared" si="147"/>
        <v>4.0429413628181456E-2</v>
      </c>
      <c r="CP91" s="511">
        <f t="shared" si="147"/>
        <v>4.0429413628181456E-2</v>
      </c>
      <c r="CQ91" s="511">
        <f t="shared" si="98"/>
        <v>0</v>
      </c>
      <c r="CR91" s="511">
        <f t="shared" si="148"/>
        <v>0</v>
      </c>
      <c r="CS91" s="511">
        <f t="shared" si="148"/>
        <v>0</v>
      </c>
      <c r="CT91" s="511">
        <f t="shared" si="148"/>
        <v>0</v>
      </c>
      <c r="CU91" s="511">
        <f t="shared" si="148"/>
        <v>0</v>
      </c>
      <c r="CV91" s="511">
        <f t="shared" si="148"/>
        <v>0</v>
      </c>
      <c r="CW91" s="511">
        <f t="shared" si="148"/>
        <v>0</v>
      </c>
      <c r="CX91" s="508">
        <f t="shared" si="136"/>
        <v>45667.601999999999</v>
      </c>
      <c r="CY91" s="508">
        <f t="shared" si="136"/>
        <v>45667.601999999999</v>
      </c>
      <c r="CZ91" s="508">
        <f t="shared" si="136"/>
        <v>45667.601999999999</v>
      </c>
      <c r="DA91" s="508">
        <f t="shared" si="136"/>
        <v>45667.601999999999</v>
      </c>
      <c r="DB91" s="508">
        <f t="shared" si="136"/>
        <v>45667.601999999999</v>
      </c>
      <c r="DC91" s="508">
        <f t="shared" si="136"/>
        <v>45667.601999999999</v>
      </c>
      <c r="DD91" s="508">
        <f t="shared" si="136"/>
        <v>45667.601999999999</v>
      </c>
      <c r="DE91" s="508">
        <f t="shared" si="137"/>
        <v>0</v>
      </c>
      <c r="DF91" s="508">
        <f t="shared" si="137"/>
        <v>0</v>
      </c>
      <c r="DG91" s="508">
        <f t="shared" si="137"/>
        <v>0</v>
      </c>
      <c r="DH91" s="508">
        <f t="shared" si="137"/>
        <v>0</v>
      </c>
      <c r="DI91" s="508">
        <f t="shared" si="137"/>
        <v>0</v>
      </c>
      <c r="DJ91" s="508">
        <f t="shared" si="137"/>
        <v>0</v>
      </c>
      <c r="DK91" s="508">
        <f t="shared" si="137"/>
        <v>0</v>
      </c>
      <c r="DL91" s="508">
        <f t="shared" si="138"/>
        <v>22800</v>
      </c>
      <c r="DM91" s="508">
        <f t="shared" si="138"/>
        <v>22800</v>
      </c>
      <c r="DN91" s="508">
        <f t="shared" si="138"/>
        <v>22800</v>
      </c>
      <c r="DO91" s="508">
        <f t="shared" si="138"/>
        <v>22800</v>
      </c>
      <c r="DP91" s="508">
        <f t="shared" si="138"/>
        <v>22800</v>
      </c>
      <c r="DQ91" s="508">
        <f t="shared" si="138"/>
        <v>22800</v>
      </c>
      <c r="DR91" s="508">
        <f t="shared" si="138"/>
        <v>22800</v>
      </c>
      <c r="DS91" s="508">
        <f t="shared" si="117"/>
        <v>0</v>
      </c>
      <c r="DT91" s="508">
        <f t="shared" si="117"/>
        <v>0</v>
      </c>
      <c r="DU91" s="508">
        <f t="shared" si="117"/>
        <v>0</v>
      </c>
      <c r="DV91" s="508">
        <f t="shared" si="117"/>
        <v>0</v>
      </c>
      <c r="DW91" s="508">
        <f t="shared" si="117"/>
        <v>0</v>
      </c>
      <c r="DX91" s="508">
        <f t="shared" si="117"/>
        <v>0</v>
      </c>
      <c r="DY91" s="508">
        <f t="shared" si="117"/>
        <v>0</v>
      </c>
      <c r="DZ91" s="511">
        <f t="shared" si="139"/>
        <v>10595.514425679059</v>
      </c>
      <c r="EA91" s="511">
        <f t="shared" si="139"/>
        <v>10595.514425679059</v>
      </c>
      <c r="EB91" s="511">
        <f t="shared" si="139"/>
        <v>10595.514425679059</v>
      </c>
      <c r="EC91" s="511">
        <f t="shared" si="139"/>
        <v>10595.514425679059</v>
      </c>
      <c r="ED91" s="511">
        <f t="shared" si="139"/>
        <v>10595.514425679059</v>
      </c>
      <c r="EE91" s="511">
        <f t="shared" si="139"/>
        <v>10595.514425679059</v>
      </c>
      <c r="EF91" s="511">
        <f t="shared" si="139"/>
        <v>10595.514425679059</v>
      </c>
      <c r="EG91" s="511">
        <f t="shared" si="140"/>
        <v>5.7611914420158579</v>
      </c>
      <c r="EH91" s="511">
        <f t="shared" si="140"/>
        <v>5.7611914420158579</v>
      </c>
      <c r="EI91" s="511">
        <f t="shared" si="140"/>
        <v>5.7611914420158579</v>
      </c>
      <c r="EJ91" s="511">
        <f t="shared" si="140"/>
        <v>5.7611914420158579</v>
      </c>
      <c r="EK91" s="511">
        <f t="shared" si="140"/>
        <v>5.7611914420158579</v>
      </c>
      <c r="EL91" s="511">
        <f t="shared" si="140"/>
        <v>5.7611914420158579</v>
      </c>
      <c r="EM91" s="511">
        <f t="shared" si="140"/>
        <v>5.7611914420158579</v>
      </c>
      <c r="EN91" s="511">
        <f t="shared" si="141"/>
        <v>0</v>
      </c>
      <c r="EO91" s="511">
        <f t="shared" si="141"/>
        <v>0</v>
      </c>
      <c r="EP91" s="511">
        <f t="shared" si="141"/>
        <v>0</v>
      </c>
      <c r="EQ91" s="511">
        <f t="shared" si="141"/>
        <v>0</v>
      </c>
      <c r="ER91" s="511">
        <f t="shared" si="141"/>
        <v>0</v>
      </c>
      <c r="ES91" s="511">
        <f t="shared" si="141"/>
        <v>0</v>
      </c>
      <c r="ET91" s="511">
        <f t="shared" si="141"/>
        <v>0</v>
      </c>
      <c r="EU91" s="777">
        <f t="shared" si="118"/>
        <v>997.5</v>
      </c>
      <c r="EV91" s="728">
        <f t="shared" si="108"/>
        <v>319673.21400000004</v>
      </c>
      <c r="EW91" s="728">
        <f t="shared" si="109"/>
        <v>0</v>
      </c>
      <c r="EX91" s="728">
        <f t="shared" si="110"/>
        <v>159600</v>
      </c>
      <c r="EY91" s="728">
        <f t="shared" si="111"/>
        <v>0</v>
      </c>
      <c r="EZ91" s="777">
        <f t="shared" si="112"/>
        <v>74168.600979753421</v>
      </c>
      <c r="FA91" s="777">
        <f t="shared" si="113"/>
        <v>40.328340094111006</v>
      </c>
      <c r="FB91" s="778">
        <f t="shared" si="114"/>
        <v>0</v>
      </c>
    </row>
    <row r="92" spans="1:158" s="10" customFormat="1" ht="12.75" hidden="1" customHeight="1">
      <c r="A92" s="662" t="s">
        <v>222</v>
      </c>
      <c r="B92" s="789" t="s">
        <v>2186</v>
      </c>
      <c r="C92" s="662" t="s">
        <v>2139</v>
      </c>
      <c r="D92" s="715" t="s">
        <v>2124</v>
      </c>
      <c r="E92" s="662" t="s">
        <v>331</v>
      </c>
      <c r="F92" s="704" t="s">
        <v>402</v>
      </c>
      <c r="G92" s="707">
        <f t="shared" si="142"/>
        <v>1881.8047999999999</v>
      </c>
      <c r="H92" s="707">
        <f t="shared" si="142"/>
        <v>0</v>
      </c>
      <c r="I92" s="707">
        <f t="shared" si="142"/>
        <v>1881.8047999999999</v>
      </c>
      <c r="J92" s="707">
        <f t="shared" si="142"/>
        <v>0</v>
      </c>
      <c r="K92" s="707">
        <f t="shared" si="142"/>
        <v>940.90239999999994</v>
      </c>
      <c r="L92" s="1263" t="str">
        <f t="shared" si="142"/>
        <v>RS Means 2009</v>
      </c>
      <c r="M92" s="707" t="str">
        <f t="shared" si="142"/>
        <v>NA</v>
      </c>
      <c r="N92" s="707">
        <f t="shared" si="142"/>
        <v>300</v>
      </c>
      <c r="O92" s="707">
        <f t="shared" si="142"/>
        <v>0</v>
      </c>
      <c r="P92" s="707">
        <f t="shared" si="142"/>
        <v>0</v>
      </c>
      <c r="Q92" s="1022">
        <f t="shared" si="151"/>
        <v>905.23634978715097</v>
      </c>
      <c r="R92" s="872">
        <v>0.3829215253219283</v>
      </c>
      <c r="S92" s="1022">
        <f t="shared" si="152"/>
        <v>0</v>
      </c>
      <c r="T92" s="711" t="str">
        <f t="shared" si="115"/>
        <v>Potential Study Results: Engineering Calculation</v>
      </c>
      <c r="U92" s="712"/>
      <c r="V92" s="1124">
        <f t="shared" si="83"/>
        <v>1.4282313734825041E-3</v>
      </c>
      <c r="W92" s="790"/>
      <c r="X92" s="790"/>
      <c r="Y92" s="790"/>
      <c r="Z92" s="790"/>
      <c r="AA92" s="790"/>
      <c r="AB92" s="790"/>
      <c r="AC92" s="781">
        <f t="shared" si="150"/>
        <v>2.5</v>
      </c>
      <c r="AD92" s="781">
        <f t="shared" si="150"/>
        <v>2.5</v>
      </c>
      <c r="AE92" s="781">
        <f t="shared" si="150"/>
        <v>2.5</v>
      </c>
      <c r="AF92" s="781">
        <f t="shared" si="150"/>
        <v>2.5</v>
      </c>
      <c r="AG92" s="781">
        <f t="shared" si="150"/>
        <v>2.5</v>
      </c>
      <c r="AH92" s="781">
        <f t="shared" si="143"/>
        <v>2.5</v>
      </c>
      <c r="AI92" s="781">
        <f t="shared" si="143"/>
        <v>2.5</v>
      </c>
      <c r="AJ92" s="711" t="s">
        <v>374</v>
      </c>
      <c r="AK92" s="711" t="s">
        <v>375</v>
      </c>
      <c r="AL92" s="711" t="s">
        <v>376</v>
      </c>
      <c r="AM92" s="711" t="s">
        <v>2002</v>
      </c>
      <c r="AN92" s="711" t="s">
        <v>1</v>
      </c>
      <c r="AO92" s="711" t="s">
        <v>2140</v>
      </c>
      <c r="AP92" s="711" t="s">
        <v>2139</v>
      </c>
      <c r="AQ92" s="711" t="s">
        <v>2124</v>
      </c>
      <c r="AR92" s="715" t="s">
        <v>406</v>
      </c>
      <c r="AS92" s="715" t="s">
        <v>407</v>
      </c>
      <c r="AT92" s="715" t="s">
        <v>385</v>
      </c>
      <c r="AU92" s="711">
        <v>20</v>
      </c>
      <c r="AV92" s="711">
        <v>20</v>
      </c>
      <c r="AW92" s="711" t="s">
        <v>2141</v>
      </c>
      <c r="AX92" s="716">
        <v>1</v>
      </c>
      <c r="AY92" s="716">
        <v>1</v>
      </c>
      <c r="AZ92" s="716">
        <v>1</v>
      </c>
      <c r="BA92" s="499">
        <f t="shared" si="86"/>
        <v>1881.8047999999999</v>
      </c>
      <c r="BB92" s="499">
        <f t="shared" si="144"/>
        <v>1881.8047999999999</v>
      </c>
      <c r="BC92" s="499">
        <f t="shared" si="144"/>
        <v>1881.8047999999999</v>
      </c>
      <c r="BD92" s="499">
        <f t="shared" si="144"/>
        <v>1881.8047999999999</v>
      </c>
      <c r="BE92" s="499">
        <f t="shared" si="88"/>
        <v>1881.8047999999999</v>
      </c>
      <c r="BF92" s="499">
        <f t="shared" si="88"/>
        <v>1881.8047999999999</v>
      </c>
      <c r="BG92" s="499">
        <f t="shared" si="88"/>
        <v>1881.8047999999999</v>
      </c>
      <c r="BH92" s="499">
        <f t="shared" si="89"/>
        <v>0</v>
      </c>
      <c r="BI92" s="499">
        <f t="shared" si="145"/>
        <v>0</v>
      </c>
      <c r="BJ92" s="499">
        <f t="shared" si="145"/>
        <v>0</v>
      </c>
      <c r="BK92" s="499">
        <f t="shared" si="145"/>
        <v>0</v>
      </c>
      <c r="BL92" s="499">
        <f t="shared" si="145"/>
        <v>0</v>
      </c>
      <c r="BM92" s="499">
        <f t="shared" si="145"/>
        <v>0</v>
      </c>
      <c r="BN92" s="499">
        <f t="shared" si="145"/>
        <v>0</v>
      </c>
      <c r="BO92" s="499">
        <f t="shared" si="91"/>
        <v>300</v>
      </c>
      <c r="BP92" s="499">
        <f t="shared" si="149"/>
        <v>300</v>
      </c>
      <c r="BQ92" s="499">
        <f t="shared" si="149"/>
        <v>300</v>
      </c>
      <c r="BR92" s="499">
        <f t="shared" si="149"/>
        <v>300</v>
      </c>
      <c r="BS92" s="499">
        <f t="shared" si="149"/>
        <v>300</v>
      </c>
      <c r="BT92" s="499">
        <f t="shared" si="149"/>
        <v>300</v>
      </c>
      <c r="BU92" s="499">
        <f t="shared" si="149"/>
        <v>300</v>
      </c>
      <c r="BV92" s="503">
        <f t="shared" si="116"/>
        <v>0</v>
      </c>
      <c r="BW92" s="503">
        <f t="shared" si="116"/>
        <v>0</v>
      </c>
      <c r="BX92" s="503">
        <f t="shared" si="116"/>
        <v>0</v>
      </c>
      <c r="BY92" s="503">
        <f t="shared" si="116"/>
        <v>0</v>
      </c>
      <c r="BZ92" s="503">
        <f t="shared" si="116"/>
        <v>0</v>
      </c>
      <c r="CA92" s="503">
        <f t="shared" si="116"/>
        <v>0</v>
      </c>
      <c r="CB92" s="503">
        <f t="shared" si="116"/>
        <v>0</v>
      </c>
      <c r="CC92" s="511">
        <f t="shared" si="94"/>
        <v>905.23634978715097</v>
      </c>
      <c r="CD92" s="511">
        <f t="shared" si="146"/>
        <v>905.23634978715097</v>
      </c>
      <c r="CE92" s="511">
        <f t="shared" si="146"/>
        <v>905.23634978715097</v>
      </c>
      <c r="CF92" s="511">
        <f t="shared" si="146"/>
        <v>905.23634978715097</v>
      </c>
      <c r="CG92" s="511">
        <f t="shared" si="146"/>
        <v>905.23634978715097</v>
      </c>
      <c r="CH92" s="511">
        <f t="shared" si="146"/>
        <v>905.23634978715097</v>
      </c>
      <c r="CI92" s="511">
        <f t="shared" si="146"/>
        <v>905.23634978715097</v>
      </c>
      <c r="CJ92" s="511">
        <f t="shared" si="96"/>
        <v>0.3829215253219283</v>
      </c>
      <c r="CK92" s="511">
        <f t="shared" si="147"/>
        <v>0.3829215253219283</v>
      </c>
      <c r="CL92" s="511">
        <f t="shared" si="147"/>
        <v>0.3829215253219283</v>
      </c>
      <c r="CM92" s="511">
        <f t="shared" si="147"/>
        <v>0.3829215253219283</v>
      </c>
      <c r="CN92" s="511">
        <f t="shared" si="147"/>
        <v>0.3829215253219283</v>
      </c>
      <c r="CO92" s="511">
        <f t="shared" si="147"/>
        <v>0.3829215253219283</v>
      </c>
      <c r="CP92" s="511">
        <f t="shared" si="147"/>
        <v>0.3829215253219283</v>
      </c>
      <c r="CQ92" s="511">
        <f t="shared" si="98"/>
        <v>0</v>
      </c>
      <c r="CR92" s="511">
        <f t="shared" si="148"/>
        <v>0</v>
      </c>
      <c r="CS92" s="511">
        <f t="shared" si="148"/>
        <v>0</v>
      </c>
      <c r="CT92" s="511">
        <f t="shared" si="148"/>
        <v>0</v>
      </c>
      <c r="CU92" s="511">
        <f t="shared" si="148"/>
        <v>0</v>
      </c>
      <c r="CV92" s="511">
        <f t="shared" si="148"/>
        <v>0</v>
      </c>
      <c r="CW92" s="511">
        <f t="shared" si="148"/>
        <v>0</v>
      </c>
      <c r="CX92" s="508">
        <f t="shared" si="136"/>
        <v>4704.5119999999997</v>
      </c>
      <c r="CY92" s="508">
        <f t="shared" si="136"/>
        <v>4704.5119999999997</v>
      </c>
      <c r="CZ92" s="508">
        <f t="shared" si="136"/>
        <v>4704.5119999999997</v>
      </c>
      <c r="DA92" s="508">
        <f t="shared" si="136"/>
        <v>4704.5119999999997</v>
      </c>
      <c r="DB92" s="508">
        <f t="shared" si="136"/>
        <v>4704.5119999999997</v>
      </c>
      <c r="DC92" s="508">
        <f t="shared" si="136"/>
        <v>4704.5119999999997</v>
      </c>
      <c r="DD92" s="508">
        <f t="shared" si="136"/>
        <v>4704.5119999999997</v>
      </c>
      <c r="DE92" s="508">
        <f t="shared" si="137"/>
        <v>0</v>
      </c>
      <c r="DF92" s="508">
        <f t="shared" si="137"/>
        <v>0</v>
      </c>
      <c r="DG92" s="508">
        <f t="shared" si="137"/>
        <v>0</v>
      </c>
      <c r="DH92" s="508">
        <f t="shared" si="137"/>
        <v>0</v>
      </c>
      <c r="DI92" s="508">
        <f t="shared" si="137"/>
        <v>0</v>
      </c>
      <c r="DJ92" s="508">
        <f t="shared" si="137"/>
        <v>0</v>
      </c>
      <c r="DK92" s="508">
        <f t="shared" si="137"/>
        <v>0</v>
      </c>
      <c r="DL92" s="508">
        <f t="shared" si="138"/>
        <v>750</v>
      </c>
      <c r="DM92" s="508">
        <f t="shared" si="138"/>
        <v>750</v>
      </c>
      <c r="DN92" s="508">
        <f t="shared" si="138"/>
        <v>750</v>
      </c>
      <c r="DO92" s="508">
        <f t="shared" si="138"/>
        <v>750</v>
      </c>
      <c r="DP92" s="508">
        <f t="shared" si="138"/>
        <v>750</v>
      </c>
      <c r="DQ92" s="508">
        <f t="shared" si="138"/>
        <v>750</v>
      </c>
      <c r="DR92" s="508">
        <f t="shared" si="138"/>
        <v>750</v>
      </c>
      <c r="DS92" s="508">
        <f t="shared" si="117"/>
        <v>0</v>
      </c>
      <c r="DT92" s="508">
        <f t="shared" si="117"/>
        <v>0</v>
      </c>
      <c r="DU92" s="508">
        <f t="shared" si="117"/>
        <v>0</v>
      </c>
      <c r="DV92" s="508">
        <f t="shared" si="117"/>
        <v>0</v>
      </c>
      <c r="DW92" s="508">
        <f t="shared" si="117"/>
        <v>0</v>
      </c>
      <c r="DX92" s="508">
        <f t="shared" ref="DX92:DY94" si="153">CA92*AH92</f>
        <v>0</v>
      </c>
      <c r="DY92" s="508">
        <f t="shared" si="153"/>
        <v>0</v>
      </c>
      <c r="DZ92" s="511">
        <f t="shared" si="139"/>
        <v>2263.0908744678773</v>
      </c>
      <c r="EA92" s="511">
        <f t="shared" si="139"/>
        <v>2263.0908744678773</v>
      </c>
      <c r="EB92" s="511">
        <f t="shared" si="139"/>
        <v>2263.0908744678773</v>
      </c>
      <c r="EC92" s="511">
        <f t="shared" si="139"/>
        <v>2263.0908744678773</v>
      </c>
      <c r="ED92" s="511">
        <f t="shared" si="139"/>
        <v>2263.0908744678773</v>
      </c>
      <c r="EE92" s="511">
        <f t="shared" si="139"/>
        <v>2263.0908744678773</v>
      </c>
      <c r="EF92" s="511">
        <f t="shared" si="139"/>
        <v>2263.0908744678773</v>
      </c>
      <c r="EG92" s="511">
        <f t="shared" si="140"/>
        <v>0.95730381330482073</v>
      </c>
      <c r="EH92" s="511">
        <f t="shared" si="140"/>
        <v>0.95730381330482073</v>
      </c>
      <c r="EI92" s="511">
        <f t="shared" si="140"/>
        <v>0.95730381330482073</v>
      </c>
      <c r="EJ92" s="511">
        <f t="shared" si="140"/>
        <v>0.95730381330482073</v>
      </c>
      <c r="EK92" s="511">
        <f t="shared" si="140"/>
        <v>0.95730381330482073</v>
      </c>
      <c r="EL92" s="511">
        <f t="shared" si="140"/>
        <v>0.95730381330482073</v>
      </c>
      <c r="EM92" s="511">
        <f t="shared" si="140"/>
        <v>0.95730381330482073</v>
      </c>
      <c r="EN92" s="511">
        <f t="shared" si="141"/>
        <v>0</v>
      </c>
      <c r="EO92" s="511">
        <f t="shared" si="141"/>
        <v>0</v>
      </c>
      <c r="EP92" s="511">
        <f t="shared" si="141"/>
        <v>0</v>
      </c>
      <c r="EQ92" s="511">
        <f t="shared" si="141"/>
        <v>0</v>
      </c>
      <c r="ER92" s="511">
        <f t="shared" si="141"/>
        <v>0</v>
      </c>
      <c r="ES92" s="511">
        <f t="shared" si="141"/>
        <v>0</v>
      </c>
      <c r="ET92" s="511">
        <f t="shared" si="141"/>
        <v>0</v>
      </c>
      <c r="EU92" s="777">
        <f t="shared" si="118"/>
        <v>17.5</v>
      </c>
      <c r="EV92" s="728">
        <f t="shared" si="108"/>
        <v>32931.583999999995</v>
      </c>
      <c r="EW92" s="728">
        <f t="shared" si="109"/>
        <v>0</v>
      </c>
      <c r="EX92" s="728">
        <f t="shared" si="110"/>
        <v>5250</v>
      </c>
      <c r="EY92" s="728">
        <f t="shared" si="111"/>
        <v>0</v>
      </c>
      <c r="EZ92" s="777">
        <f t="shared" si="112"/>
        <v>15841.636121275144</v>
      </c>
      <c r="FA92" s="777">
        <f t="shared" si="113"/>
        <v>6.7011266931337445</v>
      </c>
      <c r="FB92" s="778">
        <f t="shared" si="114"/>
        <v>0</v>
      </c>
    </row>
    <row r="93" spans="1:158" s="10" customFormat="1" ht="12.75" hidden="1" customHeight="1">
      <c r="A93" s="662" t="s">
        <v>223</v>
      </c>
      <c r="B93" s="789" t="s">
        <v>2187</v>
      </c>
      <c r="C93" s="662" t="s">
        <v>2142</v>
      </c>
      <c r="D93" s="715" t="s">
        <v>2124</v>
      </c>
      <c r="E93" s="662" t="s">
        <v>331</v>
      </c>
      <c r="F93" s="704" t="s">
        <v>402</v>
      </c>
      <c r="G93" s="707">
        <f t="shared" si="142"/>
        <v>1014.4551</v>
      </c>
      <c r="H93" s="707">
        <f t="shared" si="142"/>
        <v>0</v>
      </c>
      <c r="I93" s="707">
        <f t="shared" si="142"/>
        <v>1014.4551</v>
      </c>
      <c r="J93" s="707">
        <f t="shared" si="142"/>
        <v>0</v>
      </c>
      <c r="K93" s="707">
        <f t="shared" si="142"/>
        <v>507.22755000000001</v>
      </c>
      <c r="L93" s="1263" t="str">
        <f t="shared" si="142"/>
        <v>RS Means 2009</v>
      </c>
      <c r="M93" s="707" t="str">
        <f t="shared" si="142"/>
        <v>NA</v>
      </c>
      <c r="N93" s="707">
        <f t="shared" si="142"/>
        <v>300</v>
      </c>
      <c r="O93" s="707">
        <f t="shared" si="142"/>
        <v>0</v>
      </c>
      <c r="P93" s="707">
        <f t="shared" si="142"/>
        <v>0</v>
      </c>
      <c r="Q93" s="1022">
        <v>139.02843860480436</v>
      </c>
      <c r="R93" s="872">
        <v>0</v>
      </c>
      <c r="S93" s="1022">
        <v>0</v>
      </c>
      <c r="T93" s="711" t="str">
        <f t="shared" si="115"/>
        <v>Potential Study Results: Engineering Calculation</v>
      </c>
      <c r="U93" s="712"/>
      <c r="V93" s="1124">
        <f t="shared" si="83"/>
        <v>2.8564627469650082E-3</v>
      </c>
      <c r="W93" s="790"/>
      <c r="X93" s="790"/>
      <c r="Y93" s="790"/>
      <c r="Z93" s="790"/>
      <c r="AA93" s="790"/>
      <c r="AB93" s="790"/>
      <c r="AC93" s="781">
        <f t="shared" si="150"/>
        <v>2.5</v>
      </c>
      <c r="AD93" s="781">
        <f t="shared" si="150"/>
        <v>2.5</v>
      </c>
      <c r="AE93" s="781">
        <f t="shared" si="150"/>
        <v>2.5</v>
      </c>
      <c r="AF93" s="781">
        <f t="shared" si="150"/>
        <v>2.5</v>
      </c>
      <c r="AG93" s="781">
        <f t="shared" si="150"/>
        <v>2.5</v>
      </c>
      <c r="AH93" s="781">
        <f t="shared" si="143"/>
        <v>2.5</v>
      </c>
      <c r="AI93" s="781">
        <f t="shared" si="143"/>
        <v>2.5</v>
      </c>
      <c r="AJ93" s="711" t="s">
        <v>2013</v>
      </c>
      <c r="AK93" s="711" t="s">
        <v>375</v>
      </c>
      <c r="AL93" s="711" t="s">
        <v>376</v>
      </c>
      <c r="AM93" s="711" t="s">
        <v>2082</v>
      </c>
      <c r="AN93" s="711" t="s">
        <v>1</v>
      </c>
      <c r="AO93" s="711" t="s">
        <v>2143</v>
      </c>
      <c r="AP93" s="711" t="s">
        <v>2142</v>
      </c>
      <c r="AQ93" s="711" t="s">
        <v>2124</v>
      </c>
      <c r="AR93" s="715" t="s">
        <v>1944</v>
      </c>
      <c r="AS93" s="715" t="s">
        <v>407</v>
      </c>
      <c r="AT93" s="715" t="s">
        <v>385</v>
      </c>
      <c r="AU93" s="711">
        <v>20</v>
      </c>
      <c r="AV93" s="711">
        <v>20</v>
      </c>
      <c r="AW93" s="711" t="s">
        <v>2144</v>
      </c>
      <c r="AX93" s="716">
        <v>1</v>
      </c>
      <c r="AY93" s="716">
        <v>1</v>
      </c>
      <c r="AZ93" s="716">
        <v>1</v>
      </c>
      <c r="BA93" s="499">
        <f t="shared" si="86"/>
        <v>1014.4551</v>
      </c>
      <c r="BB93" s="499">
        <f t="shared" si="144"/>
        <v>1014.4551</v>
      </c>
      <c r="BC93" s="499">
        <f t="shared" si="144"/>
        <v>1014.4551</v>
      </c>
      <c r="BD93" s="499">
        <f t="shared" si="144"/>
        <v>1014.4551</v>
      </c>
      <c r="BE93" s="499">
        <f t="shared" si="88"/>
        <v>1014.4551</v>
      </c>
      <c r="BF93" s="499">
        <f t="shared" si="88"/>
        <v>1014.4551</v>
      </c>
      <c r="BG93" s="499">
        <f t="shared" si="88"/>
        <v>1014.4551</v>
      </c>
      <c r="BH93" s="499">
        <f t="shared" si="89"/>
        <v>0</v>
      </c>
      <c r="BI93" s="499">
        <f t="shared" si="145"/>
        <v>0</v>
      </c>
      <c r="BJ93" s="499">
        <f t="shared" si="145"/>
        <v>0</v>
      </c>
      <c r="BK93" s="499">
        <f t="shared" si="145"/>
        <v>0</v>
      </c>
      <c r="BL93" s="499">
        <f t="shared" si="145"/>
        <v>0</v>
      </c>
      <c r="BM93" s="499">
        <f t="shared" si="145"/>
        <v>0</v>
      </c>
      <c r="BN93" s="499">
        <f t="shared" si="145"/>
        <v>0</v>
      </c>
      <c r="BO93" s="499">
        <f t="shared" si="91"/>
        <v>300</v>
      </c>
      <c r="BP93" s="499">
        <f t="shared" si="149"/>
        <v>300</v>
      </c>
      <c r="BQ93" s="499">
        <f t="shared" si="149"/>
        <v>300</v>
      </c>
      <c r="BR93" s="499">
        <f t="shared" si="149"/>
        <v>300</v>
      </c>
      <c r="BS93" s="499">
        <f t="shared" si="149"/>
        <v>300</v>
      </c>
      <c r="BT93" s="499">
        <f t="shared" si="149"/>
        <v>300</v>
      </c>
      <c r="BU93" s="499">
        <f t="shared" si="149"/>
        <v>300</v>
      </c>
      <c r="BV93" s="503">
        <f t="shared" si="116"/>
        <v>0</v>
      </c>
      <c r="BW93" s="503">
        <f t="shared" si="116"/>
        <v>0</v>
      </c>
      <c r="BX93" s="503">
        <f t="shared" si="116"/>
        <v>0</v>
      </c>
      <c r="BY93" s="503">
        <f t="shared" si="116"/>
        <v>0</v>
      </c>
      <c r="BZ93" s="503">
        <f t="shared" si="116"/>
        <v>0</v>
      </c>
      <c r="CA93" s="503">
        <f t="shared" si="116"/>
        <v>0</v>
      </c>
      <c r="CB93" s="503">
        <f t="shared" si="116"/>
        <v>0</v>
      </c>
      <c r="CC93" s="511">
        <f t="shared" si="94"/>
        <v>139.02843860480436</v>
      </c>
      <c r="CD93" s="511">
        <f t="shared" si="146"/>
        <v>139.02843860480436</v>
      </c>
      <c r="CE93" s="511">
        <f t="shared" si="146"/>
        <v>139.02843860480436</v>
      </c>
      <c r="CF93" s="511">
        <f t="shared" si="146"/>
        <v>139.02843860480436</v>
      </c>
      <c r="CG93" s="511">
        <f t="shared" si="146"/>
        <v>139.02843860480436</v>
      </c>
      <c r="CH93" s="511">
        <f t="shared" si="146"/>
        <v>139.02843860480436</v>
      </c>
      <c r="CI93" s="511">
        <f t="shared" si="146"/>
        <v>139.02843860480436</v>
      </c>
      <c r="CJ93" s="511">
        <f t="shared" si="96"/>
        <v>0</v>
      </c>
      <c r="CK93" s="511">
        <f t="shared" si="147"/>
        <v>0</v>
      </c>
      <c r="CL93" s="511">
        <f t="shared" si="147"/>
        <v>0</v>
      </c>
      <c r="CM93" s="511">
        <f t="shared" si="147"/>
        <v>0</v>
      </c>
      <c r="CN93" s="511">
        <f t="shared" si="147"/>
        <v>0</v>
      </c>
      <c r="CO93" s="511">
        <f t="shared" si="147"/>
        <v>0</v>
      </c>
      <c r="CP93" s="511">
        <f t="shared" si="147"/>
        <v>0</v>
      </c>
      <c r="CQ93" s="511">
        <f t="shared" si="98"/>
        <v>0</v>
      </c>
      <c r="CR93" s="511">
        <f t="shared" si="148"/>
        <v>0</v>
      </c>
      <c r="CS93" s="511">
        <f t="shared" si="148"/>
        <v>0</v>
      </c>
      <c r="CT93" s="511">
        <f t="shared" si="148"/>
        <v>0</v>
      </c>
      <c r="CU93" s="511">
        <f t="shared" si="148"/>
        <v>0</v>
      </c>
      <c r="CV93" s="511">
        <f t="shared" si="148"/>
        <v>0</v>
      </c>
      <c r="CW93" s="511">
        <f t="shared" si="148"/>
        <v>0</v>
      </c>
      <c r="CX93" s="508">
        <f t="shared" si="136"/>
        <v>2536.1377499999999</v>
      </c>
      <c r="CY93" s="508">
        <f t="shared" si="136"/>
        <v>2536.1377499999999</v>
      </c>
      <c r="CZ93" s="508">
        <f t="shared" si="136"/>
        <v>2536.1377499999999</v>
      </c>
      <c r="DA93" s="508">
        <f t="shared" si="136"/>
        <v>2536.1377499999999</v>
      </c>
      <c r="DB93" s="508">
        <f t="shared" si="136"/>
        <v>2536.1377499999999</v>
      </c>
      <c r="DC93" s="508">
        <f t="shared" si="136"/>
        <v>2536.1377499999999</v>
      </c>
      <c r="DD93" s="508">
        <f t="shared" si="136"/>
        <v>2536.1377499999999</v>
      </c>
      <c r="DE93" s="508">
        <f t="shared" si="137"/>
        <v>0</v>
      </c>
      <c r="DF93" s="508">
        <f t="shared" si="137"/>
        <v>0</v>
      </c>
      <c r="DG93" s="508">
        <f t="shared" si="137"/>
        <v>0</v>
      </c>
      <c r="DH93" s="508">
        <f t="shared" si="137"/>
        <v>0</v>
      </c>
      <c r="DI93" s="508">
        <f t="shared" si="137"/>
        <v>0</v>
      </c>
      <c r="DJ93" s="508">
        <f t="shared" si="137"/>
        <v>0</v>
      </c>
      <c r="DK93" s="508">
        <f t="shared" si="137"/>
        <v>0</v>
      </c>
      <c r="DL93" s="508">
        <f t="shared" si="138"/>
        <v>750</v>
      </c>
      <c r="DM93" s="508">
        <f t="shared" si="138"/>
        <v>750</v>
      </c>
      <c r="DN93" s="508">
        <f t="shared" si="138"/>
        <v>750</v>
      </c>
      <c r="DO93" s="508">
        <f t="shared" si="138"/>
        <v>750</v>
      </c>
      <c r="DP93" s="508">
        <f t="shared" si="138"/>
        <v>750</v>
      </c>
      <c r="DQ93" s="508">
        <f t="shared" si="138"/>
        <v>750</v>
      </c>
      <c r="DR93" s="508">
        <f t="shared" si="138"/>
        <v>750</v>
      </c>
      <c r="DS93" s="508">
        <f t="shared" ref="DS93:DW94" si="154">BV93*AC93</f>
        <v>0</v>
      </c>
      <c r="DT93" s="508">
        <f t="shared" si="154"/>
        <v>0</v>
      </c>
      <c r="DU93" s="508">
        <f t="shared" si="154"/>
        <v>0</v>
      </c>
      <c r="DV93" s="508">
        <f t="shared" si="154"/>
        <v>0</v>
      </c>
      <c r="DW93" s="508">
        <f t="shared" si="154"/>
        <v>0</v>
      </c>
      <c r="DX93" s="508">
        <f t="shared" si="153"/>
        <v>0</v>
      </c>
      <c r="DY93" s="508">
        <f t="shared" si="153"/>
        <v>0</v>
      </c>
      <c r="DZ93" s="511">
        <f t="shared" si="139"/>
        <v>347.57109651201091</v>
      </c>
      <c r="EA93" s="511">
        <f t="shared" si="139"/>
        <v>347.57109651201091</v>
      </c>
      <c r="EB93" s="511">
        <f t="shared" si="139"/>
        <v>347.57109651201091</v>
      </c>
      <c r="EC93" s="511">
        <f t="shared" si="139"/>
        <v>347.57109651201091</v>
      </c>
      <c r="ED93" s="511">
        <f t="shared" si="139"/>
        <v>347.57109651201091</v>
      </c>
      <c r="EE93" s="511">
        <f t="shared" si="139"/>
        <v>347.57109651201091</v>
      </c>
      <c r="EF93" s="511">
        <f t="shared" si="139"/>
        <v>347.57109651201091</v>
      </c>
      <c r="EG93" s="511">
        <f t="shared" si="140"/>
        <v>0</v>
      </c>
      <c r="EH93" s="511">
        <f t="shared" si="140"/>
        <v>0</v>
      </c>
      <c r="EI93" s="511">
        <f t="shared" si="140"/>
        <v>0</v>
      </c>
      <c r="EJ93" s="511">
        <f t="shared" si="140"/>
        <v>0</v>
      </c>
      <c r="EK93" s="511">
        <f t="shared" si="140"/>
        <v>0</v>
      </c>
      <c r="EL93" s="511">
        <f t="shared" si="140"/>
        <v>0</v>
      </c>
      <c r="EM93" s="511">
        <f t="shared" si="140"/>
        <v>0</v>
      </c>
      <c r="EN93" s="511">
        <f t="shared" si="141"/>
        <v>0</v>
      </c>
      <c r="EO93" s="511">
        <f t="shared" si="141"/>
        <v>0</v>
      </c>
      <c r="EP93" s="511">
        <f t="shared" si="141"/>
        <v>0</v>
      </c>
      <c r="EQ93" s="511">
        <f t="shared" si="141"/>
        <v>0</v>
      </c>
      <c r="ER93" s="511">
        <f t="shared" si="141"/>
        <v>0</v>
      </c>
      <c r="ES93" s="511">
        <f t="shared" si="141"/>
        <v>0</v>
      </c>
      <c r="ET93" s="511">
        <f t="shared" si="141"/>
        <v>0</v>
      </c>
      <c r="EU93" s="777">
        <f t="shared" si="118"/>
        <v>17.5</v>
      </c>
      <c r="EV93" s="728">
        <f t="shared" si="108"/>
        <v>17752.964249999997</v>
      </c>
      <c r="EW93" s="728">
        <f t="shared" si="109"/>
        <v>0</v>
      </c>
      <c r="EX93" s="728">
        <f t="shared" si="110"/>
        <v>5250</v>
      </c>
      <c r="EY93" s="728">
        <f t="shared" si="111"/>
        <v>0</v>
      </c>
      <c r="EZ93" s="777">
        <f t="shared" si="112"/>
        <v>2432.9976755840767</v>
      </c>
      <c r="FA93" s="777">
        <f t="shared" si="113"/>
        <v>0</v>
      </c>
      <c r="FB93" s="778">
        <f t="shared" si="114"/>
        <v>0</v>
      </c>
    </row>
    <row r="94" spans="1:158" s="10" customFormat="1" ht="12.75" hidden="1" customHeight="1">
      <c r="A94" s="662" t="s">
        <v>224</v>
      </c>
      <c r="B94" s="789" t="s">
        <v>2188</v>
      </c>
      <c r="C94" s="662" t="s">
        <v>2145</v>
      </c>
      <c r="D94" s="715" t="s">
        <v>2124</v>
      </c>
      <c r="E94" s="662" t="s">
        <v>331</v>
      </c>
      <c r="F94" s="704" t="s">
        <v>402</v>
      </c>
      <c r="G94" s="707">
        <f t="shared" si="142"/>
        <v>528.24879999999996</v>
      </c>
      <c r="H94" s="707">
        <f t="shared" si="142"/>
        <v>0</v>
      </c>
      <c r="I94" s="707">
        <f t="shared" si="142"/>
        <v>528.24879999999996</v>
      </c>
      <c r="J94" s="707">
        <f t="shared" si="142"/>
        <v>0</v>
      </c>
      <c r="K94" s="707">
        <f t="shared" si="142"/>
        <v>264.12439999999998</v>
      </c>
      <c r="L94" s="1263" t="str">
        <f t="shared" si="142"/>
        <v>RS Means 2012</v>
      </c>
      <c r="M94" s="707" t="str">
        <f t="shared" si="142"/>
        <v>NA</v>
      </c>
      <c r="N94" s="707">
        <f t="shared" si="142"/>
        <v>260</v>
      </c>
      <c r="O94" s="707">
        <f t="shared" si="142"/>
        <v>0</v>
      </c>
      <c r="P94" s="707">
        <f t="shared" si="142"/>
        <v>0</v>
      </c>
      <c r="Q94" s="1022">
        <v>161.34211715753887</v>
      </c>
      <c r="R94" s="872">
        <v>0</v>
      </c>
      <c r="S94" s="1022">
        <v>0</v>
      </c>
      <c r="T94" s="711" t="str">
        <f t="shared" si="115"/>
        <v>Potential Study Results: Engineering Calculation</v>
      </c>
      <c r="U94" s="712"/>
      <c r="V94" s="1124">
        <f t="shared" si="83"/>
        <v>3.5705784337062603E-4</v>
      </c>
      <c r="W94" s="790"/>
      <c r="X94" s="790"/>
      <c r="Y94" s="790"/>
      <c r="Z94" s="790"/>
      <c r="AA94" s="790"/>
      <c r="AB94" s="790"/>
      <c r="AC94" s="781">
        <f t="shared" si="150"/>
        <v>0.5</v>
      </c>
      <c r="AD94" s="781">
        <f t="shared" si="150"/>
        <v>0.5</v>
      </c>
      <c r="AE94" s="781">
        <f t="shared" si="150"/>
        <v>0.5</v>
      </c>
      <c r="AF94" s="781">
        <f t="shared" si="150"/>
        <v>0.5</v>
      </c>
      <c r="AG94" s="781">
        <f t="shared" si="150"/>
        <v>0.5</v>
      </c>
      <c r="AH94" s="781">
        <f t="shared" si="143"/>
        <v>0.5</v>
      </c>
      <c r="AI94" s="781">
        <f t="shared" si="143"/>
        <v>0.5</v>
      </c>
      <c r="AJ94" s="711" t="s">
        <v>2013</v>
      </c>
      <c r="AK94" s="711" t="s">
        <v>375</v>
      </c>
      <c r="AL94" s="711" t="s">
        <v>376</v>
      </c>
      <c r="AM94" s="711" t="s">
        <v>2082</v>
      </c>
      <c r="AN94" s="711" t="s">
        <v>1</v>
      </c>
      <c r="AO94" s="711" t="s">
        <v>2147</v>
      </c>
      <c r="AP94" s="711" t="s">
        <v>2145</v>
      </c>
      <c r="AQ94" s="711" t="s">
        <v>2124</v>
      </c>
      <c r="AR94" s="715" t="s">
        <v>1944</v>
      </c>
      <c r="AS94" s="715" t="s">
        <v>407</v>
      </c>
      <c r="AT94" s="715" t="s">
        <v>385</v>
      </c>
      <c r="AU94" s="711">
        <v>20</v>
      </c>
      <c r="AV94" s="711">
        <v>20</v>
      </c>
      <c r="AW94" s="711" t="s">
        <v>2148</v>
      </c>
      <c r="AX94" s="716">
        <v>1</v>
      </c>
      <c r="AY94" s="716">
        <v>1</v>
      </c>
      <c r="AZ94" s="716">
        <v>1</v>
      </c>
      <c r="BA94" s="499">
        <f t="shared" si="86"/>
        <v>528.24879999999996</v>
      </c>
      <c r="BB94" s="499">
        <f t="shared" si="144"/>
        <v>528.24879999999996</v>
      </c>
      <c r="BC94" s="499">
        <f t="shared" si="144"/>
        <v>528.24879999999996</v>
      </c>
      <c r="BD94" s="499">
        <f t="shared" si="144"/>
        <v>528.24879999999996</v>
      </c>
      <c r="BE94" s="499">
        <f t="shared" si="88"/>
        <v>528.24879999999996</v>
      </c>
      <c r="BF94" s="499">
        <f t="shared" si="88"/>
        <v>528.24879999999996</v>
      </c>
      <c r="BG94" s="499">
        <f t="shared" si="88"/>
        <v>528.24879999999996</v>
      </c>
      <c r="BH94" s="499">
        <f t="shared" si="89"/>
        <v>0</v>
      </c>
      <c r="BI94" s="499">
        <f t="shared" si="145"/>
        <v>0</v>
      </c>
      <c r="BJ94" s="499">
        <f t="shared" si="145"/>
        <v>0</v>
      </c>
      <c r="BK94" s="499">
        <f t="shared" si="145"/>
        <v>0</v>
      </c>
      <c r="BL94" s="499">
        <f t="shared" si="145"/>
        <v>0</v>
      </c>
      <c r="BM94" s="499">
        <f t="shared" si="145"/>
        <v>0</v>
      </c>
      <c r="BN94" s="499">
        <f t="shared" si="145"/>
        <v>0</v>
      </c>
      <c r="BO94" s="499">
        <f t="shared" si="91"/>
        <v>260</v>
      </c>
      <c r="BP94" s="499">
        <f t="shared" si="149"/>
        <v>260</v>
      </c>
      <c r="BQ94" s="499">
        <f t="shared" si="149"/>
        <v>260</v>
      </c>
      <c r="BR94" s="499">
        <f t="shared" si="149"/>
        <v>260</v>
      </c>
      <c r="BS94" s="499">
        <f t="shared" si="149"/>
        <v>260</v>
      </c>
      <c r="BT94" s="499">
        <f t="shared" si="149"/>
        <v>260</v>
      </c>
      <c r="BU94" s="499">
        <f t="shared" si="149"/>
        <v>260</v>
      </c>
      <c r="BV94" s="503">
        <f t="shared" si="116"/>
        <v>0</v>
      </c>
      <c r="BW94" s="503">
        <f t="shared" si="116"/>
        <v>0</v>
      </c>
      <c r="BX94" s="503">
        <f t="shared" si="116"/>
        <v>0</v>
      </c>
      <c r="BY94" s="503">
        <f t="shared" si="116"/>
        <v>0</v>
      </c>
      <c r="BZ94" s="503">
        <f t="shared" si="116"/>
        <v>0</v>
      </c>
      <c r="CA94" s="503">
        <f t="shared" si="116"/>
        <v>0</v>
      </c>
      <c r="CB94" s="503">
        <f t="shared" si="116"/>
        <v>0</v>
      </c>
      <c r="CC94" s="511">
        <f t="shared" si="94"/>
        <v>161.34211715753887</v>
      </c>
      <c r="CD94" s="511">
        <f t="shared" si="146"/>
        <v>161.34211715753887</v>
      </c>
      <c r="CE94" s="511">
        <f t="shared" si="146"/>
        <v>161.34211715753887</v>
      </c>
      <c r="CF94" s="511">
        <f t="shared" si="146"/>
        <v>161.34211715753887</v>
      </c>
      <c r="CG94" s="511">
        <f t="shared" si="146"/>
        <v>161.34211715753887</v>
      </c>
      <c r="CH94" s="511">
        <f t="shared" si="146"/>
        <v>161.34211715753887</v>
      </c>
      <c r="CI94" s="511">
        <f t="shared" si="146"/>
        <v>161.34211715753887</v>
      </c>
      <c r="CJ94" s="511">
        <f t="shared" si="96"/>
        <v>0</v>
      </c>
      <c r="CK94" s="511">
        <f t="shared" si="147"/>
        <v>0</v>
      </c>
      <c r="CL94" s="511">
        <f t="shared" si="147"/>
        <v>0</v>
      </c>
      <c r="CM94" s="511">
        <f t="shared" si="147"/>
        <v>0</v>
      </c>
      <c r="CN94" s="511">
        <f t="shared" si="147"/>
        <v>0</v>
      </c>
      <c r="CO94" s="511">
        <f t="shared" si="147"/>
        <v>0</v>
      </c>
      <c r="CP94" s="511">
        <f t="shared" si="147"/>
        <v>0</v>
      </c>
      <c r="CQ94" s="511">
        <f t="shared" si="98"/>
        <v>0</v>
      </c>
      <c r="CR94" s="511">
        <f t="shared" si="148"/>
        <v>0</v>
      </c>
      <c r="CS94" s="511">
        <f t="shared" si="148"/>
        <v>0</v>
      </c>
      <c r="CT94" s="511">
        <f t="shared" si="148"/>
        <v>0</v>
      </c>
      <c r="CU94" s="511">
        <f t="shared" si="148"/>
        <v>0</v>
      </c>
      <c r="CV94" s="511">
        <f t="shared" si="148"/>
        <v>0</v>
      </c>
      <c r="CW94" s="511">
        <f t="shared" si="148"/>
        <v>0</v>
      </c>
      <c r="CX94" s="508">
        <f t="shared" si="136"/>
        <v>264.12439999999998</v>
      </c>
      <c r="CY94" s="508">
        <f t="shared" si="136"/>
        <v>264.12439999999998</v>
      </c>
      <c r="CZ94" s="508">
        <f t="shared" si="136"/>
        <v>264.12439999999998</v>
      </c>
      <c r="DA94" s="508">
        <f t="shared" si="136"/>
        <v>264.12439999999998</v>
      </c>
      <c r="DB94" s="508">
        <f t="shared" si="136"/>
        <v>264.12439999999998</v>
      </c>
      <c r="DC94" s="508">
        <f t="shared" si="136"/>
        <v>264.12439999999998</v>
      </c>
      <c r="DD94" s="508">
        <f t="shared" si="136"/>
        <v>264.12439999999998</v>
      </c>
      <c r="DE94" s="508">
        <f t="shared" si="137"/>
        <v>0</v>
      </c>
      <c r="DF94" s="508">
        <f t="shared" si="137"/>
        <v>0</v>
      </c>
      <c r="DG94" s="508">
        <f t="shared" si="137"/>
        <v>0</v>
      </c>
      <c r="DH94" s="508">
        <f t="shared" si="137"/>
        <v>0</v>
      </c>
      <c r="DI94" s="508">
        <f t="shared" si="137"/>
        <v>0</v>
      </c>
      <c r="DJ94" s="508">
        <f t="shared" si="137"/>
        <v>0</v>
      </c>
      <c r="DK94" s="508">
        <f t="shared" si="137"/>
        <v>0</v>
      </c>
      <c r="DL94" s="508">
        <f t="shared" si="138"/>
        <v>130</v>
      </c>
      <c r="DM94" s="508">
        <f t="shared" si="138"/>
        <v>130</v>
      </c>
      <c r="DN94" s="508">
        <f t="shared" si="138"/>
        <v>130</v>
      </c>
      <c r="DO94" s="508">
        <f t="shared" si="138"/>
        <v>130</v>
      </c>
      <c r="DP94" s="508">
        <f t="shared" si="138"/>
        <v>130</v>
      </c>
      <c r="DQ94" s="508">
        <f t="shared" si="138"/>
        <v>130</v>
      </c>
      <c r="DR94" s="508">
        <f t="shared" si="138"/>
        <v>130</v>
      </c>
      <c r="DS94" s="508">
        <f t="shared" si="154"/>
        <v>0</v>
      </c>
      <c r="DT94" s="508">
        <f t="shared" si="154"/>
        <v>0</v>
      </c>
      <c r="DU94" s="508">
        <f t="shared" si="154"/>
        <v>0</v>
      </c>
      <c r="DV94" s="508">
        <f t="shared" si="154"/>
        <v>0</v>
      </c>
      <c r="DW94" s="508">
        <f t="shared" si="154"/>
        <v>0</v>
      </c>
      <c r="DX94" s="508">
        <f t="shared" si="153"/>
        <v>0</v>
      </c>
      <c r="DY94" s="508">
        <f t="shared" si="153"/>
        <v>0</v>
      </c>
      <c r="DZ94" s="511">
        <f t="shared" si="139"/>
        <v>80.671058578769433</v>
      </c>
      <c r="EA94" s="511">
        <f t="shared" si="139"/>
        <v>80.671058578769433</v>
      </c>
      <c r="EB94" s="511">
        <f t="shared" si="139"/>
        <v>80.671058578769433</v>
      </c>
      <c r="EC94" s="511">
        <f t="shared" si="139"/>
        <v>80.671058578769433</v>
      </c>
      <c r="ED94" s="511">
        <f t="shared" si="139"/>
        <v>80.671058578769433</v>
      </c>
      <c r="EE94" s="511">
        <f t="shared" si="139"/>
        <v>80.671058578769433</v>
      </c>
      <c r="EF94" s="511">
        <f t="shared" si="139"/>
        <v>80.671058578769433</v>
      </c>
      <c r="EG94" s="511">
        <f t="shared" si="140"/>
        <v>0</v>
      </c>
      <c r="EH94" s="511">
        <f t="shared" si="140"/>
        <v>0</v>
      </c>
      <c r="EI94" s="511">
        <f t="shared" si="140"/>
        <v>0</v>
      </c>
      <c r="EJ94" s="511">
        <f t="shared" si="140"/>
        <v>0</v>
      </c>
      <c r="EK94" s="511">
        <f t="shared" si="140"/>
        <v>0</v>
      </c>
      <c r="EL94" s="511">
        <f t="shared" si="140"/>
        <v>0</v>
      </c>
      <c r="EM94" s="511">
        <f t="shared" si="140"/>
        <v>0</v>
      </c>
      <c r="EN94" s="511">
        <f t="shared" si="141"/>
        <v>0</v>
      </c>
      <c r="EO94" s="511">
        <f t="shared" si="141"/>
        <v>0</v>
      </c>
      <c r="EP94" s="511">
        <f t="shared" si="141"/>
        <v>0</v>
      </c>
      <c r="EQ94" s="511">
        <f t="shared" si="141"/>
        <v>0</v>
      </c>
      <c r="ER94" s="511">
        <f t="shared" si="141"/>
        <v>0</v>
      </c>
      <c r="ES94" s="511">
        <f t="shared" si="141"/>
        <v>0</v>
      </c>
      <c r="ET94" s="511">
        <f t="shared" si="141"/>
        <v>0</v>
      </c>
      <c r="EU94" s="777">
        <f t="shared" si="118"/>
        <v>3.5</v>
      </c>
      <c r="EV94" s="728">
        <f t="shared" si="108"/>
        <v>1848.8707999999997</v>
      </c>
      <c r="EW94" s="728">
        <f t="shared" si="109"/>
        <v>0</v>
      </c>
      <c r="EX94" s="728">
        <f t="shared" si="110"/>
        <v>910</v>
      </c>
      <c r="EY94" s="728">
        <f t="shared" si="111"/>
        <v>0</v>
      </c>
      <c r="EZ94" s="777">
        <f t="shared" si="112"/>
        <v>564.69741005138599</v>
      </c>
      <c r="FA94" s="777">
        <f t="shared" si="113"/>
        <v>0</v>
      </c>
      <c r="FB94" s="778">
        <f t="shared" si="114"/>
        <v>0</v>
      </c>
    </row>
    <row r="95" spans="1:158" s="10" customFormat="1" ht="12.75" hidden="1" customHeight="1">
      <c r="A95" s="1036"/>
      <c r="B95" s="1037" t="s">
        <v>2149</v>
      </c>
      <c r="C95" s="1036"/>
      <c r="D95" s="1038"/>
      <c r="E95" s="1036"/>
      <c r="F95" s="1041"/>
      <c r="G95" s="1041"/>
      <c r="H95" s="1259"/>
      <c r="I95" s="1041"/>
      <c r="J95" s="1041"/>
      <c r="K95" s="1041"/>
      <c r="L95" s="1048"/>
      <c r="M95" s="1260"/>
      <c r="N95" s="1260"/>
      <c r="O95" s="1259"/>
      <c r="P95" s="1259"/>
      <c r="Q95" s="1045"/>
      <c r="R95" s="1044"/>
      <c r="S95" s="1045"/>
      <c r="T95" s="1048"/>
      <c r="U95" s="1261"/>
      <c r="V95" s="1046"/>
      <c r="W95" s="1262"/>
      <c r="X95" s="1262"/>
      <c r="Y95" s="1262"/>
      <c r="Z95" s="1262"/>
      <c r="AA95" s="1262"/>
      <c r="AB95" s="1262"/>
      <c r="AC95" s="1047"/>
      <c r="AD95" s="1047"/>
      <c r="AE95" s="1047"/>
      <c r="AF95" s="1047"/>
      <c r="AG95" s="1047"/>
      <c r="AH95" s="1047"/>
      <c r="AI95" s="1047"/>
      <c r="AJ95" s="1047"/>
      <c r="AK95" s="1048"/>
      <c r="AL95" s="1048"/>
      <c r="AM95" s="1048"/>
      <c r="AN95" s="1048"/>
      <c r="AO95" s="1048"/>
      <c r="AP95" s="1048"/>
      <c r="AQ95" s="1048"/>
      <c r="AR95" s="1038"/>
      <c r="AS95" s="1038"/>
      <c r="AT95" s="1038"/>
      <c r="AU95" s="1048"/>
      <c r="AV95" s="1048"/>
      <c r="AW95" s="1048"/>
      <c r="AX95" s="1049"/>
      <c r="AY95" s="1049"/>
      <c r="AZ95" s="1049"/>
      <c r="BA95" s="1052"/>
      <c r="BB95" s="1052"/>
      <c r="BC95" s="1052"/>
      <c r="BD95" s="1052"/>
      <c r="BE95" s="1052"/>
      <c r="BF95" s="1052"/>
      <c r="BG95" s="1052"/>
      <c r="BH95" s="1052"/>
      <c r="BI95" s="1052"/>
      <c r="BJ95" s="1052"/>
      <c r="BK95" s="1052"/>
      <c r="BL95" s="1052"/>
      <c r="BM95" s="1052"/>
      <c r="BN95" s="1052"/>
      <c r="BO95" s="1052"/>
      <c r="BP95" s="1052"/>
      <c r="BQ95" s="1052"/>
      <c r="BR95" s="1052"/>
      <c r="BS95" s="1052"/>
      <c r="BT95" s="1052"/>
      <c r="BU95" s="1052"/>
      <c r="BV95" s="1052"/>
      <c r="BW95" s="1052"/>
      <c r="BX95" s="1052"/>
      <c r="BY95" s="1052"/>
      <c r="BZ95" s="1052"/>
      <c r="CA95" s="1052"/>
      <c r="CB95" s="1052"/>
      <c r="CC95" s="1054"/>
      <c r="CD95" s="1054"/>
      <c r="CE95" s="1054"/>
      <c r="CF95" s="1054"/>
      <c r="CG95" s="1054"/>
      <c r="CH95" s="1054"/>
      <c r="CI95" s="1054"/>
      <c r="CJ95" s="1054"/>
      <c r="CK95" s="1054"/>
      <c r="CL95" s="1054"/>
      <c r="CM95" s="1054"/>
      <c r="CN95" s="1054"/>
      <c r="CO95" s="1054"/>
      <c r="CP95" s="1054"/>
      <c r="CQ95" s="1054"/>
      <c r="CR95" s="1054"/>
      <c r="CS95" s="1054"/>
      <c r="CT95" s="1054"/>
      <c r="CU95" s="1054"/>
      <c r="CV95" s="1054"/>
      <c r="CW95" s="1054"/>
      <c r="CX95" s="1057"/>
      <c r="CY95" s="1057"/>
      <c r="CZ95" s="1057"/>
      <c r="DA95" s="1057"/>
      <c r="DB95" s="1057"/>
      <c r="DC95" s="1057"/>
      <c r="DD95" s="1057"/>
      <c r="DE95" s="1057"/>
      <c r="DF95" s="1057"/>
      <c r="DG95" s="1057"/>
      <c r="DH95" s="1057"/>
      <c r="DI95" s="1057"/>
      <c r="DJ95" s="1057"/>
      <c r="DK95" s="1057"/>
      <c r="DL95" s="1057"/>
      <c r="DM95" s="1057"/>
      <c r="DN95" s="1057"/>
      <c r="DO95" s="1057"/>
      <c r="DP95" s="1057"/>
      <c r="DQ95" s="1057"/>
      <c r="DR95" s="1057"/>
      <c r="DS95" s="1057"/>
      <c r="DT95" s="1057"/>
      <c r="DU95" s="1057"/>
      <c r="DV95" s="1057"/>
      <c r="DW95" s="1057"/>
      <c r="DX95" s="1057"/>
      <c r="DY95" s="1057"/>
      <c r="DZ95" s="1054"/>
      <c r="EA95" s="1054"/>
      <c r="EB95" s="1054"/>
      <c r="EC95" s="1054"/>
      <c r="ED95" s="1054"/>
      <c r="EE95" s="1054"/>
      <c r="EF95" s="1054"/>
      <c r="EG95" s="1054"/>
      <c r="EH95" s="1054"/>
      <c r="EI95" s="1054"/>
      <c r="EJ95" s="1054"/>
      <c r="EK95" s="1054"/>
      <c r="EL95" s="1054"/>
      <c r="EM95" s="1054"/>
      <c r="EN95" s="1054"/>
      <c r="EO95" s="1054"/>
      <c r="EP95" s="1054"/>
      <c r="EQ95" s="1054"/>
      <c r="ER95" s="1054"/>
      <c r="ES95" s="1054"/>
      <c r="ET95" s="1054"/>
      <c r="EU95" s="1063"/>
      <c r="EV95" s="1062"/>
      <c r="EW95" s="1062"/>
      <c r="EX95" s="1062"/>
      <c r="EY95" s="1062"/>
      <c r="EZ95" s="1063"/>
      <c r="FA95" s="1063"/>
      <c r="FB95" s="1054"/>
    </row>
    <row r="96" spans="1:158" s="10" customFormat="1" ht="12.75" hidden="1" customHeight="1">
      <c r="A96" s="662" t="s">
        <v>172</v>
      </c>
      <c r="B96" s="789" t="s">
        <v>2189</v>
      </c>
      <c r="C96" s="662" t="s">
        <v>1955</v>
      </c>
      <c r="D96" s="715"/>
      <c r="E96" s="662" t="s">
        <v>1143</v>
      </c>
      <c r="F96" s="704" t="s">
        <v>372</v>
      </c>
      <c r="G96" s="707">
        <f t="shared" ref="G96:P111" si="155">G6</f>
        <v>25</v>
      </c>
      <c r="H96" s="707">
        <f t="shared" si="155"/>
        <v>0</v>
      </c>
      <c r="I96" s="707">
        <f t="shared" si="155"/>
        <v>25</v>
      </c>
      <c r="J96" s="707">
        <f t="shared" si="155"/>
        <v>0</v>
      </c>
      <c r="K96" s="707">
        <f t="shared" si="155"/>
        <v>0</v>
      </c>
      <c r="L96" s="1263" t="str">
        <f t="shared" si="155"/>
        <v>Audit Fee to Customer</v>
      </c>
      <c r="M96" s="707">
        <f t="shared" si="155"/>
        <v>0</v>
      </c>
      <c r="N96" s="707">
        <f t="shared" si="155"/>
        <v>0</v>
      </c>
      <c r="O96" s="707">
        <f t="shared" si="155"/>
        <v>0</v>
      </c>
      <c r="P96" s="707">
        <f t="shared" si="155"/>
        <v>0</v>
      </c>
      <c r="Q96" s="710">
        <v>0</v>
      </c>
      <c r="R96" s="710">
        <v>0</v>
      </c>
      <c r="S96" s="710">
        <v>0</v>
      </c>
      <c r="T96" s="711" t="str">
        <f>T6</f>
        <v>No saving for audit</v>
      </c>
      <c r="U96" s="712"/>
      <c r="V96" s="1124">
        <f t="shared" ref="V96:V139" si="156">V6</f>
        <v>1</v>
      </c>
      <c r="W96" s="790"/>
      <c r="X96" s="790"/>
      <c r="Y96" s="790"/>
      <c r="Z96" s="790"/>
      <c r="AA96" s="790"/>
      <c r="AB96" s="790"/>
      <c r="AC96" s="781">
        <f t="shared" ref="AC96:AG110" si="157">AC6*0.5</f>
        <v>1130</v>
      </c>
      <c r="AD96" s="781">
        <f t="shared" si="157"/>
        <v>1130</v>
      </c>
      <c r="AE96" s="781">
        <f t="shared" si="157"/>
        <v>1130</v>
      </c>
      <c r="AF96" s="781">
        <f t="shared" si="157"/>
        <v>1130</v>
      </c>
      <c r="AG96" s="781">
        <f t="shared" si="157"/>
        <v>1130</v>
      </c>
      <c r="AH96" s="781">
        <f t="shared" ref="AH96:AI111" si="158">AG96</f>
        <v>1130</v>
      </c>
      <c r="AI96" s="781">
        <f t="shared" si="158"/>
        <v>1130</v>
      </c>
      <c r="AJ96" s="711" t="s">
        <v>384</v>
      </c>
      <c r="AK96" s="711" t="s">
        <v>375</v>
      </c>
      <c r="AL96" s="711" t="s">
        <v>376</v>
      </c>
      <c r="AM96" s="711" t="s">
        <v>1958</v>
      </c>
      <c r="AN96" s="711" t="s">
        <v>1</v>
      </c>
      <c r="AO96" s="711" t="s">
        <v>378</v>
      </c>
      <c r="AP96" s="711" t="s">
        <v>378</v>
      </c>
      <c r="AQ96" s="711" t="s">
        <v>378</v>
      </c>
      <c r="AR96" s="715" t="s">
        <v>1945</v>
      </c>
      <c r="AS96" s="711"/>
      <c r="AT96" s="715" t="s">
        <v>381</v>
      </c>
      <c r="AU96" s="711">
        <v>1</v>
      </c>
      <c r="AV96" s="711">
        <v>1</v>
      </c>
      <c r="AW96" s="711" t="s">
        <v>1959</v>
      </c>
      <c r="AX96" s="716">
        <v>1</v>
      </c>
      <c r="AY96" s="716">
        <v>1</v>
      </c>
      <c r="AZ96" s="716">
        <v>1</v>
      </c>
      <c r="BA96" s="499">
        <f t="shared" ref="BA96:BA139" si="159">I96</f>
        <v>25</v>
      </c>
      <c r="BB96" s="499">
        <f t="shared" ref="BB96:BD111" si="160">BA96</f>
        <v>25</v>
      </c>
      <c r="BC96" s="499">
        <f t="shared" si="160"/>
        <v>25</v>
      </c>
      <c r="BD96" s="499">
        <f t="shared" si="160"/>
        <v>25</v>
      </c>
      <c r="BE96" s="499">
        <f t="shared" ref="BE96:BG139" si="161">BB96</f>
        <v>25</v>
      </c>
      <c r="BF96" s="499">
        <f t="shared" si="161"/>
        <v>25</v>
      </c>
      <c r="BG96" s="499">
        <f t="shared" si="161"/>
        <v>25</v>
      </c>
      <c r="BH96" s="499">
        <f t="shared" ref="BH96:BH139" si="162">J96</f>
        <v>0</v>
      </c>
      <c r="BI96" s="499">
        <f t="shared" ref="BI96:BN111" si="163">BH96</f>
        <v>0</v>
      </c>
      <c r="BJ96" s="499">
        <f t="shared" si="163"/>
        <v>0</v>
      </c>
      <c r="BK96" s="499">
        <f t="shared" si="163"/>
        <v>0</v>
      </c>
      <c r="BL96" s="499">
        <f t="shared" si="163"/>
        <v>0</v>
      </c>
      <c r="BM96" s="499">
        <f t="shared" si="163"/>
        <v>0</v>
      </c>
      <c r="BN96" s="499">
        <f t="shared" si="163"/>
        <v>0</v>
      </c>
      <c r="BO96" s="499">
        <f t="shared" ref="BO96:BO139" si="164">N96+O96</f>
        <v>0</v>
      </c>
      <c r="BP96" s="499">
        <f>BO96</f>
        <v>0</v>
      </c>
      <c r="BQ96" s="499">
        <f t="shared" ref="BQ96:BU111" si="165">BP96</f>
        <v>0</v>
      </c>
      <c r="BR96" s="499">
        <f t="shared" si="165"/>
        <v>0</v>
      </c>
      <c r="BS96" s="499">
        <f t="shared" si="165"/>
        <v>0</v>
      </c>
      <c r="BT96" s="499">
        <f t="shared" si="165"/>
        <v>0</v>
      </c>
      <c r="BU96" s="499">
        <f t="shared" si="165"/>
        <v>0</v>
      </c>
      <c r="BV96" s="503">
        <f>$P96</f>
        <v>0</v>
      </c>
      <c r="BW96" s="503">
        <f t="shared" ref="BW96:CB112" si="166">$P96</f>
        <v>0</v>
      </c>
      <c r="BX96" s="503">
        <f t="shared" si="166"/>
        <v>0</v>
      </c>
      <c r="BY96" s="503">
        <f t="shared" si="166"/>
        <v>0</v>
      </c>
      <c r="BZ96" s="503">
        <f t="shared" si="166"/>
        <v>0</v>
      </c>
      <c r="CA96" s="503">
        <f t="shared" si="166"/>
        <v>0</v>
      </c>
      <c r="CB96" s="503">
        <f t="shared" si="166"/>
        <v>0</v>
      </c>
      <c r="CC96" s="511">
        <f t="shared" ref="CC96:CC139" si="167">Q96*AY96</f>
        <v>0</v>
      </c>
      <c r="CD96" s="511">
        <f t="shared" ref="CD96:CI111" si="168">CC96</f>
        <v>0</v>
      </c>
      <c r="CE96" s="511">
        <f t="shared" si="168"/>
        <v>0</v>
      </c>
      <c r="CF96" s="511">
        <f t="shared" si="168"/>
        <v>0</v>
      </c>
      <c r="CG96" s="511">
        <f t="shared" si="168"/>
        <v>0</v>
      </c>
      <c r="CH96" s="511">
        <f t="shared" si="168"/>
        <v>0</v>
      </c>
      <c r="CI96" s="511">
        <f t="shared" si="168"/>
        <v>0</v>
      </c>
      <c r="CJ96" s="511">
        <f t="shared" ref="CJ96:CJ139" si="169">R96*AY96</f>
        <v>0</v>
      </c>
      <c r="CK96" s="511">
        <f t="shared" ref="CK96:CP111" si="170">CJ96</f>
        <v>0</v>
      </c>
      <c r="CL96" s="511">
        <f t="shared" si="170"/>
        <v>0</v>
      </c>
      <c r="CM96" s="511">
        <f t="shared" si="170"/>
        <v>0</v>
      </c>
      <c r="CN96" s="511">
        <f t="shared" si="170"/>
        <v>0</v>
      </c>
      <c r="CO96" s="511">
        <f t="shared" si="170"/>
        <v>0</v>
      </c>
      <c r="CP96" s="511">
        <f t="shared" si="170"/>
        <v>0</v>
      </c>
      <c r="CQ96" s="511">
        <f t="shared" ref="CQ96:CQ139" si="171">S96*AZ96</f>
        <v>0</v>
      </c>
      <c r="CR96" s="511">
        <f t="shared" ref="CR96:CW111" si="172">CQ96</f>
        <v>0</v>
      </c>
      <c r="CS96" s="511">
        <f t="shared" si="172"/>
        <v>0</v>
      </c>
      <c r="CT96" s="511">
        <f t="shared" si="172"/>
        <v>0</v>
      </c>
      <c r="CU96" s="511">
        <f t="shared" si="172"/>
        <v>0</v>
      </c>
      <c r="CV96" s="511">
        <f t="shared" si="172"/>
        <v>0</v>
      </c>
      <c r="CW96" s="511">
        <f t="shared" si="172"/>
        <v>0</v>
      </c>
      <c r="CX96" s="508">
        <f t="shared" ref="CX96:DD132" si="173">AC96*BA96</f>
        <v>28250</v>
      </c>
      <c r="CY96" s="508">
        <f t="shared" si="173"/>
        <v>28250</v>
      </c>
      <c r="CZ96" s="508">
        <f t="shared" si="173"/>
        <v>28250</v>
      </c>
      <c r="DA96" s="508">
        <f t="shared" si="173"/>
        <v>28250</v>
      </c>
      <c r="DB96" s="508">
        <f t="shared" si="173"/>
        <v>28250</v>
      </c>
      <c r="DC96" s="508">
        <f t="shared" si="173"/>
        <v>28250</v>
      </c>
      <c r="DD96" s="508">
        <f t="shared" si="173"/>
        <v>28250</v>
      </c>
      <c r="DE96" s="508">
        <f t="shared" ref="DE96:DK132" si="174">AC96*BH96</f>
        <v>0</v>
      </c>
      <c r="DF96" s="508">
        <f t="shared" si="174"/>
        <v>0</v>
      </c>
      <c r="DG96" s="508">
        <f t="shared" si="174"/>
        <v>0</v>
      </c>
      <c r="DH96" s="508">
        <f t="shared" si="174"/>
        <v>0</v>
      </c>
      <c r="DI96" s="508">
        <f t="shared" si="174"/>
        <v>0</v>
      </c>
      <c r="DJ96" s="508">
        <f t="shared" si="174"/>
        <v>0</v>
      </c>
      <c r="DK96" s="508">
        <f t="shared" si="174"/>
        <v>0</v>
      </c>
      <c r="DL96" s="508">
        <f t="shared" ref="DL96:DR132" si="175">AC96*BO96</f>
        <v>0</v>
      </c>
      <c r="DM96" s="508">
        <f t="shared" si="175"/>
        <v>0</v>
      </c>
      <c r="DN96" s="508">
        <f t="shared" si="175"/>
        <v>0</v>
      </c>
      <c r="DO96" s="508">
        <f t="shared" si="175"/>
        <v>0</v>
      </c>
      <c r="DP96" s="508">
        <f t="shared" si="175"/>
        <v>0</v>
      </c>
      <c r="DQ96" s="508">
        <f t="shared" si="175"/>
        <v>0</v>
      </c>
      <c r="DR96" s="508">
        <f t="shared" si="175"/>
        <v>0</v>
      </c>
      <c r="DS96" s="508">
        <f>BV96*AC96</f>
        <v>0</v>
      </c>
      <c r="DT96" s="508">
        <f>BW96*AD96</f>
        <v>0</v>
      </c>
      <c r="DU96" s="508">
        <f>BX96*AE96</f>
        <v>0</v>
      </c>
      <c r="DV96" s="508">
        <f>BY96*AF96</f>
        <v>0</v>
      </c>
      <c r="DW96" s="508">
        <f>BZ96*AG96</f>
        <v>0</v>
      </c>
      <c r="DX96" s="508">
        <f t="shared" ref="DX96:DY111" si="176">CA96*AH96</f>
        <v>0</v>
      </c>
      <c r="DY96" s="508">
        <f t="shared" si="176"/>
        <v>0</v>
      </c>
      <c r="DZ96" s="511">
        <f t="shared" ref="DZ96:EF132" si="177">AC96*CC96</f>
        <v>0</v>
      </c>
      <c r="EA96" s="511">
        <f t="shared" si="177"/>
        <v>0</v>
      </c>
      <c r="EB96" s="511">
        <f t="shared" si="177"/>
        <v>0</v>
      </c>
      <c r="EC96" s="511">
        <f t="shared" si="177"/>
        <v>0</v>
      </c>
      <c r="ED96" s="511">
        <f t="shared" si="177"/>
        <v>0</v>
      </c>
      <c r="EE96" s="511">
        <f t="shared" si="177"/>
        <v>0</v>
      </c>
      <c r="EF96" s="511">
        <f t="shared" si="177"/>
        <v>0</v>
      </c>
      <c r="EG96" s="511">
        <f t="shared" ref="EG96:EM132" si="178">AC96*CJ96</f>
        <v>0</v>
      </c>
      <c r="EH96" s="511">
        <f t="shared" si="178"/>
        <v>0</v>
      </c>
      <c r="EI96" s="511">
        <f t="shared" si="178"/>
        <v>0</v>
      </c>
      <c r="EJ96" s="511">
        <f t="shared" si="178"/>
        <v>0</v>
      </c>
      <c r="EK96" s="511">
        <f t="shared" si="178"/>
        <v>0</v>
      </c>
      <c r="EL96" s="511">
        <f t="shared" si="178"/>
        <v>0</v>
      </c>
      <c r="EM96" s="511">
        <f t="shared" si="178"/>
        <v>0</v>
      </c>
      <c r="EN96" s="511">
        <f t="shared" ref="EN96:ET132" si="179">AC96*CQ96</f>
        <v>0</v>
      </c>
      <c r="EO96" s="511">
        <f t="shared" si="179"/>
        <v>0</v>
      </c>
      <c r="EP96" s="511">
        <f t="shared" si="179"/>
        <v>0</v>
      </c>
      <c r="EQ96" s="511">
        <f t="shared" si="179"/>
        <v>0</v>
      </c>
      <c r="ER96" s="511">
        <f t="shared" si="179"/>
        <v>0</v>
      </c>
      <c r="ES96" s="511">
        <f t="shared" si="179"/>
        <v>0</v>
      </c>
      <c r="ET96" s="511">
        <f t="shared" si="179"/>
        <v>0</v>
      </c>
      <c r="EU96" s="777">
        <f t="shared" ref="EU96" si="180">SUM(AC96:AI96)</f>
        <v>7910</v>
      </c>
      <c r="EV96" s="728">
        <f t="shared" ref="EV96:EV139" si="181">SUM(CX96:DD96)</f>
        <v>197750</v>
      </c>
      <c r="EW96" s="728">
        <f t="shared" ref="EW96:EW139" si="182">SUM(DE96:DK96)</f>
        <v>0</v>
      </c>
      <c r="EX96" s="728">
        <f t="shared" ref="EX96:EX139" si="183">SUM(DL96:DR96)</f>
        <v>0</v>
      </c>
      <c r="EY96" s="728">
        <f t="shared" ref="EY96:EY139" si="184">SUM(DS96:DY96)</f>
        <v>0</v>
      </c>
      <c r="EZ96" s="777">
        <f t="shared" ref="EZ96:EZ139" si="185">SUM(DZ96:EF96)</f>
        <v>0</v>
      </c>
      <c r="FA96" s="777">
        <f t="shared" ref="FA96:FA139" si="186">SUM(EG96:EM96)</f>
        <v>0</v>
      </c>
      <c r="FB96" s="778">
        <f t="shared" ref="FB96:FB139" si="187">SUM(EN96:ET96)</f>
        <v>0</v>
      </c>
    </row>
    <row r="97" spans="1:158" s="10" customFormat="1" ht="12.75" hidden="1" customHeight="1">
      <c r="A97" s="662" t="s">
        <v>2190</v>
      </c>
      <c r="B97" s="789" t="s">
        <v>2191</v>
      </c>
      <c r="C97" s="662" t="s">
        <v>1961</v>
      </c>
      <c r="D97" s="715"/>
      <c r="E97" s="662" t="s">
        <v>1143</v>
      </c>
      <c r="F97" s="704" t="s">
        <v>372</v>
      </c>
      <c r="G97" s="707">
        <f t="shared" si="155"/>
        <v>100</v>
      </c>
      <c r="H97" s="707">
        <f t="shared" si="155"/>
        <v>0</v>
      </c>
      <c r="I97" s="707">
        <f t="shared" si="155"/>
        <v>100</v>
      </c>
      <c r="J97" s="707">
        <f t="shared" si="155"/>
        <v>0</v>
      </c>
      <c r="K97" s="707">
        <f t="shared" si="155"/>
        <v>0</v>
      </c>
      <c r="L97" s="1263" t="str">
        <f t="shared" si="155"/>
        <v>Audit Fee to Customer</v>
      </c>
      <c r="M97" s="707">
        <f t="shared" si="155"/>
        <v>0</v>
      </c>
      <c r="N97" s="707">
        <f t="shared" si="155"/>
        <v>0</v>
      </c>
      <c r="O97" s="707">
        <f t="shared" si="155"/>
        <v>0</v>
      </c>
      <c r="P97" s="707">
        <f t="shared" si="155"/>
        <v>0</v>
      </c>
      <c r="Q97" s="710">
        <v>0</v>
      </c>
      <c r="R97" s="710">
        <v>0</v>
      </c>
      <c r="S97" s="710">
        <v>0</v>
      </c>
      <c r="T97" s="711" t="str">
        <f t="shared" ref="T97:T139" si="188">T7</f>
        <v>No saving for audit</v>
      </c>
      <c r="U97" s="712"/>
      <c r="V97" s="1124">
        <f t="shared" si="156"/>
        <v>1</v>
      </c>
      <c r="W97" s="790"/>
      <c r="X97" s="790"/>
      <c r="Y97" s="790"/>
      <c r="Z97" s="790"/>
      <c r="AA97" s="790"/>
      <c r="AB97" s="790"/>
      <c r="AC97" s="781">
        <f t="shared" si="157"/>
        <v>125</v>
      </c>
      <c r="AD97" s="781">
        <f t="shared" si="157"/>
        <v>125</v>
      </c>
      <c r="AE97" s="781">
        <f t="shared" si="157"/>
        <v>125</v>
      </c>
      <c r="AF97" s="781">
        <f t="shared" si="157"/>
        <v>125</v>
      </c>
      <c r="AG97" s="781">
        <f t="shared" si="157"/>
        <v>125</v>
      </c>
      <c r="AH97" s="781">
        <f t="shared" si="158"/>
        <v>125</v>
      </c>
      <c r="AI97" s="781">
        <f t="shared" si="158"/>
        <v>125</v>
      </c>
      <c r="AJ97" s="711" t="s">
        <v>384</v>
      </c>
      <c r="AK97" s="711" t="s">
        <v>375</v>
      </c>
      <c r="AL97" s="711" t="s">
        <v>376</v>
      </c>
      <c r="AM97" s="711" t="s">
        <v>1958</v>
      </c>
      <c r="AN97" s="711" t="s">
        <v>1</v>
      </c>
      <c r="AO97" s="711" t="s">
        <v>378</v>
      </c>
      <c r="AP97" s="711" t="s">
        <v>378</v>
      </c>
      <c r="AQ97" s="711" t="s">
        <v>378</v>
      </c>
      <c r="AR97" s="715" t="s">
        <v>1945</v>
      </c>
      <c r="AS97" s="711"/>
      <c r="AT97" s="715" t="s">
        <v>381</v>
      </c>
      <c r="AU97" s="711">
        <v>1</v>
      </c>
      <c r="AV97" s="711">
        <v>1</v>
      </c>
      <c r="AW97" s="711" t="s">
        <v>1959</v>
      </c>
      <c r="AX97" s="716">
        <v>1</v>
      </c>
      <c r="AY97" s="716">
        <v>1</v>
      </c>
      <c r="AZ97" s="716">
        <v>1</v>
      </c>
      <c r="BA97" s="499">
        <f t="shared" si="159"/>
        <v>100</v>
      </c>
      <c r="BB97" s="499">
        <f t="shared" si="160"/>
        <v>100</v>
      </c>
      <c r="BC97" s="499">
        <f t="shared" si="160"/>
        <v>100</v>
      </c>
      <c r="BD97" s="499">
        <f t="shared" si="160"/>
        <v>100</v>
      </c>
      <c r="BE97" s="499">
        <f t="shared" si="161"/>
        <v>100</v>
      </c>
      <c r="BF97" s="499">
        <f t="shared" si="161"/>
        <v>100</v>
      </c>
      <c r="BG97" s="499">
        <f t="shared" si="161"/>
        <v>100</v>
      </c>
      <c r="BH97" s="499">
        <f t="shared" si="162"/>
        <v>0</v>
      </c>
      <c r="BI97" s="499">
        <f t="shared" si="163"/>
        <v>0</v>
      </c>
      <c r="BJ97" s="499">
        <f t="shared" si="163"/>
        <v>0</v>
      </c>
      <c r="BK97" s="499">
        <f t="shared" si="163"/>
        <v>0</v>
      </c>
      <c r="BL97" s="499">
        <f t="shared" si="163"/>
        <v>0</v>
      </c>
      <c r="BM97" s="499">
        <f t="shared" si="163"/>
        <v>0</v>
      </c>
      <c r="BN97" s="499">
        <f t="shared" si="163"/>
        <v>0</v>
      </c>
      <c r="BO97" s="499">
        <f t="shared" si="164"/>
        <v>0</v>
      </c>
      <c r="BP97" s="499">
        <f>BO97</f>
        <v>0</v>
      </c>
      <c r="BQ97" s="499">
        <f t="shared" si="165"/>
        <v>0</v>
      </c>
      <c r="BR97" s="499">
        <f t="shared" si="165"/>
        <v>0</v>
      </c>
      <c r="BS97" s="499">
        <f t="shared" si="165"/>
        <v>0</v>
      </c>
      <c r="BT97" s="499">
        <f t="shared" si="165"/>
        <v>0</v>
      </c>
      <c r="BU97" s="499">
        <f t="shared" si="165"/>
        <v>0</v>
      </c>
      <c r="BV97" s="503">
        <f t="shared" ref="BV97:CB139" si="189">$P97</f>
        <v>0</v>
      </c>
      <c r="BW97" s="503">
        <f t="shared" si="166"/>
        <v>0</v>
      </c>
      <c r="BX97" s="503">
        <f t="shared" si="166"/>
        <v>0</v>
      </c>
      <c r="BY97" s="503">
        <f t="shared" si="166"/>
        <v>0</v>
      </c>
      <c r="BZ97" s="503">
        <f t="shared" si="166"/>
        <v>0</v>
      </c>
      <c r="CA97" s="503">
        <f t="shared" si="166"/>
        <v>0</v>
      </c>
      <c r="CB97" s="503">
        <f t="shared" si="166"/>
        <v>0</v>
      </c>
      <c r="CC97" s="511">
        <f t="shared" si="167"/>
        <v>0</v>
      </c>
      <c r="CD97" s="511">
        <f t="shared" si="168"/>
        <v>0</v>
      </c>
      <c r="CE97" s="511">
        <f t="shared" si="168"/>
        <v>0</v>
      </c>
      <c r="CF97" s="511">
        <f t="shared" si="168"/>
        <v>0</v>
      </c>
      <c r="CG97" s="511">
        <f t="shared" si="168"/>
        <v>0</v>
      </c>
      <c r="CH97" s="511">
        <f t="shared" si="168"/>
        <v>0</v>
      </c>
      <c r="CI97" s="511">
        <f t="shared" si="168"/>
        <v>0</v>
      </c>
      <c r="CJ97" s="511">
        <f t="shared" si="169"/>
        <v>0</v>
      </c>
      <c r="CK97" s="511">
        <f t="shared" si="170"/>
        <v>0</v>
      </c>
      <c r="CL97" s="511">
        <f t="shared" si="170"/>
        <v>0</v>
      </c>
      <c r="CM97" s="511">
        <f t="shared" si="170"/>
        <v>0</v>
      </c>
      <c r="CN97" s="511">
        <f t="shared" si="170"/>
        <v>0</v>
      </c>
      <c r="CO97" s="511">
        <f t="shared" si="170"/>
        <v>0</v>
      </c>
      <c r="CP97" s="511">
        <f t="shared" si="170"/>
        <v>0</v>
      </c>
      <c r="CQ97" s="511">
        <f t="shared" si="171"/>
        <v>0</v>
      </c>
      <c r="CR97" s="511">
        <f t="shared" si="172"/>
        <v>0</v>
      </c>
      <c r="CS97" s="511">
        <f t="shared" si="172"/>
        <v>0</v>
      </c>
      <c r="CT97" s="511">
        <f t="shared" si="172"/>
        <v>0</v>
      </c>
      <c r="CU97" s="511">
        <f t="shared" si="172"/>
        <v>0</v>
      </c>
      <c r="CV97" s="511">
        <f t="shared" si="172"/>
        <v>0</v>
      </c>
      <c r="CW97" s="511">
        <f t="shared" si="172"/>
        <v>0</v>
      </c>
      <c r="CX97" s="508">
        <f t="shared" si="173"/>
        <v>12500</v>
      </c>
      <c r="CY97" s="508">
        <f t="shared" si="173"/>
        <v>12500</v>
      </c>
      <c r="CZ97" s="508">
        <f t="shared" si="173"/>
        <v>12500</v>
      </c>
      <c r="DA97" s="508">
        <f t="shared" si="173"/>
        <v>12500</v>
      </c>
      <c r="DB97" s="508">
        <f t="shared" si="173"/>
        <v>12500</v>
      </c>
      <c r="DC97" s="508">
        <f t="shared" si="173"/>
        <v>12500</v>
      </c>
      <c r="DD97" s="508">
        <f t="shared" si="173"/>
        <v>12500</v>
      </c>
      <c r="DE97" s="508">
        <f t="shared" si="174"/>
        <v>0</v>
      </c>
      <c r="DF97" s="508">
        <f t="shared" si="174"/>
        <v>0</v>
      </c>
      <c r="DG97" s="508">
        <f t="shared" si="174"/>
        <v>0</v>
      </c>
      <c r="DH97" s="508">
        <f t="shared" si="174"/>
        <v>0</v>
      </c>
      <c r="DI97" s="508">
        <f t="shared" si="174"/>
        <v>0</v>
      </c>
      <c r="DJ97" s="508">
        <f t="shared" si="174"/>
        <v>0</v>
      </c>
      <c r="DK97" s="508">
        <f t="shared" si="174"/>
        <v>0</v>
      </c>
      <c r="DL97" s="508">
        <f t="shared" si="175"/>
        <v>0</v>
      </c>
      <c r="DM97" s="508">
        <f t="shared" si="175"/>
        <v>0</v>
      </c>
      <c r="DN97" s="508">
        <f t="shared" si="175"/>
        <v>0</v>
      </c>
      <c r="DO97" s="508">
        <f t="shared" si="175"/>
        <v>0</v>
      </c>
      <c r="DP97" s="508">
        <f t="shared" si="175"/>
        <v>0</v>
      </c>
      <c r="DQ97" s="508">
        <f t="shared" si="175"/>
        <v>0</v>
      </c>
      <c r="DR97" s="508">
        <f t="shared" si="175"/>
        <v>0</v>
      </c>
      <c r="DS97" s="508">
        <f t="shared" ref="DS97:DY137" si="190">BV97*AC97</f>
        <v>0</v>
      </c>
      <c r="DT97" s="508">
        <f t="shared" si="190"/>
        <v>0</v>
      </c>
      <c r="DU97" s="508">
        <f t="shared" si="190"/>
        <v>0</v>
      </c>
      <c r="DV97" s="508">
        <f t="shared" si="190"/>
        <v>0</v>
      </c>
      <c r="DW97" s="508">
        <f t="shared" si="190"/>
        <v>0</v>
      </c>
      <c r="DX97" s="508">
        <f t="shared" si="176"/>
        <v>0</v>
      </c>
      <c r="DY97" s="508">
        <f t="shared" si="176"/>
        <v>0</v>
      </c>
      <c r="DZ97" s="511">
        <f t="shared" si="177"/>
        <v>0</v>
      </c>
      <c r="EA97" s="511">
        <f t="shared" si="177"/>
        <v>0</v>
      </c>
      <c r="EB97" s="511">
        <f t="shared" si="177"/>
        <v>0</v>
      </c>
      <c r="EC97" s="511">
        <f t="shared" si="177"/>
        <v>0</v>
      </c>
      <c r="ED97" s="511">
        <f t="shared" si="177"/>
        <v>0</v>
      </c>
      <c r="EE97" s="511">
        <f t="shared" si="177"/>
        <v>0</v>
      </c>
      <c r="EF97" s="511">
        <f t="shared" si="177"/>
        <v>0</v>
      </c>
      <c r="EG97" s="511">
        <f t="shared" si="178"/>
        <v>0</v>
      </c>
      <c r="EH97" s="511">
        <f t="shared" si="178"/>
        <v>0</v>
      </c>
      <c r="EI97" s="511">
        <f t="shared" si="178"/>
        <v>0</v>
      </c>
      <c r="EJ97" s="511">
        <f t="shared" si="178"/>
        <v>0</v>
      </c>
      <c r="EK97" s="511">
        <f t="shared" si="178"/>
        <v>0</v>
      </c>
      <c r="EL97" s="511">
        <f t="shared" si="178"/>
        <v>0</v>
      </c>
      <c r="EM97" s="511">
        <f t="shared" si="178"/>
        <v>0</v>
      </c>
      <c r="EN97" s="511">
        <f t="shared" si="179"/>
        <v>0</v>
      </c>
      <c r="EO97" s="511">
        <f t="shared" si="179"/>
        <v>0</v>
      </c>
      <c r="EP97" s="511">
        <f t="shared" si="179"/>
        <v>0</v>
      </c>
      <c r="EQ97" s="511">
        <f t="shared" si="179"/>
        <v>0</v>
      </c>
      <c r="ER97" s="511">
        <f t="shared" si="179"/>
        <v>0</v>
      </c>
      <c r="ES97" s="511">
        <f t="shared" si="179"/>
        <v>0</v>
      </c>
      <c r="ET97" s="511">
        <f t="shared" si="179"/>
        <v>0</v>
      </c>
      <c r="EU97" s="777">
        <f t="shared" ref="EU97:EU139" si="191">SUM(AC97:AI97)</f>
        <v>875</v>
      </c>
      <c r="EV97" s="728">
        <f t="shared" si="181"/>
        <v>87500</v>
      </c>
      <c r="EW97" s="728">
        <f t="shared" si="182"/>
        <v>0</v>
      </c>
      <c r="EX97" s="728">
        <f t="shared" si="183"/>
        <v>0</v>
      </c>
      <c r="EY97" s="728">
        <f t="shared" si="184"/>
        <v>0</v>
      </c>
      <c r="EZ97" s="777">
        <f t="shared" si="185"/>
        <v>0</v>
      </c>
      <c r="FA97" s="777">
        <f t="shared" si="186"/>
        <v>0</v>
      </c>
      <c r="FB97" s="778">
        <f t="shared" si="187"/>
        <v>0</v>
      </c>
    </row>
    <row r="98" spans="1:158" s="10" customFormat="1" ht="12.75" hidden="1" customHeight="1">
      <c r="A98" s="662" t="s">
        <v>174</v>
      </c>
      <c r="B98" s="789" t="s">
        <v>2192</v>
      </c>
      <c r="C98" s="662" t="s">
        <v>1963</v>
      </c>
      <c r="D98" s="715"/>
      <c r="E98" s="662" t="s">
        <v>1143</v>
      </c>
      <c r="F98" s="704" t="s">
        <v>372</v>
      </c>
      <c r="G98" s="707">
        <f t="shared" si="155"/>
        <v>0</v>
      </c>
      <c r="H98" s="707">
        <f t="shared" si="155"/>
        <v>0</v>
      </c>
      <c r="I98" s="707">
        <f t="shared" si="155"/>
        <v>0</v>
      </c>
      <c r="J98" s="707">
        <f t="shared" si="155"/>
        <v>0</v>
      </c>
      <c r="K98" s="707">
        <f t="shared" si="155"/>
        <v>0</v>
      </c>
      <c r="L98" s="1263" t="str">
        <f t="shared" si="155"/>
        <v>Free to customer</v>
      </c>
      <c r="M98" s="707">
        <f t="shared" si="155"/>
        <v>0</v>
      </c>
      <c r="N98" s="707">
        <f t="shared" si="155"/>
        <v>0</v>
      </c>
      <c r="O98" s="707">
        <f t="shared" si="155"/>
        <v>0</v>
      </c>
      <c r="P98" s="707">
        <f t="shared" si="155"/>
        <v>0</v>
      </c>
      <c r="Q98" s="710">
        <v>0</v>
      </c>
      <c r="R98" s="710">
        <v>0</v>
      </c>
      <c r="S98" s="710">
        <v>0</v>
      </c>
      <c r="T98" s="711" t="str">
        <f t="shared" si="188"/>
        <v>No saving for audit</v>
      </c>
      <c r="U98" s="712"/>
      <c r="V98" s="1124">
        <f t="shared" si="156"/>
        <v>1</v>
      </c>
      <c r="W98" s="790"/>
      <c r="X98" s="790"/>
      <c r="Y98" s="790"/>
      <c r="Z98" s="790"/>
      <c r="AA98" s="790"/>
      <c r="AB98" s="790"/>
      <c r="AC98" s="781">
        <f t="shared" si="157"/>
        <v>1320</v>
      </c>
      <c r="AD98" s="781">
        <f t="shared" si="157"/>
        <v>1320</v>
      </c>
      <c r="AE98" s="781">
        <f t="shared" si="157"/>
        <v>1320</v>
      </c>
      <c r="AF98" s="781">
        <f t="shared" si="157"/>
        <v>1320</v>
      </c>
      <c r="AG98" s="781">
        <f t="shared" si="157"/>
        <v>1320</v>
      </c>
      <c r="AH98" s="781">
        <f t="shared" si="158"/>
        <v>1320</v>
      </c>
      <c r="AI98" s="781">
        <f t="shared" si="158"/>
        <v>1320</v>
      </c>
      <c r="AJ98" s="711" t="s">
        <v>384</v>
      </c>
      <c r="AK98" s="711" t="s">
        <v>375</v>
      </c>
      <c r="AL98" s="711" t="s">
        <v>376</v>
      </c>
      <c r="AM98" s="711" t="s">
        <v>1958</v>
      </c>
      <c r="AN98" s="711" t="s">
        <v>1</v>
      </c>
      <c r="AO98" s="711" t="s">
        <v>378</v>
      </c>
      <c r="AP98" s="711" t="s">
        <v>378</v>
      </c>
      <c r="AQ98" s="711" t="s">
        <v>378</v>
      </c>
      <c r="AR98" s="715" t="s">
        <v>1945</v>
      </c>
      <c r="AS98" s="711"/>
      <c r="AT98" s="715" t="s">
        <v>381</v>
      </c>
      <c r="AU98" s="711">
        <v>1</v>
      </c>
      <c r="AV98" s="711">
        <v>1</v>
      </c>
      <c r="AW98" s="711" t="s">
        <v>1959</v>
      </c>
      <c r="AX98" s="716">
        <v>1</v>
      </c>
      <c r="AY98" s="716">
        <v>1</v>
      </c>
      <c r="AZ98" s="716">
        <v>1</v>
      </c>
      <c r="BA98" s="499">
        <f t="shared" si="159"/>
        <v>0</v>
      </c>
      <c r="BB98" s="499">
        <f t="shared" si="160"/>
        <v>0</v>
      </c>
      <c r="BC98" s="499">
        <f t="shared" si="160"/>
        <v>0</v>
      </c>
      <c r="BD98" s="499">
        <f t="shared" si="160"/>
        <v>0</v>
      </c>
      <c r="BE98" s="499">
        <f t="shared" si="161"/>
        <v>0</v>
      </c>
      <c r="BF98" s="499">
        <f t="shared" si="161"/>
        <v>0</v>
      </c>
      <c r="BG98" s="499">
        <f t="shared" si="161"/>
        <v>0</v>
      </c>
      <c r="BH98" s="499">
        <f t="shared" si="162"/>
        <v>0</v>
      </c>
      <c r="BI98" s="499">
        <f t="shared" si="163"/>
        <v>0</v>
      </c>
      <c r="BJ98" s="499">
        <f t="shared" si="163"/>
        <v>0</v>
      </c>
      <c r="BK98" s="499">
        <f t="shared" si="163"/>
        <v>0</v>
      </c>
      <c r="BL98" s="499">
        <f t="shared" si="163"/>
        <v>0</v>
      </c>
      <c r="BM98" s="499">
        <f t="shared" si="163"/>
        <v>0</v>
      </c>
      <c r="BN98" s="499">
        <f t="shared" si="163"/>
        <v>0</v>
      </c>
      <c r="BO98" s="499">
        <f t="shared" si="164"/>
        <v>0</v>
      </c>
      <c r="BP98" s="499">
        <f>BO98</f>
        <v>0</v>
      </c>
      <c r="BQ98" s="499">
        <f t="shared" si="165"/>
        <v>0</v>
      </c>
      <c r="BR98" s="499">
        <f t="shared" si="165"/>
        <v>0</v>
      </c>
      <c r="BS98" s="499">
        <f t="shared" si="165"/>
        <v>0</v>
      </c>
      <c r="BT98" s="499">
        <f t="shared" si="165"/>
        <v>0</v>
      </c>
      <c r="BU98" s="499">
        <f t="shared" si="165"/>
        <v>0</v>
      </c>
      <c r="BV98" s="503">
        <f t="shared" si="189"/>
        <v>0</v>
      </c>
      <c r="BW98" s="503">
        <f t="shared" si="166"/>
        <v>0</v>
      </c>
      <c r="BX98" s="503">
        <f t="shared" si="166"/>
        <v>0</v>
      </c>
      <c r="BY98" s="503">
        <f t="shared" si="166"/>
        <v>0</v>
      </c>
      <c r="BZ98" s="503">
        <f t="shared" si="166"/>
        <v>0</v>
      </c>
      <c r="CA98" s="503">
        <f t="shared" si="166"/>
        <v>0</v>
      </c>
      <c r="CB98" s="503">
        <f t="shared" si="166"/>
        <v>0</v>
      </c>
      <c r="CC98" s="511">
        <f t="shared" si="167"/>
        <v>0</v>
      </c>
      <c r="CD98" s="511">
        <f t="shared" si="168"/>
        <v>0</v>
      </c>
      <c r="CE98" s="511">
        <f t="shared" si="168"/>
        <v>0</v>
      </c>
      <c r="CF98" s="511">
        <f t="shared" si="168"/>
        <v>0</v>
      </c>
      <c r="CG98" s="511">
        <f t="shared" si="168"/>
        <v>0</v>
      </c>
      <c r="CH98" s="511">
        <f t="shared" si="168"/>
        <v>0</v>
      </c>
      <c r="CI98" s="511">
        <f t="shared" si="168"/>
        <v>0</v>
      </c>
      <c r="CJ98" s="511">
        <f t="shared" si="169"/>
        <v>0</v>
      </c>
      <c r="CK98" s="511">
        <f t="shared" si="170"/>
        <v>0</v>
      </c>
      <c r="CL98" s="511">
        <f t="shared" si="170"/>
        <v>0</v>
      </c>
      <c r="CM98" s="511">
        <f t="shared" si="170"/>
        <v>0</v>
      </c>
      <c r="CN98" s="511">
        <f t="shared" si="170"/>
        <v>0</v>
      </c>
      <c r="CO98" s="511">
        <f t="shared" si="170"/>
        <v>0</v>
      </c>
      <c r="CP98" s="511">
        <f t="shared" si="170"/>
        <v>0</v>
      </c>
      <c r="CQ98" s="511">
        <f t="shared" si="171"/>
        <v>0</v>
      </c>
      <c r="CR98" s="511">
        <f t="shared" si="172"/>
        <v>0</v>
      </c>
      <c r="CS98" s="511">
        <f t="shared" si="172"/>
        <v>0</v>
      </c>
      <c r="CT98" s="511">
        <f t="shared" si="172"/>
        <v>0</v>
      </c>
      <c r="CU98" s="511">
        <f t="shared" si="172"/>
        <v>0</v>
      </c>
      <c r="CV98" s="511">
        <f t="shared" si="172"/>
        <v>0</v>
      </c>
      <c r="CW98" s="511">
        <f t="shared" si="172"/>
        <v>0</v>
      </c>
      <c r="CX98" s="508">
        <f t="shared" si="173"/>
        <v>0</v>
      </c>
      <c r="CY98" s="508">
        <f t="shared" si="173"/>
        <v>0</v>
      </c>
      <c r="CZ98" s="508">
        <f t="shared" si="173"/>
        <v>0</v>
      </c>
      <c r="DA98" s="508">
        <f t="shared" si="173"/>
        <v>0</v>
      </c>
      <c r="DB98" s="508">
        <f t="shared" si="173"/>
        <v>0</v>
      </c>
      <c r="DC98" s="508">
        <f t="shared" si="173"/>
        <v>0</v>
      </c>
      <c r="DD98" s="508">
        <f t="shared" si="173"/>
        <v>0</v>
      </c>
      <c r="DE98" s="508">
        <f t="shared" si="174"/>
        <v>0</v>
      </c>
      <c r="DF98" s="508">
        <f t="shared" si="174"/>
        <v>0</v>
      </c>
      <c r="DG98" s="508">
        <f t="shared" si="174"/>
        <v>0</v>
      </c>
      <c r="DH98" s="508">
        <f t="shared" si="174"/>
        <v>0</v>
      </c>
      <c r="DI98" s="508">
        <f t="shared" si="174"/>
        <v>0</v>
      </c>
      <c r="DJ98" s="508">
        <f t="shared" si="174"/>
        <v>0</v>
      </c>
      <c r="DK98" s="508">
        <f t="shared" si="174"/>
        <v>0</v>
      </c>
      <c r="DL98" s="508">
        <f t="shared" si="175"/>
        <v>0</v>
      </c>
      <c r="DM98" s="508">
        <f t="shared" si="175"/>
        <v>0</v>
      </c>
      <c r="DN98" s="508">
        <f t="shared" si="175"/>
        <v>0</v>
      </c>
      <c r="DO98" s="508">
        <f t="shared" si="175"/>
        <v>0</v>
      </c>
      <c r="DP98" s="508">
        <f t="shared" si="175"/>
        <v>0</v>
      </c>
      <c r="DQ98" s="508">
        <f t="shared" si="175"/>
        <v>0</v>
      </c>
      <c r="DR98" s="508">
        <f t="shared" si="175"/>
        <v>0</v>
      </c>
      <c r="DS98" s="508">
        <f t="shared" si="190"/>
        <v>0</v>
      </c>
      <c r="DT98" s="508">
        <f t="shared" si="190"/>
        <v>0</v>
      </c>
      <c r="DU98" s="508">
        <f t="shared" si="190"/>
        <v>0</v>
      </c>
      <c r="DV98" s="508">
        <f t="shared" si="190"/>
        <v>0</v>
      </c>
      <c r="DW98" s="508">
        <f t="shared" si="190"/>
        <v>0</v>
      </c>
      <c r="DX98" s="508">
        <f t="shared" si="176"/>
        <v>0</v>
      </c>
      <c r="DY98" s="508">
        <f t="shared" si="176"/>
        <v>0</v>
      </c>
      <c r="DZ98" s="511">
        <f t="shared" si="177"/>
        <v>0</v>
      </c>
      <c r="EA98" s="511">
        <f t="shared" si="177"/>
        <v>0</v>
      </c>
      <c r="EB98" s="511">
        <f t="shared" si="177"/>
        <v>0</v>
      </c>
      <c r="EC98" s="511">
        <f t="shared" si="177"/>
        <v>0</v>
      </c>
      <c r="ED98" s="511">
        <f t="shared" si="177"/>
        <v>0</v>
      </c>
      <c r="EE98" s="511">
        <f t="shared" si="177"/>
        <v>0</v>
      </c>
      <c r="EF98" s="511">
        <f t="shared" si="177"/>
        <v>0</v>
      </c>
      <c r="EG98" s="511">
        <f t="shared" si="178"/>
        <v>0</v>
      </c>
      <c r="EH98" s="511">
        <f t="shared" si="178"/>
        <v>0</v>
      </c>
      <c r="EI98" s="511">
        <f t="shared" si="178"/>
        <v>0</v>
      </c>
      <c r="EJ98" s="511">
        <f t="shared" si="178"/>
        <v>0</v>
      </c>
      <c r="EK98" s="511">
        <f t="shared" si="178"/>
        <v>0</v>
      </c>
      <c r="EL98" s="511">
        <f t="shared" si="178"/>
        <v>0</v>
      </c>
      <c r="EM98" s="511">
        <f t="shared" si="178"/>
        <v>0</v>
      </c>
      <c r="EN98" s="511">
        <f t="shared" si="179"/>
        <v>0</v>
      </c>
      <c r="EO98" s="511">
        <f t="shared" si="179"/>
        <v>0</v>
      </c>
      <c r="EP98" s="511">
        <f t="shared" si="179"/>
        <v>0</v>
      </c>
      <c r="EQ98" s="511">
        <f t="shared" si="179"/>
        <v>0</v>
      </c>
      <c r="ER98" s="511">
        <f t="shared" si="179"/>
        <v>0</v>
      </c>
      <c r="ES98" s="511">
        <f t="shared" si="179"/>
        <v>0</v>
      </c>
      <c r="ET98" s="511">
        <f t="shared" si="179"/>
        <v>0</v>
      </c>
      <c r="EU98" s="777">
        <f t="shared" si="191"/>
        <v>9240</v>
      </c>
      <c r="EV98" s="728">
        <f t="shared" si="181"/>
        <v>0</v>
      </c>
      <c r="EW98" s="728">
        <f t="shared" si="182"/>
        <v>0</v>
      </c>
      <c r="EX98" s="728">
        <f t="shared" si="183"/>
        <v>0</v>
      </c>
      <c r="EY98" s="728">
        <f t="shared" si="184"/>
        <v>0</v>
      </c>
      <c r="EZ98" s="777">
        <f t="shared" si="185"/>
        <v>0</v>
      </c>
      <c r="FA98" s="777">
        <f t="shared" si="186"/>
        <v>0</v>
      </c>
      <c r="FB98" s="778">
        <f t="shared" si="187"/>
        <v>0</v>
      </c>
    </row>
    <row r="99" spans="1:158" s="10" customFormat="1" ht="12.75" hidden="1" customHeight="1">
      <c r="A99" s="662" t="s">
        <v>179</v>
      </c>
      <c r="B99" s="789" t="s">
        <v>2193</v>
      </c>
      <c r="C99" s="789" t="s">
        <v>1965</v>
      </c>
      <c r="D99" s="715" t="s">
        <v>1966</v>
      </c>
      <c r="E99" s="662" t="s">
        <v>331</v>
      </c>
      <c r="F99" s="704" t="s">
        <v>372</v>
      </c>
      <c r="G99" s="707">
        <f t="shared" si="155"/>
        <v>0</v>
      </c>
      <c r="H99" s="707">
        <f t="shared" si="155"/>
        <v>0</v>
      </c>
      <c r="I99" s="707">
        <f t="shared" si="155"/>
        <v>0</v>
      </c>
      <c r="J99" s="707">
        <f t="shared" si="155"/>
        <v>-0.83289999999999997</v>
      </c>
      <c r="K99" s="707">
        <f t="shared" si="155"/>
        <v>0</v>
      </c>
      <c r="L99" s="1263" t="str">
        <f t="shared" si="155"/>
        <v>Calculated based based on the RTF LED/CFL workbook "ResLightingCFLand LEDLamps_v4_2.xlsm"; accessed 6/6/2016: http://rtf.nwcouncil.org//measures/measure.asp?id=141</v>
      </c>
      <c r="M99" s="707" t="str">
        <f t="shared" si="155"/>
        <v>Free</v>
      </c>
      <c r="N99" s="707">
        <f t="shared" si="155"/>
        <v>0</v>
      </c>
      <c r="O99" s="707">
        <f t="shared" si="155"/>
        <v>0</v>
      </c>
      <c r="P99" s="707">
        <f t="shared" si="155"/>
        <v>6.9531999999999998</v>
      </c>
      <c r="Q99" s="1022">
        <v>34.264824491684585</v>
      </c>
      <c r="R99" s="872">
        <v>1.3711999093251345E-3</v>
      </c>
      <c r="S99" s="1022">
        <v>0</v>
      </c>
      <c r="T99" s="711" t="str">
        <f t="shared" si="188"/>
        <v>Potential Study Results: Calculated based on assumptions from the RTF LED/CFL workbook "ResLightingCFLand LEDLamps_v4_2.xlsm"; accessed 6/6/2016: http://rtf.nwcouncil.org//measures/measure.asp?id=141</v>
      </c>
      <c r="U99" s="712"/>
      <c r="V99" s="1124">
        <f t="shared" si="156"/>
        <v>4</v>
      </c>
      <c r="W99" s="790"/>
      <c r="X99" s="790"/>
      <c r="Y99" s="790"/>
      <c r="Z99" s="790"/>
      <c r="AA99" s="790"/>
      <c r="AB99" s="790"/>
      <c r="AC99" s="781">
        <f t="shared" si="157"/>
        <v>2650</v>
      </c>
      <c r="AD99" s="781">
        <f t="shared" si="157"/>
        <v>2650</v>
      </c>
      <c r="AE99" s="781">
        <f t="shared" si="157"/>
        <v>0</v>
      </c>
      <c r="AF99" s="781">
        <f t="shared" si="157"/>
        <v>0</v>
      </c>
      <c r="AG99" s="781">
        <f t="shared" si="157"/>
        <v>0</v>
      </c>
      <c r="AH99" s="781">
        <f t="shared" si="158"/>
        <v>0</v>
      </c>
      <c r="AI99" s="781">
        <f t="shared" si="158"/>
        <v>0</v>
      </c>
      <c r="AJ99" s="711" t="s">
        <v>384</v>
      </c>
      <c r="AK99" s="711" t="s">
        <v>375</v>
      </c>
      <c r="AL99" s="711" t="s">
        <v>376</v>
      </c>
      <c r="AM99" s="711" t="s">
        <v>1958</v>
      </c>
      <c r="AN99" s="711" t="s">
        <v>1</v>
      </c>
      <c r="AO99" s="711" t="s">
        <v>1970</v>
      </c>
      <c r="AP99" s="711" t="s">
        <v>1702</v>
      </c>
      <c r="AQ99" s="711" t="s">
        <v>339</v>
      </c>
      <c r="AR99" s="715" t="s">
        <v>1945</v>
      </c>
      <c r="AS99" s="715"/>
      <c r="AT99" s="715" t="s">
        <v>381</v>
      </c>
      <c r="AU99" s="711">
        <v>12</v>
      </c>
      <c r="AV99" s="711">
        <v>1</v>
      </c>
      <c r="AW99" s="711" t="s">
        <v>1971</v>
      </c>
      <c r="AX99" s="716">
        <v>1</v>
      </c>
      <c r="AY99" s="716">
        <v>1</v>
      </c>
      <c r="AZ99" s="716">
        <v>0</v>
      </c>
      <c r="BA99" s="499">
        <f t="shared" si="159"/>
        <v>0</v>
      </c>
      <c r="BB99" s="499">
        <f t="shared" si="160"/>
        <v>0</v>
      </c>
      <c r="BC99" s="499">
        <f t="shared" si="160"/>
        <v>0</v>
      </c>
      <c r="BD99" s="499">
        <f t="shared" si="160"/>
        <v>0</v>
      </c>
      <c r="BE99" s="499">
        <f t="shared" si="161"/>
        <v>0</v>
      </c>
      <c r="BF99" s="499">
        <f t="shared" si="161"/>
        <v>0</v>
      </c>
      <c r="BG99" s="499">
        <f t="shared" si="161"/>
        <v>0</v>
      </c>
      <c r="BH99" s="499">
        <f t="shared" si="162"/>
        <v>-0.83289999999999997</v>
      </c>
      <c r="BI99" s="499">
        <f t="shared" si="163"/>
        <v>-0.83289999999999997</v>
      </c>
      <c r="BJ99" s="499">
        <f t="shared" si="163"/>
        <v>-0.83289999999999997</v>
      </c>
      <c r="BK99" s="499">
        <f t="shared" si="163"/>
        <v>-0.83289999999999997</v>
      </c>
      <c r="BL99" s="499">
        <f t="shared" si="163"/>
        <v>-0.83289999999999997</v>
      </c>
      <c r="BM99" s="499">
        <f t="shared" si="163"/>
        <v>-0.83289999999999997</v>
      </c>
      <c r="BN99" s="499">
        <f t="shared" si="163"/>
        <v>-0.83289999999999997</v>
      </c>
      <c r="BO99" s="499">
        <f t="shared" si="164"/>
        <v>0</v>
      </c>
      <c r="BP99" s="499">
        <f t="shared" ref="BP99:BU114" si="192">BO99</f>
        <v>0</v>
      </c>
      <c r="BQ99" s="499">
        <f t="shared" si="165"/>
        <v>0</v>
      </c>
      <c r="BR99" s="499">
        <f t="shared" si="165"/>
        <v>0</v>
      </c>
      <c r="BS99" s="499">
        <f t="shared" si="165"/>
        <v>0</v>
      </c>
      <c r="BT99" s="499">
        <f t="shared" si="165"/>
        <v>0</v>
      </c>
      <c r="BU99" s="499">
        <f t="shared" si="165"/>
        <v>0</v>
      </c>
      <c r="BV99" s="503">
        <f t="shared" si="189"/>
        <v>6.9531999999999998</v>
      </c>
      <c r="BW99" s="503">
        <f t="shared" si="166"/>
        <v>6.9531999999999998</v>
      </c>
      <c r="BX99" s="503">
        <f t="shared" si="166"/>
        <v>6.9531999999999998</v>
      </c>
      <c r="BY99" s="503">
        <f t="shared" si="166"/>
        <v>6.9531999999999998</v>
      </c>
      <c r="BZ99" s="503">
        <f t="shared" si="166"/>
        <v>6.9531999999999998</v>
      </c>
      <c r="CA99" s="503">
        <f t="shared" si="166"/>
        <v>6.9531999999999998</v>
      </c>
      <c r="CB99" s="503">
        <f t="shared" si="166"/>
        <v>6.9531999999999998</v>
      </c>
      <c r="CC99" s="511">
        <f t="shared" si="167"/>
        <v>34.264824491684585</v>
      </c>
      <c r="CD99" s="511">
        <f t="shared" si="168"/>
        <v>34.264824491684585</v>
      </c>
      <c r="CE99" s="511">
        <f t="shared" si="168"/>
        <v>34.264824491684585</v>
      </c>
      <c r="CF99" s="511">
        <f t="shared" si="168"/>
        <v>34.264824491684585</v>
      </c>
      <c r="CG99" s="511">
        <f t="shared" si="168"/>
        <v>34.264824491684585</v>
      </c>
      <c r="CH99" s="511">
        <f t="shared" si="168"/>
        <v>34.264824491684585</v>
      </c>
      <c r="CI99" s="511">
        <f t="shared" si="168"/>
        <v>34.264824491684585</v>
      </c>
      <c r="CJ99" s="511">
        <f t="shared" si="169"/>
        <v>1.3711999093251345E-3</v>
      </c>
      <c r="CK99" s="511">
        <f t="shared" si="170"/>
        <v>1.3711999093251345E-3</v>
      </c>
      <c r="CL99" s="511">
        <f t="shared" si="170"/>
        <v>1.3711999093251345E-3</v>
      </c>
      <c r="CM99" s="511">
        <f t="shared" si="170"/>
        <v>1.3711999093251345E-3</v>
      </c>
      <c r="CN99" s="511">
        <f t="shared" si="170"/>
        <v>1.3711999093251345E-3</v>
      </c>
      <c r="CO99" s="511">
        <f t="shared" si="170"/>
        <v>1.3711999093251345E-3</v>
      </c>
      <c r="CP99" s="511">
        <f t="shared" si="170"/>
        <v>1.3711999093251345E-3</v>
      </c>
      <c r="CQ99" s="511">
        <f t="shared" si="171"/>
        <v>0</v>
      </c>
      <c r="CR99" s="511">
        <f t="shared" si="172"/>
        <v>0</v>
      </c>
      <c r="CS99" s="511">
        <f t="shared" si="172"/>
        <v>0</v>
      </c>
      <c r="CT99" s="511">
        <f t="shared" si="172"/>
        <v>0</v>
      </c>
      <c r="CU99" s="511">
        <f t="shared" si="172"/>
        <v>0</v>
      </c>
      <c r="CV99" s="511">
        <f t="shared" si="172"/>
        <v>0</v>
      </c>
      <c r="CW99" s="511">
        <f t="shared" si="172"/>
        <v>0</v>
      </c>
      <c r="CX99" s="508">
        <f t="shared" si="173"/>
        <v>0</v>
      </c>
      <c r="CY99" s="508">
        <f t="shared" si="173"/>
        <v>0</v>
      </c>
      <c r="CZ99" s="508">
        <f t="shared" si="173"/>
        <v>0</v>
      </c>
      <c r="DA99" s="508">
        <f t="shared" si="173"/>
        <v>0</v>
      </c>
      <c r="DB99" s="508">
        <f t="shared" si="173"/>
        <v>0</v>
      </c>
      <c r="DC99" s="508">
        <f t="shared" si="173"/>
        <v>0</v>
      </c>
      <c r="DD99" s="508">
        <f t="shared" si="173"/>
        <v>0</v>
      </c>
      <c r="DE99" s="508">
        <f t="shared" si="174"/>
        <v>-2207.1849999999999</v>
      </c>
      <c r="DF99" s="508">
        <f t="shared" si="174"/>
        <v>-2207.1849999999999</v>
      </c>
      <c r="DG99" s="508">
        <f t="shared" si="174"/>
        <v>0</v>
      </c>
      <c r="DH99" s="508">
        <f t="shared" si="174"/>
        <v>0</v>
      </c>
      <c r="DI99" s="508">
        <f t="shared" si="174"/>
        <v>0</v>
      </c>
      <c r="DJ99" s="508">
        <f t="shared" si="174"/>
        <v>0</v>
      </c>
      <c r="DK99" s="508">
        <f t="shared" si="174"/>
        <v>0</v>
      </c>
      <c r="DL99" s="508">
        <f t="shared" si="175"/>
        <v>0</v>
      </c>
      <c r="DM99" s="508">
        <f t="shared" si="175"/>
        <v>0</v>
      </c>
      <c r="DN99" s="508">
        <f t="shared" si="175"/>
        <v>0</v>
      </c>
      <c r="DO99" s="508">
        <f t="shared" si="175"/>
        <v>0</v>
      </c>
      <c r="DP99" s="508">
        <f t="shared" si="175"/>
        <v>0</v>
      </c>
      <c r="DQ99" s="508">
        <f t="shared" si="175"/>
        <v>0</v>
      </c>
      <c r="DR99" s="508">
        <f t="shared" si="175"/>
        <v>0</v>
      </c>
      <c r="DS99" s="508">
        <f t="shared" si="190"/>
        <v>18425.98</v>
      </c>
      <c r="DT99" s="508">
        <f t="shared" si="190"/>
        <v>18425.98</v>
      </c>
      <c r="DU99" s="508">
        <f t="shared" si="190"/>
        <v>0</v>
      </c>
      <c r="DV99" s="508">
        <f t="shared" si="190"/>
        <v>0</v>
      </c>
      <c r="DW99" s="508">
        <f t="shared" si="190"/>
        <v>0</v>
      </c>
      <c r="DX99" s="508">
        <f t="shared" si="176"/>
        <v>0</v>
      </c>
      <c r="DY99" s="508">
        <f t="shared" si="176"/>
        <v>0</v>
      </c>
      <c r="DZ99" s="511">
        <f t="shared" si="177"/>
        <v>90801.784902964151</v>
      </c>
      <c r="EA99" s="511">
        <f t="shared" si="177"/>
        <v>90801.784902964151</v>
      </c>
      <c r="EB99" s="511">
        <f t="shared" si="177"/>
        <v>0</v>
      </c>
      <c r="EC99" s="511">
        <f t="shared" si="177"/>
        <v>0</v>
      </c>
      <c r="ED99" s="511">
        <f t="shared" si="177"/>
        <v>0</v>
      </c>
      <c r="EE99" s="511">
        <f t="shared" si="177"/>
        <v>0</v>
      </c>
      <c r="EF99" s="511">
        <f t="shared" si="177"/>
        <v>0</v>
      </c>
      <c r="EG99" s="511">
        <f t="shared" si="178"/>
        <v>3.6336797597116064</v>
      </c>
      <c r="EH99" s="511">
        <f t="shared" si="178"/>
        <v>3.6336797597116064</v>
      </c>
      <c r="EI99" s="511">
        <f t="shared" si="178"/>
        <v>0</v>
      </c>
      <c r="EJ99" s="511">
        <f t="shared" si="178"/>
        <v>0</v>
      </c>
      <c r="EK99" s="511">
        <f t="shared" si="178"/>
        <v>0</v>
      </c>
      <c r="EL99" s="511">
        <f t="shared" si="178"/>
        <v>0</v>
      </c>
      <c r="EM99" s="511">
        <f t="shared" si="178"/>
        <v>0</v>
      </c>
      <c r="EN99" s="511">
        <f t="shared" si="179"/>
        <v>0</v>
      </c>
      <c r="EO99" s="511">
        <f t="shared" si="179"/>
        <v>0</v>
      </c>
      <c r="EP99" s="511">
        <f t="shared" si="179"/>
        <v>0</v>
      </c>
      <c r="EQ99" s="511">
        <f t="shared" si="179"/>
        <v>0</v>
      </c>
      <c r="ER99" s="511">
        <f t="shared" si="179"/>
        <v>0</v>
      </c>
      <c r="ES99" s="511">
        <f t="shared" si="179"/>
        <v>0</v>
      </c>
      <c r="ET99" s="511">
        <f t="shared" si="179"/>
        <v>0</v>
      </c>
      <c r="EU99" s="777">
        <f t="shared" si="191"/>
        <v>5300</v>
      </c>
      <c r="EV99" s="728">
        <f t="shared" si="181"/>
        <v>0</v>
      </c>
      <c r="EW99" s="728">
        <f t="shared" si="182"/>
        <v>-4414.37</v>
      </c>
      <c r="EX99" s="728">
        <f t="shared" si="183"/>
        <v>0</v>
      </c>
      <c r="EY99" s="728">
        <f t="shared" si="184"/>
        <v>36851.96</v>
      </c>
      <c r="EZ99" s="777">
        <f t="shared" si="185"/>
        <v>181603.5698059283</v>
      </c>
      <c r="FA99" s="777">
        <f t="shared" si="186"/>
        <v>7.2673595194232128</v>
      </c>
      <c r="FB99" s="778">
        <f t="shared" si="187"/>
        <v>0</v>
      </c>
    </row>
    <row r="100" spans="1:158" s="10" customFormat="1" ht="12.75" hidden="1" customHeight="1">
      <c r="A100" s="662" t="s">
        <v>180</v>
      </c>
      <c r="B100" s="789" t="s">
        <v>2193</v>
      </c>
      <c r="C100" s="789" t="s">
        <v>1965</v>
      </c>
      <c r="D100" s="715" t="s">
        <v>1972</v>
      </c>
      <c r="E100" s="662" t="s">
        <v>331</v>
      </c>
      <c r="F100" s="704" t="s">
        <v>372</v>
      </c>
      <c r="G100" s="707">
        <f t="shared" si="155"/>
        <v>0</v>
      </c>
      <c r="H100" s="707">
        <f t="shared" si="155"/>
        <v>0</v>
      </c>
      <c r="I100" s="707">
        <f t="shared" si="155"/>
        <v>0</v>
      </c>
      <c r="J100" s="707">
        <f t="shared" si="155"/>
        <v>-6.9408333333333336E-2</v>
      </c>
      <c r="K100" s="707">
        <f t="shared" si="155"/>
        <v>0</v>
      </c>
      <c r="L100" s="1263" t="str">
        <f t="shared" si="155"/>
        <v>Calculated based based on the RTF LED/CFL workbook "ResLightingCFLand LEDLamps_v4_2.xlsm"; accessed 6/6/2016: http://rtf.nwcouncil.org//measures/measure.asp?id=141</v>
      </c>
      <c r="M100" s="707" t="str">
        <f t="shared" si="155"/>
        <v>Free</v>
      </c>
      <c r="N100" s="707">
        <f t="shared" si="155"/>
        <v>0</v>
      </c>
      <c r="O100" s="707">
        <f t="shared" si="155"/>
        <v>0</v>
      </c>
      <c r="P100" s="707">
        <f t="shared" si="155"/>
        <v>6.9531999999999998</v>
      </c>
      <c r="Q100" s="1022">
        <v>8.547825549497361</v>
      </c>
      <c r="R100" s="872">
        <v>1.0291354805041944E-3</v>
      </c>
      <c r="S100" s="1022">
        <v>0</v>
      </c>
      <c r="T100" s="711" t="str">
        <f t="shared" si="188"/>
        <v>Potential Study Results: Calculated based on assumptions from the RTF LED/CFL workbook "ResLightingCFLand LEDLamps_v4_2.xlsm"; accessed 6/6/2016: http://rtf.nwcouncil.org//measures/measure.asp?id=141</v>
      </c>
      <c r="U100" s="712"/>
      <c r="V100" s="1124">
        <f t="shared" si="156"/>
        <v>1</v>
      </c>
      <c r="W100" s="790"/>
      <c r="X100" s="790"/>
      <c r="Y100" s="790"/>
      <c r="Z100" s="790"/>
      <c r="AA100" s="790"/>
      <c r="AB100" s="790"/>
      <c r="AC100" s="781">
        <f t="shared" si="157"/>
        <v>0</v>
      </c>
      <c r="AD100" s="781">
        <f t="shared" si="157"/>
        <v>0</v>
      </c>
      <c r="AE100" s="781">
        <f t="shared" si="157"/>
        <v>650</v>
      </c>
      <c r="AF100" s="781">
        <f t="shared" si="157"/>
        <v>650</v>
      </c>
      <c r="AG100" s="781">
        <f t="shared" si="157"/>
        <v>650</v>
      </c>
      <c r="AH100" s="781">
        <f t="shared" si="158"/>
        <v>650</v>
      </c>
      <c r="AI100" s="781">
        <f t="shared" si="158"/>
        <v>650</v>
      </c>
      <c r="AJ100" s="711" t="s">
        <v>384</v>
      </c>
      <c r="AK100" s="711" t="s">
        <v>375</v>
      </c>
      <c r="AL100" s="711" t="s">
        <v>376</v>
      </c>
      <c r="AM100" s="711" t="s">
        <v>1958</v>
      </c>
      <c r="AN100" s="711" t="s">
        <v>1</v>
      </c>
      <c r="AO100" s="711" t="s">
        <v>1972</v>
      </c>
      <c r="AP100" s="711" t="s">
        <v>1702</v>
      </c>
      <c r="AQ100" s="711" t="s">
        <v>339</v>
      </c>
      <c r="AR100" s="715" t="s">
        <v>1945</v>
      </c>
      <c r="AS100" s="715"/>
      <c r="AT100" s="715" t="s">
        <v>381</v>
      </c>
      <c r="AU100" s="711">
        <v>12</v>
      </c>
      <c r="AV100" s="711">
        <v>5</v>
      </c>
      <c r="AW100" s="711" t="s">
        <v>1973</v>
      </c>
      <c r="AX100" s="716">
        <v>1</v>
      </c>
      <c r="AY100" s="716">
        <v>1</v>
      </c>
      <c r="AZ100" s="716">
        <v>0</v>
      </c>
      <c r="BA100" s="499">
        <f t="shared" si="159"/>
        <v>0</v>
      </c>
      <c r="BB100" s="499">
        <f t="shared" si="160"/>
        <v>0</v>
      </c>
      <c r="BC100" s="499">
        <f t="shared" si="160"/>
        <v>0</v>
      </c>
      <c r="BD100" s="499">
        <f t="shared" si="160"/>
        <v>0</v>
      </c>
      <c r="BE100" s="499">
        <f t="shared" si="161"/>
        <v>0</v>
      </c>
      <c r="BF100" s="499">
        <f t="shared" si="161"/>
        <v>0</v>
      </c>
      <c r="BG100" s="499">
        <f t="shared" si="161"/>
        <v>0</v>
      </c>
      <c r="BH100" s="499">
        <f t="shared" si="162"/>
        <v>-6.9408333333333336E-2</v>
      </c>
      <c r="BI100" s="499">
        <f t="shared" si="163"/>
        <v>-6.9408333333333336E-2</v>
      </c>
      <c r="BJ100" s="499">
        <f t="shared" si="163"/>
        <v>-6.9408333333333336E-2</v>
      </c>
      <c r="BK100" s="499">
        <f t="shared" si="163"/>
        <v>-6.9408333333333336E-2</v>
      </c>
      <c r="BL100" s="499">
        <f t="shared" si="163"/>
        <v>-6.9408333333333336E-2</v>
      </c>
      <c r="BM100" s="499">
        <f t="shared" si="163"/>
        <v>-6.9408333333333336E-2</v>
      </c>
      <c r="BN100" s="499">
        <f t="shared" si="163"/>
        <v>-6.9408333333333336E-2</v>
      </c>
      <c r="BO100" s="499">
        <f t="shared" si="164"/>
        <v>0</v>
      </c>
      <c r="BP100" s="499">
        <f t="shared" si="192"/>
        <v>0</v>
      </c>
      <c r="BQ100" s="499">
        <f t="shared" si="165"/>
        <v>0</v>
      </c>
      <c r="BR100" s="499">
        <f t="shared" si="165"/>
        <v>0</v>
      </c>
      <c r="BS100" s="499">
        <f t="shared" si="165"/>
        <v>0</v>
      </c>
      <c r="BT100" s="499">
        <f t="shared" si="165"/>
        <v>0</v>
      </c>
      <c r="BU100" s="499">
        <f t="shared" si="165"/>
        <v>0</v>
      </c>
      <c r="BV100" s="503">
        <f t="shared" si="189"/>
        <v>6.9531999999999998</v>
      </c>
      <c r="BW100" s="503">
        <f t="shared" si="166"/>
        <v>6.9531999999999998</v>
      </c>
      <c r="BX100" s="503">
        <f t="shared" si="166"/>
        <v>6.9531999999999998</v>
      </c>
      <c r="BY100" s="503">
        <f t="shared" si="166"/>
        <v>6.9531999999999998</v>
      </c>
      <c r="BZ100" s="503">
        <f t="shared" si="166"/>
        <v>6.9531999999999998</v>
      </c>
      <c r="CA100" s="503">
        <f t="shared" si="166"/>
        <v>6.9531999999999998</v>
      </c>
      <c r="CB100" s="503">
        <f t="shared" si="166"/>
        <v>6.9531999999999998</v>
      </c>
      <c r="CC100" s="511">
        <f t="shared" si="167"/>
        <v>8.547825549497361</v>
      </c>
      <c r="CD100" s="511">
        <f t="shared" si="168"/>
        <v>8.547825549497361</v>
      </c>
      <c r="CE100" s="511">
        <f t="shared" si="168"/>
        <v>8.547825549497361</v>
      </c>
      <c r="CF100" s="511">
        <f t="shared" si="168"/>
        <v>8.547825549497361</v>
      </c>
      <c r="CG100" s="511">
        <f t="shared" si="168"/>
        <v>8.547825549497361</v>
      </c>
      <c r="CH100" s="511">
        <f t="shared" si="168"/>
        <v>8.547825549497361</v>
      </c>
      <c r="CI100" s="511">
        <f t="shared" si="168"/>
        <v>8.547825549497361</v>
      </c>
      <c r="CJ100" s="511">
        <f t="shared" si="169"/>
        <v>1.0291354805041944E-3</v>
      </c>
      <c r="CK100" s="511">
        <f t="shared" si="170"/>
        <v>1.0291354805041944E-3</v>
      </c>
      <c r="CL100" s="511">
        <f t="shared" si="170"/>
        <v>1.0291354805041944E-3</v>
      </c>
      <c r="CM100" s="511">
        <f t="shared" si="170"/>
        <v>1.0291354805041944E-3</v>
      </c>
      <c r="CN100" s="511">
        <f t="shared" si="170"/>
        <v>1.0291354805041944E-3</v>
      </c>
      <c r="CO100" s="511">
        <f t="shared" si="170"/>
        <v>1.0291354805041944E-3</v>
      </c>
      <c r="CP100" s="511">
        <f t="shared" si="170"/>
        <v>1.0291354805041944E-3</v>
      </c>
      <c r="CQ100" s="511">
        <f t="shared" si="171"/>
        <v>0</v>
      </c>
      <c r="CR100" s="511">
        <f t="shared" si="172"/>
        <v>0</v>
      </c>
      <c r="CS100" s="511">
        <f t="shared" si="172"/>
        <v>0</v>
      </c>
      <c r="CT100" s="511">
        <f t="shared" si="172"/>
        <v>0</v>
      </c>
      <c r="CU100" s="511">
        <f t="shared" si="172"/>
        <v>0</v>
      </c>
      <c r="CV100" s="511">
        <f t="shared" si="172"/>
        <v>0</v>
      </c>
      <c r="CW100" s="511">
        <f t="shared" si="172"/>
        <v>0</v>
      </c>
      <c r="CX100" s="508">
        <f t="shared" si="173"/>
        <v>0</v>
      </c>
      <c r="CY100" s="508">
        <f t="shared" si="173"/>
        <v>0</v>
      </c>
      <c r="CZ100" s="508">
        <f t="shared" si="173"/>
        <v>0</v>
      </c>
      <c r="DA100" s="508">
        <f t="shared" si="173"/>
        <v>0</v>
      </c>
      <c r="DB100" s="508">
        <f t="shared" si="173"/>
        <v>0</v>
      </c>
      <c r="DC100" s="508">
        <f t="shared" si="173"/>
        <v>0</v>
      </c>
      <c r="DD100" s="508">
        <f t="shared" si="173"/>
        <v>0</v>
      </c>
      <c r="DE100" s="508">
        <f t="shared" si="174"/>
        <v>0</v>
      </c>
      <c r="DF100" s="508">
        <f t="shared" si="174"/>
        <v>0</v>
      </c>
      <c r="DG100" s="508">
        <f t="shared" si="174"/>
        <v>-45.115416666666668</v>
      </c>
      <c r="DH100" s="508">
        <f t="shared" si="174"/>
        <v>-45.115416666666668</v>
      </c>
      <c r="DI100" s="508">
        <f t="shared" si="174"/>
        <v>-45.115416666666668</v>
      </c>
      <c r="DJ100" s="508">
        <f t="shared" si="174"/>
        <v>-45.115416666666668</v>
      </c>
      <c r="DK100" s="508">
        <f t="shared" si="174"/>
        <v>-45.115416666666668</v>
      </c>
      <c r="DL100" s="508">
        <f t="shared" si="175"/>
        <v>0</v>
      </c>
      <c r="DM100" s="508">
        <f t="shared" si="175"/>
        <v>0</v>
      </c>
      <c r="DN100" s="508">
        <f t="shared" si="175"/>
        <v>0</v>
      </c>
      <c r="DO100" s="508">
        <f t="shared" si="175"/>
        <v>0</v>
      </c>
      <c r="DP100" s="508">
        <f t="shared" si="175"/>
        <v>0</v>
      </c>
      <c r="DQ100" s="508">
        <f t="shared" si="175"/>
        <v>0</v>
      </c>
      <c r="DR100" s="508">
        <f t="shared" si="175"/>
        <v>0</v>
      </c>
      <c r="DS100" s="508">
        <f t="shared" si="190"/>
        <v>0</v>
      </c>
      <c r="DT100" s="508">
        <f t="shared" si="190"/>
        <v>0</v>
      </c>
      <c r="DU100" s="508">
        <f t="shared" si="190"/>
        <v>4519.58</v>
      </c>
      <c r="DV100" s="508">
        <f t="shared" si="190"/>
        <v>4519.58</v>
      </c>
      <c r="DW100" s="508">
        <f t="shared" si="190"/>
        <v>4519.58</v>
      </c>
      <c r="DX100" s="508">
        <f t="shared" si="176"/>
        <v>4519.58</v>
      </c>
      <c r="DY100" s="508">
        <f t="shared" si="176"/>
        <v>4519.58</v>
      </c>
      <c r="DZ100" s="511">
        <f t="shared" si="177"/>
        <v>0</v>
      </c>
      <c r="EA100" s="511">
        <f t="shared" si="177"/>
        <v>0</v>
      </c>
      <c r="EB100" s="511">
        <f t="shared" si="177"/>
        <v>5556.0866071732844</v>
      </c>
      <c r="EC100" s="511">
        <f t="shared" si="177"/>
        <v>5556.0866071732844</v>
      </c>
      <c r="ED100" s="511">
        <f t="shared" si="177"/>
        <v>5556.0866071732844</v>
      </c>
      <c r="EE100" s="511">
        <f t="shared" si="177"/>
        <v>5556.0866071732844</v>
      </c>
      <c r="EF100" s="511">
        <f t="shared" si="177"/>
        <v>5556.0866071732844</v>
      </c>
      <c r="EG100" s="511">
        <f t="shared" si="178"/>
        <v>0</v>
      </c>
      <c r="EH100" s="511">
        <f t="shared" si="178"/>
        <v>0</v>
      </c>
      <c r="EI100" s="511">
        <f t="shared" si="178"/>
        <v>0.66893806232772635</v>
      </c>
      <c r="EJ100" s="511">
        <f t="shared" si="178"/>
        <v>0.66893806232772635</v>
      </c>
      <c r="EK100" s="511">
        <f t="shared" si="178"/>
        <v>0.66893806232772635</v>
      </c>
      <c r="EL100" s="511">
        <f t="shared" si="178"/>
        <v>0.66893806232772635</v>
      </c>
      <c r="EM100" s="511">
        <f t="shared" si="178"/>
        <v>0.66893806232772635</v>
      </c>
      <c r="EN100" s="511">
        <f t="shared" si="179"/>
        <v>0</v>
      </c>
      <c r="EO100" s="511">
        <f t="shared" si="179"/>
        <v>0</v>
      </c>
      <c r="EP100" s="511">
        <f t="shared" si="179"/>
        <v>0</v>
      </c>
      <c r="EQ100" s="511">
        <f t="shared" si="179"/>
        <v>0</v>
      </c>
      <c r="ER100" s="511">
        <f t="shared" si="179"/>
        <v>0</v>
      </c>
      <c r="ES100" s="511">
        <f t="shared" si="179"/>
        <v>0</v>
      </c>
      <c r="ET100" s="511">
        <f t="shared" si="179"/>
        <v>0</v>
      </c>
      <c r="EU100" s="777">
        <f t="shared" si="191"/>
        <v>3250</v>
      </c>
      <c r="EV100" s="728">
        <f t="shared" si="181"/>
        <v>0</v>
      </c>
      <c r="EW100" s="728">
        <f t="shared" si="182"/>
        <v>-225.57708333333335</v>
      </c>
      <c r="EX100" s="728">
        <f t="shared" si="183"/>
        <v>0</v>
      </c>
      <c r="EY100" s="728">
        <f t="shared" si="184"/>
        <v>22597.9</v>
      </c>
      <c r="EZ100" s="777">
        <f t="shared" si="185"/>
        <v>27780.433035866423</v>
      </c>
      <c r="FA100" s="777">
        <f t="shared" si="186"/>
        <v>3.3446903116386317</v>
      </c>
      <c r="FB100" s="778">
        <f t="shared" si="187"/>
        <v>0</v>
      </c>
    </row>
    <row r="101" spans="1:158" s="10" customFormat="1" ht="12.75" hidden="1" customHeight="1">
      <c r="A101" s="662" t="s">
        <v>181</v>
      </c>
      <c r="B101" s="789" t="s">
        <v>2194</v>
      </c>
      <c r="C101" s="789" t="s">
        <v>561</v>
      </c>
      <c r="D101" s="715" t="s">
        <v>1966</v>
      </c>
      <c r="E101" s="662" t="s">
        <v>331</v>
      </c>
      <c r="F101" s="704" t="s">
        <v>372</v>
      </c>
      <c r="G101" s="707">
        <f t="shared" si="155"/>
        <v>0</v>
      </c>
      <c r="H101" s="707">
        <f t="shared" si="155"/>
        <v>0</v>
      </c>
      <c r="I101" s="707">
        <f t="shared" si="155"/>
        <v>0</v>
      </c>
      <c r="J101" s="707">
        <f t="shared" si="155"/>
        <v>-0.83289999999999997</v>
      </c>
      <c r="K101" s="707">
        <f t="shared" si="155"/>
        <v>0</v>
      </c>
      <c r="L101" s="1263" t="str">
        <f t="shared" si="155"/>
        <v>Calculated based based on the RTF LED/CFL workbook "ResLightingCFLand LEDLamps_v4_2.xlsm"; accessed 6/6/2016: http://rtf.nwcouncil.org//measures/measure.asp?id=141</v>
      </c>
      <c r="M101" s="707" t="str">
        <f t="shared" si="155"/>
        <v>Free</v>
      </c>
      <c r="N101" s="707">
        <f t="shared" si="155"/>
        <v>0</v>
      </c>
      <c r="O101" s="707">
        <f t="shared" si="155"/>
        <v>0</v>
      </c>
      <c r="P101" s="707">
        <f t="shared" si="155"/>
        <v>6.9531999999999998</v>
      </c>
      <c r="Q101" s="1022">
        <v>34.264824491684585</v>
      </c>
      <c r="R101" s="872">
        <v>1.3711999093251345E-3</v>
      </c>
      <c r="S101" s="1022">
        <v>0</v>
      </c>
      <c r="T101" s="711" t="str">
        <f t="shared" si="188"/>
        <v>Potential Study Results: Calculated based on assumptions from the RTF LED/CFL workbook "ResLightingCFLand LEDLamps_v4_2.xlsm"; accessed 6/6/2016: http://rtf.nwcouncil.org//measures/measure.asp?id=141</v>
      </c>
      <c r="U101" s="712"/>
      <c r="V101" s="1124">
        <f t="shared" si="156"/>
        <v>7</v>
      </c>
      <c r="W101" s="790"/>
      <c r="X101" s="790"/>
      <c r="Y101" s="790"/>
      <c r="Z101" s="790"/>
      <c r="AA101" s="790"/>
      <c r="AB101" s="790"/>
      <c r="AC101" s="781">
        <f t="shared" si="157"/>
        <v>8785</v>
      </c>
      <c r="AD101" s="781">
        <f t="shared" si="157"/>
        <v>8785</v>
      </c>
      <c r="AE101" s="781">
        <f t="shared" si="157"/>
        <v>0</v>
      </c>
      <c r="AF101" s="781">
        <f t="shared" si="157"/>
        <v>0</v>
      </c>
      <c r="AG101" s="781">
        <f t="shared" si="157"/>
        <v>0</v>
      </c>
      <c r="AH101" s="781">
        <f t="shared" si="158"/>
        <v>0</v>
      </c>
      <c r="AI101" s="781">
        <f t="shared" si="158"/>
        <v>0</v>
      </c>
      <c r="AJ101" s="711" t="s">
        <v>384</v>
      </c>
      <c r="AK101" s="711" t="s">
        <v>375</v>
      </c>
      <c r="AL101" s="711" t="s">
        <v>376</v>
      </c>
      <c r="AM101" s="711" t="s">
        <v>1958</v>
      </c>
      <c r="AN101" s="711" t="s">
        <v>1</v>
      </c>
      <c r="AO101" s="711" t="s">
        <v>1970</v>
      </c>
      <c r="AP101" s="711" t="s">
        <v>1702</v>
      </c>
      <c r="AQ101" s="711" t="s">
        <v>339</v>
      </c>
      <c r="AR101" s="715" t="s">
        <v>1945</v>
      </c>
      <c r="AS101" s="715"/>
      <c r="AT101" s="715" t="s">
        <v>381</v>
      </c>
      <c r="AU101" s="711">
        <v>12</v>
      </c>
      <c r="AV101" s="711">
        <v>1</v>
      </c>
      <c r="AW101" s="711" t="s">
        <v>1971</v>
      </c>
      <c r="AX101" s="716">
        <v>1</v>
      </c>
      <c r="AY101" s="716">
        <v>1</v>
      </c>
      <c r="AZ101" s="716">
        <v>0</v>
      </c>
      <c r="BA101" s="499">
        <f t="shared" si="159"/>
        <v>0</v>
      </c>
      <c r="BB101" s="499">
        <f t="shared" si="160"/>
        <v>0</v>
      </c>
      <c r="BC101" s="499">
        <f t="shared" si="160"/>
        <v>0</v>
      </c>
      <c r="BD101" s="499">
        <f t="shared" si="160"/>
        <v>0</v>
      </c>
      <c r="BE101" s="499">
        <f t="shared" si="161"/>
        <v>0</v>
      </c>
      <c r="BF101" s="499">
        <f t="shared" si="161"/>
        <v>0</v>
      </c>
      <c r="BG101" s="499">
        <f t="shared" si="161"/>
        <v>0</v>
      </c>
      <c r="BH101" s="499">
        <f t="shared" si="162"/>
        <v>-0.83289999999999997</v>
      </c>
      <c r="BI101" s="499">
        <f t="shared" si="163"/>
        <v>-0.83289999999999997</v>
      </c>
      <c r="BJ101" s="499">
        <f t="shared" si="163"/>
        <v>-0.83289999999999997</v>
      </c>
      <c r="BK101" s="499">
        <f t="shared" si="163"/>
        <v>-0.83289999999999997</v>
      </c>
      <c r="BL101" s="499">
        <f t="shared" si="163"/>
        <v>-0.83289999999999997</v>
      </c>
      <c r="BM101" s="499">
        <f t="shared" si="163"/>
        <v>-0.83289999999999997</v>
      </c>
      <c r="BN101" s="499">
        <f t="shared" si="163"/>
        <v>-0.83289999999999997</v>
      </c>
      <c r="BO101" s="499">
        <f t="shared" si="164"/>
        <v>0</v>
      </c>
      <c r="BP101" s="499">
        <f t="shared" si="192"/>
        <v>0</v>
      </c>
      <c r="BQ101" s="499">
        <f t="shared" si="165"/>
        <v>0</v>
      </c>
      <c r="BR101" s="499">
        <f t="shared" si="165"/>
        <v>0</v>
      </c>
      <c r="BS101" s="499">
        <f t="shared" si="165"/>
        <v>0</v>
      </c>
      <c r="BT101" s="499">
        <f t="shared" si="165"/>
        <v>0</v>
      </c>
      <c r="BU101" s="499">
        <f t="shared" si="165"/>
        <v>0</v>
      </c>
      <c r="BV101" s="503">
        <f t="shared" si="189"/>
        <v>6.9531999999999998</v>
      </c>
      <c r="BW101" s="503">
        <f t="shared" si="166"/>
        <v>6.9531999999999998</v>
      </c>
      <c r="BX101" s="503">
        <f t="shared" si="166"/>
        <v>6.9531999999999998</v>
      </c>
      <c r="BY101" s="503">
        <f t="shared" si="166"/>
        <v>6.9531999999999998</v>
      </c>
      <c r="BZ101" s="503">
        <f t="shared" si="166"/>
        <v>6.9531999999999998</v>
      </c>
      <c r="CA101" s="503">
        <f t="shared" si="166"/>
        <v>6.9531999999999998</v>
      </c>
      <c r="CB101" s="503">
        <f t="shared" si="166"/>
        <v>6.9531999999999998</v>
      </c>
      <c r="CC101" s="511">
        <f t="shared" si="167"/>
        <v>34.264824491684585</v>
      </c>
      <c r="CD101" s="511">
        <f t="shared" si="168"/>
        <v>34.264824491684585</v>
      </c>
      <c r="CE101" s="511">
        <f t="shared" si="168"/>
        <v>34.264824491684585</v>
      </c>
      <c r="CF101" s="511">
        <f t="shared" si="168"/>
        <v>34.264824491684585</v>
      </c>
      <c r="CG101" s="511">
        <f t="shared" si="168"/>
        <v>34.264824491684585</v>
      </c>
      <c r="CH101" s="511">
        <f t="shared" si="168"/>
        <v>34.264824491684585</v>
      </c>
      <c r="CI101" s="511">
        <f t="shared" si="168"/>
        <v>34.264824491684585</v>
      </c>
      <c r="CJ101" s="511">
        <f t="shared" si="169"/>
        <v>1.3711999093251345E-3</v>
      </c>
      <c r="CK101" s="511">
        <f t="shared" si="170"/>
        <v>1.3711999093251345E-3</v>
      </c>
      <c r="CL101" s="511">
        <f t="shared" si="170"/>
        <v>1.3711999093251345E-3</v>
      </c>
      <c r="CM101" s="511">
        <f t="shared" si="170"/>
        <v>1.3711999093251345E-3</v>
      </c>
      <c r="CN101" s="511">
        <f t="shared" si="170"/>
        <v>1.3711999093251345E-3</v>
      </c>
      <c r="CO101" s="511">
        <f t="shared" si="170"/>
        <v>1.3711999093251345E-3</v>
      </c>
      <c r="CP101" s="511">
        <f t="shared" si="170"/>
        <v>1.3711999093251345E-3</v>
      </c>
      <c r="CQ101" s="511">
        <f t="shared" si="171"/>
        <v>0</v>
      </c>
      <c r="CR101" s="511">
        <f t="shared" si="172"/>
        <v>0</v>
      </c>
      <c r="CS101" s="511">
        <f t="shared" si="172"/>
        <v>0</v>
      </c>
      <c r="CT101" s="511">
        <f t="shared" si="172"/>
        <v>0</v>
      </c>
      <c r="CU101" s="511">
        <f t="shared" si="172"/>
        <v>0</v>
      </c>
      <c r="CV101" s="511">
        <f t="shared" si="172"/>
        <v>0</v>
      </c>
      <c r="CW101" s="511">
        <f t="shared" si="172"/>
        <v>0</v>
      </c>
      <c r="CX101" s="508">
        <f t="shared" si="173"/>
        <v>0</v>
      </c>
      <c r="CY101" s="508">
        <f t="shared" si="173"/>
        <v>0</v>
      </c>
      <c r="CZ101" s="508">
        <f t="shared" si="173"/>
        <v>0</v>
      </c>
      <c r="DA101" s="508">
        <f t="shared" si="173"/>
        <v>0</v>
      </c>
      <c r="DB101" s="508">
        <f t="shared" si="173"/>
        <v>0</v>
      </c>
      <c r="DC101" s="508">
        <f t="shared" si="173"/>
        <v>0</v>
      </c>
      <c r="DD101" s="508">
        <f t="shared" si="173"/>
        <v>0</v>
      </c>
      <c r="DE101" s="508">
        <f t="shared" si="174"/>
        <v>-7317.0264999999999</v>
      </c>
      <c r="DF101" s="508">
        <f t="shared" si="174"/>
        <v>-7317.0264999999999</v>
      </c>
      <c r="DG101" s="508">
        <f t="shared" si="174"/>
        <v>0</v>
      </c>
      <c r="DH101" s="508">
        <f t="shared" si="174"/>
        <v>0</v>
      </c>
      <c r="DI101" s="508">
        <f t="shared" si="174"/>
        <v>0</v>
      </c>
      <c r="DJ101" s="508">
        <f t="shared" si="174"/>
        <v>0</v>
      </c>
      <c r="DK101" s="508">
        <f t="shared" si="174"/>
        <v>0</v>
      </c>
      <c r="DL101" s="508">
        <f t="shared" si="175"/>
        <v>0</v>
      </c>
      <c r="DM101" s="508">
        <f t="shared" si="175"/>
        <v>0</v>
      </c>
      <c r="DN101" s="508">
        <f t="shared" si="175"/>
        <v>0</v>
      </c>
      <c r="DO101" s="508">
        <f t="shared" si="175"/>
        <v>0</v>
      </c>
      <c r="DP101" s="508">
        <f t="shared" si="175"/>
        <v>0</v>
      </c>
      <c r="DQ101" s="508">
        <f t="shared" si="175"/>
        <v>0</v>
      </c>
      <c r="DR101" s="508">
        <f t="shared" si="175"/>
        <v>0</v>
      </c>
      <c r="DS101" s="508">
        <f t="shared" si="190"/>
        <v>61083.862000000001</v>
      </c>
      <c r="DT101" s="508">
        <f t="shared" si="190"/>
        <v>61083.862000000001</v>
      </c>
      <c r="DU101" s="508">
        <f t="shared" si="190"/>
        <v>0</v>
      </c>
      <c r="DV101" s="508">
        <f t="shared" si="190"/>
        <v>0</v>
      </c>
      <c r="DW101" s="508">
        <f t="shared" si="190"/>
        <v>0</v>
      </c>
      <c r="DX101" s="508">
        <f t="shared" si="176"/>
        <v>0</v>
      </c>
      <c r="DY101" s="508">
        <f t="shared" si="176"/>
        <v>0</v>
      </c>
      <c r="DZ101" s="511">
        <f t="shared" si="177"/>
        <v>301016.48315944907</v>
      </c>
      <c r="EA101" s="511">
        <f t="shared" si="177"/>
        <v>301016.48315944907</v>
      </c>
      <c r="EB101" s="511">
        <f t="shared" si="177"/>
        <v>0</v>
      </c>
      <c r="EC101" s="511">
        <f t="shared" si="177"/>
        <v>0</v>
      </c>
      <c r="ED101" s="511">
        <f t="shared" si="177"/>
        <v>0</v>
      </c>
      <c r="EE101" s="511">
        <f t="shared" si="177"/>
        <v>0</v>
      </c>
      <c r="EF101" s="511">
        <f t="shared" si="177"/>
        <v>0</v>
      </c>
      <c r="EG101" s="511">
        <f t="shared" si="178"/>
        <v>12.045991203421307</v>
      </c>
      <c r="EH101" s="511">
        <f t="shared" si="178"/>
        <v>12.045991203421307</v>
      </c>
      <c r="EI101" s="511">
        <f t="shared" si="178"/>
        <v>0</v>
      </c>
      <c r="EJ101" s="511">
        <f t="shared" si="178"/>
        <v>0</v>
      </c>
      <c r="EK101" s="511">
        <f t="shared" si="178"/>
        <v>0</v>
      </c>
      <c r="EL101" s="511">
        <f t="shared" si="178"/>
        <v>0</v>
      </c>
      <c r="EM101" s="511">
        <f t="shared" si="178"/>
        <v>0</v>
      </c>
      <c r="EN101" s="511">
        <f t="shared" si="179"/>
        <v>0</v>
      </c>
      <c r="EO101" s="511">
        <f t="shared" si="179"/>
        <v>0</v>
      </c>
      <c r="EP101" s="511">
        <f t="shared" si="179"/>
        <v>0</v>
      </c>
      <c r="EQ101" s="511">
        <f t="shared" si="179"/>
        <v>0</v>
      </c>
      <c r="ER101" s="511">
        <f t="shared" si="179"/>
        <v>0</v>
      </c>
      <c r="ES101" s="511">
        <f t="shared" si="179"/>
        <v>0</v>
      </c>
      <c r="ET101" s="511">
        <f t="shared" si="179"/>
        <v>0</v>
      </c>
      <c r="EU101" s="777">
        <f t="shared" si="191"/>
        <v>17570</v>
      </c>
      <c r="EV101" s="728">
        <f t="shared" si="181"/>
        <v>0</v>
      </c>
      <c r="EW101" s="728">
        <f t="shared" si="182"/>
        <v>-14634.053</v>
      </c>
      <c r="EX101" s="728">
        <f t="shared" si="183"/>
        <v>0</v>
      </c>
      <c r="EY101" s="728">
        <f t="shared" si="184"/>
        <v>122167.724</v>
      </c>
      <c r="EZ101" s="777">
        <f t="shared" si="185"/>
        <v>602032.96631889814</v>
      </c>
      <c r="FA101" s="777">
        <f t="shared" si="186"/>
        <v>24.091982406842614</v>
      </c>
      <c r="FB101" s="778">
        <f t="shared" si="187"/>
        <v>0</v>
      </c>
    </row>
    <row r="102" spans="1:158" s="10" customFormat="1" ht="12.75" hidden="1" customHeight="1">
      <c r="A102" s="662" t="s">
        <v>182</v>
      </c>
      <c r="B102" s="789" t="s">
        <v>2194</v>
      </c>
      <c r="C102" s="789" t="s">
        <v>561</v>
      </c>
      <c r="D102" s="715" t="s">
        <v>1972</v>
      </c>
      <c r="E102" s="662" t="s">
        <v>331</v>
      </c>
      <c r="F102" s="704" t="s">
        <v>372</v>
      </c>
      <c r="G102" s="707">
        <f t="shared" si="155"/>
        <v>0</v>
      </c>
      <c r="H102" s="707">
        <f t="shared" si="155"/>
        <v>0</v>
      </c>
      <c r="I102" s="707">
        <f t="shared" si="155"/>
        <v>0</v>
      </c>
      <c r="J102" s="707">
        <f t="shared" si="155"/>
        <v>-6.9408333333333336E-2</v>
      </c>
      <c r="K102" s="707">
        <f t="shared" si="155"/>
        <v>0</v>
      </c>
      <c r="L102" s="1263" t="str">
        <f t="shared" si="155"/>
        <v>Calculated based based on the RTF LED/CFL workbook "ResLightingCFLand LEDLamps_v4_2.xlsm"; accessed 6/6/2016: http://rtf.nwcouncil.org//measures/measure.asp?id=141</v>
      </c>
      <c r="M102" s="707" t="str">
        <f t="shared" si="155"/>
        <v>Free</v>
      </c>
      <c r="N102" s="707">
        <f t="shared" si="155"/>
        <v>0</v>
      </c>
      <c r="O102" s="707">
        <f t="shared" si="155"/>
        <v>0</v>
      </c>
      <c r="P102" s="707">
        <f t="shared" si="155"/>
        <v>6.9531999999999998</v>
      </c>
      <c r="Q102" s="1022">
        <v>8.547825549497361</v>
      </c>
      <c r="R102" s="872">
        <v>1.0291354805041944E-3</v>
      </c>
      <c r="S102" s="1022">
        <v>0</v>
      </c>
      <c r="T102" s="711" t="str">
        <f t="shared" si="188"/>
        <v>Potential Study Results: Calculated based on assumptions from the RTF LED/CFL workbook "ResLightingCFLand LEDLamps_v4_2.xlsm"; accessed 6/6/2016: http://rtf.nwcouncil.org//measures/measure.asp?id=141</v>
      </c>
      <c r="U102" s="712"/>
      <c r="V102" s="1124">
        <f t="shared" si="156"/>
        <v>1.75</v>
      </c>
      <c r="W102" s="790"/>
      <c r="X102" s="790"/>
      <c r="Y102" s="790"/>
      <c r="Z102" s="790"/>
      <c r="AA102" s="790"/>
      <c r="AB102" s="790"/>
      <c r="AC102" s="781">
        <f t="shared" si="157"/>
        <v>0</v>
      </c>
      <c r="AD102" s="781">
        <f t="shared" si="157"/>
        <v>0</v>
      </c>
      <c r="AE102" s="781">
        <f t="shared" si="157"/>
        <v>2195</v>
      </c>
      <c r="AF102" s="781">
        <f t="shared" si="157"/>
        <v>2195</v>
      </c>
      <c r="AG102" s="781">
        <f t="shared" si="157"/>
        <v>2195</v>
      </c>
      <c r="AH102" s="781">
        <f t="shared" si="158"/>
        <v>2195</v>
      </c>
      <c r="AI102" s="781">
        <f t="shared" si="158"/>
        <v>2195</v>
      </c>
      <c r="AJ102" s="711" t="s">
        <v>384</v>
      </c>
      <c r="AK102" s="711" t="s">
        <v>375</v>
      </c>
      <c r="AL102" s="711" t="s">
        <v>376</v>
      </c>
      <c r="AM102" s="711" t="s">
        <v>1958</v>
      </c>
      <c r="AN102" s="711" t="s">
        <v>1</v>
      </c>
      <c r="AO102" s="711" t="s">
        <v>1972</v>
      </c>
      <c r="AP102" s="711" t="s">
        <v>1702</v>
      </c>
      <c r="AQ102" s="711" t="s">
        <v>339</v>
      </c>
      <c r="AR102" s="715" t="s">
        <v>1945</v>
      </c>
      <c r="AS102" s="715"/>
      <c r="AT102" s="715" t="s">
        <v>381</v>
      </c>
      <c r="AU102" s="711">
        <v>12</v>
      </c>
      <c r="AV102" s="711">
        <v>5</v>
      </c>
      <c r="AW102" s="711" t="s">
        <v>1973</v>
      </c>
      <c r="AX102" s="716">
        <v>1</v>
      </c>
      <c r="AY102" s="716">
        <v>1</v>
      </c>
      <c r="AZ102" s="716">
        <v>0</v>
      </c>
      <c r="BA102" s="499">
        <f t="shared" si="159"/>
        <v>0</v>
      </c>
      <c r="BB102" s="499">
        <f t="shared" si="160"/>
        <v>0</v>
      </c>
      <c r="BC102" s="499">
        <f t="shared" si="160"/>
        <v>0</v>
      </c>
      <c r="BD102" s="499">
        <f t="shared" si="160"/>
        <v>0</v>
      </c>
      <c r="BE102" s="499">
        <f t="shared" si="161"/>
        <v>0</v>
      </c>
      <c r="BF102" s="499">
        <f t="shared" si="161"/>
        <v>0</v>
      </c>
      <c r="BG102" s="499">
        <f t="shared" si="161"/>
        <v>0</v>
      </c>
      <c r="BH102" s="499">
        <f t="shared" si="162"/>
        <v>-6.9408333333333336E-2</v>
      </c>
      <c r="BI102" s="499">
        <f t="shared" si="163"/>
        <v>-6.9408333333333336E-2</v>
      </c>
      <c r="BJ102" s="499">
        <f t="shared" si="163"/>
        <v>-6.9408333333333336E-2</v>
      </c>
      <c r="BK102" s="499">
        <f t="shared" si="163"/>
        <v>-6.9408333333333336E-2</v>
      </c>
      <c r="BL102" s="499">
        <f t="shared" si="163"/>
        <v>-6.9408333333333336E-2</v>
      </c>
      <c r="BM102" s="499">
        <f t="shared" si="163"/>
        <v>-6.9408333333333336E-2</v>
      </c>
      <c r="BN102" s="499">
        <f t="shared" si="163"/>
        <v>-6.9408333333333336E-2</v>
      </c>
      <c r="BO102" s="499">
        <f t="shared" si="164"/>
        <v>0</v>
      </c>
      <c r="BP102" s="499">
        <f t="shared" si="192"/>
        <v>0</v>
      </c>
      <c r="BQ102" s="499">
        <f t="shared" si="165"/>
        <v>0</v>
      </c>
      <c r="BR102" s="499">
        <f t="shared" si="165"/>
        <v>0</v>
      </c>
      <c r="BS102" s="499">
        <f t="shared" si="165"/>
        <v>0</v>
      </c>
      <c r="BT102" s="499">
        <f t="shared" si="165"/>
        <v>0</v>
      </c>
      <c r="BU102" s="499">
        <f t="shared" si="165"/>
        <v>0</v>
      </c>
      <c r="BV102" s="503">
        <f t="shared" si="189"/>
        <v>6.9531999999999998</v>
      </c>
      <c r="BW102" s="503">
        <f t="shared" si="166"/>
        <v>6.9531999999999998</v>
      </c>
      <c r="BX102" s="503">
        <f t="shared" si="166"/>
        <v>6.9531999999999998</v>
      </c>
      <c r="BY102" s="503">
        <f t="shared" si="166"/>
        <v>6.9531999999999998</v>
      </c>
      <c r="BZ102" s="503">
        <f t="shared" si="166"/>
        <v>6.9531999999999998</v>
      </c>
      <c r="CA102" s="503">
        <f t="shared" si="166"/>
        <v>6.9531999999999998</v>
      </c>
      <c r="CB102" s="503">
        <f t="shared" si="166"/>
        <v>6.9531999999999998</v>
      </c>
      <c r="CC102" s="511">
        <f t="shared" si="167"/>
        <v>8.547825549497361</v>
      </c>
      <c r="CD102" s="511">
        <f t="shared" si="168"/>
        <v>8.547825549497361</v>
      </c>
      <c r="CE102" s="511">
        <f t="shared" si="168"/>
        <v>8.547825549497361</v>
      </c>
      <c r="CF102" s="511">
        <f t="shared" si="168"/>
        <v>8.547825549497361</v>
      </c>
      <c r="CG102" s="511">
        <f t="shared" si="168"/>
        <v>8.547825549497361</v>
      </c>
      <c r="CH102" s="511">
        <f t="shared" si="168"/>
        <v>8.547825549497361</v>
      </c>
      <c r="CI102" s="511">
        <f t="shared" si="168"/>
        <v>8.547825549497361</v>
      </c>
      <c r="CJ102" s="511">
        <f t="shared" si="169"/>
        <v>1.0291354805041944E-3</v>
      </c>
      <c r="CK102" s="511">
        <f t="shared" si="170"/>
        <v>1.0291354805041944E-3</v>
      </c>
      <c r="CL102" s="511">
        <f t="shared" si="170"/>
        <v>1.0291354805041944E-3</v>
      </c>
      <c r="CM102" s="511">
        <f t="shared" si="170"/>
        <v>1.0291354805041944E-3</v>
      </c>
      <c r="CN102" s="511">
        <f t="shared" si="170"/>
        <v>1.0291354805041944E-3</v>
      </c>
      <c r="CO102" s="511">
        <f t="shared" si="170"/>
        <v>1.0291354805041944E-3</v>
      </c>
      <c r="CP102" s="511">
        <f t="shared" si="170"/>
        <v>1.0291354805041944E-3</v>
      </c>
      <c r="CQ102" s="511">
        <f t="shared" si="171"/>
        <v>0</v>
      </c>
      <c r="CR102" s="511">
        <f t="shared" si="172"/>
        <v>0</v>
      </c>
      <c r="CS102" s="511">
        <f t="shared" si="172"/>
        <v>0</v>
      </c>
      <c r="CT102" s="511">
        <f t="shared" si="172"/>
        <v>0</v>
      </c>
      <c r="CU102" s="511">
        <f t="shared" si="172"/>
        <v>0</v>
      </c>
      <c r="CV102" s="511">
        <f t="shared" si="172"/>
        <v>0</v>
      </c>
      <c r="CW102" s="511">
        <f t="shared" si="172"/>
        <v>0</v>
      </c>
      <c r="CX102" s="508">
        <f t="shared" si="173"/>
        <v>0</v>
      </c>
      <c r="CY102" s="508">
        <f t="shared" si="173"/>
        <v>0</v>
      </c>
      <c r="CZ102" s="508">
        <f t="shared" si="173"/>
        <v>0</v>
      </c>
      <c r="DA102" s="508">
        <f t="shared" si="173"/>
        <v>0</v>
      </c>
      <c r="DB102" s="508">
        <f t="shared" si="173"/>
        <v>0</v>
      </c>
      <c r="DC102" s="508">
        <f t="shared" si="173"/>
        <v>0</v>
      </c>
      <c r="DD102" s="508">
        <f t="shared" si="173"/>
        <v>0</v>
      </c>
      <c r="DE102" s="508">
        <f t="shared" si="174"/>
        <v>0</v>
      </c>
      <c r="DF102" s="508">
        <f t="shared" si="174"/>
        <v>0</v>
      </c>
      <c r="DG102" s="508">
        <f t="shared" si="174"/>
        <v>-152.35129166666667</v>
      </c>
      <c r="DH102" s="508">
        <f t="shared" si="174"/>
        <v>-152.35129166666667</v>
      </c>
      <c r="DI102" s="508">
        <f t="shared" si="174"/>
        <v>-152.35129166666667</v>
      </c>
      <c r="DJ102" s="508">
        <f t="shared" si="174"/>
        <v>-152.35129166666667</v>
      </c>
      <c r="DK102" s="508">
        <f t="shared" si="174"/>
        <v>-152.35129166666667</v>
      </c>
      <c r="DL102" s="508">
        <f t="shared" si="175"/>
        <v>0</v>
      </c>
      <c r="DM102" s="508">
        <f t="shared" si="175"/>
        <v>0</v>
      </c>
      <c r="DN102" s="508">
        <f t="shared" si="175"/>
        <v>0</v>
      </c>
      <c r="DO102" s="508">
        <f t="shared" si="175"/>
        <v>0</v>
      </c>
      <c r="DP102" s="508">
        <f t="shared" si="175"/>
        <v>0</v>
      </c>
      <c r="DQ102" s="508">
        <f t="shared" si="175"/>
        <v>0</v>
      </c>
      <c r="DR102" s="508">
        <f t="shared" si="175"/>
        <v>0</v>
      </c>
      <c r="DS102" s="508">
        <f t="shared" si="190"/>
        <v>0</v>
      </c>
      <c r="DT102" s="508">
        <f t="shared" si="190"/>
        <v>0</v>
      </c>
      <c r="DU102" s="508">
        <f t="shared" si="190"/>
        <v>15262.273999999999</v>
      </c>
      <c r="DV102" s="508">
        <f t="shared" si="190"/>
        <v>15262.273999999999</v>
      </c>
      <c r="DW102" s="508">
        <f t="shared" si="190"/>
        <v>15262.273999999999</v>
      </c>
      <c r="DX102" s="508">
        <f t="shared" si="176"/>
        <v>15262.273999999999</v>
      </c>
      <c r="DY102" s="508">
        <f t="shared" si="176"/>
        <v>15262.273999999999</v>
      </c>
      <c r="DZ102" s="511">
        <f t="shared" si="177"/>
        <v>0</v>
      </c>
      <c r="EA102" s="511">
        <f t="shared" si="177"/>
        <v>0</v>
      </c>
      <c r="EB102" s="511">
        <f t="shared" si="177"/>
        <v>18762.477081146706</v>
      </c>
      <c r="EC102" s="511">
        <f t="shared" si="177"/>
        <v>18762.477081146706</v>
      </c>
      <c r="ED102" s="511">
        <f t="shared" si="177"/>
        <v>18762.477081146706</v>
      </c>
      <c r="EE102" s="511">
        <f t="shared" si="177"/>
        <v>18762.477081146706</v>
      </c>
      <c r="EF102" s="511">
        <f t="shared" si="177"/>
        <v>18762.477081146706</v>
      </c>
      <c r="EG102" s="511">
        <f t="shared" si="178"/>
        <v>0</v>
      </c>
      <c r="EH102" s="511">
        <f t="shared" si="178"/>
        <v>0</v>
      </c>
      <c r="EI102" s="511">
        <f t="shared" si="178"/>
        <v>2.2589523797067068</v>
      </c>
      <c r="EJ102" s="511">
        <f t="shared" si="178"/>
        <v>2.2589523797067068</v>
      </c>
      <c r="EK102" s="511">
        <f t="shared" si="178"/>
        <v>2.2589523797067068</v>
      </c>
      <c r="EL102" s="511">
        <f t="shared" si="178"/>
        <v>2.2589523797067068</v>
      </c>
      <c r="EM102" s="511">
        <f t="shared" si="178"/>
        <v>2.2589523797067068</v>
      </c>
      <c r="EN102" s="511">
        <f t="shared" si="179"/>
        <v>0</v>
      </c>
      <c r="EO102" s="511">
        <f t="shared" si="179"/>
        <v>0</v>
      </c>
      <c r="EP102" s="511">
        <f t="shared" si="179"/>
        <v>0</v>
      </c>
      <c r="EQ102" s="511">
        <f t="shared" si="179"/>
        <v>0</v>
      </c>
      <c r="ER102" s="511">
        <f t="shared" si="179"/>
        <v>0</v>
      </c>
      <c r="ES102" s="511">
        <f t="shared" si="179"/>
        <v>0</v>
      </c>
      <c r="ET102" s="511">
        <f t="shared" si="179"/>
        <v>0</v>
      </c>
      <c r="EU102" s="777">
        <f t="shared" si="191"/>
        <v>10975</v>
      </c>
      <c r="EV102" s="728">
        <f t="shared" si="181"/>
        <v>0</v>
      </c>
      <c r="EW102" s="728">
        <f t="shared" si="182"/>
        <v>-761.75645833333328</v>
      </c>
      <c r="EX102" s="728">
        <f t="shared" si="183"/>
        <v>0</v>
      </c>
      <c r="EY102" s="728">
        <f t="shared" si="184"/>
        <v>76311.37</v>
      </c>
      <c r="EZ102" s="777">
        <f t="shared" si="185"/>
        <v>93812.385405733527</v>
      </c>
      <c r="FA102" s="777">
        <f t="shared" si="186"/>
        <v>11.294761898533533</v>
      </c>
      <c r="FB102" s="778">
        <f t="shared" si="187"/>
        <v>0</v>
      </c>
    </row>
    <row r="103" spans="1:158" s="10" customFormat="1" ht="12.75" hidden="1" customHeight="1">
      <c r="A103" s="662" t="s">
        <v>191</v>
      </c>
      <c r="B103" s="789" t="s">
        <v>2195</v>
      </c>
      <c r="C103" s="789" t="s">
        <v>562</v>
      </c>
      <c r="D103" s="715" t="s">
        <v>1966</v>
      </c>
      <c r="E103" s="662" t="s">
        <v>331</v>
      </c>
      <c r="F103" s="704" t="s">
        <v>372</v>
      </c>
      <c r="G103" s="707">
        <f t="shared" si="155"/>
        <v>0</v>
      </c>
      <c r="H103" s="707">
        <f t="shared" si="155"/>
        <v>0</v>
      </c>
      <c r="I103" s="707">
        <f t="shared" si="155"/>
        <v>0</v>
      </c>
      <c r="J103" s="707">
        <f t="shared" si="155"/>
        <v>-0.38829999999999998</v>
      </c>
      <c r="K103" s="707">
        <f t="shared" si="155"/>
        <v>0</v>
      </c>
      <c r="L103" s="1263" t="str">
        <f t="shared" si="155"/>
        <v>Calculated based based on the RTF LED/CFL workbook "ResLightingCFLand LEDLamps_v4_2.xlsm"; accessed 6/6/2016: http://rtf.nwcouncil.org//measures/measure.asp?id=141</v>
      </c>
      <c r="M103" s="707" t="str">
        <f t="shared" si="155"/>
        <v>Free</v>
      </c>
      <c r="N103" s="707">
        <f t="shared" si="155"/>
        <v>0</v>
      </c>
      <c r="O103" s="707">
        <f t="shared" si="155"/>
        <v>0</v>
      </c>
      <c r="P103" s="707">
        <f t="shared" si="155"/>
        <v>9.4653233901957208</v>
      </c>
      <c r="Q103" s="1022">
        <v>28.405951750654484</v>
      </c>
      <c r="R103" s="872">
        <v>1.1367412220145488E-3</v>
      </c>
      <c r="S103" s="1022">
        <v>0</v>
      </c>
      <c r="T103" s="711" t="str">
        <f t="shared" si="188"/>
        <v>Potential Study Results: Calculated based on assumptions from the RTF LED/CFL workbook "ResLightingCFLand LEDLamps_v4_2.xlsm"; accessed 6/6/2016: http://rtf.nwcouncil.org//measures/measure.asp?id=141</v>
      </c>
      <c r="U103" s="712"/>
      <c r="V103" s="1124">
        <f t="shared" si="156"/>
        <v>3</v>
      </c>
      <c r="W103" s="790"/>
      <c r="X103" s="790"/>
      <c r="Y103" s="790"/>
      <c r="Z103" s="790"/>
      <c r="AA103" s="790"/>
      <c r="AB103" s="790"/>
      <c r="AC103" s="781">
        <f t="shared" si="157"/>
        <v>3765</v>
      </c>
      <c r="AD103" s="781">
        <f t="shared" si="157"/>
        <v>3765</v>
      </c>
      <c r="AE103" s="781">
        <f t="shared" si="157"/>
        <v>0</v>
      </c>
      <c r="AF103" s="781">
        <f t="shared" si="157"/>
        <v>0</v>
      </c>
      <c r="AG103" s="781">
        <f t="shared" si="157"/>
        <v>0</v>
      </c>
      <c r="AH103" s="781">
        <f t="shared" si="158"/>
        <v>0</v>
      </c>
      <c r="AI103" s="781">
        <f t="shared" si="158"/>
        <v>0</v>
      </c>
      <c r="AJ103" s="711" t="s">
        <v>384</v>
      </c>
      <c r="AK103" s="711" t="s">
        <v>375</v>
      </c>
      <c r="AL103" s="711" t="s">
        <v>376</v>
      </c>
      <c r="AM103" s="711" t="s">
        <v>1974</v>
      </c>
      <c r="AN103" s="711" t="s">
        <v>1</v>
      </c>
      <c r="AO103" s="711" t="s">
        <v>1975</v>
      </c>
      <c r="AP103" s="711" t="s">
        <v>1702</v>
      </c>
      <c r="AQ103" s="711" t="s">
        <v>339</v>
      </c>
      <c r="AR103" s="715" t="s">
        <v>1945</v>
      </c>
      <c r="AS103" s="715"/>
      <c r="AT103" s="715" t="s">
        <v>381</v>
      </c>
      <c r="AU103" s="711">
        <v>12</v>
      </c>
      <c r="AV103" s="711">
        <v>1</v>
      </c>
      <c r="AW103" s="711" t="s">
        <v>1976</v>
      </c>
      <c r="AX103" s="716">
        <v>1</v>
      </c>
      <c r="AY103" s="716">
        <v>1</v>
      </c>
      <c r="AZ103" s="716">
        <v>0</v>
      </c>
      <c r="BA103" s="499">
        <f t="shared" si="159"/>
        <v>0</v>
      </c>
      <c r="BB103" s="499">
        <f t="shared" si="160"/>
        <v>0</v>
      </c>
      <c r="BC103" s="499">
        <f t="shared" si="160"/>
        <v>0</v>
      </c>
      <c r="BD103" s="499">
        <f t="shared" si="160"/>
        <v>0</v>
      </c>
      <c r="BE103" s="499">
        <f t="shared" si="161"/>
        <v>0</v>
      </c>
      <c r="BF103" s="499">
        <f t="shared" si="161"/>
        <v>0</v>
      </c>
      <c r="BG103" s="499">
        <f t="shared" si="161"/>
        <v>0</v>
      </c>
      <c r="BH103" s="499">
        <f t="shared" si="162"/>
        <v>-0.38829999999999998</v>
      </c>
      <c r="BI103" s="499">
        <f t="shared" si="163"/>
        <v>-0.38829999999999998</v>
      </c>
      <c r="BJ103" s="499">
        <f t="shared" si="163"/>
        <v>-0.38829999999999998</v>
      </c>
      <c r="BK103" s="499">
        <f t="shared" si="163"/>
        <v>-0.38829999999999998</v>
      </c>
      <c r="BL103" s="499">
        <f t="shared" si="163"/>
        <v>-0.38829999999999998</v>
      </c>
      <c r="BM103" s="499">
        <f t="shared" si="163"/>
        <v>-0.38829999999999998</v>
      </c>
      <c r="BN103" s="499">
        <f t="shared" si="163"/>
        <v>-0.38829999999999998</v>
      </c>
      <c r="BO103" s="499">
        <f t="shared" si="164"/>
        <v>0</v>
      </c>
      <c r="BP103" s="499">
        <f t="shared" si="192"/>
        <v>0</v>
      </c>
      <c r="BQ103" s="499">
        <f t="shared" si="165"/>
        <v>0</v>
      </c>
      <c r="BR103" s="499">
        <f t="shared" si="165"/>
        <v>0</v>
      </c>
      <c r="BS103" s="499">
        <f t="shared" si="165"/>
        <v>0</v>
      </c>
      <c r="BT103" s="499">
        <f t="shared" si="165"/>
        <v>0</v>
      </c>
      <c r="BU103" s="499">
        <f t="shared" si="165"/>
        <v>0</v>
      </c>
      <c r="BV103" s="503">
        <f t="shared" si="189"/>
        <v>9.4653233901957208</v>
      </c>
      <c r="BW103" s="503">
        <f t="shared" si="166"/>
        <v>9.4653233901957208</v>
      </c>
      <c r="BX103" s="503">
        <f t="shared" si="166"/>
        <v>9.4653233901957208</v>
      </c>
      <c r="BY103" s="503">
        <f t="shared" si="166"/>
        <v>9.4653233901957208</v>
      </c>
      <c r="BZ103" s="503">
        <f t="shared" si="166"/>
        <v>9.4653233901957208</v>
      </c>
      <c r="CA103" s="503">
        <f t="shared" si="166"/>
        <v>9.4653233901957208</v>
      </c>
      <c r="CB103" s="503">
        <f t="shared" si="166"/>
        <v>9.4653233901957208</v>
      </c>
      <c r="CC103" s="511">
        <f t="shared" si="167"/>
        <v>28.405951750654484</v>
      </c>
      <c r="CD103" s="511">
        <f t="shared" si="168"/>
        <v>28.405951750654484</v>
      </c>
      <c r="CE103" s="511">
        <f t="shared" si="168"/>
        <v>28.405951750654484</v>
      </c>
      <c r="CF103" s="511">
        <f t="shared" si="168"/>
        <v>28.405951750654484</v>
      </c>
      <c r="CG103" s="511">
        <f t="shared" si="168"/>
        <v>28.405951750654484</v>
      </c>
      <c r="CH103" s="511">
        <f t="shared" si="168"/>
        <v>28.405951750654484</v>
      </c>
      <c r="CI103" s="511">
        <f t="shared" si="168"/>
        <v>28.405951750654484</v>
      </c>
      <c r="CJ103" s="511">
        <f t="shared" si="169"/>
        <v>1.1367412220145488E-3</v>
      </c>
      <c r="CK103" s="511">
        <f t="shared" si="170"/>
        <v>1.1367412220145488E-3</v>
      </c>
      <c r="CL103" s="511">
        <f t="shared" si="170"/>
        <v>1.1367412220145488E-3</v>
      </c>
      <c r="CM103" s="511">
        <f t="shared" si="170"/>
        <v>1.1367412220145488E-3</v>
      </c>
      <c r="CN103" s="511">
        <f t="shared" si="170"/>
        <v>1.1367412220145488E-3</v>
      </c>
      <c r="CO103" s="511">
        <f t="shared" si="170"/>
        <v>1.1367412220145488E-3</v>
      </c>
      <c r="CP103" s="511">
        <f t="shared" si="170"/>
        <v>1.1367412220145488E-3</v>
      </c>
      <c r="CQ103" s="511">
        <f t="shared" si="171"/>
        <v>0</v>
      </c>
      <c r="CR103" s="511">
        <f t="shared" si="172"/>
        <v>0</v>
      </c>
      <c r="CS103" s="511">
        <f t="shared" si="172"/>
        <v>0</v>
      </c>
      <c r="CT103" s="511">
        <f t="shared" si="172"/>
        <v>0</v>
      </c>
      <c r="CU103" s="511">
        <f t="shared" si="172"/>
        <v>0</v>
      </c>
      <c r="CV103" s="511">
        <f t="shared" si="172"/>
        <v>0</v>
      </c>
      <c r="CW103" s="511">
        <f t="shared" si="172"/>
        <v>0</v>
      </c>
      <c r="CX103" s="508">
        <f t="shared" si="173"/>
        <v>0</v>
      </c>
      <c r="CY103" s="508">
        <f t="shared" si="173"/>
        <v>0</v>
      </c>
      <c r="CZ103" s="508">
        <f t="shared" si="173"/>
        <v>0</v>
      </c>
      <c r="DA103" s="508">
        <f t="shared" si="173"/>
        <v>0</v>
      </c>
      <c r="DB103" s="508">
        <f t="shared" si="173"/>
        <v>0</v>
      </c>
      <c r="DC103" s="508">
        <f t="shared" si="173"/>
        <v>0</v>
      </c>
      <c r="DD103" s="508">
        <f t="shared" si="173"/>
        <v>0</v>
      </c>
      <c r="DE103" s="508">
        <f t="shared" si="174"/>
        <v>-1461.9494999999999</v>
      </c>
      <c r="DF103" s="508">
        <f t="shared" si="174"/>
        <v>-1461.9494999999999</v>
      </c>
      <c r="DG103" s="508">
        <f t="shared" si="174"/>
        <v>0</v>
      </c>
      <c r="DH103" s="508">
        <f t="shared" si="174"/>
        <v>0</v>
      </c>
      <c r="DI103" s="508">
        <f t="shared" si="174"/>
        <v>0</v>
      </c>
      <c r="DJ103" s="508">
        <f t="shared" si="174"/>
        <v>0</v>
      </c>
      <c r="DK103" s="508">
        <f t="shared" si="174"/>
        <v>0</v>
      </c>
      <c r="DL103" s="508">
        <f t="shared" si="175"/>
        <v>0</v>
      </c>
      <c r="DM103" s="508">
        <f t="shared" si="175"/>
        <v>0</v>
      </c>
      <c r="DN103" s="508">
        <f t="shared" si="175"/>
        <v>0</v>
      </c>
      <c r="DO103" s="508">
        <f t="shared" si="175"/>
        <v>0</v>
      </c>
      <c r="DP103" s="508">
        <f t="shared" si="175"/>
        <v>0</v>
      </c>
      <c r="DQ103" s="508">
        <f t="shared" si="175"/>
        <v>0</v>
      </c>
      <c r="DR103" s="508">
        <f t="shared" si="175"/>
        <v>0</v>
      </c>
      <c r="DS103" s="508">
        <f t="shared" si="190"/>
        <v>35636.942564086887</v>
      </c>
      <c r="DT103" s="508">
        <f t="shared" si="190"/>
        <v>35636.942564086887</v>
      </c>
      <c r="DU103" s="508">
        <f t="shared" si="190"/>
        <v>0</v>
      </c>
      <c r="DV103" s="508">
        <f t="shared" si="190"/>
        <v>0</v>
      </c>
      <c r="DW103" s="508">
        <f t="shared" si="190"/>
        <v>0</v>
      </c>
      <c r="DX103" s="508">
        <f t="shared" si="176"/>
        <v>0</v>
      </c>
      <c r="DY103" s="508">
        <f t="shared" si="176"/>
        <v>0</v>
      </c>
      <c r="DZ103" s="511">
        <f t="shared" si="177"/>
        <v>106948.40834121413</v>
      </c>
      <c r="EA103" s="511">
        <f t="shared" si="177"/>
        <v>106948.40834121413</v>
      </c>
      <c r="EB103" s="511">
        <f t="shared" si="177"/>
        <v>0</v>
      </c>
      <c r="EC103" s="511">
        <f t="shared" si="177"/>
        <v>0</v>
      </c>
      <c r="ED103" s="511">
        <f t="shared" si="177"/>
        <v>0</v>
      </c>
      <c r="EE103" s="511">
        <f t="shared" si="177"/>
        <v>0</v>
      </c>
      <c r="EF103" s="511">
        <f t="shared" si="177"/>
        <v>0</v>
      </c>
      <c r="EG103" s="511">
        <f t="shared" si="178"/>
        <v>4.2798307008847765</v>
      </c>
      <c r="EH103" s="511">
        <f t="shared" si="178"/>
        <v>4.2798307008847765</v>
      </c>
      <c r="EI103" s="511">
        <f t="shared" si="178"/>
        <v>0</v>
      </c>
      <c r="EJ103" s="511">
        <f t="shared" si="178"/>
        <v>0</v>
      </c>
      <c r="EK103" s="511">
        <f t="shared" si="178"/>
        <v>0</v>
      </c>
      <c r="EL103" s="511">
        <f t="shared" si="178"/>
        <v>0</v>
      </c>
      <c r="EM103" s="511">
        <f t="shared" si="178"/>
        <v>0</v>
      </c>
      <c r="EN103" s="511">
        <f t="shared" si="179"/>
        <v>0</v>
      </c>
      <c r="EO103" s="511">
        <f t="shared" si="179"/>
        <v>0</v>
      </c>
      <c r="EP103" s="511">
        <f t="shared" si="179"/>
        <v>0</v>
      </c>
      <c r="EQ103" s="511">
        <f t="shared" si="179"/>
        <v>0</v>
      </c>
      <c r="ER103" s="511">
        <f t="shared" si="179"/>
        <v>0</v>
      </c>
      <c r="ES103" s="511">
        <f t="shared" si="179"/>
        <v>0</v>
      </c>
      <c r="ET103" s="511">
        <f t="shared" si="179"/>
        <v>0</v>
      </c>
      <c r="EU103" s="777">
        <f t="shared" si="191"/>
        <v>7530</v>
      </c>
      <c r="EV103" s="728">
        <f t="shared" si="181"/>
        <v>0</v>
      </c>
      <c r="EW103" s="728">
        <f t="shared" si="182"/>
        <v>-2923.8989999999999</v>
      </c>
      <c r="EX103" s="728">
        <f t="shared" si="183"/>
        <v>0</v>
      </c>
      <c r="EY103" s="728">
        <f t="shared" si="184"/>
        <v>71273.885128173773</v>
      </c>
      <c r="EZ103" s="777">
        <f t="shared" si="185"/>
        <v>213896.81668242827</v>
      </c>
      <c r="FA103" s="777">
        <f t="shared" si="186"/>
        <v>8.5596614017695529</v>
      </c>
      <c r="FB103" s="778">
        <f t="shared" si="187"/>
        <v>0</v>
      </c>
    </row>
    <row r="104" spans="1:158" s="10" customFormat="1" ht="12.75" hidden="1" customHeight="1">
      <c r="A104" s="662" t="s">
        <v>192</v>
      </c>
      <c r="B104" s="789" t="s">
        <v>2195</v>
      </c>
      <c r="C104" s="789" t="s">
        <v>562</v>
      </c>
      <c r="D104" s="715" t="s">
        <v>1972</v>
      </c>
      <c r="E104" s="662" t="s">
        <v>331</v>
      </c>
      <c r="F104" s="704" t="s">
        <v>372</v>
      </c>
      <c r="G104" s="707">
        <f t="shared" si="155"/>
        <v>0</v>
      </c>
      <c r="H104" s="707">
        <f t="shared" si="155"/>
        <v>0</v>
      </c>
      <c r="I104" s="707">
        <f t="shared" si="155"/>
        <v>0</v>
      </c>
      <c r="J104" s="707">
        <f t="shared" si="155"/>
        <v>-3.2358333333333336E-2</v>
      </c>
      <c r="K104" s="707">
        <f t="shared" si="155"/>
        <v>0</v>
      </c>
      <c r="L104" s="1263" t="str">
        <f t="shared" si="155"/>
        <v>Calculated based based on the RTF LED/CFL workbook "ResLightingCFLand LEDLamps_v4_2.xlsm"; accessed 6/6/2016: http://rtf.nwcouncil.org//measures/measure.asp?id=141</v>
      </c>
      <c r="M104" s="707" t="str">
        <f t="shared" si="155"/>
        <v>Free</v>
      </c>
      <c r="N104" s="707">
        <f t="shared" si="155"/>
        <v>0</v>
      </c>
      <c r="O104" s="707">
        <f t="shared" si="155"/>
        <v>0</v>
      </c>
      <c r="P104" s="707">
        <f t="shared" si="155"/>
        <v>9.4653233901957208</v>
      </c>
      <c r="Q104" s="1022">
        <v>16.044680439380667</v>
      </c>
      <c r="R104" s="872">
        <v>6.4207141551151433E-4</v>
      </c>
      <c r="S104" s="1022">
        <v>0</v>
      </c>
      <c r="T104" s="711" t="str">
        <f t="shared" si="188"/>
        <v>Potential Study Results: Calculated based on assumptions from the RTF LED/CFL workbook "ResLightingCFLand LEDLamps_v4_2.xlsm"; accessed 6/6/2016: http://rtf.nwcouncil.org//measures/measure.asp?id=141</v>
      </c>
      <c r="U104" s="712"/>
      <c r="V104" s="1124">
        <f t="shared" si="156"/>
        <v>0.75</v>
      </c>
      <c r="W104" s="790"/>
      <c r="X104" s="790"/>
      <c r="Y104" s="790"/>
      <c r="Z104" s="790"/>
      <c r="AA104" s="790"/>
      <c r="AB104" s="790"/>
      <c r="AC104" s="781">
        <f t="shared" si="157"/>
        <v>0</v>
      </c>
      <c r="AD104" s="781">
        <f t="shared" si="157"/>
        <v>0</v>
      </c>
      <c r="AE104" s="781">
        <f t="shared" si="157"/>
        <v>940</v>
      </c>
      <c r="AF104" s="781">
        <f t="shared" si="157"/>
        <v>940</v>
      </c>
      <c r="AG104" s="781">
        <f t="shared" si="157"/>
        <v>940</v>
      </c>
      <c r="AH104" s="781">
        <f t="shared" si="158"/>
        <v>940</v>
      </c>
      <c r="AI104" s="781">
        <f t="shared" si="158"/>
        <v>940</v>
      </c>
      <c r="AJ104" s="711" t="s">
        <v>384</v>
      </c>
      <c r="AK104" s="711" t="s">
        <v>375</v>
      </c>
      <c r="AL104" s="711" t="s">
        <v>376</v>
      </c>
      <c r="AM104" s="711" t="s">
        <v>1974</v>
      </c>
      <c r="AN104" s="711" t="s">
        <v>1</v>
      </c>
      <c r="AO104" s="711" t="s">
        <v>1975</v>
      </c>
      <c r="AP104" s="711" t="s">
        <v>1702</v>
      </c>
      <c r="AQ104" s="711" t="s">
        <v>339</v>
      </c>
      <c r="AR104" s="715" t="s">
        <v>1945</v>
      </c>
      <c r="AS104" s="715"/>
      <c r="AT104" s="715" t="s">
        <v>381</v>
      </c>
      <c r="AU104" s="711">
        <v>12</v>
      </c>
      <c r="AV104" s="711">
        <v>1</v>
      </c>
      <c r="AW104" s="711" t="s">
        <v>1976</v>
      </c>
      <c r="AX104" s="716">
        <v>1</v>
      </c>
      <c r="AY104" s="716">
        <v>1</v>
      </c>
      <c r="AZ104" s="716">
        <v>0</v>
      </c>
      <c r="BA104" s="499">
        <f t="shared" si="159"/>
        <v>0</v>
      </c>
      <c r="BB104" s="499">
        <f t="shared" si="160"/>
        <v>0</v>
      </c>
      <c r="BC104" s="499">
        <f t="shared" si="160"/>
        <v>0</v>
      </c>
      <c r="BD104" s="499">
        <f t="shared" si="160"/>
        <v>0</v>
      </c>
      <c r="BE104" s="499">
        <f t="shared" si="161"/>
        <v>0</v>
      </c>
      <c r="BF104" s="499">
        <f t="shared" si="161"/>
        <v>0</v>
      </c>
      <c r="BG104" s="499">
        <f t="shared" si="161"/>
        <v>0</v>
      </c>
      <c r="BH104" s="499">
        <f t="shared" si="162"/>
        <v>-3.2358333333333336E-2</v>
      </c>
      <c r="BI104" s="499">
        <f t="shared" si="163"/>
        <v>-3.2358333333333336E-2</v>
      </c>
      <c r="BJ104" s="499">
        <f t="shared" si="163"/>
        <v>-3.2358333333333336E-2</v>
      </c>
      <c r="BK104" s="499">
        <f t="shared" si="163"/>
        <v>-3.2358333333333336E-2</v>
      </c>
      <c r="BL104" s="499">
        <f t="shared" si="163"/>
        <v>-3.2358333333333336E-2</v>
      </c>
      <c r="BM104" s="499">
        <f t="shared" si="163"/>
        <v>-3.2358333333333336E-2</v>
      </c>
      <c r="BN104" s="499">
        <f t="shared" si="163"/>
        <v>-3.2358333333333336E-2</v>
      </c>
      <c r="BO104" s="499">
        <f t="shared" si="164"/>
        <v>0</v>
      </c>
      <c r="BP104" s="499">
        <f t="shared" si="192"/>
        <v>0</v>
      </c>
      <c r="BQ104" s="499">
        <f t="shared" si="165"/>
        <v>0</v>
      </c>
      <c r="BR104" s="499">
        <f t="shared" si="165"/>
        <v>0</v>
      </c>
      <c r="BS104" s="499">
        <f t="shared" si="165"/>
        <v>0</v>
      </c>
      <c r="BT104" s="499">
        <f t="shared" si="165"/>
        <v>0</v>
      </c>
      <c r="BU104" s="499">
        <f t="shared" si="165"/>
        <v>0</v>
      </c>
      <c r="BV104" s="503">
        <f t="shared" si="189"/>
        <v>9.4653233901957208</v>
      </c>
      <c r="BW104" s="503">
        <f t="shared" si="166"/>
        <v>9.4653233901957208</v>
      </c>
      <c r="BX104" s="503">
        <f t="shared" si="166"/>
        <v>9.4653233901957208</v>
      </c>
      <c r="BY104" s="503">
        <f t="shared" si="166"/>
        <v>9.4653233901957208</v>
      </c>
      <c r="BZ104" s="503">
        <f t="shared" si="166"/>
        <v>9.4653233901957208</v>
      </c>
      <c r="CA104" s="503">
        <f t="shared" si="166"/>
        <v>9.4653233901957208</v>
      </c>
      <c r="CB104" s="503">
        <f t="shared" si="166"/>
        <v>9.4653233901957208</v>
      </c>
      <c r="CC104" s="511">
        <f t="shared" si="167"/>
        <v>16.044680439380667</v>
      </c>
      <c r="CD104" s="511">
        <f t="shared" si="168"/>
        <v>16.044680439380667</v>
      </c>
      <c r="CE104" s="511">
        <f t="shared" si="168"/>
        <v>16.044680439380667</v>
      </c>
      <c r="CF104" s="511">
        <f t="shared" si="168"/>
        <v>16.044680439380667</v>
      </c>
      <c r="CG104" s="511">
        <f t="shared" si="168"/>
        <v>16.044680439380667</v>
      </c>
      <c r="CH104" s="511">
        <f t="shared" si="168"/>
        <v>16.044680439380667</v>
      </c>
      <c r="CI104" s="511">
        <f t="shared" si="168"/>
        <v>16.044680439380667</v>
      </c>
      <c r="CJ104" s="511">
        <f t="shared" si="169"/>
        <v>6.4207141551151433E-4</v>
      </c>
      <c r="CK104" s="511">
        <f t="shared" si="170"/>
        <v>6.4207141551151433E-4</v>
      </c>
      <c r="CL104" s="511">
        <f t="shared" si="170"/>
        <v>6.4207141551151433E-4</v>
      </c>
      <c r="CM104" s="511">
        <f t="shared" si="170"/>
        <v>6.4207141551151433E-4</v>
      </c>
      <c r="CN104" s="511">
        <f t="shared" si="170"/>
        <v>6.4207141551151433E-4</v>
      </c>
      <c r="CO104" s="511">
        <f t="shared" si="170"/>
        <v>6.4207141551151433E-4</v>
      </c>
      <c r="CP104" s="511">
        <f t="shared" si="170"/>
        <v>6.4207141551151433E-4</v>
      </c>
      <c r="CQ104" s="511">
        <f t="shared" si="171"/>
        <v>0</v>
      </c>
      <c r="CR104" s="511">
        <f t="shared" si="172"/>
        <v>0</v>
      </c>
      <c r="CS104" s="511">
        <f t="shared" si="172"/>
        <v>0</v>
      </c>
      <c r="CT104" s="511">
        <f t="shared" si="172"/>
        <v>0</v>
      </c>
      <c r="CU104" s="511">
        <f t="shared" si="172"/>
        <v>0</v>
      </c>
      <c r="CV104" s="511">
        <f t="shared" si="172"/>
        <v>0</v>
      </c>
      <c r="CW104" s="511">
        <f t="shared" si="172"/>
        <v>0</v>
      </c>
      <c r="CX104" s="508">
        <f t="shared" si="173"/>
        <v>0</v>
      </c>
      <c r="CY104" s="508">
        <f t="shared" si="173"/>
        <v>0</v>
      </c>
      <c r="CZ104" s="508">
        <f t="shared" si="173"/>
        <v>0</v>
      </c>
      <c r="DA104" s="508">
        <f t="shared" si="173"/>
        <v>0</v>
      </c>
      <c r="DB104" s="508">
        <f t="shared" si="173"/>
        <v>0</v>
      </c>
      <c r="DC104" s="508">
        <f t="shared" si="173"/>
        <v>0</v>
      </c>
      <c r="DD104" s="508">
        <f t="shared" si="173"/>
        <v>0</v>
      </c>
      <c r="DE104" s="508">
        <f t="shared" si="174"/>
        <v>0</v>
      </c>
      <c r="DF104" s="508">
        <f t="shared" si="174"/>
        <v>0</v>
      </c>
      <c r="DG104" s="508">
        <f t="shared" si="174"/>
        <v>-30.416833333333336</v>
      </c>
      <c r="DH104" s="508">
        <f t="shared" si="174"/>
        <v>-30.416833333333336</v>
      </c>
      <c r="DI104" s="508">
        <f t="shared" si="174"/>
        <v>-30.416833333333336</v>
      </c>
      <c r="DJ104" s="508">
        <f t="shared" si="174"/>
        <v>-30.416833333333336</v>
      </c>
      <c r="DK104" s="508">
        <f t="shared" si="174"/>
        <v>-30.416833333333336</v>
      </c>
      <c r="DL104" s="508">
        <f t="shared" si="175"/>
        <v>0</v>
      </c>
      <c r="DM104" s="508">
        <f t="shared" si="175"/>
        <v>0</v>
      </c>
      <c r="DN104" s="508">
        <f t="shared" si="175"/>
        <v>0</v>
      </c>
      <c r="DO104" s="508">
        <f t="shared" si="175"/>
        <v>0</v>
      </c>
      <c r="DP104" s="508">
        <f t="shared" si="175"/>
        <v>0</v>
      </c>
      <c r="DQ104" s="508">
        <f t="shared" si="175"/>
        <v>0</v>
      </c>
      <c r="DR104" s="508">
        <f t="shared" si="175"/>
        <v>0</v>
      </c>
      <c r="DS104" s="508">
        <f t="shared" si="190"/>
        <v>0</v>
      </c>
      <c r="DT104" s="508">
        <f t="shared" si="190"/>
        <v>0</v>
      </c>
      <c r="DU104" s="508">
        <f t="shared" si="190"/>
        <v>8897.4039867839783</v>
      </c>
      <c r="DV104" s="508">
        <f t="shared" si="190"/>
        <v>8897.4039867839783</v>
      </c>
      <c r="DW104" s="508">
        <f t="shared" si="190"/>
        <v>8897.4039867839783</v>
      </c>
      <c r="DX104" s="508">
        <f t="shared" si="176"/>
        <v>8897.4039867839783</v>
      </c>
      <c r="DY104" s="508">
        <f t="shared" si="176"/>
        <v>8897.4039867839783</v>
      </c>
      <c r="DZ104" s="511">
        <f t="shared" si="177"/>
        <v>0</v>
      </c>
      <c r="EA104" s="511">
        <f t="shared" si="177"/>
        <v>0</v>
      </c>
      <c r="EB104" s="511">
        <f t="shared" si="177"/>
        <v>15081.999613017826</v>
      </c>
      <c r="EC104" s="511">
        <f t="shared" si="177"/>
        <v>15081.999613017826</v>
      </c>
      <c r="ED104" s="511">
        <f t="shared" si="177"/>
        <v>15081.999613017826</v>
      </c>
      <c r="EE104" s="511">
        <f t="shared" si="177"/>
        <v>15081.999613017826</v>
      </c>
      <c r="EF104" s="511">
        <f t="shared" si="177"/>
        <v>15081.999613017826</v>
      </c>
      <c r="EG104" s="511">
        <f t="shared" si="178"/>
        <v>0</v>
      </c>
      <c r="EH104" s="511">
        <f t="shared" si="178"/>
        <v>0</v>
      </c>
      <c r="EI104" s="511">
        <f t="shared" si="178"/>
        <v>0.60354713058082343</v>
      </c>
      <c r="EJ104" s="511">
        <f t="shared" si="178"/>
        <v>0.60354713058082343</v>
      </c>
      <c r="EK104" s="511">
        <f t="shared" si="178"/>
        <v>0.60354713058082343</v>
      </c>
      <c r="EL104" s="511">
        <f t="shared" si="178"/>
        <v>0.60354713058082343</v>
      </c>
      <c r="EM104" s="511">
        <f t="shared" si="178"/>
        <v>0.60354713058082343</v>
      </c>
      <c r="EN104" s="511">
        <f t="shared" si="179"/>
        <v>0</v>
      </c>
      <c r="EO104" s="511">
        <f t="shared" si="179"/>
        <v>0</v>
      </c>
      <c r="EP104" s="511">
        <f t="shared" si="179"/>
        <v>0</v>
      </c>
      <c r="EQ104" s="511">
        <f t="shared" si="179"/>
        <v>0</v>
      </c>
      <c r="ER104" s="511">
        <f t="shared" si="179"/>
        <v>0</v>
      </c>
      <c r="ES104" s="511">
        <f t="shared" si="179"/>
        <v>0</v>
      </c>
      <c r="ET104" s="511">
        <f t="shared" si="179"/>
        <v>0</v>
      </c>
      <c r="EU104" s="777">
        <f t="shared" si="191"/>
        <v>4700</v>
      </c>
      <c r="EV104" s="728">
        <f t="shared" si="181"/>
        <v>0</v>
      </c>
      <c r="EW104" s="728">
        <f t="shared" si="182"/>
        <v>-152.08416666666668</v>
      </c>
      <c r="EX104" s="728">
        <f t="shared" si="183"/>
        <v>0</v>
      </c>
      <c r="EY104" s="728">
        <f t="shared" si="184"/>
        <v>44487.019933919888</v>
      </c>
      <c r="EZ104" s="777">
        <f t="shared" si="185"/>
        <v>75409.998065089138</v>
      </c>
      <c r="FA104" s="777">
        <f t="shared" si="186"/>
        <v>3.017735652904117</v>
      </c>
      <c r="FB104" s="778">
        <f t="shared" si="187"/>
        <v>0</v>
      </c>
    </row>
    <row r="105" spans="1:158" s="10" customFormat="1" ht="12.75" hidden="1" customHeight="1">
      <c r="A105" s="662" t="s">
        <v>193</v>
      </c>
      <c r="B105" s="789" t="s">
        <v>2196</v>
      </c>
      <c r="C105" s="662" t="s">
        <v>1977</v>
      </c>
      <c r="D105" s="715" t="s">
        <v>1978</v>
      </c>
      <c r="E105" s="662" t="s">
        <v>331</v>
      </c>
      <c r="F105" s="704" t="s">
        <v>372</v>
      </c>
      <c r="G105" s="707">
        <f t="shared" si="155"/>
        <v>0</v>
      </c>
      <c r="H105" s="707">
        <f t="shared" si="155"/>
        <v>0</v>
      </c>
      <c r="I105" s="707">
        <f t="shared" si="155"/>
        <v>0</v>
      </c>
      <c r="J105" s="707">
        <f t="shared" si="155"/>
        <v>0</v>
      </c>
      <c r="K105" s="707">
        <f t="shared" si="155"/>
        <v>0</v>
      </c>
      <c r="L105" s="1263" t="str">
        <f t="shared" si="155"/>
        <v>Applied Multifamily cost estimates based on program development by Franklin Energy, Feb 2017</v>
      </c>
      <c r="M105" s="707" t="str">
        <f t="shared" si="155"/>
        <v>Free</v>
      </c>
      <c r="N105" s="707">
        <f t="shared" si="155"/>
        <v>0</v>
      </c>
      <c r="O105" s="707">
        <f t="shared" si="155"/>
        <v>0</v>
      </c>
      <c r="P105" s="707">
        <f t="shared" si="155"/>
        <v>3.99</v>
      </c>
      <c r="Q105" s="1022">
        <v>73.158813589915397</v>
      </c>
      <c r="R105" s="872">
        <v>4.8681772558510162E-3</v>
      </c>
      <c r="S105" s="1022">
        <v>2.4324902091444365</v>
      </c>
      <c r="T105" s="711" t="str">
        <f t="shared" si="188"/>
        <v>Potential Study Results: Engineering Calculation</v>
      </c>
      <c r="U105" s="712"/>
      <c r="V105" s="1124">
        <f t="shared" si="156"/>
        <v>0.45715305879552487</v>
      </c>
      <c r="W105" s="790"/>
      <c r="X105" s="790"/>
      <c r="Y105" s="790"/>
      <c r="Z105" s="790"/>
      <c r="AA105" s="790"/>
      <c r="AB105" s="790"/>
      <c r="AC105" s="781">
        <f t="shared" si="157"/>
        <v>575</v>
      </c>
      <c r="AD105" s="781">
        <f t="shared" si="157"/>
        <v>575</v>
      </c>
      <c r="AE105" s="781">
        <f t="shared" si="157"/>
        <v>575</v>
      </c>
      <c r="AF105" s="781">
        <f t="shared" si="157"/>
        <v>575</v>
      </c>
      <c r="AG105" s="781">
        <f t="shared" si="157"/>
        <v>575</v>
      </c>
      <c r="AH105" s="781">
        <f t="shared" si="158"/>
        <v>575</v>
      </c>
      <c r="AI105" s="781">
        <f t="shared" si="158"/>
        <v>575</v>
      </c>
      <c r="AJ105" s="711" t="s">
        <v>374</v>
      </c>
      <c r="AK105" s="711" t="s">
        <v>375</v>
      </c>
      <c r="AL105" s="711" t="s">
        <v>376</v>
      </c>
      <c r="AM105" s="711" t="s">
        <v>1981</v>
      </c>
      <c r="AN105" s="711" t="s">
        <v>1</v>
      </c>
      <c r="AO105" s="711" t="s">
        <v>1982</v>
      </c>
      <c r="AP105" s="711" t="s">
        <v>1977</v>
      </c>
      <c r="AQ105" s="711" t="s">
        <v>1978</v>
      </c>
      <c r="AR105" s="715" t="s">
        <v>943</v>
      </c>
      <c r="AS105" s="715" t="s">
        <v>1941</v>
      </c>
      <c r="AT105" s="715" t="s">
        <v>381</v>
      </c>
      <c r="AU105" s="711">
        <v>10</v>
      </c>
      <c r="AV105" s="711">
        <v>10</v>
      </c>
      <c r="AW105" s="711" t="s">
        <v>1983</v>
      </c>
      <c r="AX105" s="716">
        <v>1</v>
      </c>
      <c r="AY105" s="716">
        <v>0.58571937359857451</v>
      </c>
      <c r="AZ105" s="716">
        <v>0.41428062640142549</v>
      </c>
      <c r="BA105" s="499">
        <f t="shared" si="159"/>
        <v>0</v>
      </c>
      <c r="BB105" s="499">
        <f t="shared" si="160"/>
        <v>0</v>
      </c>
      <c r="BC105" s="499">
        <f t="shared" si="160"/>
        <v>0</v>
      </c>
      <c r="BD105" s="499">
        <f t="shared" si="160"/>
        <v>0</v>
      </c>
      <c r="BE105" s="499">
        <f t="shared" si="161"/>
        <v>0</v>
      </c>
      <c r="BF105" s="499">
        <f t="shared" si="161"/>
        <v>0</v>
      </c>
      <c r="BG105" s="499">
        <f t="shared" si="161"/>
        <v>0</v>
      </c>
      <c r="BH105" s="499">
        <f t="shared" si="162"/>
        <v>0</v>
      </c>
      <c r="BI105" s="499">
        <f t="shared" si="163"/>
        <v>0</v>
      </c>
      <c r="BJ105" s="499">
        <f t="shared" si="163"/>
        <v>0</v>
      </c>
      <c r="BK105" s="499">
        <f t="shared" si="163"/>
        <v>0</v>
      </c>
      <c r="BL105" s="499">
        <f t="shared" si="163"/>
        <v>0</v>
      </c>
      <c r="BM105" s="499">
        <f t="shared" si="163"/>
        <v>0</v>
      </c>
      <c r="BN105" s="499">
        <f t="shared" si="163"/>
        <v>0</v>
      </c>
      <c r="BO105" s="499">
        <f t="shared" si="164"/>
        <v>0</v>
      </c>
      <c r="BP105" s="499">
        <f t="shared" si="192"/>
        <v>0</v>
      </c>
      <c r="BQ105" s="499">
        <f t="shared" si="165"/>
        <v>0</v>
      </c>
      <c r="BR105" s="499">
        <f t="shared" si="165"/>
        <v>0</v>
      </c>
      <c r="BS105" s="499">
        <f t="shared" si="165"/>
        <v>0</v>
      </c>
      <c r="BT105" s="499">
        <f t="shared" si="165"/>
        <v>0</v>
      </c>
      <c r="BU105" s="499">
        <f t="shared" si="165"/>
        <v>0</v>
      </c>
      <c r="BV105" s="503">
        <f t="shared" si="189"/>
        <v>3.99</v>
      </c>
      <c r="BW105" s="503">
        <f t="shared" si="166"/>
        <v>3.99</v>
      </c>
      <c r="BX105" s="503">
        <f t="shared" si="166"/>
        <v>3.99</v>
      </c>
      <c r="BY105" s="503">
        <f t="shared" si="166"/>
        <v>3.99</v>
      </c>
      <c r="BZ105" s="503">
        <f t="shared" si="166"/>
        <v>3.99</v>
      </c>
      <c r="CA105" s="503">
        <f t="shared" si="166"/>
        <v>3.99</v>
      </c>
      <c r="CB105" s="503">
        <f t="shared" si="166"/>
        <v>3.99</v>
      </c>
      <c r="CC105" s="511">
        <f t="shared" si="167"/>
        <v>42.850534469100126</v>
      </c>
      <c r="CD105" s="511">
        <f t="shared" si="168"/>
        <v>42.850534469100126</v>
      </c>
      <c r="CE105" s="511">
        <f t="shared" si="168"/>
        <v>42.850534469100126</v>
      </c>
      <c r="CF105" s="511">
        <f t="shared" si="168"/>
        <v>42.850534469100126</v>
      </c>
      <c r="CG105" s="511">
        <f t="shared" si="168"/>
        <v>42.850534469100126</v>
      </c>
      <c r="CH105" s="511">
        <f t="shared" si="168"/>
        <v>42.850534469100126</v>
      </c>
      <c r="CI105" s="511">
        <f t="shared" si="168"/>
        <v>42.850534469100126</v>
      </c>
      <c r="CJ105" s="511">
        <f t="shared" si="169"/>
        <v>2.8513857328638847E-3</v>
      </c>
      <c r="CK105" s="511">
        <f t="shared" si="170"/>
        <v>2.8513857328638847E-3</v>
      </c>
      <c r="CL105" s="511">
        <f t="shared" si="170"/>
        <v>2.8513857328638847E-3</v>
      </c>
      <c r="CM105" s="511">
        <f t="shared" si="170"/>
        <v>2.8513857328638847E-3</v>
      </c>
      <c r="CN105" s="511">
        <f t="shared" si="170"/>
        <v>2.8513857328638847E-3</v>
      </c>
      <c r="CO105" s="511">
        <f t="shared" si="170"/>
        <v>2.8513857328638847E-3</v>
      </c>
      <c r="CP105" s="511">
        <f t="shared" si="170"/>
        <v>2.8513857328638847E-3</v>
      </c>
      <c r="CQ105" s="511">
        <f t="shared" si="171"/>
        <v>1.0077335675596917</v>
      </c>
      <c r="CR105" s="511">
        <f t="shared" si="172"/>
        <v>1.0077335675596917</v>
      </c>
      <c r="CS105" s="511">
        <f t="shared" si="172"/>
        <v>1.0077335675596917</v>
      </c>
      <c r="CT105" s="511">
        <f t="shared" si="172"/>
        <v>1.0077335675596917</v>
      </c>
      <c r="CU105" s="511">
        <f t="shared" si="172"/>
        <v>1.0077335675596917</v>
      </c>
      <c r="CV105" s="511">
        <f t="shared" si="172"/>
        <v>1.0077335675596917</v>
      </c>
      <c r="CW105" s="511">
        <f t="shared" si="172"/>
        <v>1.0077335675596917</v>
      </c>
      <c r="CX105" s="508">
        <f t="shared" si="173"/>
        <v>0</v>
      </c>
      <c r="CY105" s="508">
        <f t="shared" si="173"/>
        <v>0</v>
      </c>
      <c r="CZ105" s="508">
        <f t="shared" si="173"/>
        <v>0</v>
      </c>
      <c r="DA105" s="508">
        <f t="shared" si="173"/>
        <v>0</v>
      </c>
      <c r="DB105" s="508">
        <f t="shared" si="173"/>
        <v>0</v>
      </c>
      <c r="DC105" s="508">
        <f t="shared" si="173"/>
        <v>0</v>
      </c>
      <c r="DD105" s="508">
        <f t="shared" si="173"/>
        <v>0</v>
      </c>
      <c r="DE105" s="508">
        <f t="shared" si="174"/>
        <v>0</v>
      </c>
      <c r="DF105" s="508">
        <f t="shared" si="174"/>
        <v>0</v>
      </c>
      <c r="DG105" s="508">
        <f t="shared" si="174"/>
        <v>0</v>
      </c>
      <c r="DH105" s="508">
        <f t="shared" si="174"/>
        <v>0</v>
      </c>
      <c r="DI105" s="508">
        <f t="shared" si="174"/>
        <v>0</v>
      </c>
      <c r="DJ105" s="508">
        <f t="shared" si="174"/>
        <v>0</v>
      </c>
      <c r="DK105" s="508">
        <f t="shared" si="174"/>
        <v>0</v>
      </c>
      <c r="DL105" s="508">
        <f t="shared" si="175"/>
        <v>0</v>
      </c>
      <c r="DM105" s="508">
        <f t="shared" si="175"/>
        <v>0</v>
      </c>
      <c r="DN105" s="508">
        <f t="shared" si="175"/>
        <v>0</v>
      </c>
      <c r="DO105" s="508">
        <f t="shared" si="175"/>
        <v>0</v>
      </c>
      <c r="DP105" s="508">
        <f t="shared" si="175"/>
        <v>0</v>
      </c>
      <c r="DQ105" s="508">
        <f t="shared" si="175"/>
        <v>0</v>
      </c>
      <c r="DR105" s="508">
        <f t="shared" si="175"/>
        <v>0</v>
      </c>
      <c r="DS105" s="508">
        <f t="shared" si="190"/>
        <v>2294.25</v>
      </c>
      <c r="DT105" s="508">
        <f t="shared" si="190"/>
        <v>2294.25</v>
      </c>
      <c r="DU105" s="508">
        <f t="shared" si="190"/>
        <v>2294.25</v>
      </c>
      <c r="DV105" s="508">
        <f t="shared" si="190"/>
        <v>2294.25</v>
      </c>
      <c r="DW105" s="508">
        <f t="shared" si="190"/>
        <v>2294.25</v>
      </c>
      <c r="DX105" s="508">
        <f t="shared" si="176"/>
        <v>2294.25</v>
      </c>
      <c r="DY105" s="508">
        <f t="shared" si="176"/>
        <v>2294.25</v>
      </c>
      <c r="DZ105" s="511">
        <f t="shared" si="177"/>
        <v>24639.057319732572</v>
      </c>
      <c r="EA105" s="511">
        <f t="shared" si="177"/>
        <v>24639.057319732572</v>
      </c>
      <c r="EB105" s="511">
        <f t="shared" si="177"/>
        <v>24639.057319732572</v>
      </c>
      <c r="EC105" s="511">
        <f t="shared" si="177"/>
        <v>24639.057319732572</v>
      </c>
      <c r="ED105" s="511">
        <f t="shared" si="177"/>
        <v>24639.057319732572</v>
      </c>
      <c r="EE105" s="511">
        <f t="shared" si="177"/>
        <v>24639.057319732572</v>
      </c>
      <c r="EF105" s="511">
        <f t="shared" si="177"/>
        <v>24639.057319732572</v>
      </c>
      <c r="EG105" s="511">
        <f t="shared" si="178"/>
        <v>1.6395467963967336</v>
      </c>
      <c r="EH105" s="511">
        <f t="shared" si="178"/>
        <v>1.6395467963967336</v>
      </c>
      <c r="EI105" s="511">
        <f t="shared" si="178"/>
        <v>1.6395467963967336</v>
      </c>
      <c r="EJ105" s="511">
        <f t="shared" si="178"/>
        <v>1.6395467963967336</v>
      </c>
      <c r="EK105" s="511">
        <f t="shared" si="178"/>
        <v>1.6395467963967336</v>
      </c>
      <c r="EL105" s="511">
        <f t="shared" si="178"/>
        <v>1.6395467963967336</v>
      </c>
      <c r="EM105" s="511">
        <f t="shared" si="178"/>
        <v>1.6395467963967336</v>
      </c>
      <c r="EN105" s="511">
        <f t="shared" si="179"/>
        <v>579.44680134682267</v>
      </c>
      <c r="EO105" s="511">
        <f t="shared" si="179"/>
        <v>579.44680134682267</v>
      </c>
      <c r="EP105" s="511">
        <f t="shared" si="179"/>
        <v>579.44680134682267</v>
      </c>
      <c r="EQ105" s="511">
        <f t="shared" si="179"/>
        <v>579.44680134682267</v>
      </c>
      <c r="ER105" s="511">
        <f t="shared" si="179"/>
        <v>579.44680134682267</v>
      </c>
      <c r="ES105" s="511">
        <f t="shared" si="179"/>
        <v>579.44680134682267</v>
      </c>
      <c r="ET105" s="511">
        <f t="shared" si="179"/>
        <v>579.44680134682267</v>
      </c>
      <c r="EU105" s="777">
        <f t="shared" si="191"/>
        <v>4025</v>
      </c>
      <c r="EV105" s="728">
        <f t="shared" si="181"/>
        <v>0</v>
      </c>
      <c r="EW105" s="728">
        <f t="shared" si="182"/>
        <v>0</v>
      </c>
      <c r="EX105" s="728">
        <f t="shared" si="183"/>
        <v>0</v>
      </c>
      <c r="EY105" s="728">
        <f t="shared" si="184"/>
        <v>16059.75</v>
      </c>
      <c r="EZ105" s="777">
        <f t="shared" si="185"/>
        <v>172473.40123812802</v>
      </c>
      <c r="FA105" s="777">
        <f t="shared" si="186"/>
        <v>11.476827574777133</v>
      </c>
      <c r="FB105" s="778">
        <f t="shared" si="187"/>
        <v>4056.1276094277587</v>
      </c>
    </row>
    <row r="106" spans="1:158" s="10" customFormat="1" ht="12.75" hidden="1" customHeight="1">
      <c r="A106" s="662" t="s">
        <v>194</v>
      </c>
      <c r="B106" s="789" t="s">
        <v>2197</v>
      </c>
      <c r="C106" s="662" t="s">
        <v>1977</v>
      </c>
      <c r="D106" s="715" t="s">
        <v>1978</v>
      </c>
      <c r="E106" s="662" t="s">
        <v>331</v>
      </c>
      <c r="F106" s="704" t="s">
        <v>372</v>
      </c>
      <c r="G106" s="707">
        <f t="shared" si="155"/>
        <v>0</v>
      </c>
      <c r="H106" s="707">
        <f t="shared" si="155"/>
        <v>0</v>
      </c>
      <c r="I106" s="707">
        <f t="shared" si="155"/>
        <v>0</v>
      </c>
      <c r="J106" s="707">
        <f t="shared" si="155"/>
        <v>0</v>
      </c>
      <c r="K106" s="707">
        <f t="shared" si="155"/>
        <v>0</v>
      </c>
      <c r="L106" s="1263" t="str">
        <f t="shared" si="155"/>
        <v>Applied Multifamily cost estimates based on program development by Franklin Energy, Feb 2017</v>
      </c>
      <c r="M106" s="707" t="str">
        <f t="shared" si="155"/>
        <v>Free</v>
      </c>
      <c r="N106" s="707">
        <f t="shared" si="155"/>
        <v>0</v>
      </c>
      <c r="O106" s="707">
        <f t="shared" si="155"/>
        <v>0</v>
      </c>
      <c r="P106" s="707">
        <f t="shared" si="155"/>
        <v>5.24</v>
      </c>
      <c r="Q106" s="1022">
        <v>205.75916322163712</v>
      </c>
      <c r="R106" s="872">
        <v>1.3691748532080987E-2</v>
      </c>
      <c r="S106" s="1022">
        <v>6.101770203681566</v>
      </c>
      <c r="T106" s="711" t="str">
        <f t="shared" si="188"/>
        <v>Potential Study Results: Engineering Calculation</v>
      </c>
      <c r="U106" s="712"/>
      <c r="V106" s="1124">
        <f t="shared" si="156"/>
        <v>0.14805998571768628</v>
      </c>
      <c r="W106" s="790"/>
      <c r="X106" s="790"/>
      <c r="Y106" s="790"/>
      <c r="Z106" s="790"/>
      <c r="AA106" s="790"/>
      <c r="AB106" s="790"/>
      <c r="AC106" s="781">
        <f t="shared" si="157"/>
        <v>185</v>
      </c>
      <c r="AD106" s="781">
        <f t="shared" si="157"/>
        <v>185</v>
      </c>
      <c r="AE106" s="781">
        <f t="shared" si="157"/>
        <v>185</v>
      </c>
      <c r="AF106" s="781">
        <f t="shared" si="157"/>
        <v>185</v>
      </c>
      <c r="AG106" s="781">
        <f t="shared" si="157"/>
        <v>185</v>
      </c>
      <c r="AH106" s="781">
        <f t="shared" si="158"/>
        <v>185</v>
      </c>
      <c r="AI106" s="781">
        <f t="shared" si="158"/>
        <v>185</v>
      </c>
      <c r="AJ106" s="711" t="s">
        <v>374</v>
      </c>
      <c r="AK106" s="711" t="s">
        <v>375</v>
      </c>
      <c r="AL106" s="711" t="s">
        <v>376</v>
      </c>
      <c r="AM106" s="711" t="s">
        <v>1981</v>
      </c>
      <c r="AN106" s="711" t="s">
        <v>1</v>
      </c>
      <c r="AO106" s="711" t="s">
        <v>1985</v>
      </c>
      <c r="AP106" s="711" t="s">
        <v>1977</v>
      </c>
      <c r="AQ106" s="711" t="s">
        <v>1978</v>
      </c>
      <c r="AR106" s="715" t="s">
        <v>943</v>
      </c>
      <c r="AS106" s="715" t="s">
        <v>1941</v>
      </c>
      <c r="AT106" s="715" t="s">
        <v>381</v>
      </c>
      <c r="AU106" s="711">
        <v>10</v>
      </c>
      <c r="AV106" s="711">
        <v>10</v>
      </c>
      <c r="AW106" s="711" t="s">
        <v>1983</v>
      </c>
      <c r="AX106" s="716">
        <v>1</v>
      </c>
      <c r="AY106" s="716">
        <v>0.58571937359857451</v>
      </c>
      <c r="AZ106" s="716">
        <v>0.41428062640142549</v>
      </c>
      <c r="BA106" s="499">
        <f t="shared" si="159"/>
        <v>0</v>
      </c>
      <c r="BB106" s="499">
        <f t="shared" si="160"/>
        <v>0</v>
      </c>
      <c r="BC106" s="499">
        <f t="shared" si="160"/>
        <v>0</v>
      </c>
      <c r="BD106" s="499">
        <f t="shared" si="160"/>
        <v>0</v>
      </c>
      <c r="BE106" s="499">
        <f t="shared" si="161"/>
        <v>0</v>
      </c>
      <c r="BF106" s="499">
        <f t="shared" si="161"/>
        <v>0</v>
      </c>
      <c r="BG106" s="499">
        <f t="shared" si="161"/>
        <v>0</v>
      </c>
      <c r="BH106" s="499">
        <f t="shared" si="162"/>
        <v>0</v>
      </c>
      <c r="BI106" s="499">
        <f t="shared" si="163"/>
        <v>0</v>
      </c>
      <c r="BJ106" s="499">
        <f t="shared" si="163"/>
        <v>0</v>
      </c>
      <c r="BK106" s="499">
        <f t="shared" si="163"/>
        <v>0</v>
      </c>
      <c r="BL106" s="499">
        <f t="shared" si="163"/>
        <v>0</v>
      </c>
      <c r="BM106" s="499">
        <f t="shared" si="163"/>
        <v>0</v>
      </c>
      <c r="BN106" s="499">
        <f t="shared" si="163"/>
        <v>0</v>
      </c>
      <c r="BO106" s="499">
        <f t="shared" si="164"/>
        <v>0</v>
      </c>
      <c r="BP106" s="499">
        <f t="shared" si="192"/>
        <v>0</v>
      </c>
      <c r="BQ106" s="499">
        <f t="shared" si="165"/>
        <v>0</v>
      </c>
      <c r="BR106" s="499">
        <f t="shared" si="165"/>
        <v>0</v>
      </c>
      <c r="BS106" s="499">
        <f t="shared" si="165"/>
        <v>0</v>
      </c>
      <c r="BT106" s="499">
        <f t="shared" si="165"/>
        <v>0</v>
      </c>
      <c r="BU106" s="499">
        <f t="shared" si="165"/>
        <v>0</v>
      </c>
      <c r="BV106" s="503">
        <f t="shared" si="189"/>
        <v>5.24</v>
      </c>
      <c r="BW106" s="503">
        <f t="shared" si="166"/>
        <v>5.24</v>
      </c>
      <c r="BX106" s="503">
        <f t="shared" si="166"/>
        <v>5.24</v>
      </c>
      <c r="BY106" s="503">
        <f t="shared" si="166"/>
        <v>5.24</v>
      </c>
      <c r="BZ106" s="503">
        <f t="shared" si="166"/>
        <v>5.24</v>
      </c>
      <c r="CA106" s="503">
        <f t="shared" si="166"/>
        <v>5.24</v>
      </c>
      <c r="CB106" s="503">
        <f t="shared" si="166"/>
        <v>5.24</v>
      </c>
      <c r="CC106" s="511">
        <f t="shared" si="167"/>
        <v>120.51712819434415</v>
      </c>
      <c r="CD106" s="511">
        <f t="shared" si="168"/>
        <v>120.51712819434415</v>
      </c>
      <c r="CE106" s="511">
        <f t="shared" si="168"/>
        <v>120.51712819434415</v>
      </c>
      <c r="CF106" s="511">
        <f t="shared" si="168"/>
        <v>120.51712819434415</v>
      </c>
      <c r="CG106" s="511">
        <f t="shared" si="168"/>
        <v>120.51712819434415</v>
      </c>
      <c r="CH106" s="511">
        <f t="shared" si="168"/>
        <v>120.51712819434415</v>
      </c>
      <c r="CI106" s="511">
        <f t="shared" si="168"/>
        <v>120.51712819434415</v>
      </c>
      <c r="CJ106" s="511">
        <f>R106*AY106</f>
        <v>8.0195223736796786E-3</v>
      </c>
      <c r="CK106" s="511">
        <f t="shared" si="170"/>
        <v>8.0195223736796786E-3</v>
      </c>
      <c r="CL106" s="511">
        <f t="shared" si="170"/>
        <v>8.0195223736796786E-3</v>
      </c>
      <c r="CM106" s="511">
        <f t="shared" si="170"/>
        <v>8.0195223736796786E-3</v>
      </c>
      <c r="CN106" s="511">
        <f t="shared" si="170"/>
        <v>8.0195223736796786E-3</v>
      </c>
      <c r="CO106" s="511">
        <f t="shared" si="170"/>
        <v>8.0195223736796786E-3</v>
      </c>
      <c r="CP106" s="511">
        <f t="shared" si="170"/>
        <v>8.0195223736796786E-3</v>
      </c>
      <c r="CQ106" s="511">
        <f t="shared" si="171"/>
        <v>2.5278451821387526</v>
      </c>
      <c r="CR106" s="511">
        <f t="shared" si="172"/>
        <v>2.5278451821387526</v>
      </c>
      <c r="CS106" s="511">
        <f t="shared" si="172"/>
        <v>2.5278451821387526</v>
      </c>
      <c r="CT106" s="511">
        <f t="shared" si="172"/>
        <v>2.5278451821387526</v>
      </c>
      <c r="CU106" s="511">
        <f t="shared" si="172"/>
        <v>2.5278451821387526</v>
      </c>
      <c r="CV106" s="511">
        <f t="shared" si="172"/>
        <v>2.5278451821387526</v>
      </c>
      <c r="CW106" s="511">
        <f t="shared" si="172"/>
        <v>2.5278451821387526</v>
      </c>
      <c r="CX106" s="508">
        <f t="shared" si="173"/>
        <v>0</v>
      </c>
      <c r="CY106" s="508">
        <f t="shared" si="173"/>
        <v>0</v>
      </c>
      <c r="CZ106" s="508">
        <f t="shared" si="173"/>
        <v>0</v>
      </c>
      <c r="DA106" s="508">
        <f t="shared" si="173"/>
        <v>0</v>
      </c>
      <c r="DB106" s="508">
        <f t="shared" si="173"/>
        <v>0</v>
      </c>
      <c r="DC106" s="508">
        <f t="shared" si="173"/>
        <v>0</v>
      </c>
      <c r="DD106" s="508">
        <f t="shared" si="173"/>
        <v>0</v>
      </c>
      <c r="DE106" s="508">
        <f t="shared" si="174"/>
        <v>0</v>
      </c>
      <c r="DF106" s="508">
        <f t="shared" si="174"/>
        <v>0</v>
      </c>
      <c r="DG106" s="508">
        <f t="shared" si="174"/>
        <v>0</v>
      </c>
      <c r="DH106" s="508">
        <f t="shared" si="174"/>
        <v>0</v>
      </c>
      <c r="DI106" s="508">
        <f t="shared" si="174"/>
        <v>0</v>
      </c>
      <c r="DJ106" s="508">
        <f t="shared" si="174"/>
        <v>0</v>
      </c>
      <c r="DK106" s="508">
        <f t="shared" si="174"/>
        <v>0</v>
      </c>
      <c r="DL106" s="508">
        <f t="shared" si="175"/>
        <v>0</v>
      </c>
      <c r="DM106" s="508">
        <f t="shared" si="175"/>
        <v>0</v>
      </c>
      <c r="DN106" s="508">
        <f t="shared" si="175"/>
        <v>0</v>
      </c>
      <c r="DO106" s="508">
        <f t="shared" si="175"/>
        <v>0</v>
      </c>
      <c r="DP106" s="508">
        <f t="shared" si="175"/>
        <v>0</v>
      </c>
      <c r="DQ106" s="508">
        <f t="shared" si="175"/>
        <v>0</v>
      </c>
      <c r="DR106" s="508">
        <f t="shared" si="175"/>
        <v>0</v>
      </c>
      <c r="DS106" s="508">
        <f t="shared" si="190"/>
        <v>969.40000000000009</v>
      </c>
      <c r="DT106" s="508">
        <f t="shared" si="190"/>
        <v>969.40000000000009</v>
      </c>
      <c r="DU106" s="508">
        <f t="shared" si="190"/>
        <v>969.40000000000009</v>
      </c>
      <c r="DV106" s="508">
        <f t="shared" si="190"/>
        <v>969.40000000000009</v>
      </c>
      <c r="DW106" s="508">
        <f t="shared" si="190"/>
        <v>969.40000000000009</v>
      </c>
      <c r="DX106" s="508">
        <f t="shared" si="176"/>
        <v>969.40000000000009</v>
      </c>
      <c r="DY106" s="508">
        <f t="shared" si="176"/>
        <v>969.40000000000009</v>
      </c>
      <c r="DZ106" s="511">
        <f t="shared" si="177"/>
        <v>22295.668715953667</v>
      </c>
      <c r="EA106" s="511">
        <f t="shared" si="177"/>
        <v>22295.668715953667</v>
      </c>
      <c r="EB106" s="511">
        <f t="shared" si="177"/>
        <v>22295.668715953667</v>
      </c>
      <c r="EC106" s="511">
        <f t="shared" si="177"/>
        <v>22295.668715953667</v>
      </c>
      <c r="ED106" s="511">
        <f t="shared" si="177"/>
        <v>22295.668715953667</v>
      </c>
      <c r="EE106" s="511">
        <f t="shared" si="177"/>
        <v>22295.668715953667</v>
      </c>
      <c r="EF106" s="511">
        <f t="shared" si="177"/>
        <v>22295.668715953667</v>
      </c>
      <c r="EG106" s="511">
        <f t="shared" si="178"/>
        <v>1.4836116391307406</v>
      </c>
      <c r="EH106" s="511">
        <f t="shared" si="178"/>
        <v>1.4836116391307406</v>
      </c>
      <c r="EI106" s="511">
        <f t="shared" si="178"/>
        <v>1.4836116391307406</v>
      </c>
      <c r="EJ106" s="511">
        <f t="shared" si="178"/>
        <v>1.4836116391307406</v>
      </c>
      <c r="EK106" s="511">
        <f t="shared" si="178"/>
        <v>1.4836116391307406</v>
      </c>
      <c r="EL106" s="511">
        <f t="shared" si="178"/>
        <v>1.4836116391307406</v>
      </c>
      <c r="EM106" s="511">
        <f t="shared" si="178"/>
        <v>1.4836116391307406</v>
      </c>
      <c r="EN106" s="511">
        <f t="shared" si="179"/>
        <v>467.65135869566922</v>
      </c>
      <c r="EO106" s="511">
        <f t="shared" si="179"/>
        <v>467.65135869566922</v>
      </c>
      <c r="EP106" s="511">
        <f t="shared" si="179"/>
        <v>467.65135869566922</v>
      </c>
      <c r="EQ106" s="511">
        <f t="shared" si="179"/>
        <v>467.65135869566922</v>
      </c>
      <c r="ER106" s="511">
        <f t="shared" si="179"/>
        <v>467.65135869566922</v>
      </c>
      <c r="ES106" s="511">
        <f t="shared" si="179"/>
        <v>467.65135869566922</v>
      </c>
      <c r="ET106" s="511">
        <f t="shared" si="179"/>
        <v>467.65135869566922</v>
      </c>
      <c r="EU106" s="777">
        <f t="shared" si="191"/>
        <v>1295</v>
      </c>
      <c r="EV106" s="728">
        <f t="shared" si="181"/>
        <v>0</v>
      </c>
      <c r="EW106" s="728">
        <f t="shared" si="182"/>
        <v>0</v>
      </c>
      <c r="EX106" s="728">
        <f t="shared" si="183"/>
        <v>0</v>
      </c>
      <c r="EY106" s="728">
        <f t="shared" si="184"/>
        <v>6785.7999999999993</v>
      </c>
      <c r="EZ106" s="777">
        <f t="shared" si="185"/>
        <v>156069.68101167568</v>
      </c>
      <c r="FA106" s="777">
        <f t="shared" si="186"/>
        <v>10.385281473915185</v>
      </c>
      <c r="FB106" s="778">
        <f t="shared" si="187"/>
        <v>3273.5595108696848</v>
      </c>
    </row>
    <row r="107" spans="1:158" s="10" customFormat="1" ht="12.75" hidden="1" customHeight="1">
      <c r="A107" s="662" t="s">
        <v>195</v>
      </c>
      <c r="B107" s="789" t="s">
        <v>2198</v>
      </c>
      <c r="C107" s="662" t="s">
        <v>1986</v>
      </c>
      <c r="D107" s="715" t="s">
        <v>1987</v>
      </c>
      <c r="E107" s="662" t="s">
        <v>331</v>
      </c>
      <c r="F107" s="704" t="s">
        <v>372</v>
      </c>
      <c r="G107" s="707">
        <f t="shared" si="155"/>
        <v>0</v>
      </c>
      <c r="H107" s="707">
        <f t="shared" si="155"/>
        <v>0</v>
      </c>
      <c r="I107" s="707">
        <f t="shared" si="155"/>
        <v>0</v>
      </c>
      <c r="J107" s="707">
        <f t="shared" si="155"/>
        <v>0</v>
      </c>
      <c r="K107" s="707">
        <f t="shared" si="155"/>
        <v>0</v>
      </c>
      <c r="L107" s="1263" t="str">
        <f t="shared" si="155"/>
        <v>LG&amp;E and KU Data: 
CAC  (nonprofit): The cost for their standard 1.5 GPM is $13.72.
SEEL: The cost for their standard 1.5 GPM is $18.00.
Nexant: The cost for their standard 1.5 GPM is $6.87.</v>
      </c>
      <c r="M107" s="707" t="str">
        <f t="shared" si="155"/>
        <v>Free</v>
      </c>
      <c r="N107" s="707">
        <f t="shared" si="155"/>
        <v>0</v>
      </c>
      <c r="O107" s="707">
        <f t="shared" si="155"/>
        <v>0</v>
      </c>
      <c r="P107" s="707">
        <f t="shared" si="155"/>
        <v>12.863333333333332</v>
      </c>
      <c r="Q107" s="1022">
        <v>448.19006665355232</v>
      </c>
      <c r="R107" s="872">
        <v>2.9823729797088104E-2</v>
      </c>
      <c r="S107" s="1022">
        <v>20.47332224473427</v>
      </c>
      <c r="T107" s="711" t="str">
        <f t="shared" si="188"/>
        <v>Potential Study Results: Engineering Calculation</v>
      </c>
      <c r="U107" s="712"/>
      <c r="V107" s="1124">
        <f t="shared" si="156"/>
        <v>0.61235420138062369</v>
      </c>
      <c r="W107" s="790"/>
      <c r="X107" s="790"/>
      <c r="Y107" s="790"/>
      <c r="Z107" s="790"/>
      <c r="AA107" s="790"/>
      <c r="AB107" s="790"/>
      <c r="AC107" s="781">
        <f t="shared" si="157"/>
        <v>770</v>
      </c>
      <c r="AD107" s="781">
        <f t="shared" si="157"/>
        <v>770</v>
      </c>
      <c r="AE107" s="781">
        <f t="shared" si="157"/>
        <v>770</v>
      </c>
      <c r="AF107" s="781">
        <f t="shared" si="157"/>
        <v>770</v>
      </c>
      <c r="AG107" s="781">
        <f t="shared" si="157"/>
        <v>770</v>
      </c>
      <c r="AH107" s="781">
        <f t="shared" si="158"/>
        <v>770</v>
      </c>
      <c r="AI107" s="781">
        <f t="shared" si="158"/>
        <v>770</v>
      </c>
      <c r="AJ107" s="711" t="s">
        <v>374</v>
      </c>
      <c r="AK107" s="711" t="s">
        <v>375</v>
      </c>
      <c r="AL107" s="711" t="s">
        <v>376</v>
      </c>
      <c r="AM107" s="711" t="s">
        <v>1981</v>
      </c>
      <c r="AN107" s="711" t="s">
        <v>1</v>
      </c>
      <c r="AO107" s="711" t="s">
        <v>1989</v>
      </c>
      <c r="AP107" s="711" t="s">
        <v>1986</v>
      </c>
      <c r="AQ107" s="711" t="s">
        <v>1987</v>
      </c>
      <c r="AR107" s="715" t="s">
        <v>943</v>
      </c>
      <c r="AS107" s="715" t="s">
        <v>1941</v>
      </c>
      <c r="AT107" s="715" t="s">
        <v>381</v>
      </c>
      <c r="AU107" s="711">
        <v>10</v>
      </c>
      <c r="AV107" s="711">
        <v>10</v>
      </c>
      <c r="AW107" s="711" t="s">
        <v>1990</v>
      </c>
      <c r="AX107" s="716">
        <v>1</v>
      </c>
      <c r="AY107" s="716">
        <v>0.58571937359857451</v>
      </c>
      <c r="AZ107" s="716">
        <v>0.41428062640142549</v>
      </c>
      <c r="BA107" s="499">
        <f t="shared" si="159"/>
        <v>0</v>
      </c>
      <c r="BB107" s="499">
        <f t="shared" si="160"/>
        <v>0</v>
      </c>
      <c r="BC107" s="499">
        <f t="shared" si="160"/>
        <v>0</v>
      </c>
      <c r="BD107" s="499">
        <f t="shared" si="160"/>
        <v>0</v>
      </c>
      <c r="BE107" s="499">
        <f t="shared" si="161"/>
        <v>0</v>
      </c>
      <c r="BF107" s="499">
        <f t="shared" si="161"/>
        <v>0</v>
      </c>
      <c r="BG107" s="499">
        <f t="shared" si="161"/>
        <v>0</v>
      </c>
      <c r="BH107" s="499">
        <f t="shared" si="162"/>
        <v>0</v>
      </c>
      <c r="BI107" s="499">
        <f t="shared" si="163"/>
        <v>0</v>
      </c>
      <c r="BJ107" s="499">
        <f t="shared" si="163"/>
        <v>0</v>
      </c>
      <c r="BK107" s="499">
        <f t="shared" si="163"/>
        <v>0</v>
      </c>
      <c r="BL107" s="499">
        <f t="shared" si="163"/>
        <v>0</v>
      </c>
      <c r="BM107" s="499">
        <f t="shared" si="163"/>
        <v>0</v>
      </c>
      <c r="BN107" s="499">
        <f t="shared" si="163"/>
        <v>0</v>
      </c>
      <c r="BO107" s="499">
        <f t="shared" si="164"/>
        <v>0</v>
      </c>
      <c r="BP107" s="499">
        <f t="shared" si="192"/>
        <v>0</v>
      </c>
      <c r="BQ107" s="499">
        <f t="shared" si="165"/>
        <v>0</v>
      </c>
      <c r="BR107" s="499">
        <f t="shared" si="165"/>
        <v>0</v>
      </c>
      <c r="BS107" s="499">
        <f t="shared" si="165"/>
        <v>0</v>
      </c>
      <c r="BT107" s="499">
        <f t="shared" si="165"/>
        <v>0</v>
      </c>
      <c r="BU107" s="499">
        <f t="shared" si="165"/>
        <v>0</v>
      </c>
      <c r="BV107" s="503">
        <f t="shared" si="189"/>
        <v>12.863333333333332</v>
      </c>
      <c r="BW107" s="503">
        <f t="shared" si="166"/>
        <v>12.863333333333332</v>
      </c>
      <c r="BX107" s="503">
        <f t="shared" si="166"/>
        <v>12.863333333333332</v>
      </c>
      <c r="BY107" s="503">
        <f t="shared" si="166"/>
        <v>12.863333333333332</v>
      </c>
      <c r="BZ107" s="503">
        <f t="shared" si="166"/>
        <v>12.863333333333332</v>
      </c>
      <c r="CA107" s="503">
        <f t="shared" si="166"/>
        <v>12.863333333333332</v>
      </c>
      <c r="CB107" s="503">
        <f t="shared" si="166"/>
        <v>12.863333333333332</v>
      </c>
      <c r="CC107" s="511">
        <f t="shared" si="167"/>
        <v>262.51360509342203</v>
      </c>
      <c r="CD107" s="511">
        <f t="shared" si="168"/>
        <v>262.51360509342203</v>
      </c>
      <c r="CE107" s="511">
        <f t="shared" si="168"/>
        <v>262.51360509342203</v>
      </c>
      <c r="CF107" s="511">
        <f t="shared" si="168"/>
        <v>262.51360509342203</v>
      </c>
      <c r="CG107" s="511">
        <f t="shared" si="168"/>
        <v>262.51360509342203</v>
      </c>
      <c r="CH107" s="511">
        <f t="shared" si="168"/>
        <v>262.51360509342203</v>
      </c>
      <c r="CI107" s="511">
        <f t="shared" si="168"/>
        <v>262.51360509342203</v>
      </c>
      <c r="CJ107" s="511">
        <f t="shared" si="169"/>
        <v>1.7468336335123586E-2</v>
      </c>
      <c r="CK107" s="511">
        <f t="shared" si="170"/>
        <v>1.7468336335123586E-2</v>
      </c>
      <c r="CL107" s="511">
        <f t="shared" si="170"/>
        <v>1.7468336335123586E-2</v>
      </c>
      <c r="CM107" s="511">
        <f t="shared" si="170"/>
        <v>1.7468336335123586E-2</v>
      </c>
      <c r="CN107" s="511">
        <f t="shared" si="170"/>
        <v>1.7468336335123586E-2</v>
      </c>
      <c r="CO107" s="511">
        <f t="shared" si="170"/>
        <v>1.7468336335123586E-2</v>
      </c>
      <c r="CP107" s="511">
        <f t="shared" si="170"/>
        <v>1.7468336335123586E-2</v>
      </c>
      <c r="CQ107" s="511">
        <f t="shared" si="171"/>
        <v>8.4817007640667512</v>
      </c>
      <c r="CR107" s="511">
        <f t="shared" si="172"/>
        <v>8.4817007640667512</v>
      </c>
      <c r="CS107" s="511">
        <f t="shared" si="172"/>
        <v>8.4817007640667512</v>
      </c>
      <c r="CT107" s="511">
        <f t="shared" si="172"/>
        <v>8.4817007640667512</v>
      </c>
      <c r="CU107" s="511">
        <f t="shared" si="172"/>
        <v>8.4817007640667512</v>
      </c>
      <c r="CV107" s="511">
        <f t="shared" si="172"/>
        <v>8.4817007640667512</v>
      </c>
      <c r="CW107" s="511">
        <f t="shared" si="172"/>
        <v>8.4817007640667512</v>
      </c>
      <c r="CX107" s="508">
        <f t="shared" si="173"/>
        <v>0</v>
      </c>
      <c r="CY107" s="508">
        <f t="shared" si="173"/>
        <v>0</v>
      </c>
      <c r="CZ107" s="508">
        <f t="shared" si="173"/>
        <v>0</v>
      </c>
      <c r="DA107" s="508">
        <f t="shared" si="173"/>
        <v>0</v>
      </c>
      <c r="DB107" s="508">
        <f t="shared" si="173"/>
        <v>0</v>
      </c>
      <c r="DC107" s="508">
        <f t="shared" si="173"/>
        <v>0</v>
      </c>
      <c r="DD107" s="508">
        <f t="shared" si="173"/>
        <v>0</v>
      </c>
      <c r="DE107" s="508">
        <f t="shared" si="174"/>
        <v>0</v>
      </c>
      <c r="DF107" s="508">
        <f t="shared" si="174"/>
        <v>0</v>
      </c>
      <c r="DG107" s="508">
        <f t="shared" si="174"/>
        <v>0</v>
      </c>
      <c r="DH107" s="508">
        <f t="shared" si="174"/>
        <v>0</v>
      </c>
      <c r="DI107" s="508">
        <f t="shared" si="174"/>
        <v>0</v>
      </c>
      <c r="DJ107" s="508">
        <f t="shared" si="174"/>
        <v>0</v>
      </c>
      <c r="DK107" s="508">
        <f t="shared" si="174"/>
        <v>0</v>
      </c>
      <c r="DL107" s="508">
        <f t="shared" si="175"/>
        <v>0</v>
      </c>
      <c r="DM107" s="508">
        <f t="shared" si="175"/>
        <v>0</v>
      </c>
      <c r="DN107" s="508">
        <f t="shared" si="175"/>
        <v>0</v>
      </c>
      <c r="DO107" s="508">
        <f t="shared" si="175"/>
        <v>0</v>
      </c>
      <c r="DP107" s="508">
        <f t="shared" si="175"/>
        <v>0</v>
      </c>
      <c r="DQ107" s="508">
        <f t="shared" si="175"/>
        <v>0</v>
      </c>
      <c r="DR107" s="508">
        <f t="shared" si="175"/>
        <v>0</v>
      </c>
      <c r="DS107" s="508">
        <f t="shared" si="190"/>
        <v>9904.7666666666646</v>
      </c>
      <c r="DT107" s="508">
        <f t="shared" si="190"/>
        <v>9904.7666666666646</v>
      </c>
      <c r="DU107" s="508">
        <f t="shared" si="190"/>
        <v>9904.7666666666646</v>
      </c>
      <c r="DV107" s="508">
        <f t="shared" si="190"/>
        <v>9904.7666666666646</v>
      </c>
      <c r="DW107" s="508">
        <f t="shared" si="190"/>
        <v>9904.7666666666646</v>
      </c>
      <c r="DX107" s="508">
        <f t="shared" si="176"/>
        <v>9904.7666666666646</v>
      </c>
      <c r="DY107" s="508">
        <f t="shared" si="176"/>
        <v>9904.7666666666646</v>
      </c>
      <c r="DZ107" s="511">
        <f t="shared" si="177"/>
        <v>202135.47592193497</v>
      </c>
      <c r="EA107" s="511">
        <f t="shared" si="177"/>
        <v>202135.47592193497</v>
      </c>
      <c r="EB107" s="511">
        <f t="shared" si="177"/>
        <v>202135.47592193497</v>
      </c>
      <c r="EC107" s="511">
        <f t="shared" si="177"/>
        <v>202135.47592193497</v>
      </c>
      <c r="ED107" s="511">
        <f t="shared" si="177"/>
        <v>202135.47592193497</v>
      </c>
      <c r="EE107" s="511">
        <f t="shared" si="177"/>
        <v>202135.47592193497</v>
      </c>
      <c r="EF107" s="511">
        <f t="shared" si="177"/>
        <v>202135.47592193497</v>
      </c>
      <c r="EG107" s="511">
        <f t="shared" si="178"/>
        <v>13.450618978045162</v>
      </c>
      <c r="EH107" s="511">
        <f t="shared" si="178"/>
        <v>13.450618978045162</v>
      </c>
      <c r="EI107" s="511">
        <f t="shared" si="178"/>
        <v>13.450618978045162</v>
      </c>
      <c r="EJ107" s="511">
        <f t="shared" si="178"/>
        <v>13.450618978045162</v>
      </c>
      <c r="EK107" s="511">
        <f t="shared" si="178"/>
        <v>13.450618978045162</v>
      </c>
      <c r="EL107" s="511">
        <f t="shared" si="178"/>
        <v>13.450618978045162</v>
      </c>
      <c r="EM107" s="511">
        <f t="shared" si="178"/>
        <v>13.450618978045162</v>
      </c>
      <c r="EN107" s="511">
        <f t="shared" si="179"/>
        <v>6530.9095883313985</v>
      </c>
      <c r="EO107" s="511">
        <f t="shared" si="179"/>
        <v>6530.9095883313985</v>
      </c>
      <c r="EP107" s="511">
        <f t="shared" si="179"/>
        <v>6530.9095883313985</v>
      </c>
      <c r="EQ107" s="511">
        <f t="shared" si="179"/>
        <v>6530.9095883313985</v>
      </c>
      <c r="ER107" s="511">
        <f t="shared" si="179"/>
        <v>6530.9095883313985</v>
      </c>
      <c r="ES107" s="511">
        <f t="shared" si="179"/>
        <v>6530.9095883313985</v>
      </c>
      <c r="ET107" s="511">
        <f t="shared" si="179"/>
        <v>6530.9095883313985</v>
      </c>
      <c r="EU107" s="777">
        <f t="shared" si="191"/>
        <v>5390</v>
      </c>
      <c r="EV107" s="728">
        <f t="shared" si="181"/>
        <v>0</v>
      </c>
      <c r="EW107" s="728">
        <f t="shared" si="182"/>
        <v>0</v>
      </c>
      <c r="EX107" s="728">
        <f t="shared" si="183"/>
        <v>0</v>
      </c>
      <c r="EY107" s="728">
        <f t="shared" si="184"/>
        <v>69333.366666666654</v>
      </c>
      <c r="EZ107" s="777">
        <f t="shared" si="185"/>
        <v>1414948.3314535448</v>
      </c>
      <c r="FA107" s="777">
        <f t="shared" si="186"/>
        <v>94.154332846316123</v>
      </c>
      <c r="FB107" s="778">
        <f t="shared" si="187"/>
        <v>45716.367118319795</v>
      </c>
    </row>
    <row r="108" spans="1:158" s="10" customFormat="1" ht="12.75" hidden="1" customHeight="1">
      <c r="A108" s="662" t="s">
        <v>196</v>
      </c>
      <c r="B108" s="789" t="s">
        <v>2199</v>
      </c>
      <c r="C108" s="662" t="s">
        <v>1991</v>
      </c>
      <c r="D108" s="715" t="s">
        <v>1992</v>
      </c>
      <c r="E108" s="662" t="s">
        <v>331</v>
      </c>
      <c r="F108" s="704" t="s">
        <v>372</v>
      </c>
      <c r="G108" s="707">
        <f t="shared" si="155"/>
        <v>0</v>
      </c>
      <c r="H108" s="707">
        <f t="shared" si="155"/>
        <v>0</v>
      </c>
      <c r="I108" s="707">
        <f t="shared" si="155"/>
        <v>0</v>
      </c>
      <c r="J108" s="707">
        <f t="shared" si="155"/>
        <v>0</v>
      </c>
      <c r="K108" s="707">
        <f t="shared" si="155"/>
        <v>0</v>
      </c>
      <c r="L108" s="1263" t="str">
        <f t="shared" si="155"/>
        <v>RSMeans Online; Louisville ,KY; Polyethylene closed cell foam tubing for a 3/4" iron pipe size assumed - Accessed 06/08/2016</v>
      </c>
      <c r="M108" s="707" t="str">
        <f t="shared" si="155"/>
        <v>Free</v>
      </c>
      <c r="N108" s="707">
        <f t="shared" si="155"/>
        <v>0</v>
      </c>
      <c r="O108" s="707">
        <f t="shared" si="155"/>
        <v>0</v>
      </c>
      <c r="P108" s="707">
        <f t="shared" si="155"/>
        <v>9.9</v>
      </c>
      <c r="Q108" s="1022">
        <v>53.333333333333336</v>
      </c>
      <c r="R108" s="872">
        <v>3.5489383653406295E-3</v>
      </c>
      <c r="S108" s="1022">
        <v>2.4264115199999998</v>
      </c>
      <c r="T108" s="711" t="str">
        <f t="shared" si="188"/>
        <v>Potential Study Results: Engineering Calculation and 5th Power Plan</v>
      </c>
      <c r="U108" s="712"/>
      <c r="V108" s="1124">
        <f t="shared" si="156"/>
        <v>0.17769578671744823</v>
      </c>
      <c r="W108" s="790"/>
      <c r="X108" s="790"/>
      <c r="Y108" s="790"/>
      <c r="Z108" s="790"/>
      <c r="AA108" s="790"/>
      <c r="AB108" s="790"/>
      <c r="AC108" s="781">
        <f t="shared" si="157"/>
        <v>225</v>
      </c>
      <c r="AD108" s="781">
        <f t="shared" si="157"/>
        <v>225</v>
      </c>
      <c r="AE108" s="781">
        <f t="shared" si="157"/>
        <v>225</v>
      </c>
      <c r="AF108" s="781">
        <f t="shared" si="157"/>
        <v>225</v>
      </c>
      <c r="AG108" s="781">
        <f t="shared" si="157"/>
        <v>225</v>
      </c>
      <c r="AH108" s="781">
        <f t="shared" si="158"/>
        <v>225</v>
      </c>
      <c r="AI108" s="781">
        <f t="shared" si="158"/>
        <v>225</v>
      </c>
      <c r="AJ108" s="711" t="s">
        <v>374</v>
      </c>
      <c r="AK108" s="711" t="s">
        <v>375</v>
      </c>
      <c r="AL108" s="711" t="s">
        <v>376</v>
      </c>
      <c r="AM108" s="711" t="s">
        <v>1981</v>
      </c>
      <c r="AN108" s="711" t="s">
        <v>1</v>
      </c>
      <c r="AO108" s="711" t="s">
        <v>1995</v>
      </c>
      <c r="AP108" s="711" t="s">
        <v>1991</v>
      </c>
      <c r="AQ108" s="711" t="s">
        <v>1992</v>
      </c>
      <c r="AR108" s="715" t="s">
        <v>943</v>
      </c>
      <c r="AS108" s="715" t="s">
        <v>1941</v>
      </c>
      <c r="AT108" s="715" t="s">
        <v>381</v>
      </c>
      <c r="AU108" s="711">
        <v>13</v>
      </c>
      <c r="AV108" s="711">
        <v>13</v>
      </c>
      <c r="AW108" s="711" t="s">
        <v>1996</v>
      </c>
      <c r="AX108" s="716">
        <v>1</v>
      </c>
      <c r="AY108" s="716">
        <v>0.58571937359857451</v>
      </c>
      <c r="AZ108" s="716">
        <v>0.41428062640142549</v>
      </c>
      <c r="BA108" s="499">
        <f t="shared" si="159"/>
        <v>0</v>
      </c>
      <c r="BB108" s="499">
        <f t="shared" si="160"/>
        <v>0</v>
      </c>
      <c r="BC108" s="499">
        <f t="shared" si="160"/>
        <v>0</v>
      </c>
      <c r="BD108" s="499">
        <f t="shared" si="160"/>
        <v>0</v>
      </c>
      <c r="BE108" s="499">
        <f t="shared" si="161"/>
        <v>0</v>
      </c>
      <c r="BF108" s="499">
        <f t="shared" si="161"/>
        <v>0</v>
      </c>
      <c r="BG108" s="499">
        <f t="shared" si="161"/>
        <v>0</v>
      </c>
      <c r="BH108" s="499">
        <f t="shared" si="162"/>
        <v>0</v>
      </c>
      <c r="BI108" s="499">
        <f t="shared" si="163"/>
        <v>0</v>
      </c>
      <c r="BJ108" s="499">
        <f t="shared" si="163"/>
        <v>0</v>
      </c>
      <c r="BK108" s="499">
        <f t="shared" si="163"/>
        <v>0</v>
      </c>
      <c r="BL108" s="499">
        <f t="shared" si="163"/>
        <v>0</v>
      </c>
      <c r="BM108" s="499">
        <f t="shared" si="163"/>
        <v>0</v>
      </c>
      <c r="BN108" s="499">
        <f t="shared" si="163"/>
        <v>0</v>
      </c>
      <c r="BO108" s="499">
        <f t="shared" si="164"/>
        <v>0</v>
      </c>
      <c r="BP108" s="499">
        <f t="shared" si="192"/>
        <v>0</v>
      </c>
      <c r="BQ108" s="499">
        <f t="shared" si="165"/>
        <v>0</v>
      </c>
      <c r="BR108" s="499">
        <f t="shared" si="165"/>
        <v>0</v>
      </c>
      <c r="BS108" s="499">
        <f t="shared" si="165"/>
        <v>0</v>
      </c>
      <c r="BT108" s="499">
        <f t="shared" si="165"/>
        <v>0</v>
      </c>
      <c r="BU108" s="499">
        <f t="shared" si="165"/>
        <v>0</v>
      </c>
      <c r="BV108" s="503">
        <f t="shared" si="189"/>
        <v>9.9</v>
      </c>
      <c r="BW108" s="503">
        <f t="shared" si="166"/>
        <v>9.9</v>
      </c>
      <c r="BX108" s="503">
        <f t="shared" si="166"/>
        <v>9.9</v>
      </c>
      <c r="BY108" s="503">
        <f t="shared" si="166"/>
        <v>9.9</v>
      </c>
      <c r="BZ108" s="503">
        <f t="shared" si="166"/>
        <v>9.9</v>
      </c>
      <c r="CA108" s="503">
        <f t="shared" si="166"/>
        <v>9.9</v>
      </c>
      <c r="CB108" s="503">
        <f t="shared" si="166"/>
        <v>9.9</v>
      </c>
      <c r="CC108" s="511">
        <f t="shared" si="167"/>
        <v>31.238366591923974</v>
      </c>
      <c r="CD108" s="511">
        <f t="shared" si="168"/>
        <v>31.238366591923974</v>
      </c>
      <c r="CE108" s="511">
        <f t="shared" si="168"/>
        <v>31.238366591923974</v>
      </c>
      <c r="CF108" s="511">
        <f t="shared" si="168"/>
        <v>31.238366591923974</v>
      </c>
      <c r="CG108" s="511">
        <f t="shared" si="168"/>
        <v>31.238366591923974</v>
      </c>
      <c r="CH108" s="511">
        <f t="shared" si="168"/>
        <v>31.238366591923974</v>
      </c>
      <c r="CI108" s="511">
        <f t="shared" si="168"/>
        <v>31.238366591923974</v>
      </c>
      <c r="CJ108" s="511">
        <f t="shared" si="169"/>
        <v>2.0786819562872627E-3</v>
      </c>
      <c r="CK108" s="511">
        <f t="shared" si="170"/>
        <v>2.0786819562872627E-3</v>
      </c>
      <c r="CL108" s="511">
        <f t="shared" si="170"/>
        <v>2.0786819562872627E-3</v>
      </c>
      <c r="CM108" s="511">
        <f t="shared" si="170"/>
        <v>2.0786819562872627E-3</v>
      </c>
      <c r="CN108" s="511">
        <f t="shared" si="170"/>
        <v>2.0786819562872627E-3</v>
      </c>
      <c r="CO108" s="511">
        <f t="shared" si="170"/>
        <v>2.0786819562872627E-3</v>
      </c>
      <c r="CP108" s="511">
        <f t="shared" si="170"/>
        <v>2.0786819562872627E-3</v>
      </c>
      <c r="CQ108" s="511">
        <f t="shared" si="171"/>
        <v>1.0052152844132349</v>
      </c>
      <c r="CR108" s="511">
        <f t="shared" si="172"/>
        <v>1.0052152844132349</v>
      </c>
      <c r="CS108" s="511">
        <f t="shared" si="172"/>
        <v>1.0052152844132349</v>
      </c>
      <c r="CT108" s="511">
        <f t="shared" si="172"/>
        <v>1.0052152844132349</v>
      </c>
      <c r="CU108" s="511">
        <f t="shared" si="172"/>
        <v>1.0052152844132349</v>
      </c>
      <c r="CV108" s="511">
        <f t="shared" si="172"/>
        <v>1.0052152844132349</v>
      </c>
      <c r="CW108" s="511">
        <f t="shared" si="172"/>
        <v>1.0052152844132349</v>
      </c>
      <c r="CX108" s="508">
        <f t="shared" si="173"/>
        <v>0</v>
      </c>
      <c r="CY108" s="508">
        <f t="shared" si="173"/>
        <v>0</v>
      </c>
      <c r="CZ108" s="508">
        <f t="shared" si="173"/>
        <v>0</v>
      </c>
      <c r="DA108" s="508">
        <f t="shared" si="173"/>
        <v>0</v>
      </c>
      <c r="DB108" s="508">
        <f t="shared" si="173"/>
        <v>0</v>
      </c>
      <c r="DC108" s="508">
        <f t="shared" si="173"/>
        <v>0</v>
      </c>
      <c r="DD108" s="508">
        <f t="shared" si="173"/>
        <v>0</v>
      </c>
      <c r="DE108" s="508">
        <f t="shared" si="174"/>
        <v>0</v>
      </c>
      <c r="DF108" s="508">
        <f t="shared" si="174"/>
        <v>0</v>
      </c>
      <c r="DG108" s="508">
        <f t="shared" si="174"/>
        <v>0</v>
      </c>
      <c r="DH108" s="508">
        <f t="shared" si="174"/>
        <v>0</v>
      </c>
      <c r="DI108" s="508">
        <f t="shared" si="174"/>
        <v>0</v>
      </c>
      <c r="DJ108" s="508">
        <f t="shared" si="174"/>
        <v>0</v>
      </c>
      <c r="DK108" s="508">
        <f t="shared" si="174"/>
        <v>0</v>
      </c>
      <c r="DL108" s="508">
        <f t="shared" si="175"/>
        <v>0</v>
      </c>
      <c r="DM108" s="508">
        <f t="shared" si="175"/>
        <v>0</v>
      </c>
      <c r="DN108" s="508">
        <f t="shared" si="175"/>
        <v>0</v>
      </c>
      <c r="DO108" s="508">
        <f t="shared" si="175"/>
        <v>0</v>
      </c>
      <c r="DP108" s="508">
        <f t="shared" si="175"/>
        <v>0</v>
      </c>
      <c r="DQ108" s="508">
        <f t="shared" si="175"/>
        <v>0</v>
      </c>
      <c r="DR108" s="508">
        <f t="shared" si="175"/>
        <v>0</v>
      </c>
      <c r="DS108" s="508">
        <f t="shared" si="190"/>
        <v>2227.5</v>
      </c>
      <c r="DT108" s="508">
        <f t="shared" si="190"/>
        <v>2227.5</v>
      </c>
      <c r="DU108" s="508">
        <f t="shared" si="190"/>
        <v>2227.5</v>
      </c>
      <c r="DV108" s="508">
        <f t="shared" si="190"/>
        <v>2227.5</v>
      </c>
      <c r="DW108" s="508">
        <f t="shared" si="190"/>
        <v>2227.5</v>
      </c>
      <c r="DX108" s="508">
        <f t="shared" si="176"/>
        <v>2227.5</v>
      </c>
      <c r="DY108" s="508">
        <f t="shared" si="176"/>
        <v>2227.5</v>
      </c>
      <c r="DZ108" s="511">
        <f t="shared" si="177"/>
        <v>7028.6324831828942</v>
      </c>
      <c r="EA108" s="511">
        <f t="shared" si="177"/>
        <v>7028.6324831828942</v>
      </c>
      <c r="EB108" s="511">
        <f t="shared" si="177"/>
        <v>7028.6324831828942</v>
      </c>
      <c r="EC108" s="511">
        <f t="shared" si="177"/>
        <v>7028.6324831828942</v>
      </c>
      <c r="ED108" s="511">
        <f t="shared" si="177"/>
        <v>7028.6324831828942</v>
      </c>
      <c r="EE108" s="511">
        <f t="shared" si="177"/>
        <v>7028.6324831828942</v>
      </c>
      <c r="EF108" s="511">
        <f t="shared" si="177"/>
        <v>7028.6324831828942</v>
      </c>
      <c r="EG108" s="511">
        <f t="shared" si="178"/>
        <v>0.46770344016463411</v>
      </c>
      <c r="EH108" s="511">
        <f t="shared" si="178"/>
        <v>0.46770344016463411</v>
      </c>
      <c r="EI108" s="511">
        <f t="shared" si="178"/>
        <v>0.46770344016463411</v>
      </c>
      <c r="EJ108" s="511">
        <f t="shared" si="178"/>
        <v>0.46770344016463411</v>
      </c>
      <c r="EK108" s="511">
        <f t="shared" si="178"/>
        <v>0.46770344016463411</v>
      </c>
      <c r="EL108" s="511">
        <f t="shared" si="178"/>
        <v>0.46770344016463411</v>
      </c>
      <c r="EM108" s="511">
        <f t="shared" si="178"/>
        <v>0.46770344016463411</v>
      </c>
      <c r="EN108" s="511">
        <f t="shared" si="179"/>
        <v>226.17343899297785</v>
      </c>
      <c r="EO108" s="511">
        <f t="shared" si="179"/>
        <v>226.17343899297785</v>
      </c>
      <c r="EP108" s="511">
        <f t="shared" si="179"/>
        <v>226.17343899297785</v>
      </c>
      <c r="EQ108" s="511">
        <f t="shared" si="179"/>
        <v>226.17343899297785</v>
      </c>
      <c r="ER108" s="511">
        <f t="shared" si="179"/>
        <v>226.17343899297785</v>
      </c>
      <c r="ES108" s="511">
        <f t="shared" si="179"/>
        <v>226.17343899297785</v>
      </c>
      <c r="ET108" s="511">
        <f t="shared" si="179"/>
        <v>226.17343899297785</v>
      </c>
      <c r="EU108" s="777">
        <f t="shared" si="191"/>
        <v>1575</v>
      </c>
      <c r="EV108" s="728">
        <f t="shared" si="181"/>
        <v>0</v>
      </c>
      <c r="EW108" s="728">
        <f t="shared" si="182"/>
        <v>0</v>
      </c>
      <c r="EX108" s="728">
        <f t="shared" si="183"/>
        <v>0</v>
      </c>
      <c r="EY108" s="728">
        <f t="shared" si="184"/>
        <v>15592.5</v>
      </c>
      <c r="EZ108" s="777">
        <f t="shared" si="185"/>
        <v>49200.427382280264</v>
      </c>
      <c r="FA108" s="777">
        <f t="shared" si="186"/>
        <v>3.273924081152439</v>
      </c>
      <c r="FB108" s="778">
        <f t="shared" si="187"/>
        <v>1583.2140729508451</v>
      </c>
    </row>
    <row r="109" spans="1:158" s="10" customFormat="1" ht="12.75" hidden="1" customHeight="1">
      <c r="A109" s="662" t="s">
        <v>197</v>
      </c>
      <c r="B109" s="789" t="s">
        <v>2200</v>
      </c>
      <c r="C109" s="662" t="s">
        <v>1998</v>
      </c>
      <c r="D109" s="715" t="s">
        <v>1999</v>
      </c>
      <c r="E109" s="662" t="s">
        <v>331</v>
      </c>
      <c r="F109" s="704" t="s">
        <v>372</v>
      </c>
      <c r="G109" s="707">
        <f t="shared" si="155"/>
        <v>0</v>
      </c>
      <c r="H109" s="707">
        <f t="shared" si="155"/>
        <v>0</v>
      </c>
      <c r="I109" s="707">
        <f t="shared" si="155"/>
        <v>0</v>
      </c>
      <c r="J109" s="707">
        <f t="shared" si="155"/>
        <v>0</v>
      </c>
      <c r="K109" s="707">
        <f t="shared" si="155"/>
        <v>0</v>
      </c>
      <c r="L109" s="1263" t="str">
        <f t="shared" si="155"/>
        <v>Company cost estimates based on program estimates</v>
      </c>
      <c r="M109" s="707" t="str">
        <f t="shared" si="155"/>
        <v>Free</v>
      </c>
      <c r="N109" s="707">
        <f t="shared" si="155"/>
        <v>0</v>
      </c>
      <c r="O109" s="707">
        <f t="shared" si="155"/>
        <v>0</v>
      </c>
      <c r="P109" s="707">
        <f t="shared" si="155"/>
        <v>30</v>
      </c>
      <c r="Q109" s="1022">
        <f>O166</f>
        <v>97.710101414479084</v>
      </c>
      <c r="R109" s="872">
        <v>0</v>
      </c>
      <c r="S109" s="1022">
        <f>Q166</f>
        <v>17.284092378693028</v>
      </c>
      <c r="T109" s="711" t="str">
        <f t="shared" si="188"/>
        <v>Potential Study Results: Pennsylvania 2017 TRM Protocol for Smart Thermostats; based on numerous recent evaluations and studies. Assuming installation of thermostat by consumer.</v>
      </c>
      <c r="U109" s="712"/>
      <c r="V109" s="1124">
        <f t="shared" si="156"/>
        <v>9.8786003332539864E-3</v>
      </c>
      <c r="W109" s="790"/>
      <c r="X109" s="790"/>
      <c r="Y109" s="790"/>
      <c r="Z109" s="790"/>
      <c r="AA109" s="790"/>
      <c r="AB109" s="790"/>
      <c r="AC109" s="781">
        <f t="shared" si="157"/>
        <v>10</v>
      </c>
      <c r="AD109" s="781">
        <f t="shared" si="157"/>
        <v>10</v>
      </c>
      <c r="AE109" s="781">
        <f t="shared" si="157"/>
        <v>10</v>
      </c>
      <c r="AF109" s="781">
        <f t="shared" si="157"/>
        <v>10</v>
      </c>
      <c r="AG109" s="781">
        <f t="shared" si="157"/>
        <v>10</v>
      </c>
      <c r="AH109" s="781">
        <f t="shared" si="158"/>
        <v>10</v>
      </c>
      <c r="AI109" s="781">
        <f t="shared" si="158"/>
        <v>10</v>
      </c>
      <c r="AJ109" s="711" t="s">
        <v>374</v>
      </c>
      <c r="AK109" s="711" t="s">
        <v>375</v>
      </c>
      <c r="AL109" s="711" t="s">
        <v>376</v>
      </c>
      <c r="AM109" s="711" t="s">
        <v>2002</v>
      </c>
      <c r="AN109" s="711" t="s">
        <v>1</v>
      </c>
      <c r="AO109" s="711" t="s">
        <v>1998</v>
      </c>
      <c r="AP109" s="711" t="s">
        <v>1998</v>
      </c>
      <c r="AQ109" s="711" t="s">
        <v>1999</v>
      </c>
      <c r="AR109" s="715" t="s">
        <v>406</v>
      </c>
      <c r="AS109" s="715" t="s">
        <v>407</v>
      </c>
      <c r="AT109" s="715" t="s">
        <v>381</v>
      </c>
      <c r="AU109" s="711">
        <v>11</v>
      </c>
      <c r="AV109" s="711">
        <v>11</v>
      </c>
      <c r="AW109" s="711" t="s">
        <v>2003</v>
      </c>
      <c r="AX109" s="716">
        <v>1</v>
      </c>
      <c r="AY109" s="716">
        <v>1</v>
      </c>
      <c r="AZ109" s="716">
        <v>1</v>
      </c>
      <c r="BA109" s="499">
        <f t="shared" si="159"/>
        <v>0</v>
      </c>
      <c r="BB109" s="499">
        <f t="shared" si="160"/>
        <v>0</v>
      </c>
      <c r="BC109" s="499">
        <f t="shared" si="160"/>
        <v>0</v>
      </c>
      <c r="BD109" s="499">
        <f t="shared" si="160"/>
        <v>0</v>
      </c>
      <c r="BE109" s="499">
        <f t="shared" si="161"/>
        <v>0</v>
      </c>
      <c r="BF109" s="499">
        <f t="shared" si="161"/>
        <v>0</v>
      </c>
      <c r="BG109" s="499">
        <f t="shared" si="161"/>
        <v>0</v>
      </c>
      <c r="BH109" s="499">
        <f t="shared" si="162"/>
        <v>0</v>
      </c>
      <c r="BI109" s="499">
        <f t="shared" si="163"/>
        <v>0</v>
      </c>
      <c r="BJ109" s="499">
        <f t="shared" si="163"/>
        <v>0</v>
      </c>
      <c r="BK109" s="499">
        <f t="shared" si="163"/>
        <v>0</v>
      </c>
      <c r="BL109" s="499">
        <f t="shared" si="163"/>
        <v>0</v>
      </c>
      <c r="BM109" s="499">
        <f t="shared" si="163"/>
        <v>0</v>
      </c>
      <c r="BN109" s="499">
        <f t="shared" si="163"/>
        <v>0</v>
      </c>
      <c r="BO109" s="499">
        <f t="shared" si="164"/>
        <v>0</v>
      </c>
      <c r="BP109" s="499">
        <f t="shared" si="192"/>
        <v>0</v>
      </c>
      <c r="BQ109" s="499">
        <f t="shared" si="165"/>
        <v>0</v>
      </c>
      <c r="BR109" s="499">
        <f t="shared" si="165"/>
        <v>0</v>
      </c>
      <c r="BS109" s="499">
        <f t="shared" si="165"/>
        <v>0</v>
      </c>
      <c r="BT109" s="499">
        <f t="shared" si="165"/>
        <v>0</v>
      </c>
      <c r="BU109" s="499">
        <f t="shared" si="165"/>
        <v>0</v>
      </c>
      <c r="BV109" s="503">
        <f t="shared" si="189"/>
        <v>30</v>
      </c>
      <c r="BW109" s="503">
        <f t="shared" si="166"/>
        <v>30</v>
      </c>
      <c r="BX109" s="503">
        <f t="shared" si="166"/>
        <v>30</v>
      </c>
      <c r="BY109" s="503">
        <f t="shared" si="166"/>
        <v>30</v>
      </c>
      <c r="BZ109" s="503">
        <f t="shared" si="166"/>
        <v>30</v>
      </c>
      <c r="CA109" s="503">
        <f t="shared" si="166"/>
        <v>30</v>
      </c>
      <c r="CB109" s="503">
        <f t="shared" si="166"/>
        <v>30</v>
      </c>
      <c r="CC109" s="511">
        <f t="shared" si="167"/>
        <v>97.710101414479084</v>
      </c>
      <c r="CD109" s="511">
        <f t="shared" si="168"/>
        <v>97.710101414479084</v>
      </c>
      <c r="CE109" s="511">
        <f t="shared" si="168"/>
        <v>97.710101414479084</v>
      </c>
      <c r="CF109" s="511">
        <f t="shared" si="168"/>
        <v>97.710101414479084</v>
      </c>
      <c r="CG109" s="511">
        <f t="shared" si="168"/>
        <v>97.710101414479084</v>
      </c>
      <c r="CH109" s="511">
        <f t="shared" si="168"/>
        <v>97.710101414479084</v>
      </c>
      <c r="CI109" s="511">
        <f t="shared" si="168"/>
        <v>97.710101414479084</v>
      </c>
      <c r="CJ109" s="511">
        <f t="shared" si="169"/>
        <v>0</v>
      </c>
      <c r="CK109" s="511">
        <f t="shared" si="170"/>
        <v>0</v>
      </c>
      <c r="CL109" s="511">
        <f t="shared" si="170"/>
        <v>0</v>
      </c>
      <c r="CM109" s="511">
        <f t="shared" si="170"/>
        <v>0</v>
      </c>
      <c r="CN109" s="511">
        <f t="shared" si="170"/>
        <v>0</v>
      </c>
      <c r="CO109" s="511">
        <f t="shared" si="170"/>
        <v>0</v>
      </c>
      <c r="CP109" s="511">
        <f t="shared" si="170"/>
        <v>0</v>
      </c>
      <c r="CQ109" s="511">
        <f t="shared" si="171"/>
        <v>17.284092378693028</v>
      </c>
      <c r="CR109" s="511">
        <f t="shared" si="172"/>
        <v>17.284092378693028</v>
      </c>
      <c r="CS109" s="511">
        <f t="shared" si="172"/>
        <v>17.284092378693028</v>
      </c>
      <c r="CT109" s="511">
        <f t="shared" si="172"/>
        <v>17.284092378693028</v>
      </c>
      <c r="CU109" s="511">
        <f t="shared" si="172"/>
        <v>17.284092378693028</v>
      </c>
      <c r="CV109" s="511">
        <f t="shared" si="172"/>
        <v>17.284092378693028</v>
      </c>
      <c r="CW109" s="511">
        <f t="shared" si="172"/>
        <v>17.284092378693028</v>
      </c>
      <c r="CX109" s="508">
        <f t="shared" si="173"/>
        <v>0</v>
      </c>
      <c r="CY109" s="508">
        <f t="shared" si="173"/>
        <v>0</v>
      </c>
      <c r="CZ109" s="508">
        <f t="shared" si="173"/>
        <v>0</v>
      </c>
      <c r="DA109" s="508">
        <f t="shared" si="173"/>
        <v>0</v>
      </c>
      <c r="DB109" s="508">
        <f t="shared" si="173"/>
        <v>0</v>
      </c>
      <c r="DC109" s="508">
        <f t="shared" si="173"/>
        <v>0</v>
      </c>
      <c r="DD109" s="508">
        <f t="shared" si="173"/>
        <v>0</v>
      </c>
      <c r="DE109" s="508">
        <f t="shared" si="174"/>
        <v>0</v>
      </c>
      <c r="DF109" s="508">
        <f t="shared" si="174"/>
        <v>0</v>
      </c>
      <c r="DG109" s="508">
        <f t="shared" si="174"/>
        <v>0</v>
      </c>
      <c r="DH109" s="508">
        <f t="shared" si="174"/>
        <v>0</v>
      </c>
      <c r="DI109" s="508">
        <f t="shared" si="174"/>
        <v>0</v>
      </c>
      <c r="DJ109" s="508">
        <f t="shared" si="174"/>
        <v>0</v>
      </c>
      <c r="DK109" s="508">
        <f t="shared" si="174"/>
        <v>0</v>
      </c>
      <c r="DL109" s="508">
        <f t="shared" si="175"/>
        <v>0</v>
      </c>
      <c r="DM109" s="508">
        <f t="shared" si="175"/>
        <v>0</v>
      </c>
      <c r="DN109" s="508">
        <f t="shared" si="175"/>
        <v>0</v>
      </c>
      <c r="DO109" s="508">
        <f t="shared" si="175"/>
        <v>0</v>
      </c>
      <c r="DP109" s="508">
        <f t="shared" si="175"/>
        <v>0</v>
      </c>
      <c r="DQ109" s="508">
        <f t="shared" si="175"/>
        <v>0</v>
      </c>
      <c r="DR109" s="508">
        <f t="shared" si="175"/>
        <v>0</v>
      </c>
      <c r="DS109" s="508">
        <f t="shared" si="190"/>
        <v>300</v>
      </c>
      <c r="DT109" s="508">
        <f t="shared" si="190"/>
        <v>300</v>
      </c>
      <c r="DU109" s="508">
        <f t="shared" si="190"/>
        <v>300</v>
      </c>
      <c r="DV109" s="508">
        <f t="shared" si="190"/>
        <v>300</v>
      </c>
      <c r="DW109" s="508">
        <f t="shared" si="190"/>
        <v>300</v>
      </c>
      <c r="DX109" s="508">
        <f t="shared" si="176"/>
        <v>300</v>
      </c>
      <c r="DY109" s="508">
        <f t="shared" si="176"/>
        <v>300</v>
      </c>
      <c r="DZ109" s="511">
        <f t="shared" si="177"/>
        <v>977.10101414479084</v>
      </c>
      <c r="EA109" s="511">
        <f t="shared" si="177"/>
        <v>977.10101414479084</v>
      </c>
      <c r="EB109" s="511">
        <f t="shared" si="177"/>
        <v>977.10101414479084</v>
      </c>
      <c r="EC109" s="511">
        <f t="shared" si="177"/>
        <v>977.10101414479084</v>
      </c>
      <c r="ED109" s="511">
        <f t="shared" si="177"/>
        <v>977.10101414479084</v>
      </c>
      <c r="EE109" s="511">
        <f t="shared" si="177"/>
        <v>977.10101414479084</v>
      </c>
      <c r="EF109" s="511">
        <f t="shared" si="177"/>
        <v>977.10101414479084</v>
      </c>
      <c r="EG109" s="511">
        <f t="shared" si="178"/>
        <v>0</v>
      </c>
      <c r="EH109" s="511">
        <f t="shared" si="178"/>
        <v>0</v>
      </c>
      <c r="EI109" s="511">
        <f t="shared" si="178"/>
        <v>0</v>
      </c>
      <c r="EJ109" s="511">
        <f t="shared" si="178"/>
        <v>0</v>
      </c>
      <c r="EK109" s="511">
        <f t="shared" si="178"/>
        <v>0</v>
      </c>
      <c r="EL109" s="511">
        <f t="shared" si="178"/>
        <v>0</v>
      </c>
      <c r="EM109" s="511">
        <f t="shared" si="178"/>
        <v>0</v>
      </c>
      <c r="EN109" s="511">
        <f t="shared" si="179"/>
        <v>172.84092378693029</v>
      </c>
      <c r="EO109" s="511">
        <f t="shared" si="179"/>
        <v>172.84092378693029</v>
      </c>
      <c r="EP109" s="511">
        <f t="shared" si="179"/>
        <v>172.84092378693029</v>
      </c>
      <c r="EQ109" s="511">
        <f t="shared" si="179"/>
        <v>172.84092378693029</v>
      </c>
      <c r="ER109" s="511">
        <f t="shared" si="179"/>
        <v>172.84092378693029</v>
      </c>
      <c r="ES109" s="511">
        <f t="shared" si="179"/>
        <v>172.84092378693029</v>
      </c>
      <c r="ET109" s="511">
        <f t="shared" si="179"/>
        <v>172.84092378693029</v>
      </c>
      <c r="EU109" s="777">
        <f t="shared" si="191"/>
        <v>70</v>
      </c>
      <c r="EV109" s="728">
        <f t="shared" si="181"/>
        <v>0</v>
      </c>
      <c r="EW109" s="728">
        <f t="shared" si="182"/>
        <v>0</v>
      </c>
      <c r="EX109" s="728">
        <f t="shared" si="183"/>
        <v>0</v>
      </c>
      <c r="EY109" s="728">
        <f t="shared" si="184"/>
        <v>2100</v>
      </c>
      <c r="EZ109" s="777">
        <f t="shared" si="185"/>
        <v>6839.7070990135353</v>
      </c>
      <c r="FA109" s="777">
        <f t="shared" si="186"/>
        <v>0</v>
      </c>
      <c r="FB109" s="778">
        <f t="shared" si="187"/>
        <v>1209.8864665085121</v>
      </c>
    </row>
    <row r="110" spans="1:158" s="10" customFormat="1" ht="12.75" hidden="1" customHeight="1">
      <c r="A110" s="662" t="s">
        <v>198</v>
      </c>
      <c r="B110" s="789" t="s">
        <v>2201</v>
      </c>
      <c r="C110" s="662" t="s">
        <v>2005</v>
      </c>
      <c r="D110" s="715" t="s">
        <v>2006</v>
      </c>
      <c r="E110" s="662" t="s">
        <v>331</v>
      </c>
      <c r="F110" s="704" t="s">
        <v>402</v>
      </c>
      <c r="G110" s="707">
        <f t="shared" si="155"/>
        <v>40</v>
      </c>
      <c r="H110" s="707">
        <f t="shared" si="155"/>
        <v>0</v>
      </c>
      <c r="I110" s="707">
        <f t="shared" si="155"/>
        <v>40</v>
      </c>
      <c r="J110" s="707">
        <f t="shared" si="155"/>
        <v>0</v>
      </c>
      <c r="K110" s="707">
        <f t="shared" si="155"/>
        <v>20</v>
      </c>
      <c r="L110" s="1263" t="str">
        <f t="shared" si="155"/>
        <v>ENERGY STAR Appliances Calculator - Accessed 05/19/2016</v>
      </c>
      <c r="M110" s="707" t="str">
        <f t="shared" si="155"/>
        <v>NA</v>
      </c>
      <c r="N110" s="707">
        <f t="shared" si="155"/>
        <v>20</v>
      </c>
      <c r="O110" s="707">
        <f t="shared" si="155"/>
        <v>0</v>
      </c>
      <c r="P110" s="707">
        <f t="shared" si="155"/>
        <v>0</v>
      </c>
      <c r="Q110" s="1022">
        <v>160.23413943875073</v>
      </c>
      <c r="R110" s="872">
        <v>2.0139185152679033E-2</v>
      </c>
      <c r="S110" s="1022">
        <v>0</v>
      </c>
      <c r="T110" s="711" t="str">
        <f t="shared" si="188"/>
        <v>Potential Study Results: ENERGY STAR Appliances Calculator - Accessed 05/19/2016; Calculations using ENERGY STAR appliances calculator</v>
      </c>
      <c r="U110" s="712"/>
      <c r="V110" s="1124">
        <f t="shared" si="156"/>
        <v>0</v>
      </c>
      <c r="W110" s="790"/>
      <c r="X110" s="790"/>
      <c r="Y110" s="790"/>
      <c r="Z110" s="790"/>
      <c r="AA110" s="790"/>
      <c r="AB110" s="790"/>
      <c r="AC110" s="781">
        <f t="shared" si="157"/>
        <v>0</v>
      </c>
      <c r="AD110" s="781">
        <f t="shared" si="157"/>
        <v>0</v>
      </c>
      <c r="AE110" s="781">
        <f t="shared" si="157"/>
        <v>0</v>
      </c>
      <c r="AF110" s="781">
        <f t="shared" si="157"/>
        <v>0</v>
      </c>
      <c r="AG110" s="781">
        <f t="shared" si="157"/>
        <v>0</v>
      </c>
      <c r="AH110" s="781">
        <f t="shared" si="158"/>
        <v>0</v>
      </c>
      <c r="AI110" s="781">
        <f t="shared" si="158"/>
        <v>0</v>
      </c>
      <c r="AJ110" s="711" t="s">
        <v>384</v>
      </c>
      <c r="AK110" s="711" t="s">
        <v>375</v>
      </c>
      <c r="AL110" s="711" t="s">
        <v>376</v>
      </c>
      <c r="AM110" s="711" t="s">
        <v>2009</v>
      </c>
      <c r="AN110" s="711" t="s">
        <v>1</v>
      </c>
      <c r="AO110" s="711" t="s">
        <v>2010</v>
      </c>
      <c r="AP110" s="711" t="s">
        <v>1702</v>
      </c>
      <c r="AQ110" s="711" t="s">
        <v>339</v>
      </c>
      <c r="AR110" s="715" t="s">
        <v>1943</v>
      </c>
      <c r="AS110" s="715" t="s">
        <v>1942</v>
      </c>
      <c r="AT110" s="715" t="s">
        <v>381</v>
      </c>
      <c r="AU110" s="711">
        <v>11</v>
      </c>
      <c r="AV110" s="711">
        <v>11</v>
      </c>
      <c r="AW110" s="711" t="s">
        <v>2007</v>
      </c>
      <c r="AX110" s="716">
        <v>1</v>
      </c>
      <c r="AY110" s="716">
        <v>1</v>
      </c>
      <c r="AZ110" s="716">
        <v>0</v>
      </c>
      <c r="BA110" s="499">
        <f t="shared" si="159"/>
        <v>40</v>
      </c>
      <c r="BB110" s="499">
        <f t="shared" si="160"/>
        <v>40</v>
      </c>
      <c r="BC110" s="499">
        <f t="shared" si="160"/>
        <v>40</v>
      </c>
      <c r="BD110" s="499">
        <f t="shared" si="160"/>
        <v>40</v>
      </c>
      <c r="BE110" s="499">
        <f t="shared" si="161"/>
        <v>40</v>
      </c>
      <c r="BF110" s="499">
        <f t="shared" si="161"/>
        <v>40</v>
      </c>
      <c r="BG110" s="499">
        <f t="shared" si="161"/>
        <v>40</v>
      </c>
      <c r="BH110" s="499">
        <f t="shared" si="162"/>
        <v>0</v>
      </c>
      <c r="BI110" s="499">
        <f t="shared" si="163"/>
        <v>0</v>
      </c>
      <c r="BJ110" s="499">
        <f t="shared" si="163"/>
        <v>0</v>
      </c>
      <c r="BK110" s="499">
        <f t="shared" si="163"/>
        <v>0</v>
      </c>
      <c r="BL110" s="499">
        <f t="shared" si="163"/>
        <v>0</v>
      </c>
      <c r="BM110" s="499">
        <f t="shared" si="163"/>
        <v>0</v>
      </c>
      <c r="BN110" s="499">
        <f t="shared" si="163"/>
        <v>0</v>
      </c>
      <c r="BO110" s="499">
        <f t="shared" si="164"/>
        <v>20</v>
      </c>
      <c r="BP110" s="499">
        <f t="shared" si="192"/>
        <v>20</v>
      </c>
      <c r="BQ110" s="499">
        <f t="shared" si="165"/>
        <v>20</v>
      </c>
      <c r="BR110" s="499">
        <f t="shared" si="165"/>
        <v>20</v>
      </c>
      <c r="BS110" s="499">
        <f t="shared" si="165"/>
        <v>20</v>
      </c>
      <c r="BT110" s="499">
        <f t="shared" si="165"/>
        <v>20</v>
      </c>
      <c r="BU110" s="499">
        <f t="shared" si="165"/>
        <v>20</v>
      </c>
      <c r="BV110" s="503">
        <f t="shared" si="189"/>
        <v>0</v>
      </c>
      <c r="BW110" s="503">
        <f t="shared" si="166"/>
        <v>0</v>
      </c>
      <c r="BX110" s="503">
        <f t="shared" si="166"/>
        <v>0</v>
      </c>
      <c r="BY110" s="503">
        <f t="shared" si="166"/>
        <v>0</v>
      </c>
      <c r="BZ110" s="503">
        <f t="shared" si="166"/>
        <v>0</v>
      </c>
      <c r="CA110" s="503">
        <f t="shared" si="166"/>
        <v>0</v>
      </c>
      <c r="CB110" s="503">
        <f t="shared" si="166"/>
        <v>0</v>
      </c>
      <c r="CC110" s="511">
        <f t="shared" si="167"/>
        <v>160.23413943875073</v>
      </c>
      <c r="CD110" s="511">
        <f t="shared" si="168"/>
        <v>160.23413943875073</v>
      </c>
      <c r="CE110" s="511">
        <f t="shared" si="168"/>
        <v>160.23413943875073</v>
      </c>
      <c r="CF110" s="511">
        <f t="shared" si="168"/>
        <v>160.23413943875073</v>
      </c>
      <c r="CG110" s="511">
        <f t="shared" si="168"/>
        <v>160.23413943875073</v>
      </c>
      <c r="CH110" s="511">
        <f t="shared" si="168"/>
        <v>160.23413943875073</v>
      </c>
      <c r="CI110" s="511">
        <f t="shared" si="168"/>
        <v>160.23413943875073</v>
      </c>
      <c r="CJ110" s="511">
        <f t="shared" si="169"/>
        <v>2.0139185152679033E-2</v>
      </c>
      <c r="CK110" s="511">
        <f t="shared" si="170"/>
        <v>2.0139185152679033E-2</v>
      </c>
      <c r="CL110" s="511">
        <f t="shared" si="170"/>
        <v>2.0139185152679033E-2</v>
      </c>
      <c r="CM110" s="511">
        <f t="shared" si="170"/>
        <v>2.0139185152679033E-2</v>
      </c>
      <c r="CN110" s="511">
        <f t="shared" si="170"/>
        <v>2.0139185152679033E-2</v>
      </c>
      <c r="CO110" s="511">
        <f t="shared" si="170"/>
        <v>2.0139185152679033E-2</v>
      </c>
      <c r="CP110" s="511">
        <f t="shared" si="170"/>
        <v>2.0139185152679033E-2</v>
      </c>
      <c r="CQ110" s="511">
        <f t="shared" si="171"/>
        <v>0</v>
      </c>
      <c r="CR110" s="511">
        <f t="shared" si="172"/>
        <v>0</v>
      </c>
      <c r="CS110" s="511">
        <f t="shared" si="172"/>
        <v>0</v>
      </c>
      <c r="CT110" s="511">
        <f t="shared" si="172"/>
        <v>0</v>
      </c>
      <c r="CU110" s="511">
        <f t="shared" si="172"/>
        <v>0</v>
      </c>
      <c r="CV110" s="511">
        <f t="shared" si="172"/>
        <v>0</v>
      </c>
      <c r="CW110" s="511">
        <f t="shared" si="172"/>
        <v>0</v>
      </c>
      <c r="CX110" s="508">
        <f t="shared" si="173"/>
        <v>0</v>
      </c>
      <c r="CY110" s="508">
        <f t="shared" si="173"/>
        <v>0</v>
      </c>
      <c r="CZ110" s="508">
        <f t="shared" si="173"/>
        <v>0</v>
      </c>
      <c r="DA110" s="508">
        <f t="shared" si="173"/>
        <v>0</v>
      </c>
      <c r="DB110" s="508">
        <f t="shared" si="173"/>
        <v>0</v>
      </c>
      <c r="DC110" s="508">
        <f t="shared" si="173"/>
        <v>0</v>
      </c>
      <c r="DD110" s="508">
        <f t="shared" si="173"/>
        <v>0</v>
      </c>
      <c r="DE110" s="508">
        <f t="shared" si="174"/>
        <v>0</v>
      </c>
      <c r="DF110" s="508">
        <f t="shared" si="174"/>
        <v>0</v>
      </c>
      <c r="DG110" s="508">
        <f t="shared" si="174"/>
        <v>0</v>
      </c>
      <c r="DH110" s="508">
        <f t="shared" si="174"/>
        <v>0</v>
      </c>
      <c r="DI110" s="508">
        <f t="shared" si="174"/>
        <v>0</v>
      </c>
      <c r="DJ110" s="508">
        <f t="shared" si="174"/>
        <v>0</v>
      </c>
      <c r="DK110" s="508">
        <f t="shared" si="174"/>
        <v>0</v>
      </c>
      <c r="DL110" s="508">
        <f t="shared" si="175"/>
        <v>0</v>
      </c>
      <c r="DM110" s="508">
        <f t="shared" si="175"/>
        <v>0</v>
      </c>
      <c r="DN110" s="508">
        <f t="shared" si="175"/>
        <v>0</v>
      </c>
      <c r="DO110" s="508">
        <f t="shared" si="175"/>
        <v>0</v>
      </c>
      <c r="DP110" s="508">
        <f t="shared" si="175"/>
        <v>0</v>
      </c>
      <c r="DQ110" s="508">
        <f t="shared" si="175"/>
        <v>0</v>
      </c>
      <c r="DR110" s="508">
        <f t="shared" si="175"/>
        <v>0</v>
      </c>
      <c r="DS110" s="508">
        <f t="shared" si="190"/>
        <v>0</v>
      </c>
      <c r="DT110" s="508">
        <f t="shared" si="190"/>
        <v>0</v>
      </c>
      <c r="DU110" s="508">
        <f t="shared" si="190"/>
        <v>0</v>
      </c>
      <c r="DV110" s="508">
        <f t="shared" si="190"/>
        <v>0</v>
      </c>
      <c r="DW110" s="508">
        <f t="shared" si="190"/>
        <v>0</v>
      </c>
      <c r="DX110" s="508">
        <f t="shared" si="176"/>
        <v>0</v>
      </c>
      <c r="DY110" s="508">
        <f t="shared" si="176"/>
        <v>0</v>
      </c>
      <c r="DZ110" s="511">
        <f t="shared" si="177"/>
        <v>0</v>
      </c>
      <c r="EA110" s="511">
        <f t="shared" si="177"/>
        <v>0</v>
      </c>
      <c r="EB110" s="511">
        <f t="shared" si="177"/>
        <v>0</v>
      </c>
      <c r="EC110" s="511">
        <f t="shared" si="177"/>
        <v>0</v>
      </c>
      <c r="ED110" s="511">
        <f t="shared" si="177"/>
        <v>0</v>
      </c>
      <c r="EE110" s="511">
        <f t="shared" si="177"/>
        <v>0</v>
      </c>
      <c r="EF110" s="511">
        <f t="shared" si="177"/>
        <v>0</v>
      </c>
      <c r="EG110" s="511">
        <f t="shared" si="178"/>
        <v>0</v>
      </c>
      <c r="EH110" s="511">
        <f t="shared" si="178"/>
        <v>0</v>
      </c>
      <c r="EI110" s="511">
        <f t="shared" si="178"/>
        <v>0</v>
      </c>
      <c r="EJ110" s="511">
        <f t="shared" si="178"/>
        <v>0</v>
      </c>
      <c r="EK110" s="511">
        <f t="shared" si="178"/>
        <v>0</v>
      </c>
      <c r="EL110" s="511">
        <f t="shared" si="178"/>
        <v>0</v>
      </c>
      <c r="EM110" s="511">
        <f t="shared" si="178"/>
        <v>0</v>
      </c>
      <c r="EN110" s="511">
        <f t="shared" si="179"/>
        <v>0</v>
      </c>
      <c r="EO110" s="511">
        <f t="shared" si="179"/>
        <v>0</v>
      </c>
      <c r="EP110" s="511">
        <f t="shared" si="179"/>
        <v>0</v>
      </c>
      <c r="EQ110" s="511">
        <f t="shared" si="179"/>
        <v>0</v>
      </c>
      <c r="ER110" s="511">
        <f t="shared" si="179"/>
        <v>0</v>
      </c>
      <c r="ES110" s="511">
        <f t="shared" si="179"/>
        <v>0</v>
      </c>
      <c r="ET110" s="511">
        <f t="shared" si="179"/>
        <v>0</v>
      </c>
      <c r="EU110" s="777">
        <f t="shared" si="191"/>
        <v>0</v>
      </c>
      <c r="EV110" s="728">
        <f t="shared" si="181"/>
        <v>0</v>
      </c>
      <c r="EW110" s="728">
        <f t="shared" si="182"/>
        <v>0</v>
      </c>
      <c r="EX110" s="728">
        <f t="shared" si="183"/>
        <v>0</v>
      </c>
      <c r="EY110" s="728">
        <f t="shared" si="184"/>
        <v>0</v>
      </c>
      <c r="EZ110" s="777">
        <f t="shared" si="185"/>
        <v>0</v>
      </c>
      <c r="FA110" s="777">
        <f t="shared" si="186"/>
        <v>0</v>
      </c>
      <c r="FB110" s="778">
        <f t="shared" si="187"/>
        <v>0</v>
      </c>
    </row>
    <row r="111" spans="1:158" s="10" customFormat="1" ht="12.75" hidden="1" customHeight="1">
      <c r="A111" s="662" t="s">
        <v>241</v>
      </c>
      <c r="B111" s="789" t="s">
        <v>2201</v>
      </c>
      <c r="C111" s="662" t="s">
        <v>2011</v>
      </c>
      <c r="D111" s="715" t="s">
        <v>2012</v>
      </c>
      <c r="E111" s="662" t="s">
        <v>331</v>
      </c>
      <c r="F111" s="704" t="s">
        <v>402</v>
      </c>
      <c r="G111" s="707">
        <f t="shared" si="155"/>
        <v>40</v>
      </c>
      <c r="H111" s="707">
        <f t="shared" si="155"/>
        <v>0</v>
      </c>
      <c r="I111" s="707">
        <f t="shared" si="155"/>
        <v>40</v>
      </c>
      <c r="J111" s="707">
        <f t="shared" si="155"/>
        <v>0</v>
      </c>
      <c r="K111" s="707">
        <f t="shared" si="155"/>
        <v>20</v>
      </c>
      <c r="L111" s="1263" t="str">
        <f t="shared" si="155"/>
        <v>ENERGY STAR Appliances Calculator - Accessed 05/19/2016</v>
      </c>
      <c r="M111" s="707" t="str">
        <f t="shared" si="155"/>
        <v>NA</v>
      </c>
      <c r="N111" s="707">
        <f t="shared" si="155"/>
        <v>20</v>
      </c>
      <c r="O111" s="707">
        <f t="shared" si="155"/>
        <v>0</v>
      </c>
      <c r="P111" s="707">
        <f t="shared" si="155"/>
        <v>0</v>
      </c>
      <c r="Q111" s="1022">
        <v>0</v>
      </c>
      <c r="R111" s="872">
        <v>0</v>
      </c>
      <c r="S111" s="1022">
        <v>5.3040649860855602</v>
      </c>
      <c r="T111" s="711" t="str">
        <f t="shared" si="188"/>
        <v>Potential Study Results: ENERGY STAR Appliances Calculator - Accessed 05/19/2016; Calculations using ENERGY STAR appliances calculator</v>
      </c>
      <c r="U111" s="712"/>
      <c r="V111" s="1124">
        <f t="shared" si="156"/>
        <v>0</v>
      </c>
      <c r="W111" s="790"/>
      <c r="X111" s="790"/>
      <c r="Y111" s="790"/>
      <c r="Z111" s="790"/>
      <c r="AA111" s="790"/>
      <c r="AB111" s="790"/>
      <c r="AC111" s="781">
        <f>AC21</f>
        <v>0</v>
      </c>
      <c r="AD111" s="781">
        <f t="shared" ref="AD111:AG111" si="193">AD21</f>
        <v>0</v>
      </c>
      <c r="AE111" s="781">
        <f t="shared" si="193"/>
        <v>0</v>
      </c>
      <c r="AF111" s="781">
        <f t="shared" si="193"/>
        <v>0</v>
      </c>
      <c r="AG111" s="781">
        <f t="shared" si="193"/>
        <v>0</v>
      </c>
      <c r="AH111" s="781">
        <f t="shared" si="158"/>
        <v>0</v>
      </c>
      <c r="AI111" s="781">
        <f t="shared" si="158"/>
        <v>0</v>
      </c>
      <c r="AJ111" s="711" t="s">
        <v>2013</v>
      </c>
      <c r="AK111" s="711" t="s">
        <v>375</v>
      </c>
      <c r="AL111" s="711" t="s">
        <v>376</v>
      </c>
      <c r="AM111" s="711" t="s">
        <v>2009</v>
      </c>
      <c r="AN111" s="711" t="s">
        <v>1</v>
      </c>
      <c r="AO111" s="711" t="s">
        <v>2010</v>
      </c>
      <c r="AP111" s="711" t="s">
        <v>2011</v>
      </c>
      <c r="AQ111" s="711" t="s">
        <v>2012</v>
      </c>
      <c r="AR111" s="715" t="s">
        <v>1943</v>
      </c>
      <c r="AS111" s="715" t="s">
        <v>1942</v>
      </c>
      <c r="AT111" s="715" t="s">
        <v>381</v>
      </c>
      <c r="AU111" s="711">
        <v>11</v>
      </c>
      <c r="AV111" s="711">
        <v>11</v>
      </c>
      <c r="AW111" s="711" t="s">
        <v>2007</v>
      </c>
      <c r="AX111" s="716">
        <v>1</v>
      </c>
      <c r="AY111" s="716">
        <v>0</v>
      </c>
      <c r="AZ111" s="716">
        <v>1</v>
      </c>
      <c r="BA111" s="499">
        <f t="shared" si="159"/>
        <v>40</v>
      </c>
      <c r="BB111" s="499">
        <f t="shared" si="160"/>
        <v>40</v>
      </c>
      <c r="BC111" s="499">
        <f t="shared" si="160"/>
        <v>40</v>
      </c>
      <c r="BD111" s="499">
        <f t="shared" si="160"/>
        <v>40</v>
      </c>
      <c r="BE111" s="499">
        <f t="shared" si="161"/>
        <v>40</v>
      </c>
      <c r="BF111" s="499">
        <f t="shared" si="161"/>
        <v>40</v>
      </c>
      <c r="BG111" s="499">
        <f t="shared" si="161"/>
        <v>40</v>
      </c>
      <c r="BH111" s="499">
        <f t="shared" si="162"/>
        <v>0</v>
      </c>
      <c r="BI111" s="499">
        <f t="shared" si="163"/>
        <v>0</v>
      </c>
      <c r="BJ111" s="499">
        <f t="shared" si="163"/>
        <v>0</v>
      </c>
      <c r="BK111" s="499">
        <f t="shared" si="163"/>
        <v>0</v>
      </c>
      <c r="BL111" s="499">
        <f t="shared" si="163"/>
        <v>0</v>
      </c>
      <c r="BM111" s="499">
        <f t="shared" si="163"/>
        <v>0</v>
      </c>
      <c r="BN111" s="499">
        <f t="shared" si="163"/>
        <v>0</v>
      </c>
      <c r="BO111" s="499">
        <f t="shared" si="164"/>
        <v>20</v>
      </c>
      <c r="BP111" s="499">
        <f t="shared" si="192"/>
        <v>20</v>
      </c>
      <c r="BQ111" s="499">
        <f t="shared" si="165"/>
        <v>20</v>
      </c>
      <c r="BR111" s="499">
        <f t="shared" si="165"/>
        <v>20</v>
      </c>
      <c r="BS111" s="499">
        <f t="shared" si="165"/>
        <v>20</v>
      </c>
      <c r="BT111" s="499">
        <f t="shared" si="165"/>
        <v>20</v>
      </c>
      <c r="BU111" s="499">
        <f t="shared" si="165"/>
        <v>20</v>
      </c>
      <c r="BV111" s="503">
        <f t="shared" si="189"/>
        <v>0</v>
      </c>
      <c r="BW111" s="503">
        <f t="shared" si="166"/>
        <v>0</v>
      </c>
      <c r="BX111" s="503">
        <f t="shared" si="166"/>
        <v>0</v>
      </c>
      <c r="BY111" s="503">
        <f t="shared" si="166"/>
        <v>0</v>
      </c>
      <c r="BZ111" s="503">
        <f t="shared" si="166"/>
        <v>0</v>
      </c>
      <c r="CA111" s="503">
        <f t="shared" si="166"/>
        <v>0</v>
      </c>
      <c r="CB111" s="503">
        <f t="shared" si="166"/>
        <v>0</v>
      </c>
      <c r="CC111" s="511">
        <f t="shared" si="167"/>
        <v>0</v>
      </c>
      <c r="CD111" s="511">
        <f t="shared" si="168"/>
        <v>0</v>
      </c>
      <c r="CE111" s="511">
        <f t="shared" si="168"/>
        <v>0</v>
      </c>
      <c r="CF111" s="511">
        <f t="shared" si="168"/>
        <v>0</v>
      </c>
      <c r="CG111" s="511">
        <f t="shared" si="168"/>
        <v>0</v>
      </c>
      <c r="CH111" s="511">
        <f t="shared" si="168"/>
        <v>0</v>
      </c>
      <c r="CI111" s="511">
        <f t="shared" si="168"/>
        <v>0</v>
      </c>
      <c r="CJ111" s="511">
        <f t="shared" si="169"/>
        <v>0</v>
      </c>
      <c r="CK111" s="511">
        <f t="shared" si="170"/>
        <v>0</v>
      </c>
      <c r="CL111" s="511">
        <f t="shared" si="170"/>
        <v>0</v>
      </c>
      <c r="CM111" s="511">
        <f t="shared" si="170"/>
        <v>0</v>
      </c>
      <c r="CN111" s="511">
        <f t="shared" si="170"/>
        <v>0</v>
      </c>
      <c r="CO111" s="511">
        <f t="shared" si="170"/>
        <v>0</v>
      </c>
      <c r="CP111" s="511">
        <f t="shared" si="170"/>
        <v>0</v>
      </c>
      <c r="CQ111" s="511">
        <f t="shared" si="171"/>
        <v>5.3040649860855602</v>
      </c>
      <c r="CR111" s="511">
        <f t="shared" si="172"/>
        <v>5.3040649860855602</v>
      </c>
      <c r="CS111" s="511">
        <f t="shared" si="172"/>
        <v>5.3040649860855602</v>
      </c>
      <c r="CT111" s="511">
        <f t="shared" si="172"/>
        <v>5.3040649860855602</v>
      </c>
      <c r="CU111" s="511">
        <f t="shared" si="172"/>
        <v>5.3040649860855602</v>
      </c>
      <c r="CV111" s="511">
        <f t="shared" si="172"/>
        <v>5.3040649860855602</v>
      </c>
      <c r="CW111" s="511">
        <f t="shared" si="172"/>
        <v>5.3040649860855602</v>
      </c>
      <c r="CX111" s="508">
        <f t="shared" si="173"/>
        <v>0</v>
      </c>
      <c r="CY111" s="508">
        <f t="shared" si="173"/>
        <v>0</v>
      </c>
      <c r="CZ111" s="508">
        <f t="shared" si="173"/>
        <v>0</v>
      </c>
      <c r="DA111" s="508">
        <f t="shared" si="173"/>
        <v>0</v>
      </c>
      <c r="DB111" s="508">
        <f t="shared" si="173"/>
        <v>0</v>
      </c>
      <c r="DC111" s="508">
        <f t="shared" si="173"/>
        <v>0</v>
      </c>
      <c r="DD111" s="508">
        <f t="shared" si="173"/>
        <v>0</v>
      </c>
      <c r="DE111" s="508">
        <f t="shared" si="174"/>
        <v>0</v>
      </c>
      <c r="DF111" s="508">
        <f t="shared" si="174"/>
        <v>0</v>
      </c>
      <c r="DG111" s="508">
        <f t="shared" si="174"/>
        <v>0</v>
      </c>
      <c r="DH111" s="508">
        <f t="shared" si="174"/>
        <v>0</v>
      </c>
      <c r="DI111" s="508">
        <f t="shared" si="174"/>
        <v>0</v>
      </c>
      <c r="DJ111" s="508">
        <f t="shared" si="174"/>
        <v>0</v>
      </c>
      <c r="DK111" s="508">
        <f t="shared" si="174"/>
        <v>0</v>
      </c>
      <c r="DL111" s="508">
        <f t="shared" si="175"/>
        <v>0</v>
      </c>
      <c r="DM111" s="508">
        <f t="shared" si="175"/>
        <v>0</v>
      </c>
      <c r="DN111" s="508">
        <f t="shared" si="175"/>
        <v>0</v>
      </c>
      <c r="DO111" s="508">
        <f t="shared" si="175"/>
        <v>0</v>
      </c>
      <c r="DP111" s="508">
        <f t="shared" si="175"/>
        <v>0</v>
      </c>
      <c r="DQ111" s="508">
        <f t="shared" si="175"/>
        <v>0</v>
      </c>
      <c r="DR111" s="508">
        <f t="shared" si="175"/>
        <v>0</v>
      </c>
      <c r="DS111" s="508">
        <f t="shared" si="190"/>
        <v>0</v>
      </c>
      <c r="DT111" s="508">
        <f t="shared" si="190"/>
        <v>0</v>
      </c>
      <c r="DU111" s="508">
        <f t="shared" si="190"/>
        <v>0</v>
      </c>
      <c r="DV111" s="508">
        <f t="shared" si="190"/>
        <v>0</v>
      </c>
      <c r="DW111" s="508">
        <f t="shared" si="190"/>
        <v>0</v>
      </c>
      <c r="DX111" s="508">
        <f t="shared" si="176"/>
        <v>0</v>
      </c>
      <c r="DY111" s="508">
        <f t="shared" si="176"/>
        <v>0</v>
      </c>
      <c r="DZ111" s="511">
        <f t="shared" si="177"/>
        <v>0</v>
      </c>
      <c r="EA111" s="511">
        <f t="shared" si="177"/>
        <v>0</v>
      </c>
      <c r="EB111" s="511">
        <f t="shared" si="177"/>
        <v>0</v>
      </c>
      <c r="EC111" s="511">
        <f t="shared" si="177"/>
        <v>0</v>
      </c>
      <c r="ED111" s="511">
        <f t="shared" si="177"/>
        <v>0</v>
      </c>
      <c r="EE111" s="511">
        <f t="shared" si="177"/>
        <v>0</v>
      </c>
      <c r="EF111" s="511">
        <f t="shared" si="177"/>
        <v>0</v>
      </c>
      <c r="EG111" s="511">
        <f t="shared" si="178"/>
        <v>0</v>
      </c>
      <c r="EH111" s="511">
        <f t="shared" si="178"/>
        <v>0</v>
      </c>
      <c r="EI111" s="511">
        <f t="shared" si="178"/>
        <v>0</v>
      </c>
      <c r="EJ111" s="511">
        <f t="shared" si="178"/>
        <v>0</v>
      </c>
      <c r="EK111" s="511">
        <f t="shared" si="178"/>
        <v>0</v>
      </c>
      <c r="EL111" s="511">
        <f t="shared" si="178"/>
        <v>0</v>
      </c>
      <c r="EM111" s="511">
        <f t="shared" si="178"/>
        <v>0</v>
      </c>
      <c r="EN111" s="511">
        <f t="shared" si="179"/>
        <v>0</v>
      </c>
      <c r="EO111" s="511">
        <f t="shared" si="179"/>
        <v>0</v>
      </c>
      <c r="EP111" s="511">
        <f t="shared" si="179"/>
        <v>0</v>
      </c>
      <c r="EQ111" s="511">
        <f t="shared" si="179"/>
        <v>0</v>
      </c>
      <c r="ER111" s="511">
        <f t="shared" si="179"/>
        <v>0</v>
      </c>
      <c r="ES111" s="511">
        <f t="shared" si="179"/>
        <v>0</v>
      </c>
      <c r="ET111" s="511">
        <f t="shared" si="179"/>
        <v>0</v>
      </c>
      <c r="EU111" s="777">
        <f t="shared" si="191"/>
        <v>0</v>
      </c>
      <c r="EV111" s="728">
        <f t="shared" si="181"/>
        <v>0</v>
      </c>
      <c r="EW111" s="728">
        <f t="shared" si="182"/>
        <v>0</v>
      </c>
      <c r="EX111" s="728">
        <f t="shared" si="183"/>
        <v>0</v>
      </c>
      <c r="EY111" s="728">
        <f t="shared" si="184"/>
        <v>0</v>
      </c>
      <c r="EZ111" s="777">
        <f t="shared" si="185"/>
        <v>0</v>
      </c>
      <c r="FA111" s="777">
        <f t="shared" si="186"/>
        <v>0</v>
      </c>
      <c r="FB111" s="778">
        <f t="shared" si="187"/>
        <v>0</v>
      </c>
    </row>
    <row r="112" spans="1:158" s="10" customFormat="1" ht="12.75" hidden="1" customHeight="1">
      <c r="A112" s="662" t="s">
        <v>242</v>
      </c>
      <c r="B112" s="789" t="s">
        <v>2202</v>
      </c>
      <c r="C112" s="662" t="s">
        <v>2015</v>
      </c>
      <c r="D112" s="715" t="s">
        <v>2016</v>
      </c>
      <c r="E112" s="662" t="s">
        <v>331</v>
      </c>
      <c r="F112" s="704" t="s">
        <v>402</v>
      </c>
      <c r="G112" s="707">
        <f t="shared" ref="G112:P127" si="194">G22</f>
        <v>6.61</v>
      </c>
      <c r="H112" s="707">
        <f t="shared" si="194"/>
        <v>0</v>
      </c>
      <c r="I112" s="707">
        <f t="shared" si="194"/>
        <v>6.61</v>
      </c>
      <c r="J112" s="707">
        <f t="shared" si="194"/>
        <v>0</v>
      </c>
      <c r="K112" s="707">
        <f t="shared" si="194"/>
        <v>3.3050000000000002</v>
      </c>
      <c r="L112" s="1263" t="str">
        <f t="shared" si="194"/>
        <v>As referenced in SWE 2014 potential study, Regional Technical Forum Freezers v2.2 (Regional Technical Forum (RTF): Accessed from &lt;http://www.nwcouncil.org/energy/rtf/measures/Default.asp&gt;)</v>
      </c>
      <c r="M112" s="707" t="str">
        <f t="shared" si="194"/>
        <v>NA</v>
      </c>
      <c r="N112" s="707">
        <f t="shared" si="194"/>
        <v>15</v>
      </c>
      <c r="O112" s="707">
        <f t="shared" si="194"/>
        <v>0</v>
      </c>
      <c r="P112" s="707">
        <f t="shared" si="194"/>
        <v>0</v>
      </c>
      <c r="Q112" s="1022">
        <v>35.050566067415673</v>
      </c>
      <c r="R112" s="872">
        <v>4.9026853562064753E-3</v>
      </c>
      <c r="S112" s="1022">
        <v>0</v>
      </c>
      <c r="T112" s="711" t="str">
        <f t="shared" si="188"/>
        <v>Potential Study Results: Below Standard Freezer: Calculated based on maximum allowed kWh/yr abiding by the outdated 1997 Federal Standards and using the average volume found in the ENERGY STAR Appliance Calculator, accessed 9/8/2015: http://www.energystar.gov/sites/default/files/a</v>
      </c>
      <c r="U112" s="712"/>
      <c r="V112" s="1124">
        <f t="shared" si="156"/>
        <v>8.3313496786479408E-4</v>
      </c>
      <c r="W112" s="790"/>
      <c r="X112" s="790"/>
      <c r="Y112" s="790"/>
      <c r="Z112" s="790"/>
      <c r="AA112" s="790"/>
      <c r="AB112" s="790"/>
      <c r="AC112" s="781">
        <f t="shared" ref="AC112:AG115" si="195">AC22*0.5</f>
        <v>0</v>
      </c>
      <c r="AD112" s="781">
        <f t="shared" si="195"/>
        <v>0</v>
      </c>
      <c r="AE112" s="781">
        <f t="shared" si="195"/>
        <v>0</v>
      </c>
      <c r="AF112" s="781">
        <f t="shared" si="195"/>
        <v>0</v>
      </c>
      <c r="AG112" s="781">
        <f t="shared" si="195"/>
        <v>0</v>
      </c>
      <c r="AH112" s="781">
        <f t="shared" ref="AH112:AI127" si="196">AG112</f>
        <v>0</v>
      </c>
      <c r="AI112" s="781">
        <f t="shared" si="196"/>
        <v>0</v>
      </c>
      <c r="AJ112" s="711" t="s">
        <v>384</v>
      </c>
      <c r="AK112" s="711" t="s">
        <v>375</v>
      </c>
      <c r="AL112" s="711" t="s">
        <v>376</v>
      </c>
      <c r="AM112" s="711" t="s">
        <v>864</v>
      </c>
      <c r="AN112" s="711" t="s">
        <v>1</v>
      </c>
      <c r="AO112" s="711" t="s">
        <v>2019</v>
      </c>
      <c r="AP112" s="711" t="s">
        <v>1702</v>
      </c>
      <c r="AQ112" s="711" t="s">
        <v>339</v>
      </c>
      <c r="AR112" s="715" t="s">
        <v>865</v>
      </c>
      <c r="AS112" s="715"/>
      <c r="AT112" s="715" t="s">
        <v>381</v>
      </c>
      <c r="AU112" s="711">
        <v>12</v>
      </c>
      <c r="AV112" s="711">
        <v>12</v>
      </c>
      <c r="AW112" s="711" t="s">
        <v>2020</v>
      </c>
      <c r="AX112" s="716">
        <v>1</v>
      </c>
      <c r="AY112" s="716">
        <v>1</v>
      </c>
      <c r="AZ112" s="716">
        <v>0</v>
      </c>
      <c r="BA112" s="499">
        <f t="shared" si="159"/>
        <v>6.61</v>
      </c>
      <c r="BB112" s="499">
        <f t="shared" ref="BB112:BD127" si="197">BA112</f>
        <v>6.61</v>
      </c>
      <c r="BC112" s="499">
        <f t="shared" si="197"/>
        <v>6.61</v>
      </c>
      <c r="BD112" s="499">
        <f t="shared" si="197"/>
        <v>6.61</v>
      </c>
      <c r="BE112" s="499">
        <f t="shared" si="161"/>
        <v>6.61</v>
      </c>
      <c r="BF112" s="499">
        <f t="shared" si="161"/>
        <v>6.61</v>
      </c>
      <c r="BG112" s="499">
        <f t="shared" si="161"/>
        <v>6.61</v>
      </c>
      <c r="BH112" s="499">
        <f t="shared" si="162"/>
        <v>0</v>
      </c>
      <c r="BI112" s="499">
        <f t="shared" ref="BI112:BN127" si="198">BH112</f>
        <v>0</v>
      </c>
      <c r="BJ112" s="499">
        <f t="shared" si="198"/>
        <v>0</v>
      </c>
      <c r="BK112" s="499">
        <f t="shared" si="198"/>
        <v>0</v>
      </c>
      <c r="BL112" s="499">
        <f t="shared" si="198"/>
        <v>0</v>
      </c>
      <c r="BM112" s="499">
        <f t="shared" si="198"/>
        <v>0</v>
      </c>
      <c r="BN112" s="499">
        <f t="shared" si="198"/>
        <v>0</v>
      </c>
      <c r="BO112" s="499">
        <f t="shared" si="164"/>
        <v>15</v>
      </c>
      <c r="BP112" s="499">
        <f t="shared" si="192"/>
        <v>15</v>
      </c>
      <c r="BQ112" s="499">
        <f t="shared" si="192"/>
        <v>15</v>
      </c>
      <c r="BR112" s="499">
        <f t="shared" si="192"/>
        <v>15</v>
      </c>
      <c r="BS112" s="499">
        <f t="shared" si="192"/>
        <v>15</v>
      </c>
      <c r="BT112" s="499">
        <f t="shared" si="192"/>
        <v>15</v>
      </c>
      <c r="BU112" s="499">
        <f t="shared" si="192"/>
        <v>15</v>
      </c>
      <c r="BV112" s="503">
        <f t="shared" si="189"/>
        <v>0</v>
      </c>
      <c r="BW112" s="503">
        <f t="shared" si="166"/>
        <v>0</v>
      </c>
      <c r="BX112" s="503">
        <f t="shared" si="166"/>
        <v>0</v>
      </c>
      <c r="BY112" s="503">
        <f t="shared" si="166"/>
        <v>0</v>
      </c>
      <c r="BZ112" s="503">
        <f t="shared" si="166"/>
        <v>0</v>
      </c>
      <c r="CA112" s="503">
        <f t="shared" si="166"/>
        <v>0</v>
      </c>
      <c r="CB112" s="503">
        <f t="shared" si="166"/>
        <v>0</v>
      </c>
      <c r="CC112" s="511">
        <f t="shared" si="167"/>
        <v>35.050566067415673</v>
      </c>
      <c r="CD112" s="511">
        <f t="shared" ref="CD112:CI127" si="199">CC112</f>
        <v>35.050566067415673</v>
      </c>
      <c r="CE112" s="511">
        <f t="shared" si="199"/>
        <v>35.050566067415673</v>
      </c>
      <c r="CF112" s="511">
        <f t="shared" si="199"/>
        <v>35.050566067415673</v>
      </c>
      <c r="CG112" s="511">
        <f t="shared" si="199"/>
        <v>35.050566067415673</v>
      </c>
      <c r="CH112" s="511">
        <f t="shared" si="199"/>
        <v>35.050566067415673</v>
      </c>
      <c r="CI112" s="511">
        <f t="shared" si="199"/>
        <v>35.050566067415673</v>
      </c>
      <c r="CJ112" s="511">
        <f t="shared" si="169"/>
        <v>4.9026853562064753E-3</v>
      </c>
      <c r="CK112" s="511">
        <f t="shared" ref="CK112:CP127" si="200">CJ112</f>
        <v>4.9026853562064753E-3</v>
      </c>
      <c r="CL112" s="511">
        <f t="shared" si="200"/>
        <v>4.9026853562064753E-3</v>
      </c>
      <c r="CM112" s="511">
        <f t="shared" si="200"/>
        <v>4.9026853562064753E-3</v>
      </c>
      <c r="CN112" s="511">
        <f t="shared" si="200"/>
        <v>4.9026853562064753E-3</v>
      </c>
      <c r="CO112" s="511">
        <f t="shared" si="200"/>
        <v>4.9026853562064753E-3</v>
      </c>
      <c r="CP112" s="511">
        <f t="shared" si="200"/>
        <v>4.9026853562064753E-3</v>
      </c>
      <c r="CQ112" s="511">
        <f t="shared" si="171"/>
        <v>0</v>
      </c>
      <c r="CR112" s="511">
        <f t="shared" ref="CR112:CW127" si="201">CQ112</f>
        <v>0</v>
      </c>
      <c r="CS112" s="511">
        <f t="shared" si="201"/>
        <v>0</v>
      </c>
      <c r="CT112" s="511">
        <f t="shared" si="201"/>
        <v>0</v>
      </c>
      <c r="CU112" s="511">
        <f t="shared" si="201"/>
        <v>0</v>
      </c>
      <c r="CV112" s="511">
        <f t="shared" si="201"/>
        <v>0</v>
      </c>
      <c r="CW112" s="511">
        <f t="shared" si="201"/>
        <v>0</v>
      </c>
      <c r="CX112" s="508">
        <f t="shared" si="173"/>
        <v>0</v>
      </c>
      <c r="CY112" s="508">
        <f t="shared" si="173"/>
        <v>0</v>
      </c>
      <c r="CZ112" s="508">
        <f t="shared" si="173"/>
        <v>0</v>
      </c>
      <c r="DA112" s="508">
        <f t="shared" si="173"/>
        <v>0</v>
      </c>
      <c r="DB112" s="508">
        <f t="shared" si="173"/>
        <v>0</v>
      </c>
      <c r="DC112" s="508">
        <f t="shared" si="173"/>
        <v>0</v>
      </c>
      <c r="DD112" s="508">
        <f t="shared" si="173"/>
        <v>0</v>
      </c>
      <c r="DE112" s="508">
        <f t="shared" si="174"/>
        <v>0</v>
      </c>
      <c r="DF112" s="508">
        <f t="shared" si="174"/>
        <v>0</v>
      </c>
      <c r="DG112" s="508">
        <f t="shared" si="174"/>
        <v>0</v>
      </c>
      <c r="DH112" s="508">
        <f t="shared" si="174"/>
        <v>0</v>
      </c>
      <c r="DI112" s="508">
        <f t="shared" si="174"/>
        <v>0</v>
      </c>
      <c r="DJ112" s="508">
        <f t="shared" si="174"/>
        <v>0</v>
      </c>
      <c r="DK112" s="508">
        <f t="shared" si="174"/>
        <v>0</v>
      </c>
      <c r="DL112" s="508">
        <f t="shared" si="175"/>
        <v>0</v>
      </c>
      <c r="DM112" s="508">
        <f t="shared" si="175"/>
        <v>0</v>
      </c>
      <c r="DN112" s="508">
        <f t="shared" si="175"/>
        <v>0</v>
      </c>
      <c r="DO112" s="508">
        <f t="shared" si="175"/>
        <v>0</v>
      </c>
      <c r="DP112" s="508">
        <f t="shared" si="175"/>
        <v>0</v>
      </c>
      <c r="DQ112" s="508">
        <f t="shared" si="175"/>
        <v>0</v>
      </c>
      <c r="DR112" s="508">
        <f t="shared" si="175"/>
        <v>0</v>
      </c>
      <c r="DS112" s="508">
        <f t="shared" si="190"/>
        <v>0</v>
      </c>
      <c r="DT112" s="508">
        <f t="shared" si="190"/>
        <v>0</v>
      </c>
      <c r="DU112" s="508">
        <f t="shared" si="190"/>
        <v>0</v>
      </c>
      <c r="DV112" s="508">
        <f t="shared" si="190"/>
        <v>0</v>
      </c>
      <c r="DW112" s="508">
        <f t="shared" si="190"/>
        <v>0</v>
      </c>
      <c r="DX112" s="508">
        <f t="shared" si="190"/>
        <v>0</v>
      </c>
      <c r="DY112" s="508">
        <f t="shared" si="190"/>
        <v>0</v>
      </c>
      <c r="DZ112" s="511">
        <f t="shared" si="177"/>
        <v>0</v>
      </c>
      <c r="EA112" s="511">
        <f t="shared" si="177"/>
        <v>0</v>
      </c>
      <c r="EB112" s="511">
        <f t="shared" si="177"/>
        <v>0</v>
      </c>
      <c r="EC112" s="511">
        <f t="shared" si="177"/>
        <v>0</v>
      </c>
      <c r="ED112" s="511">
        <f t="shared" si="177"/>
        <v>0</v>
      </c>
      <c r="EE112" s="511">
        <f t="shared" si="177"/>
        <v>0</v>
      </c>
      <c r="EF112" s="511">
        <f t="shared" si="177"/>
        <v>0</v>
      </c>
      <c r="EG112" s="511">
        <f t="shared" si="178"/>
        <v>0</v>
      </c>
      <c r="EH112" s="511">
        <f t="shared" si="178"/>
        <v>0</v>
      </c>
      <c r="EI112" s="511">
        <f t="shared" si="178"/>
        <v>0</v>
      </c>
      <c r="EJ112" s="511">
        <f t="shared" si="178"/>
        <v>0</v>
      </c>
      <c r="EK112" s="511">
        <f t="shared" si="178"/>
        <v>0</v>
      </c>
      <c r="EL112" s="511">
        <f t="shared" si="178"/>
        <v>0</v>
      </c>
      <c r="EM112" s="511">
        <f t="shared" si="178"/>
        <v>0</v>
      </c>
      <c r="EN112" s="511">
        <f t="shared" si="179"/>
        <v>0</v>
      </c>
      <c r="EO112" s="511">
        <f t="shared" si="179"/>
        <v>0</v>
      </c>
      <c r="EP112" s="511">
        <f t="shared" si="179"/>
        <v>0</v>
      </c>
      <c r="EQ112" s="511">
        <f t="shared" si="179"/>
        <v>0</v>
      </c>
      <c r="ER112" s="511">
        <f t="shared" si="179"/>
        <v>0</v>
      </c>
      <c r="ES112" s="511">
        <f t="shared" si="179"/>
        <v>0</v>
      </c>
      <c r="ET112" s="511">
        <f t="shared" si="179"/>
        <v>0</v>
      </c>
      <c r="EU112" s="777">
        <f t="shared" si="191"/>
        <v>0</v>
      </c>
      <c r="EV112" s="728">
        <f t="shared" si="181"/>
        <v>0</v>
      </c>
      <c r="EW112" s="728">
        <f t="shared" si="182"/>
        <v>0</v>
      </c>
      <c r="EX112" s="728">
        <f t="shared" si="183"/>
        <v>0</v>
      </c>
      <c r="EY112" s="728">
        <f t="shared" si="184"/>
        <v>0</v>
      </c>
      <c r="EZ112" s="777">
        <f t="shared" si="185"/>
        <v>0</v>
      </c>
      <c r="FA112" s="777">
        <f t="shared" si="186"/>
        <v>0</v>
      </c>
      <c r="FB112" s="778">
        <f t="shared" si="187"/>
        <v>0</v>
      </c>
    </row>
    <row r="113" spans="1:158" s="10" customFormat="1" ht="12.75" hidden="1" customHeight="1">
      <c r="A113" s="662" t="s">
        <v>243</v>
      </c>
      <c r="B113" s="789" t="s">
        <v>2203</v>
      </c>
      <c r="C113" s="662" t="s">
        <v>2022</v>
      </c>
      <c r="D113" s="715" t="s">
        <v>2023</v>
      </c>
      <c r="E113" s="662" t="s">
        <v>331</v>
      </c>
      <c r="F113" s="704" t="s">
        <v>402</v>
      </c>
      <c r="G113" s="707">
        <f t="shared" si="194"/>
        <v>56.837899999999998</v>
      </c>
      <c r="H113" s="707">
        <f t="shared" si="194"/>
        <v>0</v>
      </c>
      <c r="I113" s="707">
        <f t="shared" si="194"/>
        <v>56.837899999999998</v>
      </c>
      <c r="J113" s="707">
        <f t="shared" si="194"/>
        <v>0</v>
      </c>
      <c r="K113" s="707">
        <f t="shared" si="194"/>
        <v>28.418949999999999</v>
      </c>
      <c r="L113" s="1263" t="str">
        <f t="shared" si="194"/>
        <v>Ratio-adjusted based on magnitude of kWh/yr savings; Incremental Cost of CEE Tier 2 = Incremental Cost of ENERGY STAR x {(?kWh/yr of CEE Tier 2) / (?kWh/yr of Federal Standard)}</v>
      </c>
      <c r="M113" s="707" t="str">
        <f t="shared" si="194"/>
        <v>NA</v>
      </c>
      <c r="N113" s="707">
        <f t="shared" si="194"/>
        <v>30</v>
      </c>
      <c r="O113" s="707">
        <f t="shared" si="194"/>
        <v>0</v>
      </c>
      <c r="P113" s="707">
        <f t="shared" si="194"/>
        <v>0</v>
      </c>
      <c r="Q113" s="1022">
        <v>47.708726850976518</v>
      </c>
      <c r="R113" s="872">
        <v>5.8131345957194358E-3</v>
      </c>
      <c r="S113" s="1022">
        <v>0</v>
      </c>
      <c r="T113" s="711" t="str">
        <f t="shared" si="188"/>
        <v>Potential Study Results: Engineering calculation based on ENERGY STAR Appliance Calculator and CEE Efficiency Specfications</v>
      </c>
      <c r="U113" s="712"/>
      <c r="V113" s="1124">
        <f t="shared" si="156"/>
        <v>1.5948583670554631E-2</v>
      </c>
      <c r="W113" s="790"/>
      <c r="X113" s="790"/>
      <c r="Y113" s="790"/>
      <c r="Z113" s="790"/>
      <c r="AA113" s="790"/>
      <c r="AB113" s="790"/>
      <c r="AC113" s="781">
        <f t="shared" si="195"/>
        <v>20</v>
      </c>
      <c r="AD113" s="781">
        <f t="shared" si="195"/>
        <v>20</v>
      </c>
      <c r="AE113" s="781">
        <f t="shared" si="195"/>
        <v>20</v>
      </c>
      <c r="AF113" s="781">
        <f t="shared" si="195"/>
        <v>20</v>
      </c>
      <c r="AG113" s="781">
        <f t="shared" si="195"/>
        <v>20</v>
      </c>
      <c r="AH113" s="781">
        <f t="shared" si="196"/>
        <v>20</v>
      </c>
      <c r="AI113" s="781">
        <f t="shared" si="196"/>
        <v>20</v>
      </c>
      <c r="AJ113" s="711" t="s">
        <v>384</v>
      </c>
      <c r="AK113" s="711" t="s">
        <v>375</v>
      </c>
      <c r="AL113" s="711" t="s">
        <v>376</v>
      </c>
      <c r="AM113" s="711" t="s">
        <v>858</v>
      </c>
      <c r="AN113" s="711" t="s">
        <v>1</v>
      </c>
      <c r="AO113" s="711" t="s">
        <v>2026</v>
      </c>
      <c r="AP113" s="711" t="s">
        <v>1702</v>
      </c>
      <c r="AQ113" s="711" t="s">
        <v>339</v>
      </c>
      <c r="AR113" s="715" t="s">
        <v>859</v>
      </c>
      <c r="AS113" s="715"/>
      <c r="AT113" s="715" t="s">
        <v>381</v>
      </c>
      <c r="AU113" s="711">
        <v>12</v>
      </c>
      <c r="AV113" s="711">
        <v>12</v>
      </c>
      <c r="AW113" s="711" t="s">
        <v>2020</v>
      </c>
      <c r="AX113" s="716">
        <v>1</v>
      </c>
      <c r="AY113" s="716">
        <v>1</v>
      </c>
      <c r="AZ113" s="716">
        <v>0</v>
      </c>
      <c r="BA113" s="499">
        <f t="shared" si="159"/>
        <v>56.837899999999998</v>
      </c>
      <c r="BB113" s="499">
        <f t="shared" si="197"/>
        <v>56.837899999999998</v>
      </c>
      <c r="BC113" s="499">
        <f t="shared" si="197"/>
        <v>56.837899999999998</v>
      </c>
      <c r="BD113" s="499">
        <f t="shared" si="197"/>
        <v>56.837899999999998</v>
      </c>
      <c r="BE113" s="499">
        <f t="shared" si="161"/>
        <v>56.837899999999998</v>
      </c>
      <c r="BF113" s="499">
        <f t="shared" si="161"/>
        <v>56.837899999999998</v>
      </c>
      <c r="BG113" s="499">
        <f t="shared" si="161"/>
        <v>56.837899999999998</v>
      </c>
      <c r="BH113" s="499">
        <f t="shared" si="162"/>
        <v>0</v>
      </c>
      <c r="BI113" s="499">
        <f t="shared" si="198"/>
        <v>0</v>
      </c>
      <c r="BJ113" s="499">
        <f t="shared" si="198"/>
        <v>0</v>
      </c>
      <c r="BK113" s="499">
        <f t="shared" si="198"/>
        <v>0</v>
      </c>
      <c r="BL113" s="499">
        <f t="shared" si="198"/>
        <v>0</v>
      </c>
      <c r="BM113" s="499">
        <f t="shared" si="198"/>
        <v>0</v>
      </c>
      <c r="BN113" s="499">
        <f t="shared" si="198"/>
        <v>0</v>
      </c>
      <c r="BO113" s="499">
        <f t="shared" si="164"/>
        <v>30</v>
      </c>
      <c r="BP113" s="499">
        <f t="shared" si="192"/>
        <v>30</v>
      </c>
      <c r="BQ113" s="499">
        <f t="shared" si="192"/>
        <v>30</v>
      </c>
      <c r="BR113" s="499">
        <f t="shared" si="192"/>
        <v>30</v>
      </c>
      <c r="BS113" s="499">
        <f t="shared" si="192"/>
        <v>30</v>
      </c>
      <c r="BT113" s="499">
        <f t="shared" si="192"/>
        <v>30</v>
      </c>
      <c r="BU113" s="499">
        <f t="shared" si="192"/>
        <v>30</v>
      </c>
      <c r="BV113" s="503">
        <f t="shared" si="189"/>
        <v>0</v>
      </c>
      <c r="BW113" s="503">
        <f t="shared" si="189"/>
        <v>0</v>
      </c>
      <c r="BX113" s="503">
        <f t="shared" si="189"/>
        <v>0</v>
      </c>
      <c r="BY113" s="503">
        <f t="shared" si="189"/>
        <v>0</v>
      </c>
      <c r="BZ113" s="503">
        <f t="shared" si="189"/>
        <v>0</v>
      </c>
      <c r="CA113" s="503">
        <f t="shared" si="189"/>
        <v>0</v>
      </c>
      <c r="CB113" s="503">
        <f t="shared" si="189"/>
        <v>0</v>
      </c>
      <c r="CC113" s="511">
        <f t="shared" si="167"/>
        <v>47.708726850976518</v>
      </c>
      <c r="CD113" s="511">
        <f t="shared" si="199"/>
        <v>47.708726850976518</v>
      </c>
      <c r="CE113" s="511">
        <f t="shared" si="199"/>
        <v>47.708726850976518</v>
      </c>
      <c r="CF113" s="511">
        <f t="shared" si="199"/>
        <v>47.708726850976518</v>
      </c>
      <c r="CG113" s="511">
        <f t="shared" si="199"/>
        <v>47.708726850976518</v>
      </c>
      <c r="CH113" s="511">
        <f t="shared" si="199"/>
        <v>47.708726850976518</v>
      </c>
      <c r="CI113" s="511">
        <f t="shared" si="199"/>
        <v>47.708726850976518</v>
      </c>
      <c r="CJ113" s="511">
        <f t="shared" si="169"/>
        <v>5.8131345957194358E-3</v>
      </c>
      <c r="CK113" s="511">
        <f t="shared" si="200"/>
        <v>5.8131345957194358E-3</v>
      </c>
      <c r="CL113" s="511">
        <f t="shared" si="200"/>
        <v>5.8131345957194358E-3</v>
      </c>
      <c r="CM113" s="511">
        <f t="shared" si="200"/>
        <v>5.8131345957194358E-3</v>
      </c>
      <c r="CN113" s="511">
        <f t="shared" si="200"/>
        <v>5.8131345957194358E-3</v>
      </c>
      <c r="CO113" s="511">
        <f t="shared" si="200"/>
        <v>5.8131345957194358E-3</v>
      </c>
      <c r="CP113" s="511">
        <f t="shared" si="200"/>
        <v>5.8131345957194358E-3</v>
      </c>
      <c r="CQ113" s="511">
        <f t="shared" si="171"/>
        <v>0</v>
      </c>
      <c r="CR113" s="511">
        <f t="shared" si="201"/>
        <v>0</v>
      </c>
      <c r="CS113" s="511">
        <f t="shared" si="201"/>
        <v>0</v>
      </c>
      <c r="CT113" s="511">
        <f t="shared" si="201"/>
        <v>0</v>
      </c>
      <c r="CU113" s="511">
        <f t="shared" si="201"/>
        <v>0</v>
      </c>
      <c r="CV113" s="511">
        <f t="shared" si="201"/>
        <v>0</v>
      </c>
      <c r="CW113" s="511">
        <f t="shared" si="201"/>
        <v>0</v>
      </c>
      <c r="CX113" s="508">
        <f t="shared" si="173"/>
        <v>1136.758</v>
      </c>
      <c r="CY113" s="508">
        <f t="shared" si="173"/>
        <v>1136.758</v>
      </c>
      <c r="CZ113" s="508">
        <f t="shared" si="173"/>
        <v>1136.758</v>
      </c>
      <c r="DA113" s="508">
        <f t="shared" si="173"/>
        <v>1136.758</v>
      </c>
      <c r="DB113" s="508">
        <f t="shared" si="173"/>
        <v>1136.758</v>
      </c>
      <c r="DC113" s="508">
        <f t="shared" si="173"/>
        <v>1136.758</v>
      </c>
      <c r="DD113" s="508">
        <f t="shared" si="173"/>
        <v>1136.758</v>
      </c>
      <c r="DE113" s="508">
        <f t="shared" si="174"/>
        <v>0</v>
      </c>
      <c r="DF113" s="508">
        <f t="shared" si="174"/>
        <v>0</v>
      </c>
      <c r="DG113" s="508">
        <f t="shared" si="174"/>
        <v>0</v>
      </c>
      <c r="DH113" s="508">
        <f t="shared" si="174"/>
        <v>0</v>
      </c>
      <c r="DI113" s="508">
        <f t="shared" si="174"/>
        <v>0</v>
      </c>
      <c r="DJ113" s="508">
        <f t="shared" si="174"/>
        <v>0</v>
      </c>
      <c r="DK113" s="508">
        <f t="shared" si="174"/>
        <v>0</v>
      </c>
      <c r="DL113" s="508">
        <f t="shared" si="175"/>
        <v>600</v>
      </c>
      <c r="DM113" s="508">
        <f t="shared" si="175"/>
        <v>600</v>
      </c>
      <c r="DN113" s="508">
        <f t="shared" si="175"/>
        <v>600</v>
      </c>
      <c r="DO113" s="508">
        <f t="shared" si="175"/>
        <v>600</v>
      </c>
      <c r="DP113" s="508">
        <f t="shared" si="175"/>
        <v>600</v>
      </c>
      <c r="DQ113" s="508">
        <f t="shared" si="175"/>
        <v>600</v>
      </c>
      <c r="DR113" s="508">
        <f t="shared" si="175"/>
        <v>600</v>
      </c>
      <c r="DS113" s="508">
        <f t="shared" si="190"/>
        <v>0</v>
      </c>
      <c r="DT113" s="508">
        <f t="shared" si="190"/>
        <v>0</v>
      </c>
      <c r="DU113" s="508">
        <f t="shared" si="190"/>
        <v>0</v>
      </c>
      <c r="DV113" s="508">
        <f t="shared" si="190"/>
        <v>0</v>
      </c>
      <c r="DW113" s="508">
        <f t="shared" si="190"/>
        <v>0</v>
      </c>
      <c r="DX113" s="508">
        <f t="shared" si="190"/>
        <v>0</v>
      </c>
      <c r="DY113" s="508">
        <f t="shared" si="190"/>
        <v>0</v>
      </c>
      <c r="DZ113" s="511">
        <f t="shared" si="177"/>
        <v>954.17453701953036</v>
      </c>
      <c r="EA113" s="511">
        <f t="shared" si="177"/>
        <v>954.17453701953036</v>
      </c>
      <c r="EB113" s="511">
        <f t="shared" si="177"/>
        <v>954.17453701953036</v>
      </c>
      <c r="EC113" s="511">
        <f t="shared" si="177"/>
        <v>954.17453701953036</v>
      </c>
      <c r="ED113" s="511">
        <f t="shared" si="177"/>
        <v>954.17453701953036</v>
      </c>
      <c r="EE113" s="511">
        <f t="shared" si="177"/>
        <v>954.17453701953036</v>
      </c>
      <c r="EF113" s="511">
        <f t="shared" si="177"/>
        <v>954.17453701953036</v>
      </c>
      <c r="EG113" s="511">
        <f t="shared" si="178"/>
        <v>0.11626269191438872</v>
      </c>
      <c r="EH113" s="511">
        <f t="shared" si="178"/>
        <v>0.11626269191438872</v>
      </c>
      <c r="EI113" s="511">
        <f t="shared" si="178"/>
        <v>0.11626269191438872</v>
      </c>
      <c r="EJ113" s="511">
        <f t="shared" si="178"/>
        <v>0.11626269191438872</v>
      </c>
      <c r="EK113" s="511">
        <f t="shared" si="178"/>
        <v>0.11626269191438872</v>
      </c>
      <c r="EL113" s="511">
        <f t="shared" si="178"/>
        <v>0.11626269191438872</v>
      </c>
      <c r="EM113" s="511">
        <f t="shared" si="178"/>
        <v>0.11626269191438872</v>
      </c>
      <c r="EN113" s="511">
        <f t="shared" si="179"/>
        <v>0</v>
      </c>
      <c r="EO113" s="511">
        <f t="shared" si="179"/>
        <v>0</v>
      </c>
      <c r="EP113" s="511">
        <f t="shared" si="179"/>
        <v>0</v>
      </c>
      <c r="EQ113" s="511">
        <f t="shared" si="179"/>
        <v>0</v>
      </c>
      <c r="ER113" s="511">
        <f t="shared" si="179"/>
        <v>0</v>
      </c>
      <c r="ES113" s="511">
        <f t="shared" si="179"/>
        <v>0</v>
      </c>
      <c r="ET113" s="511">
        <f t="shared" si="179"/>
        <v>0</v>
      </c>
      <c r="EU113" s="777">
        <f t="shared" si="191"/>
        <v>140</v>
      </c>
      <c r="EV113" s="728">
        <f t="shared" si="181"/>
        <v>7957.3059999999996</v>
      </c>
      <c r="EW113" s="728">
        <f t="shared" si="182"/>
        <v>0</v>
      </c>
      <c r="EX113" s="728">
        <f t="shared" si="183"/>
        <v>4200</v>
      </c>
      <c r="EY113" s="728">
        <f t="shared" si="184"/>
        <v>0</v>
      </c>
      <c r="EZ113" s="777">
        <f t="shared" si="185"/>
        <v>6679.2217591367125</v>
      </c>
      <c r="FA113" s="777">
        <f t="shared" si="186"/>
        <v>0.8138388434007211</v>
      </c>
      <c r="FB113" s="778">
        <f t="shared" si="187"/>
        <v>0</v>
      </c>
    </row>
    <row r="114" spans="1:158" s="10" customFormat="1" ht="12.75" hidden="1" customHeight="1">
      <c r="A114" s="662" t="s">
        <v>244</v>
      </c>
      <c r="B114" s="789" t="s">
        <v>2204</v>
      </c>
      <c r="C114" s="662" t="s">
        <v>2028</v>
      </c>
      <c r="D114" s="715" t="s">
        <v>2029</v>
      </c>
      <c r="E114" s="662" t="s">
        <v>331</v>
      </c>
      <c r="F114" s="704" t="s">
        <v>402</v>
      </c>
      <c r="G114" s="707">
        <f t="shared" si="194"/>
        <v>28.011622424253943</v>
      </c>
      <c r="H114" s="707">
        <f t="shared" si="194"/>
        <v>0</v>
      </c>
      <c r="I114" s="707">
        <f t="shared" si="194"/>
        <v>28.011622424253943</v>
      </c>
      <c r="J114" s="707">
        <f t="shared" si="194"/>
        <v>0</v>
      </c>
      <c r="K114" s="707">
        <f t="shared" si="194"/>
        <v>14.005811212126972</v>
      </c>
      <c r="L114" s="1263" t="str">
        <f t="shared" si="194"/>
        <v>Based on online research from various retailers: Best Buy, Lowes, Home Depot and Sears. Reviewed all possible models found on these retailers websites. Mapped model numbers to ENERGY STAR qualified product list. Engineering calculation to interpolate costs</v>
      </c>
      <c r="M114" s="707" t="str">
        <f t="shared" si="194"/>
        <v>NA</v>
      </c>
      <c r="N114" s="707">
        <f t="shared" si="194"/>
        <v>15</v>
      </c>
      <c r="O114" s="707">
        <f t="shared" si="194"/>
        <v>0</v>
      </c>
      <c r="P114" s="707">
        <f t="shared" si="194"/>
        <v>0</v>
      </c>
      <c r="Q114" s="1022">
        <v>150.5125729221453</v>
      </c>
      <c r="R114" s="872">
        <v>0</v>
      </c>
      <c r="S114" s="1022">
        <v>0</v>
      </c>
      <c r="T114" s="711" t="str">
        <f t="shared" si="188"/>
        <v>Potential Study Results: Calculations based on ENERGY STAR Appliances Calculator. Accessed 06.07.2016</v>
      </c>
      <c r="U114" s="712"/>
      <c r="V114" s="1124">
        <f t="shared" si="156"/>
        <v>1.0830754582242324E-2</v>
      </c>
      <c r="W114" s="790"/>
      <c r="X114" s="790"/>
      <c r="Y114" s="790"/>
      <c r="Z114" s="790"/>
      <c r="AA114" s="790"/>
      <c r="AB114" s="790"/>
      <c r="AC114" s="781">
        <f t="shared" si="195"/>
        <v>15</v>
      </c>
      <c r="AD114" s="781">
        <f t="shared" si="195"/>
        <v>15</v>
      </c>
      <c r="AE114" s="781">
        <f t="shared" si="195"/>
        <v>15</v>
      </c>
      <c r="AF114" s="781">
        <f t="shared" si="195"/>
        <v>15</v>
      </c>
      <c r="AG114" s="781">
        <f t="shared" si="195"/>
        <v>15</v>
      </c>
      <c r="AH114" s="781">
        <f t="shared" si="196"/>
        <v>15</v>
      </c>
      <c r="AI114" s="781">
        <f t="shared" si="196"/>
        <v>15</v>
      </c>
      <c r="AJ114" s="711" t="s">
        <v>384</v>
      </c>
      <c r="AK114" s="711" t="s">
        <v>375</v>
      </c>
      <c r="AL114" s="711" t="s">
        <v>376</v>
      </c>
      <c r="AM114" s="711" t="s">
        <v>1981</v>
      </c>
      <c r="AN114" s="711" t="s">
        <v>1</v>
      </c>
      <c r="AO114" s="711" t="s">
        <v>2032</v>
      </c>
      <c r="AP114" s="711" t="s">
        <v>2028</v>
      </c>
      <c r="AQ114" s="711" t="s">
        <v>2029</v>
      </c>
      <c r="AR114" s="715" t="s">
        <v>943</v>
      </c>
      <c r="AS114" s="715" t="s">
        <v>1941</v>
      </c>
      <c r="AT114" s="715" t="s">
        <v>381</v>
      </c>
      <c r="AU114" s="711">
        <v>11</v>
      </c>
      <c r="AV114" s="912">
        <v>11</v>
      </c>
      <c r="AW114" s="711" t="s">
        <v>2033</v>
      </c>
      <c r="AX114" s="716">
        <v>1</v>
      </c>
      <c r="AY114" s="716">
        <v>1</v>
      </c>
      <c r="AZ114" s="716">
        <v>0</v>
      </c>
      <c r="BA114" s="499">
        <f t="shared" si="159"/>
        <v>28.011622424253943</v>
      </c>
      <c r="BB114" s="499">
        <f t="shared" si="197"/>
        <v>28.011622424253943</v>
      </c>
      <c r="BC114" s="499">
        <f t="shared" si="197"/>
        <v>28.011622424253943</v>
      </c>
      <c r="BD114" s="499">
        <f t="shared" si="197"/>
        <v>28.011622424253943</v>
      </c>
      <c r="BE114" s="499">
        <f t="shared" si="161"/>
        <v>28.011622424253943</v>
      </c>
      <c r="BF114" s="499">
        <f t="shared" si="161"/>
        <v>28.011622424253943</v>
      </c>
      <c r="BG114" s="499">
        <f t="shared" si="161"/>
        <v>28.011622424253943</v>
      </c>
      <c r="BH114" s="499">
        <f t="shared" si="162"/>
        <v>0</v>
      </c>
      <c r="BI114" s="499">
        <f t="shared" si="198"/>
        <v>0</v>
      </c>
      <c r="BJ114" s="499">
        <f t="shared" si="198"/>
        <v>0</v>
      </c>
      <c r="BK114" s="499">
        <f t="shared" si="198"/>
        <v>0</v>
      </c>
      <c r="BL114" s="499">
        <f t="shared" si="198"/>
        <v>0</v>
      </c>
      <c r="BM114" s="499">
        <f t="shared" si="198"/>
        <v>0</v>
      </c>
      <c r="BN114" s="499">
        <f t="shared" si="198"/>
        <v>0</v>
      </c>
      <c r="BO114" s="499">
        <f t="shared" si="164"/>
        <v>15</v>
      </c>
      <c r="BP114" s="499">
        <f t="shared" si="192"/>
        <v>15</v>
      </c>
      <c r="BQ114" s="499">
        <f t="shared" si="192"/>
        <v>15</v>
      </c>
      <c r="BR114" s="499">
        <f t="shared" si="192"/>
        <v>15</v>
      </c>
      <c r="BS114" s="499">
        <f t="shared" si="192"/>
        <v>15</v>
      </c>
      <c r="BT114" s="499">
        <f t="shared" si="192"/>
        <v>15</v>
      </c>
      <c r="BU114" s="499">
        <f t="shared" si="192"/>
        <v>15</v>
      </c>
      <c r="BV114" s="503">
        <f t="shared" si="189"/>
        <v>0</v>
      </c>
      <c r="BW114" s="503">
        <f t="shared" si="189"/>
        <v>0</v>
      </c>
      <c r="BX114" s="503">
        <f t="shared" si="189"/>
        <v>0</v>
      </c>
      <c r="BY114" s="503">
        <f t="shared" si="189"/>
        <v>0</v>
      </c>
      <c r="BZ114" s="503">
        <f t="shared" si="189"/>
        <v>0</v>
      </c>
      <c r="CA114" s="503">
        <f t="shared" si="189"/>
        <v>0</v>
      </c>
      <c r="CB114" s="503">
        <f t="shared" si="189"/>
        <v>0</v>
      </c>
      <c r="CC114" s="511">
        <f t="shared" si="167"/>
        <v>150.5125729221453</v>
      </c>
      <c r="CD114" s="511">
        <f t="shared" si="199"/>
        <v>150.5125729221453</v>
      </c>
      <c r="CE114" s="511">
        <f t="shared" si="199"/>
        <v>150.5125729221453</v>
      </c>
      <c r="CF114" s="511">
        <f t="shared" si="199"/>
        <v>150.5125729221453</v>
      </c>
      <c r="CG114" s="511">
        <f t="shared" si="199"/>
        <v>150.5125729221453</v>
      </c>
      <c r="CH114" s="511">
        <f t="shared" si="199"/>
        <v>150.5125729221453</v>
      </c>
      <c r="CI114" s="511">
        <f t="shared" si="199"/>
        <v>150.5125729221453</v>
      </c>
      <c r="CJ114" s="511">
        <f t="shared" si="169"/>
        <v>0</v>
      </c>
      <c r="CK114" s="511">
        <f t="shared" si="200"/>
        <v>0</v>
      </c>
      <c r="CL114" s="511">
        <f t="shared" si="200"/>
        <v>0</v>
      </c>
      <c r="CM114" s="511">
        <f t="shared" si="200"/>
        <v>0</v>
      </c>
      <c r="CN114" s="511">
        <f t="shared" si="200"/>
        <v>0</v>
      </c>
      <c r="CO114" s="511">
        <f t="shared" si="200"/>
        <v>0</v>
      </c>
      <c r="CP114" s="511">
        <f t="shared" si="200"/>
        <v>0</v>
      </c>
      <c r="CQ114" s="511">
        <f t="shared" si="171"/>
        <v>0</v>
      </c>
      <c r="CR114" s="511">
        <f t="shared" si="201"/>
        <v>0</v>
      </c>
      <c r="CS114" s="511">
        <f t="shared" si="201"/>
        <v>0</v>
      </c>
      <c r="CT114" s="511">
        <f t="shared" si="201"/>
        <v>0</v>
      </c>
      <c r="CU114" s="511">
        <f t="shared" si="201"/>
        <v>0</v>
      </c>
      <c r="CV114" s="511">
        <f t="shared" si="201"/>
        <v>0</v>
      </c>
      <c r="CW114" s="511">
        <f t="shared" si="201"/>
        <v>0</v>
      </c>
      <c r="CX114" s="508">
        <f t="shared" si="173"/>
        <v>420.17433636380918</v>
      </c>
      <c r="CY114" s="508">
        <f t="shared" si="173"/>
        <v>420.17433636380918</v>
      </c>
      <c r="CZ114" s="508">
        <f t="shared" si="173"/>
        <v>420.17433636380918</v>
      </c>
      <c r="DA114" s="508">
        <f t="shared" si="173"/>
        <v>420.17433636380918</v>
      </c>
      <c r="DB114" s="508">
        <f t="shared" si="173"/>
        <v>420.17433636380918</v>
      </c>
      <c r="DC114" s="508">
        <f t="shared" si="173"/>
        <v>420.17433636380918</v>
      </c>
      <c r="DD114" s="508">
        <f t="shared" si="173"/>
        <v>420.17433636380918</v>
      </c>
      <c r="DE114" s="508">
        <f t="shared" si="174"/>
        <v>0</v>
      </c>
      <c r="DF114" s="508">
        <f t="shared" si="174"/>
        <v>0</v>
      </c>
      <c r="DG114" s="508">
        <f t="shared" si="174"/>
        <v>0</v>
      </c>
      <c r="DH114" s="508">
        <f t="shared" si="174"/>
        <v>0</v>
      </c>
      <c r="DI114" s="508">
        <f t="shared" si="174"/>
        <v>0</v>
      </c>
      <c r="DJ114" s="508">
        <f t="shared" si="174"/>
        <v>0</v>
      </c>
      <c r="DK114" s="508">
        <f t="shared" si="174"/>
        <v>0</v>
      </c>
      <c r="DL114" s="508">
        <f t="shared" si="175"/>
        <v>225</v>
      </c>
      <c r="DM114" s="508">
        <f t="shared" si="175"/>
        <v>225</v>
      </c>
      <c r="DN114" s="508">
        <f t="shared" si="175"/>
        <v>225</v>
      </c>
      <c r="DO114" s="508">
        <f t="shared" si="175"/>
        <v>225</v>
      </c>
      <c r="DP114" s="508">
        <f t="shared" si="175"/>
        <v>225</v>
      </c>
      <c r="DQ114" s="508">
        <f t="shared" si="175"/>
        <v>225</v>
      </c>
      <c r="DR114" s="508">
        <f t="shared" si="175"/>
        <v>225</v>
      </c>
      <c r="DS114" s="508">
        <f t="shared" si="190"/>
        <v>0</v>
      </c>
      <c r="DT114" s="508">
        <f t="shared" si="190"/>
        <v>0</v>
      </c>
      <c r="DU114" s="508">
        <f t="shared" si="190"/>
        <v>0</v>
      </c>
      <c r="DV114" s="508">
        <f t="shared" si="190"/>
        <v>0</v>
      </c>
      <c r="DW114" s="508">
        <f t="shared" si="190"/>
        <v>0</v>
      </c>
      <c r="DX114" s="508">
        <f t="shared" si="190"/>
        <v>0</v>
      </c>
      <c r="DY114" s="508">
        <f t="shared" si="190"/>
        <v>0</v>
      </c>
      <c r="DZ114" s="511">
        <f t="shared" si="177"/>
        <v>2257.6885938321793</v>
      </c>
      <c r="EA114" s="511">
        <f t="shared" si="177"/>
        <v>2257.6885938321793</v>
      </c>
      <c r="EB114" s="511">
        <f t="shared" si="177"/>
        <v>2257.6885938321793</v>
      </c>
      <c r="EC114" s="511">
        <f t="shared" si="177"/>
        <v>2257.6885938321793</v>
      </c>
      <c r="ED114" s="511">
        <f t="shared" si="177"/>
        <v>2257.6885938321793</v>
      </c>
      <c r="EE114" s="511">
        <f t="shared" si="177"/>
        <v>2257.6885938321793</v>
      </c>
      <c r="EF114" s="511">
        <f t="shared" si="177"/>
        <v>2257.6885938321793</v>
      </c>
      <c r="EG114" s="511">
        <f t="shared" si="178"/>
        <v>0</v>
      </c>
      <c r="EH114" s="511">
        <f t="shared" si="178"/>
        <v>0</v>
      </c>
      <c r="EI114" s="511">
        <f t="shared" si="178"/>
        <v>0</v>
      </c>
      <c r="EJ114" s="511">
        <f t="shared" si="178"/>
        <v>0</v>
      </c>
      <c r="EK114" s="511">
        <f t="shared" si="178"/>
        <v>0</v>
      </c>
      <c r="EL114" s="511">
        <f t="shared" si="178"/>
        <v>0</v>
      </c>
      <c r="EM114" s="511">
        <f t="shared" si="178"/>
        <v>0</v>
      </c>
      <c r="EN114" s="511">
        <f t="shared" si="179"/>
        <v>0</v>
      </c>
      <c r="EO114" s="511">
        <f t="shared" si="179"/>
        <v>0</v>
      </c>
      <c r="EP114" s="511">
        <f t="shared" si="179"/>
        <v>0</v>
      </c>
      <c r="EQ114" s="511">
        <f t="shared" si="179"/>
        <v>0</v>
      </c>
      <c r="ER114" s="511">
        <f t="shared" si="179"/>
        <v>0</v>
      </c>
      <c r="ES114" s="511">
        <f t="shared" si="179"/>
        <v>0</v>
      </c>
      <c r="ET114" s="511">
        <f t="shared" si="179"/>
        <v>0</v>
      </c>
      <c r="EU114" s="777">
        <f t="shared" si="191"/>
        <v>105</v>
      </c>
      <c r="EV114" s="728">
        <f t="shared" si="181"/>
        <v>2941.2203545466646</v>
      </c>
      <c r="EW114" s="728">
        <f t="shared" si="182"/>
        <v>0</v>
      </c>
      <c r="EX114" s="728">
        <f t="shared" si="183"/>
        <v>1575</v>
      </c>
      <c r="EY114" s="728">
        <f t="shared" si="184"/>
        <v>0</v>
      </c>
      <c r="EZ114" s="777">
        <f t="shared" si="185"/>
        <v>15803.820156825255</v>
      </c>
      <c r="FA114" s="777">
        <f t="shared" si="186"/>
        <v>0</v>
      </c>
      <c r="FB114" s="778">
        <f t="shared" si="187"/>
        <v>0</v>
      </c>
    </row>
    <row r="115" spans="1:158" s="10" customFormat="1" ht="12.75" hidden="1" customHeight="1">
      <c r="A115" s="662" t="s">
        <v>245</v>
      </c>
      <c r="B115" s="789" t="s">
        <v>2205</v>
      </c>
      <c r="C115" s="662" t="s">
        <v>2035</v>
      </c>
      <c r="D115" s="715" t="s">
        <v>2036</v>
      </c>
      <c r="E115" s="662" t="s">
        <v>331</v>
      </c>
      <c r="F115" s="704" t="s">
        <v>402</v>
      </c>
      <c r="G115" s="707">
        <f t="shared" si="194"/>
        <v>95.810292993796438</v>
      </c>
      <c r="H115" s="707">
        <f t="shared" si="194"/>
        <v>0</v>
      </c>
      <c r="I115" s="707">
        <f t="shared" si="194"/>
        <v>95.810292993796438</v>
      </c>
      <c r="J115" s="707">
        <f t="shared" si="194"/>
        <v>0</v>
      </c>
      <c r="K115" s="707">
        <f t="shared" si="194"/>
        <v>47.905146496898219</v>
      </c>
      <c r="L115" s="1263" t="str">
        <f t="shared" si="194"/>
        <v>Based on online research from various retailers: Best Buy, Lowes, Home Depot and Sears. Reviewed all possible models found on these retailers websites. Mapped model numbers to ENERGY STAR qualified product list. Engineering calculation to interpolate costs</v>
      </c>
      <c r="M115" s="707" t="str">
        <f t="shared" si="194"/>
        <v>NA</v>
      </c>
      <c r="N115" s="707">
        <f t="shared" si="194"/>
        <v>50</v>
      </c>
      <c r="O115" s="707">
        <f t="shared" si="194"/>
        <v>0</v>
      </c>
      <c r="P115" s="707">
        <f t="shared" si="194"/>
        <v>0</v>
      </c>
      <c r="Q115" s="1022">
        <v>396.56513073049956</v>
      </c>
      <c r="R115" s="872">
        <v>0</v>
      </c>
      <c r="S115" s="1022">
        <v>0</v>
      </c>
      <c r="T115" s="711" t="str">
        <f t="shared" si="188"/>
        <v>Potential Study Results: Calculations based on ENERGY STAR Appliances Calculator. Accessed 06.07.2016</v>
      </c>
      <c r="U115" s="712"/>
      <c r="V115" s="1124">
        <f t="shared" si="156"/>
        <v>0</v>
      </c>
      <c r="W115" s="790"/>
      <c r="X115" s="790"/>
      <c r="Y115" s="790"/>
      <c r="Z115" s="790"/>
      <c r="AA115" s="790"/>
      <c r="AB115" s="790"/>
      <c r="AC115" s="781">
        <f t="shared" si="195"/>
        <v>0</v>
      </c>
      <c r="AD115" s="781">
        <f t="shared" si="195"/>
        <v>0</v>
      </c>
      <c r="AE115" s="781">
        <f t="shared" si="195"/>
        <v>0</v>
      </c>
      <c r="AF115" s="781">
        <f t="shared" si="195"/>
        <v>0</v>
      </c>
      <c r="AG115" s="781">
        <f t="shared" si="195"/>
        <v>0</v>
      </c>
      <c r="AH115" s="781">
        <f t="shared" si="196"/>
        <v>0</v>
      </c>
      <c r="AI115" s="781">
        <f t="shared" si="196"/>
        <v>0</v>
      </c>
      <c r="AJ115" s="711" t="s">
        <v>384</v>
      </c>
      <c r="AK115" s="711" t="s">
        <v>375</v>
      </c>
      <c r="AL115" s="711" t="s">
        <v>376</v>
      </c>
      <c r="AM115" s="711" t="s">
        <v>1981</v>
      </c>
      <c r="AN115" s="711" t="s">
        <v>1</v>
      </c>
      <c r="AO115" s="711" t="s">
        <v>2037</v>
      </c>
      <c r="AP115" s="711" t="s">
        <v>2035</v>
      </c>
      <c r="AQ115" s="711" t="s">
        <v>2036</v>
      </c>
      <c r="AR115" s="715" t="s">
        <v>943</v>
      </c>
      <c r="AS115" s="715" t="s">
        <v>1941</v>
      </c>
      <c r="AT115" s="715" t="s">
        <v>381</v>
      </c>
      <c r="AU115" s="711">
        <v>11</v>
      </c>
      <c r="AV115" s="912">
        <v>11</v>
      </c>
      <c r="AW115" s="711" t="s">
        <v>2033</v>
      </c>
      <c r="AX115" s="716">
        <v>1</v>
      </c>
      <c r="AY115" s="716">
        <v>1</v>
      </c>
      <c r="AZ115" s="716">
        <v>0</v>
      </c>
      <c r="BA115" s="499">
        <f t="shared" si="159"/>
        <v>95.810292993796438</v>
      </c>
      <c r="BB115" s="499">
        <f t="shared" si="197"/>
        <v>95.810292993796438</v>
      </c>
      <c r="BC115" s="499">
        <f t="shared" si="197"/>
        <v>95.810292993796438</v>
      </c>
      <c r="BD115" s="499">
        <f t="shared" si="197"/>
        <v>95.810292993796438</v>
      </c>
      <c r="BE115" s="499">
        <f t="shared" si="161"/>
        <v>95.810292993796438</v>
      </c>
      <c r="BF115" s="499">
        <f t="shared" si="161"/>
        <v>95.810292993796438</v>
      </c>
      <c r="BG115" s="499">
        <f t="shared" si="161"/>
        <v>95.810292993796438</v>
      </c>
      <c r="BH115" s="499">
        <f t="shared" si="162"/>
        <v>0</v>
      </c>
      <c r="BI115" s="499">
        <f t="shared" si="198"/>
        <v>0</v>
      </c>
      <c r="BJ115" s="499">
        <f t="shared" si="198"/>
        <v>0</v>
      </c>
      <c r="BK115" s="499">
        <f t="shared" si="198"/>
        <v>0</v>
      </c>
      <c r="BL115" s="499">
        <f t="shared" si="198"/>
        <v>0</v>
      </c>
      <c r="BM115" s="499">
        <f t="shared" si="198"/>
        <v>0</v>
      </c>
      <c r="BN115" s="499">
        <f t="shared" si="198"/>
        <v>0</v>
      </c>
      <c r="BO115" s="499">
        <f t="shared" si="164"/>
        <v>50</v>
      </c>
      <c r="BP115" s="499">
        <f t="shared" ref="BP115:BU130" si="202">BO115</f>
        <v>50</v>
      </c>
      <c r="BQ115" s="499">
        <f t="shared" si="202"/>
        <v>50</v>
      </c>
      <c r="BR115" s="499">
        <f t="shared" si="202"/>
        <v>50</v>
      </c>
      <c r="BS115" s="499">
        <f t="shared" si="202"/>
        <v>50</v>
      </c>
      <c r="BT115" s="499">
        <f t="shared" si="202"/>
        <v>50</v>
      </c>
      <c r="BU115" s="499">
        <f t="shared" si="202"/>
        <v>50</v>
      </c>
      <c r="BV115" s="503">
        <f t="shared" si="189"/>
        <v>0</v>
      </c>
      <c r="BW115" s="503">
        <f t="shared" si="189"/>
        <v>0</v>
      </c>
      <c r="BX115" s="503">
        <f t="shared" si="189"/>
        <v>0</v>
      </c>
      <c r="BY115" s="503">
        <f t="shared" si="189"/>
        <v>0</v>
      </c>
      <c r="BZ115" s="503">
        <f t="shared" si="189"/>
        <v>0</v>
      </c>
      <c r="CA115" s="503">
        <f t="shared" si="189"/>
        <v>0</v>
      </c>
      <c r="CB115" s="503">
        <f t="shared" si="189"/>
        <v>0</v>
      </c>
      <c r="CC115" s="511">
        <f t="shared" si="167"/>
        <v>396.56513073049956</v>
      </c>
      <c r="CD115" s="511">
        <f t="shared" si="199"/>
        <v>396.56513073049956</v>
      </c>
      <c r="CE115" s="511">
        <f t="shared" si="199"/>
        <v>396.56513073049956</v>
      </c>
      <c r="CF115" s="511">
        <f t="shared" si="199"/>
        <v>396.56513073049956</v>
      </c>
      <c r="CG115" s="511">
        <f t="shared" si="199"/>
        <v>396.56513073049956</v>
      </c>
      <c r="CH115" s="511">
        <f t="shared" si="199"/>
        <v>396.56513073049956</v>
      </c>
      <c r="CI115" s="511">
        <f t="shared" si="199"/>
        <v>396.56513073049956</v>
      </c>
      <c r="CJ115" s="511">
        <f t="shared" si="169"/>
        <v>0</v>
      </c>
      <c r="CK115" s="511">
        <f t="shared" si="200"/>
        <v>0</v>
      </c>
      <c r="CL115" s="511">
        <f t="shared" si="200"/>
        <v>0</v>
      </c>
      <c r="CM115" s="511">
        <f t="shared" si="200"/>
        <v>0</v>
      </c>
      <c r="CN115" s="511">
        <f t="shared" si="200"/>
        <v>0</v>
      </c>
      <c r="CO115" s="511">
        <f t="shared" si="200"/>
        <v>0</v>
      </c>
      <c r="CP115" s="511">
        <f t="shared" si="200"/>
        <v>0</v>
      </c>
      <c r="CQ115" s="511">
        <f t="shared" si="171"/>
        <v>0</v>
      </c>
      <c r="CR115" s="511">
        <f t="shared" si="201"/>
        <v>0</v>
      </c>
      <c r="CS115" s="511">
        <f t="shared" si="201"/>
        <v>0</v>
      </c>
      <c r="CT115" s="511">
        <f t="shared" si="201"/>
        <v>0</v>
      </c>
      <c r="CU115" s="511">
        <f t="shared" si="201"/>
        <v>0</v>
      </c>
      <c r="CV115" s="511">
        <f t="shared" si="201"/>
        <v>0</v>
      </c>
      <c r="CW115" s="511">
        <f t="shared" si="201"/>
        <v>0</v>
      </c>
      <c r="CX115" s="508">
        <f t="shared" si="173"/>
        <v>0</v>
      </c>
      <c r="CY115" s="508">
        <f t="shared" si="173"/>
        <v>0</v>
      </c>
      <c r="CZ115" s="508">
        <f t="shared" si="173"/>
        <v>0</v>
      </c>
      <c r="DA115" s="508">
        <f t="shared" si="173"/>
        <v>0</v>
      </c>
      <c r="DB115" s="508">
        <f t="shared" si="173"/>
        <v>0</v>
      </c>
      <c r="DC115" s="508">
        <f t="shared" si="173"/>
        <v>0</v>
      </c>
      <c r="DD115" s="508">
        <f t="shared" si="173"/>
        <v>0</v>
      </c>
      <c r="DE115" s="508">
        <f t="shared" si="174"/>
        <v>0</v>
      </c>
      <c r="DF115" s="508">
        <f t="shared" si="174"/>
        <v>0</v>
      </c>
      <c r="DG115" s="508">
        <f t="shared" si="174"/>
        <v>0</v>
      </c>
      <c r="DH115" s="508">
        <f t="shared" si="174"/>
        <v>0</v>
      </c>
      <c r="DI115" s="508">
        <f t="shared" si="174"/>
        <v>0</v>
      </c>
      <c r="DJ115" s="508">
        <f t="shared" si="174"/>
        <v>0</v>
      </c>
      <c r="DK115" s="508">
        <f t="shared" si="174"/>
        <v>0</v>
      </c>
      <c r="DL115" s="508">
        <f t="shared" si="175"/>
        <v>0</v>
      </c>
      <c r="DM115" s="508">
        <f t="shared" si="175"/>
        <v>0</v>
      </c>
      <c r="DN115" s="508">
        <f t="shared" si="175"/>
        <v>0</v>
      </c>
      <c r="DO115" s="508">
        <f t="shared" si="175"/>
        <v>0</v>
      </c>
      <c r="DP115" s="508">
        <f t="shared" si="175"/>
        <v>0</v>
      </c>
      <c r="DQ115" s="508">
        <f t="shared" si="175"/>
        <v>0</v>
      </c>
      <c r="DR115" s="508">
        <f t="shared" si="175"/>
        <v>0</v>
      </c>
      <c r="DS115" s="508">
        <f t="shared" si="190"/>
        <v>0</v>
      </c>
      <c r="DT115" s="508">
        <f t="shared" si="190"/>
        <v>0</v>
      </c>
      <c r="DU115" s="508">
        <f t="shared" si="190"/>
        <v>0</v>
      </c>
      <c r="DV115" s="508">
        <f t="shared" si="190"/>
        <v>0</v>
      </c>
      <c r="DW115" s="508">
        <f t="shared" si="190"/>
        <v>0</v>
      </c>
      <c r="DX115" s="508">
        <f t="shared" si="190"/>
        <v>0</v>
      </c>
      <c r="DY115" s="508">
        <f t="shared" si="190"/>
        <v>0</v>
      </c>
      <c r="DZ115" s="511">
        <f t="shared" si="177"/>
        <v>0</v>
      </c>
      <c r="EA115" s="511">
        <f t="shared" si="177"/>
        <v>0</v>
      </c>
      <c r="EB115" s="511">
        <f t="shared" si="177"/>
        <v>0</v>
      </c>
      <c r="EC115" s="511">
        <f t="shared" si="177"/>
        <v>0</v>
      </c>
      <c r="ED115" s="511">
        <f t="shared" si="177"/>
        <v>0</v>
      </c>
      <c r="EE115" s="511">
        <f t="shared" si="177"/>
        <v>0</v>
      </c>
      <c r="EF115" s="511">
        <f t="shared" si="177"/>
        <v>0</v>
      </c>
      <c r="EG115" s="511">
        <f t="shared" si="178"/>
        <v>0</v>
      </c>
      <c r="EH115" s="511">
        <f t="shared" si="178"/>
        <v>0</v>
      </c>
      <c r="EI115" s="511">
        <f t="shared" si="178"/>
        <v>0</v>
      </c>
      <c r="EJ115" s="511">
        <f t="shared" si="178"/>
        <v>0</v>
      </c>
      <c r="EK115" s="511">
        <f t="shared" si="178"/>
        <v>0</v>
      </c>
      <c r="EL115" s="511">
        <f t="shared" si="178"/>
        <v>0</v>
      </c>
      <c r="EM115" s="511">
        <f t="shared" si="178"/>
        <v>0</v>
      </c>
      <c r="EN115" s="511">
        <f t="shared" si="179"/>
        <v>0</v>
      </c>
      <c r="EO115" s="511">
        <f t="shared" si="179"/>
        <v>0</v>
      </c>
      <c r="EP115" s="511">
        <f t="shared" si="179"/>
        <v>0</v>
      </c>
      <c r="EQ115" s="511">
        <f t="shared" si="179"/>
        <v>0</v>
      </c>
      <c r="ER115" s="511">
        <f t="shared" si="179"/>
        <v>0</v>
      </c>
      <c r="ES115" s="511">
        <f t="shared" si="179"/>
        <v>0</v>
      </c>
      <c r="ET115" s="511">
        <f t="shared" si="179"/>
        <v>0</v>
      </c>
      <c r="EU115" s="777">
        <f t="shared" si="191"/>
        <v>0</v>
      </c>
      <c r="EV115" s="728">
        <f t="shared" si="181"/>
        <v>0</v>
      </c>
      <c r="EW115" s="728">
        <f t="shared" si="182"/>
        <v>0</v>
      </c>
      <c r="EX115" s="728">
        <f t="shared" si="183"/>
        <v>0</v>
      </c>
      <c r="EY115" s="728">
        <f t="shared" si="184"/>
        <v>0</v>
      </c>
      <c r="EZ115" s="777">
        <f t="shared" si="185"/>
        <v>0</v>
      </c>
      <c r="FA115" s="777">
        <f t="shared" si="186"/>
        <v>0</v>
      </c>
      <c r="FB115" s="778">
        <f t="shared" si="187"/>
        <v>0</v>
      </c>
    </row>
    <row r="116" spans="1:158" s="10" customFormat="1" ht="12.75" hidden="1" customHeight="1">
      <c r="A116" s="662" t="s">
        <v>246</v>
      </c>
      <c r="B116" s="789" t="s">
        <v>2204</v>
      </c>
      <c r="C116" s="662" t="s">
        <v>2038</v>
      </c>
      <c r="D116" s="715" t="s">
        <v>2039</v>
      </c>
      <c r="E116" s="662" t="s">
        <v>331</v>
      </c>
      <c r="F116" s="704" t="s">
        <v>402</v>
      </c>
      <c r="G116" s="707">
        <f t="shared" si="194"/>
        <v>28.011622424253943</v>
      </c>
      <c r="H116" s="707">
        <f t="shared" si="194"/>
        <v>0</v>
      </c>
      <c r="I116" s="707">
        <f t="shared" si="194"/>
        <v>28.011622424253943</v>
      </c>
      <c r="J116" s="707">
        <f t="shared" si="194"/>
        <v>0</v>
      </c>
      <c r="K116" s="707">
        <f t="shared" si="194"/>
        <v>14.005811212126972</v>
      </c>
      <c r="L116" s="1263" t="str">
        <f t="shared" si="194"/>
        <v>Based on online research from various retailers: Best Buy, Lowes, Home Depot and Sears. Reviewed all possible models found on these retailers websites. Mapped model numbers to ENERGY STAR qualified product list. Engineering calculation to interpolate costs</v>
      </c>
      <c r="M116" s="707" t="str">
        <f t="shared" si="194"/>
        <v>NA</v>
      </c>
      <c r="N116" s="707">
        <f t="shared" si="194"/>
        <v>15</v>
      </c>
      <c r="O116" s="707">
        <f t="shared" si="194"/>
        <v>0</v>
      </c>
      <c r="P116" s="707">
        <f t="shared" si="194"/>
        <v>0</v>
      </c>
      <c r="Q116" s="1022">
        <v>0</v>
      </c>
      <c r="R116" s="872">
        <v>0</v>
      </c>
      <c r="S116" s="1022">
        <v>5.9196063262159688</v>
      </c>
      <c r="T116" s="711" t="str">
        <f t="shared" si="188"/>
        <v>Potential Study Results: Engineering calculations based on ENERGY STAR Appliances Calculator. Accessed 06.07.2016</v>
      </c>
      <c r="U116" s="712"/>
      <c r="V116" s="1124">
        <f t="shared" si="156"/>
        <v>1.0830754582242324E-2</v>
      </c>
      <c r="W116" s="790"/>
      <c r="X116" s="790"/>
      <c r="Y116" s="790"/>
      <c r="Z116" s="790"/>
      <c r="AA116" s="790"/>
      <c r="AB116" s="790"/>
      <c r="AC116" s="781">
        <f t="shared" ref="AC116:AG117" si="203">AC26</f>
        <v>30</v>
      </c>
      <c r="AD116" s="781">
        <f t="shared" si="203"/>
        <v>30</v>
      </c>
      <c r="AE116" s="781">
        <f t="shared" si="203"/>
        <v>30</v>
      </c>
      <c r="AF116" s="781">
        <f t="shared" si="203"/>
        <v>30</v>
      </c>
      <c r="AG116" s="781">
        <f t="shared" si="203"/>
        <v>30</v>
      </c>
      <c r="AH116" s="781">
        <f t="shared" si="196"/>
        <v>30</v>
      </c>
      <c r="AI116" s="781">
        <f t="shared" si="196"/>
        <v>30</v>
      </c>
      <c r="AJ116" s="711" t="s">
        <v>2013</v>
      </c>
      <c r="AK116" s="711" t="s">
        <v>375</v>
      </c>
      <c r="AL116" s="711" t="s">
        <v>376</v>
      </c>
      <c r="AM116" s="711" t="s">
        <v>1981</v>
      </c>
      <c r="AN116" s="711" t="s">
        <v>1</v>
      </c>
      <c r="AO116" s="711" t="s">
        <v>2032</v>
      </c>
      <c r="AP116" s="711" t="s">
        <v>2038</v>
      </c>
      <c r="AQ116" s="711" t="s">
        <v>2039</v>
      </c>
      <c r="AR116" s="715" t="s">
        <v>943</v>
      </c>
      <c r="AS116" s="715" t="s">
        <v>1941</v>
      </c>
      <c r="AT116" s="715" t="s">
        <v>381</v>
      </c>
      <c r="AU116" s="711">
        <v>11</v>
      </c>
      <c r="AV116" s="912">
        <v>11</v>
      </c>
      <c r="AW116" s="711" t="s">
        <v>2033</v>
      </c>
      <c r="AX116" s="716">
        <v>1</v>
      </c>
      <c r="AY116" s="716">
        <v>0</v>
      </c>
      <c r="AZ116" s="716">
        <v>1</v>
      </c>
      <c r="BA116" s="499">
        <f t="shared" si="159"/>
        <v>28.011622424253943</v>
      </c>
      <c r="BB116" s="499">
        <f t="shared" si="197"/>
        <v>28.011622424253943</v>
      </c>
      <c r="BC116" s="499">
        <f t="shared" si="197"/>
        <v>28.011622424253943</v>
      </c>
      <c r="BD116" s="499">
        <f t="shared" si="197"/>
        <v>28.011622424253943</v>
      </c>
      <c r="BE116" s="499">
        <f t="shared" si="161"/>
        <v>28.011622424253943</v>
      </c>
      <c r="BF116" s="499">
        <f t="shared" si="161"/>
        <v>28.011622424253943</v>
      </c>
      <c r="BG116" s="499">
        <f t="shared" si="161"/>
        <v>28.011622424253943</v>
      </c>
      <c r="BH116" s="499">
        <f t="shared" si="162"/>
        <v>0</v>
      </c>
      <c r="BI116" s="499">
        <f t="shared" si="198"/>
        <v>0</v>
      </c>
      <c r="BJ116" s="499">
        <f t="shared" si="198"/>
        <v>0</v>
      </c>
      <c r="BK116" s="499">
        <f t="shared" si="198"/>
        <v>0</v>
      </c>
      <c r="BL116" s="499">
        <f t="shared" si="198"/>
        <v>0</v>
      </c>
      <c r="BM116" s="499">
        <f t="shared" si="198"/>
        <v>0</v>
      </c>
      <c r="BN116" s="499">
        <f t="shared" si="198"/>
        <v>0</v>
      </c>
      <c r="BO116" s="499">
        <f t="shared" si="164"/>
        <v>15</v>
      </c>
      <c r="BP116" s="499">
        <f t="shared" si="202"/>
        <v>15</v>
      </c>
      <c r="BQ116" s="499">
        <f t="shared" si="202"/>
        <v>15</v>
      </c>
      <c r="BR116" s="499">
        <f t="shared" si="202"/>
        <v>15</v>
      </c>
      <c r="BS116" s="499">
        <f t="shared" si="202"/>
        <v>15</v>
      </c>
      <c r="BT116" s="499">
        <f t="shared" si="202"/>
        <v>15</v>
      </c>
      <c r="BU116" s="499">
        <f t="shared" si="202"/>
        <v>15</v>
      </c>
      <c r="BV116" s="503">
        <f t="shared" si="189"/>
        <v>0</v>
      </c>
      <c r="BW116" s="503">
        <f t="shared" si="189"/>
        <v>0</v>
      </c>
      <c r="BX116" s="503">
        <f t="shared" si="189"/>
        <v>0</v>
      </c>
      <c r="BY116" s="503">
        <f t="shared" si="189"/>
        <v>0</v>
      </c>
      <c r="BZ116" s="503">
        <f t="shared" si="189"/>
        <v>0</v>
      </c>
      <c r="CA116" s="503">
        <f t="shared" si="189"/>
        <v>0</v>
      </c>
      <c r="CB116" s="503">
        <f t="shared" si="189"/>
        <v>0</v>
      </c>
      <c r="CC116" s="511">
        <f t="shared" si="167"/>
        <v>0</v>
      </c>
      <c r="CD116" s="511">
        <f t="shared" si="199"/>
        <v>0</v>
      </c>
      <c r="CE116" s="511">
        <f t="shared" si="199"/>
        <v>0</v>
      </c>
      <c r="CF116" s="511">
        <f t="shared" si="199"/>
        <v>0</v>
      </c>
      <c r="CG116" s="511">
        <f t="shared" si="199"/>
        <v>0</v>
      </c>
      <c r="CH116" s="511">
        <f t="shared" si="199"/>
        <v>0</v>
      </c>
      <c r="CI116" s="511">
        <f t="shared" si="199"/>
        <v>0</v>
      </c>
      <c r="CJ116" s="511">
        <f t="shared" si="169"/>
        <v>0</v>
      </c>
      <c r="CK116" s="511">
        <f t="shared" si="200"/>
        <v>0</v>
      </c>
      <c r="CL116" s="511">
        <f t="shared" si="200"/>
        <v>0</v>
      </c>
      <c r="CM116" s="511">
        <f t="shared" si="200"/>
        <v>0</v>
      </c>
      <c r="CN116" s="511">
        <f t="shared" si="200"/>
        <v>0</v>
      </c>
      <c r="CO116" s="511">
        <f t="shared" si="200"/>
        <v>0</v>
      </c>
      <c r="CP116" s="511">
        <f t="shared" si="200"/>
        <v>0</v>
      </c>
      <c r="CQ116" s="511">
        <f t="shared" si="171"/>
        <v>5.9196063262159688</v>
      </c>
      <c r="CR116" s="511">
        <f t="shared" si="201"/>
        <v>5.9196063262159688</v>
      </c>
      <c r="CS116" s="511">
        <f t="shared" si="201"/>
        <v>5.9196063262159688</v>
      </c>
      <c r="CT116" s="511">
        <f t="shared" si="201"/>
        <v>5.9196063262159688</v>
      </c>
      <c r="CU116" s="511">
        <f t="shared" si="201"/>
        <v>5.9196063262159688</v>
      </c>
      <c r="CV116" s="511">
        <f t="shared" si="201"/>
        <v>5.9196063262159688</v>
      </c>
      <c r="CW116" s="511">
        <f t="shared" si="201"/>
        <v>5.9196063262159688</v>
      </c>
      <c r="CX116" s="508">
        <f t="shared" si="173"/>
        <v>840.34867272761835</v>
      </c>
      <c r="CY116" s="508">
        <f t="shared" si="173"/>
        <v>840.34867272761835</v>
      </c>
      <c r="CZ116" s="508">
        <f t="shared" si="173"/>
        <v>840.34867272761835</v>
      </c>
      <c r="DA116" s="508">
        <f t="shared" si="173"/>
        <v>840.34867272761835</v>
      </c>
      <c r="DB116" s="508">
        <f t="shared" si="173"/>
        <v>840.34867272761835</v>
      </c>
      <c r="DC116" s="508">
        <f t="shared" si="173"/>
        <v>840.34867272761835</v>
      </c>
      <c r="DD116" s="508">
        <f t="shared" si="173"/>
        <v>840.34867272761835</v>
      </c>
      <c r="DE116" s="508">
        <f t="shared" si="174"/>
        <v>0</v>
      </c>
      <c r="DF116" s="508">
        <f t="shared" si="174"/>
        <v>0</v>
      </c>
      <c r="DG116" s="508">
        <f t="shared" si="174"/>
        <v>0</v>
      </c>
      <c r="DH116" s="508">
        <f t="shared" si="174"/>
        <v>0</v>
      </c>
      <c r="DI116" s="508">
        <f t="shared" si="174"/>
        <v>0</v>
      </c>
      <c r="DJ116" s="508">
        <f t="shared" si="174"/>
        <v>0</v>
      </c>
      <c r="DK116" s="508">
        <f t="shared" si="174"/>
        <v>0</v>
      </c>
      <c r="DL116" s="508">
        <f t="shared" si="175"/>
        <v>450</v>
      </c>
      <c r="DM116" s="508">
        <f t="shared" si="175"/>
        <v>450</v>
      </c>
      <c r="DN116" s="508">
        <f t="shared" si="175"/>
        <v>450</v>
      </c>
      <c r="DO116" s="508">
        <f t="shared" si="175"/>
        <v>450</v>
      </c>
      <c r="DP116" s="508">
        <f t="shared" si="175"/>
        <v>450</v>
      </c>
      <c r="DQ116" s="508">
        <f t="shared" si="175"/>
        <v>450</v>
      </c>
      <c r="DR116" s="508">
        <f t="shared" si="175"/>
        <v>450</v>
      </c>
      <c r="DS116" s="508">
        <f t="shared" si="190"/>
        <v>0</v>
      </c>
      <c r="DT116" s="508">
        <f t="shared" si="190"/>
        <v>0</v>
      </c>
      <c r="DU116" s="508">
        <f t="shared" si="190"/>
        <v>0</v>
      </c>
      <c r="DV116" s="508">
        <f t="shared" si="190"/>
        <v>0</v>
      </c>
      <c r="DW116" s="508">
        <f t="shared" si="190"/>
        <v>0</v>
      </c>
      <c r="DX116" s="508">
        <f t="shared" si="190"/>
        <v>0</v>
      </c>
      <c r="DY116" s="508">
        <f t="shared" si="190"/>
        <v>0</v>
      </c>
      <c r="DZ116" s="511">
        <f t="shared" si="177"/>
        <v>0</v>
      </c>
      <c r="EA116" s="511">
        <f t="shared" si="177"/>
        <v>0</v>
      </c>
      <c r="EB116" s="511">
        <f t="shared" si="177"/>
        <v>0</v>
      </c>
      <c r="EC116" s="511">
        <f t="shared" si="177"/>
        <v>0</v>
      </c>
      <c r="ED116" s="511">
        <f t="shared" si="177"/>
        <v>0</v>
      </c>
      <c r="EE116" s="511">
        <f t="shared" si="177"/>
        <v>0</v>
      </c>
      <c r="EF116" s="511">
        <f t="shared" si="177"/>
        <v>0</v>
      </c>
      <c r="EG116" s="511">
        <f t="shared" si="178"/>
        <v>0</v>
      </c>
      <c r="EH116" s="511">
        <f t="shared" si="178"/>
        <v>0</v>
      </c>
      <c r="EI116" s="511">
        <f t="shared" si="178"/>
        <v>0</v>
      </c>
      <c r="EJ116" s="511">
        <f t="shared" si="178"/>
        <v>0</v>
      </c>
      <c r="EK116" s="511">
        <f t="shared" si="178"/>
        <v>0</v>
      </c>
      <c r="EL116" s="511">
        <f t="shared" si="178"/>
        <v>0</v>
      </c>
      <c r="EM116" s="511">
        <f t="shared" si="178"/>
        <v>0</v>
      </c>
      <c r="EN116" s="511">
        <f t="shared" si="179"/>
        <v>177.58818978647906</v>
      </c>
      <c r="EO116" s="511">
        <f t="shared" si="179"/>
        <v>177.58818978647906</v>
      </c>
      <c r="EP116" s="511">
        <f t="shared" si="179"/>
        <v>177.58818978647906</v>
      </c>
      <c r="EQ116" s="511">
        <f t="shared" si="179"/>
        <v>177.58818978647906</v>
      </c>
      <c r="ER116" s="511">
        <f t="shared" si="179"/>
        <v>177.58818978647906</v>
      </c>
      <c r="ES116" s="511">
        <f t="shared" si="179"/>
        <v>177.58818978647906</v>
      </c>
      <c r="ET116" s="511">
        <f t="shared" si="179"/>
        <v>177.58818978647906</v>
      </c>
      <c r="EU116" s="777">
        <f t="shared" si="191"/>
        <v>210</v>
      </c>
      <c r="EV116" s="728">
        <f t="shared" si="181"/>
        <v>5882.4407090933291</v>
      </c>
      <c r="EW116" s="728">
        <f t="shared" si="182"/>
        <v>0</v>
      </c>
      <c r="EX116" s="728">
        <f t="shared" si="183"/>
        <v>3150</v>
      </c>
      <c r="EY116" s="728">
        <f t="shared" si="184"/>
        <v>0</v>
      </c>
      <c r="EZ116" s="777">
        <f t="shared" si="185"/>
        <v>0</v>
      </c>
      <c r="FA116" s="777">
        <f t="shared" si="186"/>
        <v>0</v>
      </c>
      <c r="FB116" s="778">
        <f t="shared" si="187"/>
        <v>1243.1173285053533</v>
      </c>
    </row>
    <row r="117" spans="1:158" s="10" customFormat="1" ht="12.75" hidden="1" customHeight="1">
      <c r="A117" s="662" t="s">
        <v>247</v>
      </c>
      <c r="B117" s="789" t="s">
        <v>2205</v>
      </c>
      <c r="C117" s="662" t="s">
        <v>2041</v>
      </c>
      <c r="D117" s="715" t="s">
        <v>2042</v>
      </c>
      <c r="E117" s="662" t="s">
        <v>331</v>
      </c>
      <c r="F117" s="704" t="s">
        <v>402</v>
      </c>
      <c r="G117" s="707">
        <f t="shared" si="194"/>
        <v>95.810292993796438</v>
      </c>
      <c r="H117" s="707">
        <f t="shared" si="194"/>
        <v>0</v>
      </c>
      <c r="I117" s="707">
        <f t="shared" si="194"/>
        <v>95.810292993796438</v>
      </c>
      <c r="J117" s="707">
        <f t="shared" si="194"/>
        <v>0</v>
      </c>
      <c r="K117" s="707">
        <f t="shared" si="194"/>
        <v>47.905146496898219</v>
      </c>
      <c r="L117" s="1263" t="str">
        <f t="shared" si="194"/>
        <v>Based on online research from various retailers: Best Buy, Lowes, Home Depot and Sears. Reviewed all possible models found on these retailers websites. Mapped model numbers to ENERGY STAR qualified product list. Engineering calculation to interpolate costs</v>
      </c>
      <c r="M117" s="707" t="str">
        <f t="shared" si="194"/>
        <v>NA</v>
      </c>
      <c r="N117" s="707">
        <f t="shared" si="194"/>
        <v>50</v>
      </c>
      <c r="O117" s="707">
        <f t="shared" si="194"/>
        <v>0</v>
      </c>
      <c r="P117" s="707">
        <f t="shared" si="194"/>
        <v>0</v>
      </c>
      <c r="Q117" s="1022">
        <v>0</v>
      </c>
      <c r="R117" s="872">
        <v>0</v>
      </c>
      <c r="S117" s="1022">
        <v>15.723379685139049</v>
      </c>
      <c r="T117" s="711" t="str">
        <f t="shared" si="188"/>
        <v>Potential Study Results: Engineering calculations based on ENERGY STAR Appliances Calculator. Accessed 06.07.2016</v>
      </c>
      <c r="U117" s="712"/>
      <c r="V117" s="1124">
        <f t="shared" si="156"/>
        <v>0</v>
      </c>
      <c r="W117" s="790"/>
      <c r="X117" s="790"/>
      <c r="Y117" s="790"/>
      <c r="Z117" s="790"/>
      <c r="AA117" s="790"/>
      <c r="AB117" s="790"/>
      <c r="AC117" s="781">
        <f t="shared" si="203"/>
        <v>0</v>
      </c>
      <c r="AD117" s="781">
        <f t="shared" si="203"/>
        <v>0</v>
      </c>
      <c r="AE117" s="781">
        <f t="shared" si="203"/>
        <v>0</v>
      </c>
      <c r="AF117" s="781">
        <f t="shared" si="203"/>
        <v>0</v>
      </c>
      <c r="AG117" s="781">
        <f t="shared" si="203"/>
        <v>0</v>
      </c>
      <c r="AH117" s="781">
        <f t="shared" si="196"/>
        <v>0</v>
      </c>
      <c r="AI117" s="781">
        <f t="shared" si="196"/>
        <v>0</v>
      </c>
      <c r="AJ117" s="711" t="s">
        <v>2013</v>
      </c>
      <c r="AK117" s="711" t="s">
        <v>375</v>
      </c>
      <c r="AL117" s="711" t="s">
        <v>376</v>
      </c>
      <c r="AM117" s="711" t="s">
        <v>1981</v>
      </c>
      <c r="AN117" s="711" t="s">
        <v>1</v>
      </c>
      <c r="AO117" s="711" t="s">
        <v>2037</v>
      </c>
      <c r="AP117" s="711" t="s">
        <v>2041</v>
      </c>
      <c r="AQ117" s="711" t="s">
        <v>2042</v>
      </c>
      <c r="AR117" s="715" t="s">
        <v>943</v>
      </c>
      <c r="AS117" s="715" t="s">
        <v>1941</v>
      </c>
      <c r="AT117" s="715" t="s">
        <v>381</v>
      </c>
      <c r="AU117" s="711">
        <v>11</v>
      </c>
      <c r="AV117" s="912">
        <v>11</v>
      </c>
      <c r="AW117" s="711" t="s">
        <v>2033</v>
      </c>
      <c r="AX117" s="716">
        <v>1</v>
      </c>
      <c r="AY117" s="716">
        <v>0</v>
      </c>
      <c r="AZ117" s="716">
        <v>1</v>
      </c>
      <c r="BA117" s="499">
        <f t="shared" si="159"/>
        <v>95.810292993796438</v>
      </c>
      <c r="BB117" s="499">
        <f t="shared" si="197"/>
        <v>95.810292993796438</v>
      </c>
      <c r="BC117" s="499">
        <f t="shared" si="197"/>
        <v>95.810292993796438</v>
      </c>
      <c r="BD117" s="499">
        <f t="shared" si="197"/>
        <v>95.810292993796438</v>
      </c>
      <c r="BE117" s="499">
        <f t="shared" si="161"/>
        <v>95.810292993796438</v>
      </c>
      <c r="BF117" s="499">
        <f t="shared" si="161"/>
        <v>95.810292993796438</v>
      </c>
      <c r="BG117" s="499">
        <f t="shared" si="161"/>
        <v>95.810292993796438</v>
      </c>
      <c r="BH117" s="499">
        <f t="shared" si="162"/>
        <v>0</v>
      </c>
      <c r="BI117" s="499">
        <f t="shared" si="198"/>
        <v>0</v>
      </c>
      <c r="BJ117" s="499">
        <f t="shared" si="198"/>
        <v>0</v>
      </c>
      <c r="BK117" s="499">
        <f t="shared" si="198"/>
        <v>0</v>
      </c>
      <c r="BL117" s="499">
        <f t="shared" si="198"/>
        <v>0</v>
      </c>
      <c r="BM117" s="499">
        <f t="shared" si="198"/>
        <v>0</v>
      </c>
      <c r="BN117" s="499">
        <f t="shared" si="198"/>
        <v>0</v>
      </c>
      <c r="BO117" s="499">
        <f t="shared" si="164"/>
        <v>50</v>
      </c>
      <c r="BP117" s="499">
        <f t="shared" si="202"/>
        <v>50</v>
      </c>
      <c r="BQ117" s="499">
        <f t="shared" si="202"/>
        <v>50</v>
      </c>
      <c r="BR117" s="499">
        <f t="shared" si="202"/>
        <v>50</v>
      </c>
      <c r="BS117" s="499">
        <f t="shared" si="202"/>
        <v>50</v>
      </c>
      <c r="BT117" s="499">
        <f t="shared" si="202"/>
        <v>50</v>
      </c>
      <c r="BU117" s="499">
        <f t="shared" si="202"/>
        <v>50</v>
      </c>
      <c r="BV117" s="503">
        <f t="shared" si="189"/>
        <v>0</v>
      </c>
      <c r="BW117" s="503">
        <f t="shared" si="189"/>
        <v>0</v>
      </c>
      <c r="BX117" s="503">
        <f t="shared" si="189"/>
        <v>0</v>
      </c>
      <c r="BY117" s="503">
        <f t="shared" si="189"/>
        <v>0</v>
      </c>
      <c r="BZ117" s="503">
        <f t="shared" si="189"/>
        <v>0</v>
      </c>
      <c r="CA117" s="503">
        <f t="shared" si="189"/>
        <v>0</v>
      </c>
      <c r="CB117" s="503">
        <f t="shared" si="189"/>
        <v>0</v>
      </c>
      <c r="CC117" s="511">
        <f t="shared" si="167"/>
        <v>0</v>
      </c>
      <c r="CD117" s="511">
        <f t="shared" si="199"/>
        <v>0</v>
      </c>
      <c r="CE117" s="511">
        <f t="shared" si="199"/>
        <v>0</v>
      </c>
      <c r="CF117" s="511">
        <f t="shared" si="199"/>
        <v>0</v>
      </c>
      <c r="CG117" s="511">
        <f t="shared" si="199"/>
        <v>0</v>
      </c>
      <c r="CH117" s="511">
        <f t="shared" si="199"/>
        <v>0</v>
      </c>
      <c r="CI117" s="511">
        <f t="shared" si="199"/>
        <v>0</v>
      </c>
      <c r="CJ117" s="511">
        <f t="shared" si="169"/>
        <v>0</v>
      </c>
      <c r="CK117" s="511">
        <f t="shared" si="200"/>
        <v>0</v>
      </c>
      <c r="CL117" s="511">
        <f t="shared" si="200"/>
        <v>0</v>
      </c>
      <c r="CM117" s="511">
        <f t="shared" si="200"/>
        <v>0</v>
      </c>
      <c r="CN117" s="511">
        <f t="shared" si="200"/>
        <v>0</v>
      </c>
      <c r="CO117" s="511">
        <f t="shared" si="200"/>
        <v>0</v>
      </c>
      <c r="CP117" s="511">
        <f t="shared" si="200"/>
        <v>0</v>
      </c>
      <c r="CQ117" s="511">
        <f t="shared" si="171"/>
        <v>15.723379685139049</v>
      </c>
      <c r="CR117" s="511">
        <f t="shared" si="201"/>
        <v>15.723379685139049</v>
      </c>
      <c r="CS117" s="511">
        <f t="shared" si="201"/>
        <v>15.723379685139049</v>
      </c>
      <c r="CT117" s="511">
        <f t="shared" si="201"/>
        <v>15.723379685139049</v>
      </c>
      <c r="CU117" s="511">
        <f t="shared" si="201"/>
        <v>15.723379685139049</v>
      </c>
      <c r="CV117" s="511">
        <f t="shared" si="201"/>
        <v>15.723379685139049</v>
      </c>
      <c r="CW117" s="511">
        <f t="shared" si="201"/>
        <v>15.723379685139049</v>
      </c>
      <c r="CX117" s="508">
        <f t="shared" si="173"/>
        <v>0</v>
      </c>
      <c r="CY117" s="508">
        <f t="shared" si="173"/>
        <v>0</v>
      </c>
      <c r="CZ117" s="508">
        <f t="shared" si="173"/>
        <v>0</v>
      </c>
      <c r="DA117" s="508">
        <f t="shared" si="173"/>
        <v>0</v>
      </c>
      <c r="DB117" s="508">
        <f t="shared" si="173"/>
        <v>0</v>
      </c>
      <c r="DC117" s="508">
        <f t="shared" si="173"/>
        <v>0</v>
      </c>
      <c r="DD117" s="508">
        <f t="shared" si="173"/>
        <v>0</v>
      </c>
      <c r="DE117" s="508">
        <f t="shared" si="174"/>
        <v>0</v>
      </c>
      <c r="DF117" s="508">
        <f t="shared" si="174"/>
        <v>0</v>
      </c>
      <c r="DG117" s="508">
        <f t="shared" si="174"/>
        <v>0</v>
      </c>
      <c r="DH117" s="508">
        <f t="shared" si="174"/>
        <v>0</v>
      </c>
      <c r="DI117" s="508">
        <f t="shared" si="174"/>
        <v>0</v>
      </c>
      <c r="DJ117" s="508">
        <f t="shared" si="174"/>
        <v>0</v>
      </c>
      <c r="DK117" s="508">
        <f t="shared" si="174"/>
        <v>0</v>
      </c>
      <c r="DL117" s="508">
        <f t="shared" si="175"/>
        <v>0</v>
      </c>
      <c r="DM117" s="508">
        <f t="shared" si="175"/>
        <v>0</v>
      </c>
      <c r="DN117" s="508">
        <f t="shared" si="175"/>
        <v>0</v>
      </c>
      <c r="DO117" s="508">
        <f t="shared" si="175"/>
        <v>0</v>
      </c>
      <c r="DP117" s="508">
        <f t="shared" si="175"/>
        <v>0</v>
      </c>
      <c r="DQ117" s="508">
        <f t="shared" si="175"/>
        <v>0</v>
      </c>
      <c r="DR117" s="508">
        <f t="shared" si="175"/>
        <v>0</v>
      </c>
      <c r="DS117" s="508">
        <f t="shared" si="190"/>
        <v>0</v>
      </c>
      <c r="DT117" s="508">
        <f t="shared" si="190"/>
        <v>0</v>
      </c>
      <c r="DU117" s="508">
        <f t="shared" si="190"/>
        <v>0</v>
      </c>
      <c r="DV117" s="508">
        <f t="shared" si="190"/>
        <v>0</v>
      </c>
      <c r="DW117" s="508">
        <f t="shared" si="190"/>
        <v>0</v>
      </c>
      <c r="DX117" s="508">
        <f t="shared" si="190"/>
        <v>0</v>
      </c>
      <c r="DY117" s="508">
        <f t="shared" si="190"/>
        <v>0</v>
      </c>
      <c r="DZ117" s="511">
        <f t="shared" si="177"/>
        <v>0</v>
      </c>
      <c r="EA117" s="511">
        <f t="shared" si="177"/>
        <v>0</v>
      </c>
      <c r="EB117" s="511">
        <f t="shared" si="177"/>
        <v>0</v>
      </c>
      <c r="EC117" s="511">
        <f t="shared" si="177"/>
        <v>0</v>
      </c>
      <c r="ED117" s="511">
        <f t="shared" si="177"/>
        <v>0</v>
      </c>
      <c r="EE117" s="511">
        <f t="shared" si="177"/>
        <v>0</v>
      </c>
      <c r="EF117" s="511">
        <f t="shared" si="177"/>
        <v>0</v>
      </c>
      <c r="EG117" s="511">
        <f t="shared" si="178"/>
        <v>0</v>
      </c>
      <c r="EH117" s="511">
        <f t="shared" si="178"/>
        <v>0</v>
      </c>
      <c r="EI117" s="511">
        <f t="shared" si="178"/>
        <v>0</v>
      </c>
      <c r="EJ117" s="511">
        <f t="shared" si="178"/>
        <v>0</v>
      </c>
      <c r="EK117" s="511">
        <f t="shared" si="178"/>
        <v>0</v>
      </c>
      <c r="EL117" s="511">
        <f t="shared" si="178"/>
        <v>0</v>
      </c>
      <c r="EM117" s="511">
        <f t="shared" si="178"/>
        <v>0</v>
      </c>
      <c r="EN117" s="511">
        <f t="shared" si="179"/>
        <v>0</v>
      </c>
      <c r="EO117" s="511">
        <f t="shared" si="179"/>
        <v>0</v>
      </c>
      <c r="EP117" s="511">
        <f t="shared" si="179"/>
        <v>0</v>
      </c>
      <c r="EQ117" s="511">
        <f t="shared" si="179"/>
        <v>0</v>
      </c>
      <c r="ER117" s="511">
        <f t="shared" si="179"/>
        <v>0</v>
      </c>
      <c r="ES117" s="511">
        <f t="shared" si="179"/>
        <v>0</v>
      </c>
      <c r="ET117" s="511">
        <f t="shared" si="179"/>
        <v>0</v>
      </c>
      <c r="EU117" s="777">
        <f t="shared" si="191"/>
        <v>0</v>
      </c>
      <c r="EV117" s="728">
        <f t="shared" si="181"/>
        <v>0</v>
      </c>
      <c r="EW117" s="728">
        <f t="shared" si="182"/>
        <v>0</v>
      </c>
      <c r="EX117" s="728">
        <f t="shared" si="183"/>
        <v>0</v>
      </c>
      <c r="EY117" s="728">
        <f t="shared" si="184"/>
        <v>0</v>
      </c>
      <c r="EZ117" s="777">
        <f t="shared" si="185"/>
        <v>0</v>
      </c>
      <c r="FA117" s="777">
        <f t="shared" si="186"/>
        <v>0</v>
      </c>
      <c r="FB117" s="778">
        <f t="shared" si="187"/>
        <v>0</v>
      </c>
    </row>
    <row r="118" spans="1:158" s="10" customFormat="1" ht="12.75" hidden="1" customHeight="1">
      <c r="A118" s="662" t="s">
        <v>248</v>
      </c>
      <c r="B118" s="789" t="s">
        <v>2206</v>
      </c>
      <c r="C118" s="662" t="s">
        <v>2044</v>
      </c>
      <c r="D118" s="715" t="s">
        <v>2045</v>
      </c>
      <c r="E118" s="662" t="s">
        <v>331</v>
      </c>
      <c r="F118" s="704" t="s">
        <v>402</v>
      </c>
      <c r="G118" s="707">
        <f t="shared" si="194"/>
        <v>9.3725000000000005</v>
      </c>
      <c r="H118" s="707">
        <f t="shared" si="194"/>
        <v>0</v>
      </c>
      <c r="I118" s="707">
        <f t="shared" si="194"/>
        <v>9.3725000000000005</v>
      </c>
      <c r="J118" s="707">
        <f t="shared" si="194"/>
        <v>0</v>
      </c>
      <c r="K118" s="707">
        <f t="shared" si="194"/>
        <v>4.6862500000000002</v>
      </c>
      <c r="L118" s="1263" t="str">
        <f t="shared" si="194"/>
        <v>ENERGY STAR Appliance Calculator, accessed 6/13/2016: http://www.energystar.gov/sites/default/files/asset/document/appliance_calculator.xlsx</v>
      </c>
      <c r="M118" s="707" t="str">
        <f t="shared" si="194"/>
        <v>NA</v>
      </c>
      <c r="N118" s="707">
        <f t="shared" si="194"/>
        <v>15</v>
      </c>
      <c r="O118" s="707">
        <f t="shared" si="194"/>
        <v>0</v>
      </c>
      <c r="P118" s="707">
        <f t="shared" si="194"/>
        <v>0</v>
      </c>
      <c r="Q118" s="1022">
        <v>36.580313978715026</v>
      </c>
      <c r="R118" s="872">
        <v>2.4341489942862728E-3</v>
      </c>
      <c r="S118" s="1022">
        <v>1.9084162204518726</v>
      </c>
      <c r="T118" s="711" t="str">
        <f t="shared" si="188"/>
        <v>Potential Study Results: ENERGY STAR Appliance Calculator, accessed 6/13/2016: http://www.energystar.gov/sites/default/files/asset/document/appliance_calculator.xlsx. Also provided in Measure Description</v>
      </c>
      <c r="U118" s="712"/>
      <c r="V118" s="1124">
        <f t="shared" si="156"/>
        <v>1.0830754582242324E-2</v>
      </c>
      <c r="W118" s="790"/>
      <c r="X118" s="790"/>
      <c r="Y118" s="790"/>
      <c r="Z118" s="790"/>
      <c r="AA118" s="790"/>
      <c r="AB118" s="790"/>
      <c r="AC118" s="781">
        <f t="shared" ref="AC118:AG133" si="204">AC28*0.5</f>
        <v>15</v>
      </c>
      <c r="AD118" s="781">
        <f t="shared" si="204"/>
        <v>15</v>
      </c>
      <c r="AE118" s="781">
        <f t="shared" si="204"/>
        <v>15</v>
      </c>
      <c r="AF118" s="781">
        <f t="shared" si="204"/>
        <v>15</v>
      </c>
      <c r="AG118" s="781">
        <f t="shared" si="204"/>
        <v>15</v>
      </c>
      <c r="AH118" s="781">
        <f t="shared" si="196"/>
        <v>15</v>
      </c>
      <c r="AI118" s="781">
        <f t="shared" si="196"/>
        <v>15</v>
      </c>
      <c r="AJ118" s="711" t="s">
        <v>374</v>
      </c>
      <c r="AK118" s="711" t="s">
        <v>375</v>
      </c>
      <c r="AL118" s="711" t="s">
        <v>376</v>
      </c>
      <c r="AM118" s="711" t="s">
        <v>1981</v>
      </c>
      <c r="AN118" s="711" t="s">
        <v>1</v>
      </c>
      <c r="AO118" s="711" t="s">
        <v>2048</v>
      </c>
      <c r="AP118" s="711" t="s">
        <v>2044</v>
      </c>
      <c r="AQ118" s="711" t="s">
        <v>2045</v>
      </c>
      <c r="AR118" s="715" t="s">
        <v>943</v>
      </c>
      <c r="AS118" s="715" t="s">
        <v>1941</v>
      </c>
      <c r="AT118" s="715" t="s">
        <v>381</v>
      </c>
      <c r="AU118" s="711">
        <v>10</v>
      </c>
      <c r="AV118" s="711">
        <v>10</v>
      </c>
      <c r="AW118" s="711" t="s">
        <v>2046</v>
      </c>
      <c r="AX118" s="716">
        <v>1</v>
      </c>
      <c r="AY118" s="716">
        <v>0.58571937359857451</v>
      </c>
      <c r="AZ118" s="716">
        <v>0.41428062640142549</v>
      </c>
      <c r="BA118" s="499">
        <f t="shared" si="159"/>
        <v>9.3725000000000005</v>
      </c>
      <c r="BB118" s="499">
        <f t="shared" si="197"/>
        <v>9.3725000000000005</v>
      </c>
      <c r="BC118" s="499">
        <f t="shared" si="197"/>
        <v>9.3725000000000005</v>
      </c>
      <c r="BD118" s="499">
        <f t="shared" si="197"/>
        <v>9.3725000000000005</v>
      </c>
      <c r="BE118" s="499">
        <f t="shared" si="161"/>
        <v>9.3725000000000005</v>
      </c>
      <c r="BF118" s="499">
        <f t="shared" si="161"/>
        <v>9.3725000000000005</v>
      </c>
      <c r="BG118" s="499">
        <f t="shared" si="161"/>
        <v>9.3725000000000005</v>
      </c>
      <c r="BH118" s="499">
        <f t="shared" si="162"/>
        <v>0</v>
      </c>
      <c r="BI118" s="499">
        <f t="shared" si="198"/>
        <v>0</v>
      </c>
      <c r="BJ118" s="499">
        <f t="shared" si="198"/>
        <v>0</v>
      </c>
      <c r="BK118" s="499">
        <f t="shared" si="198"/>
        <v>0</v>
      </c>
      <c r="BL118" s="499">
        <f t="shared" si="198"/>
        <v>0</v>
      </c>
      <c r="BM118" s="499">
        <f t="shared" si="198"/>
        <v>0</v>
      </c>
      <c r="BN118" s="499">
        <f t="shared" si="198"/>
        <v>0</v>
      </c>
      <c r="BO118" s="499">
        <f t="shared" si="164"/>
        <v>15</v>
      </c>
      <c r="BP118" s="499">
        <f t="shared" si="202"/>
        <v>15</v>
      </c>
      <c r="BQ118" s="499">
        <f t="shared" si="202"/>
        <v>15</v>
      </c>
      <c r="BR118" s="499">
        <f t="shared" si="202"/>
        <v>15</v>
      </c>
      <c r="BS118" s="499">
        <f t="shared" si="202"/>
        <v>15</v>
      </c>
      <c r="BT118" s="499">
        <f t="shared" si="202"/>
        <v>15</v>
      </c>
      <c r="BU118" s="499">
        <f t="shared" si="202"/>
        <v>15</v>
      </c>
      <c r="BV118" s="503">
        <f t="shared" si="189"/>
        <v>0</v>
      </c>
      <c r="BW118" s="503">
        <f t="shared" si="189"/>
        <v>0</v>
      </c>
      <c r="BX118" s="503">
        <f t="shared" si="189"/>
        <v>0</v>
      </c>
      <c r="BY118" s="503">
        <f t="shared" si="189"/>
        <v>0</v>
      </c>
      <c r="BZ118" s="503">
        <f t="shared" si="189"/>
        <v>0</v>
      </c>
      <c r="CA118" s="503">
        <f t="shared" si="189"/>
        <v>0</v>
      </c>
      <c r="CB118" s="503">
        <f t="shared" si="189"/>
        <v>0</v>
      </c>
      <c r="CC118" s="511">
        <f t="shared" si="167"/>
        <v>21.425798589652143</v>
      </c>
      <c r="CD118" s="511">
        <f t="shared" si="199"/>
        <v>21.425798589652143</v>
      </c>
      <c r="CE118" s="511">
        <f t="shared" si="199"/>
        <v>21.425798589652143</v>
      </c>
      <c r="CF118" s="511">
        <f t="shared" si="199"/>
        <v>21.425798589652143</v>
      </c>
      <c r="CG118" s="511">
        <f t="shared" si="199"/>
        <v>21.425798589652143</v>
      </c>
      <c r="CH118" s="511">
        <f t="shared" si="199"/>
        <v>21.425798589652143</v>
      </c>
      <c r="CI118" s="511">
        <f t="shared" si="199"/>
        <v>21.425798589652143</v>
      </c>
      <c r="CJ118" s="511">
        <f t="shared" si="169"/>
        <v>1.4257282241789558E-3</v>
      </c>
      <c r="CK118" s="511">
        <f t="shared" si="200"/>
        <v>1.4257282241789558E-3</v>
      </c>
      <c r="CL118" s="511">
        <f t="shared" si="200"/>
        <v>1.4257282241789558E-3</v>
      </c>
      <c r="CM118" s="511">
        <f t="shared" si="200"/>
        <v>1.4257282241789558E-3</v>
      </c>
      <c r="CN118" s="511">
        <f t="shared" si="200"/>
        <v>1.4257282241789558E-3</v>
      </c>
      <c r="CO118" s="511">
        <f t="shared" si="200"/>
        <v>1.4257282241789558E-3</v>
      </c>
      <c r="CP118" s="511">
        <f t="shared" si="200"/>
        <v>1.4257282241789558E-3</v>
      </c>
      <c r="CQ118" s="511">
        <f t="shared" si="171"/>
        <v>0.79061986724344269</v>
      </c>
      <c r="CR118" s="511">
        <f t="shared" si="201"/>
        <v>0.79061986724344269</v>
      </c>
      <c r="CS118" s="511">
        <f t="shared" si="201"/>
        <v>0.79061986724344269</v>
      </c>
      <c r="CT118" s="511">
        <f t="shared" si="201"/>
        <v>0.79061986724344269</v>
      </c>
      <c r="CU118" s="511">
        <f t="shared" si="201"/>
        <v>0.79061986724344269</v>
      </c>
      <c r="CV118" s="511">
        <f t="shared" si="201"/>
        <v>0.79061986724344269</v>
      </c>
      <c r="CW118" s="511">
        <f t="shared" si="201"/>
        <v>0.79061986724344269</v>
      </c>
      <c r="CX118" s="508">
        <f t="shared" si="173"/>
        <v>140.58750000000001</v>
      </c>
      <c r="CY118" s="508">
        <f t="shared" si="173"/>
        <v>140.58750000000001</v>
      </c>
      <c r="CZ118" s="508">
        <f t="shared" si="173"/>
        <v>140.58750000000001</v>
      </c>
      <c r="DA118" s="508">
        <f t="shared" si="173"/>
        <v>140.58750000000001</v>
      </c>
      <c r="DB118" s="508">
        <f t="shared" si="173"/>
        <v>140.58750000000001</v>
      </c>
      <c r="DC118" s="508">
        <f t="shared" si="173"/>
        <v>140.58750000000001</v>
      </c>
      <c r="DD118" s="508">
        <f t="shared" si="173"/>
        <v>140.58750000000001</v>
      </c>
      <c r="DE118" s="508">
        <f t="shared" si="174"/>
        <v>0</v>
      </c>
      <c r="DF118" s="508">
        <f t="shared" si="174"/>
        <v>0</v>
      </c>
      <c r="DG118" s="508">
        <f t="shared" si="174"/>
        <v>0</v>
      </c>
      <c r="DH118" s="508">
        <f t="shared" si="174"/>
        <v>0</v>
      </c>
      <c r="DI118" s="508">
        <f t="shared" si="174"/>
        <v>0</v>
      </c>
      <c r="DJ118" s="508">
        <f t="shared" si="174"/>
        <v>0</v>
      </c>
      <c r="DK118" s="508">
        <f t="shared" si="174"/>
        <v>0</v>
      </c>
      <c r="DL118" s="508">
        <f t="shared" si="175"/>
        <v>225</v>
      </c>
      <c r="DM118" s="508">
        <f t="shared" si="175"/>
        <v>225</v>
      </c>
      <c r="DN118" s="508">
        <f t="shared" si="175"/>
        <v>225</v>
      </c>
      <c r="DO118" s="508">
        <f t="shared" si="175"/>
        <v>225</v>
      </c>
      <c r="DP118" s="508">
        <f t="shared" si="175"/>
        <v>225</v>
      </c>
      <c r="DQ118" s="508">
        <f t="shared" si="175"/>
        <v>225</v>
      </c>
      <c r="DR118" s="508">
        <f t="shared" si="175"/>
        <v>225</v>
      </c>
      <c r="DS118" s="508">
        <f t="shared" si="190"/>
        <v>0</v>
      </c>
      <c r="DT118" s="508">
        <f t="shared" si="190"/>
        <v>0</v>
      </c>
      <c r="DU118" s="508">
        <f t="shared" si="190"/>
        <v>0</v>
      </c>
      <c r="DV118" s="508">
        <f t="shared" si="190"/>
        <v>0</v>
      </c>
      <c r="DW118" s="508">
        <f t="shared" si="190"/>
        <v>0</v>
      </c>
      <c r="DX118" s="508">
        <f t="shared" si="190"/>
        <v>0</v>
      </c>
      <c r="DY118" s="508">
        <f t="shared" si="190"/>
        <v>0</v>
      </c>
      <c r="DZ118" s="511">
        <f t="shared" si="177"/>
        <v>321.38697884478216</v>
      </c>
      <c r="EA118" s="511">
        <f t="shared" si="177"/>
        <v>321.38697884478216</v>
      </c>
      <c r="EB118" s="511">
        <f t="shared" si="177"/>
        <v>321.38697884478216</v>
      </c>
      <c r="EC118" s="511">
        <f t="shared" si="177"/>
        <v>321.38697884478216</v>
      </c>
      <c r="ED118" s="511">
        <f t="shared" si="177"/>
        <v>321.38697884478216</v>
      </c>
      <c r="EE118" s="511">
        <f t="shared" si="177"/>
        <v>321.38697884478216</v>
      </c>
      <c r="EF118" s="511">
        <f t="shared" si="177"/>
        <v>321.38697884478216</v>
      </c>
      <c r="EG118" s="511">
        <f t="shared" si="178"/>
        <v>2.1385923362684339E-2</v>
      </c>
      <c r="EH118" s="511">
        <f t="shared" si="178"/>
        <v>2.1385923362684339E-2</v>
      </c>
      <c r="EI118" s="511">
        <f t="shared" si="178"/>
        <v>2.1385923362684339E-2</v>
      </c>
      <c r="EJ118" s="511">
        <f t="shared" si="178"/>
        <v>2.1385923362684339E-2</v>
      </c>
      <c r="EK118" s="511">
        <f t="shared" si="178"/>
        <v>2.1385923362684339E-2</v>
      </c>
      <c r="EL118" s="511">
        <f t="shared" si="178"/>
        <v>2.1385923362684339E-2</v>
      </c>
      <c r="EM118" s="511">
        <f t="shared" si="178"/>
        <v>2.1385923362684339E-2</v>
      </c>
      <c r="EN118" s="511">
        <f t="shared" si="179"/>
        <v>11.85929800865164</v>
      </c>
      <c r="EO118" s="511">
        <f t="shared" si="179"/>
        <v>11.85929800865164</v>
      </c>
      <c r="EP118" s="511">
        <f t="shared" si="179"/>
        <v>11.85929800865164</v>
      </c>
      <c r="EQ118" s="511">
        <f t="shared" si="179"/>
        <v>11.85929800865164</v>
      </c>
      <c r="ER118" s="511">
        <f t="shared" si="179"/>
        <v>11.85929800865164</v>
      </c>
      <c r="ES118" s="511">
        <f t="shared" si="179"/>
        <v>11.85929800865164</v>
      </c>
      <c r="ET118" s="511">
        <f t="shared" si="179"/>
        <v>11.85929800865164</v>
      </c>
      <c r="EU118" s="777">
        <f t="shared" si="191"/>
        <v>105</v>
      </c>
      <c r="EV118" s="728">
        <f t="shared" si="181"/>
        <v>984.11249999999995</v>
      </c>
      <c r="EW118" s="728">
        <f t="shared" si="182"/>
        <v>0</v>
      </c>
      <c r="EX118" s="728">
        <f t="shared" si="183"/>
        <v>1575</v>
      </c>
      <c r="EY118" s="728">
        <f t="shared" si="184"/>
        <v>0</v>
      </c>
      <c r="EZ118" s="777">
        <f t="shared" si="185"/>
        <v>2249.708851913475</v>
      </c>
      <c r="FA118" s="777">
        <f t="shared" si="186"/>
        <v>0.14970146353879035</v>
      </c>
      <c r="FB118" s="778">
        <f t="shared" si="187"/>
        <v>83.015086060561472</v>
      </c>
    </row>
    <row r="119" spans="1:158" s="10" customFormat="1" ht="12.75" hidden="1" customHeight="1">
      <c r="A119" s="662" t="s">
        <v>249</v>
      </c>
      <c r="B119" s="789" t="s">
        <v>2207</v>
      </c>
      <c r="C119" s="662" t="s">
        <v>2049</v>
      </c>
      <c r="D119" s="715" t="s">
        <v>2050</v>
      </c>
      <c r="E119" s="662" t="s">
        <v>331</v>
      </c>
      <c r="F119" s="704" t="s">
        <v>402</v>
      </c>
      <c r="G119" s="707">
        <f t="shared" si="194"/>
        <v>417.93299999999999</v>
      </c>
      <c r="H119" s="707">
        <f t="shared" si="194"/>
        <v>0</v>
      </c>
      <c r="I119" s="707">
        <f t="shared" si="194"/>
        <v>417.93299999999999</v>
      </c>
      <c r="J119" s="707">
        <f t="shared" si="194"/>
        <v>0</v>
      </c>
      <c r="K119" s="707">
        <f t="shared" si="194"/>
        <v>208.9665</v>
      </c>
      <c r="L119" s="1263" t="str">
        <f t="shared" si="194"/>
        <v>2012 - Cadmus Analysis of Installed Cost Data from Rebate Applications</v>
      </c>
      <c r="M119" s="707" t="str">
        <f t="shared" si="194"/>
        <v>NA</v>
      </c>
      <c r="N119" s="707">
        <f t="shared" si="194"/>
        <v>210</v>
      </c>
      <c r="O119" s="707">
        <f t="shared" si="194"/>
        <v>0</v>
      </c>
      <c r="P119" s="707">
        <f t="shared" si="194"/>
        <v>0</v>
      </c>
      <c r="Q119" s="1022">
        <v>202.00221957552003</v>
      </c>
      <c r="R119" s="872">
        <v>0.16283946197183058</v>
      </c>
      <c r="S119" s="1022">
        <v>0</v>
      </c>
      <c r="T119" s="711" t="str">
        <f t="shared" si="188"/>
        <v>Potential Study Results: End use usage based on prototypical building simulations adjusted by CDD to the region.</v>
      </c>
      <c r="U119" s="712"/>
      <c r="V119" s="1124">
        <f t="shared" si="156"/>
        <v>0</v>
      </c>
      <c r="W119" s="790"/>
      <c r="X119" s="790"/>
      <c r="Y119" s="790"/>
      <c r="Z119" s="790"/>
      <c r="AA119" s="790"/>
      <c r="AB119" s="790"/>
      <c r="AC119" s="781">
        <f t="shared" si="204"/>
        <v>0</v>
      </c>
      <c r="AD119" s="781">
        <f t="shared" si="204"/>
        <v>0</v>
      </c>
      <c r="AE119" s="781">
        <f t="shared" si="204"/>
        <v>0</v>
      </c>
      <c r="AF119" s="781">
        <f t="shared" si="204"/>
        <v>0</v>
      </c>
      <c r="AG119" s="781">
        <f t="shared" si="204"/>
        <v>0</v>
      </c>
      <c r="AH119" s="781">
        <f t="shared" si="196"/>
        <v>0</v>
      </c>
      <c r="AI119" s="781">
        <f t="shared" si="196"/>
        <v>0</v>
      </c>
      <c r="AJ119" s="711" t="s">
        <v>384</v>
      </c>
      <c r="AK119" s="711" t="s">
        <v>375</v>
      </c>
      <c r="AL119" s="711" t="s">
        <v>376</v>
      </c>
      <c r="AM119" s="711" t="s">
        <v>2002</v>
      </c>
      <c r="AN119" s="711" t="s">
        <v>1</v>
      </c>
      <c r="AO119" s="711" t="s">
        <v>2053</v>
      </c>
      <c r="AP119" s="711" t="s">
        <v>1702</v>
      </c>
      <c r="AQ119" s="711" t="s">
        <v>339</v>
      </c>
      <c r="AR119" s="715" t="s">
        <v>406</v>
      </c>
      <c r="AS119" s="715"/>
      <c r="AT119" s="715" t="s">
        <v>381</v>
      </c>
      <c r="AU119" s="711">
        <v>15</v>
      </c>
      <c r="AV119" s="711">
        <v>15</v>
      </c>
      <c r="AW119" s="711" t="s">
        <v>2054</v>
      </c>
      <c r="AX119" s="716">
        <v>1</v>
      </c>
      <c r="AY119" s="716">
        <v>1</v>
      </c>
      <c r="AZ119" s="716">
        <v>0</v>
      </c>
      <c r="BA119" s="499">
        <f t="shared" si="159"/>
        <v>417.93299999999999</v>
      </c>
      <c r="BB119" s="499">
        <f t="shared" si="197"/>
        <v>417.93299999999999</v>
      </c>
      <c r="BC119" s="499">
        <f t="shared" si="197"/>
        <v>417.93299999999999</v>
      </c>
      <c r="BD119" s="499">
        <f t="shared" si="197"/>
        <v>417.93299999999999</v>
      </c>
      <c r="BE119" s="499">
        <f t="shared" si="161"/>
        <v>417.93299999999999</v>
      </c>
      <c r="BF119" s="499">
        <f t="shared" si="161"/>
        <v>417.93299999999999</v>
      </c>
      <c r="BG119" s="499">
        <f t="shared" si="161"/>
        <v>417.93299999999999</v>
      </c>
      <c r="BH119" s="499">
        <f t="shared" si="162"/>
        <v>0</v>
      </c>
      <c r="BI119" s="499">
        <f t="shared" si="198"/>
        <v>0</v>
      </c>
      <c r="BJ119" s="499">
        <f t="shared" si="198"/>
        <v>0</v>
      </c>
      <c r="BK119" s="499">
        <f t="shared" si="198"/>
        <v>0</v>
      </c>
      <c r="BL119" s="499">
        <f t="shared" si="198"/>
        <v>0</v>
      </c>
      <c r="BM119" s="499">
        <f t="shared" si="198"/>
        <v>0</v>
      </c>
      <c r="BN119" s="499">
        <f t="shared" si="198"/>
        <v>0</v>
      </c>
      <c r="BO119" s="499">
        <f t="shared" si="164"/>
        <v>210</v>
      </c>
      <c r="BP119" s="499">
        <f t="shared" si="202"/>
        <v>210</v>
      </c>
      <c r="BQ119" s="499">
        <f t="shared" si="202"/>
        <v>210</v>
      </c>
      <c r="BR119" s="499">
        <f t="shared" si="202"/>
        <v>210</v>
      </c>
      <c r="BS119" s="499">
        <f t="shared" si="202"/>
        <v>210</v>
      </c>
      <c r="BT119" s="499">
        <f t="shared" si="202"/>
        <v>210</v>
      </c>
      <c r="BU119" s="499">
        <f t="shared" si="202"/>
        <v>210</v>
      </c>
      <c r="BV119" s="503">
        <f t="shared" si="189"/>
        <v>0</v>
      </c>
      <c r="BW119" s="503">
        <f t="shared" si="189"/>
        <v>0</v>
      </c>
      <c r="BX119" s="503">
        <f t="shared" si="189"/>
        <v>0</v>
      </c>
      <c r="BY119" s="503">
        <f t="shared" si="189"/>
        <v>0</v>
      </c>
      <c r="BZ119" s="503">
        <f t="shared" si="189"/>
        <v>0</v>
      </c>
      <c r="CA119" s="503">
        <f t="shared" si="189"/>
        <v>0</v>
      </c>
      <c r="CB119" s="503">
        <f t="shared" si="189"/>
        <v>0</v>
      </c>
      <c r="CC119" s="511">
        <f t="shared" si="167"/>
        <v>202.00221957552003</v>
      </c>
      <c r="CD119" s="511">
        <f t="shared" si="199"/>
        <v>202.00221957552003</v>
      </c>
      <c r="CE119" s="511">
        <f t="shared" si="199"/>
        <v>202.00221957552003</v>
      </c>
      <c r="CF119" s="511">
        <f t="shared" si="199"/>
        <v>202.00221957552003</v>
      </c>
      <c r="CG119" s="511">
        <f t="shared" si="199"/>
        <v>202.00221957552003</v>
      </c>
      <c r="CH119" s="511">
        <f t="shared" si="199"/>
        <v>202.00221957552003</v>
      </c>
      <c r="CI119" s="511">
        <f t="shared" si="199"/>
        <v>202.00221957552003</v>
      </c>
      <c r="CJ119" s="511">
        <f t="shared" si="169"/>
        <v>0.16283946197183058</v>
      </c>
      <c r="CK119" s="511">
        <f t="shared" si="200"/>
        <v>0.16283946197183058</v>
      </c>
      <c r="CL119" s="511">
        <f t="shared" si="200"/>
        <v>0.16283946197183058</v>
      </c>
      <c r="CM119" s="511">
        <f t="shared" si="200"/>
        <v>0.16283946197183058</v>
      </c>
      <c r="CN119" s="511">
        <f t="shared" si="200"/>
        <v>0.16283946197183058</v>
      </c>
      <c r="CO119" s="511">
        <f t="shared" si="200"/>
        <v>0.16283946197183058</v>
      </c>
      <c r="CP119" s="511">
        <f t="shared" si="200"/>
        <v>0.16283946197183058</v>
      </c>
      <c r="CQ119" s="511">
        <f t="shared" si="171"/>
        <v>0</v>
      </c>
      <c r="CR119" s="511">
        <f t="shared" si="201"/>
        <v>0</v>
      </c>
      <c r="CS119" s="511">
        <f t="shared" si="201"/>
        <v>0</v>
      </c>
      <c r="CT119" s="511">
        <f t="shared" si="201"/>
        <v>0</v>
      </c>
      <c r="CU119" s="511">
        <f t="shared" si="201"/>
        <v>0</v>
      </c>
      <c r="CV119" s="511">
        <f t="shared" si="201"/>
        <v>0</v>
      </c>
      <c r="CW119" s="511">
        <f t="shared" si="201"/>
        <v>0</v>
      </c>
      <c r="CX119" s="508">
        <f t="shared" si="173"/>
        <v>0</v>
      </c>
      <c r="CY119" s="508">
        <f t="shared" si="173"/>
        <v>0</v>
      </c>
      <c r="CZ119" s="508">
        <f t="shared" si="173"/>
        <v>0</v>
      </c>
      <c r="DA119" s="508">
        <f t="shared" si="173"/>
        <v>0</v>
      </c>
      <c r="DB119" s="508">
        <f t="shared" si="173"/>
        <v>0</v>
      </c>
      <c r="DC119" s="508">
        <f t="shared" si="173"/>
        <v>0</v>
      </c>
      <c r="DD119" s="508">
        <f t="shared" si="173"/>
        <v>0</v>
      </c>
      <c r="DE119" s="508">
        <f t="shared" si="174"/>
        <v>0</v>
      </c>
      <c r="DF119" s="508">
        <f t="shared" si="174"/>
        <v>0</v>
      </c>
      <c r="DG119" s="508">
        <f t="shared" si="174"/>
        <v>0</v>
      </c>
      <c r="DH119" s="508">
        <f t="shared" si="174"/>
        <v>0</v>
      </c>
      <c r="DI119" s="508">
        <f t="shared" si="174"/>
        <v>0</v>
      </c>
      <c r="DJ119" s="508">
        <f t="shared" si="174"/>
        <v>0</v>
      </c>
      <c r="DK119" s="508">
        <f t="shared" si="174"/>
        <v>0</v>
      </c>
      <c r="DL119" s="508">
        <f t="shared" si="175"/>
        <v>0</v>
      </c>
      <c r="DM119" s="508">
        <f t="shared" si="175"/>
        <v>0</v>
      </c>
      <c r="DN119" s="508">
        <f t="shared" si="175"/>
        <v>0</v>
      </c>
      <c r="DO119" s="508">
        <f t="shared" si="175"/>
        <v>0</v>
      </c>
      <c r="DP119" s="508">
        <f t="shared" si="175"/>
        <v>0</v>
      </c>
      <c r="DQ119" s="508">
        <f t="shared" si="175"/>
        <v>0</v>
      </c>
      <c r="DR119" s="508">
        <f t="shared" si="175"/>
        <v>0</v>
      </c>
      <c r="DS119" s="508">
        <f t="shared" si="190"/>
        <v>0</v>
      </c>
      <c r="DT119" s="508">
        <f t="shared" si="190"/>
        <v>0</v>
      </c>
      <c r="DU119" s="508">
        <f t="shared" si="190"/>
        <v>0</v>
      </c>
      <c r="DV119" s="508">
        <f t="shared" si="190"/>
        <v>0</v>
      </c>
      <c r="DW119" s="508">
        <f t="shared" si="190"/>
        <v>0</v>
      </c>
      <c r="DX119" s="508">
        <f t="shared" si="190"/>
        <v>0</v>
      </c>
      <c r="DY119" s="508">
        <f t="shared" si="190"/>
        <v>0</v>
      </c>
      <c r="DZ119" s="511">
        <f t="shared" si="177"/>
        <v>0</v>
      </c>
      <c r="EA119" s="511">
        <f t="shared" si="177"/>
        <v>0</v>
      </c>
      <c r="EB119" s="511">
        <f t="shared" si="177"/>
        <v>0</v>
      </c>
      <c r="EC119" s="511">
        <f t="shared" si="177"/>
        <v>0</v>
      </c>
      <c r="ED119" s="511">
        <f t="shared" si="177"/>
        <v>0</v>
      </c>
      <c r="EE119" s="511">
        <f t="shared" si="177"/>
        <v>0</v>
      </c>
      <c r="EF119" s="511">
        <f t="shared" si="177"/>
        <v>0</v>
      </c>
      <c r="EG119" s="511">
        <f t="shared" si="178"/>
        <v>0</v>
      </c>
      <c r="EH119" s="511">
        <f t="shared" si="178"/>
        <v>0</v>
      </c>
      <c r="EI119" s="511">
        <f t="shared" si="178"/>
        <v>0</v>
      </c>
      <c r="EJ119" s="511">
        <f t="shared" si="178"/>
        <v>0</v>
      </c>
      <c r="EK119" s="511">
        <f t="shared" si="178"/>
        <v>0</v>
      </c>
      <c r="EL119" s="511">
        <f t="shared" si="178"/>
        <v>0</v>
      </c>
      <c r="EM119" s="511">
        <f t="shared" si="178"/>
        <v>0</v>
      </c>
      <c r="EN119" s="511">
        <f t="shared" si="179"/>
        <v>0</v>
      </c>
      <c r="EO119" s="511">
        <f t="shared" si="179"/>
        <v>0</v>
      </c>
      <c r="EP119" s="511">
        <f t="shared" si="179"/>
        <v>0</v>
      </c>
      <c r="EQ119" s="511">
        <f t="shared" si="179"/>
        <v>0</v>
      </c>
      <c r="ER119" s="511">
        <f t="shared" si="179"/>
        <v>0</v>
      </c>
      <c r="ES119" s="511">
        <f t="shared" si="179"/>
        <v>0</v>
      </c>
      <c r="ET119" s="511">
        <f t="shared" si="179"/>
        <v>0</v>
      </c>
      <c r="EU119" s="777">
        <f t="shared" si="191"/>
        <v>0</v>
      </c>
      <c r="EV119" s="728">
        <f t="shared" si="181"/>
        <v>0</v>
      </c>
      <c r="EW119" s="728">
        <f t="shared" si="182"/>
        <v>0</v>
      </c>
      <c r="EX119" s="728">
        <f t="shared" si="183"/>
        <v>0</v>
      </c>
      <c r="EY119" s="728">
        <f t="shared" si="184"/>
        <v>0</v>
      </c>
      <c r="EZ119" s="777">
        <f t="shared" si="185"/>
        <v>0</v>
      </c>
      <c r="FA119" s="777">
        <f t="shared" si="186"/>
        <v>0</v>
      </c>
      <c r="FB119" s="778">
        <f t="shared" si="187"/>
        <v>0</v>
      </c>
    </row>
    <row r="120" spans="1:158" s="10" customFormat="1" ht="12.75" hidden="1" customHeight="1">
      <c r="A120" s="662" t="s">
        <v>250</v>
      </c>
      <c r="B120" s="789" t="s">
        <v>2208</v>
      </c>
      <c r="C120" s="662" t="s">
        <v>2056</v>
      </c>
      <c r="D120" s="715" t="s">
        <v>2050</v>
      </c>
      <c r="E120" s="662" t="s">
        <v>331</v>
      </c>
      <c r="F120" s="704" t="s">
        <v>402</v>
      </c>
      <c r="G120" s="707">
        <f t="shared" si="194"/>
        <v>-1872.0323100000001</v>
      </c>
      <c r="H120" s="707">
        <f t="shared" si="194"/>
        <v>0</v>
      </c>
      <c r="I120" s="707">
        <f t="shared" si="194"/>
        <v>-1872.0323100000001</v>
      </c>
      <c r="J120" s="707">
        <f t="shared" si="194"/>
        <v>0</v>
      </c>
      <c r="K120" s="707">
        <f t="shared" si="194"/>
        <v>-936.01615500000003</v>
      </c>
      <c r="L120" s="1263" t="str">
        <f t="shared" si="194"/>
        <v>Xcel TRM 2015/2016 Demand-Side Management Plan pg. 472; PSCC Proceding No. 14A-1057EG, High Efficiency Air Conditioning, Accessed 6/7/2016 - https://www.xcelenergy.com/staticfiles/xe/Regulatory/Regulatory%20PDFs/EvaporativeCoolingEvaluationFile.pdf. A two-</v>
      </c>
      <c r="M120" s="707" t="str">
        <f t="shared" si="194"/>
        <v>NA</v>
      </c>
      <c r="N120" s="707">
        <f t="shared" si="194"/>
        <v>15</v>
      </c>
      <c r="O120" s="707">
        <f t="shared" si="194"/>
        <v>0</v>
      </c>
      <c r="P120" s="707">
        <f t="shared" si="194"/>
        <v>0</v>
      </c>
      <c r="Q120" s="1022">
        <v>2643.4072689535774</v>
      </c>
      <c r="R120" s="872">
        <v>2.1309222163665349</v>
      </c>
      <c r="S120" s="1022">
        <v>0</v>
      </c>
      <c r="T120" s="711" t="str">
        <f t="shared" si="188"/>
        <v>Potential Study Results: End use usage based on prototypical building simulations adjusted by CDD to the region.</v>
      </c>
      <c r="U120" s="712"/>
      <c r="V120" s="1124">
        <f t="shared" si="156"/>
        <v>0</v>
      </c>
      <c r="W120" s="790"/>
      <c r="X120" s="790"/>
      <c r="Y120" s="790"/>
      <c r="Z120" s="790"/>
      <c r="AA120" s="790"/>
      <c r="AB120" s="790"/>
      <c r="AC120" s="781">
        <f t="shared" si="204"/>
        <v>0</v>
      </c>
      <c r="AD120" s="781">
        <f t="shared" si="204"/>
        <v>0</v>
      </c>
      <c r="AE120" s="781">
        <f t="shared" si="204"/>
        <v>0</v>
      </c>
      <c r="AF120" s="781">
        <f t="shared" si="204"/>
        <v>0</v>
      </c>
      <c r="AG120" s="781">
        <f t="shared" si="204"/>
        <v>0</v>
      </c>
      <c r="AH120" s="781">
        <f t="shared" si="196"/>
        <v>0</v>
      </c>
      <c r="AI120" s="781">
        <f t="shared" si="196"/>
        <v>0</v>
      </c>
      <c r="AJ120" s="711" t="s">
        <v>384</v>
      </c>
      <c r="AK120" s="711" t="s">
        <v>375</v>
      </c>
      <c r="AL120" s="711" t="s">
        <v>376</v>
      </c>
      <c r="AM120" s="711" t="s">
        <v>2002</v>
      </c>
      <c r="AN120" s="711" t="s">
        <v>1</v>
      </c>
      <c r="AO120" s="711" t="s">
        <v>2058</v>
      </c>
      <c r="AP120" s="711" t="s">
        <v>1702</v>
      </c>
      <c r="AQ120" s="711" t="s">
        <v>339</v>
      </c>
      <c r="AR120" s="715" t="s">
        <v>406</v>
      </c>
      <c r="AS120" s="715"/>
      <c r="AT120" s="715" t="s">
        <v>381</v>
      </c>
      <c r="AU120" s="711">
        <v>15</v>
      </c>
      <c r="AV120" s="711">
        <v>15</v>
      </c>
      <c r="AW120" s="711" t="s">
        <v>2059</v>
      </c>
      <c r="AX120" s="716">
        <v>1</v>
      </c>
      <c r="AY120" s="716">
        <v>1</v>
      </c>
      <c r="AZ120" s="716">
        <v>0</v>
      </c>
      <c r="BA120" s="499">
        <f t="shared" si="159"/>
        <v>-1872.0323100000001</v>
      </c>
      <c r="BB120" s="499">
        <f t="shared" si="197"/>
        <v>-1872.0323100000001</v>
      </c>
      <c r="BC120" s="499">
        <f t="shared" si="197"/>
        <v>-1872.0323100000001</v>
      </c>
      <c r="BD120" s="499">
        <f t="shared" si="197"/>
        <v>-1872.0323100000001</v>
      </c>
      <c r="BE120" s="499">
        <f t="shared" si="161"/>
        <v>-1872.0323100000001</v>
      </c>
      <c r="BF120" s="499">
        <f t="shared" si="161"/>
        <v>-1872.0323100000001</v>
      </c>
      <c r="BG120" s="499">
        <f t="shared" si="161"/>
        <v>-1872.0323100000001</v>
      </c>
      <c r="BH120" s="499">
        <f t="shared" si="162"/>
        <v>0</v>
      </c>
      <c r="BI120" s="499">
        <f t="shared" si="198"/>
        <v>0</v>
      </c>
      <c r="BJ120" s="499">
        <f t="shared" si="198"/>
        <v>0</v>
      </c>
      <c r="BK120" s="499">
        <f t="shared" si="198"/>
        <v>0</v>
      </c>
      <c r="BL120" s="499">
        <f t="shared" si="198"/>
        <v>0</v>
      </c>
      <c r="BM120" s="499">
        <f t="shared" si="198"/>
        <v>0</v>
      </c>
      <c r="BN120" s="499">
        <f t="shared" si="198"/>
        <v>0</v>
      </c>
      <c r="BO120" s="499">
        <f t="shared" si="164"/>
        <v>15</v>
      </c>
      <c r="BP120" s="499">
        <f t="shared" si="202"/>
        <v>15</v>
      </c>
      <c r="BQ120" s="499">
        <f t="shared" si="202"/>
        <v>15</v>
      </c>
      <c r="BR120" s="499">
        <f t="shared" si="202"/>
        <v>15</v>
      </c>
      <c r="BS120" s="499">
        <f t="shared" si="202"/>
        <v>15</v>
      </c>
      <c r="BT120" s="499">
        <f t="shared" si="202"/>
        <v>15</v>
      </c>
      <c r="BU120" s="499">
        <f t="shared" si="202"/>
        <v>15</v>
      </c>
      <c r="BV120" s="503">
        <f t="shared" si="189"/>
        <v>0</v>
      </c>
      <c r="BW120" s="503">
        <f t="shared" si="189"/>
        <v>0</v>
      </c>
      <c r="BX120" s="503">
        <f t="shared" si="189"/>
        <v>0</v>
      </c>
      <c r="BY120" s="503">
        <f t="shared" si="189"/>
        <v>0</v>
      </c>
      <c r="BZ120" s="503">
        <f t="shared" si="189"/>
        <v>0</v>
      </c>
      <c r="CA120" s="503">
        <f t="shared" si="189"/>
        <v>0</v>
      </c>
      <c r="CB120" s="503">
        <f t="shared" si="189"/>
        <v>0</v>
      </c>
      <c r="CC120" s="511">
        <f t="shared" si="167"/>
        <v>2643.4072689535774</v>
      </c>
      <c r="CD120" s="511">
        <f t="shared" si="199"/>
        <v>2643.4072689535774</v>
      </c>
      <c r="CE120" s="511">
        <f t="shared" si="199"/>
        <v>2643.4072689535774</v>
      </c>
      <c r="CF120" s="511">
        <f t="shared" si="199"/>
        <v>2643.4072689535774</v>
      </c>
      <c r="CG120" s="511">
        <f t="shared" si="199"/>
        <v>2643.4072689535774</v>
      </c>
      <c r="CH120" s="511">
        <f t="shared" si="199"/>
        <v>2643.4072689535774</v>
      </c>
      <c r="CI120" s="511">
        <f t="shared" si="199"/>
        <v>2643.4072689535774</v>
      </c>
      <c r="CJ120" s="511">
        <f t="shared" si="169"/>
        <v>2.1309222163665349</v>
      </c>
      <c r="CK120" s="511">
        <f t="shared" si="200"/>
        <v>2.1309222163665349</v>
      </c>
      <c r="CL120" s="511">
        <f t="shared" si="200"/>
        <v>2.1309222163665349</v>
      </c>
      <c r="CM120" s="511">
        <f t="shared" si="200"/>
        <v>2.1309222163665349</v>
      </c>
      <c r="CN120" s="511">
        <f t="shared" si="200"/>
        <v>2.1309222163665349</v>
      </c>
      <c r="CO120" s="511">
        <f t="shared" si="200"/>
        <v>2.1309222163665349</v>
      </c>
      <c r="CP120" s="511">
        <f t="shared" si="200"/>
        <v>2.1309222163665349</v>
      </c>
      <c r="CQ120" s="511">
        <f t="shared" si="171"/>
        <v>0</v>
      </c>
      <c r="CR120" s="511">
        <f t="shared" si="201"/>
        <v>0</v>
      </c>
      <c r="CS120" s="511">
        <f t="shared" si="201"/>
        <v>0</v>
      </c>
      <c r="CT120" s="511">
        <f t="shared" si="201"/>
        <v>0</v>
      </c>
      <c r="CU120" s="511">
        <f t="shared" si="201"/>
        <v>0</v>
      </c>
      <c r="CV120" s="511">
        <f t="shared" si="201"/>
        <v>0</v>
      </c>
      <c r="CW120" s="511">
        <f t="shared" si="201"/>
        <v>0</v>
      </c>
      <c r="CX120" s="508">
        <f t="shared" si="173"/>
        <v>0</v>
      </c>
      <c r="CY120" s="508">
        <f t="shared" si="173"/>
        <v>0</v>
      </c>
      <c r="CZ120" s="508">
        <f t="shared" si="173"/>
        <v>0</v>
      </c>
      <c r="DA120" s="508">
        <f t="shared" si="173"/>
        <v>0</v>
      </c>
      <c r="DB120" s="508">
        <f t="shared" si="173"/>
        <v>0</v>
      </c>
      <c r="DC120" s="508">
        <f t="shared" si="173"/>
        <v>0</v>
      </c>
      <c r="DD120" s="508">
        <f t="shared" si="173"/>
        <v>0</v>
      </c>
      <c r="DE120" s="508">
        <f t="shared" si="174"/>
        <v>0</v>
      </c>
      <c r="DF120" s="508">
        <f t="shared" si="174"/>
        <v>0</v>
      </c>
      <c r="DG120" s="508">
        <f t="shared" si="174"/>
        <v>0</v>
      </c>
      <c r="DH120" s="508">
        <f t="shared" si="174"/>
        <v>0</v>
      </c>
      <c r="DI120" s="508">
        <f t="shared" si="174"/>
        <v>0</v>
      </c>
      <c r="DJ120" s="508">
        <f t="shared" si="174"/>
        <v>0</v>
      </c>
      <c r="DK120" s="508">
        <f t="shared" si="174"/>
        <v>0</v>
      </c>
      <c r="DL120" s="508">
        <f t="shared" si="175"/>
        <v>0</v>
      </c>
      <c r="DM120" s="508">
        <f t="shared" si="175"/>
        <v>0</v>
      </c>
      <c r="DN120" s="508">
        <f t="shared" si="175"/>
        <v>0</v>
      </c>
      <c r="DO120" s="508">
        <f t="shared" si="175"/>
        <v>0</v>
      </c>
      <c r="DP120" s="508">
        <f t="shared" si="175"/>
        <v>0</v>
      </c>
      <c r="DQ120" s="508">
        <f t="shared" si="175"/>
        <v>0</v>
      </c>
      <c r="DR120" s="508">
        <f t="shared" si="175"/>
        <v>0</v>
      </c>
      <c r="DS120" s="508">
        <f t="shared" si="190"/>
        <v>0</v>
      </c>
      <c r="DT120" s="508">
        <f t="shared" si="190"/>
        <v>0</v>
      </c>
      <c r="DU120" s="508">
        <f t="shared" si="190"/>
        <v>0</v>
      </c>
      <c r="DV120" s="508">
        <f t="shared" si="190"/>
        <v>0</v>
      </c>
      <c r="DW120" s="508">
        <f t="shared" si="190"/>
        <v>0</v>
      </c>
      <c r="DX120" s="508">
        <f t="shared" si="190"/>
        <v>0</v>
      </c>
      <c r="DY120" s="508">
        <f t="shared" si="190"/>
        <v>0</v>
      </c>
      <c r="DZ120" s="511">
        <f t="shared" si="177"/>
        <v>0</v>
      </c>
      <c r="EA120" s="511">
        <f t="shared" si="177"/>
        <v>0</v>
      </c>
      <c r="EB120" s="511">
        <f t="shared" si="177"/>
        <v>0</v>
      </c>
      <c r="EC120" s="511">
        <f t="shared" si="177"/>
        <v>0</v>
      </c>
      <c r="ED120" s="511">
        <f t="shared" si="177"/>
        <v>0</v>
      </c>
      <c r="EE120" s="511">
        <f t="shared" si="177"/>
        <v>0</v>
      </c>
      <c r="EF120" s="511">
        <f t="shared" si="177"/>
        <v>0</v>
      </c>
      <c r="EG120" s="511">
        <f t="shared" si="178"/>
        <v>0</v>
      </c>
      <c r="EH120" s="511">
        <f t="shared" si="178"/>
        <v>0</v>
      </c>
      <c r="EI120" s="511">
        <f t="shared" si="178"/>
        <v>0</v>
      </c>
      <c r="EJ120" s="511">
        <f t="shared" si="178"/>
        <v>0</v>
      </c>
      <c r="EK120" s="511">
        <f t="shared" si="178"/>
        <v>0</v>
      </c>
      <c r="EL120" s="511">
        <f t="shared" si="178"/>
        <v>0</v>
      </c>
      <c r="EM120" s="511">
        <f t="shared" si="178"/>
        <v>0</v>
      </c>
      <c r="EN120" s="511">
        <f t="shared" si="179"/>
        <v>0</v>
      </c>
      <c r="EO120" s="511">
        <f t="shared" si="179"/>
        <v>0</v>
      </c>
      <c r="EP120" s="511">
        <f t="shared" si="179"/>
        <v>0</v>
      </c>
      <c r="EQ120" s="511">
        <f t="shared" si="179"/>
        <v>0</v>
      </c>
      <c r="ER120" s="511">
        <f t="shared" si="179"/>
        <v>0</v>
      </c>
      <c r="ES120" s="511">
        <f t="shared" si="179"/>
        <v>0</v>
      </c>
      <c r="ET120" s="511">
        <f t="shared" si="179"/>
        <v>0</v>
      </c>
      <c r="EU120" s="777">
        <f t="shared" si="191"/>
        <v>0</v>
      </c>
      <c r="EV120" s="728">
        <f t="shared" si="181"/>
        <v>0</v>
      </c>
      <c r="EW120" s="728">
        <f t="shared" si="182"/>
        <v>0</v>
      </c>
      <c r="EX120" s="728">
        <f t="shared" si="183"/>
        <v>0</v>
      </c>
      <c r="EY120" s="728">
        <f t="shared" si="184"/>
        <v>0</v>
      </c>
      <c r="EZ120" s="777">
        <f t="shared" si="185"/>
        <v>0</v>
      </c>
      <c r="FA120" s="777">
        <f t="shared" si="186"/>
        <v>0</v>
      </c>
      <c r="FB120" s="778">
        <f t="shared" si="187"/>
        <v>0</v>
      </c>
    </row>
    <row r="121" spans="1:158" s="10" customFormat="1" ht="12.75" hidden="1" customHeight="1">
      <c r="A121" s="662" t="s">
        <v>251</v>
      </c>
      <c r="B121" s="789" t="s">
        <v>2209</v>
      </c>
      <c r="C121" s="662" t="s">
        <v>2060</v>
      </c>
      <c r="D121" s="715" t="s">
        <v>2061</v>
      </c>
      <c r="E121" s="662" t="s">
        <v>331</v>
      </c>
      <c r="F121" s="704" t="s">
        <v>402</v>
      </c>
      <c r="G121" s="707">
        <f t="shared" si="194"/>
        <v>340.28</v>
      </c>
      <c r="H121" s="707">
        <f t="shared" si="194"/>
        <v>0</v>
      </c>
      <c r="I121" s="707">
        <f t="shared" si="194"/>
        <v>340.28</v>
      </c>
      <c r="J121" s="707">
        <f t="shared" si="194"/>
        <v>0</v>
      </c>
      <c r="K121" s="707">
        <f t="shared" si="194"/>
        <v>170.14</v>
      </c>
      <c r="L121" s="1263" t="str">
        <f t="shared" si="194"/>
        <v>2012 - Cadmus Evaluation of a Mid-Atlantic Utility Program</v>
      </c>
      <c r="M121" s="707" t="str">
        <f t="shared" si="194"/>
        <v>NA</v>
      </c>
      <c r="N121" s="707">
        <f t="shared" si="194"/>
        <v>170</v>
      </c>
      <c r="O121" s="707">
        <f t="shared" si="194"/>
        <v>0</v>
      </c>
      <c r="P121" s="707">
        <f t="shared" si="194"/>
        <v>0</v>
      </c>
      <c r="Q121" s="1022">
        <v>420.54276325570027</v>
      </c>
      <c r="R121" s="872">
        <v>0.33901091507117342</v>
      </c>
      <c r="S121" s="1022">
        <v>0</v>
      </c>
      <c r="T121" s="711" t="str">
        <f t="shared" si="188"/>
        <v>Potential Study Results: End use usage based on prototypical building simulations adjusted by HDD to the region.</v>
      </c>
      <c r="U121" s="712"/>
      <c r="V121" s="1124">
        <f t="shared" si="156"/>
        <v>0</v>
      </c>
      <c r="W121" s="790"/>
      <c r="X121" s="790"/>
      <c r="Y121" s="790"/>
      <c r="Z121" s="790"/>
      <c r="AA121" s="790"/>
      <c r="AB121" s="790"/>
      <c r="AC121" s="781">
        <f t="shared" si="204"/>
        <v>0</v>
      </c>
      <c r="AD121" s="781">
        <f t="shared" si="204"/>
        <v>0</v>
      </c>
      <c r="AE121" s="781">
        <f t="shared" si="204"/>
        <v>0</v>
      </c>
      <c r="AF121" s="781">
        <f t="shared" si="204"/>
        <v>0</v>
      </c>
      <c r="AG121" s="781">
        <f t="shared" si="204"/>
        <v>0</v>
      </c>
      <c r="AH121" s="781">
        <f t="shared" si="196"/>
        <v>0</v>
      </c>
      <c r="AI121" s="781">
        <f t="shared" si="196"/>
        <v>0</v>
      </c>
      <c r="AJ121" s="711" t="s">
        <v>384</v>
      </c>
      <c r="AK121" s="711" t="s">
        <v>375</v>
      </c>
      <c r="AL121" s="711" t="s">
        <v>376</v>
      </c>
      <c r="AM121" s="711" t="s">
        <v>2064</v>
      </c>
      <c r="AN121" s="711" t="s">
        <v>1</v>
      </c>
      <c r="AO121" s="711" t="s">
        <v>2065</v>
      </c>
      <c r="AP121" s="711" t="s">
        <v>1702</v>
      </c>
      <c r="AQ121" s="711" t="s">
        <v>339</v>
      </c>
      <c r="AR121" s="715" t="s">
        <v>406</v>
      </c>
      <c r="AS121" s="715"/>
      <c r="AT121" s="715" t="s">
        <v>381</v>
      </c>
      <c r="AU121" s="711">
        <v>15</v>
      </c>
      <c r="AV121" s="711">
        <v>15</v>
      </c>
      <c r="AW121" s="711" t="s">
        <v>2066</v>
      </c>
      <c r="AX121" s="716">
        <v>1</v>
      </c>
      <c r="AY121" s="716">
        <v>1</v>
      </c>
      <c r="AZ121" s="716">
        <v>0</v>
      </c>
      <c r="BA121" s="499">
        <f t="shared" si="159"/>
        <v>340.28</v>
      </c>
      <c r="BB121" s="499">
        <f t="shared" si="197"/>
        <v>340.28</v>
      </c>
      <c r="BC121" s="499">
        <f t="shared" si="197"/>
        <v>340.28</v>
      </c>
      <c r="BD121" s="499">
        <f t="shared" si="197"/>
        <v>340.28</v>
      </c>
      <c r="BE121" s="499">
        <f t="shared" si="161"/>
        <v>340.28</v>
      </c>
      <c r="BF121" s="499">
        <f t="shared" si="161"/>
        <v>340.28</v>
      </c>
      <c r="BG121" s="499">
        <f t="shared" si="161"/>
        <v>340.28</v>
      </c>
      <c r="BH121" s="499">
        <f t="shared" si="162"/>
        <v>0</v>
      </c>
      <c r="BI121" s="499">
        <f t="shared" si="198"/>
        <v>0</v>
      </c>
      <c r="BJ121" s="499">
        <f t="shared" si="198"/>
        <v>0</v>
      </c>
      <c r="BK121" s="499">
        <f t="shared" si="198"/>
        <v>0</v>
      </c>
      <c r="BL121" s="499">
        <f t="shared" si="198"/>
        <v>0</v>
      </c>
      <c r="BM121" s="499">
        <f t="shared" si="198"/>
        <v>0</v>
      </c>
      <c r="BN121" s="499">
        <f t="shared" si="198"/>
        <v>0</v>
      </c>
      <c r="BO121" s="499">
        <f t="shared" si="164"/>
        <v>170</v>
      </c>
      <c r="BP121" s="499">
        <f t="shared" si="202"/>
        <v>170</v>
      </c>
      <c r="BQ121" s="499">
        <f t="shared" si="202"/>
        <v>170</v>
      </c>
      <c r="BR121" s="499">
        <f t="shared" si="202"/>
        <v>170</v>
      </c>
      <c r="BS121" s="499">
        <f t="shared" si="202"/>
        <v>170</v>
      </c>
      <c r="BT121" s="499">
        <f t="shared" si="202"/>
        <v>170</v>
      </c>
      <c r="BU121" s="499">
        <f t="shared" si="202"/>
        <v>170</v>
      </c>
      <c r="BV121" s="503">
        <f t="shared" si="189"/>
        <v>0</v>
      </c>
      <c r="BW121" s="503">
        <f t="shared" si="189"/>
        <v>0</v>
      </c>
      <c r="BX121" s="503">
        <f t="shared" si="189"/>
        <v>0</v>
      </c>
      <c r="BY121" s="503">
        <f t="shared" si="189"/>
        <v>0</v>
      </c>
      <c r="BZ121" s="503">
        <f t="shared" si="189"/>
        <v>0</v>
      </c>
      <c r="CA121" s="503">
        <f t="shared" si="189"/>
        <v>0</v>
      </c>
      <c r="CB121" s="503">
        <f t="shared" si="189"/>
        <v>0</v>
      </c>
      <c r="CC121" s="511">
        <f t="shared" si="167"/>
        <v>420.54276325570027</v>
      </c>
      <c r="CD121" s="511">
        <f t="shared" si="199"/>
        <v>420.54276325570027</v>
      </c>
      <c r="CE121" s="511">
        <f t="shared" si="199"/>
        <v>420.54276325570027</v>
      </c>
      <c r="CF121" s="511">
        <f t="shared" si="199"/>
        <v>420.54276325570027</v>
      </c>
      <c r="CG121" s="511">
        <f t="shared" si="199"/>
        <v>420.54276325570027</v>
      </c>
      <c r="CH121" s="511">
        <f t="shared" si="199"/>
        <v>420.54276325570027</v>
      </c>
      <c r="CI121" s="511">
        <f t="shared" si="199"/>
        <v>420.54276325570027</v>
      </c>
      <c r="CJ121" s="511">
        <f t="shared" si="169"/>
        <v>0.33901091507117342</v>
      </c>
      <c r="CK121" s="511">
        <f t="shared" si="200"/>
        <v>0.33901091507117342</v>
      </c>
      <c r="CL121" s="511">
        <f t="shared" si="200"/>
        <v>0.33901091507117342</v>
      </c>
      <c r="CM121" s="511">
        <f t="shared" si="200"/>
        <v>0.33901091507117342</v>
      </c>
      <c r="CN121" s="511">
        <f t="shared" si="200"/>
        <v>0.33901091507117342</v>
      </c>
      <c r="CO121" s="511">
        <f t="shared" si="200"/>
        <v>0.33901091507117342</v>
      </c>
      <c r="CP121" s="511">
        <f t="shared" si="200"/>
        <v>0.33901091507117342</v>
      </c>
      <c r="CQ121" s="511">
        <f t="shared" si="171"/>
        <v>0</v>
      </c>
      <c r="CR121" s="511">
        <f t="shared" si="201"/>
        <v>0</v>
      </c>
      <c r="CS121" s="511">
        <f t="shared" si="201"/>
        <v>0</v>
      </c>
      <c r="CT121" s="511">
        <f t="shared" si="201"/>
        <v>0</v>
      </c>
      <c r="CU121" s="511">
        <f t="shared" si="201"/>
        <v>0</v>
      </c>
      <c r="CV121" s="511">
        <f t="shared" si="201"/>
        <v>0</v>
      </c>
      <c r="CW121" s="511">
        <f t="shared" si="201"/>
        <v>0</v>
      </c>
      <c r="CX121" s="508">
        <f t="shared" si="173"/>
        <v>0</v>
      </c>
      <c r="CY121" s="508">
        <f t="shared" si="173"/>
        <v>0</v>
      </c>
      <c r="CZ121" s="508">
        <f t="shared" si="173"/>
        <v>0</v>
      </c>
      <c r="DA121" s="508">
        <f t="shared" si="173"/>
        <v>0</v>
      </c>
      <c r="DB121" s="508">
        <f t="shared" si="173"/>
        <v>0</v>
      </c>
      <c r="DC121" s="508">
        <f t="shared" si="173"/>
        <v>0</v>
      </c>
      <c r="DD121" s="508">
        <f t="shared" si="173"/>
        <v>0</v>
      </c>
      <c r="DE121" s="508">
        <f t="shared" si="174"/>
        <v>0</v>
      </c>
      <c r="DF121" s="508">
        <f t="shared" si="174"/>
        <v>0</v>
      </c>
      <c r="DG121" s="508">
        <f t="shared" si="174"/>
        <v>0</v>
      </c>
      <c r="DH121" s="508">
        <f t="shared" si="174"/>
        <v>0</v>
      </c>
      <c r="DI121" s="508">
        <f t="shared" si="174"/>
        <v>0</v>
      </c>
      <c r="DJ121" s="508">
        <f t="shared" si="174"/>
        <v>0</v>
      </c>
      <c r="DK121" s="508">
        <f t="shared" si="174"/>
        <v>0</v>
      </c>
      <c r="DL121" s="508">
        <f t="shared" si="175"/>
        <v>0</v>
      </c>
      <c r="DM121" s="508">
        <f t="shared" si="175"/>
        <v>0</v>
      </c>
      <c r="DN121" s="508">
        <f t="shared" si="175"/>
        <v>0</v>
      </c>
      <c r="DO121" s="508">
        <f t="shared" si="175"/>
        <v>0</v>
      </c>
      <c r="DP121" s="508">
        <f t="shared" si="175"/>
        <v>0</v>
      </c>
      <c r="DQ121" s="508">
        <f t="shared" si="175"/>
        <v>0</v>
      </c>
      <c r="DR121" s="508">
        <f t="shared" si="175"/>
        <v>0</v>
      </c>
      <c r="DS121" s="508">
        <f t="shared" si="190"/>
        <v>0</v>
      </c>
      <c r="DT121" s="508">
        <f t="shared" si="190"/>
        <v>0</v>
      </c>
      <c r="DU121" s="508">
        <f t="shared" si="190"/>
        <v>0</v>
      </c>
      <c r="DV121" s="508">
        <f t="shared" si="190"/>
        <v>0</v>
      </c>
      <c r="DW121" s="508">
        <f t="shared" si="190"/>
        <v>0</v>
      </c>
      <c r="DX121" s="508">
        <f t="shared" si="190"/>
        <v>0</v>
      </c>
      <c r="DY121" s="508">
        <f t="shared" si="190"/>
        <v>0</v>
      </c>
      <c r="DZ121" s="511">
        <f t="shared" si="177"/>
        <v>0</v>
      </c>
      <c r="EA121" s="511">
        <f t="shared" si="177"/>
        <v>0</v>
      </c>
      <c r="EB121" s="511">
        <f t="shared" si="177"/>
        <v>0</v>
      </c>
      <c r="EC121" s="511">
        <f t="shared" si="177"/>
        <v>0</v>
      </c>
      <c r="ED121" s="511">
        <f t="shared" si="177"/>
        <v>0</v>
      </c>
      <c r="EE121" s="511">
        <f t="shared" si="177"/>
        <v>0</v>
      </c>
      <c r="EF121" s="511">
        <f t="shared" si="177"/>
        <v>0</v>
      </c>
      <c r="EG121" s="511">
        <f t="shared" si="178"/>
        <v>0</v>
      </c>
      <c r="EH121" s="511">
        <f t="shared" si="178"/>
        <v>0</v>
      </c>
      <c r="EI121" s="511">
        <f t="shared" si="178"/>
        <v>0</v>
      </c>
      <c r="EJ121" s="511">
        <f t="shared" si="178"/>
        <v>0</v>
      </c>
      <c r="EK121" s="511">
        <f t="shared" si="178"/>
        <v>0</v>
      </c>
      <c r="EL121" s="511">
        <f t="shared" si="178"/>
        <v>0</v>
      </c>
      <c r="EM121" s="511">
        <f t="shared" si="178"/>
        <v>0</v>
      </c>
      <c r="EN121" s="511">
        <f t="shared" si="179"/>
        <v>0</v>
      </c>
      <c r="EO121" s="511">
        <f t="shared" si="179"/>
        <v>0</v>
      </c>
      <c r="EP121" s="511">
        <f t="shared" si="179"/>
        <v>0</v>
      </c>
      <c r="EQ121" s="511">
        <f t="shared" si="179"/>
        <v>0</v>
      </c>
      <c r="ER121" s="511">
        <f t="shared" si="179"/>
        <v>0</v>
      </c>
      <c r="ES121" s="511">
        <f t="shared" si="179"/>
        <v>0</v>
      </c>
      <c r="ET121" s="511">
        <f t="shared" si="179"/>
        <v>0</v>
      </c>
      <c r="EU121" s="777">
        <f t="shared" si="191"/>
        <v>0</v>
      </c>
      <c r="EV121" s="728">
        <f t="shared" si="181"/>
        <v>0</v>
      </c>
      <c r="EW121" s="728">
        <f t="shared" si="182"/>
        <v>0</v>
      </c>
      <c r="EX121" s="728">
        <f t="shared" si="183"/>
        <v>0</v>
      </c>
      <c r="EY121" s="728">
        <f t="shared" si="184"/>
        <v>0</v>
      </c>
      <c r="EZ121" s="777">
        <f t="shared" si="185"/>
        <v>0</v>
      </c>
      <c r="FA121" s="777">
        <f t="shared" si="186"/>
        <v>0</v>
      </c>
      <c r="FB121" s="778">
        <f t="shared" si="187"/>
        <v>0</v>
      </c>
    </row>
    <row r="122" spans="1:158" s="10" customFormat="1" ht="12.75" hidden="1" customHeight="1">
      <c r="A122" s="662" t="s">
        <v>252</v>
      </c>
      <c r="B122" s="789" t="s">
        <v>2210</v>
      </c>
      <c r="C122" s="662" t="s">
        <v>2068</v>
      </c>
      <c r="D122" s="715" t="s">
        <v>2061</v>
      </c>
      <c r="E122" s="662" t="s">
        <v>331</v>
      </c>
      <c r="F122" s="704" t="s">
        <v>402</v>
      </c>
      <c r="G122" s="707">
        <f t="shared" si="194"/>
        <v>6893.3159999999998</v>
      </c>
      <c r="H122" s="707">
        <f t="shared" si="194"/>
        <v>0</v>
      </c>
      <c r="I122" s="707">
        <f t="shared" si="194"/>
        <v>6893.3159999999998</v>
      </c>
      <c r="J122" s="707">
        <f t="shared" si="194"/>
        <v>0</v>
      </c>
      <c r="K122" s="707">
        <f t="shared" si="194"/>
        <v>3446.6579999999999</v>
      </c>
      <c r="L122" s="1263" t="str">
        <f t="shared" si="194"/>
        <v>2008 - Indiana - GHP Program Report</v>
      </c>
      <c r="M122" s="707" t="str">
        <f t="shared" si="194"/>
        <v>NA</v>
      </c>
      <c r="N122" s="707">
        <f t="shared" si="194"/>
        <v>300</v>
      </c>
      <c r="O122" s="707">
        <f t="shared" si="194"/>
        <v>0</v>
      </c>
      <c r="P122" s="707">
        <f t="shared" si="194"/>
        <v>0</v>
      </c>
      <c r="Q122" s="1022">
        <v>2962.0422247490405</v>
      </c>
      <c r="R122" s="872">
        <v>2.3877824868931818</v>
      </c>
      <c r="S122" s="1022">
        <v>0</v>
      </c>
      <c r="T122" s="711" t="str">
        <f t="shared" si="188"/>
        <v>Potential Study Results: End use usage based on prototypical building simulations adjusted by HDD to the region.</v>
      </c>
      <c r="U122" s="712"/>
      <c r="V122" s="1124">
        <f t="shared" si="156"/>
        <v>0</v>
      </c>
      <c r="W122" s="790"/>
      <c r="X122" s="790"/>
      <c r="Y122" s="790"/>
      <c r="Z122" s="790"/>
      <c r="AA122" s="790"/>
      <c r="AB122" s="790"/>
      <c r="AC122" s="781">
        <f t="shared" si="204"/>
        <v>0</v>
      </c>
      <c r="AD122" s="781">
        <f t="shared" si="204"/>
        <v>0</v>
      </c>
      <c r="AE122" s="781">
        <f t="shared" si="204"/>
        <v>0</v>
      </c>
      <c r="AF122" s="781">
        <f t="shared" si="204"/>
        <v>0</v>
      </c>
      <c r="AG122" s="781">
        <f t="shared" si="204"/>
        <v>0</v>
      </c>
      <c r="AH122" s="781">
        <f t="shared" si="196"/>
        <v>0</v>
      </c>
      <c r="AI122" s="781">
        <f t="shared" si="196"/>
        <v>0</v>
      </c>
      <c r="AJ122" s="711" t="s">
        <v>384</v>
      </c>
      <c r="AK122" s="711" t="s">
        <v>375</v>
      </c>
      <c r="AL122" s="711" t="s">
        <v>376</v>
      </c>
      <c r="AM122" s="711" t="s">
        <v>2064</v>
      </c>
      <c r="AN122" s="711" t="s">
        <v>1</v>
      </c>
      <c r="AO122" s="711" t="s">
        <v>2070</v>
      </c>
      <c r="AP122" s="711" t="s">
        <v>1702</v>
      </c>
      <c r="AQ122" s="711" t="s">
        <v>339</v>
      </c>
      <c r="AR122" s="715" t="s">
        <v>406</v>
      </c>
      <c r="AS122" s="715"/>
      <c r="AT122" s="715" t="s">
        <v>381</v>
      </c>
      <c r="AU122" s="711">
        <v>20</v>
      </c>
      <c r="AV122" s="711">
        <v>20</v>
      </c>
      <c r="AW122" s="711" t="s">
        <v>2071</v>
      </c>
      <c r="AX122" s="716">
        <v>1</v>
      </c>
      <c r="AY122" s="716">
        <v>1</v>
      </c>
      <c r="AZ122" s="716">
        <v>0</v>
      </c>
      <c r="BA122" s="499">
        <f t="shared" si="159"/>
        <v>6893.3159999999998</v>
      </c>
      <c r="BB122" s="499">
        <f t="shared" si="197"/>
        <v>6893.3159999999998</v>
      </c>
      <c r="BC122" s="499">
        <f t="shared" si="197"/>
        <v>6893.3159999999998</v>
      </c>
      <c r="BD122" s="499">
        <f t="shared" si="197"/>
        <v>6893.3159999999998</v>
      </c>
      <c r="BE122" s="499">
        <f t="shared" si="161"/>
        <v>6893.3159999999998</v>
      </c>
      <c r="BF122" s="499">
        <f t="shared" si="161"/>
        <v>6893.3159999999998</v>
      </c>
      <c r="BG122" s="499">
        <f t="shared" si="161"/>
        <v>6893.3159999999998</v>
      </c>
      <c r="BH122" s="499">
        <f t="shared" si="162"/>
        <v>0</v>
      </c>
      <c r="BI122" s="499">
        <f t="shared" si="198"/>
        <v>0</v>
      </c>
      <c r="BJ122" s="499">
        <f t="shared" si="198"/>
        <v>0</v>
      </c>
      <c r="BK122" s="499">
        <f t="shared" si="198"/>
        <v>0</v>
      </c>
      <c r="BL122" s="499">
        <f t="shared" si="198"/>
        <v>0</v>
      </c>
      <c r="BM122" s="499">
        <f t="shared" si="198"/>
        <v>0</v>
      </c>
      <c r="BN122" s="499">
        <f t="shared" si="198"/>
        <v>0</v>
      </c>
      <c r="BO122" s="499">
        <f t="shared" si="164"/>
        <v>300</v>
      </c>
      <c r="BP122" s="499">
        <f t="shared" si="202"/>
        <v>300</v>
      </c>
      <c r="BQ122" s="499">
        <f t="shared" si="202"/>
        <v>300</v>
      </c>
      <c r="BR122" s="499">
        <f t="shared" si="202"/>
        <v>300</v>
      </c>
      <c r="BS122" s="499">
        <f t="shared" si="202"/>
        <v>300</v>
      </c>
      <c r="BT122" s="499">
        <f t="shared" si="202"/>
        <v>300</v>
      </c>
      <c r="BU122" s="499">
        <f t="shared" si="202"/>
        <v>300</v>
      </c>
      <c r="BV122" s="503">
        <f t="shared" si="189"/>
        <v>0</v>
      </c>
      <c r="BW122" s="503">
        <f t="shared" si="189"/>
        <v>0</v>
      </c>
      <c r="BX122" s="503">
        <f t="shared" si="189"/>
        <v>0</v>
      </c>
      <c r="BY122" s="503">
        <f t="shared" si="189"/>
        <v>0</v>
      </c>
      <c r="BZ122" s="503">
        <f t="shared" si="189"/>
        <v>0</v>
      </c>
      <c r="CA122" s="503">
        <f t="shared" si="189"/>
        <v>0</v>
      </c>
      <c r="CB122" s="503">
        <f t="shared" si="189"/>
        <v>0</v>
      </c>
      <c r="CC122" s="511">
        <f t="shared" si="167"/>
        <v>2962.0422247490405</v>
      </c>
      <c r="CD122" s="511">
        <f t="shared" si="199"/>
        <v>2962.0422247490405</v>
      </c>
      <c r="CE122" s="511">
        <f t="shared" si="199"/>
        <v>2962.0422247490405</v>
      </c>
      <c r="CF122" s="511">
        <f t="shared" si="199"/>
        <v>2962.0422247490405</v>
      </c>
      <c r="CG122" s="511">
        <f t="shared" si="199"/>
        <v>2962.0422247490405</v>
      </c>
      <c r="CH122" s="511">
        <f t="shared" si="199"/>
        <v>2962.0422247490405</v>
      </c>
      <c r="CI122" s="511">
        <f t="shared" si="199"/>
        <v>2962.0422247490405</v>
      </c>
      <c r="CJ122" s="511">
        <f t="shared" si="169"/>
        <v>2.3877824868931818</v>
      </c>
      <c r="CK122" s="511">
        <f t="shared" si="200"/>
        <v>2.3877824868931818</v>
      </c>
      <c r="CL122" s="511">
        <f t="shared" si="200"/>
        <v>2.3877824868931818</v>
      </c>
      <c r="CM122" s="511">
        <f t="shared" si="200"/>
        <v>2.3877824868931818</v>
      </c>
      <c r="CN122" s="511">
        <f t="shared" si="200"/>
        <v>2.3877824868931818</v>
      </c>
      <c r="CO122" s="511">
        <f t="shared" si="200"/>
        <v>2.3877824868931818</v>
      </c>
      <c r="CP122" s="511">
        <f t="shared" si="200"/>
        <v>2.3877824868931818</v>
      </c>
      <c r="CQ122" s="511">
        <f t="shared" si="171"/>
        <v>0</v>
      </c>
      <c r="CR122" s="511">
        <f t="shared" si="201"/>
        <v>0</v>
      </c>
      <c r="CS122" s="511">
        <f t="shared" si="201"/>
        <v>0</v>
      </c>
      <c r="CT122" s="511">
        <f t="shared" si="201"/>
        <v>0</v>
      </c>
      <c r="CU122" s="511">
        <f t="shared" si="201"/>
        <v>0</v>
      </c>
      <c r="CV122" s="511">
        <f t="shared" si="201"/>
        <v>0</v>
      </c>
      <c r="CW122" s="511">
        <f t="shared" si="201"/>
        <v>0</v>
      </c>
      <c r="CX122" s="508">
        <f t="shared" si="173"/>
        <v>0</v>
      </c>
      <c r="CY122" s="508">
        <f t="shared" si="173"/>
        <v>0</v>
      </c>
      <c r="CZ122" s="508">
        <f t="shared" si="173"/>
        <v>0</v>
      </c>
      <c r="DA122" s="508">
        <f t="shared" si="173"/>
        <v>0</v>
      </c>
      <c r="DB122" s="508">
        <f t="shared" si="173"/>
        <v>0</v>
      </c>
      <c r="DC122" s="508">
        <f t="shared" si="173"/>
        <v>0</v>
      </c>
      <c r="DD122" s="508">
        <f t="shared" si="173"/>
        <v>0</v>
      </c>
      <c r="DE122" s="508">
        <f t="shared" si="174"/>
        <v>0</v>
      </c>
      <c r="DF122" s="508">
        <f t="shared" si="174"/>
        <v>0</v>
      </c>
      <c r="DG122" s="508">
        <f t="shared" si="174"/>
        <v>0</v>
      </c>
      <c r="DH122" s="508">
        <f t="shared" si="174"/>
        <v>0</v>
      </c>
      <c r="DI122" s="508">
        <f t="shared" si="174"/>
        <v>0</v>
      </c>
      <c r="DJ122" s="508">
        <f t="shared" si="174"/>
        <v>0</v>
      </c>
      <c r="DK122" s="508">
        <f t="shared" si="174"/>
        <v>0</v>
      </c>
      <c r="DL122" s="508">
        <f t="shared" si="175"/>
        <v>0</v>
      </c>
      <c r="DM122" s="508">
        <f t="shared" si="175"/>
        <v>0</v>
      </c>
      <c r="DN122" s="508">
        <f t="shared" si="175"/>
        <v>0</v>
      </c>
      <c r="DO122" s="508">
        <f t="shared" si="175"/>
        <v>0</v>
      </c>
      <c r="DP122" s="508">
        <f t="shared" si="175"/>
        <v>0</v>
      </c>
      <c r="DQ122" s="508">
        <f t="shared" si="175"/>
        <v>0</v>
      </c>
      <c r="DR122" s="508">
        <f t="shared" si="175"/>
        <v>0</v>
      </c>
      <c r="DS122" s="508">
        <f t="shared" si="190"/>
        <v>0</v>
      </c>
      <c r="DT122" s="508">
        <f t="shared" si="190"/>
        <v>0</v>
      </c>
      <c r="DU122" s="508">
        <f t="shared" si="190"/>
        <v>0</v>
      </c>
      <c r="DV122" s="508">
        <f t="shared" si="190"/>
        <v>0</v>
      </c>
      <c r="DW122" s="508">
        <f t="shared" si="190"/>
        <v>0</v>
      </c>
      <c r="DX122" s="508">
        <f t="shared" si="190"/>
        <v>0</v>
      </c>
      <c r="DY122" s="508">
        <f t="shared" si="190"/>
        <v>0</v>
      </c>
      <c r="DZ122" s="511">
        <f t="shared" si="177"/>
        <v>0</v>
      </c>
      <c r="EA122" s="511">
        <f t="shared" si="177"/>
        <v>0</v>
      </c>
      <c r="EB122" s="511">
        <f t="shared" si="177"/>
        <v>0</v>
      </c>
      <c r="EC122" s="511">
        <f t="shared" si="177"/>
        <v>0</v>
      </c>
      <c r="ED122" s="511">
        <f t="shared" si="177"/>
        <v>0</v>
      </c>
      <c r="EE122" s="511">
        <f t="shared" si="177"/>
        <v>0</v>
      </c>
      <c r="EF122" s="511">
        <f t="shared" si="177"/>
        <v>0</v>
      </c>
      <c r="EG122" s="511">
        <f t="shared" si="178"/>
        <v>0</v>
      </c>
      <c r="EH122" s="511">
        <f t="shared" si="178"/>
        <v>0</v>
      </c>
      <c r="EI122" s="511">
        <f t="shared" si="178"/>
        <v>0</v>
      </c>
      <c r="EJ122" s="511">
        <f t="shared" si="178"/>
        <v>0</v>
      </c>
      <c r="EK122" s="511">
        <f t="shared" si="178"/>
        <v>0</v>
      </c>
      <c r="EL122" s="511">
        <f t="shared" si="178"/>
        <v>0</v>
      </c>
      <c r="EM122" s="511">
        <f t="shared" si="178"/>
        <v>0</v>
      </c>
      <c r="EN122" s="511">
        <f t="shared" si="179"/>
        <v>0</v>
      </c>
      <c r="EO122" s="511">
        <f t="shared" si="179"/>
        <v>0</v>
      </c>
      <c r="EP122" s="511">
        <f t="shared" si="179"/>
        <v>0</v>
      </c>
      <c r="EQ122" s="511">
        <f t="shared" si="179"/>
        <v>0</v>
      </c>
      <c r="ER122" s="511">
        <f t="shared" si="179"/>
        <v>0</v>
      </c>
      <c r="ES122" s="511">
        <f t="shared" si="179"/>
        <v>0</v>
      </c>
      <c r="ET122" s="511">
        <f t="shared" si="179"/>
        <v>0</v>
      </c>
      <c r="EU122" s="777">
        <f t="shared" si="191"/>
        <v>0</v>
      </c>
      <c r="EV122" s="728">
        <f t="shared" si="181"/>
        <v>0</v>
      </c>
      <c r="EW122" s="728">
        <f t="shared" si="182"/>
        <v>0</v>
      </c>
      <c r="EX122" s="728">
        <f t="shared" si="183"/>
        <v>0</v>
      </c>
      <c r="EY122" s="728">
        <f t="shared" si="184"/>
        <v>0</v>
      </c>
      <c r="EZ122" s="777">
        <f t="shared" si="185"/>
        <v>0</v>
      </c>
      <c r="FA122" s="777">
        <f t="shared" si="186"/>
        <v>0</v>
      </c>
      <c r="FB122" s="778">
        <f t="shared" si="187"/>
        <v>0</v>
      </c>
    </row>
    <row r="123" spans="1:158" s="10" customFormat="1" ht="12.75" customHeight="1">
      <c r="A123" s="662" t="s">
        <v>253</v>
      </c>
      <c r="B123" s="789" t="s">
        <v>2211</v>
      </c>
      <c r="C123" s="662" t="s">
        <v>931</v>
      </c>
      <c r="D123" s="715" t="s">
        <v>932</v>
      </c>
      <c r="E123" s="662" t="s">
        <v>331</v>
      </c>
      <c r="F123" s="704" t="s">
        <v>402</v>
      </c>
      <c r="G123" s="707">
        <f t="shared" si="194"/>
        <v>4088.0155679999998</v>
      </c>
      <c r="H123" s="707">
        <f t="shared" si="194"/>
        <v>0</v>
      </c>
      <c r="I123" s="707">
        <f t="shared" si="194"/>
        <v>4088.0155679999998</v>
      </c>
      <c r="J123" s="707">
        <f t="shared" si="194"/>
        <v>0</v>
      </c>
      <c r="K123" s="707">
        <f t="shared" si="194"/>
        <v>2044.0077839999999</v>
      </c>
      <c r="L123" s="1263" t="str">
        <f t="shared" si="194"/>
        <v>NEEP Incremental Cost Study - Phase 2; Accessed 6/3/2016, http://www.neep.org/file/1002/download?token=hYnSw9sW</v>
      </c>
      <c r="M123" s="707" t="str">
        <f t="shared" si="194"/>
        <v>NA</v>
      </c>
      <c r="N123" s="707">
        <f t="shared" si="194"/>
        <v>300</v>
      </c>
      <c r="O123" s="707">
        <f t="shared" si="194"/>
        <v>0</v>
      </c>
      <c r="P123" s="707">
        <f t="shared" si="194"/>
        <v>0</v>
      </c>
      <c r="Q123" s="1022">
        <v>4172.3665824240761</v>
      </c>
      <c r="R123" s="872">
        <v>0</v>
      </c>
      <c r="S123" s="1022">
        <v>0</v>
      </c>
      <c r="T123" s="711" t="str">
        <f t="shared" si="188"/>
        <v>Potential Study Results: Calculations based on ENERGY STAR Appliances Calculator. Accessed 06.07.2016</v>
      </c>
      <c r="U123" s="712"/>
      <c r="V123" s="1124">
        <f t="shared" si="156"/>
        <v>0</v>
      </c>
      <c r="W123" s="790"/>
      <c r="X123" s="790"/>
      <c r="Y123" s="790"/>
      <c r="Z123" s="790"/>
      <c r="AA123" s="790"/>
      <c r="AB123" s="790"/>
      <c r="AC123" s="781">
        <f t="shared" si="204"/>
        <v>0</v>
      </c>
      <c r="AD123" s="781">
        <f t="shared" si="204"/>
        <v>0</v>
      </c>
      <c r="AE123" s="781">
        <f t="shared" si="204"/>
        <v>0</v>
      </c>
      <c r="AF123" s="781">
        <f t="shared" si="204"/>
        <v>0</v>
      </c>
      <c r="AG123" s="781">
        <f t="shared" si="204"/>
        <v>0</v>
      </c>
      <c r="AH123" s="781">
        <f t="shared" si="196"/>
        <v>0</v>
      </c>
      <c r="AI123" s="781">
        <f t="shared" si="196"/>
        <v>0</v>
      </c>
      <c r="AJ123" s="711" t="s">
        <v>384</v>
      </c>
      <c r="AK123" s="711" t="s">
        <v>375</v>
      </c>
      <c r="AL123" s="711" t="s">
        <v>376</v>
      </c>
      <c r="AM123" s="711" t="s">
        <v>2073</v>
      </c>
      <c r="AN123" s="711" t="s">
        <v>1</v>
      </c>
      <c r="AO123" s="711" t="s">
        <v>2074</v>
      </c>
      <c r="AP123" s="711" t="s">
        <v>1702</v>
      </c>
      <c r="AQ123" s="711" t="s">
        <v>339</v>
      </c>
      <c r="AR123" s="715" t="s">
        <v>406</v>
      </c>
      <c r="AS123" s="715"/>
      <c r="AT123" s="715" t="s">
        <v>381</v>
      </c>
      <c r="AU123" s="711">
        <v>15</v>
      </c>
      <c r="AV123" s="711">
        <v>15</v>
      </c>
      <c r="AW123" s="711" t="s">
        <v>2075</v>
      </c>
      <c r="AX123" s="716">
        <v>1</v>
      </c>
      <c r="AY123" s="716">
        <v>1</v>
      </c>
      <c r="AZ123" s="716">
        <v>0</v>
      </c>
      <c r="BA123" s="499">
        <f t="shared" si="159"/>
        <v>4088.0155679999998</v>
      </c>
      <c r="BB123" s="499">
        <f t="shared" si="197"/>
        <v>4088.0155679999998</v>
      </c>
      <c r="BC123" s="499">
        <f t="shared" si="197"/>
        <v>4088.0155679999998</v>
      </c>
      <c r="BD123" s="499">
        <f t="shared" si="197"/>
        <v>4088.0155679999998</v>
      </c>
      <c r="BE123" s="499">
        <f t="shared" si="161"/>
        <v>4088.0155679999998</v>
      </c>
      <c r="BF123" s="499">
        <f t="shared" si="161"/>
        <v>4088.0155679999998</v>
      </c>
      <c r="BG123" s="499">
        <f t="shared" si="161"/>
        <v>4088.0155679999998</v>
      </c>
      <c r="BH123" s="499">
        <f t="shared" si="162"/>
        <v>0</v>
      </c>
      <c r="BI123" s="499">
        <f t="shared" si="198"/>
        <v>0</v>
      </c>
      <c r="BJ123" s="499">
        <f t="shared" si="198"/>
        <v>0</v>
      </c>
      <c r="BK123" s="499">
        <f t="shared" si="198"/>
        <v>0</v>
      </c>
      <c r="BL123" s="499">
        <f t="shared" si="198"/>
        <v>0</v>
      </c>
      <c r="BM123" s="499">
        <f t="shared" si="198"/>
        <v>0</v>
      </c>
      <c r="BN123" s="499">
        <f t="shared" si="198"/>
        <v>0</v>
      </c>
      <c r="BO123" s="499">
        <f t="shared" si="164"/>
        <v>300</v>
      </c>
      <c r="BP123" s="499">
        <f t="shared" si="202"/>
        <v>300</v>
      </c>
      <c r="BQ123" s="499">
        <f t="shared" si="202"/>
        <v>300</v>
      </c>
      <c r="BR123" s="499">
        <f t="shared" si="202"/>
        <v>300</v>
      </c>
      <c r="BS123" s="499">
        <f t="shared" si="202"/>
        <v>300</v>
      </c>
      <c r="BT123" s="499">
        <f t="shared" si="202"/>
        <v>300</v>
      </c>
      <c r="BU123" s="499">
        <f t="shared" si="202"/>
        <v>300</v>
      </c>
      <c r="BV123" s="503">
        <f t="shared" si="189"/>
        <v>0</v>
      </c>
      <c r="BW123" s="503">
        <f t="shared" si="189"/>
        <v>0</v>
      </c>
      <c r="BX123" s="503">
        <f t="shared" si="189"/>
        <v>0</v>
      </c>
      <c r="BY123" s="503">
        <f t="shared" si="189"/>
        <v>0</v>
      </c>
      <c r="BZ123" s="503">
        <f t="shared" si="189"/>
        <v>0</v>
      </c>
      <c r="CA123" s="503">
        <f t="shared" si="189"/>
        <v>0</v>
      </c>
      <c r="CB123" s="503">
        <f t="shared" si="189"/>
        <v>0</v>
      </c>
      <c r="CC123" s="511">
        <f t="shared" si="167"/>
        <v>4172.3665824240761</v>
      </c>
      <c r="CD123" s="511">
        <f t="shared" si="199"/>
        <v>4172.3665824240761</v>
      </c>
      <c r="CE123" s="511">
        <f t="shared" si="199"/>
        <v>4172.3665824240761</v>
      </c>
      <c r="CF123" s="511">
        <f t="shared" si="199"/>
        <v>4172.3665824240761</v>
      </c>
      <c r="CG123" s="511">
        <f t="shared" si="199"/>
        <v>4172.3665824240761</v>
      </c>
      <c r="CH123" s="511">
        <f t="shared" si="199"/>
        <v>4172.3665824240761</v>
      </c>
      <c r="CI123" s="511">
        <f t="shared" si="199"/>
        <v>4172.3665824240761</v>
      </c>
      <c r="CJ123" s="511">
        <f t="shared" si="169"/>
        <v>0</v>
      </c>
      <c r="CK123" s="511">
        <f t="shared" si="200"/>
        <v>0</v>
      </c>
      <c r="CL123" s="511">
        <f t="shared" si="200"/>
        <v>0</v>
      </c>
      <c r="CM123" s="511">
        <f t="shared" si="200"/>
        <v>0</v>
      </c>
      <c r="CN123" s="511">
        <f t="shared" si="200"/>
        <v>0</v>
      </c>
      <c r="CO123" s="511">
        <f t="shared" si="200"/>
        <v>0</v>
      </c>
      <c r="CP123" s="511">
        <f t="shared" si="200"/>
        <v>0</v>
      </c>
      <c r="CQ123" s="511">
        <f t="shared" si="171"/>
        <v>0</v>
      </c>
      <c r="CR123" s="511">
        <f t="shared" si="201"/>
        <v>0</v>
      </c>
      <c r="CS123" s="511">
        <f t="shared" si="201"/>
        <v>0</v>
      </c>
      <c r="CT123" s="511">
        <f t="shared" si="201"/>
        <v>0</v>
      </c>
      <c r="CU123" s="511">
        <f t="shared" si="201"/>
        <v>0</v>
      </c>
      <c r="CV123" s="511">
        <f t="shared" si="201"/>
        <v>0</v>
      </c>
      <c r="CW123" s="511">
        <f t="shared" si="201"/>
        <v>0</v>
      </c>
      <c r="CX123" s="508">
        <f t="shared" si="173"/>
        <v>0</v>
      </c>
      <c r="CY123" s="508">
        <f t="shared" si="173"/>
        <v>0</v>
      </c>
      <c r="CZ123" s="508">
        <f t="shared" si="173"/>
        <v>0</v>
      </c>
      <c r="DA123" s="508">
        <f t="shared" si="173"/>
        <v>0</v>
      </c>
      <c r="DB123" s="508">
        <f t="shared" si="173"/>
        <v>0</v>
      </c>
      <c r="DC123" s="508">
        <f t="shared" si="173"/>
        <v>0</v>
      </c>
      <c r="DD123" s="508">
        <f t="shared" si="173"/>
        <v>0</v>
      </c>
      <c r="DE123" s="508">
        <f t="shared" si="174"/>
        <v>0</v>
      </c>
      <c r="DF123" s="508">
        <f t="shared" si="174"/>
        <v>0</v>
      </c>
      <c r="DG123" s="508">
        <f t="shared" si="174"/>
        <v>0</v>
      </c>
      <c r="DH123" s="508">
        <f t="shared" si="174"/>
        <v>0</v>
      </c>
      <c r="DI123" s="508">
        <f t="shared" si="174"/>
        <v>0</v>
      </c>
      <c r="DJ123" s="508">
        <f t="shared" si="174"/>
        <v>0</v>
      </c>
      <c r="DK123" s="508">
        <f t="shared" si="174"/>
        <v>0</v>
      </c>
      <c r="DL123" s="508">
        <f t="shared" si="175"/>
        <v>0</v>
      </c>
      <c r="DM123" s="508">
        <f t="shared" si="175"/>
        <v>0</v>
      </c>
      <c r="DN123" s="508">
        <f t="shared" si="175"/>
        <v>0</v>
      </c>
      <c r="DO123" s="508">
        <f t="shared" si="175"/>
        <v>0</v>
      </c>
      <c r="DP123" s="508">
        <f t="shared" si="175"/>
        <v>0</v>
      </c>
      <c r="DQ123" s="508">
        <f t="shared" si="175"/>
        <v>0</v>
      </c>
      <c r="DR123" s="508">
        <f t="shared" si="175"/>
        <v>0</v>
      </c>
      <c r="DS123" s="508">
        <f t="shared" si="190"/>
        <v>0</v>
      </c>
      <c r="DT123" s="508">
        <f t="shared" si="190"/>
        <v>0</v>
      </c>
      <c r="DU123" s="508">
        <f t="shared" si="190"/>
        <v>0</v>
      </c>
      <c r="DV123" s="508">
        <f t="shared" si="190"/>
        <v>0</v>
      </c>
      <c r="DW123" s="508">
        <f t="shared" si="190"/>
        <v>0</v>
      </c>
      <c r="DX123" s="508">
        <f t="shared" si="190"/>
        <v>0</v>
      </c>
      <c r="DY123" s="508">
        <f t="shared" si="190"/>
        <v>0</v>
      </c>
      <c r="DZ123" s="511">
        <f t="shared" si="177"/>
        <v>0</v>
      </c>
      <c r="EA123" s="511">
        <f t="shared" si="177"/>
        <v>0</v>
      </c>
      <c r="EB123" s="511">
        <f t="shared" si="177"/>
        <v>0</v>
      </c>
      <c r="EC123" s="511">
        <f t="shared" si="177"/>
        <v>0</v>
      </c>
      <c r="ED123" s="511">
        <f t="shared" si="177"/>
        <v>0</v>
      </c>
      <c r="EE123" s="511">
        <f t="shared" si="177"/>
        <v>0</v>
      </c>
      <c r="EF123" s="511">
        <f t="shared" si="177"/>
        <v>0</v>
      </c>
      <c r="EG123" s="511">
        <f t="shared" si="178"/>
        <v>0</v>
      </c>
      <c r="EH123" s="511">
        <f t="shared" si="178"/>
        <v>0</v>
      </c>
      <c r="EI123" s="511">
        <f t="shared" si="178"/>
        <v>0</v>
      </c>
      <c r="EJ123" s="511">
        <f t="shared" si="178"/>
        <v>0</v>
      </c>
      <c r="EK123" s="511">
        <f t="shared" si="178"/>
        <v>0</v>
      </c>
      <c r="EL123" s="511">
        <f t="shared" si="178"/>
        <v>0</v>
      </c>
      <c r="EM123" s="511">
        <f t="shared" si="178"/>
        <v>0</v>
      </c>
      <c r="EN123" s="511">
        <f t="shared" si="179"/>
        <v>0</v>
      </c>
      <c r="EO123" s="511">
        <f t="shared" si="179"/>
        <v>0</v>
      </c>
      <c r="EP123" s="511">
        <f t="shared" si="179"/>
        <v>0</v>
      </c>
      <c r="EQ123" s="511">
        <f t="shared" si="179"/>
        <v>0</v>
      </c>
      <c r="ER123" s="511">
        <f t="shared" si="179"/>
        <v>0</v>
      </c>
      <c r="ES123" s="511">
        <f t="shared" si="179"/>
        <v>0</v>
      </c>
      <c r="ET123" s="511">
        <f t="shared" si="179"/>
        <v>0</v>
      </c>
      <c r="EU123" s="777">
        <f t="shared" si="191"/>
        <v>0</v>
      </c>
      <c r="EV123" s="728">
        <f t="shared" si="181"/>
        <v>0</v>
      </c>
      <c r="EW123" s="728">
        <f t="shared" si="182"/>
        <v>0</v>
      </c>
      <c r="EX123" s="728">
        <f t="shared" si="183"/>
        <v>0</v>
      </c>
      <c r="EY123" s="728">
        <f t="shared" si="184"/>
        <v>0</v>
      </c>
      <c r="EZ123" s="777">
        <f t="shared" si="185"/>
        <v>0</v>
      </c>
      <c r="FA123" s="777">
        <f t="shared" si="186"/>
        <v>0</v>
      </c>
      <c r="FB123" s="778">
        <f t="shared" si="187"/>
        <v>0</v>
      </c>
    </row>
    <row r="124" spans="1:158" s="10" customFormat="1" ht="12.75" hidden="1" customHeight="1">
      <c r="A124" s="662" t="s">
        <v>254</v>
      </c>
      <c r="B124" s="789" t="s">
        <v>2212</v>
      </c>
      <c r="C124" s="662" t="s">
        <v>934</v>
      </c>
      <c r="D124" s="715" t="s">
        <v>935</v>
      </c>
      <c r="E124" s="662" t="s">
        <v>331</v>
      </c>
      <c r="F124" s="704" t="s">
        <v>402</v>
      </c>
      <c r="G124" s="707">
        <f t="shared" si="194"/>
        <v>2547.6200000000008</v>
      </c>
      <c r="H124" s="707">
        <f t="shared" si="194"/>
        <v>0</v>
      </c>
      <c r="I124" s="707">
        <f t="shared" si="194"/>
        <v>2547.6200000000008</v>
      </c>
      <c r="J124" s="707">
        <f t="shared" si="194"/>
        <v>0</v>
      </c>
      <c r="K124" s="707">
        <f t="shared" si="194"/>
        <v>1273.8100000000004</v>
      </c>
      <c r="L124" s="1263" t="str">
        <f t="shared" si="194"/>
        <v>Various contractor estimates and retailers.</v>
      </c>
      <c r="M124" s="707" t="str">
        <f t="shared" si="194"/>
        <v>NA</v>
      </c>
      <c r="N124" s="707">
        <f t="shared" si="194"/>
        <v>300</v>
      </c>
      <c r="O124" s="707">
        <f t="shared" si="194"/>
        <v>0</v>
      </c>
      <c r="P124" s="707">
        <f t="shared" si="194"/>
        <v>0</v>
      </c>
      <c r="Q124" s="1022">
        <v>0</v>
      </c>
      <c r="R124" s="872">
        <v>0</v>
      </c>
      <c r="S124" s="1022">
        <v>63.564077474565465</v>
      </c>
      <c r="T124" s="711" t="str">
        <f t="shared" si="188"/>
        <v>Potential Study Results: Calculations based on ENERGY STAR Appliances Calculator. Accessed 06.07.2016</v>
      </c>
      <c r="U124" s="712"/>
      <c r="V124" s="1124">
        <f t="shared" si="156"/>
        <v>0</v>
      </c>
      <c r="W124" s="790"/>
      <c r="X124" s="790"/>
      <c r="Y124" s="790"/>
      <c r="Z124" s="790"/>
      <c r="AA124" s="790"/>
      <c r="AB124" s="790"/>
      <c r="AC124" s="781">
        <f t="shared" si="204"/>
        <v>0</v>
      </c>
      <c r="AD124" s="781">
        <f t="shared" si="204"/>
        <v>0</v>
      </c>
      <c r="AE124" s="781">
        <f t="shared" si="204"/>
        <v>0</v>
      </c>
      <c r="AF124" s="781">
        <f t="shared" si="204"/>
        <v>0</v>
      </c>
      <c r="AG124" s="781">
        <f t="shared" si="204"/>
        <v>0</v>
      </c>
      <c r="AH124" s="781">
        <f t="shared" si="196"/>
        <v>0</v>
      </c>
      <c r="AI124" s="781">
        <f t="shared" si="196"/>
        <v>0</v>
      </c>
      <c r="AJ124" s="711" t="s">
        <v>2013</v>
      </c>
      <c r="AK124" s="711" t="s">
        <v>375</v>
      </c>
      <c r="AL124" s="711" t="s">
        <v>376</v>
      </c>
      <c r="AM124" s="711" t="s">
        <v>2077</v>
      </c>
      <c r="AN124" s="711" t="s">
        <v>1</v>
      </c>
      <c r="AO124" s="711" t="s">
        <v>2078</v>
      </c>
      <c r="AP124" s="711" t="s">
        <v>934</v>
      </c>
      <c r="AQ124" s="711" t="s">
        <v>935</v>
      </c>
      <c r="AR124" s="715" t="s">
        <v>1944</v>
      </c>
      <c r="AS124" s="715" t="s">
        <v>407</v>
      </c>
      <c r="AT124" s="715" t="s">
        <v>381</v>
      </c>
      <c r="AU124" s="711">
        <v>20</v>
      </c>
      <c r="AV124" s="711">
        <v>20</v>
      </c>
      <c r="AW124" s="711" t="s">
        <v>2079</v>
      </c>
      <c r="AX124" s="716">
        <v>1</v>
      </c>
      <c r="AY124" s="716">
        <v>0</v>
      </c>
      <c r="AZ124" s="716">
        <v>1</v>
      </c>
      <c r="BA124" s="499">
        <f t="shared" si="159"/>
        <v>2547.6200000000008</v>
      </c>
      <c r="BB124" s="499">
        <f t="shared" si="197"/>
        <v>2547.6200000000008</v>
      </c>
      <c r="BC124" s="499">
        <f t="shared" si="197"/>
        <v>2547.6200000000008</v>
      </c>
      <c r="BD124" s="499">
        <f t="shared" si="197"/>
        <v>2547.6200000000008</v>
      </c>
      <c r="BE124" s="499">
        <f t="shared" si="161"/>
        <v>2547.6200000000008</v>
      </c>
      <c r="BF124" s="499">
        <f t="shared" si="161"/>
        <v>2547.6200000000008</v>
      </c>
      <c r="BG124" s="499">
        <f t="shared" si="161"/>
        <v>2547.6200000000008</v>
      </c>
      <c r="BH124" s="499">
        <f t="shared" si="162"/>
        <v>0</v>
      </c>
      <c r="BI124" s="499">
        <f t="shared" si="198"/>
        <v>0</v>
      </c>
      <c r="BJ124" s="499">
        <f t="shared" si="198"/>
        <v>0</v>
      </c>
      <c r="BK124" s="499">
        <f t="shared" si="198"/>
        <v>0</v>
      </c>
      <c r="BL124" s="499">
        <f t="shared" si="198"/>
        <v>0</v>
      </c>
      <c r="BM124" s="499">
        <f t="shared" si="198"/>
        <v>0</v>
      </c>
      <c r="BN124" s="499">
        <f t="shared" si="198"/>
        <v>0</v>
      </c>
      <c r="BO124" s="499">
        <f t="shared" si="164"/>
        <v>300</v>
      </c>
      <c r="BP124" s="499">
        <f t="shared" si="202"/>
        <v>300</v>
      </c>
      <c r="BQ124" s="499">
        <f t="shared" si="202"/>
        <v>300</v>
      </c>
      <c r="BR124" s="499">
        <f t="shared" si="202"/>
        <v>300</v>
      </c>
      <c r="BS124" s="499">
        <f t="shared" si="202"/>
        <v>300</v>
      </c>
      <c r="BT124" s="499">
        <f t="shared" si="202"/>
        <v>300</v>
      </c>
      <c r="BU124" s="499">
        <f t="shared" si="202"/>
        <v>300</v>
      </c>
      <c r="BV124" s="503">
        <f t="shared" si="189"/>
        <v>0</v>
      </c>
      <c r="BW124" s="503">
        <f t="shared" si="189"/>
        <v>0</v>
      </c>
      <c r="BX124" s="503">
        <f t="shared" si="189"/>
        <v>0</v>
      </c>
      <c r="BY124" s="503">
        <f t="shared" si="189"/>
        <v>0</v>
      </c>
      <c r="BZ124" s="503">
        <f t="shared" si="189"/>
        <v>0</v>
      </c>
      <c r="CA124" s="503">
        <f t="shared" si="189"/>
        <v>0</v>
      </c>
      <c r="CB124" s="503">
        <f t="shared" si="189"/>
        <v>0</v>
      </c>
      <c r="CC124" s="511">
        <f t="shared" si="167"/>
        <v>0</v>
      </c>
      <c r="CD124" s="511">
        <f t="shared" si="199"/>
        <v>0</v>
      </c>
      <c r="CE124" s="511">
        <f t="shared" si="199"/>
        <v>0</v>
      </c>
      <c r="CF124" s="511">
        <f t="shared" si="199"/>
        <v>0</v>
      </c>
      <c r="CG124" s="511">
        <f t="shared" si="199"/>
        <v>0</v>
      </c>
      <c r="CH124" s="511">
        <f t="shared" si="199"/>
        <v>0</v>
      </c>
      <c r="CI124" s="511">
        <f t="shared" si="199"/>
        <v>0</v>
      </c>
      <c r="CJ124" s="511">
        <f t="shared" si="169"/>
        <v>0</v>
      </c>
      <c r="CK124" s="511">
        <f t="shared" si="200"/>
        <v>0</v>
      </c>
      <c r="CL124" s="511">
        <f t="shared" si="200"/>
        <v>0</v>
      </c>
      <c r="CM124" s="511">
        <f t="shared" si="200"/>
        <v>0</v>
      </c>
      <c r="CN124" s="511">
        <f t="shared" si="200"/>
        <v>0</v>
      </c>
      <c r="CO124" s="511">
        <f t="shared" si="200"/>
        <v>0</v>
      </c>
      <c r="CP124" s="511">
        <f t="shared" si="200"/>
        <v>0</v>
      </c>
      <c r="CQ124" s="511">
        <f t="shared" si="171"/>
        <v>63.564077474565465</v>
      </c>
      <c r="CR124" s="511">
        <f t="shared" si="201"/>
        <v>63.564077474565465</v>
      </c>
      <c r="CS124" s="511">
        <f t="shared" si="201"/>
        <v>63.564077474565465</v>
      </c>
      <c r="CT124" s="511">
        <f t="shared" si="201"/>
        <v>63.564077474565465</v>
      </c>
      <c r="CU124" s="511">
        <f t="shared" si="201"/>
        <v>63.564077474565465</v>
      </c>
      <c r="CV124" s="511">
        <f t="shared" si="201"/>
        <v>63.564077474565465</v>
      </c>
      <c r="CW124" s="511">
        <f t="shared" si="201"/>
        <v>63.564077474565465</v>
      </c>
      <c r="CX124" s="508">
        <f t="shared" si="173"/>
        <v>0</v>
      </c>
      <c r="CY124" s="508">
        <f t="shared" si="173"/>
        <v>0</v>
      </c>
      <c r="CZ124" s="508">
        <f t="shared" si="173"/>
        <v>0</v>
      </c>
      <c r="DA124" s="508">
        <f t="shared" si="173"/>
        <v>0</v>
      </c>
      <c r="DB124" s="508">
        <f t="shared" si="173"/>
        <v>0</v>
      </c>
      <c r="DC124" s="508">
        <f t="shared" si="173"/>
        <v>0</v>
      </c>
      <c r="DD124" s="508">
        <f t="shared" si="173"/>
        <v>0</v>
      </c>
      <c r="DE124" s="508">
        <f t="shared" si="174"/>
        <v>0</v>
      </c>
      <c r="DF124" s="508">
        <f t="shared" si="174"/>
        <v>0</v>
      </c>
      <c r="DG124" s="508">
        <f t="shared" si="174"/>
        <v>0</v>
      </c>
      <c r="DH124" s="508">
        <f t="shared" si="174"/>
        <v>0</v>
      </c>
      <c r="DI124" s="508">
        <f t="shared" si="174"/>
        <v>0</v>
      </c>
      <c r="DJ124" s="508">
        <f t="shared" si="174"/>
        <v>0</v>
      </c>
      <c r="DK124" s="508">
        <f t="shared" si="174"/>
        <v>0</v>
      </c>
      <c r="DL124" s="508">
        <f t="shared" si="175"/>
        <v>0</v>
      </c>
      <c r="DM124" s="508">
        <f t="shared" si="175"/>
        <v>0</v>
      </c>
      <c r="DN124" s="508">
        <f t="shared" si="175"/>
        <v>0</v>
      </c>
      <c r="DO124" s="508">
        <f t="shared" si="175"/>
        <v>0</v>
      </c>
      <c r="DP124" s="508">
        <f t="shared" si="175"/>
        <v>0</v>
      </c>
      <c r="DQ124" s="508">
        <f t="shared" si="175"/>
        <v>0</v>
      </c>
      <c r="DR124" s="508">
        <f t="shared" si="175"/>
        <v>0</v>
      </c>
      <c r="DS124" s="508">
        <f t="shared" si="190"/>
        <v>0</v>
      </c>
      <c r="DT124" s="508">
        <f t="shared" si="190"/>
        <v>0</v>
      </c>
      <c r="DU124" s="508">
        <f t="shared" si="190"/>
        <v>0</v>
      </c>
      <c r="DV124" s="508">
        <f t="shared" si="190"/>
        <v>0</v>
      </c>
      <c r="DW124" s="508">
        <f t="shared" si="190"/>
        <v>0</v>
      </c>
      <c r="DX124" s="508">
        <f t="shared" si="190"/>
        <v>0</v>
      </c>
      <c r="DY124" s="508">
        <f t="shared" si="190"/>
        <v>0</v>
      </c>
      <c r="DZ124" s="511">
        <f t="shared" si="177"/>
        <v>0</v>
      </c>
      <c r="EA124" s="511">
        <f t="shared" si="177"/>
        <v>0</v>
      </c>
      <c r="EB124" s="511">
        <f t="shared" si="177"/>
        <v>0</v>
      </c>
      <c r="EC124" s="511">
        <f t="shared" si="177"/>
        <v>0</v>
      </c>
      <c r="ED124" s="511">
        <f t="shared" si="177"/>
        <v>0</v>
      </c>
      <c r="EE124" s="511">
        <f t="shared" si="177"/>
        <v>0</v>
      </c>
      <c r="EF124" s="511">
        <f t="shared" si="177"/>
        <v>0</v>
      </c>
      <c r="EG124" s="511">
        <f t="shared" si="178"/>
        <v>0</v>
      </c>
      <c r="EH124" s="511">
        <f t="shared" si="178"/>
        <v>0</v>
      </c>
      <c r="EI124" s="511">
        <f t="shared" si="178"/>
        <v>0</v>
      </c>
      <c r="EJ124" s="511">
        <f t="shared" si="178"/>
        <v>0</v>
      </c>
      <c r="EK124" s="511">
        <f t="shared" si="178"/>
        <v>0</v>
      </c>
      <c r="EL124" s="511">
        <f t="shared" si="178"/>
        <v>0</v>
      </c>
      <c r="EM124" s="511">
        <f t="shared" si="178"/>
        <v>0</v>
      </c>
      <c r="EN124" s="511">
        <f t="shared" si="179"/>
        <v>0</v>
      </c>
      <c r="EO124" s="511">
        <f t="shared" si="179"/>
        <v>0</v>
      </c>
      <c r="EP124" s="511">
        <f t="shared" si="179"/>
        <v>0</v>
      </c>
      <c r="EQ124" s="511">
        <f t="shared" si="179"/>
        <v>0</v>
      </c>
      <c r="ER124" s="511">
        <f t="shared" si="179"/>
        <v>0</v>
      </c>
      <c r="ES124" s="511">
        <f t="shared" si="179"/>
        <v>0</v>
      </c>
      <c r="ET124" s="511">
        <f t="shared" si="179"/>
        <v>0</v>
      </c>
      <c r="EU124" s="777">
        <f t="shared" si="191"/>
        <v>0</v>
      </c>
      <c r="EV124" s="728">
        <f t="shared" si="181"/>
        <v>0</v>
      </c>
      <c r="EW124" s="728">
        <f t="shared" si="182"/>
        <v>0</v>
      </c>
      <c r="EX124" s="728">
        <f t="shared" si="183"/>
        <v>0</v>
      </c>
      <c r="EY124" s="728">
        <f t="shared" si="184"/>
        <v>0</v>
      </c>
      <c r="EZ124" s="777">
        <f t="shared" si="185"/>
        <v>0</v>
      </c>
      <c r="FA124" s="777">
        <f t="shared" si="186"/>
        <v>0</v>
      </c>
      <c r="FB124" s="778">
        <f t="shared" si="187"/>
        <v>0</v>
      </c>
    </row>
    <row r="125" spans="1:158" s="10" customFormat="1" ht="12.75" hidden="1" customHeight="1">
      <c r="A125" s="662" t="s">
        <v>255</v>
      </c>
      <c r="B125" s="789" t="s">
        <v>2213</v>
      </c>
      <c r="C125" s="662" t="s">
        <v>2080</v>
      </c>
      <c r="D125" s="715" t="s">
        <v>938</v>
      </c>
      <c r="E125" s="662" t="s">
        <v>331</v>
      </c>
      <c r="F125" s="704" t="s">
        <v>402</v>
      </c>
      <c r="G125" s="707">
        <f t="shared" si="194"/>
        <v>344.28999999999996</v>
      </c>
      <c r="H125" s="707">
        <f t="shared" si="194"/>
        <v>0</v>
      </c>
      <c r="I125" s="707">
        <f t="shared" si="194"/>
        <v>344.28999999999996</v>
      </c>
      <c r="J125" s="707">
        <f t="shared" si="194"/>
        <v>0</v>
      </c>
      <c r="K125" s="707">
        <f t="shared" si="194"/>
        <v>172.14499999999998</v>
      </c>
      <c r="L125" s="1263" t="str">
        <f t="shared" si="194"/>
        <v>DEER 2008</v>
      </c>
      <c r="M125" s="707" t="str">
        <f t="shared" si="194"/>
        <v>NA</v>
      </c>
      <c r="N125" s="707">
        <f t="shared" si="194"/>
        <v>170</v>
      </c>
      <c r="O125" s="707">
        <f t="shared" si="194"/>
        <v>0</v>
      </c>
      <c r="P125" s="707">
        <f t="shared" si="194"/>
        <v>0</v>
      </c>
      <c r="Q125" s="1022">
        <v>0</v>
      </c>
      <c r="R125" s="872">
        <v>0</v>
      </c>
      <c r="S125" s="1022">
        <v>60.283976832989254</v>
      </c>
      <c r="T125" s="711" t="str">
        <f t="shared" si="188"/>
        <v>Potential Study Results: Engineering calculations based on ENERGY STAR Appliances Calculator. Accessed 06.07.2016</v>
      </c>
      <c r="U125" s="712"/>
      <c r="V125" s="1124">
        <f t="shared" si="156"/>
        <v>2.3803856224708403E-4</v>
      </c>
      <c r="W125" s="790"/>
      <c r="X125" s="790"/>
      <c r="Y125" s="790"/>
      <c r="Z125" s="790"/>
      <c r="AA125" s="790"/>
      <c r="AB125" s="790"/>
      <c r="AC125" s="781">
        <f t="shared" si="204"/>
        <v>0</v>
      </c>
      <c r="AD125" s="781">
        <f t="shared" si="204"/>
        <v>0</v>
      </c>
      <c r="AE125" s="781">
        <f t="shared" si="204"/>
        <v>0</v>
      </c>
      <c r="AF125" s="781">
        <f t="shared" si="204"/>
        <v>0</v>
      </c>
      <c r="AG125" s="781">
        <f t="shared" si="204"/>
        <v>0</v>
      </c>
      <c r="AH125" s="781">
        <f t="shared" si="196"/>
        <v>0</v>
      </c>
      <c r="AI125" s="781">
        <f t="shared" si="196"/>
        <v>0</v>
      </c>
      <c r="AJ125" s="711" t="s">
        <v>2013</v>
      </c>
      <c r="AK125" s="711" t="s">
        <v>375</v>
      </c>
      <c r="AL125" s="711" t="s">
        <v>376</v>
      </c>
      <c r="AM125" s="711" t="s">
        <v>2082</v>
      </c>
      <c r="AN125" s="711" t="s">
        <v>1</v>
      </c>
      <c r="AO125" s="711" t="s">
        <v>2083</v>
      </c>
      <c r="AP125" s="711" t="s">
        <v>2080</v>
      </c>
      <c r="AQ125" s="711" t="s">
        <v>938</v>
      </c>
      <c r="AR125" s="715" t="s">
        <v>1944</v>
      </c>
      <c r="AS125" s="715" t="s">
        <v>407</v>
      </c>
      <c r="AT125" s="715" t="s">
        <v>381</v>
      </c>
      <c r="AU125" s="711">
        <v>20</v>
      </c>
      <c r="AV125" s="711">
        <v>20</v>
      </c>
      <c r="AW125" s="711" t="s">
        <v>2084</v>
      </c>
      <c r="AX125" s="716">
        <v>1</v>
      </c>
      <c r="AY125" s="716">
        <v>0</v>
      </c>
      <c r="AZ125" s="716">
        <v>1</v>
      </c>
      <c r="BA125" s="499">
        <f t="shared" si="159"/>
        <v>344.28999999999996</v>
      </c>
      <c r="BB125" s="499">
        <f t="shared" si="197"/>
        <v>344.28999999999996</v>
      </c>
      <c r="BC125" s="499">
        <f t="shared" si="197"/>
        <v>344.28999999999996</v>
      </c>
      <c r="BD125" s="499">
        <f t="shared" si="197"/>
        <v>344.28999999999996</v>
      </c>
      <c r="BE125" s="499">
        <f t="shared" si="161"/>
        <v>344.28999999999996</v>
      </c>
      <c r="BF125" s="499">
        <f t="shared" si="161"/>
        <v>344.28999999999996</v>
      </c>
      <c r="BG125" s="499">
        <f t="shared" si="161"/>
        <v>344.28999999999996</v>
      </c>
      <c r="BH125" s="499">
        <f t="shared" si="162"/>
        <v>0</v>
      </c>
      <c r="BI125" s="499">
        <f t="shared" si="198"/>
        <v>0</v>
      </c>
      <c r="BJ125" s="499">
        <f t="shared" si="198"/>
        <v>0</v>
      </c>
      <c r="BK125" s="499">
        <f t="shared" si="198"/>
        <v>0</v>
      </c>
      <c r="BL125" s="499">
        <f t="shared" si="198"/>
        <v>0</v>
      </c>
      <c r="BM125" s="499">
        <f t="shared" si="198"/>
        <v>0</v>
      </c>
      <c r="BN125" s="499">
        <f t="shared" si="198"/>
        <v>0</v>
      </c>
      <c r="BO125" s="499">
        <f t="shared" si="164"/>
        <v>170</v>
      </c>
      <c r="BP125" s="499">
        <f t="shared" si="202"/>
        <v>170</v>
      </c>
      <c r="BQ125" s="499">
        <f t="shared" si="202"/>
        <v>170</v>
      </c>
      <c r="BR125" s="499">
        <f t="shared" si="202"/>
        <v>170</v>
      </c>
      <c r="BS125" s="499">
        <f t="shared" si="202"/>
        <v>170</v>
      </c>
      <c r="BT125" s="499">
        <f t="shared" si="202"/>
        <v>170</v>
      </c>
      <c r="BU125" s="499">
        <f t="shared" si="202"/>
        <v>170</v>
      </c>
      <c r="BV125" s="503">
        <f t="shared" si="189"/>
        <v>0</v>
      </c>
      <c r="BW125" s="503">
        <f t="shared" si="189"/>
        <v>0</v>
      </c>
      <c r="BX125" s="503">
        <f t="shared" si="189"/>
        <v>0</v>
      </c>
      <c r="BY125" s="503">
        <f t="shared" si="189"/>
        <v>0</v>
      </c>
      <c r="BZ125" s="503">
        <f t="shared" si="189"/>
        <v>0</v>
      </c>
      <c r="CA125" s="503">
        <f t="shared" si="189"/>
        <v>0</v>
      </c>
      <c r="CB125" s="503">
        <f t="shared" si="189"/>
        <v>0</v>
      </c>
      <c r="CC125" s="511">
        <f t="shared" si="167"/>
        <v>0</v>
      </c>
      <c r="CD125" s="511">
        <f t="shared" si="199"/>
        <v>0</v>
      </c>
      <c r="CE125" s="511">
        <f t="shared" si="199"/>
        <v>0</v>
      </c>
      <c r="CF125" s="511">
        <f t="shared" si="199"/>
        <v>0</v>
      </c>
      <c r="CG125" s="511">
        <f t="shared" si="199"/>
        <v>0</v>
      </c>
      <c r="CH125" s="511">
        <f t="shared" si="199"/>
        <v>0</v>
      </c>
      <c r="CI125" s="511">
        <f t="shared" si="199"/>
        <v>0</v>
      </c>
      <c r="CJ125" s="511">
        <f t="shared" si="169"/>
        <v>0</v>
      </c>
      <c r="CK125" s="511">
        <f t="shared" si="200"/>
        <v>0</v>
      </c>
      <c r="CL125" s="511">
        <f t="shared" si="200"/>
        <v>0</v>
      </c>
      <c r="CM125" s="511">
        <f t="shared" si="200"/>
        <v>0</v>
      </c>
      <c r="CN125" s="511">
        <f t="shared" si="200"/>
        <v>0</v>
      </c>
      <c r="CO125" s="511">
        <f t="shared" si="200"/>
        <v>0</v>
      </c>
      <c r="CP125" s="511">
        <f t="shared" si="200"/>
        <v>0</v>
      </c>
      <c r="CQ125" s="511">
        <f t="shared" si="171"/>
        <v>60.283976832989254</v>
      </c>
      <c r="CR125" s="511">
        <f t="shared" si="201"/>
        <v>60.283976832989254</v>
      </c>
      <c r="CS125" s="511">
        <f t="shared" si="201"/>
        <v>60.283976832989254</v>
      </c>
      <c r="CT125" s="511">
        <f t="shared" si="201"/>
        <v>60.283976832989254</v>
      </c>
      <c r="CU125" s="511">
        <f t="shared" si="201"/>
        <v>60.283976832989254</v>
      </c>
      <c r="CV125" s="511">
        <f t="shared" si="201"/>
        <v>60.283976832989254</v>
      </c>
      <c r="CW125" s="511">
        <f t="shared" si="201"/>
        <v>60.283976832989254</v>
      </c>
      <c r="CX125" s="508">
        <f t="shared" si="173"/>
        <v>0</v>
      </c>
      <c r="CY125" s="508">
        <f t="shared" si="173"/>
        <v>0</v>
      </c>
      <c r="CZ125" s="508">
        <f t="shared" si="173"/>
        <v>0</v>
      </c>
      <c r="DA125" s="508">
        <f t="shared" si="173"/>
        <v>0</v>
      </c>
      <c r="DB125" s="508">
        <f t="shared" si="173"/>
        <v>0</v>
      </c>
      <c r="DC125" s="508">
        <f t="shared" si="173"/>
        <v>0</v>
      </c>
      <c r="DD125" s="508">
        <f t="shared" si="173"/>
        <v>0</v>
      </c>
      <c r="DE125" s="508">
        <f t="shared" si="174"/>
        <v>0</v>
      </c>
      <c r="DF125" s="508">
        <f t="shared" si="174"/>
        <v>0</v>
      </c>
      <c r="DG125" s="508">
        <f t="shared" si="174"/>
        <v>0</v>
      </c>
      <c r="DH125" s="508">
        <f t="shared" si="174"/>
        <v>0</v>
      </c>
      <c r="DI125" s="508">
        <f t="shared" si="174"/>
        <v>0</v>
      </c>
      <c r="DJ125" s="508">
        <f t="shared" si="174"/>
        <v>0</v>
      </c>
      <c r="DK125" s="508">
        <f t="shared" si="174"/>
        <v>0</v>
      </c>
      <c r="DL125" s="508">
        <f t="shared" si="175"/>
        <v>0</v>
      </c>
      <c r="DM125" s="508">
        <f t="shared" si="175"/>
        <v>0</v>
      </c>
      <c r="DN125" s="508">
        <f t="shared" si="175"/>
        <v>0</v>
      </c>
      <c r="DO125" s="508">
        <f t="shared" si="175"/>
        <v>0</v>
      </c>
      <c r="DP125" s="508">
        <f t="shared" si="175"/>
        <v>0</v>
      </c>
      <c r="DQ125" s="508">
        <f t="shared" si="175"/>
        <v>0</v>
      </c>
      <c r="DR125" s="508">
        <f t="shared" si="175"/>
        <v>0</v>
      </c>
      <c r="DS125" s="508">
        <f t="shared" si="190"/>
        <v>0</v>
      </c>
      <c r="DT125" s="508">
        <f t="shared" si="190"/>
        <v>0</v>
      </c>
      <c r="DU125" s="508">
        <f t="shared" si="190"/>
        <v>0</v>
      </c>
      <c r="DV125" s="508">
        <f t="shared" si="190"/>
        <v>0</v>
      </c>
      <c r="DW125" s="508">
        <f t="shared" si="190"/>
        <v>0</v>
      </c>
      <c r="DX125" s="508">
        <f t="shared" si="190"/>
        <v>0</v>
      </c>
      <c r="DY125" s="508">
        <f t="shared" si="190"/>
        <v>0</v>
      </c>
      <c r="DZ125" s="511">
        <f t="shared" si="177"/>
        <v>0</v>
      </c>
      <c r="EA125" s="511">
        <f t="shared" si="177"/>
        <v>0</v>
      </c>
      <c r="EB125" s="511">
        <f t="shared" si="177"/>
        <v>0</v>
      </c>
      <c r="EC125" s="511">
        <f t="shared" si="177"/>
        <v>0</v>
      </c>
      <c r="ED125" s="511">
        <f t="shared" si="177"/>
        <v>0</v>
      </c>
      <c r="EE125" s="511">
        <f t="shared" si="177"/>
        <v>0</v>
      </c>
      <c r="EF125" s="511">
        <f t="shared" si="177"/>
        <v>0</v>
      </c>
      <c r="EG125" s="511">
        <f t="shared" si="178"/>
        <v>0</v>
      </c>
      <c r="EH125" s="511">
        <f t="shared" si="178"/>
        <v>0</v>
      </c>
      <c r="EI125" s="511">
        <f t="shared" si="178"/>
        <v>0</v>
      </c>
      <c r="EJ125" s="511">
        <f t="shared" si="178"/>
        <v>0</v>
      </c>
      <c r="EK125" s="511">
        <f t="shared" si="178"/>
        <v>0</v>
      </c>
      <c r="EL125" s="511">
        <f t="shared" si="178"/>
        <v>0</v>
      </c>
      <c r="EM125" s="511">
        <f t="shared" si="178"/>
        <v>0</v>
      </c>
      <c r="EN125" s="511">
        <f t="shared" si="179"/>
        <v>0</v>
      </c>
      <c r="EO125" s="511">
        <f t="shared" si="179"/>
        <v>0</v>
      </c>
      <c r="EP125" s="511">
        <f t="shared" si="179"/>
        <v>0</v>
      </c>
      <c r="EQ125" s="511">
        <f t="shared" si="179"/>
        <v>0</v>
      </c>
      <c r="ER125" s="511">
        <f t="shared" si="179"/>
        <v>0</v>
      </c>
      <c r="ES125" s="511">
        <f t="shared" si="179"/>
        <v>0</v>
      </c>
      <c r="ET125" s="511">
        <f t="shared" si="179"/>
        <v>0</v>
      </c>
      <c r="EU125" s="777">
        <f t="shared" si="191"/>
        <v>0</v>
      </c>
      <c r="EV125" s="728">
        <f t="shared" si="181"/>
        <v>0</v>
      </c>
      <c r="EW125" s="728">
        <f t="shared" si="182"/>
        <v>0</v>
      </c>
      <c r="EX125" s="728">
        <f t="shared" si="183"/>
        <v>0</v>
      </c>
      <c r="EY125" s="728">
        <f t="shared" si="184"/>
        <v>0</v>
      </c>
      <c r="EZ125" s="777">
        <f t="shared" si="185"/>
        <v>0</v>
      </c>
      <c r="FA125" s="777">
        <f t="shared" si="186"/>
        <v>0</v>
      </c>
      <c r="FB125" s="778">
        <f t="shared" si="187"/>
        <v>0</v>
      </c>
    </row>
    <row r="126" spans="1:158" s="10" customFormat="1" ht="12.75" hidden="1" customHeight="1">
      <c r="A126" s="662" t="s">
        <v>256</v>
      </c>
      <c r="B126" s="789" t="s">
        <v>2214</v>
      </c>
      <c r="C126" s="662" t="s">
        <v>2086</v>
      </c>
      <c r="D126" s="715" t="s">
        <v>2087</v>
      </c>
      <c r="E126" s="662" t="s">
        <v>331</v>
      </c>
      <c r="F126" s="704" t="s">
        <v>402</v>
      </c>
      <c r="G126" s="707">
        <f t="shared" si="194"/>
        <v>100</v>
      </c>
      <c r="H126" s="707">
        <f t="shared" si="194"/>
        <v>0</v>
      </c>
      <c r="I126" s="707">
        <f t="shared" si="194"/>
        <v>100</v>
      </c>
      <c r="J126" s="707">
        <f t="shared" si="194"/>
        <v>0</v>
      </c>
      <c r="K126" s="707">
        <f t="shared" si="194"/>
        <v>50</v>
      </c>
      <c r="L126" s="1263" t="str">
        <f t="shared" si="194"/>
        <v>Assuming equipment cost included in labor cost</v>
      </c>
      <c r="M126" s="707" t="str">
        <f t="shared" si="194"/>
        <v>NA</v>
      </c>
      <c r="N126" s="707">
        <f t="shared" si="194"/>
        <v>50</v>
      </c>
      <c r="O126" s="707">
        <f t="shared" si="194"/>
        <v>0</v>
      </c>
      <c r="P126" s="707">
        <f t="shared" si="194"/>
        <v>0</v>
      </c>
      <c r="Q126" s="1022">
        <v>432.31309726714431</v>
      </c>
      <c r="R126" s="872">
        <v>0.34849930020713837</v>
      </c>
      <c r="S126" s="1022">
        <v>0</v>
      </c>
      <c r="T126" s="711" t="str">
        <f t="shared" si="188"/>
        <v>Potential Study Results: Engineering calculations based on ENERGY STAR Appliances Calculator. Accessed 06.07.2016</v>
      </c>
      <c r="U126" s="712"/>
      <c r="V126" s="1124">
        <f t="shared" si="156"/>
        <v>2.0471316353249225E-2</v>
      </c>
      <c r="W126" s="790"/>
      <c r="X126" s="790"/>
      <c r="Y126" s="790"/>
      <c r="Z126" s="790"/>
      <c r="AA126" s="790"/>
      <c r="AB126" s="790"/>
      <c r="AC126" s="781">
        <f t="shared" si="204"/>
        <v>25</v>
      </c>
      <c r="AD126" s="781">
        <f t="shared" si="204"/>
        <v>25</v>
      </c>
      <c r="AE126" s="781">
        <f t="shared" si="204"/>
        <v>25</v>
      </c>
      <c r="AF126" s="781">
        <f t="shared" si="204"/>
        <v>25</v>
      </c>
      <c r="AG126" s="781">
        <f t="shared" si="204"/>
        <v>25</v>
      </c>
      <c r="AH126" s="781">
        <f t="shared" si="196"/>
        <v>25</v>
      </c>
      <c r="AI126" s="781">
        <f t="shared" si="196"/>
        <v>25</v>
      </c>
      <c r="AJ126" s="711" t="s">
        <v>384</v>
      </c>
      <c r="AK126" s="711" t="s">
        <v>375</v>
      </c>
      <c r="AL126" s="711" t="s">
        <v>376</v>
      </c>
      <c r="AM126" s="711" t="s">
        <v>2002</v>
      </c>
      <c r="AN126" s="711" t="s">
        <v>1</v>
      </c>
      <c r="AO126" s="711" t="s">
        <v>2089</v>
      </c>
      <c r="AP126" s="711" t="s">
        <v>2086</v>
      </c>
      <c r="AQ126" s="711" t="s">
        <v>2087</v>
      </c>
      <c r="AR126" s="715" t="s">
        <v>406</v>
      </c>
      <c r="AS126" s="715"/>
      <c r="AT126" s="715" t="s">
        <v>381</v>
      </c>
      <c r="AU126" s="711">
        <v>5</v>
      </c>
      <c r="AV126" s="711">
        <v>5</v>
      </c>
      <c r="AW126" s="711" t="s">
        <v>2090</v>
      </c>
      <c r="AX126" s="716">
        <v>1</v>
      </c>
      <c r="AY126" s="716">
        <v>1</v>
      </c>
      <c r="AZ126" s="716">
        <v>0</v>
      </c>
      <c r="BA126" s="499">
        <f t="shared" si="159"/>
        <v>100</v>
      </c>
      <c r="BB126" s="499">
        <f t="shared" si="197"/>
        <v>100</v>
      </c>
      <c r="BC126" s="499">
        <f t="shared" si="197"/>
        <v>100</v>
      </c>
      <c r="BD126" s="499">
        <f t="shared" si="197"/>
        <v>100</v>
      </c>
      <c r="BE126" s="499">
        <f t="shared" si="161"/>
        <v>100</v>
      </c>
      <c r="BF126" s="499">
        <f t="shared" si="161"/>
        <v>100</v>
      </c>
      <c r="BG126" s="499">
        <f t="shared" si="161"/>
        <v>100</v>
      </c>
      <c r="BH126" s="499">
        <f t="shared" si="162"/>
        <v>0</v>
      </c>
      <c r="BI126" s="499">
        <f t="shared" si="198"/>
        <v>0</v>
      </c>
      <c r="BJ126" s="499">
        <f t="shared" si="198"/>
        <v>0</v>
      </c>
      <c r="BK126" s="499">
        <f t="shared" si="198"/>
        <v>0</v>
      </c>
      <c r="BL126" s="499">
        <f t="shared" si="198"/>
        <v>0</v>
      </c>
      <c r="BM126" s="499">
        <f t="shared" si="198"/>
        <v>0</v>
      </c>
      <c r="BN126" s="499">
        <f t="shared" si="198"/>
        <v>0</v>
      </c>
      <c r="BO126" s="499">
        <f t="shared" si="164"/>
        <v>50</v>
      </c>
      <c r="BP126" s="499">
        <f t="shared" si="202"/>
        <v>50</v>
      </c>
      <c r="BQ126" s="499">
        <f t="shared" si="202"/>
        <v>50</v>
      </c>
      <c r="BR126" s="499">
        <f t="shared" si="202"/>
        <v>50</v>
      </c>
      <c r="BS126" s="499">
        <f t="shared" si="202"/>
        <v>50</v>
      </c>
      <c r="BT126" s="499">
        <f t="shared" si="202"/>
        <v>50</v>
      </c>
      <c r="BU126" s="499">
        <f t="shared" si="202"/>
        <v>50</v>
      </c>
      <c r="BV126" s="503">
        <f t="shared" si="189"/>
        <v>0</v>
      </c>
      <c r="BW126" s="503">
        <f t="shared" si="189"/>
        <v>0</v>
      </c>
      <c r="BX126" s="503">
        <f t="shared" si="189"/>
        <v>0</v>
      </c>
      <c r="BY126" s="503">
        <f t="shared" si="189"/>
        <v>0</v>
      </c>
      <c r="BZ126" s="503">
        <f t="shared" si="189"/>
        <v>0</v>
      </c>
      <c r="CA126" s="503">
        <f t="shared" si="189"/>
        <v>0</v>
      </c>
      <c r="CB126" s="503">
        <f t="shared" si="189"/>
        <v>0</v>
      </c>
      <c r="CC126" s="511">
        <f t="shared" si="167"/>
        <v>432.31309726714431</v>
      </c>
      <c r="CD126" s="511">
        <f t="shared" si="199"/>
        <v>432.31309726714431</v>
      </c>
      <c r="CE126" s="511">
        <f t="shared" si="199"/>
        <v>432.31309726714431</v>
      </c>
      <c r="CF126" s="511">
        <f t="shared" si="199"/>
        <v>432.31309726714431</v>
      </c>
      <c r="CG126" s="511">
        <f t="shared" si="199"/>
        <v>432.31309726714431</v>
      </c>
      <c r="CH126" s="511">
        <f t="shared" si="199"/>
        <v>432.31309726714431</v>
      </c>
      <c r="CI126" s="511">
        <f t="shared" si="199"/>
        <v>432.31309726714431</v>
      </c>
      <c r="CJ126" s="511">
        <f t="shared" si="169"/>
        <v>0.34849930020713837</v>
      </c>
      <c r="CK126" s="511">
        <f t="shared" si="200"/>
        <v>0.34849930020713837</v>
      </c>
      <c r="CL126" s="511">
        <f t="shared" si="200"/>
        <v>0.34849930020713837</v>
      </c>
      <c r="CM126" s="511">
        <f t="shared" si="200"/>
        <v>0.34849930020713837</v>
      </c>
      <c r="CN126" s="511">
        <f t="shared" si="200"/>
        <v>0.34849930020713837</v>
      </c>
      <c r="CO126" s="511">
        <f t="shared" si="200"/>
        <v>0.34849930020713837</v>
      </c>
      <c r="CP126" s="511">
        <f t="shared" si="200"/>
        <v>0.34849930020713837</v>
      </c>
      <c r="CQ126" s="511">
        <f t="shared" si="171"/>
        <v>0</v>
      </c>
      <c r="CR126" s="511">
        <f t="shared" si="201"/>
        <v>0</v>
      </c>
      <c r="CS126" s="511">
        <f t="shared" si="201"/>
        <v>0</v>
      </c>
      <c r="CT126" s="511">
        <f t="shared" si="201"/>
        <v>0</v>
      </c>
      <c r="CU126" s="511">
        <f t="shared" si="201"/>
        <v>0</v>
      </c>
      <c r="CV126" s="511">
        <f t="shared" si="201"/>
        <v>0</v>
      </c>
      <c r="CW126" s="511">
        <f t="shared" si="201"/>
        <v>0</v>
      </c>
      <c r="CX126" s="508">
        <f t="shared" si="173"/>
        <v>2500</v>
      </c>
      <c r="CY126" s="508">
        <f t="shared" si="173"/>
        <v>2500</v>
      </c>
      <c r="CZ126" s="508">
        <f t="shared" si="173"/>
        <v>2500</v>
      </c>
      <c r="DA126" s="508">
        <f t="shared" si="173"/>
        <v>2500</v>
      </c>
      <c r="DB126" s="508">
        <f t="shared" si="173"/>
        <v>2500</v>
      </c>
      <c r="DC126" s="508">
        <f t="shared" si="173"/>
        <v>2500</v>
      </c>
      <c r="DD126" s="508">
        <f t="shared" si="173"/>
        <v>2500</v>
      </c>
      <c r="DE126" s="508">
        <f t="shared" si="174"/>
        <v>0</v>
      </c>
      <c r="DF126" s="508">
        <f t="shared" si="174"/>
        <v>0</v>
      </c>
      <c r="DG126" s="508">
        <f t="shared" si="174"/>
        <v>0</v>
      </c>
      <c r="DH126" s="508">
        <f t="shared" si="174"/>
        <v>0</v>
      </c>
      <c r="DI126" s="508">
        <f t="shared" si="174"/>
        <v>0</v>
      </c>
      <c r="DJ126" s="508">
        <f t="shared" si="174"/>
        <v>0</v>
      </c>
      <c r="DK126" s="508">
        <f t="shared" si="174"/>
        <v>0</v>
      </c>
      <c r="DL126" s="508">
        <f t="shared" si="175"/>
        <v>1250</v>
      </c>
      <c r="DM126" s="508">
        <f t="shared" si="175"/>
        <v>1250</v>
      </c>
      <c r="DN126" s="508">
        <f t="shared" si="175"/>
        <v>1250</v>
      </c>
      <c r="DO126" s="508">
        <f t="shared" si="175"/>
        <v>1250</v>
      </c>
      <c r="DP126" s="508">
        <f t="shared" si="175"/>
        <v>1250</v>
      </c>
      <c r="DQ126" s="508">
        <f t="shared" si="175"/>
        <v>1250</v>
      </c>
      <c r="DR126" s="508">
        <f t="shared" si="175"/>
        <v>1250</v>
      </c>
      <c r="DS126" s="508">
        <f t="shared" si="190"/>
        <v>0</v>
      </c>
      <c r="DT126" s="508">
        <f t="shared" si="190"/>
        <v>0</v>
      </c>
      <c r="DU126" s="508">
        <f t="shared" si="190"/>
        <v>0</v>
      </c>
      <c r="DV126" s="508">
        <f t="shared" si="190"/>
        <v>0</v>
      </c>
      <c r="DW126" s="508">
        <f t="shared" si="190"/>
        <v>0</v>
      </c>
      <c r="DX126" s="508">
        <f t="shared" si="190"/>
        <v>0</v>
      </c>
      <c r="DY126" s="508">
        <f t="shared" si="190"/>
        <v>0</v>
      </c>
      <c r="DZ126" s="511">
        <f t="shared" si="177"/>
        <v>10807.827431678608</v>
      </c>
      <c r="EA126" s="511">
        <f t="shared" si="177"/>
        <v>10807.827431678608</v>
      </c>
      <c r="EB126" s="511">
        <f t="shared" si="177"/>
        <v>10807.827431678608</v>
      </c>
      <c r="EC126" s="511">
        <f t="shared" si="177"/>
        <v>10807.827431678608</v>
      </c>
      <c r="ED126" s="511">
        <f t="shared" si="177"/>
        <v>10807.827431678608</v>
      </c>
      <c r="EE126" s="511">
        <f t="shared" si="177"/>
        <v>10807.827431678608</v>
      </c>
      <c r="EF126" s="511">
        <f t="shared" si="177"/>
        <v>10807.827431678608</v>
      </c>
      <c r="EG126" s="511">
        <f t="shared" si="178"/>
        <v>8.7124825051784587</v>
      </c>
      <c r="EH126" s="511">
        <f t="shared" si="178"/>
        <v>8.7124825051784587</v>
      </c>
      <c r="EI126" s="511">
        <f t="shared" si="178"/>
        <v>8.7124825051784587</v>
      </c>
      <c r="EJ126" s="511">
        <f t="shared" si="178"/>
        <v>8.7124825051784587</v>
      </c>
      <c r="EK126" s="511">
        <f t="shared" si="178"/>
        <v>8.7124825051784587</v>
      </c>
      <c r="EL126" s="511">
        <f t="shared" si="178"/>
        <v>8.7124825051784587</v>
      </c>
      <c r="EM126" s="511">
        <f t="shared" si="178"/>
        <v>8.7124825051784587</v>
      </c>
      <c r="EN126" s="511">
        <f t="shared" si="179"/>
        <v>0</v>
      </c>
      <c r="EO126" s="511">
        <f t="shared" si="179"/>
        <v>0</v>
      </c>
      <c r="EP126" s="511">
        <f t="shared" si="179"/>
        <v>0</v>
      </c>
      <c r="EQ126" s="511">
        <f t="shared" si="179"/>
        <v>0</v>
      </c>
      <c r="ER126" s="511">
        <f t="shared" si="179"/>
        <v>0</v>
      </c>
      <c r="ES126" s="511">
        <f t="shared" si="179"/>
        <v>0</v>
      </c>
      <c r="ET126" s="511">
        <f t="shared" si="179"/>
        <v>0</v>
      </c>
      <c r="EU126" s="777">
        <f t="shared" si="191"/>
        <v>175</v>
      </c>
      <c r="EV126" s="728">
        <f t="shared" si="181"/>
        <v>17500</v>
      </c>
      <c r="EW126" s="728">
        <f t="shared" si="182"/>
        <v>0</v>
      </c>
      <c r="EX126" s="728">
        <f t="shared" si="183"/>
        <v>8750</v>
      </c>
      <c r="EY126" s="728">
        <f t="shared" si="184"/>
        <v>0</v>
      </c>
      <c r="EZ126" s="777">
        <f t="shared" si="185"/>
        <v>75654.792021750269</v>
      </c>
      <c r="FA126" s="777">
        <f t="shared" si="186"/>
        <v>60.987377536249205</v>
      </c>
      <c r="FB126" s="778">
        <f t="shared" si="187"/>
        <v>0</v>
      </c>
    </row>
    <row r="127" spans="1:158" s="10" customFormat="1" ht="12.75" hidden="1" customHeight="1">
      <c r="A127" s="662" t="s">
        <v>257</v>
      </c>
      <c r="B127" s="789" t="s">
        <v>2215</v>
      </c>
      <c r="C127" s="662" t="s">
        <v>2092</v>
      </c>
      <c r="D127" s="715" t="s">
        <v>2093</v>
      </c>
      <c r="E127" s="662" t="s">
        <v>331</v>
      </c>
      <c r="F127" s="704" t="s">
        <v>402</v>
      </c>
      <c r="G127" s="707">
        <f t="shared" si="194"/>
        <v>100</v>
      </c>
      <c r="H127" s="707">
        <f t="shared" si="194"/>
        <v>0</v>
      </c>
      <c r="I127" s="707">
        <f t="shared" si="194"/>
        <v>100</v>
      </c>
      <c r="J127" s="707">
        <f t="shared" si="194"/>
        <v>0</v>
      </c>
      <c r="K127" s="707">
        <f t="shared" si="194"/>
        <v>50</v>
      </c>
      <c r="L127" s="1263" t="str">
        <f t="shared" si="194"/>
        <v>Assuming equipment cost included in labor cost</v>
      </c>
      <c r="M127" s="707" t="str">
        <f t="shared" si="194"/>
        <v>NA</v>
      </c>
      <c r="N127" s="707">
        <f t="shared" si="194"/>
        <v>50</v>
      </c>
      <c r="O127" s="707">
        <f t="shared" si="194"/>
        <v>0</v>
      </c>
      <c r="P127" s="707">
        <f t="shared" si="194"/>
        <v>0</v>
      </c>
      <c r="Q127" s="1022">
        <v>789.14827304805954</v>
      </c>
      <c r="R127" s="872">
        <v>0.63615380300859958</v>
      </c>
      <c r="S127" s="1022">
        <v>0</v>
      </c>
      <c r="T127" s="711" t="str">
        <f t="shared" si="188"/>
        <v>Potential Study Results: Engineering calculations based on ENERGY STAR Appliances Calculator. Accessed 06.07.2016</v>
      </c>
      <c r="U127" s="712"/>
      <c r="V127" s="1124">
        <f t="shared" si="156"/>
        <v>0</v>
      </c>
      <c r="W127" s="790"/>
      <c r="X127" s="790"/>
      <c r="Y127" s="790"/>
      <c r="Z127" s="790"/>
      <c r="AA127" s="790"/>
      <c r="AB127" s="790"/>
      <c r="AC127" s="781">
        <f t="shared" si="204"/>
        <v>0</v>
      </c>
      <c r="AD127" s="781">
        <f t="shared" si="204"/>
        <v>0</v>
      </c>
      <c r="AE127" s="781">
        <f t="shared" si="204"/>
        <v>0</v>
      </c>
      <c r="AF127" s="781">
        <f t="shared" si="204"/>
        <v>0</v>
      </c>
      <c r="AG127" s="781">
        <f t="shared" si="204"/>
        <v>0</v>
      </c>
      <c r="AH127" s="781">
        <f t="shared" si="196"/>
        <v>0</v>
      </c>
      <c r="AI127" s="781">
        <f t="shared" si="196"/>
        <v>0</v>
      </c>
      <c r="AJ127" s="711" t="s">
        <v>384</v>
      </c>
      <c r="AK127" s="711" t="s">
        <v>375</v>
      </c>
      <c r="AL127" s="711" t="s">
        <v>376</v>
      </c>
      <c r="AM127" s="711" t="s">
        <v>2064</v>
      </c>
      <c r="AN127" s="711" t="s">
        <v>1</v>
      </c>
      <c r="AO127" s="711" t="s">
        <v>2094</v>
      </c>
      <c r="AP127" s="711" t="s">
        <v>2092</v>
      </c>
      <c r="AQ127" s="711" t="s">
        <v>2093</v>
      </c>
      <c r="AR127" s="715" t="s">
        <v>406</v>
      </c>
      <c r="AS127" s="715"/>
      <c r="AT127" s="715" t="s">
        <v>381</v>
      </c>
      <c r="AU127" s="711">
        <v>5</v>
      </c>
      <c r="AV127" s="711">
        <v>5</v>
      </c>
      <c r="AW127" s="711" t="s">
        <v>2090</v>
      </c>
      <c r="AX127" s="716">
        <v>1</v>
      </c>
      <c r="AY127" s="716">
        <v>1</v>
      </c>
      <c r="AZ127" s="716">
        <v>0</v>
      </c>
      <c r="BA127" s="499">
        <f t="shared" si="159"/>
        <v>100</v>
      </c>
      <c r="BB127" s="499">
        <f t="shared" si="197"/>
        <v>100</v>
      </c>
      <c r="BC127" s="499">
        <f t="shared" si="197"/>
        <v>100</v>
      </c>
      <c r="BD127" s="499">
        <f t="shared" si="197"/>
        <v>100</v>
      </c>
      <c r="BE127" s="499">
        <f t="shared" si="161"/>
        <v>100</v>
      </c>
      <c r="BF127" s="499">
        <f t="shared" si="161"/>
        <v>100</v>
      </c>
      <c r="BG127" s="499">
        <f t="shared" si="161"/>
        <v>100</v>
      </c>
      <c r="BH127" s="499">
        <f t="shared" si="162"/>
        <v>0</v>
      </c>
      <c r="BI127" s="499">
        <f t="shared" si="198"/>
        <v>0</v>
      </c>
      <c r="BJ127" s="499">
        <f t="shared" si="198"/>
        <v>0</v>
      </c>
      <c r="BK127" s="499">
        <f t="shared" si="198"/>
        <v>0</v>
      </c>
      <c r="BL127" s="499">
        <f t="shared" si="198"/>
        <v>0</v>
      </c>
      <c r="BM127" s="499">
        <f t="shared" si="198"/>
        <v>0</v>
      </c>
      <c r="BN127" s="499">
        <f t="shared" si="198"/>
        <v>0</v>
      </c>
      <c r="BO127" s="499">
        <f t="shared" si="164"/>
        <v>50</v>
      </c>
      <c r="BP127" s="499">
        <f t="shared" si="202"/>
        <v>50</v>
      </c>
      <c r="BQ127" s="499">
        <f t="shared" si="202"/>
        <v>50</v>
      </c>
      <c r="BR127" s="499">
        <f t="shared" si="202"/>
        <v>50</v>
      </c>
      <c r="BS127" s="499">
        <f t="shared" si="202"/>
        <v>50</v>
      </c>
      <c r="BT127" s="499">
        <f t="shared" si="202"/>
        <v>50</v>
      </c>
      <c r="BU127" s="499">
        <f t="shared" si="202"/>
        <v>50</v>
      </c>
      <c r="BV127" s="503">
        <f t="shared" si="189"/>
        <v>0</v>
      </c>
      <c r="BW127" s="503">
        <f t="shared" si="189"/>
        <v>0</v>
      </c>
      <c r="BX127" s="503">
        <f t="shared" si="189"/>
        <v>0</v>
      </c>
      <c r="BY127" s="503">
        <f t="shared" si="189"/>
        <v>0</v>
      </c>
      <c r="BZ127" s="503">
        <f t="shared" si="189"/>
        <v>0</v>
      </c>
      <c r="CA127" s="503">
        <f t="shared" si="189"/>
        <v>0</v>
      </c>
      <c r="CB127" s="503">
        <f t="shared" si="189"/>
        <v>0</v>
      </c>
      <c r="CC127" s="511">
        <f t="shared" si="167"/>
        <v>789.14827304805954</v>
      </c>
      <c r="CD127" s="511">
        <f t="shared" si="199"/>
        <v>789.14827304805954</v>
      </c>
      <c r="CE127" s="511">
        <f t="shared" si="199"/>
        <v>789.14827304805954</v>
      </c>
      <c r="CF127" s="511">
        <f t="shared" si="199"/>
        <v>789.14827304805954</v>
      </c>
      <c r="CG127" s="511">
        <f t="shared" si="199"/>
        <v>789.14827304805954</v>
      </c>
      <c r="CH127" s="511">
        <f t="shared" si="199"/>
        <v>789.14827304805954</v>
      </c>
      <c r="CI127" s="511">
        <f t="shared" si="199"/>
        <v>789.14827304805954</v>
      </c>
      <c r="CJ127" s="511">
        <f t="shared" si="169"/>
        <v>0.63615380300859958</v>
      </c>
      <c r="CK127" s="511">
        <f t="shared" si="200"/>
        <v>0.63615380300859958</v>
      </c>
      <c r="CL127" s="511">
        <f t="shared" si="200"/>
        <v>0.63615380300859958</v>
      </c>
      <c r="CM127" s="511">
        <f t="shared" si="200"/>
        <v>0.63615380300859958</v>
      </c>
      <c r="CN127" s="511">
        <f t="shared" si="200"/>
        <v>0.63615380300859958</v>
      </c>
      <c r="CO127" s="511">
        <f t="shared" si="200"/>
        <v>0.63615380300859958</v>
      </c>
      <c r="CP127" s="511">
        <f t="shared" si="200"/>
        <v>0.63615380300859958</v>
      </c>
      <c r="CQ127" s="511">
        <f t="shared" si="171"/>
        <v>0</v>
      </c>
      <c r="CR127" s="511">
        <f t="shared" si="201"/>
        <v>0</v>
      </c>
      <c r="CS127" s="511">
        <f t="shared" si="201"/>
        <v>0</v>
      </c>
      <c r="CT127" s="511">
        <f t="shared" si="201"/>
        <v>0</v>
      </c>
      <c r="CU127" s="511">
        <f t="shared" si="201"/>
        <v>0</v>
      </c>
      <c r="CV127" s="511">
        <f t="shared" si="201"/>
        <v>0</v>
      </c>
      <c r="CW127" s="511">
        <f t="shared" si="201"/>
        <v>0</v>
      </c>
      <c r="CX127" s="508">
        <f t="shared" si="173"/>
        <v>0</v>
      </c>
      <c r="CY127" s="508">
        <f t="shared" si="173"/>
        <v>0</v>
      </c>
      <c r="CZ127" s="508">
        <f t="shared" si="173"/>
        <v>0</v>
      </c>
      <c r="DA127" s="508">
        <f t="shared" si="173"/>
        <v>0</v>
      </c>
      <c r="DB127" s="508">
        <f t="shared" si="173"/>
        <v>0</v>
      </c>
      <c r="DC127" s="508">
        <f t="shared" si="173"/>
        <v>0</v>
      </c>
      <c r="DD127" s="508">
        <f t="shared" si="173"/>
        <v>0</v>
      </c>
      <c r="DE127" s="508">
        <f t="shared" si="174"/>
        <v>0</v>
      </c>
      <c r="DF127" s="508">
        <f t="shared" si="174"/>
        <v>0</v>
      </c>
      <c r="DG127" s="508">
        <f t="shared" si="174"/>
        <v>0</v>
      </c>
      <c r="DH127" s="508">
        <f t="shared" si="174"/>
        <v>0</v>
      </c>
      <c r="DI127" s="508">
        <f t="shared" si="174"/>
        <v>0</v>
      </c>
      <c r="DJ127" s="508">
        <f t="shared" si="174"/>
        <v>0</v>
      </c>
      <c r="DK127" s="508">
        <f t="shared" si="174"/>
        <v>0</v>
      </c>
      <c r="DL127" s="508">
        <f t="shared" si="175"/>
        <v>0</v>
      </c>
      <c r="DM127" s="508">
        <f t="shared" si="175"/>
        <v>0</v>
      </c>
      <c r="DN127" s="508">
        <f t="shared" si="175"/>
        <v>0</v>
      </c>
      <c r="DO127" s="508">
        <f t="shared" si="175"/>
        <v>0</v>
      </c>
      <c r="DP127" s="508">
        <f t="shared" si="175"/>
        <v>0</v>
      </c>
      <c r="DQ127" s="508">
        <f t="shared" si="175"/>
        <v>0</v>
      </c>
      <c r="DR127" s="508">
        <f t="shared" si="175"/>
        <v>0</v>
      </c>
      <c r="DS127" s="508">
        <f t="shared" si="190"/>
        <v>0</v>
      </c>
      <c r="DT127" s="508">
        <f t="shared" si="190"/>
        <v>0</v>
      </c>
      <c r="DU127" s="508">
        <f t="shared" si="190"/>
        <v>0</v>
      </c>
      <c r="DV127" s="508">
        <f t="shared" si="190"/>
        <v>0</v>
      </c>
      <c r="DW127" s="508">
        <f t="shared" si="190"/>
        <v>0</v>
      </c>
      <c r="DX127" s="508">
        <f t="shared" si="190"/>
        <v>0</v>
      </c>
      <c r="DY127" s="508">
        <f t="shared" si="190"/>
        <v>0</v>
      </c>
      <c r="DZ127" s="511">
        <f t="shared" si="177"/>
        <v>0</v>
      </c>
      <c r="EA127" s="511">
        <f t="shared" si="177"/>
        <v>0</v>
      </c>
      <c r="EB127" s="511">
        <f t="shared" si="177"/>
        <v>0</v>
      </c>
      <c r="EC127" s="511">
        <f t="shared" si="177"/>
        <v>0</v>
      </c>
      <c r="ED127" s="511">
        <f t="shared" si="177"/>
        <v>0</v>
      </c>
      <c r="EE127" s="511">
        <f t="shared" si="177"/>
        <v>0</v>
      </c>
      <c r="EF127" s="511">
        <f t="shared" si="177"/>
        <v>0</v>
      </c>
      <c r="EG127" s="511">
        <f t="shared" si="178"/>
        <v>0</v>
      </c>
      <c r="EH127" s="511">
        <f t="shared" si="178"/>
        <v>0</v>
      </c>
      <c r="EI127" s="511">
        <f t="shared" si="178"/>
        <v>0</v>
      </c>
      <c r="EJ127" s="511">
        <f t="shared" si="178"/>
        <v>0</v>
      </c>
      <c r="EK127" s="511">
        <f t="shared" si="178"/>
        <v>0</v>
      </c>
      <c r="EL127" s="511">
        <f t="shared" si="178"/>
        <v>0</v>
      </c>
      <c r="EM127" s="511">
        <f t="shared" si="178"/>
        <v>0</v>
      </c>
      <c r="EN127" s="511">
        <f t="shared" si="179"/>
        <v>0</v>
      </c>
      <c r="EO127" s="511">
        <f t="shared" si="179"/>
        <v>0</v>
      </c>
      <c r="EP127" s="511">
        <f t="shared" si="179"/>
        <v>0</v>
      </c>
      <c r="EQ127" s="511">
        <f t="shared" si="179"/>
        <v>0</v>
      </c>
      <c r="ER127" s="511">
        <f t="shared" si="179"/>
        <v>0</v>
      </c>
      <c r="ES127" s="511">
        <f t="shared" si="179"/>
        <v>0</v>
      </c>
      <c r="ET127" s="511">
        <f t="shared" si="179"/>
        <v>0</v>
      </c>
      <c r="EU127" s="777">
        <f t="shared" si="191"/>
        <v>0</v>
      </c>
      <c r="EV127" s="728">
        <f t="shared" si="181"/>
        <v>0</v>
      </c>
      <c r="EW127" s="728">
        <f t="shared" si="182"/>
        <v>0</v>
      </c>
      <c r="EX127" s="728">
        <f t="shared" si="183"/>
        <v>0</v>
      </c>
      <c r="EY127" s="728">
        <f t="shared" si="184"/>
        <v>0</v>
      </c>
      <c r="EZ127" s="777">
        <f t="shared" si="185"/>
        <v>0</v>
      </c>
      <c r="FA127" s="777">
        <f t="shared" si="186"/>
        <v>0</v>
      </c>
      <c r="FB127" s="778">
        <f t="shared" si="187"/>
        <v>0</v>
      </c>
    </row>
    <row r="128" spans="1:158" s="10" customFormat="1" ht="12.75" hidden="1" customHeight="1">
      <c r="A128" s="662" t="s">
        <v>258</v>
      </c>
      <c r="B128" s="789" t="s">
        <v>2216</v>
      </c>
      <c r="C128" s="662" t="s">
        <v>2096</v>
      </c>
      <c r="D128" s="715" t="s">
        <v>2097</v>
      </c>
      <c r="E128" s="662" t="s">
        <v>331</v>
      </c>
      <c r="F128" s="704" t="s">
        <v>402</v>
      </c>
      <c r="G128" s="707">
        <f t="shared" ref="G128:P139" si="205">G38</f>
        <v>100</v>
      </c>
      <c r="H128" s="707">
        <f t="shared" si="205"/>
        <v>0</v>
      </c>
      <c r="I128" s="707">
        <f t="shared" si="205"/>
        <v>100</v>
      </c>
      <c r="J128" s="707">
        <f t="shared" si="205"/>
        <v>0</v>
      </c>
      <c r="K128" s="707">
        <f t="shared" si="205"/>
        <v>50</v>
      </c>
      <c r="L128" s="1263" t="str">
        <f t="shared" si="205"/>
        <v>Assuming equipment cost included in labor cost</v>
      </c>
      <c r="M128" s="707" t="str">
        <f t="shared" si="205"/>
        <v>NA</v>
      </c>
      <c r="N128" s="707">
        <f t="shared" si="205"/>
        <v>50</v>
      </c>
      <c r="O128" s="707">
        <f t="shared" si="205"/>
        <v>0</v>
      </c>
      <c r="P128" s="707">
        <f t="shared" si="205"/>
        <v>0</v>
      </c>
      <c r="Q128" s="1022">
        <v>0</v>
      </c>
      <c r="R128" s="872">
        <v>0</v>
      </c>
      <c r="S128" s="1022">
        <v>8.4000097135200011</v>
      </c>
      <c r="T128" s="711" t="str">
        <f t="shared" si="188"/>
        <v>Potential Study Results: Engineering calculations based on ENERGY STAR Appliances Calculator. Accessed 06.07.2016</v>
      </c>
      <c r="U128" s="712"/>
      <c r="V128" s="1124">
        <f t="shared" si="156"/>
        <v>1.9995239228755058E-2</v>
      </c>
      <c r="W128" s="790"/>
      <c r="X128" s="790"/>
      <c r="Y128" s="790"/>
      <c r="Z128" s="790"/>
      <c r="AA128" s="790"/>
      <c r="AB128" s="790"/>
      <c r="AC128" s="781">
        <f t="shared" si="204"/>
        <v>25</v>
      </c>
      <c r="AD128" s="781">
        <f t="shared" si="204"/>
        <v>25</v>
      </c>
      <c r="AE128" s="781">
        <f t="shared" si="204"/>
        <v>25</v>
      </c>
      <c r="AF128" s="781">
        <f t="shared" si="204"/>
        <v>25</v>
      </c>
      <c r="AG128" s="781">
        <f t="shared" si="204"/>
        <v>25</v>
      </c>
      <c r="AH128" s="781">
        <f t="shared" ref="AH128:AI140" si="206">AG128</f>
        <v>25</v>
      </c>
      <c r="AI128" s="781">
        <f t="shared" si="206"/>
        <v>25</v>
      </c>
      <c r="AJ128" s="711" t="s">
        <v>2013</v>
      </c>
      <c r="AK128" s="711" t="s">
        <v>375</v>
      </c>
      <c r="AL128" s="711" t="s">
        <v>376</v>
      </c>
      <c r="AM128" s="711" t="s">
        <v>2082</v>
      </c>
      <c r="AN128" s="711" t="s">
        <v>1</v>
      </c>
      <c r="AO128" s="711" t="s">
        <v>2098</v>
      </c>
      <c r="AP128" s="711" t="s">
        <v>2096</v>
      </c>
      <c r="AQ128" s="711" t="s">
        <v>2097</v>
      </c>
      <c r="AR128" s="715" t="s">
        <v>406</v>
      </c>
      <c r="AS128" s="715" t="s">
        <v>407</v>
      </c>
      <c r="AT128" s="715" t="s">
        <v>381</v>
      </c>
      <c r="AU128" s="711">
        <v>5</v>
      </c>
      <c r="AV128" s="711">
        <v>5</v>
      </c>
      <c r="AW128" s="711" t="s">
        <v>2090</v>
      </c>
      <c r="AX128" s="716">
        <v>1</v>
      </c>
      <c r="AY128" s="716">
        <v>0</v>
      </c>
      <c r="AZ128" s="716">
        <v>1</v>
      </c>
      <c r="BA128" s="499">
        <f t="shared" si="159"/>
        <v>100</v>
      </c>
      <c r="BB128" s="499">
        <f t="shared" ref="BB128:BD139" si="207">BA128</f>
        <v>100</v>
      </c>
      <c r="BC128" s="499">
        <f t="shared" si="207"/>
        <v>100</v>
      </c>
      <c r="BD128" s="499">
        <f t="shared" si="207"/>
        <v>100</v>
      </c>
      <c r="BE128" s="499">
        <f t="shared" si="161"/>
        <v>100</v>
      </c>
      <c r="BF128" s="499">
        <f t="shared" si="161"/>
        <v>100</v>
      </c>
      <c r="BG128" s="499">
        <f t="shared" si="161"/>
        <v>100</v>
      </c>
      <c r="BH128" s="499">
        <f t="shared" si="162"/>
        <v>0</v>
      </c>
      <c r="BI128" s="499">
        <f t="shared" ref="BI128:BN139" si="208">BH128</f>
        <v>0</v>
      </c>
      <c r="BJ128" s="499">
        <f t="shared" si="208"/>
        <v>0</v>
      </c>
      <c r="BK128" s="499">
        <f t="shared" si="208"/>
        <v>0</v>
      </c>
      <c r="BL128" s="499">
        <f t="shared" si="208"/>
        <v>0</v>
      </c>
      <c r="BM128" s="499">
        <f t="shared" si="208"/>
        <v>0</v>
      </c>
      <c r="BN128" s="499">
        <f t="shared" si="208"/>
        <v>0</v>
      </c>
      <c r="BO128" s="499">
        <f t="shared" si="164"/>
        <v>50</v>
      </c>
      <c r="BP128" s="499">
        <f t="shared" si="202"/>
        <v>50</v>
      </c>
      <c r="BQ128" s="499">
        <f t="shared" si="202"/>
        <v>50</v>
      </c>
      <c r="BR128" s="499">
        <f t="shared" si="202"/>
        <v>50</v>
      </c>
      <c r="BS128" s="499">
        <f t="shared" si="202"/>
        <v>50</v>
      </c>
      <c r="BT128" s="499">
        <f t="shared" si="202"/>
        <v>50</v>
      </c>
      <c r="BU128" s="499">
        <f t="shared" si="202"/>
        <v>50</v>
      </c>
      <c r="BV128" s="503">
        <f t="shared" si="189"/>
        <v>0</v>
      </c>
      <c r="BW128" s="503">
        <f t="shared" si="189"/>
        <v>0</v>
      </c>
      <c r="BX128" s="503">
        <f t="shared" si="189"/>
        <v>0</v>
      </c>
      <c r="BY128" s="503">
        <f t="shared" si="189"/>
        <v>0</v>
      </c>
      <c r="BZ128" s="503">
        <f t="shared" si="189"/>
        <v>0</v>
      </c>
      <c r="CA128" s="503">
        <f t="shared" si="189"/>
        <v>0</v>
      </c>
      <c r="CB128" s="503">
        <f t="shared" si="189"/>
        <v>0</v>
      </c>
      <c r="CC128" s="511">
        <f t="shared" si="167"/>
        <v>0</v>
      </c>
      <c r="CD128" s="511">
        <f t="shared" ref="CD128:CI139" si="209">CC128</f>
        <v>0</v>
      </c>
      <c r="CE128" s="511">
        <f t="shared" si="209"/>
        <v>0</v>
      </c>
      <c r="CF128" s="511">
        <f t="shared" si="209"/>
        <v>0</v>
      </c>
      <c r="CG128" s="511">
        <f t="shared" si="209"/>
        <v>0</v>
      </c>
      <c r="CH128" s="511">
        <f t="shared" si="209"/>
        <v>0</v>
      </c>
      <c r="CI128" s="511">
        <f t="shared" si="209"/>
        <v>0</v>
      </c>
      <c r="CJ128" s="511">
        <f t="shared" si="169"/>
        <v>0</v>
      </c>
      <c r="CK128" s="511">
        <f t="shared" ref="CK128:CP139" si="210">CJ128</f>
        <v>0</v>
      </c>
      <c r="CL128" s="511">
        <f t="shared" si="210"/>
        <v>0</v>
      </c>
      <c r="CM128" s="511">
        <f t="shared" si="210"/>
        <v>0</v>
      </c>
      <c r="CN128" s="511">
        <f t="shared" si="210"/>
        <v>0</v>
      </c>
      <c r="CO128" s="511">
        <f t="shared" si="210"/>
        <v>0</v>
      </c>
      <c r="CP128" s="511">
        <f t="shared" si="210"/>
        <v>0</v>
      </c>
      <c r="CQ128" s="511">
        <f t="shared" si="171"/>
        <v>8.4000097135200011</v>
      </c>
      <c r="CR128" s="511">
        <f t="shared" ref="CR128:CW139" si="211">CQ128</f>
        <v>8.4000097135200011</v>
      </c>
      <c r="CS128" s="511">
        <f t="shared" si="211"/>
        <v>8.4000097135200011</v>
      </c>
      <c r="CT128" s="511">
        <f t="shared" si="211"/>
        <v>8.4000097135200011</v>
      </c>
      <c r="CU128" s="511">
        <f t="shared" si="211"/>
        <v>8.4000097135200011</v>
      </c>
      <c r="CV128" s="511">
        <f t="shared" si="211"/>
        <v>8.4000097135200011</v>
      </c>
      <c r="CW128" s="511">
        <f t="shared" si="211"/>
        <v>8.4000097135200011</v>
      </c>
      <c r="CX128" s="508">
        <f t="shared" si="173"/>
        <v>2500</v>
      </c>
      <c r="CY128" s="508">
        <f t="shared" si="173"/>
        <v>2500</v>
      </c>
      <c r="CZ128" s="508">
        <f t="shared" si="173"/>
        <v>2500</v>
      </c>
      <c r="DA128" s="508">
        <f t="shared" si="173"/>
        <v>2500</v>
      </c>
      <c r="DB128" s="508">
        <f t="shared" si="173"/>
        <v>2500</v>
      </c>
      <c r="DC128" s="508">
        <f t="shared" si="173"/>
        <v>2500</v>
      </c>
      <c r="DD128" s="508">
        <f t="shared" si="173"/>
        <v>2500</v>
      </c>
      <c r="DE128" s="508">
        <f t="shared" si="174"/>
        <v>0</v>
      </c>
      <c r="DF128" s="508">
        <f t="shared" si="174"/>
        <v>0</v>
      </c>
      <c r="DG128" s="508">
        <f t="shared" si="174"/>
        <v>0</v>
      </c>
      <c r="DH128" s="508">
        <f t="shared" si="174"/>
        <v>0</v>
      </c>
      <c r="DI128" s="508">
        <f t="shared" si="174"/>
        <v>0</v>
      </c>
      <c r="DJ128" s="508">
        <f t="shared" si="174"/>
        <v>0</v>
      </c>
      <c r="DK128" s="508">
        <f t="shared" si="174"/>
        <v>0</v>
      </c>
      <c r="DL128" s="508">
        <f t="shared" si="175"/>
        <v>1250</v>
      </c>
      <c r="DM128" s="508">
        <f t="shared" si="175"/>
        <v>1250</v>
      </c>
      <c r="DN128" s="508">
        <f t="shared" si="175"/>
        <v>1250</v>
      </c>
      <c r="DO128" s="508">
        <f t="shared" si="175"/>
        <v>1250</v>
      </c>
      <c r="DP128" s="508">
        <f t="shared" si="175"/>
        <v>1250</v>
      </c>
      <c r="DQ128" s="508">
        <f t="shared" si="175"/>
        <v>1250</v>
      </c>
      <c r="DR128" s="508">
        <f t="shared" si="175"/>
        <v>1250</v>
      </c>
      <c r="DS128" s="508">
        <f t="shared" si="190"/>
        <v>0</v>
      </c>
      <c r="DT128" s="508">
        <f t="shared" si="190"/>
        <v>0</v>
      </c>
      <c r="DU128" s="508">
        <f t="shared" si="190"/>
        <v>0</v>
      </c>
      <c r="DV128" s="508">
        <f t="shared" si="190"/>
        <v>0</v>
      </c>
      <c r="DW128" s="508">
        <f t="shared" si="190"/>
        <v>0</v>
      </c>
      <c r="DX128" s="508">
        <f t="shared" si="190"/>
        <v>0</v>
      </c>
      <c r="DY128" s="508">
        <f t="shared" si="190"/>
        <v>0</v>
      </c>
      <c r="DZ128" s="511">
        <f t="shared" si="177"/>
        <v>0</v>
      </c>
      <c r="EA128" s="511">
        <f t="shared" si="177"/>
        <v>0</v>
      </c>
      <c r="EB128" s="511">
        <f t="shared" si="177"/>
        <v>0</v>
      </c>
      <c r="EC128" s="511">
        <f t="shared" si="177"/>
        <v>0</v>
      </c>
      <c r="ED128" s="511">
        <f t="shared" si="177"/>
        <v>0</v>
      </c>
      <c r="EE128" s="511">
        <f t="shared" si="177"/>
        <v>0</v>
      </c>
      <c r="EF128" s="511">
        <f t="shared" si="177"/>
        <v>0</v>
      </c>
      <c r="EG128" s="511">
        <f t="shared" si="178"/>
        <v>0</v>
      </c>
      <c r="EH128" s="511">
        <f t="shared" si="178"/>
        <v>0</v>
      </c>
      <c r="EI128" s="511">
        <f t="shared" si="178"/>
        <v>0</v>
      </c>
      <c r="EJ128" s="511">
        <f t="shared" si="178"/>
        <v>0</v>
      </c>
      <c r="EK128" s="511">
        <f t="shared" si="178"/>
        <v>0</v>
      </c>
      <c r="EL128" s="511">
        <f t="shared" si="178"/>
        <v>0</v>
      </c>
      <c r="EM128" s="511">
        <f t="shared" si="178"/>
        <v>0</v>
      </c>
      <c r="EN128" s="511">
        <f t="shared" si="179"/>
        <v>210.00024283800002</v>
      </c>
      <c r="EO128" s="511">
        <f t="shared" si="179"/>
        <v>210.00024283800002</v>
      </c>
      <c r="EP128" s="511">
        <f t="shared" si="179"/>
        <v>210.00024283800002</v>
      </c>
      <c r="EQ128" s="511">
        <f t="shared" si="179"/>
        <v>210.00024283800002</v>
      </c>
      <c r="ER128" s="511">
        <f t="shared" si="179"/>
        <v>210.00024283800002</v>
      </c>
      <c r="ES128" s="511">
        <f t="shared" si="179"/>
        <v>210.00024283800002</v>
      </c>
      <c r="ET128" s="511">
        <f t="shared" si="179"/>
        <v>210.00024283800002</v>
      </c>
      <c r="EU128" s="777">
        <f t="shared" si="191"/>
        <v>175</v>
      </c>
      <c r="EV128" s="728">
        <f t="shared" si="181"/>
        <v>17500</v>
      </c>
      <c r="EW128" s="728">
        <f t="shared" si="182"/>
        <v>0</v>
      </c>
      <c r="EX128" s="728">
        <f t="shared" si="183"/>
        <v>8750</v>
      </c>
      <c r="EY128" s="728">
        <f t="shared" si="184"/>
        <v>0</v>
      </c>
      <c r="EZ128" s="777">
        <f t="shared" si="185"/>
        <v>0</v>
      </c>
      <c r="FA128" s="777">
        <f t="shared" si="186"/>
        <v>0</v>
      </c>
      <c r="FB128" s="778">
        <f t="shared" si="187"/>
        <v>1470.0016998660003</v>
      </c>
    </row>
    <row r="129" spans="1:158" s="10" customFormat="1" ht="12.75" hidden="1" customHeight="1">
      <c r="A129" s="662" t="s">
        <v>259</v>
      </c>
      <c r="B129" s="789" t="s">
        <v>2217</v>
      </c>
      <c r="C129" s="662" t="s">
        <v>2100</v>
      </c>
      <c r="D129" s="715" t="s">
        <v>2101</v>
      </c>
      <c r="E129" s="662" t="s">
        <v>331</v>
      </c>
      <c r="F129" s="704" t="s">
        <v>402</v>
      </c>
      <c r="G129" s="707">
        <f t="shared" si="205"/>
        <v>78</v>
      </c>
      <c r="H129" s="707">
        <f t="shared" si="205"/>
        <v>0</v>
      </c>
      <c r="I129" s="707">
        <f t="shared" si="205"/>
        <v>78</v>
      </c>
      <c r="J129" s="707">
        <f t="shared" si="205"/>
        <v>0</v>
      </c>
      <c r="K129" s="707">
        <f t="shared" si="205"/>
        <v>39</v>
      </c>
      <c r="L129" s="1263" t="str">
        <f t="shared" si="205"/>
        <v>Based on the EERE TSD TECHNICAL SUPPORT DOCUMENT: ENERGY EFFICIENCY PROGRAM FOR CONSUMER PRODUCTS AND COMMERCIAL AND INDUSTRIAL EQUIPMENT: RESIDENTIAL FURNACE FANS from June 2014. Based on cost tables 8.2.5 and 8.2.6; Assuming the motor product class of no</v>
      </c>
      <c r="M129" s="707" t="str">
        <f t="shared" si="205"/>
        <v>NA</v>
      </c>
      <c r="N129" s="707">
        <f t="shared" si="205"/>
        <v>40</v>
      </c>
      <c r="O129" s="707">
        <f t="shared" si="205"/>
        <v>0</v>
      </c>
      <c r="P129" s="707">
        <f t="shared" si="205"/>
        <v>0</v>
      </c>
      <c r="Q129" s="1022">
        <v>72.562148261364186</v>
      </c>
      <c r="R129" s="872">
        <v>0</v>
      </c>
      <c r="S129" s="1022">
        <v>0</v>
      </c>
      <c r="T129" s="711" t="str">
        <f t="shared" si="188"/>
        <v>Potential Study Results: Engineering calculations based on ENERGY STAR Appliances Calculator. Accessed 06.07.2016</v>
      </c>
      <c r="U129" s="712"/>
      <c r="V129" s="1124">
        <f t="shared" si="156"/>
        <v>0</v>
      </c>
      <c r="W129" s="790"/>
      <c r="X129" s="790"/>
      <c r="Y129" s="790"/>
      <c r="Z129" s="790"/>
      <c r="AA129" s="790"/>
      <c r="AB129" s="790"/>
      <c r="AC129" s="781">
        <f t="shared" si="204"/>
        <v>0</v>
      </c>
      <c r="AD129" s="781">
        <f t="shared" si="204"/>
        <v>0</v>
      </c>
      <c r="AE129" s="781">
        <f t="shared" si="204"/>
        <v>0</v>
      </c>
      <c r="AF129" s="781">
        <f t="shared" si="204"/>
        <v>0</v>
      </c>
      <c r="AG129" s="781">
        <f t="shared" si="204"/>
        <v>0</v>
      </c>
      <c r="AH129" s="781">
        <f t="shared" si="206"/>
        <v>0</v>
      </c>
      <c r="AI129" s="781">
        <f t="shared" si="206"/>
        <v>0</v>
      </c>
      <c r="AJ129" s="711" t="s">
        <v>384</v>
      </c>
      <c r="AK129" s="711" t="s">
        <v>375</v>
      </c>
      <c r="AL129" s="711" t="s">
        <v>376</v>
      </c>
      <c r="AM129" s="711" t="s">
        <v>1232</v>
      </c>
      <c r="AN129" s="711" t="s">
        <v>1</v>
      </c>
      <c r="AO129" s="711" t="s">
        <v>2103</v>
      </c>
      <c r="AP129" s="711" t="s">
        <v>1702</v>
      </c>
      <c r="AQ129" s="711" t="s">
        <v>339</v>
      </c>
      <c r="AR129" s="715" t="s">
        <v>1944</v>
      </c>
      <c r="AS129" s="715"/>
      <c r="AT129" s="715" t="s">
        <v>381</v>
      </c>
      <c r="AU129" s="711">
        <v>15</v>
      </c>
      <c r="AV129" s="711">
        <v>15</v>
      </c>
      <c r="AW129" s="711" t="s">
        <v>2104</v>
      </c>
      <c r="AX129" s="716">
        <v>1</v>
      </c>
      <c r="AY129" s="716">
        <v>1</v>
      </c>
      <c r="AZ129" s="716">
        <v>0</v>
      </c>
      <c r="BA129" s="499">
        <f t="shared" si="159"/>
        <v>78</v>
      </c>
      <c r="BB129" s="499">
        <f t="shared" si="207"/>
        <v>78</v>
      </c>
      <c r="BC129" s="499">
        <f t="shared" si="207"/>
        <v>78</v>
      </c>
      <c r="BD129" s="499">
        <f t="shared" si="207"/>
        <v>78</v>
      </c>
      <c r="BE129" s="499">
        <f t="shared" si="161"/>
        <v>78</v>
      </c>
      <c r="BF129" s="499">
        <f t="shared" si="161"/>
        <v>78</v>
      </c>
      <c r="BG129" s="499">
        <f t="shared" si="161"/>
        <v>78</v>
      </c>
      <c r="BH129" s="499">
        <f t="shared" si="162"/>
        <v>0</v>
      </c>
      <c r="BI129" s="499">
        <f t="shared" si="208"/>
        <v>0</v>
      </c>
      <c r="BJ129" s="499">
        <f t="shared" si="208"/>
        <v>0</v>
      </c>
      <c r="BK129" s="499">
        <f t="shared" si="208"/>
        <v>0</v>
      </c>
      <c r="BL129" s="499">
        <f t="shared" si="208"/>
        <v>0</v>
      </c>
      <c r="BM129" s="499">
        <f t="shared" si="208"/>
        <v>0</v>
      </c>
      <c r="BN129" s="499">
        <f t="shared" si="208"/>
        <v>0</v>
      </c>
      <c r="BO129" s="499">
        <f t="shared" si="164"/>
        <v>40</v>
      </c>
      <c r="BP129" s="499">
        <f t="shared" si="202"/>
        <v>40</v>
      </c>
      <c r="BQ129" s="499">
        <f t="shared" si="202"/>
        <v>40</v>
      </c>
      <c r="BR129" s="499">
        <f t="shared" si="202"/>
        <v>40</v>
      </c>
      <c r="BS129" s="499">
        <f t="shared" si="202"/>
        <v>40</v>
      </c>
      <c r="BT129" s="499">
        <f t="shared" si="202"/>
        <v>40</v>
      </c>
      <c r="BU129" s="499">
        <f t="shared" si="202"/>
        <v>40</v>
      </c>
      <c r="BV129" s="503">
        <f t="shared" si="189"/>
        <v>0</v>
      </c>
      <c r="BW129" s="503">
        <f t="shared" si="189"/>
        <v>0</v>
      </c>
      <c r="BX129" s="503">
        <f t="shared" si="189"/>
        <v>0</v>
      </c>
      <c r="BY129" s="503">
        <f t="shared" si="189"/>
        <v>0</v>
      </c>
      <c r="BZ129" s="503">
        <f t="shared" si="189"/>
        <v>0</v>
      </c>
      <c r="CA129" s="503">
        <f t="shared" si="189"/>
        <v>0</v>
      </c>
      <c r="CB129" s="503">
        <f t="shared" si="189"/>
        <v>0</v>
      </c>
      <c r="CC129" s="511">
        <f t="shared" si="167"/>
        <v>72.562148261364186</v>
      </c>
      <c r="CD129" s="511">
        <f t="shared" si="209"/>
        <v>72.562148261364186</v>
      </c>
      <c r="CE129" s="511">
        <f t="shared" si="209"/>
        <v>72.562148261364186</v>
      </c>
      <c r="CF129" s="511">
        <f t="shared" si="209"/>
        <v>72.562148261364186</v>
      </c>
      <c r="CG129" s="511">
        <f t="shared" si="209"/>
        <v>72.562148261364186</v>
      </c>
      <c r="CH129" s="511">
        <f t="shared" si="209"/>
        <v>72.562148261364186</v>
      </c>
      <c r="CI129" s="511">
        <f t="shared" si="209"/>
        <v>72.562148261364186</v>
      </c>
      <c r="CJ129" s="511">
        <f t="shared" si="169"/>
        <v>0</v>
      </c>
      <c r="CK129" s="511">
        <f t="shared" si="210"/>
        <v>0</v>
      </c>
      <c r="CL129" s="511">
        <f t="shared" si="210"/>
        <v>0</v>
      </c>
      <c r="CM129" s="511">
        <f t="shared" si="210"/>
        <v>0</v>
      </c>
      <c r="CN129" s="511">
        <f t="shared" si="210"/>
        <v>0</v>
      </c>
      <c r="CO129" s="511">
        <f t="shared" si="210"/>
        <v>0</v>
      </c>
      <c r="CP129" s="511">
        <f t="shared" si="210"/>
        <v>0</v>
      </c>
      <c r="CQ129" s="511">
        <f t="shared" si="171"/>
        <v>0</v>
      </c>
      <c r="CR129" s="511">
        <f t="shared" si="211"/>
        <v>0</v>
      </c>
      <c r="CS129" s="511">
        <f t="shared" si="211"/>
        <v>0</v>
      </c>
      <c r="CT129" s="511">
        <f t="shared" si="211"/>
        <v>0</v>
      </c>
      <c r="CU129" s="511">
        <f t="shared" si="211"/>
        <v>0</v>
      </c>
      <c r="CV129" s="511">
        <f t="shared" si="211"/>
        <v>0</v>
      </c>
      <c r="CW129" s="511">
        <f t="shared" si="211"/>
        <v>0</v>
      </c>
      <c r="CX129" s="508">
        <f t="shared" si="173"/>
        <v>0</v>
      </c>
      <c r="CY129" s="508">
        <f t="shared" si="173"/>
        <v>0</v>
      </c>
      <c r="CZ129" s="508">
        <f t="shared" si="173"/>
        <v>0</v>
      </c>
      <c r="DA129" s="508">
        <f t="shared" si="173"/>
        <v>0</v>
      </c>
      <c r="DB129" s="508">
        <f t="shared" si="173"/>
        <v>0</v>
      </c>
      <c r="DC129" s="508">
        <f t="shared" si="173"/>
        <v>0</v>
      </c>
      <c r="DD129" s="508">
        <f t="shared" si="173"/>
        <v>0</v>
      </c>
      <c r="DE129" s="508">
        <f t="shared" si="174"/>
        <v>0</v>
      </c>
      <c r="DF129" s="508">
        <f t="shared" si="174"/>
        <v>0</v>
      </c>
      <c r="DG129" s="508">
        <f t="shared" si="174"/>
        <v>0</v>
      </c>
      <c r="DH129" s="508">
        <f t="shared" si="174"/>
        <v>0</v>
      </c>
      <c r="DI129" s="508">
        <f t="shared" si="174"/>
        <v>0</v>
      </c>
      <c r="DJ129" s="508">
        <f t="shared" si="174"/>
        <v>0</v>
      </c>
      <c r="DK129" s="508">
        <f t="shared" si="174"/>
        <v>0</v>
      </c>
      <c r="DL129" s="508">
        <f t="shared" si="175"/>
        <v>0</v>
      </c>
      <c r="DM129" s="508">
        <f t="shared" si="175"/>
        <v>0</v>
      </c>
      <c r="DN129" s="508">
        <f t="shared" si="175"/>
        <v>0</v>
      </c>
      <c r="DO129" s="508">
        <f t="shared" si="175"/>
        <v>0</v>
      </c>
      <c r="DP129" s="508">
        <f t="shared" si="175"/>
        <v>0</v>
      </c>
      <c r="DQ129" s="508">
        <f t="shared" si="175"/>
        <v>0</v>
      </c>
      <c r="DR129" s="508">
        <f t="shared" si="175"/>
        <v>0</v>
      </c>
      <c r="DS129" s="508">
        <f t="shared" si="190"/>
        <v>0</v>
      </c>
      <c r="DT129" s="508">
        <f t="shared" si="190"/>
        <v>0</v>
      </c>
      <c r="DU129" s="508">
        <f t="shared" si="190"/>
        <v>0</v>
      </c>
      <c r="DV129" s="508">
        <f t="shared" si="190"/>
        <v>0</v>
      </c>
      <c r="DW129" s="508">
        <f t="shared" si="190"/>
        <v>0</v>
      </c>
      <c r="DX129" s="508">
        <f t="shared" si="190"/>
        <v>0</v>
      </c>
      <c r="DY129" s="508">
        <f t="shared" si="190"/>
        <v>0</v>
      </c>
      <c r="DZ129" s="511">
        <f t="shared" si="177"/>
        <v>0</v>
      </c>
      <c r="EA129" s="511">
        <f t="shared" si="177"/>
        <v>0</v>
      </c>
      <c r="EB129" s="511">
        <f t="shared" si="177"/>
        <v>0</v>
      </c>
      <c r="EC129" s="511">
        <f t="shared" si="177"/>
        <v>0</v>
      </c>
      <c r="ED129" s="511">
        <f t="shared" si="177"/>
        <v>0</v>
      </c>
      <c r="EE129" s="511">
        <f t="shared" si="177"/>
        <v>0</v>
      </c>
      <c r="EF129" s="511">
        <f t="shared" si="177"/>
        <v>0</v>
      </c>
      <c r="EG129" s="511">
        <f t="shared" si="178"/>
        <v>0</v>
      </c>
      <c r="EH129" s="511">
        <f t="shared" si="178"/>
        <v>0</v>
      </c>
      <c r="EI129" s="511">
        <f t="shared" si="178"/>
        <v>0</v>
      </c>
      <c r="EJ129" s="511">
        <f t="shared" si="178"/>
        <v>0</v>
      </c>
      <c r="EK129" s="511">
        <f t="shared" si="178"/>
        <v>0</v>
      </c>
      <c r="EL129" s="511">
        <f t="shared" si="178"/>
        <v>0</v>
      </c>
      <c r="EM129" s="511">
        <f t="shared" si="178"/>
        <v>0</v>
      </c>
      <c r="EN129" s="511">
        <f t="shared" si="179"/>
        <v>0</v>
      </c>
      <c r="EO129" s="511">
        <f t="shared" si="179"/>
        <v>0</v>
      </c>
      <c r="EP129" s="511">
        <f t="shared" si="179"/>
        <v>0</v>
      </c>
      <c r="EQ129" s="511">
        <f t="shared" si="179"/>
        <v>0</v>
      </c>
      <c r="ER129" s="511">
        <f t="shared" si="179"/>
        <v>0</v>
      </c>
      <c r="ES129" s="511">
        <f t="shared" si="179"/>
        <v>0</v>
      </c>
      <c r="ET129" s="511">
        <f t="shared" si="179"/>
        <v>0</v>
      </c>
      <c r="EU129" s="777">
        <f t="shared" si="191"/>
        <v>0</v>
      </c>
      <c r="EV129" s="728">
        <f t="shared" si="181"/>
        <v>0</v>
      </c>
      <c r="EW129" s="728">
        <f t="shared" si="182"/>
        <v>0</v>
      </c>
      <c r="EX129" s="728">
        <f t="shared" si="183"/>
        <v>0</v>
      </c>
      <c r="EY129" s="728">
        <f t="shared" si="184"/>
        <v>0</v>
      </c>
      <c r="EZ129" s="777">
        <f t="shared" si="185"/>
        <v>0</v>
      </c>
      <c r="FA129" s="777">
        <f t="shared" si="186"/>
        <v>0</v>
      </c>
      <c r="FB129" s="778">
        <f t="shared" si="187"/>
        <v>0</v>
      </c>
    </row>
    <row r="130" spans="1:158" s="10" customFormat="1" ht="12.75" hidden="1" customHeight="1">
      <c r="A130" s="662" t="s">
        <v>260</v>
      </c>
      <c r="B130" s="789" t="s">
        <v>2218</v>
      </c>
      <c r="C130" s="662" t="s">
        <v>2105</v>
      </c>
      <c r="D130" s="715" t="s">
        <v>2106</v>
      </c>
      <c r="E130" s="662" t="s">
        <v>331</v>
      </c>
      <c r="F130" s="704" t="s">
        <v>402</v>
      </c>
      <c r="G130" s="707">
        <f t="shared" si="205"/>
        <v>829</v>
      </c>
      <c r="H130" s="707">
        <f t="shared" si="205"/>
        <v>0</v>
      </c>
      <c r="I130" s="707">
        <f t="shared" si="205"/>
        <v>829</v>
      </c>
      <c r="J130" s="707">
        <f t="shared" si="205"/>
        <v>0</v>
      </c>
      <c r="K130" s="707">
        <f t="shared" si="205"/>
        <v>414.5</v>
      </c>
      <c r="L130" s="1263" t="str">
        <f t="shared" si="205"/>
        <v>As referenced in SWE 2014 Potential Study, Regional Technical Forum Heat Pump Water Heaters v1.3</v>
      </c>
      <c r="M130" s="707" t="str">
        <f t="shared" si="205"/>
        <v>NA</v>
      </c>
      <c r="N130" s="707">
        <f t="shared" si="205"/>
        <v>300</v>
      </c>
      <c r="O130" s="707">
        <f t="shared" si="205"/>
        <v>0</v>
      </c>
      <c r="P130" s="707">
        <f t="shared" si="205"/>
        <v>0</v>
      </c>
      <c r="Q130" s="1022">
        <v>1663.4994772349723</v>
      </c>
      <c r="R130" s="872">
        <v>0.1106935709153114</v>
      </c>
      <c r="S130" s="1022">
        <v>0</v>
      </c>
      <c r="T130" s="711" t="str">
        <f t="shared" si="188"/>
        <v>Potential Study Results: Engineering calculations based on ENERGY STAR Appliances Calculator. Accessed 06.07.2016</v>
      </c>
      <c r="U130" s="712"/>
      <c r="V130" s="1124">
        <f t="shared" si="156"/>
        <v>0</v>
      </c>
      <c r="W130" s="790"/>
      <c r="X130" s="790"/>
      <c r="Y130" s="790"/>
      <c r="Z130" s="790"/>
      <c r="AA130" s="790"/>
      <c r="AB130" s="790"/>
      <c r="AC130" s="781">
        <f t="shared" si="204"/>
        <v>0</v>
      </c>
      <c r="AD130" s="781">
        <f t="shared" si="204"/>
        <v>0</v>
      </c>
      <c r="AE130" s="781">
        <f t="shared" si="204"/>
        <v>0</v>
      </c>
      <c r="AF130" s="781">
        <f t="shared" si="204"/>
        <v>0</v>
      </c>
      <c r="AG130" s="781">
        <f t="shared" si="204"/>
        <v>0</v>
      </c>
      <c r="AH130" s="781">
        <f t="shared" si="206"/>
        <v>0</v>
      </c>
      <c r="AI130" s="781">
        <f t="shared" si="206"/>
        <v>0</v>
      </c>
      <c r="AJ130" s="711" t="s">
        <v>384</v>
      </c>
      <c r="AK130" s="711" t="s">
        <v>375</v>
      </c>
      <c r="AL130" s="711" t="s">
        <v>376</v>
      </c>
      <c r="AM130" s="711" t="s">
        <v>1981</v>
      </c>
      <c r="AN130" s="711" t="s">
        <v>1</v>
      </c>
      <c r="AO130" s="711" t="s">
        <v>2108</v>
      </c>
      <c r="AP130" s="711" t="s">
        <v>1702</v>
      </c>
      <c r="AQ130" s="711" t="s">
        <v>339</v>
      </c>
      <c r="AR130" s="715" t="s">
        <v>943</v>
      </c>
      <c r="AS130" s="715"/>
      <c r="AT130" s="715" t="s">
        <v>381</v>
      </c>
      <c r="AU130" s="711">
        <v>10</v>
      </c>
      <c r="AV130" s="711">
        <v>10</v>
      </c>
      <c r="AW130" s="711" t="s">
        <v>2109</v>
      </c>
      <c r="AX130" s="716">
        <v>1</v>
      </c>
      <c r="AY130" s="716">
        <v>1</v>
      </c>
      <c r="AZ130" s="716">
        <v>0</v>
      </c>
      <c r="BA130" s="499">
        <f t="shared" si="159"/>
        <v>829</v>
      </c>
      <c r="BB130" s="499">
        <f t="shared" si="207"/>
        <v>829</v>
      </c>
      <c r="BC130" s="499">
        <f t="shared" si="207"/>
        <v>829</v>
      </c>
      <c r="BD130" s="499">
        <f t="shared" si="207"/>
        <v>829</v>
      </c>
      <c r="BE130" s="499">
        <f t="shared" si="161"/>
        <v>829</v>
      </c>
      <c r="BF130" s="499">
        <f t="shared" si="161"/>
        <v>829</v>
      </c>
      <c r="BG130" s="499">
        <f t="shared" si="161"/>
        <v>829</v>
      </c>
      <c r="BH130" s="499">
        <f t="shared" si="162"/>
        <v>0</v>
      </c>
      <c r="BI130" s="499">
        <f t="shared" si="208"/>
        <v>0</v>
      </c>
      <c r="BJ130" s="499">
        <f t="shared" si="208"/>
        <v>0</v>
      </c>
      <c r="BK130" s="499">
        <f t="shared" si="208"/>
        <v>0</v>
      </c>
      <c r="BL130" s="499">
        <f t="shared" si="208"/>
        <v>0</v>
      </c>
      <c r="BM130" s="499">
        <f t="shared" si="208"/>
        <v>0</v>
      </c>
      <c r="BN130" s="499">
        <f t="shared" si="208"/>
        <v>0</v>
      </c>
      <c r="BO130" s="499">
        <f t="shared" si="164"/>
        <v>300</v>
      </c>
      <c r="BP130" s="499">
        <f t="shared" si="202"/>
        <v>300</v>
      </c>
      <c r="BQ130" s="499">
        <f t="shared" si="202"/>
        <v>300</v>
      </c>
      <c r="BR130" s="499">
        <f t="shared" si="202"/>
        <v>300</v>
      </c>
      <c r="BS130" s="499">
        <f t="shared" si="202"/>
        <v>300</v>
      </c>
      <c r="BT130" s="499">
        <f t="shared" si="202"/>
        <v>300</v>
      </c>
      <c r="BU130" s="499">
        <f t="shared" si="202"/>
        <v>300</v>
      </c>
      <c r="BV130" s="503">
        <f t="shared" si="189"/>
        <v>0</v>
      </c>
      <c r="BW130" s="503">
        <f t="shared" si="189"/>
        <v>0</v>
      </c>
      <c r="BX130" s="503">
        <f t="shared" si="189"/>
        <v>0</v>
      </c>
      <c r="BY130" s="503">
        <f t="shared" si="189"/>
        <v>0</v>
      </c>
      <c r="BZ130" s="503">
        <f t="shared" si="189"/>
        <v>0</v>
      </c>
      <c r="CA130" s="503">
        <f t="shared" si="189"/>
        <v>0</v>
      </c>
      <c r="CB130" s="503">
        <f t="shared" si="189"/>
        <v>0</v>
      </c>
      <c r="CC130" s="511">
        <f t="shared" si="167"/>
        <v>1663.4994772349723</v>
      </c>
      <c r="CD130" s="511">
        <f t="shared" si="209"/>
        <v>1663.4994772349723</v>
      </c>
      <c r="CE130" s="511">
        <f t="shared" si="209"/>
        <v>1663.4994772349723</v>
      </c>
      <c r="CF130" s="511">
        <f t="shared" si="209"/>
        <v>1663.4994772349723</v>
      </c>
      <c r="CG130" s="511">
        <f t="shared" si="209"/>
        <v>1663.4994772349723</v>
      </c>
      <c r="CH130" s="511">
        <f t="shared" si="209"/>
        <v>1663.4994772349723</v>
      </c>
      <c r="CI130" s="511">
        <f t="shared" si="209"/>
        <v>1663.4994772349723</v>
      </c>
      <c r="CJ130" s="511">
        <f t="shared" si="169"/>
        <v>0.1106935709153114</v>
      </c>
      <c r="CK130" s="511">
        <f t="shared" si="210"/>
        <v>0.1106935709153114</v>
      </c>
      <c r="CL130" s="511">
        <f t="shared" si="210"/>
        <v>0.1106935709153114</v>
      </c>
      <c r="CM130" s="511">
        <f t="shared" si="210"/>
        <v>0.1106935709153114</v>
      </c>
      <c r="CN130" s="511">
        <f t="shared" si="210"/>
        <v>0.1106935709153114</v>
      </c>
      <c r="CO130" s="511">
        <f t="shared" si="210"/>
        <v>0.1106935709153114</v>
      </c>
      <c r="CP130" s="511">
        <f t="shared" si="210"/>
        <v>0.1106935709153114</v>
      </c>
      <c r="CQ130" s="511">
        <f t="shared" si="171"/>
        <v>0</v>
      </c>
      <c r="CR130" s="511">
        <f t="shared" si="211"/>
        <v>0</v>
      </c>
      <c r="CS130" s="511">
        <f t="shared" si="211"/>
        <v>0</v>
      </c>
      <c r="CT130" s="511">
        <f t="shared" si="211"/>
        <v>0</v>
      </c>
      <c r="CU130" s="511">
        <f t="shared" si="211"/>
        <v>0</v>
      </c>
      <c r="CV130" s="511">
        <f t="shared" si="211"/>
        <v>0</v>
      </c>
      <c r="CW130" s="511">
        <f t="shared" si="211"/>
        <v>0</v>
      </c>
      <c r="CX130" s="508">
        <f t="shared" si="173"/>
        <v>0</v>
      </c>
      <c r="CY130" s="508">
        <f t="shared" si="173"/>
        <v>0</v>
      </c>
      <c r="CZ130" s="508">
        <f t="shared" si="173"/>
        <v>0</v>
      </c>
      <c r="DA130" s="508">
        <f t="shared" si="173"/>
        <v>0</v>
      </c>
      <c r="DB130" s="508">
        <f t="shared" si="173"/>
        <v>0</v>
      </c>
      <c r="DC130" s="508">
        <f t="shared" si="173"/>
        <v>0</v>
      </c>
      <c r="DD130" s="508">
        <f t="shared" si="173"/>
        <v>0</v>
      </c>
      <c r="DE130" s="508">
        <f t="shared" si="174"/>
        <v>0</v>
      </c>
      <c r="DF130" s="508">
        <f t="shared" si="174"/>
        <v>0</v>
      </c>
      <c r="DG130" s="508">
        <f t="shared" si="174"/>
        <v>0</v>
      </c>
      <c r="DH130" s="508">
        <f t="shared" si="174"/>
        <v>0</v>
      </c>
      <c r="DI130" s="508">
        <f t="shared" si="174"/>
        <v>0</v>
      </c>
      <c r="DJ130" s="508">
        <f t="shared" si="174"/>
        <v>0</v>
      </c>
      <c r="DK130" s="508">
        <f t="shared" si="174"/>
        <v>0</v>
      </c>
      <c r="DL130" s="508">
        <f t="shared" si="175"/>
        <v>0</v>
      </c>
      <c r="DM130" s="508">
        <f t="shared" si="175"/>
        <v>0</v>
      </c>
      <c r="DN130" s="508">
        <f t="shared" si="175"/>
        <v>0</v>
      </c>
      <c r="DO130" s="508">
        <f t="shared" si="175"/>
        <v>0</v>
      </c>
      <c r="DP130" s="508">
        <f t="shared" si="175"/>
        <v>0</v>
      </c>
      <c r="DQ130" s="508">
        <f t="shared" si="175"/>
        <v>0</v>
      </c>
      <c r="DR130" s="508">
        <f t="shared" si="175"/>
        <v>0</v>
      </c>
      <c r="DS130" s="508">
        <f t="shared" si="190"/>
        <v>0</v>
      </c>
      <c r="DT130" s="508">
        <f t="shared" si="190"/>
        <v>0</v>
      </c>
      <c r="DU130" s="508">
        <f t="shared" si="190"/>
        <v>0</v>
      </c>
      <c r="DV130" s="508">
        <f t="shared" si="190"/>
        <v>0</v>
      </c>
      <c r="DW130" s="508">
        <f t="shared" si="190"/>
        <v>0</v>
      </c>
      <c r="DX130" s="508">
        <f t="shared" si="190"/>
        <v>0</v>
      </c>
      <c r="DY130" s="508">
        <f t="shared" si="190"/>
        <v>0</v>
      </c>
      <c r="DZ130" s="511">
        <f t="shared" si="177"/>
        <v>0</v>
      </c>
      <c r="EA130" s="511">
        <f t="shared" si="177"/>
        <v>0</v>
      </c>
      <c r="EB130" s="511">
        <f t="shared" si="177"/>
        <v>0</v>
      </c>
      <c r="EC130" s="511">
        <f t="shared" si="177"/>
        <v>0</v>
      </c>
      <c r="ED130" s="511">
        <f t="shared" si="177"/>
        <v>0</v>
      </c>
      <c r="EE130" s="511">
        <f t="shared" si="177"/>
        <v>0</v>
      </c>
      <c r="EF130" s="511">
        <f t="shared" si="177"/>
        <v>0</v>
      </c>
      <c r="EG130" s="511">
        <f t="shared" si="178"/>
        <v>0</v>
      </c>
      <c r="EH130" s="511">
        <f t="shared" si="178"/>
        <v>0</v>
      </c>
      <c r="EI130" s="511">
        <f t="shared" si="178"/>
        <v>0</v>
      </c>
      <c r="EJ130" s="511">
        <f t="shared" si="178"/>
        <v>0</v>
      </c>
      <c r="EK130" s="511">
        <f t="shared" si="178"/>
        <v>0</v>
      </c>
      <c r="EL130" s="511">
        <f t="shared" si="178"/>
        <v>0</v>
      </c>
      <c r="EM130" s="511">
        <f t="shared" si="178"/>
        <v>0</v>
      </c>
      <c r="EN130" s="511">
        <f t="shared" si="179"/>
        <v>0</v>
      </c>
      <c r="EO130" s="511">
        <f t="shared" si="179"/>
        <v>0</v>
      </c>
      <c r="EP130" s="511">
        <f t="shared" si="179"/>
        <v>0</v>
      </c>
      <c r="EQ130" s="511">
        <f t="shared" si="179"/>
        <v>0</v>
      </c>
      <c r="ER130" s="511">
        <f t="shared" si="179"/>
        <v>0</v>
      </c>
      <c r="ES130" s="511">
        <f t="shared" si="179"/>
        <v>0</v>
      </c>
      <c r="ET130" s="511">
        <f t="shared" si="179"/>
        <v>0</v>
      </c>
      <c r="EU130" s="777">
        <f t="shared" si="191"/>
        <v>0</v>
      </c>
      <c r="EV130" s="728">
        <f t="shared" si="181"/>
        <v>0</v>
      </c>
      <c r="EW130" s="728">
        <f t="shared" si="182"/>
        <v>0</v>
      </c>
      <c r="EX130" s="728">
        <f t="shared" si="183"/>
        <v>0</v>
      </c>
      <c r="EY130" s="728">
        <f t="shared" si="184"/>
        <v>0</v>
      </c>
      <c r="EZ130" s="777">
        <f t="shared" si="185"/>
        <v>0</v>
      </c>
      <c r="FA130" s="777">
        <f t="shared" si="186"/>
        <v>0</v>
      </c>
      <c r="FB130" s="778">
        <f t="shared" si="187"/>
        <v>0</v>
      </c>
    </row>
    <row r="131" spans="1:158" s="10" customFormat="1" ht="12.75" hidden="1" customHeight="1">
      <c r="A131" s="662" t="s">
        <v>261</v>
      </c>
      <c r="B131" s="789" t="s">
        <v>2219</v>
      </c>
      <c r="C131" s="662" t="s">
        <v>2111</v>
      </c>
      <c r="D131" s="715" t="s">
        <v>2112</v>
      </c>
      <c r="E131" s="662" t="s">
        <v>331</v>
      </c>
      <c r="F131" s="704" t="s">
        <v>402</v>
      </c>
      <c r="G131" s="707">
        <f t="shared" si="205"/>
        <v>1295.1303</v>
      </c>
      <c r="H131" s="707">
        <f t="shared" si="205"/>
        <v>0</v>
      </c>
      <c r="I131" s="707">
        <f t="shared" si="205"/>
        <v>1295.1303</v>
      </c>
      <c r="J131" s="707">
        <f t="shared" si="205"/>
        <v>0</v>
      </c>
      <c r="K131" s="707">
        <f t="shared" si="205"/>
        <v>647.56515000000002</v>
      </c>
      <c r="L131" s="1263" t="str">
        <f t="shared" si="205"/>
        <v>DEER 2008 and ACEEE 2011</v>
      </c>
      <c r="M131" s="707" t="str">
        <f t="shared" si="205"/>
        <v>NA</v>
      </c>
      <c r="N131" s="707">
        <f t="shared" si="205"/>
        <v>300</v>
      </c>
      <c r="O131" s="707">
        <f t="shared" si="205"/>
        <v>0</v>
      </c>
      <c r="P131" s="707">
        <f t="shared" si="205"/>
        <v>0</v>
      </c>
      <c r="Q131" s="1022">
        <v>0</v>
      </c>
      <c r="R131" s="872">
        <v>0</v>
      </c>
      <c r="S131" s="1022">
        <v>51.537082012037658</v>
      </c>
      <c r="T131" s="711" t="str">
        <f t="shared" si="188"/>
        <v>Potential Study Results: Engineering calculations based on ENERGY STAR Appliances Calculator. Accessed 06.07.2016</v>
      </c>
      <c r="U131" s="712"/>
      <c r="V131" s="1124">
        <f t="shared" si="156"/>
        <v>0</v>
      </c>
      <c r="W131" s="790"/>
      <c r="X131" s="790"/>
      <c r="Y131" s="790"/>
      <c r="Z131" s="790"/>
      <c r="AA131" s="790"/>
      <c r="AB131" s="790"/>
      <c r="AC131" s="781">
        <f t="shared" si="204"/>
        <v>0</v>
      </c>
      <c r="AD131" s="781">
        <f t="shared" si="204"/>
        <v>0</v>
      </c>
      <c r="AE131" s="781">
        <f t="shared" si="204"/>
        <v>0</v>
      </c>
      <c r="AF131" s="781">
        <f t="shared" si="204"/>
        <v>0</v>
      </c>
      <c r="AG131" s="781">
        <f t="shared" si="204"/>
        <v>0</v>
      </c>
      <c r="AH131" s="781">
        <f t="shared" si="206"/>
        <v>0</v>
      </c>
      <c r="AI131" s="781">
        <f t="shared" si="206"/>
        <v>0</v>
      </c>
      <c r="AJ131" s="711" t="s">
        <v>2013</v>
      </c>
      <c r="AK131" s="711" t="s">
        <v>375</v>
      </c>
      <c r="AL131" s="711" t="s">
        <v>376</v>
      </c>
      <c r="AM131" s="711" t="s">
        <v>1981</v>
      </c>
      <c r="AN131" s="711" t="s">
        <v>1</v>
      </c>
      <c r="AO131" s="711" t="s">
        <v>2114</v>
      </c>
      <c r="AP131" s="711" t="s">
        <v>2111</v>
      </c>
      <c r="AQ131" s="711" t="s">
        <v>2112</v>
      </c>
      <c r="AR131" s="715" t="s">
        <v>943</v>
      </c>
      <c r="AS131" s="715" t="s">
        <v>1941</v>
      </c>
      <c r="AT131" s="715" t="s">
        <v>381</v>
      </c>
      <c r="AU131" s="711">
        <v>11</v>
      </c>
      <c r="AV131" s="711">
        <v>11</v>
      </c>
      <c r="AW131" s="711" t="s">
        <v>2115</v>
      </c>
      <c r="AX131" s="716">
        <v>1</v>
      </c>
      <c r="AY131" s="716">
        <v>0</v>
      </c>
      <c r="AZ131" s="716">
        <v>1</v>
      </c>
      <c r="BA131" s="499">
        <f t="shared" si="159"/>
        <v>1295.1303</v>
      </c>
      <c r="BB131" s="499">
        <f t="shared" si="207"/>
        <v>1295.1303</v>
      </c>
      <c r="BC131" s="499">
        <f t="shared" si="207"/>
        <v>1295.1303</v>
      </c>
      <c r="BD131" s="499">
        <f t="shared" si="207"/>
        <v>1295.1303</v>
      </c>
      <c r="BE131" s="499">
        <f t="shared" si="161"/>
        <v>1295.1303</v>
      </c>
      <c r="BF131" s="499">
        <f t="shared" si="161"/>
        <v>1295.1303</v>
      </c>
      <c r="BG131" s="499">
        <f t="shared" si="161"/>
        <v>1295.1303</v>
      </c>
      <c r="BH131" s="499">
        <f t="shared" si="162"/>
        <v>0</v>
      </c>
      <c r="BI131" s="499">
        <f t="shared" si="208"/>
        <v>0</v>
      </c>
      <c r="BJ131" s="499">
        <f t="shared" si="208"/>
        <v>0</v>
      </c>
      <c r="BK131" s="499">
        <f t="shared" si="208"/>
        <v>0</v>
      </c>
      <c r="BL131" s="499">
        <f t="shared" si="208"/>
        <v>0</v>
      </c>
      <c r="BM131" s="499">
        <f t="shared" si="208"/>
        <v>0</v>
      </c>
      <c r="BN131" s="499">
        <f t="shared" si="208"/>
        <v>0</v>
      </c>
      <c r="BO131" s="499">
        <f t="shared" si="164"/>
        <v>300</v>
      </c>
      <c r="BP131" s="499">
        <f t="shared" ref="BP131:BU139" si="212">BO131</f>
        <v>300</v>
      </c>
      <c r="BQ131" s="499">
        <f t="shared" si="212"/>
        <v>300</v>
      </c>
      <c r="BR131" s="499">
        <f t="shared" si="212"/>
        <v>300</v>
      </c>
      <c r="BS131" s="499">
        <f t="shared" si="212"/>
        <v>300</v>
      </c>
      <c r="BT131" s="499">
        <f t="shared" si="212"/>
        <v>300</v>
      </c>
      <c r="BU131" s="499">
        <f t="shared" si="212"/>
        <v>300</v>
      </c>
      <c r="BV131" s="503">
        <f t="shared" si="189"/>
        <v>0</v>
      </c>
      <c r="BW131" s="503">
        <f t="shared" si="189"/>
        <v>0</v>
      </c>
      <c r="BX131" s="503">
        <f t="shared" si="189"/>
        <v>0</v>
      </c>
      <c r="BY131" s="503">
        <f t="shared" si="189"/>
        <v>0</v>
      </c>
      <c r="BZ131" s="503">
        <f t="shared" si="189"/>
        <v>0</v>
      </c>
      <c r="CA131" s="503">
        <f t="shared" si="189"/>
        <v>0</v>
      </c>
      <c r="CB131" s="503">
        <f t="shared" si="189"/>
        <v>0</v>
      </c>
      <c r="CC131" s="511">
        <f t="shared" si="167"/>
        <v>0</v>
      </c>
      <c r="CD131" s="511">
        <f t="shared" si="209"/>
        <v>0</v>
      </c>
      <c r="CE131" s="511">
        <f t="shared" si="209"/>
        <v>0</v>
      </c>
      <c r="CF131" s="511">
        <f t="shared" si="209"/>
        <v>0</v>
      </c>
      <c r="CG131" s="511">
        <f t="shared" si="209"/>
        <v>0</v>
      </c>
      <c r="CH131" s="511">
        <f t="shared" si="209"/>
        <v>0</v>
      </c>
      <c r="CI131" s="511">
        <f t="shared" si="209"/>
        <v>0</v>
      </c>
      <c r="CJ131" s="511">
        <f t="shared" si="169"/>
        <v>0</v>
      </c>
      <c r="CK131" s="511">
        <f t="shared" si="210"/>
        <v>0</v>
      </c>
      <c r="CL131" s="511">
        <f t="shared" si="210"/>
        <v>0</v>
      </c>
      <c r="CM131" s="511">
        <f t="shared" si="210"/>
        <v>0</v>
      </c>
      <c r="CN131" s="511">
        <f t="shared" si="210"/>
        <v>0</v>
      </c>
      <c r="CO131" s="511">
        <f t="shared" si="210"/>
        <v>0</v>
      </c>
      <c r="CP131" s="511">
        <f t="shared" si="210"/>
        <v>0</v>
      </c>
      <c r="CQ131" s="511">
        <f t="shared" si="171"/>
        <v>51.537082012037658</v>
      </c>
      <c r="CR131" s="511">
        <f t="shared" si="211"/>
        <v>51.537082012037658</v>
      </c>
      <c r="CS131" s="511">
        <f t="shared" si="211"/>
        <v>51.537082012037658</v>
      </c>
      <c r="CT131" s="511">
        <f t="shared" si="211"/>
        <v>51.537082012037658</v>
      </c>
      <c r="CU131" s="511">
        <f t="shared" si="211"/>
        <v>51.537082012037658</v>
      </c>
      <c r="CV131" s="511">
        <f t="shared" si="211"/>
        <v>51.537082012037658</v>
      </c>
      <c r="CW131" s="511">
        <f t="shared" si="211"/>
        <v>51.537082012037658</v>
      </c>
      <c r="CX131" s="508">
        <f t="shared" si="173"/>
        <v>0</v>
      </c>
      <c r="CY131" s="508">
        <f t="shared" si="173"/>
        <v>0</v>
      </c>
      <c r="CZ131" s="508">
        <f t="shared" si="173"/>
        <v>0</v>
      </c>
      <c r="DA131" s="508">
        <f t="shared" si="173"/>
        <v>0</v>
      </c>
      <c r="DB131" s="508">
        <f t="shared" si="173"/>
        <v>0</v>
      </c>
      <c r="DC131" s="508">
        <f t="shared" si="173"/>
        <v>0</v>
      </c>
      <c r="DD131" s="508">
        <f t="shared" si="173"/>
        <v>0</v>
      </c>
      <c r="DE131" s="508">
        <f t="shared" si="174"/>
        <v>0</v>
      </c>
      <c r="DF131" s="508">
        <f t="shared" si="174"/>
        <v>0</v>
      </c>
      <c r="DG131" s="508">
        <f t="shared" si="174"/>
        <v>0</v>
      </c>
      <c r="DH131" s="508">
        <f t="shared" si="174"/>
        <v>0</v>
      </c>
      <c r="DI131" s="508">
        <f t="shared" si="174"/>
        <v>0</v>
      </c>
      <c r="DJ131" s="508">
        <f t="shared" si="174"/>
        <v>0</v>
      </c>
      <c r="DK131" s="508">
        <f t="shared" si="174"/>
        <v>0</v>
      </c>
      <c r="DL131" s="508">
        <f t="shared" si="175"/>
        <v>0</v>
      </c>
      <c r="DM131" s="508">
        <f t="shared" si="175"/>
        <v>0</v>
      </c>
      <c r="DN131" s="508">
        <f t="shared" si="175"/>
        <v>0</v>
      </c>
      <c r="DO131" s="508">
        <f t="shared" si="175"/>
        <v>0</v>
      </c>
      <c r="DP131" s="508">
        <f t="shared" si="175"/>
        <v>0</v>
      </c>
      <c r="DQ131" s="508">
        <f t="shared" si="175"/>
        <v>0</v>
      </c>
      <c r="DR131" s="508">
        <f t="shared" si="175"/>
        <v>0</v>
      </c>
      <c r="DS131" s="508">
        <f t="shared" si="190"/>
        <v>0</v>
      </c>
      <c r="DT131" s="508">
        <f t="shared" si="190"/>
        <v>0</v>
      </c>
      <c r="DU131" s="508">
        <f t="shared" si="190"/>
        <v>0</v>
      </c>
      <c r="DV131" s="508">
        <f t="shared" si="190"/>
        <v>0</v>
      </c>
      <c r="DW131" s="508">
        <f t="shared" si="190"/>
        <v>0</v>
      </c>
      <c r="DX131" s="508">
        <f t="shared" si="190"/>
        <v>0</v>
      </c>
      <c r="DY131" s="508">
        <f t="shared" si="190"/>
        <v>0</v>
      </c>
      <c r="DZ131" s="511">
        <f t="shared" si="177"/>
        <v>0</v>
      </c>
      <c r="EA131" s="511">
        <f t="shared" si="177"/>
        <v>0</v>
      </c>
      <c r="EB131" s="511">
        <f t="shared" si="177"/>
        <v>0</v>
      </c>
      <c r="EC131" s="511">
        <f t="shared" si="177"/>
        <v>0</v>
      </c>
      <c r="ED131" s="511">
        <f t="shared" si="177"/>
        <v>0</v>
      </c>
      <c r="EE131" s="511">
        <f t="shared" si="177"/>
        <v>0</v>
      </c>
      <c r="EF131" s="511">
        <f t="shared" si="177"/>
        <v>0</v>
      </c>
      <c r="EG131" s="511">
        <f t="shared" si="178"/>
        <v>0</v>
      </c>
      <c r="EH131" s="511">
        <f t="shared" si="178"/>
        <v>0</v>
      </c>
      <c r="EI131" s="511">
        <f t="shared" si="178"/>
        <v>0</v>
      </c>
      <c r="EJ131" s="511">
        <f t="shared" si="178"/>
        <v>0</v>
      </c>
      <c r="EK131" s="511">
        <f t="shared" si="178"/>
        <v>0</v>
      </c>
      <c r="EL131" s="511">
        <f t="shared" si="178"/>
        <v>0</v>
      </c>
      <c r="EM131" s="511">
        <f t="shared" si="178"/>
        <v>0</v>
      </c>
      <c r="EN131" s="511">
        <f t="shared" si="179"/>
        <v>0</v>
      </c>
      <c r="EO131" s="511">
        <f t="shared" si="179"/>
        <v>0</v>
      </c>
      <c r="EP131" s="511">
        <f t="shared" si="179"/>
        <v>0</v>
      </c>
      <c r="EQ131" s="511">
        <f t="shared" si="179"/>
        <v>0</v>
      </c>
      <c r="ER131" s="511">
        <f t="shared" si="179"/>
        <v>0</v>
      </c>
      <c r="ES131" s="511">
        <f t="shared" si="179"/>
        <v>0</v>
      </c>
      <c r="ET131" s="511">
        <f t="shared" si="179"/>
        <v>0</v>
      </c>
      <c r="EU131" s="777">
        <f t="shared" si="191"/>
        <v>0</v>
      </c>
      <c r="EV131" s="728">
        <f t="shared" si="181"/>
        <v>0</v>
      </c>
      <c r="EW131" s="728">
        <f t="shared" si="182"/>
        <v>0</v>
      </c>
      <c r="EX131" s="728">
        <f t="shared" si="183"/>
        <v>0</v>
      </c>
      <c r="EY131" s="728">
        <f t="shared" si="184"/>
        <v>0</v>
      </c>
      <c r="EZ131" s="777">
        <f t="shared" si="185"/>
        <v>0</v>
      </c>
      <c r="FA131" s="777">
        <f t="shared" si="186"/>
        <v>0</v>
      </c>
      <c r="FB131" s="778">
        <f t="shared" si="187"/>
        <v>0</v>
      </c>
    </row>
    <row r="132" spans="1:158" s="10" customFormat="1" ht="12.75" hidden="1" customHeight="1">
      <c r="A132" s="662" t="s">
        <v>262</v>
      </c>
      <c r="B132" s="789" t="s">
        <v>2220</v>
      </c>
      <c r="C132" s="662" t="s">
        <v>2117</v>
      </c>
      <c r="D132" s="715" t="s">
        <v>2112</v>
      </c>
      <c r="E132" s="662" t="s">
        <v>331</v>
      </c>
      <c r="F132" s="704" t="s">
        <v>402</v>
      </c>
      <c r="G132" s="707">
        <f t="shared" si="205"/>
        <v>125.1973</v>
      </c>
      <c r="H132" s="707">
        <f t="shared" si="205"/>
        <v>0</v>
      </c>
      <c r="I132" s="707">
        <f t="shared" si="205"/>
        <v>125.1973</v>
      </c>
      <c r="J132" s="707">
        <f t="shared" si="205"/>
        <v>0</v>
      </c>
      <c r="K132" s="707">
        <f t="shared" si="205"/>
        <v>62.598649999999999</v>
      </c>
      <c r="L132" s="1263" t="str">
        <f t="shared" si="205"/>
        <v>DEER 2008 and ACEEE 2011</v>
      </c>
      <c r="M132" s="707" t="str">
        <f t="shared" si="205"/>
        <v>NA</v>
      </c>
      <c r="N132" s="707">
        <f t="shared" si="205"/>
        <v>60</v>
      </c>
      <c r="O132" s="707">
        <f t="shared" si="205"/>
        <v>0</v>
      </c>
      <c r="P132" s="707">
        <f t="shared" si="205"/>
        <v>0</v>
      </c>
      <c r="Q132" s="1022">
        <v>0</v>
      </c>
      <c r="R132" s="872">
        <v>0</v>
      </c>
      <c r="S132" s="1022">
        <v>12.362306452780928</v>
      </c>
      <c r="T132" s="711" t="str">
        <f t="shared" si="188"/>
        <v>Potential Study Results: Engineering calculations based on ENERGY STAR Appliances Calculator. Accessed 06.07.2016</v>
      </c>
      <c r="U132" s="712"/>
      <c r="V132" s="1124">
        <f t="shared" si="156"/>
        <v>1.0592716019995238E-2</v>
      </c>
      <c r="W132" s="790"/>
      <c r="X132" s="790"/>
      <c r="Y132" s="790"/>
      <c r="Z132" s="790"/>
      <c r="AA132" s="790"/>
      <c r="AB132" s="790"/>
      <c r="AC132" s="781">
        <f t="shared" si="204"/>
        <v>15</v>
      </c>
      <c r="AD132" s="781">
        <f t="shared" si="204"/>
        <v>15</v>
      </c>
      <c r="AE132" s="781">
        <f t="shared" si="204"/>
        <v>15</v>
      </c>
      <c r="AF132" s="781">
        <f t="shared" si="204"/>
        <v>15</v>
      </c>
      <c r="AG132" s="781">
        <f t="shared" si="204"/>
        <v>15</v>
      </c>
      <c r="AH132" s="781">
        <f t="shared" si="206"/>
        <v>15</v>
      </c>
      <c r="AI132" s="781">
        <f t="shared" si="206"/>
        <v>15</v>
      </c>
      <c r="AJ132" s="711" t="s">
        <v>2013</v>
      </c>
      <c r="AK132" s="711" t="s">
        <v>375</v>
      </c>
      <c r="AL132" s="711" t="s">
        <v>376</v>
      </c>
      <c r="AM132" s="711" t="s">
        <v>1981</v>
      </c>
      <c r="AN132" s="711" t="s">
        <v>1</v>
      </c>
      <c r="AO132" s="711" t="s">
        <v>2118</v>
      </c>
      <c r="AP132" s="711" t="s">
        <v>2117</v>
      </c>
      <c r="AQ132" s="711" t="s">
        <v>2112</v>
      </c>
      <c r="AR132" s="715" t="s">
        <v>943</v>
      </c>
      <c r="AS132" s="715" t="s">
        <v>1941</v>
      </c>
      <c r="AT132" s="715" t="s">
        <v>381</v>
      </c>
      <c r="AU132" s="711">
        <v>11</v>
      </c>
      <c r="AV132" s="711">
        <v>11</v>
      </c>
      <c r="AW132" s="711" t="s">
        <v>2115</v>
      </c>
      <c r="AX132" s="716">
        <v>1</v>
      </c>
      <c r="AY132" s="716">
        <v>0</v>
      </c>
      <c r="AZ132" s="716">
        <v>1</v>
      </c>
      <c r="BA132" s="499">
        <f t="shared" si="159"/>
        <v>125.1973</v>
      </c>
      <c r="BB132" s="499">
        <f t="shared" si="207"/>
        <v>125.1973</v>
      </c>
      <c r="BC132" s="499">
        <f t="shared" si="207"/>
        <v>125.1973</v>
      </c>
      <c r="BD132" s="499">
        <f t="shared" si="207"/>
        <v>125.1973</v>
      </c>
      <c r="BE132" s="499">
        <f t="shared" si="161"/>
        <v>125.1973</v>
      </c>
      <c r="BF132" s="499">
        <f t="shared" si="161"/>
        <v>125.1973</v>
      </c>
      <c r="BG132" s="499">
        <f t="shared" si="161"/>
        <v>125.1973</v>
      </c>
      <c r="BH132" s="499">
        <f t="shared" si="162"/>
        <v>0</v>
      </c>
      <c r="BI132" s="499">
        <f t="shared" si="208"/>
        <v>0</v>
      </c>
      <c r="BJ132" s="499">
        <f t="shared" si="208"/>
        <v>0</v>
      </c>
      <c r="BK132" s="499">
        <f t="shared" si="208"/>
        <v>0</v>
      </c>
      <c r="BL132" s="499">
        <f t="shared" si="208"/>
        <v>0</v>
      </c>
      <c r="BM132" s="499">
        <f t="shared" si="208"/>
        <v>0</v>
      </c>
      <c r="BN132" s="499">
        <f t="shared" si="208"/>
        <v>0</v>
      </c>
      <c r="BO132" s="499">
        <f t="shared" si="164"/>
        <v>60</v>
      </c>
      <c r="BP132" s="499">
        <f t="shared" si="212"/>
        <v>60</v>
      </c>
      <c r="BQ132" s="499">
        <f t="shared" si="212"/>
        <v>60</v>
      </c>
      <c r="BR132" s="499">
        <f t="shared" si="212"/>
        <v>60</v>
      </c>
      <c r="BS132" s="499">
        <f t="shared" si="212"/>
        <v>60</v>
      </c>
      <c r="BT132" s="499">
        <f t="shared" si="212"/>
        <v>60</v>
      </c>
      <c r="BU132" s="499">
        <f t="shared" si="212"/>
        <v>60</v>
      </c>
      <c r="BV132" s="503">
        <f t="shared" si="189"/>
        <v>0</v>
      </c>
      <c r="BW132" s="503">
        <f t="shared" si="189"/>
        <v>0</v>
      </c>
      <c r="BX132" s="503">
        <f t="shared" si="189"/>
        <v>0</v>
      </c>
      <c r="BY132" s="503">
        <f t="shared" si="189"/>
        <v>0</v>
      </c>
      <c r="BZ132" s="503">
        <f t="shared" si="189"/>
        <v>0</v>
      </c>
      <c r="CA132" s="503">
        <f t="shared" si="189"/>
        <v>0</v>
      </c>
      <c r="CB132" s="503">
        <f t="shared" si="189"/>
        <v>0</v>
      </c>
      <c r="CC132" s="511">
        <f t="shared" si="167"/>
        <v>0</v>
      </c>
      <c r="CD132" s="511">
        <f t="shared" si="209"/>
        <v>0</v>
      </c>
      <c r="CE132" s="511">
        <f t="shared" si="209"/>
        <v>0</v>
      </c>
      <c r="CF132" s="511">
        <f t="shared" si="209"/>
        <v>0</v>
      </c>
      <c r="CG132" s="511">
        <f t="shared" si="209"/>
        <v>0</v>
      </c>
      <c r="CH132" s="511">
        <f t="shared" si="209"/>
        <v>0</v>
      </c>
      <c r="CI132" s="511">
        <f t="shared" si="209"/>
        <v>0</v>
      </c>
      <c r="CJ132" s="511">
        <f t="shared" si="169"/>
        <v>0</v>
      </c>
      <c r="CK132" s="511">
        <f t="shared" si="210"/>
        <v>0</v>
      </c>
      <c r="CL132" s="511">
        <f t="shared" si="210"/>
        <v>0</v>
      </c>
      <c r="CM132" s="511">
        <f t="shared" si="210"/>
        <v>0</v>
      </c>
      <c r="CN132" s="511">
        <f t="shared" si="210"/>
        <v>0</v>
      </c>
      <c r="CO132" s="511">
        <f t="shared" si="210"/>
        <v>0</v>
      </c>
      <c r="CP132" s="511">
        <f t="shared" si="210"/>
        <v>0</v>
      </c>
      <c r="CQ132" s="511">
        <f t="shared" si="171"/>
        <v>12.362306452780928</v>
      </c>
      <c r="CR132" s="511">
        <f t="shared" si="211"/>
        <v>12.362306452780928</v>
      </c>
      <c r="CS132" s="511">
        <f t="shared" si="211"/>
        <v>12.362306452780928</v>
      </c>
      <c r="CT132" s="511">
        <f t="shared" si="211"/>
        <v>12.362306452780928</v>
      </c>
      <c r="CU132" s="511">
        <f t="shared" si="211"/>
        <v>12.362306452780928</v>
      </c>
      <c r="CV132" s="511">
        <f t="shared" si="211"/>
        <v>12.362306452780928</v>
      </c>
      <c r="CW132" s="511">
        <f t="shared" si="211"/>
        <v>12.362306452780928</v>
      </c>
      <c r="CX132" s="508">
        <f t="shared" si="173"/>
        <v>1877.9594999999999</v>
      </c>
      <c r="CY132" s="508">
        <f t="shared" si="173"/>
        <v>1877.9594999999999</v>
      </c>
      <c r="CZ132" s="508">
        <f t="shared" si="173"/>
        <v>1877.9594999999999</v>
      </c>
      <c r="DA132" s="508">
        <f t="shared" ref="DA132:DD139" si="213">AF132*BD132</f>
        <v>1877.9594999999999</v>
      </c>
      <c r="DB132" s="508">
        <f t="shared" si="213"/>
        <v>1877.9594999999999</v>
      </c>
      <c r="DC132" s="508">
        <f t="shared" si="213"/>
        <v>1877.9594999999999</v>
      </c>
      <c r="DD132" s="508">
        <f t="shared" si="213"/>
        <v>1877.9594999999999</v>
      </c>
      <c r="DE132" s="508">
        <f t="shared" si="174"/>
        <v>0</v>
      </c>
      <c r="DF132" s="508">
        <f t="shared" si="174"/>
        <v>0</v>
      </c>
      <c r="DG132" s="508">
        <f t="shared" si="174"/>
        <v>0</v>
      </c>
      <c r="DH132" s="508">
        <f t="shared" ref="DH132:DK139" si="214">AF132*BK132</f>
        <v>0</v>
      </c>
      <c r="DI132" s="508">
        <f t="shared" si="214"/>
        <v>0</v>
      </c>
      <c r="DJ132" s="508">
        <f t="shared" si="214"/>
        <v>0</v>
      </c>
      <c r="DK132" s="508">
        <f t="shared" si="214"/>
        <v>0</v>
      </c>
      <c r="DL132" s="508">
        <f t="shared" si="175"/>
        <v>900</v>
      </c>
      <c r="DM132" s="508">
        <f t="shared" si="175"/>
        <v>900</v>
      </c>
      <c r="DN132" s="508">
        <f t="shared" si="175"/>
        <v>900</v>
      </c>
      <c r="DO132" s="508">
        <f t="shared" ref="DO132:DR139" si="215">AF132*BR132</f>
        <v>900</v>
      </c>
      <c r="DP132" s="508">
        <f t="shared" si="215"/>
        <v>900</v>
      </c>
      <c r="DQ132" s="508">
        <f t="shared" si="215"/>
        <v>900</v>
      </c>
      <c r="DR132" s="508">
        <f t="shared" si="215"/>
        <v>900</v>
      </c>
      <c r="DS132" s="508">
        <f t="shared" si="190"/>
        <v>0</v>
      </c>
      <c r="DT132" s="508">
        <f t="shared" si="190"/>
        <v>0</v>
      </c>
      <c r="DU132" s="508">
        <f t="shared" si="190"/>
        <v>0</v>
      </c>
      <c r="DV132" s="508">
        <f t="shared" si="190"/>
        <v>0</v>
      </c>
      <c r="DW132" s="508">
        <f t="shared" si="190"/>
        <v>0</v>
      </c>
      <c r="DX132" s="508">
        <f t="shared" si="190"/>
        <v>0</v>
      </c>
      <c r="DY132" s="508">
        <f t="shared" si="190"/>
        <v>0</v>
      </c>
      <c r="DZ132" s="511">
        <f t="shared" si="177"/>
        <v>0</v>
      </c>
      <c r="EA132" s="511">
        <f t="shared" si="177"/>
        <v>0</v>
      </c>
      <c r="EB132" s="511">
        <f t="shared" si="177"/>
        <v>0</v>
      </c>
      <c r="EC132" s="511">
        <f t="shared" ref="EC132:EF139" si="216">AF132*CF132</f>
        <v>0</v>
      </c>
      <c r="ED132" s="511">
        <f t="shared" si="216"/>
        <v>0</v>
      </c>
      <c r="EE132" s="511">
        <f t="shared" si="216"/>
        <v>0</v>
      </c>
      <c r="EF132" s="511">
        <f t="shared" si="216"/>
        <v>0</v>
      </c>
      <c r="EG132" s="511">
        <f t="shared" si="178"/>
        <v>0</v>
      </c>
      <c r="EH132" s="511">
        <f t="shared" si="178"/>
        <v>0</v>
      </c>
      <c r="EI132" s="511">
        <f t="shared" si="178"/>
        <v>0</v>
      </c>
      <c r="EJ132" s="511">
        <f t="shared" ref="EJ132:EM139" si="217">AF132*CM132</f>
        <v>0</v>
      </c>
      <c r="EK132" s="511">
        <f t="shared" si="217"/>
        <v>0</v>
      </c>
      <c r="EL132" s="511">
        <f t="shared" si="217"/>
        <v>0</v>
      </c>
      <c r="EM132" s="511">
        <f t="shared" si="217"/>
        <v>0</v>
      </c>
      <c r="EN132" s="511">
        <f t="shared" si="179"/>
        <v>185.43459679171391</v>
      </c>
      <c r="EO132" s="511">
        <f t="shared" si="179"/>
        <v>185.43459679171391</v>
      </c>
      <c r="EP132" s="511">
        <f t="shared" si="179"/>
        <v>185.43459679171391</v>
      </c>
      <c r="EQ132" s="511">
        <f t="shared" ref="EQ132:ET139" si="218">AF132*CT132</f>
        <v>185.43459679171391</v>
      </c>
      <c r="ER132" s="511">
        <f t="shared" si="218"/>
        <v>185.43459679171391</v>
      </c>
      <c r="ES132" s="511">
        <f t="shared" si="218"/>
        <v>185.43459679171391</v>
      </c>
      <c r="ET132" s="511">
        <f t="shared" si="218"/>
        <v>185.43459679171391</v>
      </c>
      <c r="EU132" s="777">
        <f t="shared" si="191"/>
        <v>105</v>
      </c>
      <c r="EV132" s="728">
        <f t="shared" si="181"/>
        <v>13145.716500000002</v>
      </c>
      <c r="EW132" s="728">
        <f t="shared" si="182"/>
        <v>0</v>
      </c>
      <c r="EX132" s="728">
        <f t="shared" si="183"/>
        <v>6300</v>
      </c>
      <c r="EY132" s="728">
        <f t="shared" si="184"/>
        <v>0</v>
      </c>
      <c r="EZ132" s="777">
        <f t="shared" si="185"/>
        <v>0</v>
      </c>
      <c r="FA132" s="777">
        <f t="shared" si="186"/>
        <v>0</v>
      </c>
      <c r="FB132" s="778">
        <f t="shared" si="187"/>
        <v>1298.0421775419973</v>
      </c>
    </row>
    <row r="133" spans="1:158" s="10" customFormat="1" ht="12.75" hidden="1" customHeight="1">
      <c r="A133" s="662" t="s">
        <v>263</v>
      </c>
      <c r="B133" s="789" t="s">
        <v>2221</v>
      </c>
      <c r="C133" s="662" t="s">
        <v>2120</v>
      </c>
      <c r="D133" s="715" t="s">
        <v>2112</v>
      </c>
      <c r="E133" s="662" t="s">
        <v>331</v>
      </c>
      <c r="F133" s="704" t="s">
        <v>402</v>
      </c>
      <c r="G133" s="707">
        <f t="shared" si="205"/>
        <v>664.85389999999995</v>
      </c>
      <c r="H133" s="707">
        <f t="shared" si="205"/>
        <v>0</v>
      </c>
      <c r="I133" s="707">
        <f t="shared" si="205"/>
        <v>664.85389999999995</v>
      </c>
      <c r="J133" s="707">
        <f t="shared" si="205"/>
        <v>0</v>
      </c>
      <c r="K133" s="707">
        <f t="shared" si="205"/>
        <v>332.42694999999998</v>
      </c>
      <c r="L133" s="1263" t="str">
        <f t="shared" si="205"/>
        <v>Various Retailers</v>
      </c>
      <c r="M133" s="707" t="str">
        <f t="shared" si="205"/>
        <v>NA</v>
      </c>
      <c r="N133" s="707">
        <f t="shared" si="205"/>
        <v>300</v>
      </c>
      <c r="O133" s="707">
        <f t="shared" si="205"/>
        <v>0</v>
      </c>
      <c r="P133" s="707">
        <f t="shared" si="205"/>
        <v>0</v>
      </c>
      <c r="Q133" s="1022">
        <v>0</v>
      </c>
      <c r="R133" s="872">
        <v>0</v>
      </c>
      <c r="S133" s="1022">
        <v>51.527082012037667</v>
      </c>
      <c r="T133" s="711" t="str">
        <f t="shared" si="188"/>
        <v>Potential Study Results: Engineering calculations based on ENERGY STAR Appliances Calculator. Accessed 06.07.2016</v>
      </c>
      <c r="U133" s="712"/>
      <c r="V133" s="1124">
        <f t="shared" si="156"/>
        <v>0</v>
      </c>
      <c r="W133" s="790"/>
      <c r="X133" s="790"/>
      <c r="Y133" s="790"/>
      <c r="Z133" s="790"/>
      <c r="AA133" s="790"/>
      <c r="AB133" s="790"/>
      <c r="AC133" s="781">
        <f t="shared" si="204"/>
        <v>0</v>
      </c>
      <c r="AD133" s="781">
        <f t="shared" si="204"/>
        <v>0</v>
      </c>
      <c r="AE133" s="781">
        <f t="shared" si="204"/>
        <v>0</v>
      </c>
      <c r="AF133" s="781">
        <f t="shared" si="204"/>
        <v>0</v>
      </c>
      <c r="AG133" s="781">
        <f t="shared" si="204"/>
        <v>0</v>
      </c>
      <c r="AH133" s="781">
        <f t="shared" si="206"/>
        <v>0</v>
      </c>
      <c r="AI133" s="781">
        <f t="shared" si="206"/>
        <v>0</v>
      </c>
      <c r="AJ133" s="711" t="s">
        <v>2013</v>
      </c>
      <c r="AK133" s="711" t="s">
        <v>375</v>
      </c>
      <c r="AL133" s="711" t="s">
        <v>376</v>
      </c>
      <c r="AM133" s="711" t="s">
        <v>1981</v>
      </c>
      <c r="AN133" s="711" t="s">
        <v>1</v>
      </c>
      <c r="AO133" s="711" t="s">
        <v>2122</v>
      </c>
      <c r="AP133" s="711" t="s">
        <v>2120</v>
      </c>
      <c r="AQ133" s="711" t="s">
        <v>2112</v>
      </c>
      <c r="AR133" s="715" t="s">
        <v>943</v>
      </c>
      <c r="AS133" s="715" t="s">
        <v>1941</v>
      </c>
      <c r="AT133" s="715" t="s">
        <v>381</v>
      </c>
      <c r="AU133" s="711">
        <v>11</v>
      </c>
      <c r="AV133" s="711">
        <v>11</v>
      </c>
      <c r="AW133" s="711" t="s">
        <v>2115</v>
      </c>
      <c r="AX133" s="716">
        <v>1</v>
      </c>
      <c r="AY133" s="716">
        <v>0</v>
      </c>
      <c r="AZ133" s="716">
        <v>1</v>
      </c>
      <c r="BA133" s="499">
        <f t="shared" si="159"/>
        <v>664.85389999999995</v>
      </c>
      <c r="BB133" s="499">
        <f t="shared" si="207"/>
        <v>664.85389999999995</v>
      </c>
      <c r="BC133" s="499">
        <f t="shared" si="207"/>
        <v>664.85389999999995</v>
      </c>
      <c r="BD133" s="499">
        <f t="shared" si="207"/>
        <v>664.85389999999995</v>
      </c>
      <c r="BE133" s="499">
        <f t="shared" si="161"/>
        <v>664.85389999999995</v>
      </c>
      <c r="BF133" s="499">
        <f t="shared" si="161"/>
        <v>664.85389999999995</v>
      </c>
      <c r="BG133" s="499">
        <f t="shared" si="161"/>
        <v>664.85389999999995</v>
      </c>
      <c r="BH133" s="499">
        <f t="shared" si="162"/>
        <v>0</v>
      </c>
      <c r="BI133" s="499">
        <f t="shared" si="208"/>
        <v>0</v>
      </c>
      <c r="BJ133" s="499">
        <f t="shared" si="208"/>
        <v>0</v>
      </c>
      <c r="BK133" s="499">
        <f t="shared" si="208"/>
        <v>0</v>
      </c>
      <c r="BL133" s="499">
        <f t="shared" si="208"/>
        <v>0</v>
      </c>
      <c r="BM133" s="499">
        <f t="shared" si="208"/>
        <v>0</v>
      </c>
      <c r="BN133" s="499">
        <f t="shared" si="208"/>
        <v>0</v>
      </c>
      <c r="BO133" s="499">
        <f t="shared" si="164"/>
        <v>300</v>
      </c>
      <c r="BP133" s="499">
        <f t="shared" si="212"/>
        <v>300</v>
      </c>
      <c r="BQ133" s="499">
        <f t="shared" si="212"/>
        <v>300</v>
      </c>
      <c r="BR133" s="499">
        <f t="shared" si="212"/>
        <v>300</v>
      </c>
      <c r="BS133" s="499">
        <f t="shared" si="212"/>
        <v>300</v>
      </c>
      <c r="BT133" s="499">
        <f t="shared" si="212"/>
        <v>300</v>
      </c>
      <c r="BU133" s="499">
        <f t="shared" si="212"/>
        <v>300</v>
      </c>
      <c r="BV133" s="503">
        <f t="shared" si="189"/>
        <v>0</v>
      </c>
      <c r="BW133" s="503">
        <f t="shared" si="189"/>
        <v>0</v>
      </c>
      <c r="BX133" s="503">
        <f t="shared" si="189"/>
        <v>0</v>
      </c>
      <c r="BY133" s="503">
        <f t="shared" si="189"/>
        <v>0</v>
      </c>
      <c r="BZ133" s="503">
        <f t="shared" si="189"/>
        <v>0</v>
      </c>
      <c r="CA133" s="503">
        <f t="shared" si="189"/>
        <v>0</v>
      </c>
      <c r="CB133" s="503">
        <f t="shared" si="189"/>
        <v>0</v>
      </c>
      <c r="CC133" s="511">
        <f t="shared" si="167"/>
        <v>0</v>
      </c>
      <c r="CD133" s="511">
        <f t="shared" si="209"/>
        <v>0</v>
      </c>
      <c r="CE133" s="511">
        <f t="shared" si="209"/>
        <v>0</v>
      </c>
      <c r="CF133" s="511">
        <f t="shared" si="209"/>
        <v>0</v>
      </c>
      <c r="CG133" s="511">
        <f t="shared" si="209"/>
        <v>0</v>
      </c>
      <c r="CH133" s="511">
        <f t="shared" si="209"/>
        <v>0</v>
      </c>
      <c r="CI133" s="511">
        <f t="shared" si="209"/>
        <v>0</v>
      </c>
      <c r="CJ133" s="511">
        <f t="shared" si="169"/>
        <v>0</v>
      </c>
      <c r="CK133" s="511">
        <f t="shared" si="210"/>
        <v>0</v>
      </c>
      <c r="CL133" s="511">
        <f t="shared" si="210"/>
        <v>0</v>
      </c>
      <c r="CM133" s="511">
        <f t="shared" si="210"/>
        <v>0</v>
      </c>
      <c r="CN133" s="511">
        <f t="shared" si="210"/>
        <v>0</v>
      </c>
      <c r="CO133" s="511">
        <f t="shared" si="210"/>
        <v>0</v>
      </c>
      <c r="CP133" s="511">
        <f t="shared" si="210"/>
        <v>0</v>
      </c>
      <c r="CQ133" s="511">
        <f t="shared" si="171"/>
        <v>51.527082012037667</v>
      </c>
      <c r="CR133" s="511">
        <f t="shared" si="211"/>
        <v>51.527082012037667</v>
      </c>
      <c r="CS133" s="511">
        <f t="shared" si="211"/>
        <v>51.527082012037667</v>
      </c>
      <c r="CT133" s="511">
        <f t="shared" si="211"/>
        <v>51.527082012037667</v>
      </c>
      <c r="CU133" s="511">
        <f t="shared" si="211"/>
        <v>51.527082012037667</v>
      </c>
      <c r="CV133" s="511">
        <f t="shared" si="211"/>
        <v>51.527082012037667</v>
      </c>
      <c r="CW133" s="511">
        <f t="shared" si="211"/>
        <v>51.527082012037667</v>
      </c>
      <c r="CX133" s="508">
        <f t="shared" ref="CX133:CZ139" si="219">AC133*BA133</f>
        <v>0</v>
      </c>
      <c r="CY133" s="508">
        <f t="shared" si="219"/>
        <v>0</v>
      </c>
      <c r="CZ133" s="508">
        <f t="shared" si="219"/>
        <v>0</v>
      </c>
      <c r="DA133" s="508">
        <f t="shared" si="213"/>
        <v>0</v>
      </c>
      <c r="DB133" s="508">
        <f t="shared" si="213"/>
        <v>0</v>
      </c>
      <c r="DC133" s="508">
        <f t="shared" si="213"/>
        <v>0</v>
      </c>
      <c r="DD133" s="508">
        <f t="shared" si="213"/>
        <v>0</v>
      </c>
      <c r="DE133" s="508">
        <f t="shared" ref="DE133:DG139" si="220">AC133*BH133</f>
        <v>0</v>
      </c>
      <c r="DF133" s="508">
        <f t="shared" si="220"/>
        <v>0</v>
      </c>
      <c r="DG133" s="508">
        <f t="shared" si="220"/>
        <v>0</v>
      </c>
      <c r="DH133" s="508">
        <f t="shared" si="214"/>
        <v>0</v>
      </c>
      <c r="DI133" s="508">
        <f t="shared" si="214"/>
        <v>0</v>
      </c>
      <c r="DJ133" s="508">
        <f t="shared" si="214"/>
        <v>0</v>
      </c>
      <c r="DK133" s="508">
        <f t="shared" si="214"/>
        <v>0</v>
      </c>
      <c r="DL133" s="508">
        <f t="shared" ref="DL133:DN139" si="221">AC133*BO133</f>
        <v>0</v>
      </c>
      <c r="DM133" s="508">
        <f t="shared" si="221"/>
        <v>0</v>
      </c>
      <c r="DN133" s="508">
        <f t="shared" si="221"/>
        <v>0</v>
      </c>
      <c r="DO133" s="508">
        <f t="shared" si="215"/>
        <v>0</v>
      </c>
      <c r="DP133" s="508">
        <f t="shared" si="215"/>
        <v>0</v>
      </c>
      <c r="DQ133" s="508">
        <f t="shared" si="215"/>
        <v>0</v>
      </c>
      <c r="DR133" s="508">
        <f t="shared" si="215"/>
        <v>0</v>
      </c>
      <c r="DS133" s="508">
        <f t="shared" si="190"/>
        <v>0</v>
      </c>
      <c r="DT133" s="508">
        <f t="shared" si="190"/>
        <v>0</v>
      </c>
      <c r="DU133" s="508">
        <f t="shared" si="190"/>
        <v>0</v>
      </c>
      <c r="DV133" s="508">
        <f t="shared" si="190"/>
        <v>0</v>
      </c>
      <c r="DW133" s="508">
        <f t="shared" si="190"/>
        <v>0</v>
      </c>
      <c r="DX133" s="508">
        <f t="shared" si="190"/>
        <v>0</v>
      </c>
      <c r="DY133" s="508">
        <f t="shared" si="190"/>
        <v>0</v>
      </c>
      <c r="DZ133" s="511">
        <f t="shared" ref="DZ133:EB139" si="222">AC133*CC133</f>
        <v>0</v>
      </c>
      <c r="EA133" s="511">
        <f t="shared" si="222"/>
        <v>0</v>
      </c>
      <c r="EB133" s="511">
        <f t="shared" si="222"/>
        <v>0</v>
      </c>
      <c r="EC133" s="511">
        <f t="shared" si="216"/>
        <v>0</v>
      </c>
      <c r="ED133" s="511">
        <f t="shared" si="216"/>
        <v>0</v>
      </c>
      <c r="EE133" s="511">
        <f t="shared" si="216"/>
        <v>0</v>
      </c>
      <c r="EF133" s="511">
        <f t="shared" si="216"/>
        <v>0</v>
      </c>
      <c r="EG133" s="511">
        <f t="shared" ref="EG133:EI139" si="223">AC133*CJ133</f>
        <v>0</v>
      </c>
      <c r="EH133" s="511">
        <f t="shared" si="223"/>
        <v>0</v>
      </c>
      <c r="EI133" s="511">
        <f t="shared" si="223"/>
        <v>0</v>
      </c>
      <c r="EJ133" s="511">
        <f t="shared" si="217"/>
        <v>0</v>
      </c>
      <c r="EK133" s="511">
        <f t="shared" si="217"/>
        <v>0</v>
      </c>
      <c r="EL133" s="511">
        <f t="shared" si="217"/>
        <v>0</v>
      </c>
      <c r="EM133" s="511">
        <f t="shared" si="217"/>
        <v>0</v>
      </c>
      <c r="EN133" s="511">
        <f t="shared" ref="EN133:EP139" si="224">AC133*CQ133</f>
        <v>0</v>
      </c>
      <c r="EO133" s="511">
        <f t="shared" si="224"/>
        <v>0</v>
      </c>
      <c r="EP133" s="511">
        <f t="shared" si="224"/>
        <v>0</v>
      </c>
      <c r="EQ133" s="511">
        <f t="shared" si="218"/>
        <v>0</v>
      </c>
      <c r="ER133" s="511">
        <f t="shared" si="218"/>
        <v>0</v>
      </c>
      <c r="ES133" s="511">
        <f t="shared" si="218"/>
        <v>0</v>
      </c>
      <c r="ET133" s="511">
        <f t="shared" si="218"/>
        <v>0</v>
      </c>
      <c r="EU133" s="777">
        <f t="shared" si="191"/>
        <v>0</v>
      </c>
      <c r="EV133" s="728">
        <f t="shared" si="181"/>
        <v>0</v>
      </c>
      <c r="EW133" s="728">
        <f t="shared" si="182"/>
        <v>0</v>
      </c>
      <c r="EX133" s="728">
        <f t="shared" si="183"/>
        <v>0</v>
      </c>
      <c r="EY133" s="728">
        <f t="shared" si="184"/>
        <v>0</v>
      </c>
      <c r="EZ133" s="777">
        <f t="shared" si="185"/>
        <v>0</v>
      </c>
      <c r="FA133" s="777">
        <f t="shared" si="186"/>
        <v>0</v>
      </c>
      <c r="FB133" s="778">
        <f t="shared" si="187"/>
        <v>0</v>
      </c>
    </row>
    <row r="134" spans="1:158" s="524" customFormat="1" ht="12.75" hidden="1" customHeight="1">
      <c r="A134" s="1264" t="s">
        <v>264</v>
      </c>
      <c r="B134" s="1265" t="s">
        <v>2222</v>
      </c>
      <c r="C134" s="1264" t="s">
        <v>2123</v>
      </c>
      <c r="D134" s="1266" t="s">
        <v>2124</v>
      </c>
      <c r="E134" s="1264" t="s">
        <v>331</v>
      </c>
      <c r="F134" s="1267" t="s">
        <v>402</v>
      </c>
      <c r="G134" s="1268">
        <f t="shared" si="205"/>
        <v>1422.8273999999999</v>
      </c>
      <c r="H134" s="1268">
        <f t="shared" si="205"/>
        <v>0</v>
      </c>
      <c r="I134" s="1268">
        <f t="shared" si="205"/>
        <v>1422.8273999999999</v>
      </c>
      <c r="J134" s="1268">
        <f t="shared" si="205"/>
        <v>0</v>
      </c>
      <c r="K134" s="1268">
        <f t="shared" si="205"/>
        <v>711.41369999999995</v>
      </c>
      <c r="L134" s="1269" t="str">
        <f t="shared" si="205"/>
        <v>RS Means 2009</v>
      </c>
      <c r="M134" s="1268" t="str">
        <f t="shared" si="205"/>
        <v>NA</v>
      </c>
      <c r="N134" s="1268">
        <f t="shared" si="205"/>
        <v>300</v>
      </c>
      <c r="O134" s="1268">
        <f t="shared" si="205"/>
        <v>0</v>
      </c>
      <c r="P134" s="1268">
        <f t="shared" si="205"/>
        <v>0</v>
      </c>
      <c r="Q134" s="1270">
        <f>O213</f>
        <v>254.00749736600105</v>
      </c>
      <c r="R134" s="1271">
        <v>0.1160707319801524</v>
      </c>
      <c r="S134" s="1270">
        <f>Q213</f>
        <v>40.586672563532794</v>
      </c>
      <c r="T134" s="1272" t="str">
        <f t="shared" si="188"/>
        <v>Potential Study Results: Engineering Calculation</v>
      </c>
      <c r="U134" s="1273"/>
      <c r="V134" s="1274">
        <f t="shared" si="156"/>
        <v>7.6172339919066889E-3</v>
      </c>
      <c r="W134" s="1275"/>
      <c r="X134" s="1275"/>
      <c r="Y134" s="1275"/>
      <c r="Z134" s="1275"/>
      <c r="AA134" s="1275"/>
      <c r="AB134" s="1275"/>
      <c r="AC134" s="1276">
        <f t="shared" ref="AC134:AG139" si="225">AC44*0.5</f>
        <v>10</v>
      </c>
      <c r="AD134" s="1276">
        <f t="shared" si="225"/>
        <v>10</v>
      </c>
      <c r="AE134" s="1276">
        <f t="shared" si="225"/>
        <v>10</v>
      </c>
      <c r="AF134" s="1276">
        <f t="shared" si="225"/>
        <v>10</v>
      </c>
      <c r="AG134" s="1276">
        <f t="shared" si="225"/>
        <v>10</v>
      </c>
      <c r="AH134" s="1276">
        <f t="shared" si="206"/>
        <v>10</v>
      </c>
      <c r="AI134" s="1276">
        <f t="shared" si="206"/>
        <v>10</v>
      </c>
      <c r="AJ134" s="1272" t="s">
        <v>374</v>
      </c>
      <c r="AK134" s="1272" t="s">
        <v>375</v>
      </c>
      <c r="AL134" s="1272" t="s">
        <v>376</v>
      </c>
      <c r="AM134" s="1272" t="s">
        <v>2002</v>
      </c>
      <c r="AN134" s="1272" t="s">
        <v>1</v>
      </c>
      <c r="AO134" s="1272" t="s">
        <v>2126</v>
      </c>
      <c r="AP134" s="1272" t="s">
        <v>2123</v>
      </c>
      <c r="AQ134" s="1272" t="s">
        <v>2124</v>
      </c>
      <c r="AR134" s="1266" t="s">
        <v>406</v>
      </c>
      <c r="AS134" s="1266" t="s">
        <v>407</v>
      </c>
      <c r="AT134" s="1266" t="s">
        <v>381</v>
      </c>
      <c r="AU134" s="1272">
        <v>20</v>
      </c>
      <c r="AV134" s="1272">
        <v>20</v>
      </c>
      <c r="AW134" s="1272" t="s">
        <v>2127</v>
      </c>
      <c r="AX134" s="1277">
        <v>1</v>
      </c>
      <c r="AY134" s="1277">
        <v>1</v>
      </c>
      <c r="AZ134" s="1277">
        <v>1</v>
      </c>
      <c r="BA134" s="1278">
        <f t="shared" si="159"/>
        <v>1422.8273999999999</v>
      </c>
      <c r="BB134" s="1278">
        <f t="shared" si="207"/>
        <v>1422.8273999999999</v>
      </c>
      <c r="BC134" s="1278">
        <f t="shared" si="207"/>
        <v>1422.8273999999999</v>
      </c>
      <c r="BD134" s="1278">
        <f t="shared" si="207"/>
        <v>1422.8273999999999</v>
      </c>
      <c r="BE134" s="1278">
        <f t="shared" si="161"/>
        <v>1422.8273999999999</v>
      </c>
      <c r="BF134" s="1278">
        <f t="shared" si="161"/>
        <v>1422.8273999999999</v>
      </c>
      <c r="BG134" s="1278">
        <f t="shared" si="161"/>
        <v>1422.8273999999999</v>
      </c>
      <c r="BH134" s="1278">
        <f t="shared" si="162"/>
        <v>0</v>
      </c>
      <c r="BI134" s="1278">
        <f t="shared" si="208"/>
        <v>0</v>
      </c>
      <c r="BJ134" s="1278">
        <f t="shared" si="208"/>
        <v>0</v>
      </c>
      <c r="BK134" s="1278">
        <f t="shared" si="208"/>
        <v>0</v>
      </c>
      <c r="BL134" s="1278">
        <f t="shared" si="208"/>
        <v>0</v>
      </c>
      <c r="BM134" s="1278">
        <f t="shared" si="208"/>
        <v>0</v>
      </c>
      <c r="BN134" s="1278">
        <f t="shared" si="208"/>
        <v>0</v>
      </c>
      <c r="BO134" s="1278">
        <f t="shared" si="164"/>
        <v>300</v>
      </c>
      <c r="BP134" s="1278">
        <f t="shared" si="212"/>
        <v>300</v>
      </c>
      <c r="BQ134" s="1278">
        <f t="shared" si="212"/>
        <v>300</v>
      </c>
      <c r="BR134" s="1278">
        <f t="shared" si="212"/>
        <v>300</v>
      </c>
      <c r="BS134" s="1278">
        <f t="shared" si="212"/>
        <v>300</v>
      </c>
      <c r="BT134" s="1278">
        <f t="shared" si="212"/>
        <v>300</v>
      </c>
      <c r="BU134" s="1278">
        <f t="shared" si="212"/>
        <v>300</v>
      </c>
      <c r="BV134" s="1279">
        <f t="shared" si="189"/>
        <v>0</v>
      </c>
      <c r="BW134" s="1279">
        <f t="shared" si="189"/>
        <v>0</v>
      </c>
      <c r="BX134" s="1279">
        <f t="shared" si="189"/>
        <v>0</v>
      </c>
      <c r="BY134" s="1279">
        <f t="shared" si="189"/>
        <v>0</v>
      </c>
      <c r="BZ134" s="1279">
        <f t="shared" si="189"/>
        <v>0</v>
      </c>
      <c r="CA134" s="1279">
        <f t="shared" si="189"/>
        <v>0</v>
      </c>
      <c r="CB134" s="1279">
        <f t="shared" si="189"/>
        <v>0</v>
      </c>
      <c r="CC134" s="1280">
        <f t="shared" si="167"/>
        <v>254.00749736600105</v>
      </c>
      <c r="CD134" s="1280">
        <f t="shared" si="209"/>
        <v>254.00749736600105</v>
      </c>
      <c r="CE134" s="1280">
        <f t="shared" si="209"/>
        <v>254.00749736600105</v>
      </c>
      <c r="CF134" s="1280">
        <f t="shared" si="209"/>
        <v>254.00749736600105</v>
      </c>
      <c r="CG134" s="1280">
        <f t="shared" si="209"/>
        <v>254.00749736600105</v>
      </c>
      <c r="CH134" s="1280">
        <f t="shared" si="209"/>
        <v>254.00749736600105</v>
      </c>
      <c r="CI134" s="1280">
        <f t="shared" si="209"/>
        <v>254.00749736600105</v>
      </c>
      <c r="CJ134" s="1280">
        <f t="shared" si="169"/>
        <v>0.1160707319801524</v>
      </c>
      <c r="CK134" s="1280">
        <f t="shared" si="210"/>
        <v>0.1160707319801524</v>
      </c>
      <c r="CL134" s="1280">
        <f t="shared" si="210"/>
        <v>0.1160707319801524</v>
      </c>
      <c r="CM134" s="1280">
        <f t="shared" si="210"/>
        <v>0.1160707319801524</v>
      </c>
      <c r="CN134" s="1280">
        <f t="shared" si="210"/>
        <v>0.1160707319801524</v>
      </c>
      <c r="CO134" s="1280">
        <f t="shared" si="210"/>
        <v>0.1160707319801524</v>
      </c>
      <c r="CP134" s="1280">
        <f t="shared" si="210"/>
        <v>0.1160707319801524</v>
      </c>
      <c r="CQ134" s="1280">
        <f t="shared" si="171"/>
        <v>40.586672563532794</v>
      </c>
      <c r="CR134" s="1280">
        <f t="shared" si="211"/>
        <v>40.586672563532794</v>
      </c>
      <c r="CS134" s="1280">
        <f t="shared" si="211"/>
        <v>40.586672563532794</v>
      </c>
      <c r="CT134" s="1280">
        <f t="shared" si="211"/>
        <v>40.586672563532794</v>
      </c>
      <c r="CU134" s="1280">
        <f t="shared" si="211"/>
        <v>40.586672563532794</v>
      </c>
      <c r="CV134" s="1280">
        <f t="shared" si="211"/>
        <v>40.586672563532794</v>
      </c>
      <c r="CW134" s="1280">
        <f t="shared" si="211"/>
        <v>40.586672563532794</v>
      </c>
      <c r="CX134" s="1281">
        <f t="shared" si="219"/>
        <v>14228.273999999999</v>
      </c>
      <c r="CY134" s="1281">
        <f t="shared" si="219"/>
        <v>14228.273999999999</v>
      </c>
      <c r="CZ134" s="1281">
        <f t="shared" si="219"/>
        <v>14228.273999999999</v>
      </c>
      <c r="DA134" s="1281">
        <f t="shared" si="213"/>
        <v>14228.273999999999</v>
      </c>
      <c r="DB134" s="1281">
        <f t="shared" si="213"/>
        <v>14228.273999999999</v>
      </c>
      <c r="DC134" s="1281">
        <f t="shared" si="213"/>
        <v>14228.273999999999</v>
      </c>
      <c r="DD134" s="1281">
        <f t="shared" si="213"/>
        <v>14228.273999999999</v>
      </c>
      <c r="DE134" s="1281">
        <f t="shared" si="220"/>
        <v>0</v>
      </c>
      <c r="DF134" s="1281">
        <f t="shared" si="220"/>
        <v>0</v>
      </c>
      <c r="DG134" s="1281">
        <f t="shared" si="220"/>
        <v>0</v>
      </c>
      <c r="DH134" s="1281">
        <f t="shared" si="214"/>
        <v>0</v>
      </c>
      <c r="DI134" s="1281">
        <f t="shared" si="214"/>
        <v>0</v>
      </c>
      <c r="DJ134" s="1281">
        <f t="shared" si="214"/>
        <v>0</v>
      </c>
      <c r="DK134" s="1281">
        <f t="shared" si="214"/>
        <v>0</v>
      </c>
      <c r="DL134" s="1281">
        <f t="shared" si="221"/>
        <v>3000</v>
      </c>
      <c r="DM134" s="1281">
        <f t="shared" si="221"/>
        <v>3000</v>
      </c>
      <c r="DN134" s="1281">
        <f t="shared" si="221"/>
        <v>3000</v>
      </c>
      <c r="DO134" s="1281">
        <f t="shared" si="215"/>
        <v>3000</v>
      </c>
      <c r="DP134" s="1281">
        <f t="shared" si="215"/>
        <v>3000</v>
      </c>
      <c r="DQ134" s="1281">
        <f t="shared" si="215"/>
        <v>3000</v>
      </c>
      <c r="DR134" s="1281">
        <f t="shared" si="215"/>
        <v>3000</v>
      </c>
      <c r="DS134" s="1281">
        <f t="shared" si="190"/>
        <v>0</v>
      </c>
      <c r="DT134" s="1281">
        <f t="shared" si="190"/>
        <v>0</v>
      </c>
      <c r="DU134" s="1281">
        <f t="shared" si="190"/>
        <v>0</v>
      </c>
      <c r="DV134" s="1281">
        <f t="shared" si="190"/>
        <v>0</v>
      </c>
      <c r="DW134" s="1281">
        <f t="shared" si="190"/>
        <v>0</v>
      </c>
      <c r="DX134" s="1281">
        <f t="shared" si="190"/>
        <v>0</v>
      </c>
      <c r="DY134" s="1281">
        <f t="shared" si="190"/>
        <v>0</v>
      </c>
      <c r="DZ134" s="1280">
        <f t="shared" si="222"/>
        <v>2540.0749736600105</v>
      </c>
      <c r="EA134" s="1280">
        <f t="shared" si="222"/>
        <v>2540.0749736600105</v>
      </c>
      <c r="EB134" s="1280">
        <f t="shared" si="222"/>
        <v>2540.0749736600105</v>
      </c>
      <c r="EC134" s="1280">
        <f t="shared" si="216"/>
        <v>2540.0749736600105</v>
      </c>
      <c r="ED134" s="1280">
        <f t="shared" si="216"/>
        <v>2540.0749736600105</v>
      </c>
      <c r="EE134" s="1280">
        <f t="shared" si="216"/>
        <v>2540.0749736600105</v>
      </c>
      <c r="EF134" s="1280">
        <f t="shared" si="216"/>
        <v>2540.0749736600105</v>
      </c>
      <c r="EG134" s="1280">
        <f t="shared" si="223"/>
        <v>1.1607073198015241</v>
      </c>
      <c r="EH134" s="1280">
        <f t="shared" si="223"/>
        <v>1.1607073198015241</v>
      </c>
      <c r="EI134" s="1280">
        <f t="shared" si="223"/>
        <v>1.1607073198015241</v>
      </c>
      <c r="EJ134" s="1280">
        <f t="shared" si="217"/>
        <v>1.1607073198015241</v>
      </c>
      <c r="EK134" s="1280">
        <f t="shared" si="217"/>
        <v>1.1607073198015241</v>
      </c>
      <c r="EL134" s="1280">
        <f t="shared" si="217"/>
        <v>1.1607073198015241</v>
      </c>
      <c r="EM134" s="1280">
        <f t="shared" si="217"/>
        <v>1.1607073198015241</v>
      </c>
      <c r="EN134" s="1280">
        <f t="shared" si="224"/>
        <v>405.86672563532795</v>
      </c>
      <c r="EO134" s="1280">
        <f t="shared" si="224"/>
        <v>405.86672563532795</v>
      </c>
      <c r="EP134" s="1280">
        <f t="shared" si="224"/>
        <v>405.86672563532795</v>
      </c>
      <c r="EQ134" s="1280">
        <f t="shared" si="218"/>
        <v>405.86672563532795</v>
      </c>
      <c r="ER134" s="1280">
        <f t="shared" si="218"/>
        <v>405.86672563532795</v>
      </c>
      <c r="ES134" s="1280">
        <f t="shared" si="218"/>
        <v>405.86672563532795</v>
      </c>
      <c r="ET134" s="1280">
        <f t="shared" si="218"/>
        <v>405.86672563532795</v>
      </c>
      <c r="EU134" s="1282">
        <f t="shared" si="191"/>
        <v>70</v>
      </c>
      <c r="EV134" s="1283">
        <f t="shared" si="181"/>
        <v>99597.918000000005</v>
      </c>
      <c r="EW134" s="1283">
        <f t="shared" si="182"/>
        <v>0</v>
      </c>
      <c r="EX134" s="1283">
        <f t="shared" si="183"/>
        <v>21000</v>
      </c>
      <c r="EY134" s="1283">
        <f t="shared" si="184"/>
        <v>0</v>
      </c>
      <c r="EZ134" s="1282">
        <f t="shared" si="185"/>
        <v>17780.524815620072</v>
      </c>
      <c r="FA134" s="1282">
        <f t="shared" si="186"/>
        <v>8.1249512386106684</v>
      </c>
      <c r="FB134" s="1284">
        <f t="shared" si="187"/>
        <v>2841.0670794472953</v>
      </c>
    </row>
    <row r="135" spans="1:158" s="524" customFormat="1" ht="12.75" hidden="1" customHeight="1">
      <c r="A135" s="1264" t="s">
        <v>265</v>
      </c>
      <c r="B135" s="1265" t="s">
        <v>2223</v>
      </c>
      <c r="C135" s="1264" t="s">
        <v>2128</v>
      </c>
      <c r="D135" s="1266" t="s">
        <v>2129</v>
      </c>
      <c r="E135" s="1264" t="s">
        <v>331</v>
      </c>
      <c r="F135" s="1267" t="s">
        <v>402</v>
      </c>
      <c r="G135" s="1268">
        <f t="shared" si="205"/>
        <v>1162</v>
      </c>
      <c r="H135" s="1268">
        <f t="shared" si="205"/>
        <v>0</v>
      </c>
      <c r="I135" s="1268">
        <f t="shared" si="205"/>
        <v>1162</v>
      </c>
      <c r="J135" s="1268">
        <f t="shared" si="205"/>
        <v>0</v>
      </c>
      <c r="K135" s="1268">
        <f t="shared" si="205"/>
        <v>581</v>
      </c>
      <c r="L135" s="1269" t="str">
        <f t="shared" si="205"/>
        <v>2010 - ETO - Residential Duct Insulation</v>
      </c>
      <c r="M135" s="1268" t="str">
        <f t="shared" si="205"/>
        <v>NA</v>
      </c>
      <c r="N135" s="1268">
        <f t="shared" si="205"/>
        <v>300</v>
      </c>
      <c r="O135" s="1268">
        <f t="shared" si="205"/>
        <v>0</v>
      </c>
      <c r="P135" s="1268">
        <f t="shared" si="205"/>
        <v>0</v>
      </c>
      <c r="Q135" s="1270">
        <f t="shared" ref="Q135:Q137" si="226">O214</f>
        <v>684.72692524745389</v>
      </c>
      <c r="R135" s="1271">
        <v>0.58505406251679737</v>
      </c>
      <c r="S135" s="1270">
        <f t="shared" ref="S135:S137" si="227">Q214</f>
        <v>70.813454178869478</v>
      </c>
      <c r="T135" s="1272" t="str">
        <f t="shared" si="188"/>
        <v>Potential Study Results: NAIMA Duct Insulation 2001 &amp; 2013 - EnergyStar - QI Fact Sheet</v>
      </c>
      <c r="U135" s="1273"/>
      <c r="V135" s="1274">
        <f t="shared" si="156"/>
        <v>3.6895977148298023E-3</v>
      </c>
      <c r="W135" s="1275"/>
      <c r="X135" s="1275"/>
      <c r="Y135" s="1275"/>
      <c r="Z135" s="1275"/>
      <c r="AA135" s="1275"/>
      <c r="AB135" s="1275"/>
      <c r="AC135" s="1276">
        <f t="shared" si="225"/>
        <v>5</v>
      </c>
      <c r="AD135" s="1276">
        <f t="shared" si="225"/>
        <v>5</v>
      </c>
      <c r="AE135" s="1276">
        <f t="shared" si="225"/>
        <v>5</v>
      </c>
      <c r="AF135" s="1276">
        <f t="shared" si="225"/>
        <v>5</v>
      </c>
      <c r="AG135" s="1276">
        <f t="shared" si="225"/>
        <v>5</v>
      </c>
      <c r="AH135" s="1276">
        <f t="shared" si="206"/>
        <v>5</v>
      </c>
      <c r="AI135" s="1276">
        <f t="shared" si="206"/>
        <v>5</v>
      </c>
      <c r="AJ135" s="1272" t="s">
        <v>374</v>
      </c>
      <c r="AK135" s="1272" t="s">
        <v>375</v>
      </c>
      <c r="AL135" s="1272" t="s">
        <v>376</v>
      </c>
      <c r="AM135" s="1272" t="s">
        <v>2002</v>
      </c>
      <c r="AN135" s="1272" t="s">
        <v>1</v>
      </c>
      <c r="AO135" s="1272" t="s">
        <v>2132</v>
      </c>
      <c r="AP135" s="1272" t="s">
        <v>2128</v>
      </c>
      <c r="AQ135" s="1272" t="s">
        <v>2129</v>
      </c>
      <c r="AR135" s="1266" t="s">
        <v>406</v>
      </c>
      <c r="AS135" s="1266" t="s">
        <v>407</v>
      </c>
      <c r="AT135" s="1266" t="s">
        <v>381</v>
      </c>
      <c r="AU135" s="1272">
        <v>18</v>
      </c>
      <c r="AV135" s="1272">
        <v>18</v>
      </c>
      <c r="AW135" s="1272" t="s">
        <v>2130</v>
      </c>
      <c r="AX135" s="1277">
        <v>1</v>
      </c>
      <c r="AY135" s="1277">
        <v>1</v>
      </c>
      <c r="AZ135" s="1277">
        <v>1</v>
      </c>
      <c r="BA135" s="1278">
        <f t="shared" si="159"/>
        <v>1162</v>
      </c>
      <c r="BB135" s="1278">
        <f t="shared" si="207"/>
        <v>1162</v>
      </c>
      <c r="BC135" s="1278">
        <f t="shared" si="207"/>
        <v>1162</v>
      </c>
      <c r="BD135" s="1278">
        <f t="shared" si="207"/>
        <v>1162</v>
      </c>
      <c r="BE135" s="1278">
        <f t="shared" si="161"/>
        <v>1162</v>
      </c>
      <c r="BF135" s="1278">
        <f t="shared" si="161"/>
        <v>1162</v>
      </c>
      <c r="BG135" s="1278">
        <f t="shared" si="161"/>
        <v>1162</v>
      </c>
      <c r="BH135" s="1278">
        <f t="shared" si="162"/>
        <v>0</v>
      </c>
      <c r="BI135" s="1278">
        <f t="shared" si="208"/>
        <v>0</v>
      </c>
      <c r="BJ135" s="1278">
        <f t="shared" si="208"/>
        <v>0</v>
      </c>
      <c r="BK135" s="1278">
        <f t="shared" si="208"/>
        <v>0</v>
      </c>
      <c r="BL135" s="1278">
        <f t="shared" si="208"/>
        <v>0</v>
      </c>
      <c r="BM135" s="1278">
        <f t="shared" si="208"/>
        <v>0</v>
      </c>
      <c r="BN135" s="1278">
        <f t="shared" si="208"/>
        <v>0</v>
      </c>
      <c r="BO135" s="1278">
        <f t="shared" si="164"/>
        <v>300</v>
      </c>
      <c r="BP135" s="1278">
        <f t="shared" si="212"/>
        <v>300</v>
      </c>
      <c r="BQ135" s="1278">
        <f t="shared" si="212"/>
        <v>300</v>
      </c>
      <c r="BR135" s="1278">
        <f t="shared" si="212"/>
        <v>300</v>
      </c>
      <c r="BS135" s="1278">
        <f t="shared" si="212"/>
        <v>300</v>
      </c>
      <c r="BT135" s="1278">
        <f t="shared" si="212"/>
        <v>300</v>
      </c>
      <c r="BU135" s="1278">
        <f t="shared" si="212"/>
        <v>300</v>
      </c>
      <c r="BV135" s="1279">
        <f t="shared" si="189"/>
        <v>0</v>
      </c>
      <c r="BW135" s="1279">
        <f t="shared" si="189"/>
        <v>0</v>
      </c>
      <c r="BX135" s="1279">
        <f t="shared" si="189"/>
        <v>0</v>
      </c>
      <c r="BY135" s="1279">
        <f t="shared" si="189"/>
        <v>0</v>
      </c>
      <c r="BZ135" s="1279">
        <f t="shared" si="189"/>
        <v>0</v>
      </c>
      <c r="CA135" s="1279">
        <f t="shared" si="189"/>
        <v>0</v>
      </c>
      <c r="CB135" s="1279">
        <f t="shared" si="189"/>
        <v>0</v>
      </c>
      <c r="CC135" s="1280">
        <f t="shared" si="167"/>
        <v>684.72692524745389</v>
      </c>
      <c r="CD135" s="1280">
        <f t="shared" si="209"/>
        <v>684.72692524745389</v>
      </c>
      <c r="CE135" s="1280">
        <f t="shared" si="209"/>
        <v>684.72692524745389</v>
      </c>
      <c r="CF135" s="1280">
        <f t="shared" si="209"/>
        <v>684.72692524745389</v>
      </c>
      <c r="CG135" s="1280">
        <f t="shared" si="209"/>
        <v>684.72692524745389</v>
      </c>
      <c r="CH135" s="1280">
        <f t="shared" si="209"/>
        <v>684.72692524745389</v>
      </c>
      <c r="CI135" s="1280">
        <f t="shared" si="209"/>
        <v>684.72692524745389</v>
      </c>
      <c r="CJ135" s="1280">
        <f t="shared" si="169"/>
        <v>0.58505406251679737</v>
      </c>
      <c r="CK135" s="1280">
        <f t="shared" si="210"/>
        <v>0.58505406251679737</v>
      </c>
      <c r="CL135" s="1280">
        <f t="shared" si="210"/>
        <v>0.58505406251679737</v>
      </c>
      <c r="CM135" s="1280">
        <f t="shared" si="210"/>
        <v>0.58505406251679737</v>
      </c>
      <c r="CN135" s="1280">
        <f t="shared" si="210"/>
        <v>0.58505406251679737</v>
      </c>
      <c r="CO135" s="1280">
        <f t="shared" si="210"/>
        <v>0.58505406251679737</v>
      </c>
      <c r="CP135" s="1280">
        <f t="shared" si="210"/>
        <v>0.58505406251679737</v>
      </c>
      <c r="CQ135" s="1280">
        <f t="shared" si="171"/>
        <v>70.813454178869478</v>
      </c>
      <c r="CR135" s="1280">
        <f t="shared" si="211"/>
        <v>70.813454178869478</v>
      </c>
      <c r="CS135" s="1280">
        <f t="shared" si="211"/>
        <v>70.813454178869478</v>
      </c>
      <c r="CT135" s="1280">
        <f t="shared" si="211"/>
        <v>70.813454178869478</v>
      </c>
      <c r="CU135" s="1280">
        <f t="shared" si="211"/>
        <v>70.813454178869478</v>
      </c>
      <c r="CV135" s="1280">
        <f t="shared" si="211"/>
        <v>70.813454178869478</v>
      </c>
      <c r="CW135" s="1280">
        <f t="shared" si="211"/>
        <v>70.813454178869478</v>
      </c>
      <c r="CX135" s="1281">
        <f t="shared" si="219"/>
        <v>5810</v>
      </c>
      <c r="CY135" s="1281">
        <f t="shared" si="219"/>
        <v>5810</v>
      </c>
      <c r="CZ135" s="1281">
        <f t="shared" si="219"/>
        <v>5810</v>
      </c>
      <c r="DA135" s="1281">
        <f t="shared" si="213"/>
        <v>5810</v>
      </c>
      <c r="DB135" s="1281">
        <f t="shared" si="213"/>
        <v>5810</v>
      </c>
      <c r="DC135" s="1281">
        <f t="shared" si="213"/>
        <v>5810</v>
      </c>
      <c r="DD135" s="1281">
        <f t="shared" si="213"/>
        <v>5810</v>
      </c>
      <c r="DE135" s="1281">
        <f t="shared" si="220"/>
        <v>0</v>
      </c>
      <c r="DF135" s="1281">
        <f t="shared" si="220"/>
        <v>0</v>
      </c>
      <c r="DG135" s="1281">
        <f t="shared" si="220"/>
        <v>0</v>
      </c>
      <c r="DH135" s="1281">
        <f t="shared" si="214"/>
        <v>0</v>
      </c>
      <c r="DI135" s="1281">
        <f t="shared" si="214"/>
        <v>0</v>
      </c>
      <c r="DJ135" s="1281">
        <f t="shared" si="214"/>
        <v>0</v>
      </c>
      <c r="DK135" s="1281">
        <f t="shared" si="214"/>
        <v>0</v>
      </c>
      <c r="DL135" s="1281">
        <f t="shared" si="221"/>
        <v>1500</v>
      </c>
      <c r="DM135" s="1281">
        <f t="shared" si="221"/>
        <v>1500</v>
      </c>
      <c r="DN135" s="1281">
        <f t="shared" si="221"/>
        <v>1500</v>
      </c>
      <c r="DO135" s="1281">
        <f t="shared" si="215"/>
        <v>1500</v>
      </c>
      <c r="DP135" s="1281">
        <f t="shared" si="215"/>
        <v>1500</v>
      </c>
      <c r="DQ135" s="1281">
        <f t="shared" si="215"/>
        <v>1500</v>
      </c>
      <c r="DR135" s="1281">
        <f t="shared" si="215"/>
        <v>1500</v>
      </c>
      <c r="DS135" s="1281">
        <f t="shared" si="190"/>
        <v>0</v>
      </c>
      <c r="DT135" s="1281">
        <f t="shared" si="190"/>
        <v>0</v>
      </c>
      <c r="DU135" s="1281">
        <f t="shared" si="190"/>
        <v>0</v>
      </c>
      <c r="DV135" s="1281">
        <f t="shared" si="190"/>
        <v>0</v>
      </c>
      <c r="DW135" s="1281">
        <f t="shared" si="190"/>
        <v>0</v>
      </c>
      <c r="DX135" s="1281">
        <f t="shared" si="190"/>
        <v>0</v>
      </c>
      <c r="DY135" s="1281">
        <f t="shared" si="190"/>
        <v>0</v>
      </c>
      <c r="DZ135" s="1280">
        <f t="shared" si="222"/>
        <v>3423.6346262372695</v>
      </c>
      <c r="EA135" s="1280">
        <f t="shared" si="222"/>
        <v>3423.6346262372695</v>
      </c>
      <c r="EB135" s="1280">
        <f t="shared" si="222"/>
        <v>3423.6346262372695</v>
      </c>
      <c r="EC135" s="1280">
        <f t="shared" si="216"/>
        <v>3423.6346262372695</v>
      </c>
      <c r="ED135" s="1280">
        <f t="shared" si="216"/>
        <v>3423.6346262372695</v>
      </c>
      <c r="EE135" s="1280">
        <f t="shared" si="216"/>
        <v>3423.6346262372695</v>
      </c>
      <c r="EF135" s="1280">
        <f t="shared" si="216"/>
        <v>3423.6346262372695</v>
      </c>
      <c r="EG135" s="1280">
        <f t="shared" si="223"/>
        <v>2.925270312583987</v>
      </c>
      <c r="EH135" s="1280">
        <f t="shared" si="223"/>
        <v>2.925270312583987</v>
      </c>
      <c r="EI135" s="1280">
        <f t="shared" si="223"/>
        <v>2.925270312583987</v>
      </c>
      <c r="EJ135" s="1280">
        <f t="shared" si="217"/>
        <v>2.925270312583987</v>
      </c>
      <c r="EK135" s="1280">
        <f t="shared" si="217"/>
        <v>2.925270312583987</v>
      </c>
      <c r="EL135" s="1280">
        <f t="shared" si="217"/>
        <v>2.925270312583987</v>
      </c>
      <c r="EM135" s="1280">
        <f t="shared" si="217"/>
        <v>2.925270312583987</v>
      </c>
      <c r="EN135" s="1280">
        <f t="shared" si="224"/>
        <v>354.06727089434742</v>
      </c>
      <c r="EO135" s="1280">
        <f t="shared" si="224"/>
        <v>354.06727089434742</v>
      </c>
      <c r="EP135" s="1280">
        <f t="shared" si="224"/>
        <v>354.06727089434742</v>
      </c>
      <c r="EQ135" s="1280">
        <f t="shared" si="218"/>
        <v>354.06727089434742</v>
      </c>
      <c r="ER135" s="1280">
        <f t="shared" si="218"/>
        <v>354.06727089434742</v>
      </c>
      <c r="ES135" s="1280">
        <f t="shared" si="218"/>
        <v>354.06727089434742</v>
      </c>
      <c r="ET135" s="1280">
        <f t="shared" si="218"/>
        <v>354.06727089434742</v>
      </c>
      <c r="EU135" s="1282">
        <f t="shared" si="191"/>
        <v>35</v>
      </c>
      <c r="EV135" s="1283">
        <f t="shared" si="181"/>
        <v>40670</v>
      </c>
      <c r="EW135" s="1283">
        <f t="shared" si="182"/>
        <v>0</v>
      </c>
      <c r="EX135" s="1283">
        <f t="shared" si="183"/>
        <v>10500</v>
      </c>
      <c r="EY135" s="1283">
        <f t="shared" si="184"/>
        <v>0</v>
      </c>
      <c r="EZ135" s="1282">
        <f t="shared" si="185"/>
        <v>23965.442383660884</v>
      </c>
      <c r="FA135" s="1282">
        <f t="shared" si="186"/>
        <v>20.476892188087909</v>
      </c>
      <c r="FB135" s="1284">
        <f t="shared" si="187"/>
        <v>2478.4708962604323</v>
      </c>
    </row>
    <row r="136" spans="1:158" s="524" customFormat="1" ht="12.75" hidden="1" customHeight="1">
      <c r="A136" s="1264" t="s">
        <v>266</v>
      </c>
      <c r="B136" s="1265" t="s">
        <v>2224</v>
      </c>
      <c r="C136" s="1264" t="s">
        <v>2133</v>
      </c>
      <c r="D136" s="1266" t="s">
        <v>2134</v>
      </c>
      <c r="E136" s="1264" t="s">
        <v>331</v>
      </c>
      <c r="F136" s="1267" t="s">
        <v>402</v>
      </c>
      <c r="G136" s="1268">
        <f t="shared" si="205"/>
        <v>320.4744</v>
      </c>
      <c r="H136" s="1268">
        <f t="shared" si="205"/>
        <v>0</v>
      </c>
      <c r="I136" s="1268">
        <f t="shared" si="205"/>
        <v>320.4744</v>
      </c>
      <c r="J136" s="1268">
        <f t="shared" si="205"/>
        <v>0</v>
      </c>
      <c r="K136" s="1268">
        <f t="shared" si="205"/>
        <v>160.2372</v>
      </c>
      <c r="L136" s="1269" t="str">
        <f t="shared" si="205"/>
        <v>RSMeans</v>
      </c>
      <c r="M136" s="1268" t="str">
        <f t="shared" si="205"/>
        <v>NA</v>
      </c>
      <c r="N136" s="1268">
        <f t="shared" si="205"/>
        <v>160</v>
      </c>
      <c r="O136" s="1268">
        <f t="shared" si="205"/>
        <v>0</v>
      </c>
      <c r="P136" s="1268">
        <f t="shared" si="205"/>
        <v>0</v>
      </c>
      <c r="Q136" s="1270">
        <f t="shared" si="226"/>
        <v>61.447671006015618</v>
      </c>
      <c r="R136" s="1271">
        <v>4.0429413628181456E-2</v>
      </c>
      <c r="S136" s="1270">
        <f t="shared" si="227"/>
        <v>9.9301798271457518</v>
      </c>
      <c r="T136" s="1272" t="str">
        <f t="shared" si="188"/>
        <v>Potential Study Results: Cadmus analysis using building modeling to calculate measure percent savings</v>
      </c>
      <c r="U136" s="1273"/>
      <c r="V136" s="1274">
        <f t="shared" si="156"/>
        <v>0.11318733634848846</v>
      </c>
      <c r="W136" s="1275"/>
      <c r="X136" s="1275"/>
      <c r="Y136" s="1275"/>
      <c r="Z136" s="1275"/>
      <c r="AA136" s="1275"/>
      <c r="AB136" s="1275"/>
      <c r="AC136" s="1276">
        <f t="shared" si="225"/>
        <v>142.5</v>
      </c>
      <c r="AD136" s="1276">
        <f t="shared" si="225"/>
        <v>142.5</v>
      </c>
      <c r="AE136" s="1276">
        <f t="shared" si="225"/>
        <v>142.5</v>
      </c>
      <c r="AF136" s="1276">
        <f t="shared" si="225"/>
        <v>142.5</v>
      </c>
      <c r="AG136" s="1276">
        <f t="shared" si="225"/>
        <v>142.5</v>
      </c>
      <c r="AH136" s="1276">
        <f t="shared" si="206"/>
        <v>142.5</v>
      </c>
      <c r="AI136" s="1276">
        <f t="shared" si="206"/>
        <v>142.5</v>
      </c>
      <c r="AJ136" s="1272" t="s">
        <v>374</v>
      </c>
      <c r="AK136" s="1272" t="s">
        <v>375</v>
      </c>
      <c r="AL136" s="1272" t="s">
        <v>376</v>
      </c>
      <c r="AM136" s="1272" t="s">
        <v>2002</v>
      </c>
      <c r="AN136" s="1272" t="s">
        <v>1</v>
      </c>
      <c r="AO136" s="1272" t="s">
        <v>2137</v>
      </c>
      <c r="AP136" s="1272" t="s">
        <v>2133</v>
      </c>
      <c r="AQ136" s="1272" t="s">
        <v>2134</v>
      </c>
      <c r="AR136" s="1266" t="s">
        <v>406</v>
      </c>
      <c r="AS136" s="1266" t="s">
        <v>407</v>
      </c>
      <c r="AT136" s="1266" t="s">
        <v>381</v>
      </c>
      <c r="AU136" s="1272">
        <v>11</v>
      </c>
      <c r="AV136" s="1272">
        <v>11</v>
      </c>
      <c r="AW136" s="1272" t="s">
        <v>2138</v>
      </c>
      <c r="AX136" s="1277">
        <v>1</v>
      </c>
      <c r="AY136" s="1277">
        <v>1</v>
      </c>
      <c r="AZ136" s="1277">
        <v>1</v>
      </c>
      <c r="BA136" s="1278">
        <f t="shared" si="159"/>
        <v>320.4744</v>
      </c>
      <c r="BB136" s="1278">
        <f t="shared" si="207"/>
        <v>320.4744</v>
      </c>
      <c r="BC136" s="1278">
        <f t="shared" si="207"/>
        <v>320.4744</v>
      </c>
      <c r="BD136" s="1278">
        <f t="shared" si="207"/>
        <v>320.4744</v>
      </c>
      <c r="BE136" s="1278">
        <f t="shared" si="161"/>
        <v>320.4744</v>
      </c>
      <c r="BF136" s="1278">
        <f t="shared" si="161"/>
        <v>320.4744</v>
      </c>
      <c r="BG136" s="1278">
        <f t="shared" si="161"/>
        <v>320.4744</v>
      </c>
      <c r="BH136" s="1278">
        <f t="shared" si="162"/>
        <v>0</v>
      </c>
      <c r="BI136" s="1278">
        <f t="shared" si="208"/>
        <v>0</v>
      </c>
      <c r="BJ136" s="1278">
        <f t="shared" si="208"/>
        <v>0</v>
      </c>
      <c r="BK136" s="1278">
        <f t="shared" si="208"/>
        <v>0</v>
      </c>
      <c r="BL136" s="1278">
        <f t="shared" si="208"/>
        <v>0</v>
      </c>
      <c r="BM136" s="1278">
        <f t="shared" si="208"/>
        <v>0</v>
      </c>
      <c r="BN136" s="1278">
        <f t="shared" si="208"/>
        <v>0</v>
      </c>
      <c r="BO136" s="1278">
        <f t="shared" si="164"/>
        <v>160</v>
      </c>
      <c r="BP136" s="1278">
        <f t="shared" si="212"/>
        <v>160</v>
      </c>
      <c r="BQ136" s="1278">
        <f t="shared" si="212"/>
        <v>160</v>
      </c>
      <c r="BR136" s="1278">
        <f t="shared" si="212"/>
        <v>160</v>
      </c>
      <c r="BS136" s="1278">
        <f t="shared" si="212"/>
        <v>160</v>
      </c>
      <c r="BT136" s="1278">
        <f t="shared" si="212"/>
        <v>160</v>
      </c>
      <c r="BU136" s="1278">
        <f t="shared" si="212"/>
        <v>160</v>
      </c>
      <c r="BV136" s="1279">
        <f t="shared" si="189"/>
        <v>0</v>
      </c>
      <c r="BW136" s="1279">
        <f t="shared" si="189"/>
        <v>0</v>
      </c>
      <c r="BX136" s="1279">
        <f t="shared" si="189"/>
        <v>0</v>
      </c>
      <c r="BY136" s="1279">
        <f t="shared" si="189"/>
        <v>0</v>
      </c>
      <c r="BZ136" s="1279">
        <f t="shared" si="189"/>
        <v>0</v>
      </c>
      <c r="CA136" s="1279">
        <f t="shared" si="189"/>
        <v>0</v>
      </c>
      <c r="CB136" s="1279">
        <f t="shared" si="189"/>
        <v>0</v>
      </c>
      <c r="CC136" s="1280">
        <f t="shared" si="167"/>
        <v>61.447671006015618</v>
      </c>
      <c r="CD136" s="1280">
        <f t="shared" si="209"/>
        <v>61.447671006015618</v>
      </c>
      <c r="CE136" s="1280">
        <f t="shared" si="209"/>
        <v>61.447671006015618</v>
      </c>
      <c r="CF136" s="1280">
        <f t="shared" si="209"/>
        <v>61.447671006015618</v>
      </c>
      <c r="CG136" s="1280">
        <f t="shared" si="209"/>
        <v>61.447671006015618</v>
      </c>
      <c r="CH136" s="1280">
        <f t="shared" si="209"/>
        <v>61.447671006015618</v>
      </c>
      <c r="CI136" s="1280">
        <f t="shared" si="209"/>
        <v>61.447671006015618</v>
      </c>
      <c r="CJ136" s="1280">
        <f t="shared" si="169"/>
        <v>4.0429413628181456E-2</v>
      </c>
      <c r="CK136" s="1280">
        <f t="shared" si="210"/>
        <v>4.0429413628181456E-2</v>
      </c>
      <c r="CL136" s="1280">
        <f t="shared" si="210"/>
        <v>4.0429413628181456E-2</v>
      </c>
      <c r="CM136" s="1280">
        <f t="shared" si="210"/>
        <v>4.0429413628181456E-2</v>
      </c>
      <c r="CN136" s="1280">
        <f t="shared" si="210"/>
        <v>4.0429413628181456E-2</v>
      </c>
      <c r="CO136" s="1280">
        <f t="shared" si="210"/>
        <v>4.0429413628181456E-2</v>
      </c>
      <c r="CP136" s="1280">
        <f t="shared" si="210"/>
        <v>4.0429413628181456E-2</v>
      </c>
      <c r="CQ136" s="1280">
        <f t="shared" si="171"/>
        <v>9.9301798271457518</v>
      </c>
      <c r="CR136" s="1280">
        <f t="shared" si="211"/>
        <v>9.9301798271457518</v>
      </c>
      <c r="CS136" s="1280">
        <f t="shared" si="211"/>
        <v>9.9301798271457518</v>
      </c>
      <c r="CT136" s="1280">
        <f t="shared" si="211"/>
        <v>9.9301798271457518</v>
      </c>
      <c r="CU136" s="1280">
        <f t="shared" si="211"/>
        <v>9.9301798271457518</v>
      </c>
      <c r="CV136" s="1280">
        <f t="shared" si="211"/>
        <v>9.9301798271457518</v>
      </c>
      <c r="CW136" s="1280">
        <f t="shared" si="211"/>
        <v>9.9301798271457518</v>
      </c>
      <c r="CX136" s="1281">
        <f t="shared" si="219"/>
        <v>45667.601999999999</v>
      </c>
      <c r="CY136" s="1281">
        <f t="shared" si="219"/>
        <v>45667.601999999999</v>
      </c>
      <c r="CZ136" s="1281">
        <f t="shared" si="219"/>
        <v>45667.601999999999</v>
      </c>
      <c r="DA136" s="1281">
        <f t="shared" si="213"/>
        <v>45667.601999999999</v>
      </c>
      <c r="DB136" s="1281">
        <f t="shared" si="213"/>
        <v>45667.601999999999</v>
      </c>
      <c r="DC136" s="1281">
        <f t="shared" si="213"/>
        <v>45667.601999999999</v>
      </c>
      <c r="DD136" s="1281">
        <f t="shared" si="213"/>
        <v>45667.601999999999</v>
      </c>
      <c r="DE136" s="1281">
        <f t="shared" si="220"/>
        <v>0</v>
      </c>
      <c r="DF136" s="1281">
        <f t="shared" si="220"/>
        <v>0</v>
      </c>
      <c r="DG136" s="1281">
        <f t="shared" si="220"/>
        <v>0</v>
      </c>
      <c r="DH136" s="1281">
        <f t="shared" si="214"/>
        <v>0</v>
      </c>
      <c r="DI136" s="1281">
        <f t="shared" si="214"/>
        <v>0</v>
      </c>
      <c r="DJ136" s="1281">
        <f t="shared" si="214"/>
        <v>0</v>
      </c>
      <c r="DK136" s="1281">
        <f t="shared" si="214"/>
        <v>0</v>
      </c>
      <c r="DL136" s="1281">
        <f t="shared" si="221"/>
        <v>22800</v>
      </c>
      <c r="DM136" s="1281">
        <f t="shared" si="221"/>
        <v>22800</v>
      </c>
      <c r="DN136" s="1281">
        <f t="shared" si="221"/>
        <v>22800</v>
      </c>
      <c r="DO136" s="1281">
        <f t="shared" si="215"/>
        <v>22800</v>
      </c>
      <c r="DP136" s="1281">
        <f t="shared" si="215"/>
        <v>22800</v>
      </c>
      <c r="DQ136" s="1281">
        <f t="shared" si="215"/>
        <v>22800</v>
      </c>
      <c r="DR136" s="1281">
        <f t="shared" si="215"/>
        <v>22800</v>
      </c>
      <c r="DS136" s="1281">
        <f t="shared" si="190"/>
        <v>0</v>
      </c>
      <c r="DT136" s="1281">
        <f t="shared" si="190"/>
        <v>0</v>
      </c>
      <c r="DU136" s="1281">
        <f t="shared" si="190"/>
        <v>0</v>
      </c>
      <c r="DV136" s="1281">
        <f t="shared" si="190"/>
        <v>0</v>
      </c>
      <c r="DW136" s="1281">
        <f t="shared" si="190"/>
        <v>0</v>
      </c>
      <c r="DX136" s="1281">
        <f t="shared" si="190"/>
        <v>0</v>
      </c>
      <c r="DY136" s="1281">
        <f t="shared" si="190"/>
        <v>0</v>
      </c>
      <c r="DZ136" s="1280">
        <f t="shared" si="222"/>
        <v>8756.2931183572255</v>
      </c>
      <c r="EA136" s="1280">
        <f t="shared" si="222"/>
        <v>8756.2931183572255</v>
      </c>
      <c r="EB136" s="1280">
        <f t="shared" si="222"/>
        <v>8756.2931183572255</v>
      </c>
      <c r="EC136" s="1280">
        <f t="shared" si="216"/>
        <v>8756.2931183572255</v>
      </c>
      <c r="ED136" s="1280">
        <f t="shared" si="216"/>
        <v>8756.2931183572255</v>
      </c>
      <c r="EE136" s="1280">
        <f t="shared" si="216"/>
        <v>8756.2931183572255</v>
      </c>
      <c r="EF136" s="1280">
        <f t="shared" si="216"/>
        <v>8756.2931183572255</v>
      </c>
      <c r="EG136" s="1280">
        <f t="shared" si="223"/>
        <v>5.7611914420158579</v>
      </c>
      <c r="EH136" s="1280">
        <f t="shared" si="223"/>
        <v>5.7611914420158579</v>
      </c>
      <c r="EI136" s="1280">
        <f t="shared" si="223"/>
        <v>5.7611914420158579</v>
      </c>
      <c r="EJ136" s="1280">
        <f t="shared" si="217"/>
        <v>5.7611914420158579</v>
      </c>
      <c r="EK136" s="1280">
        <f t="shared" si="217"/>
        <v>5.7611914420158579</v>
      </c>
      <c r="EL136" s="1280">
        <f t="shared" si="217"/>
        <v>5.7611914420158579</v>
      </c>
      <c r="EM136" s="1280">
        <f t="shared" si="217"/>
        <v>5.7611914420158579</v>
      </c>
      <c r="EN136" s="1280">
        <f t="shared" si="224"/>
        <v>1415.0506253682697</v>
      </c>
      <c r="EO136" s="1280">
        <f t="shared" si="224"/>
        <v>1415.0506253682697</v>
      </c>
      <c r="EP136" s="1280">
        <f t="shared" si="224"/>
        <v>1415.0506253682697</v>
      </c>
      <c r="EQ136" s="1280">
        <f t="shared" si="218"/>
        <v>1415.0506253682697</v>
      </c>
      <c r="ER136" s="1280">
        <f t="shared" si="218"/>
        <v>1415.0506253682697</v>
      </c>
      <c r="ES136" s="1280">
        <f t="shared" si="218"/>
        <v>1415.0506253682697</v>
      </c>
      <c r="ET136" s="1280">
        <f t="shared" si="218"/>
        <v>1415.0506253682697</v>
      </c>
      <c r="EU136" s="1282">
        <f t="shared" si="191"/>
        <v>997.5</v>
      </c>
      <c r="EV136" s="1283">
        <f t="shared" si="181"/>
        <v>319673.21400000004</v>
      </c>
      <c r="EW136" s="1283">
        <f t="shared" si="182"/>
        <v>0</v>
      </c>
      <c r="EX136" s="1283">
        <f t="shared" si="183"/>
        <v>159600</v>
      </c>
      <c r="EY136" s="1283">
        <f t="shared" si="184"/>
        <v>0</v>
      </c>
      <c r="EZ136" s="1282">
        <f t="shared" si="185"/>
        <v>61294.051828500567</v>
      </c>
      <c r="FA136" s="1282">
        <f t="shared" si="186"/>
        <v>40.328340094111006</v>
      </c>
      <c r="FB136" s="1284">
        <f t="shared" si="187"/>
        <v>9905.354377577889</v>
      </c>
    </row>
    <row r="137" spans="1:158" s="524" customFormat="1" ht="12.75" hidden="1" customHeight="1">
      <c r="A137" s="1264" t="s">
        <v>267</v>
      </c>
      <c r="B137" s="1265" t="s">
        <v>2225</v>
      </c>
      <c r="C137" s="1264" t="s">
        <v>2139</v>
      </c>
      <c r="D137" s="1266" t="s">
        <v>2124</v>
      </c>
      <c r="E137" s="1264" t="s">
        <v>331</v>
      </c>
      <c r="F137" s="1267" t="s">
        <v>402</v>
      </c>
      <c r="G137" s="1268">
        <f t="shared" si="205"/>
        <v>1881.8047999999999</v>
      </c>
      <c r="H137" s="1268">
        <f t="shared" si="205"/>
        <v>0</v>
      </c>
      <c r="I137" s="1268">
        <f t="shared" si="205"/>
        <v>1881.8047999999999</v>
      </c>
      <c r="J137" s="1268">
        <f t="shared" si="205"/>
        <v>0</v>
      </c>
      <c r="K137" s="1268">
        <f t="shared" si="205"/>
        <v>940.90239999999994</v>
      </c>
      <c r="L137" s="1269" t="str">
        <f t="shared" si="205"/>
        <v>RS Means 2009</v>
      </c>
      <c r="M137" s="1268" t="str">
        <f t="shared" si="205"/>
        <v>NA</v>
      </c>
      <c r="N137" s="1268">
        <f t="shared" si="205"/>
        <v>300</v>
      </c>
      <c r="O137" s="1268">
        <f t="shared" si="205"/>
        <v>0</v>
      </c>
      <c r="P137" s="1268">
        <f t="shared" si="205"/>
        <v>0</v>
      </c>
      <c r="Q137" s="1270">
        <f t="shared" si="226"/>
        <v>837.97988239814572</v>
      </c>
      <c r="R137" s="1271">
        <v>0.3829215253219283</v>
      </c>
      <c r="S137" s="1270">
        <f t="shared" si="227"/>
        <v>133.89689459722857</v>
      </c>
      <c r="T137" s="1272" t="str">
        <f t="shared" si="188"/>
        <v>Potential Study Results: Engineering Calculation</v>
      </c>
      <c r="U137" s="1273"/>
      <c r="V137" s="1274">
        <f t="shared" si="156"/>
        <v>1.4282313734825041E-3</v>
      </c>
      <c r="W137" s="1275"/>
      <c r="X137" s="1275"/>
      <c r="Y137" s="1275"/>
      <c r="Z137" s="1275"/>
      <c r="AA137" s="1275"/>
      <c r="AB137" s="1275"/>
      <c r="AC137" s="1276">
        <f t="shared" si="225"/>
        <v>2.5</v>
      </c>
      <c r="AD137" s="1276">
        <f t="shared" si="225"/>
        <v>2.5</v>
      </c>
      <c r="AE137" s="1276">
        <f t="shared" si="225"/>
        <v>2.5</v>
      </c>
      <c r="AF137" s="1276">
        <f t="shared" si="225"/>
        <v>2.5</v>
      </c>
      <c r="AG137" s="1276">
        <f t="shared" si="225"/>
        <v>2.5</v>
      </c>
      <c r="AH137" s="1276">
        <f t="shared" si="206"/>
        <v>2.5</v>
      </c>
      <c r="AI137" s="1276">
        <f t="shared" si="206"/>
        <v>2.5</v>
      </c>
      <c r="AJ137" s="1272" t="s">
        <v>374</v>
      </c>
      <c r="AK137" s="1272" t="s">
        <v>375</v>
      </c>
      <c r="AL137" s="1272" t="s">
        <v>376</v>
      </c>
      <c r="AM137" s="1272" t="s">
        <v>2002</v>
      </c>
      <c r="AN137" s="1272" t="s">
        <v>1</v>
      </c>
      <c r="AO137" s="1272" t="s">
        <v>2140</v>
      </c>
      <c r="AP137" s="1272" t="s">
        <v>2139</v>
      </c>
      <c r="AQ137" s="1272" t="s">
        <v>2124</v>
      </c>
      <c r="AR137" s="1266" t="s">
        <v>406</v>
      </c>
      <c r="AS137" s="1266" t="s">
        <v>407</v>
      </c>
      <c r="AT137" s="1266" t="s">
        <v>381</v>
      </c>
      <c r="AU137" s="1272">
        <v>20</v>
      </c>
      <c r="AV137" s="1272">
        <v>20</v>
      </c>
      <c r="AW137" s="1272" t="s">
        <v>2141</v>
      </c>
      <c r="AX137" s="1277">
        <v>1</v>
      </c>
      <c r="AY137" s="1277">
        <v>1</v>
      </c>
      <c r="AZ137" s="1277">
        <v>1</v>
      </c>
      <c r="BA137" s="1278">
        <f t="shared" si="159"/>
        <v>1881.8047999999999</v>
      </c>
      <c r="BB137" s="1278">
        <f t="shared" si="207"/>
        <v>1881.8047999999999</v>
      </c>
      <c r="BC137" s="1278">
        <f t="shared" si="207"/>
        <v>1881.8047999999999</v>
      </c>
      <c r="BD137" s="1278">
        <f t="shared" si="207"/>
        <v>1881.8047999999999</v>
      </c>
      <c r="BE137" s="1278">
        <f t="shared" si="161"/>
        <v>1881.8047999999999</v>
      </c>
      <c r="BF137" s="1278">
        <f t="shared" si="161"/>
        <v>1881.8047999999999</v>
      </c>
      <c r="BG137" s="1278">
        <f t="shared" si="161"/>
        <v>1881.8047999999999</v>
      </c>
      <c r="BH137" s="1278">
        <f t="shared" si="162"/>
        <v>0</v>
      </c>
      <c r="BI137" s="1278">
        <f t="shared" si="208"/>
        <v>0</v>
      </c>
      <c r="BJ137" s="1278">
        <f t="shared" si="208"/>
        <v>0</v>
      </c>
      <c r="BK137" s="1278">
        <f t="shared" si="208"/>
        <v>0</v>
      </c>
      <c r="BL137" s="1278">
        <f t="shared" si="208"/>
        <v>0</v>
      </c>
      <c r="BM137" s="1278">
        <f t="shared" si="208"/>
        <v>0</v>
      </c>
      <c r="BN137" s="1278">
        <f t="shared" si="208"/>
        <v>0</v>
      </c>
      <c r="BO137" s="1278">
        <f t="shared" si="164"/>
        <v>300</v>
      </c>
      <c r="BP137" s="1278">
        <f t="shared" si="212"/>
        <v>300</v>
      </c>
      <c r="BQ137" s="1278">
        <f t="shared" si="212"/>
        <v>300</v>
      </c>
      <c r="BR137" s="1278">
        <f t="shared" si="212"/>
        <v>300</v>
      </c>
      <c r="BS137" s="1278">
        <f t="shared" si="212"/>
        <v>300</v>
      </c>
      <c r="BT137" s="1278">
        <f t="shared" si="212"/>
        <v>300</v>
      </c>
      <c r="BU137" s="1278">
        <f t="shared" si="212"/>
        <v>300</v>
      </c>
      <c r="BV137" s="1279">
        <f t="shared" si="189"/>
        <v>0</v>
      </c>
      <c r="BW137" s="1279">
        <f t="shared" si="189"/>
        <v>0</v>
      </c>
      <c r="BX137" s="1279">
        <f t="shared" si="189"/>
        <v>0</v>
      </c>
      <c r="BY137" s="1279">
        <f t="shared" si="189"/>
        <v>0</v>
      </c>
      <c r="BZ137" s="1279">
        <f t="shared" si="189"/>
        <v>0</v>
      </c>
      <c r="CA137" s="1279">
        <f t="shared" si="189"/>
        <v>0</v>
      </c>
      <c r="CB137" s="1279">
        <f t="shared" si="189"/>
        <v>0</v>
      </c>
      <c r="CC137" s="1280">
        <f t="shared" si="167"/>
        <v>837.97988239814572</v>
      </c>
      <c r="CD137" s="1280">
        <f t="shared" si="209"/>
        <v>837.97988239814572</v>
      </c>
      <c r="CE137" s="1280">
        <f t="shared" si="209"/>
        <v>837.97988239814572</v>
      </c>
      <c r="CF137" s="1280">
        <f t="shared" si="209"/>
        <v>837.97988239814572</v>
      </c>
      <c r="CG137" s="1280">
        <f t="shared" si="209"/>
        <v>837.97988239814572</v>
      </c>
      <c r="CH137" s="1280">
        <f t="shared" si="209"/>
        <v>837.97988239814572</v>
      </c>
      <c r="CI137" s="1280">
        <f t="shared" si="209"/>
        <v>837.97988239814572</v>
      </c>
      <c r="CJ137" s="1280">
        <f t="shared" si="169"/>
        <v>0.3829215253219283</v>
      </c>
      <c r="CK137" s="1280">
        <f t="shared" si="210"/>
        <v>0.3829215253219283</v>
      </c>
      <c r="CL137" s="1280">
        <f t="shared" si="210"/>
        <v>0.3829215253219283</v>
      </c>
      <c r="CM137" s="1280">
        <f t="shared" si="210"/>
        <v>0.3829215253219283</v>
      </c>
      <c r="CN137" s="1280">
        <f t="shared" si="210"/>
        <v>0.3829215253219283</v>
      </c>
      <c r="CO137" s="1280">
        <f t="shared" si="210"/>
        <v>0.3829215253219283</v>
      </c>
      <c r="CP137" s="1280">
        <f t="shared" si="210"/>
        <v>0.3829215253219283</v>
      </c>
      <c r="CQ137" s="1280">
        <f t="shared" si="171"/>
        <v>133.89689459722857</v>
      </c>
      <c r="CR137" s="1280">
        <f t="shared" si="211"/>
        <v>133.89689459722857</v>
      </c>
      <c r="CS137" s="1280">
        <f t="shared" si="211"/>
        <v>133.89689459722857</v>
      </c>
      <c r="CT137" s="1280">
        <f t="shared" si="211"/>
        <v>133.89689459722857</v>
      </c>
      <c r="CU137" s="1280">
        <f t="shared" si="211"/>
        <v>133.89689459722857</v>
      </c>
      <c r="CV137" s="1280">
        <f t="shared" si="211"/>
        <v>133.89689459722857</v>
      </c>
      <c r="CW137" s="1280">
        <f t="shared" si="211"/>
        <v>133.89689459722857</v>
      </c>
      <c r="CX137" s="1281">
        <f t="shared" si="219"/>
        <v>4704.5119999999997</v>
      </c>
      <c r="CY137" s="1281">
        <f t="shared" si="219"/>
        <v>4704.5119999999997</v>
      </c>
      <c r="CZ137" s="1281">
        <f t="shared" si="219"/>
        <v>4704.5119999999997</v>
      </c>
      <c r="DA137" s="1281">
        <f t="shared" si="213"/>
        <v>4704.5119999999997</v>
      </c>
      <c r="DB137" s="1281">
        <f t="shared" si="213"/>
        <v>4704.5119999999997</v>
      </c>
      <c r="DC137" s="1281">
        <f t="shared" si="213"/>
        <v>4704.5119999999997</v>
      </c>
      <c r="DD137" s="1281">
        <f t="shared" si="213"/>
        <v>4704.5119999999997</v>
      </c>
      <c r="DE137" s="1281">
        <f t="shared" si="220"/>
        <v>0</v>
      </c>
      <c r="DF137" s="1281">
        <f t="shared" si="220"/>
        <v>0</v>
      </c>
      <c r="DG137" s="1281">
        <f t="shared" si="220"/>
        <v>0</v>
      </c>
      <c r="DH137" s="1281">
        <f t="shared" si="214"/>
        <v>0</v>
      </c>
      <c r="DI137" s="1281">
        <f t="shared" si="214"/>
        <v>0</v>
      </c>
      <c r="DJ137" s="1281">
        <f t="shared" si="214"/>
        <v>0</v>
      </c>
      <c r="DK137" s="1281">
        <f t="shared" si="214"/>
        <v>0</v>
      </c>
      <c r="DL137" s="1281">
        <f t="shared" si="221"/>
        <v>750</v>
      </c>
      <c r="DM137" s="1281">
        <f t="shared" si="221"/>
        <v>750</v>
      </c>
      <c r="DN137" s="1281">
        <f t="shared" si="221"/>
        <v>750</v>
      </c>
      <c r="DO137" s="1281">
        <f t="shared" si="215"/>
        <v>750</v>
      </c>
      <c r="DP137" s="1281">
        <f t="shared" si="215"/>
        <v>750</v>
      </c>
      <c r="DQ137" s="1281">
        <f t="shared" si="215"/>
        <v>750</v>
      </c>
      <c r="DR137" s="1281">
        <f t="shared" si="215"/>
        <v>750</v>
      </c>
      <c r="DS137" s="1281">
        <f t="shared" si="190"/>
        <v>0</v>
      </c>
      <c r="DT137" s="1281">
        <f t="shared" si="190"/>
        <v>0</v>
      </c>
      <c r="DU137" s="1281">
        <f t="shared" si="190"/>
        <v>0</v>
      </c>
      <c r="DV137" s="1281">
        <f t="shared" si="190"/>
        <v>0</v>
      </c>
      <c r="DW137" s="1281">
        <f t="shared" si="190"/>
        <v>0</v>
      </c>
      <c r="DX137" s="1281">
        <f t="shared" ref="DX137:DY139" si="228">CA137*AH137</f>
        <v>0</v>
      </c>
      <c r="DY137" s="1281">
        <f t="shared" si="228"/>
        <v>0</v>
      </c>
      <c r="DZ137" s="1280">
        <f t="shared" si="222"/>
        <v>2094.9497059953642</v>
      </c>
      <c r="EA137" s="1280">
        <f t="shared" si="222"/>
        <v>2094.9497059953642</v>
      </c>
      <c r="EB137" s="1280">
        <f t="shared" si="222"/>
        <v>2094.9497059953642</v>
      </c>
      <c r="EC137" s="1280">
        <f t="shared" si="216"/>
        <v>2094.9497059953642</v>
      </c>
      <c r="ED137" s="1280">
        <f t="shared" si="216"/>
        <v>2094.9497059953642</v>
      </c>
      <c r="EE137" s="1280">
        <f t="shared" si="216"/>
        <v>2094.9497059953642</v>
      </c>
      <c r="EF137" s="1280">
        <f t="shared" si="216"/>
        <v>2094.9497059953642</v>
      </c>
      <c r="EG137" s="1280">
        <f t="shared" si="223"/>
        <v>0.95730381330482073</v>
      </c>
      <c r="EH137" s="1280">
        <f t="shared" si="223"/>
        <v>0.95730381330482073</v>
      </c>
      <c r="EI137" s="1280">
        <f t="shared" si="223"/>
        <v>0.95730381330482073</v>
      </c>
      <c r="EJ137" s="1280">
        <f t="shared" si="217"/>
        <v>0.95730381330482073</v>
      </c>
      <c r="EK137" s="1280">
        <f t="shared" si="217"/>
        <v>0.95730381330482073</v>
      </c>
      <c r="EL137" s="1280">
        <f t="shared" si="217"/>
        <v>0.95730381330482073</v>
      </c>
      <c r="EM137" s="1280">
        <f t="shared" si="217"/>
        <v>0.95730381330482073</v>
      </c>
      <c r="EN137" s="1280">
        <f t="shared" si="224"/>
        <v>334.7422364930714</v>
      </c>
      <c r="EO137" s="1280">
        <f t="shared" si="224"/>
        <v>334.7422364930714</v>
      </c>
      <c r="EP137" s="1280">
        <f t="shared" si="224"/>
        <v>334.7422364930714</v>
      </c>
      <c r="EQ137" s="1280">
        <f t="shared" si="218"/>
        <v>334.7422364930714</v>
      </c>
      <c r="ER137" s="1280">
        <f t="shared" si="218"/>
        <v>334.7422364930714</v>
      </c>
      <c r="ES137" s="1280">
        <f t="shared" si="218"/>
        <v>334.7422364930714</v>
      </c>
      <c r="ET137" s="1280">
        <f t="shared" si="218"/>
        <v>334.7422364930714</v>
      </c>
      <c r="EU137" s="1282">
        <f t="shared" si="191"/>
        <v>17.5</v>
      </c>
      <c r="EV137" s="1283">
        <f t="shared" si="181"/>
        <v>32931.583999999995</v>
      </c>
      <c r="EW137" s="1283">
        <f t="shared" si="182"/>
        <v>0</v>
      </c>
      <c r="EX137" s="1283">
        <f t="shared" si="183"/>
        <v>5250</v>
      </c>
      <c r="EY137" s="1283">
        <f t="shared" si="184"/>
        <v>0</v>
      </c>
      <c r="EZ137" s="1282">
        <f t="shared" si="185"/>
        <v>14664.647941967551</v>
      </c>
      <c r="FA137" s="1282">
        <f t="shared" si="186"/>
        <v>6.7011266931337445</v>
      </c>
      <c r="FB137" s="1284">
        <f t="shared" si="187"/>
        <v>2343.1956554515</v>
      </c>
    </row>
    <row r="138" spans="1:158" s="524" customFormat="1" ht="12.75" hidden="1" customHeight="1">
      <c r="A138" s="1264" t="s">
        <v>268</v>
      </c>
      <c r="B138" s="1265" t="s">
        <v>2226</v>
      </c>
      <c r="C138" s="1264" t="s">
        <v>2142</v>
      </c>
      <c r="D138" s="1266" t="s">
        <v>2124</v>
      </c>
      <c r="E138" s="1264" t="s">
        <v>331</v>
      </c>
      <c r="F138" s="1267" t="s">
        <v>402</v>
      </c>
      <c r="G138" s="1268">
        <f t="shared" si="205"/>
        <v>1014.4551</v>
      </c>
      <c r="H138" s="1268">
        <f t="shared" si="205"/>
        <v>0</v>
      </c>
      <c r="I138" s="1268">
        <f t="shared" si="205"/>
        <v>1014.4551</v>
      </c>
      <c r="J138" s="1268">
        <f t="shared" si="205"/>
        <v>0</v>
      </c>
      <c r="K138" s="1268">
        <f t="shared" si="205"/>
        <v>507.22755000000001</v>
      </c>
      <c r="L138" s="1269" t="str">
        <f t="shared" si="205"/>
        <v>RS Means 2009</v>
      </c>
      <c r="M138" s="1268" t="str">
        <f t="shared" si="205"/>
        <v>NA</v>
      </c>
      <c r="N138" s="1268">
        <f t="shared" si="205"/>
        <v>300</v>
      </c>
      <c r="O138" s="1268">
        <f t="shared" si="205"/>
        <v>0</v>
      </c>
      <c r="P138" s="1268">
        <f t="shared" si="205"/>
        <v>0</v>
      </c>
      <c r="Q138" s="1270">
        <v>139.02843860480436</v>
      </c>
      <c r="R138" s="1271">
        <v>0</v>
      </c>
      <c r="S138" s="1270">
        <v>89.130264422696484</v>
      </c>
      <c r="T138" s="1272" t="str">
        <f t="shared" si="188"/>
        <v>Potential Study Results: Engineering Calculation</v>
      </c>
      <c r="U138" s="1273"/>
      <c r="V138" s="1274">
        <f t="shared" si="156"/>
        <v>2.8564627469650082E-3</v>
      </c>
      <c r="W138" s="1275"/>
      <c r="X138" s="1275"/>
      <c r="Y138" s="1275"/>
      <c r="Z138" s="1275"/>
      <c r="AA138" s="1275"/>
      <c r="AB138" s="1275"/>
      <c r="AC138" s="1276">
        <f t="shared" si="225"/>
        <v>2.5</v>
      </c>
      <c r="AD138" s="1276">
        <f t="shared" si="225"/>
        <v>2.5</v>
      </c>
      <c r="AE138" s="1276">
        <f t="shared" si="225"/>
        <v>2.5</v>
      </c>
      <c r="AF138" s="1276">
        <f t="shared" si="225"/>
        <v>2.5</v>
      </c>
      <c r="AG138" s="1276">
        <f t="shared" si="225"/>
        <v>2.5</v>
      </c>
      <c r="AH138" s="1276">
        <f t="shared" si="206"/>
        <v>2.5</v>
      </c>
      <c r="AI138" s="1276">
        <f t="shared" si="206"/>
        <v>2.5</v>
      </c>
      <c r="AJ138" s="1272" t="s">
        <v>2013</v>
      </c>
      <c r="AK138" s="1272" t="s">
        <v>375</v>
      </c>
      <c r="AL138" s="1272" t="s">
        <v>376</v>
      </c>
      <c r="AM138" s="1272" t="s">
        <v>2082</v>
      </c>
      <c r="AN138" s="1272" t="s">
        <v>1</v>
      </c>
      <c r="AO138" s="1272" t="s">
        <v>2143</v>
      </c>
      <c r="AP138" s="1272" t="s">
        <v>2142</v>
      </c>
      <c r="AQ138" s="1272" t="s">
        <v>2124</v>
      </c>
      <c r="AR138" s="1266" t="s">
        <v>1944</v>
      </c>
      <c r="AS138" s="1266" t="s">
        <v>407</v>
      </c>
      <c r="AT138" s="1266" t="s">
        <v>381</v>
      </c>
      <c r="AU138" s="1272">
        <v>20</v>
      </c>
      <c r="AV138" s="1272">
        <v>20</v>
      </c>
      <c r="AW138" s="1272" t="s">
        <v>2144</v>
      </c>
      <c r="AX138" s="1277">
        <v>1</v>
      </c>
      <c r="AY138" s="1277">
        <v>1</v>
      </c>
      <c r="AZ138" s="1277">
        <v>1</v>
      </c>
      <c r="BA138" s="1278">
        <f t="shared" si="159"/>
        <v>1014.4551</v>
      </c>
      <c r="BB138" s="1278">
        <f t="shared" si="207"/>
        <v>1014.4551</v>
      </c>
      <c r="BC138" s="1278">
        <f t="shared" si="207"/>
        <v>1014.4551</v>
      </c>
      <c r="BD138" s="1278">
        <f t="shared" si="207"/>
        <v>1014.4551</v>
      </c>
      <c r="BE138" s="1278">
        <f t="shared" si="161"/>
        <v>1014.4551</v>
      </c>
      <c r="BF138" s="1278">
        <f t="shared" si="161"/>
        <v>1014.4551</v>
      </c>
      <c r="BG138" s="1278">
        <f t="shared" si="161"/>
        <v>1014.4551</v>
      </c>
      <c r="BH138" s="1278">
        <f t="shared" si="162"/>
        <v>0</v>
      </c>
      <c r="BI138" s="1278">
        <f t="shared" si="208"/>
        <v>0</v>
      </c>
      <c r="BJ138" s="1278">
        <f t="shared" si="208"/>
        <v>0</v>
      </c>
      <c r="BK138" s="1278">
        <f t="shared" si="208"/>
        <v>0</v>
      </c>
      <c r="BL138" s="1278">
        <f t="shared" si="208"/>
        <v>0</v>
      </c>
      <c r="BM138" s="1278">
        <f t="shared" si="208"/>
        <v>0</v>
      </c>
      <c r="BN138" s="1278">
        <f t="shared" si="208"/>
        <v>0</v>
      </c>
      <c r="BO138" s="1278">
        <f t="shared" si="164"/>
        <v>300</v>
      </c>
      <c r="BP138" s="1278">
        <f t="shared" si="212"/>
        <v>300</v>
      </c>
      <c r="BQ138" s="1278">
        <f t="shared" si="212"/>
        <v>300</v>
      </c>
      <c r="BR138" s="1278">
        <f t="shared" si="212"/>
        <v>300</v>
      </c>
      <c r="BS138" s="1278">
        <f t="shared" si="212"/>
        <v>300</v>
      </c>
      <c r="BT138" s="1278">
        <f t="shared" si="212"/>
        <v>300</v>
      </c>
      <c r="BU138" s="1278">
        <f t="shared" si="212"/>
        <v>300</v>
      </c>
      <c r="BV138" s="1279">
        <f t="shared" si="189"/>
        <v>0</v>
      </c>
      <c r="BW138" s="1279">
        <f t="shared" si="189"/>
        <v>0</v>
      </c>
      <c r="BX138" s="1279">
        <f t="shared" si="189"/>
        <v>0</v>
      </c>
      <c r="BY138" s="1279">
        <f t="shared" si="189"/>
        <v>0</v>
      </c>
      <c r="BZ138" s="1279">
        <f t="shared" si="189"/>
        <v>0</v>
      </c>
      <c r="CA138" s="1279">
        <f t="shared" si="189"/>
        <v>0</v>
      </c>
      <c r="CB138" s="1279">
        <f t="shared" si="189"/>
        <v>0</v>
      </c>
      <c r="CC138" s="1280">
        <f t="shared" si="167"/>
        <v>139.02843860480436</v>
      </c>
      <c r="CD138" s="1280">
        <f t="shared" si="209"/>
        <v>139.02843860480436</v>
      </c>
      <c r="CE138" s="1280">
        <f t="shared" si="209"/>
        <v>139.02843860480436</v>
      </c>
      <c r="CF138" s="1280">
        <f t="shared" si="209"/>
        <v>139.02843860480436</v>
      </c>
      <c r="CG138" s="1280">
        <f t="shared" si="209"/>
        <v>139.02843860480436</v>
      </c>
      <c r="CH138" s="1280">
        <f t="shared" si="209"/>
        <v>139.02843860480436</v>
      </c>
      <c r="CI138" s="1280">
        <f t="shared" si="209"/>
        <v>139.02843860480436</v>
      </c>
      <c r="CJ138" s="1280">
        <f t="shared" si="169"/>
        <v>0</v>
      </c>
      <c r="CK138" s="1280">
        <f t="shared" si="210"/>
        <v>0</v>
      </c>
      <c r="CL138" s="1280">
        <f t="shared" si="210"/>
        <v>0</v>
      </c>
      <c r="CM138" s="1280">
        <f t="shared" si="210"/>
        <v>0</v>
      </c>
      <c r="CN138" s="1280">
        <f t="shared" si="210"/>
        <v>0</v>
      </c>
      <c r="CO138" s="1280">
        <f t="shared" si="210"/>
        <v>0</v>
      </c>
      <c r="CP138" s="1280">
        <f t="shared" si="210"/>
        <v>0</v>
      </c>
      <c r="CQ138" s="1280">
        <f t="shared" si="171"/>
        <v>89.130264422696484</v>
      </c>
      <c r="CR138" s="1280">
        <f t="shared" si="211"/>
        <v>89.130264422696484</v>
      </c>
      <c r="CS138" s="1280">
        <f t="shared" si="211"/>
        <v>89.130264422696484</v>
      </c>
      <c r="CT138" s="1280">
        <f t="shared" si="211"/>
        <v>89.130264422696484</v>
      </c>
      <c r="CU138" s="1280">
        <f t="shared" si="211"/>
        <v>89.130264422696484</v>
      </c>
      <c r="CV138" s="1280">
        <f t="shared" si="211"/>
        <v>89.130264422696484</v>
      </c>
      <c r="CW138" s="1280">
        <f t="shared" si="211"/>
        <v>89.130264422696484</v>
      </c>
      <c r="CX138" s="1281">
        <f t="shared" si="219"/>
        <v>2536.1377499999999</v>
      </c>
      <c r="CY138" s="1281">
        <f t="shared" si="219"/>
        <v>2536.1377499999999</v>
      </c>
      <c r="CZ138" s="1281">
        <f t="shared" si="219"/>
        <v>2536.1377499999999</v>
      </c>
      <c r="DA138" s="1281">
        <f t="shared" si="213"/>
        <v>2536.1377499999999</v>
      </c>
      <c r="DB138" s="1281">
        <f t="shared" si="213"/>
        <v>2536.1377499999999</v>
      </c>
      <c r="DC138" s="1281">
        <f t="shared" si="213"/>
        <v>2536.1377499999999</v>
      </c>
      <c r="DD138" s="1281">
        <f t="shared" si="213"/>
        <v>2536.1377499999999</v>
      </c>
      <c r="DE138" s="1281">
        <f t="shared" si="220"/>
        <v>0</v>
      </c>
      <c r="DF138" s="1281">
        <f t="shared" si="220"/>
        <v>0</v>
      </c>
      <c r="DG138" s="1281">
        <f t="shared" si="220"/>
        <v>0</v>
      </c>
      <c r="DH138" s="1281">
        <f t="shared" si="214"/>
        <v>0</v>
      </c>
      <c r="DI138" s="1281">
        <f t="shared" si="214"/>
        <v>0</v>
      </c>
      <c r="DJ138" s="1281">
        <f t="shared" si="214"/>
        <v>0</v>
      </c>
      <c r="DK138" s="1281">
        <f t="shared" si="214"/>
        <v>0</v>
      </c>
      <c r="DL138" s="1281">
        <f t="shared" si="221"/>
        <v>750</v>
      </c>
      <c r="DM138" s="1281">
        <f t="shared" si="221"/>
        <v>750</v>
      </c>
      <c r="DN138" s="1281">
        <f t="shared" si="221"/>
        <v>750</v>
      </c>
      <c r="DO138" s="1281">
        <f t="shared" si="215"/>
        <v>750</v>
      </c>
      <c r="DP138" s="1281">
        <f t="shared" si="215"/>
        <v>750</v>
      </c>
      <c r="DQ138" s="1281">
        <f t="shared" si="215"/>
        <v>750</v>
      </c>
      <c r="DR138" s="1281">
        <f t="shared" si="215"/>
        <v>750</v>
      </c>
      <c r="DS138" s="1281">
        <f t="shared" ref="DS138:DW139" si="229">BV138*AC138</f>
        <v>0</v>
      </c>
      <c r="DT138" s="1281">
        <f t="shared" si="229"/>
        <v>0</v>
      </c>
      <c r="DU138" s="1281">
        <f t="shared" si="229"/>
        <v>0</v>
      </c>
      <c r="DV138" s="1281">
        <f t="shared" si="229"/>
        <v>0</v>
      </c>
      <c r="DW138" s="1281">
        <f t="shared" si="229"/>
        <v>0</v>
      </c>
      <c r="DX138" s="1281">
        <f t="shared" si="228"/>
        <v>0</v>
      </c>
      <c r="DY138" s="1281">
        <f t="shared" si="228"/>
        <v>0</v>
      </c>
      <c r="DZ138" s="1280">
        <f t="shared" si="222"/>
        <v>347.57109651201091</v>
      </c>
      <c r="EA138" s="1280">
        <f t="shared" si="222"/>
        <v>347.57109651201091</v>
      </c>
      <c r="EB138" s="1280">
        <f t="shared" si="222"/>
        <v>347.57109651201091</v>
      </c>
      <c r="EC138" s="1280">
        <f t="shared" si="216"/>
        <v>347.57109651201091</v>
      </c>
      <c r="ED138" s="1280">
        <f t="shared" si="216"/>
        <v>347.57109651201091</v>
      </c>
      <c r="EE138" s="1280">
        <f t="shared" si="216"/>
        <v>347.57109651201091</v>
      </c>
      <c r="EF138" s="1280">
        <f t="shared" si="216"/>
        <v>347.57109651201091</v>
      </c>
      <c r="EG138" s="1280">
        <f t="shared" si="223"/>
        <v>0</v>
      </c>
      <c r="EH138" s="1280">
        <f t="shared" si="223"/>
        <v>0</v>
      </c>
      <c r="EI138" s="1280">
        <f t="shared" si="223"/>
        <v>0</v>
      </c>
      <c r="EJ138" s="1280">
        <f t="shared" si="217"/>
        <v>0</v>
      </c>
      <c r="EK138" s="1280">
        <f t="shared" si="217"/>
        <v>0</v>
      </c>
      <c r="EL138" s="1280">
        <f t="shared" si="217"/>
        <v>0</v>
      </c>
      <c r="EM138" s="1280">
        <f t="shared" si="217"/>
        <v>0</v>
      </c>
      <c r="EN138" s="1280">
        <f t="shared" si="224"/>
        <v>222.82566105674121</v>
      </c>
      <c r="EO138" s="1280">
        <f t="shared" si="224"/>
        <v>222.82566105674121</v>
      </c>
      <c r="EP138" s="1280">
        <f t="shared" si="224"/>
        <v>222.82566105674121</v>
      </c>
      <c r="EQ138" s="1280">
        <f t="shared" si="218"/>
        <v>222.82566105674121</v>
      </c>
      <c r="ER138" s="1280">
        <f t="shared" si="218"/>
        <v>222.82566105674121</v>
      </c>
      <c r="ES138" s="1280">
        <f t="shared" si="218"/>
        <v>222.82566105674121</v>
      </c>
      <c r="ET138" s="1280">
        <f t="shared" si="218"/>
        <v>222.82566105674121</v>
      </c>
      <c r="EU138" s="1282">
        <f t="shared" si="191"/>
        <v>17.5</v>
      </c>
      <c r="EV138" s="1283">
        <f t="shared" si="181"/>
        <v>17752.964249999997</v>
      </c>
      <c r="EW138" s="1283">
        <f t="shared" si="182"/>
        <v>0</v>
      </c>
      <c r="EX138" s="1283">
        <f t="shared" si="183"/>
        <v>5250</v>
      </c>
      <c r="EY138" s="1283">
        <f t="shared" si="184"/>
        <v>0</v>
      </c>
      <c r="EZ138" s="1282">
        <f t="shared" si="185"/>
        <v>2432.9976755840767</v>
      </c>
      <c r="FA138" s="1282">
        <f t="shared" si="186"/>
        <v>0</v>
      </c>
      <c r="FB138" s="1284">
        <f t="shared" si="187"/>
        <v>1559.7796273971885</v>
      </c>
    </row>
    <row r="139" spans="1:158" s="524" customFormat="1" ht="12.75" hidden="1" customHeight="1">
      <c r="A139" s="1264" t="s">
        <v>269</v>
      </c>
      <c r="B139" s="1265" t="s">
        <v>2227</v>
      </c>
      <c r="C139" s="1264" t="s">
        <v>2145</v>
      </c>
      <c r="D139" s="1266" t="s">
        <v>2124</v>
      </c>
      <c r="E139" s="1264" t="s">
        <v>331</v>
      </c>
      <c r="F139" s="1267" t="s">
        <v>402</v>
      </c>
      <c r="G139" s="1268">
        <f t="shared" si="205"/>
        <v>528.24879999999996</v>
      </c>
      <c r="H139" s="1268">
        <f t="shared" si="205"/>
        <v>0</v>
      </c>
      <c r="I139" s="1268">
        <f t="shared" si="205"/>
        <v>528.24879999999996</v>
      </c>
      <c r="J139" s="1268">
        <f t="shared" si="205"/>
        <v>0</v>
      </c>
      <c r="K139" s="1268">
        <f t="shared" si="205"/>
        <v>264.12439999999998</v>
      </c>
      <c r="L139" s="1269" t="str">
        <f t="shared" si="205"/>
        <v>RS Means 2012</v>
      </c>
      <c r="M139" s="1268" t="str">
        <f t="shared" si="205"/>
        <v>NA</v>
      </c>
      <c r="N139" s="1268">
        <f t="shared" si="205"/>
        <v>260</v>
      </c>
      <c r="O139" s="1268">
        <f t="shared" si="205"/>
        <v>0</v>
      </c>
      <c r="P139" s="1268">
        <f t="shared" si="205"/>
        <v>0</v>
      </c>
      <c r="Q139" s="1270">
        <v>161.34211715753887</v>
      </c>
      <c r="R139" s="1271">
        <v>0</v>
      </c>
      <c r="S139" s="1270">
        <v>72.031707141617332</v>
      </c>
      <c r="T139" s="1272" t="str">
        <f t="shared" si="188"/>
        <v>Potential Study Results: Engineering Calculation</v>
      </c>
      <c r="U139" s="1273"/>
      <c r="V139" s="1274">
        <f t="shared" si="156"/>
        <v>3.5705784337062603E-4</v>
      </c>
      <c r="W139" s="1275"/>
      <c r="X139" s="1275"/>
      <c r="Y139" s="1275"/>
      <c r="Z139" s="1275"/>
      <c r="AA139" s="1275"/>
      <c r="AB139" s="1275"/>
      <c r="AC139" s="1276">
        <f t="shared" si="225"/>
        <v>0.5</v>
      </c>
      <c r="AD139" s="1276">
        <f t="shared" si="225"/>
        <v>0.5</v>
      </c>
      <c r="AE139" s="1276">
        <f t="shared" si="225"/>
        <v>0.5</v>
      </c>
      <c r="AF139" s="1276">
        <f t="shared" si="225"/>
        <v>0.5</v>
      </c>
      <c r="AG139" s="1276">
        <f t="shared" si="225"/>
        <v>0.5</v>
      </c>
      <c r="AH139" s="1276">
        <f t="shared" si="206"/>
        <v>0.5</v>
      </c>
      <c r="AI139" s="1276">
        <f t="shared" si="206"/>
        <v>0.5</v>
      </c>
      <c r="AJ139" s="1272" t="s">
        <v>2013</v>
      </c>
      <c r="AK139" s="1272" t="s">
        <v>375</v>
      </c>
      <c r="AL139" s="1272" t="s">
        <v>376</v>
      </c>
      <c r="AM139" s="1272" t="s">
        <v>2082</v>
      </c>
      <c r="AN139" s="1272" t="s">
        <v>1</v>
      </c>
      <c r="AO139" s="1272" t="s">
        <v>2147</v>
      </c>
      <c r="AP139" s="1272" t="s">
        <v>2145</v>
      </c>
      <c r="AQ139" s="1272" t="s">
        <v>2124</v>
      </c>
      <c r="AR139" s="1266" t="s">
        <v>1944</v>
      </c>
      <c r="AS139" s="1266" t="s">
        <v>407</v>
      </c>
      <c r="AT139" s="1266" t="s">
        <v>381</v>
      </c>
      <c r="AU139" s="1272">
        <v>20</v>
      </c>
      <c r="AV139" s="1272">
        <v>20</v>
      </c>
      <c r="AW139" s="1272" t="s">
        <v>2148</v>
      </c>
      <c r="AX139" s="1277">
        <v>1</v>
      </c>
      <c r="AY139" s="1277">
        <v>1</v>
      </c>
      <c r="AZ139" s="1277">
        <v>1</v>
      </c>
      <c r="BA139" s="1278">
        <f t="shared" si="159"/>
        <v>528.24879999999996</v>
      </c>
      <c r="BB139" s="1278">
        <f t="shared" si="207"/>
        <v>528.24879999999996</v>
      </c>
      <c r="BC139" s="1278">
        <f t="shared" si="207"/>
        <v>528.24879999999996</v>
      </c>
      <c r="BD139" s="1278">
        <f t="shared" si="207"/>
        <v>528.24879999999996</v>
      </c>
      <c r="BE139" s="1278">
        <f t="shared" si="161"/>
        <v>528.24879999999996</v>
      </c>
      <c r="BF139" s="1278">
        <f t="shared" si="161"/>
        <v>528.24879999999996</v>
      </c>
      <c r="BG139" s="1278">
        <f t="shared" si="161"/>
        <v>528.24879999999996</v>
      </c>
      <c r="BH139" s="1278">
        <f t="shared" si="162"/>
        <v>0</v>
      </c>
      <c r="BI139" s="1278">
        <f t="shared" si="208"/>
        <v>0</v>
      </c>
      <c r="BJ139" s="1278">
        <f t="shared" si="208"/>
        <v>0</v>
      </c>
      <c r="BK139" s="1278">
        <f t="shared" si="208"/>
        <v>0</v>
      </c>
      <c r="BL139" s="1278">
        <f t="shared" si="208"/>
        <v>0</v>
      </c>
      <c r="BM139" s="1278">
        <f t="shared" si="208"/>
        <v>0</v>
      </c>
      <c r="BN139" s="1278">
        <f t="shared" si="208"/>
        <v>0</v>
      </c>
      <c r="BO139" s="1278">
        <f t="shared" si="164"/>
        <v>260</v>
      </c>
      <c r="BP139" s="1278">
        <f t="shared" si="212"/>
        <v>260</v>
      </c>
      <c r="BQ139" s="1278">
        <f t="shared" si="212"/>
        <v>260</v>
      </c>
      <c r="BR139" s="1278">
        <f t="shared" si="212"/>
        <v>260</v>
      </c>
      <c r="BS139" s="1278">
        <f t="shared" si="212"/>
        <v>260</v>
      </c>
      <c r="BT139" s="1278">
        <f t="shared" si="212"/>
        <v>260</v>
      </c>
      <c r="BU139" s="1278">
        <f t="shared" si="212"/>
        <v>260</v>
      </c>
      <c r="BV139" s="1279">
        <f t="shared" si="189"/>
        <v>0</v>
      </c>
      <c r="BW139" s="1279">
        <f t="shared" si="189"/>
        <v>0</v>
      </c>
      <c r="BX139" s="1279">
        <f t="shared" si="189"/>
        <v>0</v>
      </c>
      <c r="BY139" s="1279">
        <f t="shared" si="189"/>
        <v>0</v>
      </c>
      <c r="BZ139" s="1279">
        <f t="shared" si="189"/>
        <v>0</v>
      </c>
      <c r="CA139" s="1279">
        <f t="shared" si="189"/>
        <v>0</v>
      </c>
      <c r="CB139" s="1279">
        <f t="shared" si="189"/>
        <v>0</v>
      </c>
      <c r="CC139" s="1280">
        <f t="shared" si="167"/>
        <v>161.34211715753887</v>
      </c>
      <c r="CD139" s="1280">
        <f t="shared" si="209"/>
        <v>161.34211715753887</v>
      </c>
      <c r="CE139" s="1280">
        <f t="shared" si="209"/>
        <v>161.34211715753887</v>
      </c>
      <c r="CF139" s="1280">
        <f t="shared" si="209"/>
        <v>161.34211715753887</v>
      </c>
      <c r="CG139" s="1280">
        <f t="shared" si="209"/>
        <v>161.34211715753887</v>
      </c>
      <c r="CH139" s="1280">
        <f t="shared" si="209"/>
        <v>161.34211715753887</v>
      </c>
      <c r="CI139" s="1280">
        <f t="shared" si="209"/>
        <v>161.34211715753887</v>
      </c>
      <c r="CJ139" s="1280">
        <f t="shared" si="169"/>
        <v>0</v>
      </c>
      <c r="CK139" s="1280">
        <f t="shared" si="210"/>
        <v>0</v>
      </c>
      <c r="CL139" s="1280">
        <f t="shared" si="210"/>
        <v>0</v>
      </c>
      <c r="CM139" s="1280">
        <f t="shared" si="210"/>
        <v>0</v>
      </c>
      <c r="CN139" s="1280">
        <f t="shared" si="210"/>
        <v>0</v>
      </c>
      <c r="CO139" s="1280">
        <f t="shared" si="210"/>
        <v>0</v>
      </c>
      <c r="CP139" s="1280">
        <f t="shared" si="210"/>
        <v>0</v>
      </c>
      <c r="CQ139" s="1280">
        <f t="shared" si="171"/>
        <v>72.031707141617332</v>
      </c>
      <c r="CR139" s="1280">
        <f t="shared" si="211"/>
        <v>72.031707141617332</v>
      </c>
      <c r="CS139" s="1280">
        <f t="shared" si="211"/>
        <v>72.031707141617332</v>
      </c>
      <c r="CT139" s="1280">
        <f t="shared" si="211"/>
        <v>72.031707141617332</v>
      </c>
      <c r="CU139" s="1280">
        <f t="shared" si="211"/>
        <v>72.031707141617332</v>
      </c>
      <c r="CV139" s="1280">
        <f t="shared" si="211"/>
        <v>72.031707141617332</v>
      </c>
      <c r="CW139" s="1280">
        <f t="shared" si="211"/>
        <v>72.031707141617332</v>
      </c>
      <c r="CX139" s="1281">
        <f t="shared" si="219"/>
        <v>264.12439999999998</v>
      </c>
      <c r="CY139" s="1281">
        <f t="shared" si="219"/>
        <v>264.12439999999998</v>
      </c>
      <c r="CZ139" s="1281">
        <f t="shared" si="219"/>
        <v>264.12439999999998</v>
      </c>
      <c r="DA139" s="1281">
        <f t="shared" si="213"/>
        <v>264.12439999999998</v>
      </c>
      <c r="DB139" s="1281">
        <f t="shared" si="213"/>
        <v>264.12439999999998</v>
      </c>
      <c r="DC139" s="1281">
        <f t="shared" si="213"/>
        <v>264.12439999999998</v>
      </c>
      <c r="DD139" s="1281">
        <f t="shared" si="213"/>
        <v>264.12439999999998</v>
      </c>
      <c r="DE139" s="1281">
        <f t="shared" si="220"/>
        <v>0</v>
      </c>
      <c r="DF139" s="1281">
        <f t="shared" si="220"/>
        <v>0</v>
      </c>
      <c r="DG139" s="1281">
        <f t="shared" si="220"/>
        <v>0</v>
      </c>
      <c r="DH139" s="1281">
        <f t="shared" si="214"/>
        <v>0</v>
      </c>
      <c r="DI139" s="1281">
        <f t="shared" si="214"/>
        <v>0</v>
      </c>
      <c r="DJ139" s="1281">
        <f t="shared" si="214"/>
        <v>0</v>
      </c>
      <c r="DK139" s="1281">
        <f t="shared" si="214"/>
        <v>0</v>
      </c>
      <c r="DL139" s="1281">
        <f t="shared" si="221"/>
        <v>130</v>
      </c>
      <c r="DM139" s="1281">
        <f t="shared" si="221"/>
        <v>130</v>
      </c>
      <c r="DN139" s="1281">
        <f t="shared" si="221"/>
        <v>130</v>
      </c>
      <c r="DO139" s="1281">
        <f t="shared" si="215"/>
        <v>130</v>
      </c>
      <c r="DP139" s="1281">
        <f t="shared" si="215"/>
        <v>130</v>
      </c>
      <c r="DQ139" s="1281">
        <f t="shared" si="215"/>
        <v>130</v>
      </c>
      <c r="DR139" s="1281">
        <f t="shared" si="215"/>
        <v>130</v>
      </c>
      <c r="DS139" s="1281">
        <f t="shared" si="229"/>
        <v>0</v>
      </c>
      <c r="DT139" s="1281">
        <f t="shared" si="229"/>
        <v>0</v>
      </c>
      <c r="DU139" s="1281">
        <f t="shared" si="229"/>
        <v>0</v>
      </c>
      <c r="DV139" s="1281">
        <f t="shared" si="229"/>
        <v>0</v>
      </c>
      <c r="DW139" s="1281">
        <f t="shared" si="229"/>
        <v>0</v>
      </c>
      <c r="DX139" s="1281">
        <f t="shared" si="228"/>
        <v>0</v>
      </c>
      <c r="DY139" s="1281">
        <f t="shared" si="228"/>
        <v>0</v>
      </c>
      <c r="DZ139" s="1280">
        <f t="shared" si="222"/>
        <v>80.671058578769433</v>
      </c>
      <c r="EA139" s="1280">
        <f t="shared" si="222"/>
        <v>80.671058578769433</v>
      </c>
      <c r="EB139" s="1280">
        <f t="shared" si="222"/>
        <v>80.671058578769433</v>
      </c>
      <c r="EC139" s="1280">
        <f t="shared" si="216"/>
        <v>80.671058578769433</v>
      </c>
      <c r="ED139" s="1280">
        <f t="shared" si="216"/>
        <v>80.671058578769433</v>
      </c>
      <c r="EE139" s="1280">
        <f t="shared" si="216"/>
        <v>80.671058578769433</v>
      </c>
      <c r="EF139" s="1280">
        <f t="shared" si="216"/>
        <v>80.671058578769433</v>
      </c>
      <c r="EG139" s="1280">
        <f t="shared" si="223"/>
        <v>0</v>
      </c>
      <c r="EH139" s="1280">
        <f t="shared" si="223"/>
        <v>0</v>
      </c>
      <c r="EI139" s="1280">
        <f t="shared" si="223"/>
        <v>0</v>
      </c>
      <c r="EJ139" s="1280">
        <f t="shared" si="217"/>
        <v>0</v>
      </c>
      <c r="EK139" s="1280">
        <f t="shared" si="217"/>
        <v>0</v>
      </c>
      <c r="EL139" s="1280">
        <f t="shared" si="217"/>
        <v>0</v>
      </c>
      <c r="EM139" s="1280">
        <f t="shared" si="217"/>
        <v>0</v>
      </c>
      <c r="EN139" s="1280">
        <f t="shared" si="224"/>
        <v>36.015853570808666</v>
      </c>
      <c r="EO139" s="1280">
        <f t="shared" si="224"/>
        <v>36.015853570808666</v>
      </c>
      <c r="EP139" s="1280">
        <f t="shared" si="224"/>
        <v>36.015853570808666</v>
      </c>
      <c r="EQ139" s="1280">
        <f t="shared" si="218"/>
        <v>36.015853570808666</v>
      </c>
      <c r="ER139" s="1280">
        <f t="shared" si="218"/>
        <v>36.015853570808666</v>
      </c>
      <c r="ES139" s="1280">
        <f t="shared" si="218"/>
        <v>36.015853570808666</v>
      </c>
      <c r="ET139" s="1280">
        <f t="shared" si="218"/>
        <v>36.015853570808666</v>
      </c>
      <c r="EU139" s="1282">
        <f t="shared" si="191"/>
        <v>3.5</v>
      </c>
      <c r="EV139" s="1283">
        <f t="shared" si="181"/>
        <v>1848.8707999999997</v>
      </c>
      <c r="EW139" s="1283">
        <f t="shared" si="182"/>
        <v>0</v>
      </c>
      <c r="EX139" s="1283">
        <f t="shared" si="183"/>
        <v>910</v>
      </c>
      <c r="EY139" s="1283">
        <f t="shared" si="184"/>
        <v>0</v>
      </c>
      <c r="EZ139" s="1282">
        <f t="shared" si="185"/>
        <v>564.69741005138599</v>
      </c>
      <c r="FA139" s="1282">
        <f t="shared" si="186"/>
        <v>0</v>
      </c>
      <c r="FB139" s="1284">
        <f t="shared" si="187"/>
        <v>252.11097499566068</v>
      </c>
    </row>
    <row r="140" spans="1:158" s="10" customFormat="1" ht="12.75" hidden="1" customHeight="1">
      <c r="A140" s="1036"/>
      <c r="B140" s="1037" t="s">
        <v>2149</v>
      </c>
      <c r="C140" s="1036"/>
      <c r="D140" s="1038"/>
      <c r="E140" s="1036"/>
      <c r="F140" s="1041"/>
      <c r="G140" s="1041"/>
      <c r="H140" s="1259"/>
      <c r="I140" s="1041"/>
      <c r="J140" s="1041"/>
      <c r="K140" s="1041"/>
      <c r="L140" s="1048"/>
      <c r="M140" s="1260"/>
      <c r="N140" s="1260"/>
      <c r="O140" s="1259"/>
      <c r="P140" s="1259"/>
      <c r="Q140" s="1045"/>
      <c r="R140" s="1044"/>
      <c r="S140" s="1045"/>
      <c r="T140" s="1048"/>
      <c r="U140" s="1261"/>
      <c r="V140" s="1046"/>
      <c r="W140" s="1262"/>
      <c r="X140" s="1262"/>
      <c r="Y140" s="1262"/>
      <c r="Z140" s="1262"/>
      <c r="AA140" s="1262"/>
      <c r="AB140" s="1262"/>
      <c r="AC140" s="1047"/>
      <c r="AD140" s="1047"/>
      <c r="AE140" s="1047"/>
      <c r="AF140" s="1047"/>
      <c r="AG140" s="1047"/>
      <c r="AH140" s="781">
        <f t="shared" si="206"/>
        <v>0</v>
      </c>
      <c r="AI140" s="781">
        <f t="shared" si="206"/>
        <v>0</v>
      </c>
      <c r="AJ140" s="1048"/>
      <c r="AK140" s="1048"/>
      <c r="AL140" s="1048"/>
      <c r="AM140" s="1048"/>
      <c r="AN140" s="1048"/>
      <c r="AO140" s="1048"/>
      <c r="AP140" s="1048"/>
      <c r="AQ140" s="1048"/>
      <c r="AR140" s="1038"/>
      <c r="AS140" s="1038"/>
      <c r="AT140" s="1038"/>
      <c r="AU140" s="1048"/>
      <c r="AV140" s="1048"/>
      <c r="AW140" s="1048"/>
      <c r="AX140" s="1049"/>
      <c r="AY140" s="1049"/>
      <c r="AZ140" s="1049"/>
      <c r="BA140" s="1052"/>
      <c r="BB140" s="1052"/>
      <c r="BC140" s="1052"/>
      <c r="BD140" s="1052"/>
      <c r="BE140" s="1052"/>
      <c r="BF140" s="1052"/>
      <c r="BG140" s="1052"/>
      <c r="BH140" s="1052"/>
      <c r="BI140" s="1052"/>
      <c r="BJ140" s="1052"/>
      <c r="BK140" s="1052"/>
      <c r="BL140" s="1052"/>
      <c r="BM140" s="1052"/>
      <c r="BN140" s="1052"/>
      <c r="BO140" s="1052"/>
      <c r="BP140" s="1052"/>
      <c r="BQ140" s="1052"/>
      <c r="BR140" s="1052"/>
      <c r="BS140" s="1052"/>
      <c r="BT140" s="1052"/>
      <c r="BU140" s="1052"/>
      <c r="BV140" s="1052"/>
      <c r="BW140" s="1052"/>
      <c r="BX140" s="1052"/>
      <c r="BY140" s="1052"/>
      <c r="BZ140" s="1052"/>
      <c r="CA140" s="1052"/>
      <c r="CB140" s="1052"/>
      <c r="CC140" s="1054"/>
      <c r="CD140" s="1054"/>
      <c r="CE140" s="1054"/>
      <c r="CF140" s="1054"/>
      <c r="CG140" s="1054"/>
      <c r="CH140" s="1054"/>
      <c r="CI140" s="1054"/>
      <c r="CJ140" s="1054"/>
      <c r="CK140" s="1054"/>
      <c r="CL140" s="1054"/>
      <c r="CM140" s="1054"/>
      <c r="CN140" s="1054"/>
      <c r="CO140" s="1054"/>
      <c r="CP140" s="1054"/>
      <c r="CQ140" s="1054"/>
      <c r="CR140" s="1054"/>
      <c r="CS140" s="1054"/>
      <c r="CT140" s="1054"/>
      <c r="CU140" s="1054"/>
      <c r="CV140" s="1054"/>
      <c r="CW140" s="1054"/>
      <c r="CX140" s="1057"/>
      <c r="CY140" s="1057"/>
      <c r="CZ140" s="1057"/>
      <c r="DA140" s="1057"/>
      <c r="DB140" s="1057"/>
      <c r="DC140" s="1057"/>
      <c r="DD140" s="1057"/>
      <c r="DE140" s="1057"/>
      <c r="DF140" s="1057"/>
      <c r="DG140" s="1057"/>
      <c r="DH140" s="1057"/>
      <c r="DI140" s="1057"/>
      <c r="DJ140" s="1057"/>
      <c r="DK140" s="1057"/>
      <c r="DL140" s="1057"/>
      <c r="DM140" s="1057"/>
      <c r="DN140" s="1057"/>
      <c r="DO140" s="1057"/>
      <c r="DP140" s="1057"/>
      <c r="DQ140" s="1057"/>
      <c r="DR140" s="1057"/>
      <c r="DS140" s="1057"/>
      <c r="DT140" s="1057"/>
      <c r="DU140" s="1057"/>
      <c r="DV140" s="1057"/>
      <c r="DW140" s="1057"/>
      <c r="DX140" s="1057"/>
      <c r="DY140" s="1057"/>
      <c r="DZ140" s="1054"/>
      <c r="EA140" s="1054"/>
      <c r="EB140" s="1054"/>
      <c r="EC140" s="1054"/>
      <c r="ED140" s="1054"/>
      <c r="EE140" s="1054"/>
      <c r="EF140" s="1054"/>
      <c r="EG140" s="1054"/>
      <c r="EH140" s="1054"/>
      <c r="EI140" s="1054"/>
      <c r="EJ140" s="1054"/>
      <c r="EK140" s="1054"/>
      <c r="EL140" s="1054"/>
      <c r="EM140" s="1054"/>
      <c r="EN140" s="1054"/>
      <c r="EO140" s="1054"/>
      <c r="EP140" s="1054"/>
      <c r="EQ140" s="1054"/>
      <c r="ER140" s="1054"/>
      <c r="ES140" s="1054"/>
      <c r="ET140" s="1054"/>
      <c r="EU140" s="1063"/>
      <c r="EV140" s="1062"/>
      <c r="EW140" s="1062"/>
      <c r="EX140" s="1062"/>
      <c r="EY140" s="1062"/>
      <c r="EZ140" s="1063"/>
      <c r="FA140" s="1063"/>
      <c r="FB140" s="1054"/>
    </row>
    <row r="141" spans="1:158" hidden="1">
      <c r="A141" s="14" t="s">
        <v>2228</v>
      </c>
    </row>
    <row r="142" spans="1:158" hidden="1">
      <c r="B142" s="2" t="s">
        <v>2229</v>
      </c>
      <c r="D142" s="2" t="s">
        <v>2230</v>
      </c>
      <c r="E142" s="328">
        <v>42744</v>
      </c>
      <c r="Q142" s="2" t="b">
        <f>SUM(Q96:Q139,Q51:Q94)=SUM(Q6:Q49)</f>
        <v>0</v>
      </c>
      <c r="U142" s="18" t="s">
        <v>334</v>
      </c>
      <c r="AC142" s="107">
        <f>SUM(AC51:AC139)</f>
        <v>39666</v>
      </c>
      <c r="EU142" s="2" t="b">
        <f t="shared" ref="EU142:FB142" si="230">SUM(EU51:EU139)=SUM(EU6:EU49)</f>
        <v>1</v>
      </c>
      <c r="EV142" s="2" t="b">
        <f t="shared" si="230"/>
        <v>1</v>
      </c>
      <c r="EW142" s="2" t="b">
        <f t="shared" si="230"/>
        <v>1</v>
      </c>
      <c r="EX142" s="2" t="b">
        <f t="shared" si="230"/>
        <v>1</v>
      </c>
      <c r="EY142" s="2" t="b">
        <f t="shared" si="230"/>
        <v>1</v>
      </c>
      <c r="EZ142" s="2" t="b">
        <f t="shared" si="230"/>
        <v>1</v>
      </c>
      <c r="FA142" s="2" t="b">
        <f t="shared" si="230"/>
        <v>1</v>
      </c>
      <c r="FB142" s="2" t="b">
        <f t="shared" si="230"/>
        <v>1</v>
      </c>
    </row>
    <row r="143" spans="1:158" hidden="1">
      <c r="B143" s="2" t="s">
        <v>2231</v>
      </c>
      <c r="D143" s="2">
        <v>1</v>
      </c>
      <c r="E143" s="2" t="s">
        <v>2232</v>
      </c>
      <c r="Q143" s="85">
        <f>SUM(Q96:Q139,Q51:Q94)</f>
        <v>34922.176479361704</v>
      </c>
      <c r="U143" s="19">
        <v>1</v>
      </c>
      <c r="V143" s="108" t="s">
        <v>444</v>
      </c>
      <c r="AC143" s="107">
        <f>SUM(AC6:AC49)</f>
        <v>39666</v>
      </c>
      <c r="EU143" s="84">
        <f>SUM(EU51:EU139)</f>
        <v>163512</v>
      </c>
      <c r="EV143" s="84">
        <f t="shared" ref="EV143:FA143" si="231">SUM(EV51:EV139)</f>
        <v>1721388.2535181867</v>
      </c>
      <c r="EW143" s="84">
        <f t="shared" si="231"/>
        <v>-46223.479416666662</v>
      </c>
      <c r="EX143" s="84">
        <f t="shared" si="231"/>
        <v>470470</v>
      </c>
      <c r="EY143" s="84">
        <f t="shared" si="231"/>
        <v>967122.55145752069</v>
      </c>
      <c r="EZ143" s="84">
        <f t="shared" si="231"/>
        <v>7723029.9328490719</v>
      </c>
      <c r="FA143" s="84">
        <f t="shared" si="231"/>
        <v>713.3777979890715</v>
      </c>
      <c r="FB143" s="84">
        <f>SUM(FB51:FB139)</f>
        <v>82081.353558588497</v>
      </c>
    </row>
    <row r="144" spans="1:158" hidden="1">
      <c r="B144" s="2" t="s">
        <v>2233</v>
      </c>
      <c r="D144" s="2">
        <v>2</v>
      </c>
      <c r="E144" s="2" t="s">
        <v>2234</v>
      </c>
      <c r="Q144" s="85">
        <f>SUM(Q6:Q49)</f>
        <v>17461.088239680856</v>
      </c>
      <c r="U144" s="19">
        <v>2</v>
      </c>
      <c r="V144" s="108" t="s">
        <v>2235</v>
      </c>
      <c r="EU144" s="84">
        <f>SUM(EU6:EU49)</f>
        <v>163512</v>
      </c>
      <c r="EV144" s="84">
        <f t="shared" ref="EV144:FA144" si="232">SUM(EV6:EV49)</f>
        <v>1721388.2535181867</v>
      </c>
      <c r="EW144" s="84">
        <f t="shared" si="232"/>
        <v>-46223.479416666669</v>
      </c>
      <c r="EX144" s="84">
        <f t="shared" si="232"/>
        <v>470470</v>
      </c>
      <c r="EY144" s="84">
        <f t="shared" si="232"/>
        <v>967122.55145752057</v>
      </c>
      <c r="EZ144" s="84">
        <f t="shared" si="232"/>
        <v>7723029.9328490691</v>
      </c>
      <c r="FA144" s="84">
        <f t="shared" si="232"/>
        <v>713.37779798907115</v>
      </c>
      <c r="FB144" s="84">
        <f>SUM(FB6:FB49)</f>
        <v>82081.353558588497</v>
      </c>
    </row>
    <row r="145" spans="1:19" hidden="1">
      <c r="B145" s="2" t="s">
        <v>2236</v>
      </c>
      <c r="H145" s="2" t="s">
        <v>2149</v>
      </c>
    </row>
    <row r="146" spans="1:19" hidden="1">
      <c r="B146" s="2" t="s">
        <v>2237</v>
      </c>
    </row>
    <row r="147" spans="1:19" hidden="1">
      <c r="B147" s="2" t="s">
        <v>2238</v>
      </c>
    </row>
    <row r="148" spans="1:19" hidden="1">
      <c r="B148" s="2" t="s">
        <v>2239</v>
      </c>
    </row>
    <row r="150" spans="1:19">
      <c r="A150" s="2" t="s">
        <v>2240</v>
      </c>
    </row>
    <row r="151" spans="1:19">
      <c r="B151" s="803" t="s">
        <v>2241</v>
      </c>
      <c r="C151" s="1084">
        <v>0.9</v>
      </c>
    </row>
    <row r="152" spans="1:19">
      <c r="B152" s="803" t="s">
        <v>2242</v>
      </c>
      <c r="C152" s="1084">
        <f>1-C151</f>
        <v>9.9999999999999978E-2</v>
      </c>
    </row>
    <row r="156" spans="1:19">
      <c r="A156" s="2" t="s">
        <v>2243</v>
      </c>
    </row>
    <row r="157" spans="1:19" ht="43.5">
      <c r="B157" s="697" t="s">
        <v>359</v>
      </c>
      <c r="C157" s="697" t="s">
        <v>166</v>
      </c>
      <c r="D157" s="697" t="s">
        <v>360</v>
      </c>
      <c r="E157" s="697" t="s">
        <v>361</v>
      </c>
      <c r="F157" s="697" t="s">
        <v>362</v>
      </c>
      <c r="G157" s="697" t="s">
        <v>363</v>
      </c>
      <c r="H157" s="697" t="s">
        <v>364</v>
      </c>
      <c r="I157" s="697" t="s">
        <v>365</v>
      </c>
      <c r="J157" s="697" t="s">
        <v>2244</v>
      </c>
      <c r="K157" s="697" t="s">
        <v>2245</v>
      </c>
      <c r="L157" s="823" t="s">
        <v>136</v>
      </c>
      <c r="M157" s="823" t="s">
        <v>2246</v>
      </c>
      <c r="N157" s="823" t="s">
        <v>2247</v>
      </c>
      <c r="O157" s="1285" t="s">
        <v>2248</v>
      </c>
      <c r="P157" s="1285"/>
      <c r="Q157" s="1285" t="s">
        <v>2249</v>
      </c>
      <c r="R157" s="3"/>
      <c r="S157" s="3"/>
    </row>
    <row r="158" spans="1:19">
      <c r="B158" s="27" t="s">
        <v>384</v>
      </c>
      <c r="C158" s="27" t="s">
        <v>375</v>
      </c>
      <c r="D158" s="27" t="s">
        <v>376</v>
      </c>
      <c r="E158" s="27" t="s">
        <v>1958</v>
      </c>
      <c r="F158" s="27" t="s">
        <v>1</v>
      </c>
      <c r="G158" s="27" t="s">
        <v>1970</v>
      </c>
      <c r="H158" s="27" t="s">
        <v>1702</v>
      </c>
      <c r="I158" s="27" t="s">
        <v>339</v>
      </c>
      <c r="J158" s="29"/>
      <c r="L158" s="2" t="str">
        <f>"DI-"&amp;G158</f>
        <v>DI-Lighting General Service Lamp - Premium Efficiency LED</v>
      </c>
      <c r="M158" s="2" t="str">
        <f>"KU-DI-"&amp;G158</f>
        <v>KU-DI-Lighting General Service Lamp - Premium Efficiency LED</v>
      </c>
      <c r="N158" s="2" t="str">
        <f>"LG&amp;E-DI-"&amp;G158</f>
        <v>LG&amp;E-DI-Lighting General Service Lamp - Premium Efficiency LED</v>
      </c>
    </row>
    <row r="159" spans="1:19">
      <c r="B159" s="27" t="s">
        <v>384</v>
      </c>
      <c r="C159" s="27" t="s">
        <v>375</v>
      </c>
      <c r="D159" s="27" t="s">
        <v>376</v>
      </c>
      <c r="E159" s="27" t="s">
        <v>1958</v>
      </c>
      <c r="F159" s="27" t="s">
        <v>1</v>
      </c>
      <c r="G159" s="27" t="s">
        <v>1972</v>
      </c>
      <c r="H159" s="27" t="s">
        <v>1702</v>
      </c>
      <c r="I159" s="27" t="s">
        <v>339</v>
      </c>
      <c r="J159" s="29"/>
      <c r="L159" s="2" t="str">
        <f>"DI-"&amp;G159</f>
        <v>DI-Lighting General Service Lamp - EISA Standard 2020</v>
      </c>
      <c r="M159" s="2" t="str">
        <f>"KU-DI-"&amp;G159</f>
        <v>KU-DI-Lighting General Service Lamp - EISA Standard 2020</v>
      </c>
      <c r="N159" s="2" t="str">
        <f>"LG&amp;E-DI-"&amp;G159</f>
        <v>LG&amp;E-DI-Lighting General Service Lamp - EISA Standard 2020</v>
      </c>
    </row>
    <row r="160" spans="1:19">
      <c r="B160" s="27" t="s">
        <v>384</v>
      </c>
      <c r="C160" s="27" t="s">
        <v>375</v>
      </c>
      <c r="D160" s="27" t="s">
        <v>376</v>
      </c>
      <c r="E160" s="27" t="s">
        <v>1974</v>
      </c>
      <c r="F160" s="27" t="s">
        <v>1</v>
      </c>
      <c r="G160" s="27" t="s">
        <v>1975</v>
      </c>
      <c r="H160" s="27" t="s">
        <v>1702</v>
      </c>
      <c r="I160" s="27" t="s">
        <v>339</v>
      </c>
      <c r="J160" s="29"/>
      <c r="L160" s="2" t="str">
        <f>"DI-"&amp;G160</f>
        <v>DI-Lighting Specialty Lamp - Premium Efficiency LED</v>
      </c>
      <c r="M160" s="2" t="str">
        <f>"KU-DI-"&amp;G160</f>
        <v>KU-DI-Lighting Specialty Lamp - Premium Efficiency LED</v>
      </c>
      <c r="N160" s="2" t="str">
        <f>"LG&amp;E-DI-"&amp;G160</f>
        <v>LG&amp;E-DI-Lighting Specialty Lamp - Premium Efficiency LED</v>
      </c>
    </row>
    <row r="161" spans="1:17">
      <c r="B161" s="27" t="s">
        <v>374</v>
      </c>
      <c r="C161" s="27" t="s">
        <v>375</v>
      </c>
      <c r="D161" s="27" t="s">
        <v>376</v>
      </c>
      <c r="E161" s="27" t="s">
        <v>1981</v>
      </c>
      <c r="F161" s="27" t="s">
        <v>1</v>
      </c>
      <c r="G161" s="27" t="s">
        <v>1982</v>
      </c>
      <c r="H161" s="27" t="s">
        <v>1977</v>
      </c>
      <c r="I161" s="27" t="s">
        <v>1978</v>
      </c>
      <c r="J161" s="29"/>
      <c r="L161" s="2" t="str">
        <f t="shared" ref="L161:L165" si="233">"DI-"&amp;G161</f>
        <v>DI-Faucet Aerator Low Flow - Bathroom</v>
      </c>
      <c r="M161" s="2" t="str">
        <f t="shared" ref="M161:M165" si="234">"KU-DI-"&amp;G161</f>
        <v>KU-DI-Faucet Aerator Low Flow - Bathroom</v>
      </c>
      <c r="N161" s="2" t="str">
        <f t="shared" ref="N161:N165" si="235">"LG&amp;E-DI-"&amp;G161</f>
        <v>LG&amp;E-DI-Faucet Aerator Low Flow - Bathroom</v>
      </c>
    </row>
    <row r="162" spans="1:17">
      <c r="B162" s="27" t="s">
        <v>374</v>
      </c>
      <c r="C162" s="27" t="s">
        <v>375</v>
      </c>
      <c r="D162" s="27" t="s">
        <v>376</v>
      </c>
      <c r="E162" s="27" t="s">
        <v>1981</v>
      </c>
      <c r="F162" s="27" t="s">
        <v>1</v>
      </c>
      <c r="G162" s="27" t="s">
        <v>1985</v>
      </c>
      <c r="H162" s="27" t="s">
        <v>1977</v>
      </c>
      <c r="I162" s="27" t="s">
        <v>1978</v>
      </c>
      <c r="J162" s="29"/>
      <c r="L162" s="2" t="str">
        <f t="shared" si="233"/>
        <v>DI-Faucet Aerator Low Flow - Kitchen</v>
      </c>
      <c r="M162" s="2" t="str">
        <f t="shared" si="234"/>
        <v>KU-DI-Faucet Aerator Low Flow - Kitchen</v>
      </c>
      <c r="N162" s="2" t="str">
        <f t="shared" si="235"/>
        <v>LG&amp;E-DI-Faucet Aerator Low Flow - Kitchen</v>
      </c>
    </row>
    <row r="163" spans="1:17">
      <c r="B163" s="27" t="s">
        <v>374</v>
      </c>
      <c r="C163" s="27" t="s">
        <v>375</v>
      </c>
      <c r="D163" s="27" t="s">
        <v>376</v>
      </c>
      <c r="E163" s="27" t="s">
        <v>1981</v>
      </c>
      <c r="F163" s="27" t="s">
        <v>1</v>
      </c>
      <c r="G163" s="27" t="s">
        <v>1989</v>
      </c>
      <c r="H163" s="27" t="s">
        <v>1986</v>
      </c>
      <c r="I163" s="27" t="s">
        <v>1987</v>
      </c>
      <c r="J163" s="29"/>
      <c r="L163" s="2" t="str">
        <f t="shared" si="233"/>
        <v>DI-Low-Flow Showerhead</v>
      </c>
      <c r="M163" s="2" t="str">
        <f t="shared" si="234"/>
        <v>KU-DI-Low-Flow Showerhead</v>
      </c>
      <c r="N163" s="2" t="str">
        <f t="shared" si="235"/>
        <v>LG&amp;E-DI-Low-Flow Showerhead</v>
      </c>
    </row>
    <row r="164" spans="1:17">
      <c r="B164" s="27" t="s">
        <v>374</v>
      </c>
      <c r="C164" s="27" t="s">
        <v>375</v>
      </c>
      <c r="D164" s="27" t="s">
        <v>376</v>
      </c>
      <c r="E164" s="27" t="s">
        <v>1981</v>
      </c>
      <c r="F164" s="27" t="s">
        <v>1</v>
      </c>
      <c r="G164" s="27" t="s">
        <v>1995</v>
      </c>
      <c r="H164" s="27" t="s">
        <v>1991</v>
      </c>
      <c r="I164" s="27" t="s">
        <v>1992</v>
      </c>
      <c r="J164" s="29"/>
      <c r="L164" s="2" t="str">
        <f t="shared" si="233"/>
        <v>DI-Pipe Insulation - Water Heater</v>
      </c>
      <c r="M164" s="2" t="str">
        <f t="shared" si="234"/>
        <v>KU-DI-Pipe Insulation - Water Heater</v>
      </c>
      <c r="N164" s="2" t="str">
        <f t="shared" si="235"/>
        <v>LG&amp;E-DI-Pipe Insulation - Water Heater</v>
      </c>
    </row>
    <row r="165" spans="1:17">
      <c r="B165" s="27" t="s">
        <v>374</v>
      </c>
      <c r="C165" s="27" t="s">
        <v>375</v>
      </c>
      <c r="D165" s="27" t="s">
        <v>376</v>
      </c>
      <c r="E165" s="27" t="s">
        <v>2002</v>
      </c>
      <c r="F165" s="27" t="s">
        <v>1</v>
      </c>
      <c r="G165" s="27" t="s">
        <v>1998</v>
      </c>
      <c r="H165" s="27" t="s">
        <v>1998</v>
      </c>
      <c r="I165" s="27" t="s">
        <v>1999</v>
      </c>
      <c r="J165" s="29"/>
      <c r="L165" s="2" t="str">
        <f t="shared" si="233"/>
        <v>DI-Programmable Thermostat</v>
      </c>
      <c r="M165" s="2" t="str">
        <f t="shared" si="234"/>
        <v>KU-DI-Programmable Thermostat</v>
      </c>
      <c r="N165" s="2" t="str">
        <f t="shared" si="235"/>
        <v>LG&amp;E-DI-Programmable Thermostat</v>
      </c>
      <c r="O165" s="271">
        <f>AVERAGE(O166,O168)</f>
        <v>102.00801581184899</v>
      </c>
      <c r="P165" s="271"/>
      <c r="Q165" s="271">
        <f>AVERAGE(Q166,Q168)</f>
        <v>8.6420461893465141</v>
      </c>
    </row>
    <row r="166" spans="1:17">
      <c r="A166" s="2" t="s">
        <v>285</v>
      </c>
      <c r="B166" s="27" t="s">
        <v>384</v>
      </c>
      <c r="C166" s="27" t="s">
        <v>375</v>
      </c>
      <c r="D166" s="27" t="s">
        <v>376</v>
      </c>
      <c r="E166" s="27" t="s">
        <v>2002</v>
      </c>
      <c r="F166" s="27" t="s">
        <v>1</v>
      </c>
      <c r="G166" s="27" t="s">
        <v>1998</v>
      </c>
      <c r="H166" s="27" t="s">
        <v>1998</v>
      </c>
      <c r="I166" s="27" t="s">
        <v>1999</v>
      </c>
      <c r="J166" s="29"/>
      <c r="O166" s="271">
        <v>97.710101414479084</v>
      </c>
      <c r="P166" s="271"/>
      <c r="Q166" s="271">
        <v>17.284092378693028</v>
      </c>
    </row>
    <row r="167" spans="1:17">
      <c r="A167" s="2" t="s">
        <v>285</v>
      </c>
      <c r="B167" s="27" t="s">
        <v>2013</v>
      </c>
      <c r="C167" s="27" t="s">
        <v>375</v>
      </c>
      <c r="D167" s="27" t="s">
        <v>376</v>
      </c>
      <c r="E167" s="27" t="s">
        <v>2082</v>
      </c>
      <c r="F167" s="27" t="s">
        <v>1</v>
      </c>
      <c r="G167" s="27" t="s">
        <v>1998</v>
      </c>
      <c r="H167" s="27" t="s">
        <v>1998</v>
      </c>
      <c r="I167" s="27" t="s">
        <v>1999</v>
      </c>
      <c r="J167" s="29"/>
      <c r="O167" s="271">
        <v>13.006435245593778</v>
      </c>
      <c r="P167" s="271"/>
      <c r="Q167" s="271">
        <v>20.160023312448018</v>
      </c>
    </row>
    <row r="168" spans="1:17">
      <c r="A168" s="2" t="s">
        <v>283</v>
      </c>
      <c r="B168" s="27" t="s">
        <v>384</v>
      </c>
      <c r="C168" s="27" t="s">
        <v>375</v>
      </c>
      <c r="D168" s="27" t="s">
        <v>376</v>
      </c>
      <c r="E168" s="27" t="s">
        <v>2002</v>
      </c>
      <c r="F168" s="27" t="s">
        <v>1</v>
      </c>
      <c r="G168" s="27" t="s">
        <v>1998</v>
      </c>
      <c r="H168" s="27" t="s">
        <v>1998</v>
      </c>
      <c r="I168" s="27" t="s">
        <v>1999</v>
      </c>
      <c r="J168" s="29"/>
      <c r="O168" s="271">
        <v>106.30593020921889</v>
      </c>
      <c r="P168" s="271"/>
      <c r="Q168" s="271">
        <v>0</v>
      </c>
    </row>
    <row r="169" spans="1:17">
      <c r="A169" s="2" t="s">
        <v>283</v>
      </c>
      <c r="B169" s="27" t="s">
        <v>2013</v>
      </c>
      <c r="C169" s="27" t="s">
        <v>375</v>
      </c>
      <c r="D169" s="27" t="s">
        <v>376</v>
      </c>
      <c r="E169" s="27" t="s">
        <v>2082</v>
      </c>
      <c r="F169" s="27" t="s">
        <v>1</v>
      </c>
      <c r="G169" s="27" t="s">
        <v>1998</v>
      </c>
      <c r="H169" s="27" t="s">
        <v>1998</v>
      </c>
      <c r="I169" s="27" t="s">
        <v>1999</v>
      </c>
      <c r="J169" s="29"/>
      <c r="O169" s="271">
        <v>0</v>
      </c>
      <c r="P169" s="271"/>
      <c r="Q169" s="271">
        <v>0</v>
      </c>
    </row>
    <row r="170" spans="1:17" ht="14.5">
      <c r="B170"/>
      <c r="C170"/>
      <c r="D170"/>
      <c r="E170"/>
      <c r="F170"/>
      <c r="G170"/>
      <c r="H170"/>
      <c r="I170"/>
      <c r="J170"/>
      <c r="K170"/>
      <c r="L170"/>
      <c r="M170"/>
      <c r="N170"/>
    </row>
    <row r="171" spans="1:17" ht="14.5">
      <c r="B171"/>
      <c r="C171"/>
      <c r="D171"/>
      <c r="E171"/>
      <c r="F171"/>
      <c r="G171"/>
      <c r="H171"/>
      <c r="I171"/>
      <c r="J171"/>
      <c r="K171"/>
      <c r="L171"/>
      <c r="M171"/>
      <c r="N171"/>
      <c r="O171"/>
      <c r="P171"/>
      <c r="Q171"/>
    </row>
    <row r="173" spans="1:17">
      <c r="A173" s="2" t="s">
        <v>2250</v>
      </c>
    </row>
    <row r="175" spans="1:17" ht="26">
      <c r="B175" s="697" t="s">
        <v>359</v>
      </c>
      <c r="C175" s="697" t="s">
        <v>166</v>
      </c>
      <c r="D175" s="697" t="s">
        <v>360</v>
      </c>
      <c r="E175" s="697" t="s">
        <v>361</v>
      </c>
      <c r="F175" s="697" t="s">
        <v>362</v>
      </c>
      <c r="G175" s="697" t="s">
        <v>363</v>
      </c>
      <c r="H175" s="697" t="s">
        <v>364</v>
      </c>
      <c r="I175" s="697" t="s">
        <v>365</v>
      </c>
      <c r="J175" s="697" t="s">
        <v>2244</v>
      </c>
      <c r="K175" s="697" t="s">
        <v>2245</v>
      </c>
      <c r="L175" s="349" t="s">
        <v>136</v>
      </c>
      <c r="M175" s="349" t="s">
        <v>2246</v>
      </c>
      <c r="N175" s="349" t="s">
        <v>2247</v>
      </c>
    </row>
    <row r="176" spans="1:17">
      <c r="B176" s="27" t="s">
        <v>384</v>
      </c>
      <c r="C176" s="27" t="s">
        <v>375</v>
      </c>
      <c r="D176" s="27" t="s">
        <v>376</v>
      </c>
      <c r="E176" s="27" t="s">
        <v>2009</v>
      </c>
      <c r="F176" s="27" t="s">
        <v>1</v>
      </c>
      <c r="G176" s="27" t="s">
        <v>2010</v>
      </c>
      <c r="H176" s="27" t="s">
        <v>1702</v>
      </c>
      <c r="I176" s="27" t="s">
        <v>339</v>
      </c>
      <c r="J176" s="28">
        <v>0.83785466988324242</v>
      </c>
      <c r="L176" s="2" t="str">
        <f>"Appliance-"&amp;G176</f>
        <v>Appliance-Dryer - ENERGY STAR</v>
      </c>
      <c r="M176" s="2" t="str">
        <f>"KU-Appliance-"&amp;G176</f>
        <v>KU-Appliance-Dryer - ENERGY STAR</v>
      </c>
      <c r="N176" s="2" t="str">
        <f>"LG&amp;E-Appliance-"&amp;G176</f>
        <v>LG&amp;E-Appliance-Dryer - ENERGY STAR</v>
      </c>
    </row>
    <row r="177" spans="1:14">
      <c r="B177" s="27" t="s">
        <v>2013</v>
      </c>
      <c r="C177" s="27" t="s">
        <v>375</v>
      </c>
      <c r="D177" s="27" t="s">
        <v>376</v>
      </c>
      <c r="E177" s="27" t="s">
        <v>2009</v>
      </c>
      <c r="F177" s="27" t="s">
        <v>1</v>
      </c>
      <c r="G177" s="27" t="s">
        <v>2010</v>
      </c>
      <c r="H177" s="27" t="s">
        <v>2011</v>
      </c>
      <c r="I177" s="27" t="s">
        <v>2012</v>
      </c>
      <c r="J177" s="28">
        <v>0.50336044385044809</v>
      </c>
      <c r="L177" s="2" t="str">
        <f t="shared" ref="L177:L184" si="236">"Appliance-"&amp;G177</f>
        <v>Appliance-Dryer - ENERGY STAR</v>
      </c>
      <c r="M177" s="2" t="str">
        <f t="shared" ref="M177:M184" si="237">"KU-Appliance-"&amp;G177</f>
        <v>KU-Appliance-Dryer - ENERGY STAR</v>
      </c>
      <c r="N177" s="2" t="str">
        <f>"LG&amp;E Only-Appliance-"&amp;G177</f>
        <v>LG&amp;E Only-Appliance-Dryer - ENERGY STAR</v>
      </c>
    </row>
    <row r="178" spans="1:14">
      <c r="B178" s="27" t="s">
        <v>384</v>
      </c>
      <c r="C178" s="27" t="s">
        <v>375</v>
      </c>
      <c r="D178" s="27" t="s">
        <v>376</v>
      </c>
      <c r="E178" s="27" t="s">
        <v>864</v>
      </c>
      <c r="F178" s="27" t="s">
        <v>1</v>
      </c>
      <c r="G178" s="27" t="s">
        <v>2019</v>
      </c>
      <c r="H178" s="27" t="s">
        <v>1702</v>
      </c>
      <c r="I178" s="27" t="s">
        <v>339</v>
      </c>
      <c r="J178" s="28">
        <v>1.1825725991386653</v>
      </c>
      <c r="L178" s="2" t="str">
        <f t="shared" si="236"/>
        <v>Appliance-Freezer - ENERGY STAR</v>
      </c>
      <c r="M178" s="2" t="str">
        <f t="shared" si="237"/>
        <v>KU-Appliance-Freezer - ENERGY STAR</v>
      </c>
      <c r="N178" s="2" t="str">
        <f t="shared" ref="N178:N184" si="238">"LG&amp;E-Appliance-"&amp;G178</f>
        <v>LG&amp;E-Appliance-Freezer - ENERGY STAR</v>
      </c>
    </row>
    <row r="179" spans="1:14">
      <c r="B179" s="27" t="s">
        <v>384</v>
      </c>
      <c r="C179" s="27" t="s">
        <v>375</v>
      </c>
      <c r="D179" s="27" t="s">
        <v>376</v>
      </c>
      <c r="E179" s="27" t="s">
        <v>858</v>
      </c>
      <c r="F179" s="27" t="s">
        <v>1</v>
      </c>
      <c r="G179" s="27" t="s">
        <v>2026</v>
      </c>
      <c r="H179" s="27" t="s">
        <v>1702</v>
      </c>
      <c r="I179" s="27" t="s">
        <v>339</v>
      </c>
      <c r="J179" s="28">
        <v>0.18695032871300113</v>
      </c>
      <c r="L179" s="2" t="str">
        <f t="shared" si="236"/>
        <v>Appliance-Refrigerator - ENERGY STAR</v>
      </c>
      <c r="M179" s="2" t="str">
        <f t="shared" si="237"/>
        <v>KU-Appliance-Refrigerator - ENERGY STAR</v>
      </c>
      <c r="N179" s="2" t="str">
        <f t="shared" si="238"/>
        <v>LG&amp;E-Appliance-Refrigerator - ENERGY STAR</v>
      </c>
    </row>
    <row r="180" spans="1:14">
      <c r="B180" s="27" t="s">
        <v>384</v>
      </c>
      <c r="C180" s="27" t="s">
        <v>375</v>
      </c>
      <c r="D180" s="27" t="s">
        <v>376</v>
      </c>
      <c r="E180" s="27" t="s">
        <v>1981</v>
      </c>
      <c r="F180" s="27" t="s">
        <v>1</v>
      </c>
      <c r="G180" s="27" t="s">
        <v>2032</v>
      </c>
      <c r="H180" s="27" t="s">
        <v>2028</v>
      </c>
      <c r="I180" s="27" t="s">
        <v>2029</v>
      </c>
      <c r="J180" s="28">
        <v>1.1100000000000001</v>
      </c>
      <c r="L180" s="2" t="str">
        <f t="shared" si="236"/>
        <v>Appliance-Clothes Washer (Front Loading) - ENERGY STAR</v>
      </c>
      <c r="M180" s="2" t="str">
        <f t="shared" si="237"/>
        <v>KU-Appliance-Clothes Washer (Front Loading) - ENERGY STAR</v>
      </c>
      <c r="N180" s="2" t="str">
        <f t="shared" si="238"/>
        <v>LG&amp;E-Appliance-Clothes Washer (Front Loading) - ENERGY STAR</v>
      </c>
    </row>
    <row r="181" spans="1:14">
      <c r="B181" s="27" t="s">
        <v>384</v>
      </c>
      <c r="C181" s="27" t="s">
        <v>375</v>
      </c>
      <c r="D181" s="27" t="s">
        <v>376</v>
      </c>
      <c r="E181" s="27" t="s">
        <v>1981</v>
      </c>
      <c r="F181" s="27" t="s">
        <v>1</v>
      </c>
      <c r="G181" s="27" t="s">
        <v>2037</v>
      </c>
      <c r="H181" s="27" t="s">
        <v>2035</v>
      </c>
      <c r="I181" s="27" t="s">
        <v>2036</v>
      </c>
      <c r="J181" s="28">
        <v>0.86</v>
      </c>
      <c r="L181" s="2" t="str">
        <f t="shared" si="236"/>
        <v>Appliance-Clothes Washer (Top Loading) - ENERGY STAR</v>
      </c>
      <c r="M181" s="2" t="str">
        <f t="shared" si="237"/>
        <v>KU-Appliance-Clothes Washer (Top Loading) - ENERGY STAR</v>
      </c>
      <c r="N181" s="2" t="str">
        <f t="shared" si="238"/>
        <v>LG&amp;E-Appliance-Clothes Washer (Top Loading) - ENERGY STAR</v>
      </c>
    </row>
    <row r="182" spans="1:14">
      <c r="B182" s="27" t="s">
        <v>2013</v>
      </c>
      <c r="C182" s="27" t="s">
        <v>375</v>
      </c>
      <c r="D182" s="27" t="s">
        <v>376</v>
      </c>
      <c r="E182" s="27" t="s">
        <v>1981</v>
      </c>
      <c r="F182" s="27" t="s">
        <v>1</v>
      </c>
      <c r="G182" s="27" t="s">
        <v>2032</v>
      </c>
      <c r="H182" s="27" t="s">
        <v>2038</v>
      </c>
      <c r="I182" s="27" t="s">
        <v>2039</v>
      </c>
      <c r="J182" s="28">
        <v>0.8</v>
      </c>
      <c r="L182" s="2" t="str">
        <f t="shared" si="236"/>
        <v>Appliance-Clothes Washer (Front Loading) - ENERGY STAR</v>
      </c>
      <c r="M182" s="2" t="str">
        <f t="shared" si="237"/>
        <v>KU-Appliance-Clothes Washer (Front Loading) - ENERGY STAR</v>
      </c>
      <c r="N182" s="2" t="str">
        <f t="shared" si="238"/>
        <v>LG&amp;E-Appliance-Clothes Washer (Front Loading) - ENERGY STAR</v>
      </c>
    </row>
    <row r="183" spans="1:14">
      <c r="B183" s="27" t="s">
        <v>2013</v>
      </c>
      <c r="C183" s="27" t="s">
        <v>375</v>
      </c>
      <c r="D183" s="27" t="s">
        <v>376</v>
      </c>
      <c r="E183" s="27" t="s">
        <v>1981</v>
      </c>
      <c r="F183" s="27" t="s">
        <v>1</v>
      </c>
      <c r="G183" s="27" t="s">
        <v>2037</v>
      </c>
      <c r="H183" s="27" t="s">
        <v>2041</v>
      </c>
      <c r="I183" s="27" t="s">
        <v>2042</v>
      </c>
      <c r="J183" s="28">
        <v>0.62</v>
      </c>
      <c r="L183" s="2" t="str">
        <f t="shared" si="236"/>
        <v>Appliance-Clothes Washer (Top Loading) - ENERGY STAR</v>
      </c>
      <c r="M183" s="2" t="str">
        <f t="shared" si="237"/>
        <v>KU-Appliance-Clothes Washer (Top Loading) - ENERGY STAR</v>
      </c>
      <c r="N183" s="2" t="str">
        <f t="shared" si="238"/>
        <v>LG&amp;E-Appliance-Clothes Washer (Top Loading) - ENERGY STAR</v>
      </c>
    </row>
    <row r="184" spans="1:14">
      <c r="B184" s="27" t="s">
        <v>374</v>
      </c>
      <c r="C184" s="27" t="s">
        <v>375</v>
      </c>
      <c r="D184" s="27" t="s">
        <v>376</v>
      </c>
      <c r="E184" s="27" t="s">
        <v>1981</v>
      </c>
      <c r="F184" s="27" t="s">
        <v>1</v>
      </c>
      <c r="G184" s="27" t="s">
        <v>2048</v>
      </c>
      <c r="H184" s="27" t="s">
        <v>2044</v>
      </c>
      <c r="I184" s="27" t="s">
        <v>2045</v>
      </c>
      <c r="J184" s="28">
        <v>0.74</v>
      </c>
      <c r="L184" s="2" t="str">
        <f t="shared" si="236"/>
        <v>Appliance-Dishwasher - ENERGY STAR</v>
      </c>
      <c r="M184" s="2" t="str">
        <f t="shared" si="237"/>
        <v>KU-Appliance-Dishwasher - ENERGY STAR</v>
      </c>
      <c r="N184" s="2" t="str">
        <f t="shared" si="238"/>
        <v>LG&amp;E-Appliance-Dishwasher - ENERGY STAR</v>
      </c>
    </row>
    <row r="185" spans="1:14" ht="14.5">
      <c r="B185" s="27"/>
      <c r="C185" s="27"/>
      <c r="D185" s="28"/>
      <c r="G185"/>
    </row>
    <row r="186" spans="1:14" ht="14.5">
      <c r="A186" s="2" t="s">
        <v>2251</v>
      </c>
      <c r="B186" s="27"/>
      <c r="C186" s="27"/>
      <c r="D186" s="28"/>
      <c r="G186"/>
    </row>
    <row r="187" spans="1:14">
      <c r="B187" s="2" t="s">
        <v>2252</v>
      </c>
    </row>
    <row r="188" spans="1:14" ht="26">
      <c r="B188" s="697" t="s">
        <v>359</v>
      </c>
      <c r="C188" s="697" t="s">
        <v>166</v>
      </c>
      <c r="D188" s="697" t="s">
        <v>360</v>
      </c>
      <c r="E188" s="697" t="s">
        <v>361</v>
      </c>
      <c r="F188" s="697" t="s">
        <v>362</v>
      </c>
      <c r="G188" s="697" t="s">
        <v>363</v>
      </c>
      <c r="H188" s="697" t="s">
        <v>364</v>
      </c>
      <c r="I188" s="697" t="s">
        <v>365</v>
      </c>
      <c r="J188" s="697" t="s">
        <v>2244</v>
      </c>
      <c r="K188" s="697" t="s">
        <v>2245</v>
      </c>
      <c r="L188" s="349" t="s">
        <v>136</v>
      </c>
      <c r="M188" s="349" t="s">
        <v>2246</v>
      </c>
      <c r="N188" s="349" t="s">
        <v>2247</v>
      </c>
    </row>
    <row r="189" spans="1:14">
      <c r="B189" s="27" t="s">
        <v>384</v>
      </c>
      <c r="C189" s="27" t="s">
        <v>375</v>
      </c>
      <c r="D189" s="27" t="s">
        <v>376</v>
      </c>
      <c r="E189" s="27" t="s">
        <v>2002</v>
      </c>
      <c r="F189" s="27" t="s">
        <v>1</v>
      </c>
      <c r="G189" s="27" t="s">
        <v>2053</v>
      </c>
      <c r="H189" s="27" t="s">
        <v>1702</v>
      </c>
      <c r="I189" s="27" t="s">
        <v>339</v>
      </c>
      <c r="J189" s="27">
        <v>0.35473172119777507</v>
      </c>
      <c r="L189" s="2" t="str">
        <f>"HVAC-DWH-"&amp;G189</f>
        <v>HVAC-DWH-Central Air Conditioner - ENERGY STAR</v>
      </c>
      <c r="M189" s="2" t="str">
        <f>"KU-HVAC-DWH-"&amp;G189</f>
        <v>KU-HVAC-DWH-Central Air Conditioner - ENERGY STAR</v>
      </c>
      <c r="N189" s="2" t="str">
        <f>"LG&amp;E-HVAC-DWH-"&amp;G189</f>
        <v>LG&amp;E-HVAC-DWH-Central Air Conditioner - ENERGY STAR</v>
      </c>
    </row>
    <row r="190" spans="1:14">
      <c r="B190" s="27" t="s">
        <v>384</v>
      </c>
      <c r="C190" s="27" t="s">
        <v>375</v>
      </c>
      <c r="D190" s="27" t="s">
        <v>376</v>
      </c>
      <c r="E190" s="27" t="s">
        <v>2002</v>
      </c>
      <c r="F190" s="27" t="s">
        <v>1</v>
      </c>
      <c r="G190" s="27" t="s">
        <v>2058</v>
      </c>
      <c r="H190" s="27" t="s">
        <v>1702</v>
      </c>
      <c r="I190" s="27" t="s">
        <v>339</v>
      </c>
      <c r="J190" s="27">
        <v>999</v>
      </c>
      <c r="L190" s="2" t="str">
        <f>"HVAC-DWH-"&amp;G190</f>
        <v>HVAC-DWH-Central Cooling - Evaporative Cooler</v>
      </c>
      <c r="M190" s="2" t="str">
        <f>"KU-HVAC-DWH-"&amp;G190</f>
        <v>KU-HVAC-DWH-Central Cooling - Evaporative Cooler</v>
      </c>
      <c r="N190" s="2" t="str">
        <f>"LG&amp;E-HVAC-DWH-"&amp;G190</f>
        <v>LG&amp;E-HVAC-DWH-Central Cooling - Evaporative Cooler</v>
      </c>
    </row>
    <row r="191" spans="1:14">
      <c r="B191" s="27" t="s">
        <v>384</v>
      </c>
      <c r="C191" s="27" t="s">
        <v>375</v>
      </c>
      <c r="D191" s="27" t="s">
        <v>376</v>
      </c>
      <c r="E191" s="27" t="s">
        <v>2064</v>
      </c>
      <c r="F191" s="27" t="s">
        <v>1</v>
      </c>
      <c r="G191" s="27" t="s">
        <v>2065</v>
      </c>
      <c r="H191" s="27" t="s">
        <v>1702</v>
      </c>
      <c r="I191" s="27" t="s">
        <v>339</v>
      </c>
      <c r="J191" s="27">
        <v>0.16692821872110469</v>
      </c>
      <c r="L191" s="2" t="str">
        <f>"HVAC-DWH-"&amp;G191</f>
        <v>HVAC-DWH-Heat Pump - Air Source CEE Tier 1</v>
      </c>
      <c r="M191" s="2" t="str">
        <f>"KU-HVAC-DWH-"&amp;G191</f>
        <v>KU-HVAC-DWH-Heat Pump - Air Source CEE Tier 1</v>
      </c>
      <c r="N191" s="2" t="str">
        <f>"LG&amp;E-HVAC-DWH-"&amp;G191</f>
        <v>LG&amp;E-HVAC-DWH-Heat Pump - Air Source CEE Tier 1</v>
      </c>
    </row>
    <row r="192" spans="1:14">
      <c r="B192" s="27" t="s">
        <v>384</v>
      </c>
      <c r="C192" s="27" t="s">
        <v>375</v>
      </c>
      <c r="D192" s="27" t="s">
        <v>376</v>
      </c>
      <c r="E192" s="27" t="s">
        <v>2064</v>
      </c>
      <c r="F192" s="27" t="s">
        <v>1</v>
      </c>
      <c r="G192" s="27" t="s">
        <v>2070</v>
      </c>
      <c r="H192" s="27" t="s">
        <v>1702</v>
      </c>
      <c r="I192" s="27" t="s">
        <v>339</v>
      </c>
      <c r="J192" s="27">
        <v>0.39188776101425854</v>
      </c>
      <c r="L192" s="2" t="str">
        <f>"HVAC-DWH-"&amp;G192</f>
        <v>HVAC-DWH-Heat Pump - Ground Source ENERGY STAR</v>
      </c>
      <c r="M192" s="2" t="str">
        <f>"KU-HVAC-DWH-"&amp;G192</f>
        <v>KU-HVAC-DWH-Heat Pump - Ground Source ENERGY STAR</v>
      </c>
      <c r="N192" s="2" t="str">
        <f>"LG&amp;E-HVAC-DWH-"&amp;G192</f>
        <v>LG&amp;E-HVAC-DWH-Heat Pump - Ground Source ENERGY STAR</v>
      </c>
    </row>
    <row r="193" spans="1:17">
      <c r="B193" s="27" t="s">
        <v>384</v>
      </c>
      <c r="C193" s="27" t="s">
        <v>375</v>
      </c>
      <c r="D193" s="27" t="s">
        <v>376</v>
      </c>
      <c r="E193" s="27" t="s">
        <v>2073</v>
      </c>
      <c r="F193" s="27" t="s">
        <v>1</v>
      </c>
      <c r="G193" s="27" t="s">
        <v>2074</v>
      </c>
      <c r="H193" s="27" t="s">
        <v>1702</v>
      </c>
      <c r="I193" s="27" t="s">
        <v>339</v>
      </c>
      <c r="J193" s="27">
        <v>0.56632232764850643</v>
      </c>
      <c r="L193" s="2" t="str">
        <f t="shared" ref="L193:L203" si="239">"HVAC-DWH-"&amp;G193</f>
        <v>HVAC-DWH-Ductless Heat Pump (DHP)</v>
      </c>
      <c r="M193" s="2" t="str">
        <f t="shared" ref="M193:M203" si="240">"KU-HVAC-DWH-"&amp;G193</f>
        <v>KU-HVAC-DWH-Ductless Heat Pump (DHP)</v>
      </c>
      <c r="N193" s="2" t="str">
        <f t="shared" ref="N193:N203" si="241">"LG&amp;E-HVAC-DWH-"&amp;G193</f>
        <v>LG&amp;E-HVAC-DWH-Ductless Heat Pump (DHP)</v>
      </c>
    </row>
    <row r="194" spans="1:17">
      <c r="B194" s="27" t="s">
        <v>2013</v>
      </c>
      <c r="C194" s="27" t="s">
        <v>375</v>
      </c>
      <c r="D194" s="27" t="s">
        <v>376</v>
      </c>
      <c r="E194" s="27" t="s">
        <v>2077</v>
      </c>
      <c r="F194" s="27" t="s">
        <v>1</v>
      </c>
      <c r="G194" s="27" t="s">
        <v>2078</v>
      </c>
      <c r="H194" s="27" t="s">
        <v>934</v>
      </c>
      <c r="I194" s="27" t="s">
        <v>935</v>
      </c>
      <c r="J194" s="27">
        <v>16.348994469159489</v>
      </c>
      <c r="L194" s="2" t="str">
        <f t="shared" si="239"/>
        <v>HVAC-DWH-Boiler - ENERGY STAR</v>
      </c>
      <c r="M194" s="2" t="str">
        <f t="shared" si="240"/>
        <v>KU-HVAC-DWH-Boiler - ENERGY STAR</v>
      </c>
      <c r="N194" s="2" t="str">
        <f t="shared" si="241"/>
        <v>LG&amp;E-HVAC-DWH-Boiler - ENERGY STAR</v>
      </c>
    </row>
    <row r="195" spans="1:17">
      <c r="B195" s="27" t="s">
        <v>2013</v>
      </c>
      <c r="C195" s="27" t="s">
        <v>375</v>
      </c>
      <c r="D195" s="27" t="s">
        <v>376</v>
      </c>
      <c r="E195" s="27" t="s">
        <v>2082</v>
      </c>
      <c r="F195" s="27" t="s">
        <v>1</v>
      </c>
      <c r="G195" s="27" t="s">
        <v>2083</v>
      </c>
      <c r="H195" s="27" t="s">
        <v>2080</v>
      </c>
      <c r="I195" s="27" t="s">
        <v>938</v>
      </c>
      <c r="J195" s="27">
        <v>114.73340165471188</v>
      </c>
      <c r="L195" s="2" t="str">
        <f t="shared" si="239"/>
        <v>HVAC-DWH-Furnace - ENERGY STAR</v>
      </c>
      <c r="M195" s="2" t="str">
        <f t="shared" si="240"/>
        <v>KU-HVAC-DWH-Furnace - ENERGY STAR</v>
      </c>
      <c r="N195" s="2" t="str">
        <f t="shared" si="241"/>
        <v>LG&amp;E-HVAC-DWH-Furnace - ENERGY STAR</v>
      </c>
    </row>
    <row r="196" spans="1:17">
      <c r="B196" s="27" t="s">
        <v>384</v>
      </c>
      <c r="C196" s="27" t="s">
        <v>375</v>
      </c>
      <c r="D196" s="27" t="s">
        <v>376</v>
      </c>
      <c r="E196" s="27" t="s">
        <v>2002</v>
      </c>
      <c r="F196" s="27" t="s">
        <v>1</v>
      </c>
      <c r="G196" s="27" t="s">
        <v>2089</v>
      </c>
      <c r="H196" s="27" t="s">
        <v>2086</v>
      </c>
      <c r="I196" s="27" t="s">
        <v>2087</v>
      </c>
      <c r="J196" s="27"/>
      <c r="L196" s="2" t="str">
        <f t="shared" si="239"/>
        <v>HVAC-DWH-Tune-up - Central Air Conditioner</v>
      </c>
      <c r="M196" s="2" t="str">
        <f t="shared" si="240"/>
        <v>KU-HVAC-DWH-Tune-up - Central Air Conditioner</v>
      </c>
      <c r="N196" s="2" t="str">
        <f t="shared" si="241"/>
        <v>LG&amp;E-HVAC-DWH-Tune-up - Central Air Conditioner</v>
      </c>
    </row>
    <row r="197" spans="1:17">
      <c r="B197" s="27" t="s">
        <v>384</v>
      </c>
      <c r="C197" s="27" t="s">
        <v>375</v>
      </c>
      <c r="D197" s="27" t="s">
        <v>376</v>
      </c>
      <c r="E197" s="27" t="s">
        <v>2064</v>
      </c>
      <c r="F197" s="27" t="s">
        <v>1</v>
      </c>
      <c r="G197" s="27" t="s">
        <v>2094</v>
      </c>
      <c r="H197" s="27" t="s">
        <v>2092</v>
      </c>
      <c r="I197" s="27" t="s">
        <v>2093</v>
      </c>
      <c r="J197" s="27"/>
      <c r="L197" s="2" t="str">
        <f t="shared" si="239"/>
        <v>HVAC-DWH-Tune-up - Heat Pump</v>
      </c>
      <c r="M197" s="2" t="str">
        <f t="shared" si="240"/>
        <v>KU-HVAC-DWH-Tune-up - Heat Pump</v>
      </c>
      <c r="N197" s="2" t="str">
        <f t="shared" si="241"/>
        <v>LG&amp;E-HVAC-DWH-Tune-up - Heat Pump</v>
      </c>
    </row>
    <row r="198" spans="1:17">
      <c r="B198" s="27" t="s">
        <v>2013</v>
      </c>
      <c r="C198" s="27" t="s">
        <v>375</v>
      </c>
      <c r="D198" s="27" t="s">
        <v>376</v>
      </c>
      <c r="E198" s="27" t="s">
        <v>2082</v>
      </c>
      <c r="F198" s="27" t="s">
        <v>1</v>
      </c>
      <c r="G198" s="27" t="s">
        <v>2098</v>
      </c>
      <c r="H198" s="27" t="s">
        <v>2096</v>
      </c>
      <c r="I198" s="27" t="s">
        <v>2097</v>
      </c>
      <c r="J198" s="27"/>
      <c r="L198" s="2" t="str">
        <f t="shared" si="239"/>
        <v>HVAC-DWH-Tune-up - Furnace/Boiler</v>
      </c>
      <c r="M198" s="2" t="str">
        <f t="shared" si="240"/>
        <v>KU-HVAC-DWH-Tune-up - Furnace/Boiler</v>
      </c>
      <c r="N198" s="2" t="str">
        <f t="shared" si="241"/>
        <v>LG&amp;E-HVAC-DWH-Tune-up - Furnace/Boiler</v>
      </c>
    </row>
    <row r="199" spans="1:17">
      <c r="B199" s="27" t="s">
        <v>384</v>
      </c>
      <c r="C199" s="27" t="s">
        <v>375</v>
      </c>
      <c r="D199" s="27" t="s">
        <v>376</v>
      </c>
      <c r="E199" s="27" t="s">
        <v>1232</v>
      </c>
      <c r="F199" s="27" t="s">
        <v>1</v>
      </c>
      <c r="G199" s="27" t="s">
        <v>2103</v>
      </c>
      <c r="H199" s="27" t="s">
        <v>1702</v>
      </c>
      <c r="I199" s="27" t="s">
        <v>339</v>
      </c>
      <c r="J199" s="28">
        <v>1.4988072137903381E-4</v>
      </c>
      <c r="L199" s="2" t="str">
        <f t="shared" si="239"/>
        <v>HVAC-DWH-Motor - ECM</v>
      </c>
      <c r="M199" s="2" t="str">
        <f t="shared" si="240"/>
        <v>KU-HVAC-DWH-Motor - ECM</v>
      </c>
      <c r="N199" s="2" t="str">
        <f t="shared" si="241"/>
        <v>LG&amp;E-HVAC-DWH-Motor - ECM</v>
      </c>
    </row>
    <row r="200" spans="1:17">
      <c r="B200" s="27" t="s">
        <v>384</v>
      </c>
      <c r="C200" s="27" t="s">
        <v>375</v>
      </c>
      <c r="D200" s="27" t="s">
        <v>376</v>
      </c>
      <c r="E200" s="27" t="s">
        <v>1981</v>
      </c>
      <c r="F200" s="27" t="s">
        <v>1</v>
      </c>
      <c r="G200" s="27" t="s">
        <v>2108</v>
      </c>
      <c r="H200" s="27" t="s">
        <v>1702</v>
      </c>
      <c r="I200" s="27" t="s">
        <v>339</v>
      </c>
      <c r="J200" s="28">
        <v>0.38269229714504482</v>
      </c>
      <c r="L200" s="2" t="str">
        <f t="shared" si="239"/>
        <v>HVAC-DWH-Heat Pump Water Heater - ENERGY STAR</v>
      </c>
      <c r="M200" s="2" t="str">
        <f t="shared" si="240"/>
        <v>KU-HVAC-DWH-Heat Pump Water Heater - ENERGY STAR</v>
      </c>
      <c r="N200" s="2" t="str">
        <f t="shared" si="241"/>
        <v>LG&amp;E-HVAC-DWH-Heat Pump Water Heater - ENERGY STAR</v>
      </c>
    </row>
    <row r="201" spans="1:17">
      <c r="B201" s="27" t="s">
        <v>2013</v>
      </c>
      <c r="C201" s="27" t="s">
        <v>375</v>
      </c>
      <c r="D201" s="27" t="s">
        <v>376</v>
      </c>
      <c r="E201" s="27" t="s">
        <v>1981</v>
      </c>
      <c r="F201" s="27" t="s">
        <v>1</v>
      </c>
      <c r="G201" s="27" t="s">
        <v>2114</v>
      </c>
      <c r="H201" s="27" t="s">
        <v>2111</v>
      </c>
      <c r="I201" s="27" t="s">
        <v>2112</v>
      </c>
      <c r="J201" s="28">
        <v>0.15119996163034344</v>
      </c>
      <c r="L201" s="2" t="str">
        <f t="shared" si="239"/>
        <v>HVAC-DWH-Water Heater - Condensing</v>
      </c>
      <c r="M201" s="2" t="str">
        <f t="shared" si="240"/>
        <v>KU-HVAC-DWH-Water Heater - Condensing</v>
      </c>
      <c r="N201" s="2" t="str">
        <f t="shared" si="241"/>
        <v>LG&amp;E-HVAC-DWH-Water Heater - Condensing</v>
      </c>
    </row>
    <row r="202" spans="1:17">
      <c r="B202" s="27" t="s">
        <v>2013</v>
      </c>
      <c r="C202" s="27" t="s">
        <v>375</v>
      </c>
      <c r="D202" s="27" t="s">
        <v>376</v>
      </c>
      <c r="E202" s="27" t="s">
        <v>1981</v>
      </c>
      <c r="F202" s="27" t="s">
        <v>1</v>
      </c>
      <c r="G202" s="27" t="s">
        <v>2118</v>
      </c>
      <c r="H202" s="27" t="s">
        <v>2117</v>
      </c>
      <c r="I202" s="27" t="s">
        <v>2112</v>
      </c>
      <c r="J202" s="28">
        <v>0.37518868346663325</v>
      </c>
      <c r="L202" s="2" t="str">
        <f t="shared" si="239"/>
        <v>HVAC-DWH-Water Heater - ENERGY STAR Storage</v>
      </c>
      <c r="M202" s="2" t="str">
        <f t="shared" si="240"/>
        <v>KU-HVAC-DWH-Water Heater - ENERGY STAR Storage</v>
      </c>
      <c r="N202" s="2" t="str">
        <f t="shared" si="241"/>
        <v>LG&amp;E-HVAC-DWH-Water Heater - ENERGY STAR Storage</v>
      </c>
    </row>
    <row r="203" spans="1:17">
      <c r="B203" s="27" t="s">
        <v>2013</v>
      </c>
      <c r="C203" s="27" t="s">
        <v>375</v>
      </c>
      <c r="D203" s="27" t="s">
        <v>376</v>
      </c>
      <c r="E203" s="27" t="s">
        <v>1981</v>
      </c>
      <c r="F203" s="27" t="s">
        <v>1</v>
      </c>
      <c r="G203" s="27" t="s">
        <v>2122</v>
      </c>
      <c r="H203" s="27" t="s">
        <v>2120</v>
      </c>
      <c r="I203" s="27" t="s">
        <v>2112</v>
      </c>
      <c r="J203" s="28">
        <v>0.29447920728944393</v>
      </c>
      <c r="L203" s="2" t="str">
        <f t="shared" si="239"/>
        <v>HVAC-DWH-Water Heater - ENERGY STAR Tankless</v>
      </c>
      <c r="M203" s="2" t="str">
        <f t="shared" si="240"/>
        <v>KU-HVAC-DWH-Water Heater - ENERGY STAR Tankless</v>
      </c>
      <c r="N203" s="2" t="str">
        <f t="shared" si="241"/>
        <v>LG&amp;E-HVAC-DWH-Water Heater - ENERGY STAR Tankless</v>
      </c>
    </row>
    <row r="205" spans="1:17">
      <c r="A205" s="2" t="s">
        <v>2253</v>
      </c>
    </row>
    <row r="206" spans="1:17" ht="43.5">
      <c r="B206" s="697" t="s">
        <v>359</v>
      </c>
      <c r="C206" s="697" t="s">
        <v>166</v>
      </c>
      <c r="D206" s="697" t="s">
        <v>360</v>
      </c>
      <c r="E206" s="697" t="s">
        <v>361</v>
      </c>
      <c r="F206" s="697" t="s">
        <v>362</v>
      </c>
      <c r="G206" s="697" t="s">
        <v>363</v>
      </c>
      <c r="H206" s="697" t="s">
        <v>364</v>
      </c>
      <c r="I206" s="697" t="s">
        <v>365</v>
      </c>
      <c r="J206" s="697" t="s">
        <v>2244</v>
      </c>
      <c r="K206" s="697" t="s">
        <v>2245</v>
      </c>
      <c r="L206" s="349" t="s">
        <v>136</v>
      </c>
      <c r="M206" s="349" t="s">
        <v>2246</v>
      </c>
      <c r="N206" s="349" t="s">
        <v>2247</v>
      </c>
      <c r="O206" s="1285" t="s">
        <v>2248</v>
      </c>
      <c r="P206" s="1285"/>
      <c r="Q206" s="1285" t="s">
        <v>2249</v>
      </c>
    </row>
    <row r="207" spans="1:17">
      <c r="A207" s="2" t="s">
        <v>2254</v>
      </c>
      <c r="B207" s="27" t="s">
        <v>374</v>
      </c>
      <c r="C207" s="27" t="s">
        <v>375</v>
      </c>
      <c r="D207" s="27" t="s">
        <v>376</v>
      </c>
      <c r="E207" s="27" t="s">
        <v>2002</v>
      </c>
      <c r="F207" s="27" t="s">
        <v>1</v>
      </c>
      <c r="G207" s="27" t="s">
        <v>2126</v>
      </c>
      <c r="H207" s="27" t="s">
        <v>2123</v>
      </c>
      <c r="I207" s="27" t="s">
        <v>2124</v>
      </c>
      <c r="J207" s="27"/>
      <c r="L207" s="2" t="str">
        <f t="shared" ref="L207:L222" si="242">"Weatherization-"&amp;G207</f>
        <v>Weatherization-Ceiling Insulation (KY) - Code</v>
      </c>
      <c r="M207" s="2" t="str">
        <f t="shared" ref="M207:M222" si="243">"KU-Weatherization-"&amp;G207</f>
        <v>KU-Weatherization-Ceiling Insulation (KY) - Code</v>
      </c>
      <c r="N207" s="2" t="str">
        <f t="shared" ref="N207:N222" si="244">"LG&amp;E-Weatherization-"&amp;G207</f>
        <v>LG&amp;E-Weatherization-Ceiling Insulation (KY) - Code</v>
      </c>
      <c r="O207" s="271">
        <f>AVERAGE(O213,O223)</f>
        <v>289.95511020164105</v>
      </c>
      <c r="P207" s="271"/>
      <c r="Q207" s="271">
        <f>AVERAGE(Q213,Q223)</f>
        <v>20.293336281766397</v>
      </c>
    </row>
    <row r="208" spans="1:17">
      <c r="A208" s="2" t="s">
        <v>2254</v>
      </c>
      <c r="B208" s="27" t="s">
        <v>374</v>
      </c>
      <c r="C208" s="27" t="s">
        <v>375</v>
      </c>
      <c r="D208" s="27" t="s">
        <v>376</v>
      </c>
      <c r="E208" s="27" t="s">
        <v>2002</v>
      </c>
      <c r="F208" s="27" t="s">
        <v>1</v>
      </c>
      <c r="G208" s="27" t="s">
        <v>2132</v>
      </c>
      <c r="H208" s="27" t="s">
        <v>2128</v>
      </c>
      <c r="I208" s="27" t="s">
        <v>2129</v>
      </c>
      <c r="J208" s="27"/>
      <c r="L208" s="2" t="str">
        <f t="shared" si="242"/>
        <v>Weatherization-Duct Sealing and Insulation - Code</v>
      </c>
      <c r="M208" s="2" t="str">
        <f t="shared" si="243"/>
        <v>KU-Weatherization-Duct Sealing and Insulation - Code</v>
      </c>
      <c r="N208" s="2" t="str">
        <f t="shared" si="244"/>
        <v>LG&amp;E-Weatherization-Duct Sealing and Insulation - Code</v>
      </c>
      <c r="O208" s="271">
        <f t="shared" ref="O208:Q210" si="245">AVERAGE(O214,O224)</f>
        <v>734.19254888169826</v>
      </c>
      <c r="P208" s="271"/>
      <c r="Q208" s="271">
        <f t="shared" si="245"/>
        <v>35.406727089434739</v>
      </c>
    </row>
    <row r="209" spans="1:17">
      <c r="A209" s="2" t="s">
        <v>2254</v>
      </c>
      <c r="B209" s="27" t="s">
        <v>374</v>
      </c>
      <c r="C209" s="27" t="s">
        <v>375</v>
      </c>
      <c r="D209" s="27" t="s">
        <v>376</v>
      </c>
      <c r="E209" s="27" t="s">
        <v>2002</v>
      </c>
      <c r="F209" s="27" t="s">
        <v>1</v>
      </c>
      <c r="G209" s="27" t="s">
        <v>2137</v>
      </c>
      <c r="H209" s="27" t="s">
        <v>2133</v>
      </c>
      <c r="I209" s="27" t="s">
        <v>2134</v>
      </c>
      <c r="J209" s="27"/>
      <c r="L209" s="2" t="str">
        <f t="shared" si="242"/>
        <v>Weatherization-Infiltration Control - Reduction of Existing Conditions</v>
      </c>
      <c r="M209" s="2" t="str">
        <f t="shared" si="243"/>
        <v>KU-Weatherization-Infiltration Control - Reduction of Existing Conditions</v>
      </c>
      <c r="N209" s="2" t="str">
        <f t="shared" si="244"/>
        <v>LG&amp;E-Weatherization-Infiltration Control - Reduction of Existing Conditions</v>
      </c>
      <c r="O209" s="271">
        <f t="shared" si="245"/>
        <v>67.901079101881706</v>
      </c>
      <c r="P209" s="271"/>
      <c r="Q209" s="271">
        <f t="shared" si="245"/>
        <v>4.9650899135728759</v>
      </c>
    </row>
    <row r="210" spans="1:17">
      <c r="A210" s="2" t="s">
        <v>2254</v>
      </c>
      <c r="B210" s="27" t="s">
        <v>374</v>
      </c>
      <c r="C210" s="27" t="s">
        <v>375</v>
      </c>
      <c r="D210" s="27" t="s">
        <v>376</v>
      </c>
      <c r="E210" s="27" t="s">
        <v>2002</v>
      </c>
      <c r="F210" s="27" t="s">
        <v>1</v>
      </c>
      <c r="G210" s="27" t="s">
        <v>2140</v>
      </c>
      <c r="H210" s="27" t="s">
        <v>2139</v>
      </c>
      <c r="I210" s="27" t="s">
        <v>2124</v>
      </c>
      <c r="J210" s="27"/>
      <c r="L210" s="2" t="str">
        <f t="shared" si="242"/>
        <v>Weatherization-Wall Insulation (KY) - Maximum Feasible</v>
      </c>
      <c r="M210" s="2" t="str">
        <f t="shared" si="243"/>
        <v>KU-Weatherization-Wall Insulation (KY) - Maximum Feasible</v>
      </c>
      <c r="N210" s="2" t="str">
        <f t="shared" si="244"/>
        <v>LG&amp;E-Weatherization-Wall Insulation (KY) - Maximum Feasible</v>
      </c>
      <c r="O210" s="271">
        <f t="shared" si="245"/>
        <v>871.60811609264829</v>
      </c>
      <c r="P210" s="271"/>
      <c r="Q210" s="271">
        <f t="shared" si="245"/>
        <v>66.948447298614283</v>
      </c>
    </row>
    <row r="211" spans="1:17">
      <c r="A211" s="2" t="s">
        <v>2254</v>
      </c>
      <c r="B211" s="27" t="s">
        <v>374</v>
      </c>
      <c r="C211" s="27" t="s">
        <v>375</v>
      </c>
      <c r="D211" s="27" t="s">
        <v>376</v>
      </c>
      <c r="E211" s="27" t="s">
        <v>2002</v>
      </c>
      <c r="F211" s="27" t="s">
        <v>1</v>
      </c>
      <c r="G211" s="27" t="s">
        <v>2143</v>
      </c>
      <c r="H211" s="27" t="s">
        <v>2142</v>
      </c>
      <c r="I211" s="27" t="s">
        <v>2124</v>
      </c>
      <c r="J211" s="27"/>
      <c r="L211" s="2" t="str">
        <f t="shared" si="242"/>
        <v>Weatherization-Floor Insulation (KY) - Above Code</v>
      </c>
      <c r="M211" s="2" t="str">
        <f t="shared" si="243"/>
        <v>KU-Weatherization-Floor Insulation (KY) - Above Code</v>
      </c>
      <c r="N211" s="2" t="str">
        <f t="shared" si="244"/>
        <v>LG&amp;E-Weatherization-Floor Insulation (KY) - Above Code</v>
      </c>
    </row>
    <row r="212" spans="1:17">
      <c r="A212" s="2" t="s">
        <v>2254</v>
      </c>
      <c r="B212" s="27" t="s">
        <v>374</v>
      </c>
      <c r="C212" s="27" t="s">
        <v>375</v>
      </c>
      <c r="D212" s="27" t="s">
        <v>376</v>
      </c>
      <c r="E212" s="27" t="s">
        <v>2002</v>
      </c>
      <c r="F212" s="27" t="s">
        <v>1</v>
      </c>
      <c r="G212" s="27" t="s">
        <v>2147</v>
      </c>
      <c r="H212" s="27" t="s">
        <v>2145</v>
      </c>
      <c r="I212" s="27" t="s">
        <v>2124</v>
      </c>
      <c r="J212" s="27"/>
      <c r="L212" s="2" t="str">
        <f t="shared" si="242"/>
        <v>Weatherization-Insulation - Basement Wall - Code</v>
      </c>
      <c r="M212" s="2" t="str">
        <f t="shared" si="243"/>
        <v>KU-Weatherization-Insulation - Basement Wall - Code</v>
      </c>
      <c r="N212" s="2" t="str">
        <f t="shared" si="244"/>
        <v>LG&amp;E-Weatherization-Insulation - Basement Wall - Code</v>
      </c>
    </row>
    <row r="213" spans="1:17">
      <c r="A213" s="2" t="s">
        <v>285</v>
      </c>
      <c r="B213" s="27" t="s">
        <v>384</v>
      </c>
      <c r="C213" s="27" t="s">
        <v>375</v>
      </c>
      <c r="D213" s="27" t="s">
        <v>376</v>
      </c>
      <c r="E213" s="27" t="s">
        <v>2002</v>
      </c>
      <c r="F213" s="27" t="s">
        <v>1</v>
      </c>
      <c r="G213" s="27" t="s">
        <v>2126</v>
      </c>
      <c r="H213" s="27" t="s">
        <v>2123</v>
      </c>
      <c r="I213" s="27" t="s">
        <v>2124</v>
      </c>
      <c r="J213" s="27">
        <v>0.03</v>
      </c>
      <c r="L213" s="2" t="str">
        <f t="shared" si="242"/>
        <v>Weatherization-Ceiling Insulation (KY) - Code</v>
      </c>
      <c r="M213" s="2" t="str">
        <f t="shared" si="243"/>
        <v>KU-Weatherization-Ceiling Insulation (KY) - Code</v>
      </c>
      <c r="N213" s="2" t="str">
        <f t="shared" si="244"/>
        <v>LG&amp;E-Weatherization-Ceiling Insulation (KY) - Code</v>
      </c>
      <c r="O213" s="271">
        <v>254.00749736600105</v>
      </c>
      <c r="P213" s="271"/>
      <c r="Q213" s="271">
        <v>40.586672563532794</v>
      </c>
    </row>
    <row r="214" spans="1:17">
      <c r="A214" s="2" t="s">
        <v>285</v>
      </c>
      <c r="B214" s="27" t="s">
        <v>384</v>
      </c>
      <c r="C214" s="27" t="s">
        <v>375</v>
      </c>
      <c r="D214" s="27" t="s">
        <v>376</v>
      </c>
      <c r="E214" s="27" t="s">
        <v>2002</v>
      </c>
      <c r="F214" s="27" t="s">
        <v>1</v>
      </c>
      <c r="G214" s="27" t="s">
        <v>2132</v>
      </c>
      <c r="H214" s="27" t="s">
        <v>2128</v>
      </c>
      <c r="I214" s="27" t="s">
        <v>2129</v>
      </c>
      <c r="J214" s="27">
        <v>0.2</v>
      </c>
      <c r="L214" s="2" t="str">
        <f t="shared" si="242"/>
        <v>Weatherization-Duct Sealing and Insulation - Code</v>
      </c>
      <c r="M214" s="2" t="str">
        <f t="shared" si="243"/>
        <v>KU-Weatherization-Duct Sealing and Insulation - Code</v>
      </c>
      <c r="N214" s="2" t="str">
        <f t="shared" si="244"/>
        <v>LG&amp;E-Weatherization-Duct Sealing and Insulation - Code</v>
      </c>
      <c r="O214" s="271">
        <v>684.72692524745389</v>
      </c>
      <c r="P214" s="271"/>
      <c r="Q214" s="271">
        <v>70.813454178869478</v>
      </c>
    </row>
    <row r="215" spans="1:17">
      <c r="A215" s="2" t="s">
        <v>285</v>
      </c>
      <c r="B215" s="27" t="s">
        <v>384</v>
      </c>
      <c r="C215" s="27" t="s">
        <v>375</v>
      </c>
      <c r="D215" s="27" t="s">
        <v>376</v>
      </c>
      <c r="E215" s="27" t="s">
        <v>2002</v>
      </c>
      <c r="F215" s="27" t="s">
        <v>1</v>
      </c>
      <c r="G215" s="27" t="s">
        <v>2137</v>
      </c>
      <c r="H215" s="27" t="s">
        <v>2133</v>
      </c>
      <c r="I215" s="27" t="s">
        <v>2134</v>
      </c>
      <c r="J215" s="27">
        <v>0.03</v>
      </c>
      <c r="L215" s="2" t="str">
        <f t="shared" si="242"/>
        <v>Weatherization-Infiltration Control - Reduction of Existing Conditions</v>
      </c>
      <c r="M215" s="2" t="str">
        <f t="shared" si="243"/>
        <v>KU-Weatherization-Infiltration Control - Reduction of Existing Conditions</v>
      </c>
      <c r="N215" s="2" t="str">
        <f t="shared" si="244"/>
        <v>LG&amp;E-Weatherization-Infiltration Control - Reduction of Existing Conditions</v>
      </c>
      <c r="O215" s="271">
        <v>61.447671006015618</v>
      </c>
      <c r="P215" s="271"/>
      <c r="Q215" s="271">
        <v>9.9301798271457518</v>
      </c>
    </row>
    <row r="216" spans="1:17">
      <c r="A216" s="2" t="s">
        <v>285</v>
      </c>
      <c r="B216" s="27" t="s">
        <v>384</v>
      </c>
      <c r="C216" s="27" t="s">
        <v>375</v>
      </c>
      <c r="D216" s="27" t="s">
        <v>376</v>
      </c>
      <c r="E216" s="27" t="s">
        <v>2002</v>
      </c>
      <c r="F216" s="27" t="s">
        <v>1</v>
      </c>
      <c r="G216" s="27" t="s">
        <v>2140</v>
      </c>
      <c r="H216" s="27" t="s">
        <v>2139</v>
      </c>
      <c r="I216" s="27" t="s">
        <v>2124</v>
      </c>
      <c r="J216" s="27">
        <v>0.09</v>
      </c>
      <c r="L216" s="2" t="str">
        <f t="shared" si="242"/>
        <v>Weatherization-Wall Insulation (KY) - Maximum Feasible</v>
      </c>
      <c r="M216" s="2" t="str">
        <f t="shared" si="243"/>
        <v>KU-Weatherization-Wall Insulation (KY) - Maximum Feasible</v>
      </c>
      <c r="N216" s="2" t="str">
        <f t="shared" si="244"/>
        <v>LG&amp;E-Weatherization-Wall Insulation (KY) - Maximum Feasible</v>
      </c>
      <c r="O216" s="271">
        <v>837.97988239814572</v>
      </c>
      <c r="P216" s="271"/>
      <c r="Q216" s="271">
        <v>133.89689459722857</v>
      </c>
    </row>
    <row r="217" spans="1:17">
      <c r="A217" s="2" t="s">
        <v>285</v>
      </c>
      <c r="B217" s="27" t="s">
        <v>2013</v>
      </c>
      <c r="C217" s="27" t="s">
        <v>375</v>
      </c>
      <c r="D217" s="27" t="s">
        <v>376</v>
      </c>
      <c r="E217" s="27" t="s">
        <v>2082</v>
      </c>
      <c r="F217" s="27" t="s">
        <v>1</v>
      </c>
      <c r="G217" s="27" t="s">
        <v>2126</v>
      </c>
      <c r="H217" s="27" t="s">
        <v>2123</v>
      </c>
      <c r="I217" s="27" t="s">
        <v>2124</v>
      </c>
      <c r="J217" s="27">
        <v>0.28000000000000003</v>
      </c>
      <c r="L217" s="2" t="str">
        <f t="shared" si="242"/>
        <v>Weatherization-Ceiling Insulation (KY) - Code</v>
      </c>
      <c r="M217" s="2" t="str">
        <f t="shared" si="243"/>
        <v>KU-Weatherization-Ceiling Insulation (KY) - Code</v>
      </c>
      <c r="N217" s="2" t="str">
        <f t="shared" si="244"/>
        <v>LG&amp;E-Weatherization-Ceiling Insulation (KY) - Code</v>
      </c>
      <c r="O217" s="271">
        <v>38.283536984847508</v>
      </c>
      <c r="P217" s="271"/>
      <c r="Q217" s="271">
        <v>59.800698866718321</v>
      </c>
    </row>
    <row r="218" spans="1:17">
      <c r="A218" s="2" t="s">
        <v>285</v>
      </c>
      <c r="B218" s="27" t="s">
        <v>2013</v>
      </c>
      <c r="C218" s="27" t="s">
        <v>375</v>
      </c>
      <c r="D218" s="27" t="s">
        <v>376</v>
      </c>
      <c r="E218" s="27" t="s">
        <v>2082</v>
      </c>
      <c r="F218" s="27" t="s">
        <v>1</v>
      </c>
      <c r="G218" s="27" t="s">
        <v>2132</v>
      </c>
      <c r="H218" s="27" t="s">
        <v>2128</v>
      </c>
      <c r="I218" s="27" t="s">
        <v>2129</v>
      </c>
      <c r="J218" s="27">
        <v>0.54</v>
      </c>
      <c r="L218" s="2" t="str">
        <f t="shared" si="242"/>
        <v>Weatherization-Duct Sealing and Insulation - Code</v>
      </c>
      <c r="M218" s="2" t="str">
        <f t="shared" si="243"/>
        <v>KU-Weatherization-Duct Sealing and Insulation - Code</v>
      </c>
      <c r="N218" s="2" t="str">
        <f t="shared" si="244"/>
        <v>LG&amp;E-Weatherization-Duct Sealing and Insulation - Code</v>
      </c>
      <c r="O218" s="271">
        <v>120.95984778402214</v>
      </c>
      <c r="P218" s="271"/>
      <c r="Q218" s="271">
        <v>104.1601204476481</v>
      </c>
    </row>
    <row r="219" spans="1:17">
      <c r="A219" s="2" t="s">
        <v>285</v>
      </c>
      <c r="B219" s="27" t="s">
        <v>2013</v>
      </c>
      <c r="C219" s="27" t="s">
        <v>375</v>
      </c>
      <c r="D219" s="27" t="s">
        <v>376</v>
      </c>
      <c r="E219" s="27" t="s">
        <v>2082</v>
      </c>
      <c r="F219" s="27" t="s">
        <v>1</v>
      </c>
      <c r="G219" s="27" t="s">
        <v>2143</v>
      </c>
      <c r="H219" s="27" t="s">
        <v>2142</v>
      </c>
      <c r="I219" s="27" t="s">
        <v>2124</v>
      </c>
      <c r="J219" s="27">
        <v>0.63</v>
      </c>
      <c r="L219" s="2" t="str">
        <f t="shared" si="242"/>
        <v>Weatherization-Floor Insulation (KY) - Above Code</v>
      </c>
      <c r="M219" s="2" t="str">
        <f t="shared" si="243"/>
        <v>KU-Weatherization-Floor Insulation (KY) - Above Code</v>
      </c>
      <c r="N219" s="2" t="str">
        <f t="shared" si="244"/>
        <v>LG&amp;E-Weatherization-Floor Insulation (KY) - Above Code</v>
      </c>
      <c r="O219" s="271">
        <v>0</v>
      </c>
      <c r="P219" s="271"/>
      <c r="Q219" s="271">
        <v>0</v>
      </c>
    </row>
    <row r="220" spans="1:17">
      <c r="A220" s="2" t="s">
        <v>285</v>
      </c>
      <c r="B220" s="27" t="s">
        <v>2013</v>
      </c>
      <c r="C220" s="27" t="s">
        <v>375</v>
      </c>
      <c r="D220" s="27" t="s">
        <v>376</v>
      </c>
      <c r="E220" s="27" t="s">
        <v>2082</v>
      </c>
      <c r="F220" s="27" t="s">
        <v>1</v>
      </c>
      <c r="G220" s="27" t="s">
        <v>2137</v>
      </c>
      <c r="H220" s="27" t="s">
        <v>2133</v>
      </c>
      <c r="I220" s="27" t="s">
        <v>2134</v>
      </c>
      <c r="J220" s="27">
        <v>0.18</v>
      </c>
      <c r="L220" s="2" t="str">
        <f t="shared" si="242"/>
        <v>Weatherization-Infiltration Control - Reduction of Existing Conditions</v>
      </c>
      <c r="M220" s="2" t="str">
        <f t="shared" si="243"/>
        <v>KU-Weatherization-Infiltration Control - Reduction of Existing Conditions</v>
      </c>
      <c r="N220" s="2" t="str">
        <f t="shared" si="244"/>
        <v>LG&amp;E-Weatherization-Infiltration Control - Reduction of Existing Conditions</v>
      </c>
      <c r="O220" s="271">
        <v>12.315638861240359</v>
      </c>
      <c r="P220" s="271"/>
      <c r="Q220" s="271">
        <v>14.606387145720504</v>
      </c>
    </row>
    <row r="221" spans="1:17">
      <c r="A221" s="2" t="s">
        <v>285</v>
      </c>
      <c r="B221" s="27" t="s">
        <v>2013</v>
      </c>
      <c r="C221" s="27" t="s">
        <v>375</v>
      </c>
      <c r="D221" s="27" t="s">
        <v>376</v>
      </c>
      <c r="E221" s="27" t="s">
        <v>2082</v>
      </c>
      <c r="F221" s="27" t="s">
        <v>1</v>
      </c>
      <c r="G221" s="27" t="s">
        <v>2147</v>
      </c>
      <c r="H221" s="27" t="s">
        <v>2145</v>
      </c>
      <c r="I221" s="27" t="s">
        <v>2124</v>
      </c>
      <c r="J221" s="27">
        <v>0.98</v>
      </c>
      <c r="L221" s="2" t="str">
        <f t="shared" si="242"/>
        <v>Weatherization-Insulation - Basement Wall - Code</v>
      </c>
      <c r="M221" s="2" t="str">
        <f t="shared" si="243"/>
        <v>KU-Weatherization-Insulation - Basement Wall - Code</v>
      </c>
      <c r="N221" s="2" t="str">
        <f t="shared" si="244"/>
        <v>LG&amp;E-Weatherization-Insulation - Basement Wall - Code</v>
      </c>
      <c r="O221" s="271">
        <v>0</v>
      </c>
      <c r="P221" s="271"/>
      <c r="Q221" s="271">
        <v>0</v>
      </c>
    </row>
    <row r="222" spans="1:17">
      <c r="A222" s="2" t="s">
        <v>285</v>
      </c>
      <c r="B222" s="27" t="s">
        <v>2013</v>
      </c>
      <c r="C222" s="27" t="s">
        <v>375</v>
      </c>
      <c r="D222" s="27" t="s">
        <v>376</v>
      </c>
      <c r="E222" s="27" t="s">
        <v>2082</v>
      </c>
      <c r="F222" s="27" t="s">
        <v>1</v>
      </c>
      <c r="G222" s="27" t="s">
        <v>2140</v>
      </c>
      <c r="H222" s="27" t="s">
        <v>2139</v>
      </c>
      <c r="I222" s="27" t="s">
        <v>2124</v>
      </c>
      <c r="J222" s="27">
        <v>0.69</v>
      </c>
      <c r="L222" s="2" t="str">
        <f t="shared" si="242"/>
        <v>Weatherization-Wall Insulation (KY) - Maximum Feasible</v>
      </c>
      <c r="M222" s="2" t="str">
        <f t="shared" si="243"/>
        <v>KU-Weatherization-Wall Insulation (KY) - Maximum Feasible</v>
      </c>
      <c r="N222" s="2" t="str">
        <f t="shared" si="244"/>
        <v>LG&amp;E-Weatherization-Wall Insulation (KY) - Maximum Feasible</v>
      </c>
      <c r="O222" s="271">
        <v>126.29876737111462</v>
      </c>
      <c r="P222" s="271"/>
      <c r="Q222" s="271">
        <v>197.28465940299844</v>
      </c>
    </row>
    <row r="223" spans="1:17">
      <c r="A223" s="2" t="s">
        <v>283</v>
      </c>
      <c r="B223" s="27" t="s">
        <v>384</v>
      </c>
      <c r="C223" s="27" t="s">
        <v>375</v>
      </c>
      <c r="D223" s="27" t="s">
        <v>376</v>
      </c>
      <c r="E223" s="27" t="s">
        <v>2002</v>
      </c>
      <c r="F223" s="27" t="s">
        <v>1</v>
      </c>
      <c r="G223" s="27" t="s">
        <v>2126</v>
      </c>
      <c r="H223" s="27" t="s">
        <v>2123</v>
      </c>
      <c r="I223" s="27" t="s">
        <v>2124</v>
      </c>
      <c r="J223" s="27">
        <v>0.03</v>
      </c>
      <c r="L223" s="2" t="str">
        <f>"Weatherization-"&amp;G223</f>
        <v>Weatherization-Ceiling Insulation (KY) - Code</v>
      </c>
      <c r="M223" s="2" t="str">
        <f>"KU-Weatherization-"&amp;G223</f>
        <v>KU-Weatherization-Ceiling Insulation (KY) - Code</v>
      </c>
      <c r="N223" s="2" t="str">
        <f>"LG&amp;E-Weatherization-"&amp;G223</f>
        <v>LG&amp;E-Weatherization-Ceiling Insulation (KY) - Code</v>
      </c>
      <c r="O223" s="271">
        <v>325.90272303728102</v>
      </c>
      <c r="P223" s="271"/>
      <c r="Q223" s="271">
        <v>0</v>
      </c>
    </row>
    <row r="224" spans="1:17">
      <c r="A224" s="2" t="s">
        <v>283</v>
      </c>
      <c r="B224" s="27" t="s">
        <v>384</v>
      </c>
      <c r="C224" s="27" t="s">
        <v>375</v>
      </c>
      <c r="D224" s="27" t="s">
        <v>376</v>
      </c>
      <c r="E224" s="27" t="s">
        <v>2002</v>
      </c>
      <c r="F224" s="27" t="s">
        <v>1</v>
      </c>
      <c r="G224" s="27" t="s">
        <v>2132</v>
      </c>
      <c r="H224" s="27" t="s">
        <v>2128</v>
      </c>
      <c r="I224" s="27" t="s">
        <v>2129</v>
      </c>
      <c r="J224" s="27">
        <v>0.2</v>
      </c>
      <c r="L224" s="2" t="str">
        <f t="shared" ref="L224:L232" si="246">"Weatherization-"&amp;G224</f>
        <v>Weatherization-Duct Sealing and Insulation - Code</v>
      </c>
      <c r="M224" s="2" t="str">
        <f t="shared" ref="M224:M232" si="247">"KU-Weatherization-"&amp;G224</f>
        <v>KU-Weatherization-Duct Sealing and Insulation - Code</v>
      </c>
      <c r="N224" s="2" t="str">
        <f t="shared" ref="N224:N232" si="248">"LG&amp;E-Weatherization-"&amp;G224</f>
        <v>LG&amp;E-Weatherization-Duct Sealing and Insulation - Code</v>
      </c>
      <c r="O224" s="271">
        <v>783.65817251594262</v>
      </c>
      <c r="P224" s="271"/>
      <c r="Q224" s="271">
        <v>0</v>
      </c>
    </row>
    <row r="225" spans="1:19">
      <c r="A225" s="2" t="s">
        <v>283</v>
      </c>
      <c r="B225" s="27" t="s">
        <v>384</v>
      </c>
      <c r="C225" s="27" t="s">
        <v>375</v>
      </c>
      <c r="D225" s="27" t="s">
        <v>376</v>
      </c>
      <c r="E225" s="27" t="s">
        <v>2002</v>
      </c>
      <c r="F225" s="27" t="s">
        <v>1</v>
      </c>
      <c r="G225" s="27" t="s">
        <v>2137</v>
      </c>
      <c r="H225" s="27" t="s">
        <v>2133</v>
      </c>
      <c r="I225" s="27" t="s">
        <v>2134</v>
      </c>
      <c r="J225" s="27">
        <v>0.03</v>
      </c>
      <c r="L225" s="2" t="str">
        <f t="shared" si="246"/>
        <v>Weatherization-Infiltration Control - Reduction of Existing Conditions</v>
      </c>
      <c r="M225" s="2" t="str">
        <f t="shared" si="247"/>
        <v>KU-Weatherization-Infiltration Control - Reduction of Existing Conditions</v>
      </c>
      <c r="N225" s="2" t="str">
        <f t="shared" si="248"/>
        <v>LG&amp;E-Weatherization-Infiltration Control - Reduction of Existing Conditions</v>
      </c>
      <c r="O225" s="271">
        <v>74.354487197747787</v>
      </c>
      <c r="P225" s="271"/>
      <c r="Q225" s="271">
        <v>0</v>
      </c>
    </row>
    <row r="226" spans="1:19">
      <c r="A226" s="2" t="s">
        <v>283</v>
      </c>
      <c r="B226" s="27" t="s">
        <v>384</v>
      </c>
      <c r="C226" s="27" t="s">
        <v>375</v>
      </c>
      <c r="D226" s="27" t="s">
        <v>376</v>
      </c>
      <c r="E226" s="27" t="s">
        <v>2002</v>
      </c>
      <c r="F226" s="27" t="s">
        <v>1</v>
      </c>
      <c r="G226" s="27" t="s">
        <v>2140</v>
      </c>
      <c r="H226" s="27" t="s">
        <v>2139</v>
      </c>
      <c r="I226" s="27" t="s">
        <v>2124</v>
      </c>
      <c r="J226" s="27">
        <v>0.09</v>
      </c>
      <c r="L226" s="2" t="str">
        <f t="shared" si="246"/>
        <v>Weatherization-Wall Insulation (KY) - Maximum Feasible</v>
      </c>
      <c r="M226" s="2" t="str">
        <f t="shared" si="247"/>
        <v>KU-Weatherization-Wall Insulation (KY) - Maximum Feasible</v>
      </c>
      <c r="N226" s="2" t="str">
        <f t="shared" si="248"/>
        <v>LG&amp;E-Weatherization-Wall Insulation (KY) - Maximum Feasible</v>
      </c>
      <c r="O226" s="271">
        <v>905.23634978715097</v>
      </c>
      <c r="P226" s="271"/>
      <c r="Q226" s="271">
        <v>0</v>
      </c>
    </row>
    <row r="227" spans="1:19">
      <c r="A227" s="2" t="s">
        <v>283</v>
      </c>
      <c r="B227" s="27" t="s">
        <v>2013</v>
      </c>
      <c r="C227" s="27" t="s">
        <v>375</v>
      </c>
      <c r="D227" s="27" t="s">
        <v>376</v>
      </c>
      <c r="E227" s="27" t="s">
        <v>2082</v>
      </c>
      <c r="F227" s="27" t="s">
        <v>1</v>
      </c>
      <c r="G227" s="27" t="s">
        <v>2126</v>
      </c>
      <c r="H227" s="27" t="s">
        <v>2123</v>
      </c>
      <c r="I227" s="27" t="s">
        <v>2124</v>
      </c>
      <c r="J227" s="27">
        <v>0.28000000000000003</v>
      </c>
      <c r="L227" s="2" t="str">
        <f t="shared" si="246"/>
        <v>Weatherization-Ceiling Insulation (KY) - Code</v>
      </c>
      <c r="M227" s="2" t="str">
        <f t="shared" si="247"/>
        <v>KU-Weatherization-Ceiling Insulation (KY) - Code</v>
      </c>
      <c r="N227" s="2" t="str">
        <f t="shared" si="248"/>
        <v>LG&amp;E-Weatherization-Ceiling Insulation (KY) - Code</v>
      </c>
      <c r="O227" s="271">
        <v>0</v>
      </c>
      <c r="P227" s="271"/>
      <c r="Q227" s="271">
        <v>0</v>
      </c>
    </row>
    <row r="228" spans="1:19">
      <c r="A228" s="2" t="s">
        <v>283</v>
      </c>
      <c r="B228" s="27" t="s">
        <v>2013</v>
      </c>
      <c r="C228" s="27" t="s">
        <v>375</v>
      </c>
      <c r="D228" s="27" t="s">
        <v>376</v>
      </c>
      <c r="E228" s="27" t="s">
        <v>2082</v>
      </c>
      <c r="F228" s="27" t="s">
        <v>1</v>
      </c>
      <c r="G228" s="27" t="s">
        <v>2132</v>
      </c>
      <c r="H228" s="27" t="s">
        <v>2128</v>
      </c>
      <c r="I228" s="27" t="s">
        <v>2129</v>
      </c>
      <c r="J228" s="27">
        <v>0.54</v>
      </c>
      <c r="L228" s="2" t="str">
        <f t="shared" si="246"/>
        <v>Weatherization-Duct Sealing and Insulation - Code</v>
      </c>
      <c r="M228" s="2" t="str">
        <f t="shared" si="247"/>
        <v>KU-Weatherization-Duct Sealing and Insulation - Code</v>
      </c>
      <c r="N228" s="2" t="str">
        <f t="shared" si="248"/>
        <v>LG&amp;E-Weatherization-Duct Sealing and Insulation - Code</v>
      </c>
      <c r="O228" s="271">
        <v>0</v>
      </c>
      <c r="P228" s="271"/>
      <c r="Q228" s="271">
        <v>0</v>
      </c>
    </row>
    <row r="229" spans="1:19">
      <c r="A229" s="2" t="s">
        <v>283</v>
      </c>
      <c r="B229" s="27" t="s">
        <v>2013</v>
      </c>
      <c r="C229" s="27" t="s">
        <v>375</v>
      </c>
      <c r="D229" s="27" t="s">
        <v>376</v>
      </c>
      <c r="E229" s="27" t="s">
        <v>2082</v>
      </c>
      <c r="F229" s="27" t="s">
        <v>1</v>
      </c>
      <c r="G229" s="27" t="s">
        <v>2143</v>
      </c>
      <c r="H229" s="27" t="s">
        <v>2142</v>
      </c>
      <c r="I229" s="27" t="s">
        <v>2124</v>
      </c>
      <c r="J229" s="27">
        <v>0.63</v>
      </c>
      <c r="L229" s="2" t="str">
        <f t="shared" si="246"/>
        <v>Weatherization-Floor Insulation (KY) - Above Code</v>
      </c>
      <c r="M229" s="2" t="str">
        <f t="shared" si="247"/>
        <v>KU-Weatherization-Floor Insulation (KY) - Above Code</v>
      </c>
      <c r="N229" s="2" t="str">
        <f t="shared" si="248"/>
        <v>LG&amp;E-Weatherization-Floor Insulation (KY) - Above Code</v>
      </c>
      <c r="O229" s="271">
        <v>0</v>
      </c>
      <c r="P229" s="271"/>
      <c r="Q229" s="271">
        <v>0</v>
      </c>
    </row>
    <row r="230" spans="1:19">
      <c r="A230" s="2" t="s">
        <v>283</v>
      </c>
      <c r="B230" s="27" t="s">
        <v>2013</v>
      </c>
      <c r="C230" s="27" t="s">
        <v>375</v>
      </c>
      <c r="D230" s="27" t="s">
        <v>376</v>
      </c>
      <c r="E230" s="27" t="s">
        <v>2082</v>
      </c>
      <c r="F230" s="27" t="s">
        <v>1</v>
      </c>
      <c r="G230" s="27" t="s">
        <v>2137</v>
      </c>
      <c r="H230" s="27" t="s">
        <v>2133</v>
      </c>
      <c r="I230" s="27" t="s">
        <v>2134</v>
      </c>
      <c r="J230" s="27">
        <v>0.18</v>
      </c>
      <c r="L230" s="2" t="str">
        <f t="shared" si="246"/>
        <v>Weatherization-Infiltration Control - Reduction of Existing Conditions</v>
      </c>
      <c r="M230" s="2" t="str">
        <f t="shared" si="247"/>
        <v>KU-Weatherization-Infiltration Control - Reduction of Existing Conditions</v>
      </c>
      <c r="N230" s="2" t="str">
        <f t="shared" si="248"/>
        <v>LG&amp;E-Weatherization-Infiltration Control - Reduction of Existing Conditions</v>
      </c>
      <c r="O230" s="271">
        <v>0</v>
      </c>
      <c r="P230" s="271"/>
      <c r="Q230" s="271">
        <v>0</v>
      </c>
    </row>
    <row r="231" spans="1:19">
      <c r="A231" s="2" t="s">
        <v>283</v>
      </c>
      <c r="B231" s="27" t="s">
        <v>2013</v>
      </c>
      <c r="C231" s="27" t="s">
        <v>375</v>
      </c>
      <c r="D231" s="27" t="s">
        <v>376</v>
      </c>
      <c r="E231" s="27" t="s">
        <v>2082</v>
      </c>
      <c r="F231" s="27" t="s">
        <v>1</v>
      </c>
      <c r="G231" s="27" t="s">
        <v>2147</v>
      </c>
      <c r="H231" s="27" t="s">
        <v>2145</v>
      </c>
      <c r="I231" s="27" t="s">
        <v>2124</v>
      </c>
      <c r="J231" s="27">
        <v>0.98</v>
      </c>
      <c r="L231" s="2" t="str">
        <f t="shared" si="246"/>
        <v>Weatherization-Insulation - Basement Wall - Code</v>
      </c>
      <c r="M231" s="2" t="str">
        <f t="shared" si="247"/>
        <v>KU-Weatherization-Insulation - Basement Wall - Code</v>
      </c>
      <c r="N231" s="2" t="str">
        <f t="shared" si="248"/>
        <v>LG&amp;E-Weatherization-Insulation - Basement Wall - Code</v>
      </c>
      <c r="O231" s="271">
        <v>0</v>
      </c>
      <c r="P231" s="271"/>
      <c r="Q231" s="271">
        <v>0</v>
      </c>
    </row>
    <row r="232" spans="1:19">
      <c r="A232" s="2" t="s">
        <v>283</v>
      </c>
      <c r="B232" s="27" t="s">
        <v>2013</v>
      </c>
      <c r="C232" s="27" t="s">
        <v>375</v>
      </c>
      <c r="D232" s="27" t="s">
        <v>376</v>
      </c>
      <c r="E232" s="27" t="s">
        <v>2082</v>
      </c>
      <c r="F232" s="27" t="s">
        <v>1</v>
      </c>
      <c r="G232" s="27" t="s">
        <v>2140</v>
      </c>
      <c r="H232" s="27" t="s">
        <v>2139</v>
      </c>
      <c r="I232" s="27" t="s">
        <v>2124</v>
      </c>
      <c r="J232" s="27">
        <v>0.69</v>
      </c>
      <c r="L232" s="2" t="str">
        <f t="shared" si="246"/>
        <v>Weatherization-Wall Insulation (KY) - Maximum Feasible</v>
      </c>
      <c r="M232" s="2" t="str">
        <f t="shared" si="247"/>
        <v>KU-Weatherization-Wall Insulation (KY) - Maximum Feasible</v>
      </c>
      <c r="N232" s="2" t="str">
        <f t="shared" si="248"/>
        <v>LG&amp;E-Weatherization-Wall Insulation (KY) - Maximum Feasible</v>
      </c>
      <c r="O232" s="271">
        <v>0</v>
      </c>
      <c r="P232" s="271"/>
      <c r="Q232" s="271">
        <v>0</v>
      </c>
    </row>
    <row r="233" spans="1:19">
      <c r="B233" s="27"/>
      <c r="C233" s="27"/>
      <c r="D233" s="27"/>
      <c r="E233" s="27"/>
      <c r="F233" s="27"/>
      <c r="G233" s="27"/>
      <c r="H233" s="27"/>
      <c r="I233" s="27"/>
      <c r="J233" s="27"/>
    </row>
    <row r="234" spans="1:19">
      <c r="A234" s="2" t="s">
        <v>2255</v>
      </c>
      <c r="B234" s="27"/>
      <c r="C234" s="27"/>
      <c r="D234" s="27"/>
      <c r="E234" s="27"/>
      <c r="F234" s="27"/>
      <c r="G234" s="27"/>
      <c r="H234" s="27"/>
      <c r="I234" s="27"/>
      <c r="J234" s="27"/>
    </row>
    <row r="235" spans="1:19" hidden="1">
      <c r="A235" s="2" t="s">
        <v>2243</v>
      </c>
    </row>
    <row r="236" spans="1:19" ht="43.5" hidden="1">
      <c r="B236" s="697" t="s">
        <v>359</v>
      </c>
      <c r="C236" s="697" t="s">
        <v>166</v>
      </c>
      <c r="D236" s="697" t="s">
        <v>360</v>
      </c>
      <c r="E236" s="697" t="s">
        <v>361</v>
      </c>
      <c r="F236" s="697" t="s">
        <v>362</v>
      </c>
      <c r="G236" s="697" t="s">
        <v>363</v>
      </c>
      <c r="H236" s="697" t="s">
        <v>364</v>
      </c>
      <c r="I236" s="697" t="s">
        <v>365</v>
      </c>
      <c r="J236" s="697" t="s">
        <v>2244</v>
      </c>
      <c r="K236" s="697" t="s">
        <v>2245</v>
      </c>
      <c r="L236" s="823" t="s">
        <v>136</v>
      </c>
      <c r="M236" s="823" t="s">
        <v>2246</v>
      </c>
      <c r="N236" s="823" t="s">
        <v>2247</v>
      </c>
      <c r="O236" s="1285" t="s">
        <v>2256</v>
      </c>
      <c r="P236" s="1285"/>
      <c r="Q236" s="1285" t="s">
        <v>2257</v>
      </c>
      <c r="R236" s="3"/>
      <c r="S236" s="3"/>
    </row>
    <row r="237" spans="1:19" hidden="1">
      <c r="B237" s="27" t="s">
        <v>384</v>
      </c>
      <c r="C237" s="27" t="s">
        <v>375</v>
      </c>
      <c r="D237" s="27" t="s">
        <v>376</v>
      </c>
      <c r="E237" s="27" t="s">
        <v>1958</v>
      </c>
      <c r="F237" s="27" t="s">
        <v>1</v>
      </c>
      <c r="G237" s="27" t="s">
        <v>1970</v>
      </c>
      <c r="H237" s="27" t="s">
        <v>1702</v>
      </c>
      <c r="I237" s="27" t="s">
        <v>339</v>
      </c>
      <c r="J237" s="29"/>
      <c r="L237" s="2" t="str">
        <f>"DI-"&amp;G237</f>
        <v>DI-Lighting General Service Lamp - Premium Efficiency LED</v>
      </c>
      <c r="M237" s="2" t="str">
        <f>"KU-DI-"&amp;G237</f>
        <v>KU-DI-Lighting General Service Lamp - Premium Efficiency LED</v>
      </c>
      <c r="N237" s="2" t="str">
        <f>"LG&amp;E-DI-"&amp;G237</f>
        <v>LG&amp;E-DI-Lighting General Service Lamp - Premium Efficiency LED</v>
      </c>
    </row>
    <row r="238" spans="1:19" hidden="1">
      <c r="B238" s="27" t="s">
        <v>384</v>
      </c>
      <c r="C238" s="27" t="s">
        <v>375</v>
      </c>
      <c r="D238" s="27" t="s">
        <v>376</v>
      </c>
      <c r="E238" s="27" t="s">
        <v>1958</v>
      </c>
      <c r="F238" s="27" t="s">
        <v>1</v>
      </c>
      <c r="G238" s="27" t="s">
        <v>1972</v>
      </c>
      <c r="H238" s="27" t="s">
        <v>1702</v>
      </c>
      <c r="I238" s="27" t="s">
        <v>339</v>
      </c>
      <c r="J238" s="29"/>
      <c r="L238" s="2" t="str">
        <f t="shared" ref="L238:L251" si="249">"DI-"&amp;G238</f>
        <v>DI-Lighting General Service Lamp - EISA Standard 2020</v>
      </c>
      <c r="M238" s="2" t="str">
        <f t="shared" ref="M238:M251" si="250">"KU-DI-"&amp;G238</f>
        <v>KU-DI-Lighting General Service Lamp - EISA Standard 2020</v>
      </c>
      <c r="N238" s="2" t="str">
        <f t="shared" ref="N238:N251" si="251">"LG&amp;E-DI-"&amp;G238</f>
        <v>LG&amp;E-DI-Lighting General Service Lamp - EISA Standard 2020</v>
      </c>
    </row>
    <row r="239" spans="1:19" hidden="1">
      <c r="B239" s="27" t="s">
        <v>384</v>
      </c>
      <c r="C239" s="27" t="s">
        <v>375</v>
      </c>
      <c r="D239" s="27" t="s">
        <v>376</v>
      </c>
      <c r="E239" s="27" t="s">
        <v>1974</v>
      </c>
      <c r="F239" s="27" t="s">
        <v>1</v>
      </c>
      <c r="G239" s="27" t="s">
        <v>1975</v>
      </c>
      <c r="H239" s="27" t="s">
        <v>1702</v>
      </c>
      <c r="I239" s="27" t="s">
        <v>339</v>
      </c>
      <c r="J239" s="29"/>
      <c r="L239" s="2" t="str">
        <f t="shared" si="249"/>
        <v>DI-Lighting Specialty Lamp - Premium Efficiency LED</v>
      </c>
      <c r="M239" s="2" t="str">
        <f t="shared" si="250"/>
        <v>KU-DI-Lighting Specialty Lamp - Premium Efficiency LED</v>
      </c>
      <c r="N239" s="2" t="str">
        <f t="shared" si="251"/>
        <v>LG&amp;E-DI-Lighting Specialty Lamp - Premium Efficiency LED</v>
      </c>
    </row>
    <row r="240" spans="1:19" hidden="1">
      <c r="B240" s="27" t="s">
        <v>384</v>
      </c>
      <c r="C240" s="27" t="s">
        <v>375</v>
      </c>
      <c r="D240" s="27" t="s">
        <v>376</v>
      </c>
      <c r="E240" s="27" t="s">
        <v>2002</v>
      </c>
      <c r="F240" s="27" t="s">
        <v>1</v>
      </c>
      <c r="G240" s="27" t="s">
        <v>1998</v>
      </c>
      <c r="H240" s="27" t="s">
        <v>1998</v>
      </c>
      <c r="I240" s="27" t="s">
        <v>1999</v>
      </c>
      <c r="J240" s="29">
        <v>0.49</v>
      </c>
      <c r="L240" s="2" t="str">
        <f t="shared" si="249"/>
        <v>DI-Programmable Thermostat</v>
      </c>
      <c r="M240" s="2" t="str">
        <f t="shared" si="250"/>
        <v>KU-DI-Programmable Thermostat</v>
      </c>
      <c r="N240" s="2" t="str">
        <f t="shared" si="251"/>
        <v>LG&amp;E-DI-Programmable Thermostat</v>
      </c>
    </row>
    <row r="241" spans="1:14" hidden="1">
      <c r="B241" s="27" t="s">
        <v>384</v>
      </c>
      <c r="C241" s="27" t="s">
        <v>375</v>
      </c>
      <c r="D241" s="27" t="s">
        <v>376</v>
      </c>
      <c r="E241" s="27" t="s">
        <v>2258</v>
      </c>
      <c r="F241" s="27" t="s">
        <v>1</v>
      </c>
      <c r="G241" s="27" t="s">
        <v>1998</v>
      </c>
      <c r="H241" s="27" t="s">
        <v>1998</v>
      </c>
      <c r="I241" s="27" t="s">
        <v>1999</v>
      </c>
      <c r="J241" s="29">
        <v>1.94</v>
      </c>
      <c r="L241" s="2" t="str">
        <f t="shared" si="249"/>
        <v>DI-Programmable Thermostat</v>
      </c>
      <c r="M241" s="2" t="str">
        <f t="shared" si="250"/>
        <v>KU-DI-Programmable Thermostat</v>
      </c>
      <c r="N241" s="2" t="str">
        <f t="shared" si="251"/>
        <v>LG&amp;E-DI-Programmable Thermostat</v>
      </c>
    </row>
    <row r="242" spans="1:14" hidden="1">
      <c r="B242" s="27" t="s">
        <v>384</v>
      </c>
      <c r="C242" s="27" t="s">
        <v>375</v>
      </c>
      <c r="D242" s="27" t="s">
        <v>376</v>
      </c>
      <c r="E242" s="27" t="s">
        <v>2064</v>
      </c>
      <c r="F242" s="27" t="s">
        <v>1</v>
      </c>
      <c r="G242" s="27" t="s">
        <v>1998</v>
      </c>
      <c r="H242" s="27" t="s">
        <v>1998</v>
      </c>
      <c r="I242" s="27" t="s">
        <v>1999</v>
      </c>
      <c r="J242" s="29">
        <v>1.96</v>
      </c>
      <c r="L242" s="2" t="str">
        <f t="shared" si="249"/>
        <v>DI-Programmable Thermostat</v>
      </c>
      <c r="M242" s="2" t="str">
        <f t="shared" si="250"/>
        <v>KU-DI-Programmable Thermostat</v>
      </c>
      <c r="N242" s="2" t="str">
        <f t="shared" si="251"/>
        <v>LG&amp;E-DI-Programmable Thermostat</v>
      </c>
    </row>
    <row r="243" spans="1:14" hidden="1">
      <c r="B243" s="27" t="s">
        <v>384</v>
      </c>
      <c r="C243" s="27" t="s">
        <v>375</v>
      </c>
      <c r="D243" s="27" t="s">
        <v>376</v>
      </c>
      <c r="E243" s="27" t="s">
        <v>1981</v>
      </c>
      <c r="F243" s="27" t="s">
        <v>1</v>
      </c>
      <c r="G243" s="27" t="s">
        <v>1982</v>
      </c>
      <c r="H243" s="27" t="s">
        <v>1977</v>
      </c>
      <c r="I243" s="27" t="s">
        <v>1978</v>
      </c>
      <c r="J243" s="29">
        <v>95.19</v>
      </c>
      <c r="L243" s="2" t="str">
        <f t="shared" si="249"/>
        <v>DI-Faucet Aerator Low Flow - Bathroom</v>
      </c>
      <c r="M243" s="2" t="str">
        <f t="shared" si="250"/>
        <v>KU-DI-Faucet Aerator Low Flow - Bathroom</v>
      </c>
      <c r="N243" s="2" t="str">
        <f t="shared" si="251"/>
        <v>LG&amp;E-DI-Faucet Aerator Low Flow - Bathroom</v>
      </c>
    </row>
    <row r="244" spans="1:14" hidden="1">
      <c r="B244" s="27" t="s">
        <v>384</v>
      </c>
      <c r="C244" s="27" t="s">
        <v>375</v>
      </c>
      <c r="D244" s="27" t="s">
        <v>376</v>
      </c>
      <c r="E244" s="27" t="s">
        <v>1981</v>
      </c>
      <c r="F244" s="27" t="s">
        <v>1</v>
      </c>
      <c r="G244" s="27" t="s">
        <v>1985</v>
      </c>
      <c r="H244" s="27" t="s">
        <v>1977</v>
      </c>
      <c r="I244" s="27" t="s">
        <v>1978</v>
      </c>
      <c r="J244" s="29">
        <v>124.7</v>
      </c>
      <c r="L244" s="2" t="str">
        <f t="shared" si="249"/>
        <v>DI-Faucet Aerator Low Flow - Kitchen</v>
      </c>
      <c r="M244" s="2" t="str">
        <f t="shared" si="250"/>
        <v>KU-DI-Faucet Aerator Low Flow - Kitchen</v>
      </c>
      <c r="N244" s="2" t="str">
        <f t="shared" si="251"/>
        <v>LG&amp;E-DI-Faucet Aerator Low Flow - Kitchen</v>
      </c>
    </row>
    <row r="245" spans="1:14" hidden="1">
      <c r="B245" s="27" t="s">
        <v>384</v>
      </c>
      <c r="C245" s="27" t="s">
        <v>375</v>
      </c>
      <c r="D245" s="27" t="s">
        <v>376</v>
      </c>
      <c r="E245" s="27" t="s">
        <v>1981</v>
      </c>
      <c r="F245" s="27" t="s">
        <v>1</v>
      </c>
      <c r="G245" s="27" t="s">
        <v>1989</v>
      </c>
      <c r="H245" s="27" t="s">
        <v>1986</v>
      </c>
      <c r="I245" s="27" t="s">
        <v>1987</v>
      </c>
      <c r="J245" s="29">
        <v>6.51</v>
      </c>
      <c r="L245" s="2" t="str">
        <f t="shared" si="249"/>
        <v>DI-Low-Flow Showerhead</v>
      </c>
      <c r="M245" s="2" t="str">
        <f t="shared" si="250"/>
        <v>KU-DI-Low-Flow Showerhead</v>
      </c>
      <c r="N245" s="2" t="str">
        <f t="shared" si="251"/>
        <v>LG&amp;E-DI-Low-Flow Showerhead</v>
      </c>
    </row>
    <row r="246" spans="1:14" hidden="1">
      <c r="B246" s="27" t="s">
        <v>384</v>
      </c>
      <c r="C246" s="27" t="s">
        <v>375</v>
      </c>
      <c r="D246" s="27" t="s">
        <v>376</v>
      </c>
      <c r="E246" s="27" t="s">
        <v>1981</v>
      </c>
      <c r="F246" s="27" t="s">
        <v>1</v>
      </c>
      <c r="G246" s="27" t="s">
        <v>1995</v>
      </c>
      <c r="H246" s="27" t="s">
        <v>1991</v>
      </c>
      <c r="I246" s="27" t="s">
        <v>1992</v>
      </c>
      <c r="J246" s="29">
        <v>1.28</v>
      </c>
      <c r="L246" s="2" t="str">
        <f t="shared" si="249"/>
        <v>DI-Pipe Insulation - Water Heater</v>
      </c>
      <c r="M246" s="2" t="str">
        <f t="shared" si="250"/>
        <v>KU-DI-Pipe Insulation - Water Heater</v>
      </c>
      <c r="N246" s="2" t="str">
        <f t="shared" si="251"/>
        <v>LG&amp;E-DI-Pipe Insulation - Water Heater</v>
      </c>
    </row>
    <row r="247" spans="1:14" hidden="1">
      <c r="B247" s="27" t="s">
        <v>2013</v>
      </c>
      <c r="C247" s="27" t="s">
        <v>375</v>
      </c>
      <c r="D247" s="27" t="s">
        <v>376</v>
      </c>
      <c r="E247" s="27" t="s">
        <v>2082</v>
      </c>
      <c r="F247" s="27" t="s">
        <v>1</v>
      </c>
      <c r="G247" s="27" t="s">
        <v>1998</v>
      </c>
      <c r="H247" s="27" t="s">
        <v>1998</v>
      </c>
      <c r="I247" s="27" t="s">
        <v>1999</v>
      </c>
      <c r="J247" s="29">
        <v>2.34</v>
      </c>
      <c r="L247" s="2" t="str">
        <f t="shared" si="249"/>
        <v>DI-Programmable Thermostat</v>
      </c>
      <c r="M247" s="2" t="str">
        <f t="shared" si="250"/>
        <v>KU-DI-Programmable Thermostat</v>
      </c>
      <c r="N247" s="2" t="str">
        <f t="shared" si="251"/>
        <v>LG&amp;E-DI-Programmable Thermostat</v>
      </c>
    </row>
    <row r="248" spans="1:14" hidden="1">
      <c r="B248" s="27" t="s">
        <v>2013</v>
      </c>
      <c r="C248" s="27" t="s">
        <v>375</v>
      </c>
      <c r="D248" s="27" t="s">
        <v>376</v>
      </c>
      <c r="E248" s="27" t="s">
        <v>1981</v>
      </c>
      <c r="F248" s="27" t="s">
        <v>1</v>
      </c>
      <c r="G248" s="27" t="s">
        <v>1982</v>
      </c>
      <c r="H248" s="27" t="s">
        <v>1977</v>
      </c>
      <c r="I248" s="27" t="s">
        <v>1978</v>
      </c>
      <c r="J248" s="29">
        <v>57.65</v>
      </c>
      <c r="L248" s="2" t="str">
        <f t="shared" si="249"/>
        <v>DI-Faucet Aerator Low Flow - Bathroom</v>
      </c>
      <c r="M248" s="2" t="str">
        <f t="shared" si="250"/>
        <v>KU-DI-Faucet Aerator Low Flow - Bathroom</v>
      </c>
      <c r="N248" s="2" t="str">
        <f t="shared" si="251"/>
        <v>LG&amp;E-DI-Faucet Aerator Low Flow - Bathroom</v>
      </c>
    </row>
    <row r="249" spans="1:14" hidden="1">
      <c r="B249" s="27" t="s">
        <v>2013</v>
      </c>
      <c r="C249" s="27" t="s">
        <v>375</v>
      </c>
      <c r="D249" s="27" t="s">
        <v>376</v>
      </c>
      <c r="E249" s="27" t="s">
        <v>1981</v>
      </c>
      <c r="F249" s="27" t="s">
        <v>1</v>
      </c>
      <c r="G249" s="27" t="s">
        <v>1985</v>
      </c>
      <c r="H249" s="27" t="s">
        <v>1977</v>
      </c>
      <c r="I249" s="27" t="s">
        <v>1978</v>
      </c>
      <c r="J249" s="29">
        <v>67.36</v>
      </c>
      <c r="L249" s="2" t="str">
        <f t="shared" si="249"/>
        <v>DI-Faucet Aerator Low Flow - Kitchen</v>
      </c>
      <c r="M249" s="2" t="str">
        <f t="shared" si="250"/>
        <v>KU-DI-Faucet Aerator Low Flow - Kitchen</v>
      </c>
      <c r="N249" s="2" t="str">
        <f t="shared" si="251"/>
        <v>LG&amp;E-DI-Faucet Aerator Low Flow - Kitchen</v>
      </c>
    </row>
    <row r="250" spans="1:14" hidden="1">
      <c r="B250" s="27" t="s">
        <v>2013</v>
      </c>
      <c r="C250" s="27" t="s">
        <v>375</v>
      </c>
      <c r="D250" s="27" t="s">
        <v>376</v>
      </c>
      <c r="E250" s="27" t="s">
        <v>1981</v>
      </c>
      <c r="F250" s="27" t="s">
        <v>1</v>
      </c>
      <c r="G250" s="27" t="s">
        <v>1989</v>
      </c>
      <c r="H250" s="27" t="s">
        <v>1986</v>
      </c>
      <c r="I250" s="27" t="s">
        <v>1987</v>
      </c>
      <c r="J250" s="29">
        <v>5.42</v>
      </c>
      <c r="L250" s="2" t="str">
        <f t="shared" si="249"/>
        <v>DI-Low-Flow Showerhead</v>
      </c>
      <c r="M250" s="2" t="str">
        <f t="shared" si="250"/>
        <v>KU-DI-Low-Flow Showerhead</v>
      </c>
      <c r="N250" s="2" t="str">
        <f t="shared" si="251"/>
        <v>LG&amp;E-DI-Low-Flow Showerhead</v>
      </c>
    </row>
    <row r="251" spans="1:14" hidden="1">
      <c r="B251" s="27" t="s">
        <v>2013</v>
      </c>
      <c r="C251" s="27" t="s">
        <v>375</v>
      </c>
      <c r="D251" s="27" t="s">
        <v>376</v>
      </c>
      <c r="E251" s="27" t="s">
        <v>1981</v>
      </c>
      <c r="F251" s="27" t="s">
        <v>1</v>
      </c>
      <c r="G251" s="27" t="s">
        <v>1995</v>
      </c>
      <c r="H251" s="27" t="s">
        <v>1991</v>
      </c>
      <c r="I251" s="27" t="s">
        <v>1992</v>
      </c>
      <c r="J251" s="29">
        <v>1.0900000000000001</v>
      </c>
      <c r="L251" s="2" t="str">
        <f t="shared" si="249"/>
        <v>DI-Pipe Insulation - Water Heater</v>
      </c>
      <c r="M251" s="2" t="str">
        <f t="shared" si="250"/>
        <v>KU-DI-Pipe Insulation - Water Heater</v>
      </c>
      <c r="N251" s="2" t="str">
        <f t="shared" si="251"/>
        <v>LG&amp;E-DI-Pipe Insulation - Water Heater</v>
      </c>
    </row>
    <row r="252" spans="1:14" hidden="1"/>
    <row r="253" spans="1:14" hidden="1">
      <c r="A253" s="2" t="s">
        <v>2250</v>
      </c>
    </row>
    <row r="254" spans="1:14" hidden="1"/>
    <row r="255" spans="1:14" ht="26" hidden="1">
      <c r="B255" s="697" t="s">
        <v>359</v>
      </c>
      <c r="C255" s="697" t="s">
        <v>166</v>
      </c>
      <c r="D255" s="697" t="s">
        <v>360</v>
      </c>
      <c r="E255" s="697" t="s">
        <v>361</v>
      </c>
      <c r="F255" s="697" t="s">
        <v>362</v>
      </c>
      <c r="G255" s="697" t="s">
        <v>363</v>
      </c>
      <c r="H255" s="697" t="s">
        <v>364</v>
      </c>
      <c r="I255" s="697" t="s">
        <v>365</v>
      </c>
      <c r="J255" s="697" t="s">
        <v>2244</v>
      </c>
      <c r="K255" s="697" t="s">
        <v>2245</v>
      </c>
      <c r="L255" s="349" t="s">
        <v>136</v>
      </c>
      <c r="M255" s="349" t="s">
        <v>2246</v>
      </c>
      <c r="N255" s="349" t="s">
        <v>2247</v>
      </c>
    </row>
    <row r="256" spans="1:14" hidden="1">
      <c r="B256" s="27" t="s">
        <v>384</v>
      </c>
      <c r="C256" s="27" t="s">
        <v>375</v>
      </c>
      <c r="D256" s="27" t="s">
        <v>376</v>
      </c>
      <c r="E256" s="27" t="s">
        <v>2009</v>
      </c>
      <c r="F256" s="27" t="s">
        <v>1</v>
      </c>
      <c r="G256" s="27" t="s">
        <v>2010</v>
      </c>
      <c r="H256" s="27" t="s">
        <v>1702</v>
      </c>
      <c r="I256" s="27" t="s">
        <v>339</v>
      </c>
      <c r="J256" s="28">
        <v>0.83785466988324242</v>
      </c>
      <c r="L256" s="2" t="str">
        <f>"Appliance-"&amp;G256</f>
        <v>Appliance-Dryer - ENERGY STAR</v>
      </c>
      <c r="M256" s="2" t="str">
        <f>"KU-Appliance-"&amp;G256</f>
        <v>KU-Appliance-Dryer - ENERGY STAR</v>
      </c>
      <c r="N256" s="2" t="str">
        <f>"LG&amp;E-Appliance-"&amp;G256</f>
        <v>LG&amp;E-Appliance-Dryer - ENERGY STAR</v>
      </c>
    </row>
    <row r="257" spans="1:14" hidden="1">
      <c r="B257" s="27" t="s">
        <v>384</v>
      </c>
      <c r="C257" s="27" t="s">
        <v>375</v>
      </c>
      <c r="D257" s="27" t="s">
        <v>376</v>
      </c>
      <c r="E257" s="27" t="s">
        <v>864</v>
      </c>
      <c r="F257" s="27" t="s">
        <v>1</v>
      </c>
      <c r="G257" s="27" t="s">
        <v>2019</v>
      </c>
      <c r="H257" s="27" t="s">
        <v>1702</v>
      </c>
      <c r="I257" s="27" t="s">
        <v>339</v>
      </c>
      <c r="J257" s="28">
        <v>1.1825725991386653</v>
      </c>
      <c r="L257" s="2" t="str">
        <f t="shared" ref="L257:L265" si="252">"Appliance-"&amp;G257</f>
        <v>Appliance-Freezer - ENERGY STAR</v>
      </c>
      <c r="M257" s="2" t="str">
        <f t="shared" ref="M257:M265" si="253">"KU-Appliance-"&amp;G257</f>
        <v>KU-Appliance-Freezer - ENERGY STAR</v>
      </c>
      <c r="N257" s="2" t="str">
        <f t="shared" ref="N257:N265" si="254">"LG&amp;E-Appliance-"&amp;G257</f>
        <v>LG&amp;E-Appliance-Freezer - ENERGY STAR</v>
      </c>
    </row>
    <row r="258" spans="1:14" hidden="1">
      <c r="B258" s="27" t="s">
        <v>384</v>
      </c>
      <c r="C258" s="27" t="s">
        <v>375</v>
      </c>
      <c r="D258" s="27" t="s">
        <v>376</v>
      </c>
      <c r="E258" s="27" t="s">
        <v>858</v>
      </c>
      <c r="F258" s="27" t="s">
        <v>1</v>
      </c>
      <c r="G258" s="27" t="s">
        <v>2026</v>
      </c>
      <c r="H258" s="27" t="s">
        <v>1702</v>
      </c>
      <c r="I258" s="27" t="s">
        <v>339</v>
      </c>
      <c r="J258" s="28">
        <v>0.18695032871300113</v>
      </c>
      <c r="L258" s="2" t="str">
        <f t="shared" si="252"/>
        <v>Appliance-Refrigerator - ENERGY STAR</v>
      </c>
      <c r="M258" s="2" t="str">
        <f t="shared" si="253"/>
        <v>KU-Appliance-Refrigerator - ENERGY STAR</v>
      </c>
      <c r="N258" s="2" t="str">
        <f t="shared" si="254"/>
        <v>LG&amp;E-Appliance-Refrigerator - ENERGY STAR</v>
      </c>
    </row>
    <row r="259" spans="1:14" hidden="1">
      <c r="B259" s="27" t="s">
        <v>384</v>
      </c>
      <c r="C259" s="27" t="s">
        <v>375</v>
      </c>
      <c r="D259" s="27" t="s">
        <v>376</v>
      </c>
      <c r="E259" s="27" t="s">
        <v>1981</v>
      </c>
      <c r="F259" s="27" t="s">
        <v>1</v>
      </c>
      <c r="G259" s="27" t="s">
        <v>2032</v>
      </c>
      <c r="H259" s="27" t="s">
        <v>2028</v>
      </c>
      <c r="I259" s="27" t="s">
        <v>2029</v>
      </c>
      <c r="J259" s="28">
        <v>1.1100000000000001</v>
      </c>
      <c r="L259" s="2" t="str">
        <f t="shared" si="252"/>
        <v>Appliance-Clothes Washer (Front Loading) - ENERGY STAR</v>
      </c>
      <c r="M259" s="2" t="str">
        <f t="shared" si="253"/>
        <v>KU-Appliance-Clothes Washer (Front Loading) - ENERGY STAR</v>
      </c>
      <c r="N259" s="2" t="str">
        <f t="shared" si="254"/>
        <v>LG&amp;E-Appliance-Clothes Washer (Front Loading) - ENERGY STAR</v>
      </c>
    </row>
    <row r="260" spans="1:14" hidden="1">
      <c r="B260" s="27" t="s">
        <v>384</v>
      </c>
      <c r="C260" s="27" t="s">
        <v>375</v>
      </c>
      <c r="D260" s="27" t="s">
        <v>376</v>
      </c>
      <c r="E260" s="27" t="s">
        <v>1981</v>
      </c>
      <c r="F260" s="27" t="s">
        <v>1</v>
      </c>
      <c r="G260" s="27" t="s">
        <v>2037</v>
      </c>
      <c r="H260" s="27" t="s">
        <v>2035</v>
      </c>
      <c r="I260" s="27" t="s">
        <v>2036</v>
      </c>
      <c r="J260" s="28">
        <v>0.86</v>
      </c>
      <c r="L260" s="2" t="str">
        <f t="shared" si="252"/>
        <v>Appliance-Clothes Washer (Top Loading) - ENERGY STAR</v>
      </c>
      <c r="M260" s="2" t="str">
        <f t="shared" si="253"/>
        <v>KU-Appliance-Clothes Washer (Top Loading) - ENERGY STAR</v>
      </c>
      <c r="N260" s="2" t="str">
        <f t="shared" si="254"/>
        <v>LG&amp;E-Appliance-Clothes Washer (Top Loading) - ENERGY STAR</v>
      </c>
    </row>
    <row r="261" spans="1:14" hidden="1">
      <c r="B261" s="27" t="s">
        <v>384</v>
      </c>
      <c r="C261" s="27" t="s">
        <v>375</v>
      </c>
      <c r="D261" s="27" t="s">
        <v>376</v>
      </c>
      <c r="E261" s="27" t="s">
        <v>1981</v>
      </c>
      <c r="F261" s="27" t="s">
        <v>1</v>
      </c>
      <c r="G261" s="27" t="s">
        <v>2048</v>
      </c>
      <c r="H261" s="27" t="s">
        <v>2044</v>
      </c>
      <c r="I261" s="27" t="s">
        <v>2045</v>
      </c>
      <c r="J261" s="28">
        <v>0.74</v>
      </c>
      <c r="L261" s="2" t="str">
        <f t="shared" si="252"/>
        <v>Appliance-Dishwasher - ENERGY STAR</v>
      </c>
      <c r="M261" s="2" t="str">
        <f t="shared" si="253"/>
        <v>KU-Appliance-Dishwasher - ENERGY STAR</v>
      </c>
      <c r="N261" s="2" t="str">
        <f t="shared" si="254"/>
        <v>LG&amp;E-Appliance-Dishwasher - ENERGY STAR</v>
      </c>
    </row>
    <row r="262" spans="1:14" hidden="1">
      <c r="B262" s="27" t="s">
        <v>2013</v>
      </c>
      <c r="C262" s="27" t="s">
        <v>375</v>
      </c>
      <c r="D262" s="27" t="s">
        <v>376</v>
      </c>
      <c r="E262" s="27" t="s">
        <v>2009</v>
      </c>
      <c r="F262" s="27" t="s">
        <v>1</v>
      </c>
      <c r="G262" s="27" t="s">
        <v>2010</v>
      </c>
      <c r="H262" s="27" t="s">
        <v>2011</v>
      </c>
      <c r="I262" s="27" t="s">
        <v>2012</v>
      </c>
      <c r="J262" s="28">
        <v>0.50336044385044809</v>
      </c>
      <c r="L262" s="2" t="str">
        <f t="shared" si="252"/>
        <v>Appliance-Dryer - ENERGY STAR</v>
      </c>
      <c r="M262" s="2" t="str">
        <f t="shared" si="253"/>
        <v>KU-Appliance-Dryer - ENERGY STAR</v>
      </c>
      <c r="N262" s="2" t="str">
        <f t="shared" si="254"/>
        <v>LG&amp;E-Appliance-Dryer - ENERGY STAR</v>
      </c>
    </row>
    <row r="263" spans="1:14" hidden="1">
      <c r="B263" s="27" t="s">
        <v>2013</v>
      </c>
      <c r="C263" s="27" t="s">
        <v>375</v>
      </c>
      <c r="D263" s="27" t="s">
        <v>376</v>
      </c>
      <c r="E263" s="27" t="s">
        <v>1981</v>
      </c>
      <c r="F263" s="27" t="s">
        <v>1</v>
      </c>
      <c r="G263" s="27" t="s">
        <v>2032</v>
      </c>
      <c r="H263" s="27" t="s">
        <v>2038</v>
      </c>
      <c r="I263" s="27" t="s">
        <v>2039</v>
      </c>
      <c r="J263" s="28">
        <v>0.8</v>
      </c>
      <c r="L263" s="2" t="str">
        <f t="shared" si="252"/>
        <v>Appliance-Clothes Washer (Front Loading) - ENERGY STAR</v>
      </c>
      <c r="M263" s="2" t="str">
        <f t="shared" si="253"/>
        <v>KU-Appliance-Clothes Washer (Front Loading) - ENERGY STAR</v>
      </c>
      <c r="N263" s="2" t="str">
        <f t="shared" si="254"/>
        <v>LG&amp;E-Appliance-Clothes Washer (Front Loading) - ENERGY STAR</v>
      </c>
    </row>
    <row r="264" spans="1:14" hidden="1">
      <c r="B264" s="27" t="s">
        <v>2013</v>
      </c>
      <c r="C264" s="27" t="s">
        <v>375</v>
      </c>
      <c r="D264" s="27" t="s">
        <v>376</v>
      </c>
      <c r="E264" s="27" t="s">
        <v>1981</v>
      </c>
      <c r="F264" s="27" t="s">
        <v>1</v>
      </c>
      <c r="G264" s="27" t="s">
        <v>2037</v>
      </c>
      <c r="H264" s="27" t="s">
        <v>2041</v>
      </c>
      <c r="I264" s="27" t="s">
        <v>2042</v>
      </c>
      <c r="J264" s="28">
        <v>0.62</v>
      </c>
      <c r="L264" s="2" t="str">
        <f t="shared" si="252"/>
        <v>Appliance-Clothes Washer (Top Loading) - ENERGY STAR</v>
      </c>
      <c r="M264" s="2" t="str">
        <f t="shared" si="253"/>
        <v>KU-Appliance-Clothes Washer (Top Loading) - ENERGY STAR</v>
      </c>
      <c r="N264" s="2" t="str">
        <f t="shared" si="254"/>
        <v>LG&amp;E-Appliance-Clothes Washer (Top Loading) - ENERGY STAR</v>
      </c>
    </row>
    <row r="265" spans="1:14" hidden="1">
      <c r="B265" s="27" t="s">
        <v>2013</v>
      </c>
      <c r="C265" s="27" t="s">
        <v>375</v>
      </c>
      <c r="D265" s="27" t="s">
        <v>376</v>
      </c>
      <c r="E265" s="27" t="s">
        <v>1981</v>
      </c>
      <c r="F265" s="27" t="s">
        <v>1</v>
      </c>
      <c r="G265" s="27" t="s">
        <v>2048</v>
      </c>
      <c r="H265" s="27" t="s">
        <v>2044</v>
      </c>
      <c r="I265" s="27" t="s">
        <v>2045</v>
      </c>
      <c r="J265" s="28">
        <v>0.71</v>
      </c>
      <c r="L265" s="2" t="str">
        <f t="shared" si="252"/>
        <v>Appliance-Dishwasher - ENERGY STAR</v>
      </c>
      <c r="M265" s="2" t="str">
        <f t="shared" si="253"/>
        <v>KU-Appliance-Dishwasher - ENERGY STAR</v>
      </c>
      <c r="N265" s="2" t="str">
        <f t="shared" si="254"/>
        <v>LG&amp;E-Appliance-Dishwasher - ENERGY STAR</v>
      </c>
    </row>
    <row r="266" spans="1:14" ht="14.5" hidden="1">
      <c r="B266" s="27"/>
      <c r="C266" s="27"/>
      <c r="D266" s="28"/>
      <c r="G266"/>
    </row>
    <row r="267" spans="1:14" ht="14.5" hidden="1">
      <c r="A267" s="2" t="s">
        <v>2251</v>
      </c>
      <c r="B267" s="27"/>
      <c r="C267" s="27"/>
      <c r="D267" s="28"/>
      <c r="G267"/>
    </row>
    <row r="268" spans="1:14" hidden="1">
      <c r="B268" s="2" t="s">
        <v>2252</v>
      </c>
    </row>
    <row r="269" spans="1:14" ht="26" hidden="1">
      <c r="B269" s="697" t="s">
        <v>359</v>
      </c>
      <c r="C269" s="697" t="s">
        <v>166</v>
      </c>
      <c r="D269" s="697" t="s">
        <v>360</v>
      </c>
      <c r="E269" s="697" t="s">
        <v>361</v>
      </c>
      <c r="F269" s="697" t="s">
        <v>362</v>
      </c>
      <c r="G269" s="697" t="s">
        <v>363</v>
      </c>
      <c r="H269" s="697" t="s">
        <v>364</v>
      </c>
      <c r="I269" s="697" t="s">
        <v>365</v>
      </c>
      <c r="J269" s="697" t="s">
        <v>2244</v>
      </c>
      <c r="K269" s="697" t="s">
        <v>2245</v>
      </c>
      <c r="L269" s="349" t="s">
        <v>136</v>
      </c>
      <c r="M269" s="349" t="s">
        <v>2246</v>
      </c>
      <c r="N269" s="349" t="s">
        <v>2247</v>
      </c>
    </row>
    <row r="270" spans="1:14" hidden="1">
      <c r="B270" s="27" t="s">
        <v>384</v>
      </c>
      <c r="C270" s="27" t="s">
        <v>375</v>
      </c>
      <c r="D270" s="27" t="s">
        <v>376</v>
      </c>
      <c r="E270" s="27" t="s">
        <v>2002</v>
      </c>
      <c r="F270" s="27" t="s">
        <v>1</v>
      </c>
      <c r="G270" s="27" t="s">
        <v>2053</v>
      </c>
      <c r="H270" s="27" t="s">
        <v>1702</v>
      </c>
      <c r="I270" s="27" t="s">
        <v>339</v>
      </c>
      <c r="J270" s="27">
        <v>0.35473172119777507</v>
      </c>
      <c r="L270" s="2" t="str">
        <f>"HVAC-DWH-"&amp;G270</f>
        <v>HVAC-DWH-Central Air Conditioner - ENERGY STAR</v>
      </c>
      <c r="M270" s="2" t="str">
        <f>"KU-HVAC-DWH-"&amp;G270</f>
        <v>KU-HVAC-DWH-Central Air Conditioner - ENERGY STAR</v>
      </c>
      <c r="N270" s="2" t="str">
        <f>"LG&amp;E-HVAC-DWH-"&amp;G270</f>
        <v>LG&amp;E-HVAC-DWH-Central Air Conditioner - ENERGY STAR</v>
      </c>
    </row>
    <row r="271" spans="1:14" hidden="1">
      <c r="B271" s="27" t="s">
        <v>384</v>
      </c>
      <c r="C271" s="27" t="s">
        <v>375</v>
      </c>
      <c r="D271" s="27" t="s">
        <v>376</v>
      </c>
      <c r="E271" s="27" t="s">
        <v>2002</v>
      </c>
      <c r="F271" s="27" t="s">
        <v>1</v>
      </c>
      <c r="G271" s="27" t="s">
        <v>2058</v>
      </c>
      <c r="H271" s="27" t="s">
        <v>1702</v>
      </c>
      <c r="I271" s="27" t="s">
        <v>339</v>
      </c>
      <c r="J271" s="27">
        <v>999</v>
      </c>
      <c r="L271" s="2" t="str">
        <f t="shared" ref="L271:L281" si="255">"HVAC-DWH-"&amp;G271</f>
        <v>HVAC-DWH-Central Cooling - Evaporative Cooler</v>
      </c>
      <c r="M271" s="2" t="str">
        <f t="shared" ref="M271:M281" si="256">"KU-HVAC-DWH-"&amp;G271</f>
        <v>KU-HVAC-DWH-Central Cooling - Evaporative Cooler</v>
      </c>
      <c r="N271" s="2" t="str">
        <f t="shared" ref="N271:N281" si="257">"LG&amp;E-HVAC-DWH-"&amp;G271</f>
        <v>LG&amp;E-HVAC-DWH-Central Cooling - Evaporative Cooler</v>
      </c>
    </row>
    <row r="272" spans="1:14" hidden="1">
      <c r="B272" s="27" t="s">
        <v>384</v>
      </c>
      <c r="C272" s="27" t="s">
        <v>375</v>
      </c>
      <c r="D272" s="27" t="s">
        <v>376</v>
      </c>
      <c r="E272" s="27" t="s">
        <v>2064</v>
      </c>
      <c r="F272" s="27" t="s">
        <v>1</v>
      </c>
      <c r="G272" s="27" t="s">
        <v>2259</v>
      </c>
      <c r="H272" s="27" t="s">
        <v>1702</v>
      </c>
      <c r="I272" s="27" t="s">
        <v>339</v>
      </c>
      <c r="J272" s="27">
        <v>0.16692821872110469</v>
      </c>
      <c r="L272" s="2" t="str">
        <f t="shared" si="255"/>
        <v>HVAC-DWH-Heat Pump - Air Source ENERGY STAR</v>
      </c>
      <c r="M272" s="2" t="str">
        <f t="shared" si="256"/>
        <v>KU-HVAC-DWH-Heat Pump - Air Source ENERGY STAR</v>
      </c>
      <c r="N272" s="2" t="str">
        <f t="shared" si="257"/>
        <v>LG&amp;E-HVAC-DWH-Heat Pump - Air Source ENERGY STAR</v>
      </c>
    </row>
    <row r="273" spans="1:14" hidden="1">
      <c r="B273" s="27" t="s">
        <v>384</v>
      </c>
      <c r="C273" s="27" t="s">
        <v>375</v>
      </c>
      <c r="D273" s="27" t="s">
        <v>376</v>
      </c>
      <c r="E273" s="27" t="s">
        <v>2064</v>
      </c>
      <c r="F273" s="27" t="s">
        <v>1</v>
      </c>
      <c r="G273" s="27" t="s">
        <v>2070</v>
      </c>
      <c r="H273" s="27" t="s">
        <v>1702</v>
      </c>
      <c r="I273" s="27" t="s">
        <v>339</v>
      </c>
      <c r="J273" s="27">
        <v>0.39188776101425854</v>
      </c>
      <c r="L273" s="2" t="str">
        <f t="shared" si="255"/>
        <v>HVAC-DWH-Heat Pump - Ground Source ENERGY STAR</v>
      </c>
      <c r="M273" s="2" t="str">
        <f t="shared" si="256"/>
        <v>KU-HVAC-DWH-Heat Pump - Ground Source ENERGY STAR</v>
      </c>
      <c r="N273" s="2" t="str">
        <f t="shared" si="257"/>
        <v>LG&amp;E-HVAC-DWH-Heat Pump - Ground Source ENERGY STAR</v>
      </c>
    </row>
    <row r="274" spans="1:14" hidden="1">
      <c r="B274" s="27" t="s">
        <v>384</v>
      </c>
      <c r="C274" s="27" t="s">
        <v>375</v>
      </c>
      <c r="D274" s="27" t="s">
        <v>376</v>
      </c>
      <c r="E274" s="27" t="s">
        <v>2073</v>
      </c>
      <c r="F274" s="27" t="s">
        <v>1</v>
      </c>
      <c r="G274" s="27" t="s">
        <v>2074</v>
      </c>
      <c r="H274" s="27" t="s">
        <v>1702</v>
      </c>
      <c r="I274" s="27" t="s">
        <v>339</v>
      </c>
      <c r="J274" s="27">
        <v>0.56632232764850643</v>
      </c>
      <c r="L274" s="2" t="str">
        <f t="shared" si="255"/>
        <v>HVAC-DWH-Ductless Heat Pump (DHP)</v>
      </c>
      <c r="M274" s="2" t="str">
        <f t="shared" si="256"/>
        <v>KU-HVAC-DWH-Ductless Heat Pump (DHP)</v>
      </c>
      <c r="N274" s="2" t="str">
        <f t="shared" si="257"/>
        <v>LG&amp;E-HVAC-DWH-Ductless Heat Pump (DHP)</v>
      </c>
    </row>
    <row r="275" spans="1:14" hidden="1">
      <c r="B275" s="27" t="s">
        <v>2013</v>
      </c>
      <c r="C275" s="27" t="s">
        <v>375</v>
      </c>
      <c r="D275" s="27" t="s">
        <v>376</v>
      </c>
      <c r="E275" s="27" t="s">
        <v>2077</v>
      </c>
      <c r="F275" s="27" t="s">
        <v>1</v>
      </c>
      <c r="G275" s="27" t="s">
        <v>2078</v>
      </c>
      <c r="H275" s="27" t="s">
        <v>934</v>
      </c>
      <c r="I275" s="27" t="s">
        <v>935</v>
      </c>
      <c r="J275" s="27">
        <v>16.348994469159489</v>
      </c>
      <c r="L275" s="2" t="str">
        <f t="shared" si="255"/>
        <v>HVAC-DWH-Boiler - ENERGY STAR</v>
      </c>
      <c r="M275" s="2" t="str">
        <f t="shared" si="256"/>
        <v>KU-HVAC-DWH-Boiler - ENERGY STAR</v>
      </c>
      <c r="N275" s="2" t="str">
        <f t="shared" si="257"/>
        <v>LG&amp;E-HVAC-DWH-Boiler - ENERGY STAR</v>
      </c>
    </row>
    <row r="276" spans="1:14" hidden="1">
      <c r="B276" s="27" t="s">
        <v>2013</v>
      </c>
      <c r="C276" s="27" t="s">
        <v>375</v>
      </c>
      <c r="D276" s="27" t="s">
        <v>376</v>
      </c>
      <c r="E276" s="27" t="s">
        <v>2082</v>
      </c>
      <c r="F276" s="27" t="s">
        <v>1</v>
      </c>
      <c r="G276" s="27" t="s">
        <v>2083</v>
      </c>
      <c r="H276" s="27" t="s">
        <v>2080</v>
      </c>
      <c r="I276" s="27" t="s">
        <v>938</v>
      </c>
      <c r="J276" s="27">
        <v>114.73340165471188</v>
      </c>
      <c r="L276" s="2" t="str">
        <f t="shared" si="255"/>
        <v>HVAC-DWH-Furnace - ENERGY STAR</v>
      </c>
      <c r="M276" s="2" t="str">
        <f t="shared" si="256"/>
        <v>KU-HVAC-DWH-Furnace - ENERGY STAR</v>
      </c>
      <c r="N276" s="2" t="str">
        <f t="shared" si="257"/>
        <v>LG&amp;E-HVAC-DWH-Furnace - ENERGY STAR</v>
      </c>
    </row>
    <row r="277" spans="1:14" hidden="1">
      <c r="B277" s="27" t="s">
        <v>384</v>
      </c>
      <c r="C277" s="27" t="s">
        <v>375</v>
      </c>
      <c r="D277" s="27" t="s">
        <v>376</v>
      </c>
      <c r="E277" s="27" t="s">
        <v>1232</v>
      </c>
      <c r="F277" s="27" t="s">
        <v>1</v>
      </c>
      <c r="G277" s="27" t="s">
        <v>2103</v>
      </c>
      <c r="H277" s="27" t="s">
        <v>1702</v>
      </c>
      <c r="I277" s="27" t="s">
        <v>339</v>
      </c>
      <c r="J277" s="28">
        <v>1.4988072137903381E-4</v>
      </c>
      <c r="L277" s="2" t="str">
        <f t="shared" si="255"/>
        <v>HVAC-DWH-Motor - ECM</v>
      </c>
      <c r="M277" s="2" t="str">
        <f t="shared" si="256"/>
        <v>KU-HVAC-DWH-Motor - ECM</v>
      </c>
      <c r="N277" s="2" t="str">
        <f t="shared" si="257"/>
        <v>LG&amp;E-HVAC-DWH-Motor - ECM</v>
      </c>
    </row>
    <row r="278" spans="1:14" hidden="1">
      <c r="B278" s="27" t="s">
        <v>384</v>
      </c>
      <c r="C278" s="27" t="s">
        <v>375</v>
      </c>
      <c r="D278" s="27" t="s">
        <v>376</v>
      </c>
      <c r="E278" s="27" t="s">
        <v>1981</v>
      </c>
      <c r="F278" s="27" t="s">
        <v>1</v>
      </c>
      <c r="G278" s="27" t="s">
        <v>2108</v>
      </c>
      <c r="H278" s="27" t="s">
        <v>1702</v>
      </c>
      <c r="I278" s="27" t="s">
        <v>339</v>
      </c>
      <c r="J278" s="28">
        <v>0.38269229714504482</v>
      </c>
      <c r="L278" s="2" t="str">
        <f t="shared" si="255"/>
        <v>HVAC-DWH-Heat Pump Water Heater - ENERGY STAR</v>
      </c>
      <c r="M278" s="2" t="str">
        <f t="shared" si="256"/>
        <v>KU-HVAC-DWH-Heat Pump Water Heater - ENERGY STAR</v>
      </c>
      <c r="N278" s="2" t="str">
        <f t="shared" si="257"/>
        <v>LG&amp;E-HVAC-DWH-Heat Pump Water Heater - ENERGY STAR</v>
      </c>
    </row>
    <row r="279" spans="1:14" hidden="1">
      <c r="B279" s="27" t="s">
        <v>2013</v>
      </c>
      <c r="C279" s="27" t="s">
        <v>375</v>
      </c>
      <c r="D279" s="27" t="s">
        <v>376</v>
      </c>
      <c r="E279" s="27" t="s">
        <v>1981</v>
      </c>
      <c r="F279" s="27" t="s">
        <v>1</v>
      </c>
      <c r="G279" s="27" t="s">
        <v>2114</v>
      </c>
      <c r="H279" s="27" t="s">
        <v>2111</v>
      </c>
      <c r="I279" s="27" t="s">
        <v>2112</v>
      </c>
      <c r="J279" s="28">
        <v>0.15119996163034344</v>
      </c>
      <c r="L279" s="2" t="str">
        <f t="shared" si="255"/>
        <v>HVAC-DWH-Water Heater - Condensing</v>
      </c>
      <c r="M279" s="2" t="str">
        <f t="shared" si="256"/>
        <v>KU-HVAC-DWH-Water Heater - Condensing</v>
      </c>
      <c r="N279" s="2" t="str">
        <f t="shared" si="257"/>
        <v>LG&amp;E-HVAC-DWH-Water Heater - Condensing</v>
      </c>
    </row>
    <row r="280" spans="1:14" hidden="1">
      <c r="B280" s="27" t="s">
        <v>2013</v>
      </c>
      <c r="C280" s="27" t="s">
        <v>375</v>
      </c>
      <c r="D280" s="27" t="s">
        <v>376</v>
      </c>
      <c r="E280" s="27" t="s">
        <v>1981</v>
      </c>
      <c r="F280" s="27" t="s">
        <v>1</v>
      </c>
      <c r="G280" s="27" t="s">
        <v>2118</v>
      </c>
      <c r="H280" s="27" t="s">
        <v>2117</v>
      </c>
      <c r="I280" s="27" t="s">
        <v>2112</v>
      </c>
      <c r="J280" s="28">
        <v>0.37518868346663325</v>
      </c>
      <c r="L280" s="2" t="str">
        <f t="shared" si="255"/>
        <v>HVAC-DWH-Water Heater - ENERGY STAR Storage</v>
      </c>
      <c r="M280" s="2" t="str">
        <f t="shared" si="256"/>
        <v>KU-HVAC-DWH-Water Heater - ENERGY STAR Storage</v>
      </c>
      <c r="N280" s="2" t="str">
        <f t="shared" si="257"/>
        <v>LG&amp;E-HVAC-DWH-Water Heater - ENERGY STAR Storage</v>
      </c>
    </row>
    <row r="281" spans="1:14" hidden="1">
      <c r="B281" s="27" t="s">
        <v>2013</v>
      </c>
      <c r="C281" s="27" t="s">
        <v>375</v>
      </c>
      <c r="D281" s="27" t="s">
        <v>376</v>
      </c>
      <c r="E281" s="27" t="s">
        <v>1981</v>
      </c>
      <c r="F281" s="27" t="s">
        <v>1</v>
      </c>
      <c r="G281" s="27" t="s">
        <v>2122</v>
      </c>
      <c r="H281" s="27" t="s">
        <v>2120</v>
      </c>
      <c r="I281" s="27" t="s">
        <v>2112</v>
      </c>
      <c r="J281" s="28">
        <v>0.29447920728944393</v>
      </c>
      <c r="L281" s="2" t="str">
        <f t="shared" si="255"/>
        <v>HVAC-DWH-Water Heater - ENERGY STAR Tankless</v>
      </c>
      <c r="M281" s="2" t="str">
        <f t="shared" si="256"/>
        <v>KU-HVAC-DWH-Water Heater - ENERGY STAR Tankless</v>
      </c>
      <c r="N281" s="2" t="str">
        <f t="shared" si="257"/>
        <v>LG&amp;E-HVAC-DWH-Water Heater - ENERGY STAR Tankless</v>
      </c>
    </row>
    <row r="282" spans="1:14" hidden="1"/>
    <row r="283" spans="1:14" hidden="1">
      <c r="A283" s="2" t="s">
        <v>2253</v>
      </c>
    </row>
    <row r="284" spans="1:14" ht="26" hidden="1">
      <c r="B284" s="697" t="s">
        <v>359</v>
      </c>
      <c r="C284" s="697" t="s">
        <v>166</v>
      </c>
      <c r="D284" s="697" t="s">
        <v>360</v>
      </c>
      <c r="E284" s="697" t="s">
        <v>361</v>
      </c>
      <c r="F284" s="697" t="s">
        <v>362</v>
      </c>
      <c r="G284" s="697" t="s">
        <v>363</v>
      </c>
      <c r="H284" s="697" t="s">
        <v>364</v>
      </c>
      <c r="I284" s="697" t="s">
        <v>365</v>
      </c>
      <c r="J284" s="697" t="s">
        <v>2244</v>
      </c>
      <c r="K284" s="697" t="s">
        <v>2245</v>
      </c>
      <c r="L284" s="349" t="s">
        <v>136</v>
      </c>
      <c r="M284" s="349" t="s">
        <v>2246</v>
      </c>
      <c r="N284" s="349" t="s">
        <v>2247</v>
      </c>
    </row>
    <row r="285" spans="1:14" hidden="1">
      <c r="B285" s="27" t="s">
        <v>384</v>
      </c>
      <c r="C285" s="27" t="s">
        <v>375</v>
      </c>
      <c r="D285" s="27" t="s">
        <v>376</v>
      </c>
      <c r="E285" s="27" t="s">
        <v>2002</v>
      </c>
      <c r="F285" s="27" t="s">
        <v>1</v>
      </c>
      <c r="G285" s="27" t="s">
        <v>2126</v>
      </c>
      <c r="H285" s="27" t="s">
        <v>2123</v>
      </c>
      <c r="I285" s="27" t="s">
        <v>2124</v>
      </c>
      <c r="J285" s="27">
        <v>0.03</v>
      </c>
      <c r="L285" s="2" t="str">
        <f>"Weatherization-"&amp;G285</f>
        <v>Weatherization-Ceiling Insulation (KY) - Code</v>
      </c>
      <c r="M285" s="2" t="str">
        <f>"KU-Weatherization-"&amp;G285</f>
        <v>KU-Weatherization-Ceiling Insulation (KY) - Code</v>
      </c>
      <c r="N285" s="2" t="str">
        <f>"LG&amp;E-Weatherization-"&amp;G285</f>
        <v>LG&amp;E-Weatherization-Ceiling Insulation (KY) - Code</v>
      </c>
    </row>
    <row r="286" spans="1:14" hidden="1">
      <c r="B286" s="27" t="s">
        <v>384</v>
      </c>
      <c r="C286" s="27" t="s">
        <v>375</v>
      </c>
      <c r="D286" s="27" t="s">
        <v>376</v>
      </c>
      <c r="E286" s="27" t="s">
        <v>2002</v>
      </c>
      <c r="F286" s="27" t="s">
        <v>1</v>
      </c>
      <c r="G286" s="27" t="s">
        <v>2132</v>
      </c>
      <c r="H286" s="27" t="s">
        <v>2128</v>
      </c>
      <c r="I286" s="27" t="s">
        <v>2129</v>
      </c>
      <c r="J286" s="27">
        <v>0.2</v>
      </c>
      <c r="L286" s="2" t="str">
        <f t="shared" ref="L286:L311" si="258">"Weatherization-"&amp;G286</f>
        <v>Weatherization-Duct Sealing and Insulation - Code</v>
      </c>
      <c r="M286" s="2" t="str">
        <f t="shared" ref="M286:M311" si="259">"KU-Weatherization-"&amp;G286</f>
        <v>KU-Weatherization-Duct Sealing and Insulation - Code</v>
      </c>
      <c r="N286" s="2" t="str">
        <f t="shared" ref="N286:N311" si="260">"LG&amp;E-Weatherization-"&amp;G286</f>
        <v>LG&amp;E-Weatherization-Duct Sealing and Insulation - Code</v>
      </c>
    </row>
    <row r="287" spans="1:14" hidden="1">
      <c r="B287" s="27" t="s">
        <v>384</v>
      </c>
      <c r="C287" s="27" t="s">
        <v>375</v>
      </c>
      <c r="D287" s="27" t="s">
        <v>376</v>
      </c>
      <c r="E287" s="27" t="s">
        <v>2002</v>
      </c>
      <c r="F287" s="27" t="s">
        <v>1</v>
      </c>
      <c r="G287" s="27" t="s">
        <v>2137</v>
      </c>
      <c r="H287" s="27" t="s">
        <v>2133</v>
      </c>
      <c r="I287" s="27" t="s">
        <v>2134</v>
      </c>
      <c r="J287" s="27">
        <v>0.03</v>
      </c>
      <c r="L287" s="2" t="str">
        <f t="shared" si="258"/>
        <v>Weatherization-Infiltration Control - Reduction of Existing Conditions</v>
      </c>
      <c r="M287" s="2" t="str">
        <f t="shared" si="259"/>
        <v>KU-Weatherization-Infiltration Control - Reduction of Existing Conditions</v>
      </c>
      <c r="N287" s="2" t="str">
        <f t="shared" si="260"/>
        <v>LG&amp;E-Weatherization-Infiltration Control - Reduction of Existing Conditions</v>
      </c>
    </row>
    <row r="288" spans="1:14" hidden="1">
      <c r="B288" s="27" t="s">
        <v>384</v>
      </c>
      <c r="C288" s="27" t="s">
        <v>375</v>
      </c>
      <c r="D288" s="27" t="s">
        <v>376</v>
      </c>
      <c r="E288" s="27" t="s">
        <v>2002</v>
      </c>
      <c r="F288" s="27" t="s">
        <v>1</v>
      </c>
      <c r="G288" s="27" t="s">
        <v>2140</v>
      </c>
      <c r="H288" s="27" t="s">
        <v>2139</v>
      </c>
      <c r="I288" s="27" t="s">
        <v>2124</v>
      </c>
      <c r="J288" s="27">
        <v>0.09</v>
      </c>
      <c r="L288" s="2" t="str">
        <f t="shared" si="258"/>
        <v>Weatherization-Wall Insulation (KY) - Maximum Feasible</v>
      </c>
      <c r="M288" s="2" t="str">
        <f t="shared" si="259"/>
        <v>KU-Weatherization-Wall Insulation (KY) - Maximum Feasible</v>
      </c>
      <c r="N288" s="2" t="str">
        <f t="shared" si="260"/>
        <v>LG&amp;E-Weatherization-Wall Insulation (KY) - Maximum Feasible</v>
      </c>
    </row>
    <row r="289" spans="2:14" hidden="1">
      <c r="B289" s="27" t="s">
        <v>384</v>
      </c>
      <c r="C289" s="27" t="s">
        <v>375</v>
      </c>
      <c r="D289" s="27" t="s">
        <v>376</v>
      </c>
      <c r="E289" s="27" t="s">
        <v>2258</v>
      </c>
      <c r="F289" s="27" t="s">
        <v>1</v>
      </c>
      <c r="G289" s="27" t="s">
        <v>2126</v>
      </c>
      <c r="H289" s="27" t="s">
        <v>2123</v>
      </c>
      <c r="I289" s="27" t="s">
        <v>2124</v>
      </c>
      <c r="J289" s="27">
        <v>0.31</v>
      </c>
      <c r="L289" s="2" t="str">
        <f t="shared" si="258"/>
        <v>Weatherization-Ceiling Insulation (KY) - Code</v>
      </c>
      <c r="M289" s="2" t="str">
        <f t="shared" si="259"/>
        <v>KU-Weatherization-Ceiling Insulation (KY) - Code</v>
      </c>
      <c r="N289" s="2" t="str">
        <f t="shared" si="260"/>
        <v>LG&amp;E-Weatherization-Ceiling Insulation (KY) - Code</v>
      </c>
    </row>
    <row r="290" spans="2:14" hidden="1">
      <c r="B290" s="27" t="s">
        <v>384</v>
      </c>
      <c r="C290" s="27" t="s">
        <v>375</v>
      </c>
      <c r="D290" s="27" t="s">
        <v>376</v>
      </c>
      <c r="E290" s="27" t="s">
        <v>2258</v>
      </c>
      <c r="F290" s="27" t="s">
        <v>1</v>
      </c>
      <c r="G290" s="27" t="s">
        <v>2132</v>
      </c>
      <c r="H290" s="27" t="s">
        <v>2128</v>
      </c>
      <c r="I290" s="27" t="s">
        <v>2129</v>
      </c>
      <c r="J290" s="27">
        <v>0.43</v>
      </c>
      <c r="L290" s="2" t="str">
        <f t="shared" si="258"/>
        <v>Weatherization-Duct Sealing and Insulation - Code</v>
      </c>
      <c r="M290" s="2" t="str">
        <f t="shared" si="259"/>
        <v>KU-Weatherization-Duct Sealing and Insulation - Code</v>
      </c>
      <c r="N290" s="2" t="str">
        <f t="shared" si="260"/>
        <v>LG&amp;E-Weatherization-Duct Sealing and Insulation - Code</v>
      </c>
    </row>
    <row r="291" spans="2:14" hidden="1">
      <c r="B291" s="27" t="s">
        <v>384</v>
      </c>
      <c r="C291" s="27" t="s">
        <v>375</v>
      </c>
      <c r="D291" s="27" t="s">
        <v>376</v>
      </c>
      <c r="E291" s="27" t="s">
        <v>2258</v>
      </c>
      <c r="F291" s="27" t="s">
        <v>1</v>
      </c>
      <c r="G291" s="27" t="s">
        <v>2143</v>
      </c>
      <c r="H291" s="27" t="s">
        <v>2142</v>
      </c>
      <c r="I291" s="27" t="s">
        <v>2124</v>
      </c>
      <c r="J291" s="27">
        <v>0.5</v>
      </c>
      <c r="L291" s="2" t="str">
        <f t="shared" si="258"/>
        <v>Weatherization-Floor Insulation (KY) - Above Code</v>
      </c>
      <c r="M291" s="2" t="str">
        <f t="shared" si="259"/>
        <v>KU-Weatherization-Floor Insulation (KY) - Above Code</v>
      </c>
      <c r="N291" s="2" t="str">
        <f t="shared" si="260"/>
        <v>LG&amp;E-Weatherization-Floor Insulation (KY) - Above Code</v>
      </c>
    </row>
    <row r="292" spans="2:14" hidden="1">
      <c r="B292" s="27" t="s">
        <v>384</v>
      </c>
      <c r="C292" s="27" t="s">
        <v>375</v>
      </c>
      <c r="D292" s="27" t="s">
        <v>376</v>
      </c>
      <c r="E292" s="27" t="s">
        <v>2258</v>
      </c>
      <c r="F292" s="27" t="s">
        <v>1</v>
      </c>
      <c r="G292" s="27" t="s">
        <v>2137</v>
      </c>
      <c r="H292" s="27" t="s">
        <v>2133</v>
      </c>
      <c r="I292" s="27" t="s">
        <v>2134</v>
      </c>
      <c r="J292" s="27">
        <v>0.15</v>
      </c>
      <c r="L292" s="2" t="str">
        <f t="shared" si="258"/>
        <v>Weatherization-Infiltration Control - Reduction of Existing Conditions</v>
      </c>
      <c r="M292" s="2" t="str">
        <f t="shared" si="259"/>
        <v>KU-Weatherization-Infiltration Control - Reduction of Existing Conditions</v>
      </c>
      <c r="N292" s="2" t="str">
        <f t="shared" si="260"/>
        <v>LG&amp;E-Weatherization-Infiltration Control - Reduction of Existing Conditions</v>
      </c>
    </row>
    <row r="293" spans="2:14" hidden="1">
      <c r="B293" s="27" t="s">
        <v>384</v>
      </c>
      <c r="C293" s="27" t="s">
        <v>375</v>
      </c>
      <c r="D293" s="27" t="s">
        <v>376</v>
      </c>
      <c r="E293" s="27" t="s">
        <v>2258</v>
      </c>
      <c r="F293" s="27" t="s">
        <v>1</v>
      </c>
      <c r="G293" s="27" t="s">
        <v>2147</v>
      </c>
      <c r="H293" s="27" t="s">
        <v>2145</v>
      </c>
      <c r="I293" s="27" t="s">
        <v>2124</v>
      </c>
      <c r="J293" s="27">
        <v>1.1100000000000001</v>
      </c>
      <c r="L293" s="2" t="str">
        <f t="shared" si="258"/>
        <v>Weatherization-Insulation - Basement Wall - Code</v>
      </c>
      <c r="M293" s="2" t="str">
        <f t="shared" si="259"/>
        <v>KU-Weatherization-Insulation - Basement Wall - Code</v>
      </c>
      <c r="N293" s="2" t="str">
        <f t="shared" si="260"/>
        <v>LG&amp;E-Weatherization-Insulation - Basement Wall - Code</v>
      </c>
    </row>
    <row r="294" spans="2:14" hidden="1">
      <c r="B294" s="27" t="s">
        <v>384</v>
      </c>
      <c r="C294" s="27" t="s">
        <v>375</v>
      </c>
      <c r="D294" s="27" t="s">
        <v>376</v>
      </c>
      <c r="E294" s="27" t="s">
        <v>2258</v>
      </c>
      <c r="F294" s="27" t="s">
        <v>1</v>
      </c>
      <c r="G294" s="27" t="s">
        <v>2140</v>
      </c>
      <c r="H294" s="27" t="s">
        <v>2139</v>
      </c>
      <c r="I294" s="27" t="s">
        <v>2124</v>
      </c>
      <c r="J294" s="27">
        <v>0.77</v>
      </c>
      <c r="L294" s="2" t="str">
        <f t="shared" si="258"/>
        <v>Weatherization-Wall Insulation (KY) - Maximum Feasible</v>
      </c>
      <c r="M294" s="2" t="str">
        <f t="shared" si="259"/>
        <v>KU-Weatherization-Wall Insulation (KY) - Maximum Feasible</v>
      </c>
      <c r="N294" s="2" t="str">
        <f t="shared" si="260"/>
        <v>LG&amp;E-Weatherization-Wall Insulation (KY) - Maximum Feasible</v>
      </c>
    </row>
    <row r="295" spans="2:14" hidden="1">
      <c r="B295" s="27" t="s">
        <v>384</v>
      </c>
      <c r="C295" s="27" t="s">
        <v>375</v>
      </c>
      <c r="D295" s="27" t="s">
        <v>376</v>
      </c>
      <c r="E295" s="27" t="s">
        <v>2064</v>
      </c>
      <c r="F295" s="27" t="s">
        <v>1</v>
      </c>
      <c r="G295" s="27" t="s">
        <v>2126</v>
      </c>
      <c r="H295" s="27" t="s">
        <v>2123</v>
      </c>
      <c r="I295" s="27" t="s">
        <v>2124</v>
      </c>
      <c r="J295" s="27">
        <v>0.11</v>
      </c>
      <c r="L295" s="2" t="str">
        <f t="shared" si="258"/>
        <v>Weatherization-Ceiling Insulation (KY) - Code</v>
      </c>
      <c r="M295" s="2" t="str">
        <f t="shared" si="259"/>
        <v>KU-Weatherization-Ceiling Insulation (KY) - Code</v>
      </c>
      <c r="N295" s="2" t="str">
        <f t="shared" si="260"/>
        <v>LG&amp;E-Weatherization-Ceiling Insulation (KY) - Code</v>
      </c>
    </row>
    <row r="296" spans="2:14" hidden="1">
      <c r="B296" s="27" t="s">
        <v>384</v>
      </c>
      <c r="C296" s="27" t="s">
        <v>375</v>
      </c>
      <c r="D296" s="27" t="s">
        <v>376</v>
      </c>
      <c r="E296" s="27" t="s">
        <v>2064</v>
      </c>
      <c r="F296" s="27" t="s">
        <v>1</v>
      </c>
      <c r="G296" s="27" t="s">
        <v>2132</v>
      </c>
      <c r="H296" s="27" t="s">
        <v>2128</v>
      </c>
      <c r="I296" s="27" t="s">
        <v>2129</v>
      </c>
      <c r="J296" s="27">
        <v>0.53</v>
      </c>
      <c r="L296" s="2" t="str">
        <f t="shared" si="258"/>
        <v>Weatherization-Duct Sealing and Insulation - Code</v>
      </c>
      <c r="M296" s="2" t="str">
        <f t="shared" si="259"/>
        <v>KU-Weatherization-Duct Sealing and Insulation - Code</v>
      </c>
      <c r="N296" s="2" t="str">
        <f t="shared" si="260"/>
        <v>LG&amp;E-Weatherization-Duct Sealing and Insulation - Code</v>
      </c>
    </row>
    <row r="297" spans="2:14" hidden="1">
      <c r="B297" s="27" t="s">
        <v>384</v>
      </c>
      <c r="C297" s="27" t="s">
        <v>375</v>
      </c>
      <c r="D297" s="27" t="s">
        <v>376</v>
      </c>
      <c r="E297" s="27" t="s">
        <v>2064</v>
      </c>
      <c r="F297" s="27" t="s">
        <v>1</v>
      </c>
      <c r="G297" s="27" t="s">
        <v>2143</v>
      </c>
      <c r="H297" s="27" t="s">
        <v>2142</v>
      </c>
      <c r="I297" s="27" t="s">
        <v>2124</v>
      </c>
      <c r="J297" s="27">
        <v>0.54</v>
      </c>
      <c r="L297" s="2" t="str">
        <f t="shared" si="258"/>
        <v>Weatherization-Floor Insulation (KY) - Above Code</v>
      </c>
      <c r="M297" s="2" t="str">
        <f t="shared" si="259"/>
        <v>KU-Weatherization-Floor Insulation (KY) - Above Code</v>
      </c>
      <c r="N297" s="2" t="str">
        <f t="shared" si="260"/>
        <v>LG&amp;E-Weatherization-Floor Insulation (KY) - Above Code</v>
      </c>
    </row>
    <row r="298" spans="2:14" hidden="1">
      <c r="B298" s="27" t="s">
        <v>384</v>
      </c>
      <c r="C298" s="27" t="s">
        <v>375</v>
      </c>
      <c r="D298" s="27" t="s">
        <v>376</v>
      </c>
      <c r="E298" s="27" t="s">
        <v>2064</v>
      </c>
      <c r="F298" s="27" t="s">
        <v>1</v>
      </c>
      <c r="G298" s="27" t="s">
        <v>2137</v>
      </c>
      <c r="H298" s="27" t="s">
        <v>2133</v>
      </c>
      <c r="I298" s="27" t="s">
        <v>2134</v>
      </c>
      <c r="J298" s="27">
        <v>0.13</v>
      </c>
      <c r="L298" s="2" t="str">
        <f t="shared" si="258"/>
        <v>Weatherization-Infiltration Control - Reduction of Existing Conditions</v>
      </c>
      <c r="M298" s="2" t="str">
        <f t="shared" si="259"/>
        <v>KU-Weatherization-Infiltration Control - Reduction of Existing Conditions</v>
      </c>
      <c r="N298" s="2" t="str">
        <f t="shared" si="260"/>
        <v>LG&amp;E-Weatherization-Infiltration Control - Reduction of Existing Conditions</v>
      </c>
    </row>
    <row r="299" spans="2:14" hidden="1">
      <c r="B299" s="27" t="s">
        <v>384</v>
      </c>
      <c r="C299" s="27" t="s">
        <v>375</v>
      </c>
      <c r="D299" s="27" t="s">
        <v>376</v>
      </c>
      <c r="E299" s="27" t="s">
        <v>2064</v>
      </c>
      <c r="F299" s="27" t="s">
        <v>1</v>
      </c>
      <c r="G299" s="27" t="s">
        <v>2147</v>
      </c>
      <c r="H299" s="27" t="s">
        <v>2145</v>
      </c>
      <c r="I299" s="27" t="s">
        <v>2124</v>
      </c>
      <c r="J299" s="27">
        <v>0.36</v>
      </c>
      <c r="L299" s="2" t="str">
        <f t="shared" si="258"/>
        <v>Weatherization-Insulation - Basement Wall - Code</v>
      </c>
      <c r="M299" s="2" t="str">
        <f t="shared" si="259"/>
        <v>KU-Weatherization-Insulation - Basement Wall - Code</v>
      </c>
      <c r="N299" s="2" t="str">
        <f t="shared" si="260"/>
        <v>LG&amp;E-Weatherization-Insulation - Basement Wall - Code</v>
      </c>
    </row>
    <row r="300" spans="2:14" hidden="1">
      <c r="B300" s="27" t="s">
        <v>384</v>
      </c>
      <c r="C300" s="27" t="s">
        <v>375</v>
      </c>
      <c r="D300" s="27" t="s">
        <v>376</v>
      </c>
      <c r="E300" s="27" t="s">
        <v>2064</v>
      </c>
      <c r="F300" s="27" t="s">
        <v>1</v>
      </c>
      <c r="G300" s="27" t="s">
        <v>2140</v>
      </c>
      <c r="H300" s="27" t="s">
        <v>2139</v>
      </c>
      <c r="I300" s="27" t="s">
        <v>2124</v>
      </c>
      <c r="J300" s="27">
        <v>0.28000000000000003</v>
      </c>
      <c r="L300" s="2" t="str">
        <f t="shared" si="258"/>
        <v>Weatherization-Wall Insulation (KY) - Maximum Feasible</v>
      </c>
      <c r="M300" s="2" t="str">
        <f t="shared" si="259"/>
        <v>KU-Weatherization-Wall Insulation (KY) - Maximum Feasible</v>
      </c>
      <c r="N300" s="2" t="str">
        <f t="shared" si="260"/>
        <v>LG&amp;E-Weatherization-Wall Insulation (KY) - Maximum Feasible</v>
      </c>
    </row>
    <row r="301" spans="2:14" hidden="1">
      <c r="B301" s="27" t="s">
        <v>384</v>
      </c>
      <c r="C301" s="27" t="s">
        <v>375</v>
      </c>
      <c r="D301" s="27" t="s">
        <v>376</v>
      </c>
      <c r="E301" s="27" t="s">
        <v>2073</v>
      </c>
      <c r="F301" s="27" t="s">
        <v>1</v>
      </c>
      <c r="G301" s="27" t="s">
        <v>2126</v>
      </c>
      <c r="H301" s="27" t="s">
        <v>2123</v>
      </c>
      <c r="I301" s="27" t="s">
        <v>2124</v>
      </c>
      <c r="J301" s="27">
        <v>0.24</v>
      </c>
      <c r="L301" s="2" t="str">
        <f t="shared" si="258"/>
        <v>Weatherization-Ceiling Insulation (KY) - Code</v>
      </c>
      <c r="M301" s="2" t="str">
        <f t="shared" si="259"/>
        <v>KU-Weatherization-Ceiling Insulation (KY) - Code</v>
      </c>
      <c r="N301" s="2" t="str">
        <f t="shared" si="260"/>
        <v>LG&amp;E-Weatherization-Ceiling Insulation (KY) - Code</v>
      </c>
    </row>
    <row r="302" spans="2:14" hidden="1">
      <c r="B302" s="27" t="s">
        <v>384</v>
      </c>
      <c r="C302" s="27" t="s">
        <v>375</v>
      </c>
      <c r="D302" s="27" t="s">
        <v>376</v>
      </c>
      <c r="E302" s="27" t="s">
        <v>2073</v>
      </c>
      <c r="F302" s="27" t="s">
        <v>1</v>
      </c>
      <c r="G302" s="27" t="s">
        <v>2143</v>
      </c>
      <c r="H302" s="27" t="s">
        <v>2142</v>
      </c>
      <c r="I302" s="27" t="s">
        <v>2124</v>
      </c>
      <c r="J302" s="27">
        <v>0.5</v>
      </c>
      <c r="L302" s="2" t="str">
        <f t="shared" si="258"/>
        <v>Weatherization-Floor Insulation (KY) - Above Code</v>
      </c>
      <c r="M302" s="2" t="str">
        <f t="shared" si="259"/>
        <v>KU-Weatherization-Floor Insulation (KY) - Above Code</v>
      </c>
      <c r="N302" s="2" t="str">
        <f t="shared" si="260"/>
        <v>LG&amp;E-Weatherization-Floor Insulation (KY) - Above Code</v>
      </c>
    </row>
    <row r="303" spans="2:14" hidden="1">
      <c r="B303" s="27" t="s">
        <v>384</v>
      </c>
      <c r="C303" s="27" t="s">
        <v>375</v>
      </c>
      <c r="D303" s="27" t="s">
        <v>376</v>
      </c>
      <c r="E303" s="27" t="s">
        <v>2073</v>
      </c>
      <c r="F303" s="27" t="s">
        <v>1</v>
      </c>
      <c r="G303" s="27" t="s">
        <v>2137</v>
      </c>
      <c r="H303" s="27" t="s">
        <v>2133</v>
      </c>
      <c r="I303" s="27" t="s">
        <v>2134</v>
      </c>
      <c r="J303" s="27">
        <v>0.11</v>
      </c>
      <c r="L303" s="2" t="str">
        <f t="shared" si="258"/>
        <v>Weatherization-Infiltration Control - Reduction of Existing Conditions</v>
      </c>
      <c r="M303" s="2" t="str">
        <f t="shared" si="259"/>
        <v>KU-Weatherization-Infiltration Control - Reduction of Existing Conditions</v>
      </c>
      <c r="N303" s="2" t="str">
        <f t="shared" si="260"/>
        <v>LG&amp;E-Weatherization-Infiltration Control - Reduction of Existing Conditions</v>
      </c>
    </row>
    <row r="304" spans="2:14" hidden="1">
      <c r="B304" s="27" t="s">
        <v>384</v>
      </c>
      <c r="C304" s="27" t="s">
        <v>375</v>
      </c>
      <c r="D304" s="27" t="s">
        <v>376</v>
      </c>
      <c r="E304" s="27" t="s">
        <v>2073</v>
      </c>
      <c r="F304" s="27" t="s">
        <v>1</v>
      </c>
      <c r="G304" s="27" t="s">
        <v>2147</v>
      </c>
      <c r="H304" s="27" t="s">
        <v>2145</v>
      </c>
      <c r="I304" s="27" t="s">
        <v>2124</v>
      </c>
      <c r="J304" s="27">
        <v>0.85</v>
      </c>
      <c r="L304" s="2" t="str">
        <f t="shared" si="258"/>
        <v>Weatherization-Insulation - Basement Wall - Code</v>
      </c>
      <c r="M304" s="2" t="str">
        <f t="shared" si="259"/>
        <v>KU-Weatherization-Insulation - Basement Wall - Code</v>
      </c>
      <c r="N304" s="2" t="str">
        <f t="shared" si="260"/>
        <v>LG&amp;E-Weatherization-Insulation - Basement Wall - Code</v>
      </c>
    </row>
    <row r="305" spans="2:14" hidden="1">
      <c r="B305" s="27" t="s">
        <v>384</v>
      </c>
      <c r="C305" s="27" t="s">
        <v>375</v>
      </c>
      <c r="D305" s="27" t="s">
        <v>376</v>
      </c>
      <c r="E305" s="27" t="s">
        <v>2073</v>
      </c>
      <c r="F305" s="27" t="s">
        <v>1</v>
      </c>
      <c r="G305" s="27" t="s">
        <v>2140</v>
      </c>
      <c r="H305" s="27" t="s">
        <v>2139</v>
      </c>
      <c r="I305" s="27" t="s">
        <v>2124</v>
      </c>
      <c r="J305" s="27">
        <v>0.6</v>
      </c>
      <c r="L305" s="2" t="str">
        <f t="shared" si="258"/>
        <v>Weatherization-Wall Insulation (KY) - Maximum Feasible</v>
      </c>
      <c r="M305" s="2" t="str">
        <f t="shared" si="259"/>
        <v>KU-Weatherization-Wall Insulation (KY) - Maximum Feasible</v>
      </c>
      <c r="N305" s="2" t="str">
        <f t="shared" si="260"/>
        <v>LG&amp;E-Weatherization-Wall Insulation (KY) - Maximum Feasible</v>
      </c>
    </row>
    <row r="306" spans="2:14" hidden="1">
      <c r="B306" s="27" t="s">
        <v>2013</v>
      </c>
      <c r="C306" s="27" t="s">
        <v>375</v>
      </c>
      <c r="D306" s="27" t="s">
        <v>376</v>
      </c>
      <c r="E306" s="27" t="s">
        <v>2082</v>
      </c>
      <c r="F306" s="27" t="s">
        <v>1</v>
      </c>
      <c r="G306" s="27" t="s">
        <v>2126</v>
      </c>
      <c r="H306" s="27" t="s">
        <v>2123</v>
      </c>
      <c r="I306" s="27" t="s">
        <v>2124</v>
      </c>
      <c r="J306" s="27">
        <v>0.28000000000000003</v>
      </c>
      <c r="L306" s="2" t="str">
        <f t="shared" si="258"/>
        <v>Weatherization-Ceiling Insulation (KY) - Code</v>
      </c>
      <c r="M306" s="2" t="str">
        <f t="shared" si="259"/>
        <v>KU-Weatherization-Ceiling Insulation (KY) - Code</v>
      </c>
      <c r="N306" s="2" t="str">
        <f t="shared" si="260"/>
        <v>LG&amp;E-Weatherization-Ceiling Insulation (KY) - Code</v>
      </c>
    </row>
    <row r="307" spans="2:14" hidden="1">
      <c r="B307" s="27" t="s">
        <v>2013</v>
      </c>
      <c r="C307" s="27" t="s">
        <v>375</v>
      </c>
      <c r="D307" s="27" t="s">
        <v>376</v>
      </c>
      <c r="E307" s="27" t="s">
        <v>2082</v>
      </c>
      <c r="F307" s="27" t="s">
        <v>1</v>
      </c>
      <c r="G307" s="27" t="s">
        <v>2132</v>
      </c>
      <c r="H307" s="27" t="s">
        <v>2128</v>
      </c>
      <c r="I307" s="27" t="s">
        <v>2129</v>
      </c>
      <c r="J307" s="27">
        <v>0.54</v>
      </c>
      <c r="L307" s="2" t="str">
        <f t="shared" si="258"/>
        <v>Weatherization-Duct Sealing and Insulation - Code</v>
      </c>
      <c r="M307" s="2" t="str">
        <f t="shared" si="259"/>
        <v>KU-Weatherization-Duct Sealing and Insulation - Code</v>
      </c>
      <c r="N307" s="2" t="str">
        <f t="shared" si="260"/>
        <v>LG&amp;E-Weatherization-Duct Sealing and Insulation - Code</v>
      </c>
    </row>
    <row r="308" spans="2:14" hidden="1">
      <c r="B308" s="27" t="s">
        <v>2013</v>
      </c>
      <c r="C308" s="27" t="s">
        <v>375</v>
      </c>
      <c r="D308" s="27" t="s">
        <v>376</v>
      </c>
      <c r="E308" s="27" t="s">
        <v>2082</v>
      </c>
      <c r="F308" s="27" t="s">
        <v>1</v>
      </c>
      <c r="G308" s="27" t="s">
        <v>2143</v>
      </c>
      <c r="H308" s="27" t="s">
        <v>2142</v>
      </c>
      <c r="I308" s="27" t="s">
        <v>2124</v>
      </c>
      <c r="J308" s="27">
        <v>0.63</v>
      </c>
      <c r="L308" s="2" t="str">
        <f t="shared" si="258"/>
        <v>Weatherization-Floor Insulation (KY) - Above Code</v>
      </c>
      <c r="M308" s="2" t="str">
        <f t="shared" si="259"/>
        <v>KU-Weatherization-Floor Insulation (KY) - Above Code</v>
      </c>
      <c r="N308" s="2" t="str">
        <f t="shared" si="260"/>
        <v>LG&amp;E-Weatherization-Floor Insulation (KY) - Above Code</v>
      </c>
    </row>
    <row r="309" spans="2:14" hidden="1">
      <c r="B309" s="27" t="s">
        <v>2013</v>
      </c>
      <c r="C309" s="27" t="s">
        <v>375</v>
      </c>
      <c r="D309" s="27" t="s">
        <v>376</v>
      </c>
      <c r="E309" s="27" t="s">
        <v>2082</v>
      </c>
      <c r="F309" s="27" t="s">
        <v>1</v>
      </c>
      <c r="G309" s="27" t="s">
        <v>2137</v>
      </c>
      <c r="H309" s="27" t="s">
        <v>2133</v>
      </c>
      <c r="I309" s="27" t="s">
        <v>2134</v>
      </c>
      <c r="J309" s="27">
        <v>0.18</v>
      </c>
      <c r="L309" s="2" t="str">
        <f t="shared" si="258"/>
        <v>Weatherization-Infiltration Control - Reduction of Existing Conditions</v>
      </c>
      <c r="M309" s="2" t="str">
        <f t="shared" si="259"/>
        <v>KU-Weatherization-Infiltration Control - Reduction of Existing Conditions</v>
      </c>
      <c r="N309" s="2" t="str">
        <f t="shared" si="260"/>
        <v>LG&amp;E-Weatherization-Infiltration Control - Reduction of Existing Conditions</v>
      </c>
    </row>
    <row r="310" spans="2:14" hidden="1">
      <c r="B310" s="27" t="s">
        <v>2013</v>
      </c>
      <c r="C310" s="27" t="s">
        <v>375</v>
      </c>
      <c r="D310" s="27" t="s">
        <v>376</v>
      </c>
      <c r="E310" s="27" t="s">
        <v>2082</v>
      </c>
      <c r="F310" s="27" t="s">
        <v>1</v>
      </c>
      <c r="G310" s="27" t="s">
        <v>2147</v>
      </c>
      <c r="H310" s="27" t="s">
        <v>2145</v>
      </c>
      <c r="I310" s="27" t="s">
        <v>2124</v>
      </c>
      <c r="J310" s="27">
        <v>0.98</v>
      </c>
      <c r="L310" s="2" t="str">
        <f t="shared" si="258"/>
        <v>Weatherization-Insulation - Basement Wall - Code</v>
      </c>
      <c r="M310" s="2" t="str">
        <f t="shared" si="259"/>
        <v>KU-Weatherization-Insulation - Basement Wall - Code</v>
      </c>
      <c r="N310" s="2" t="str">
        <f t="shared" si="260"/>
        <v>LG&amp;E-Weatherization-Insulation - Basement Wall - Code</v>
      </c>
    </row>
    <row r="311" spans="2:14" hidden="1">
      <c r="B311" s="27" t="s">
        <v>2013</v>
      </c>
      <c r="C311" s="27" t="s">
        <v>375</v>
      </c>
      <c r="D311" s="27" t="s">
        <v>376</v>
      </c>
      <c r="E311" s="27" t="s">
        <v>2082</v>
      </c>
      <c r="F311" s="27" t="s">
        <v>1</v>
      </c>
      <c r="G311" s="27" t="s">
        <v>2140</v>
      </c>
      <c r="H311" s="27" t="s">
        <v>2139</v>
      </c>
      <c r="I311" s="27" t="s">
        <v>2124</v>
      </c>
      <c r="J311" s="27">
        <v>0.69</v>
      </c>
      <c r="L311" s="2" t="str">
        <f t="shared" si="258"/>
        <v>Weatherization-Wall Insulation (KY) - Maximum Feasible</v>
      </c>
      <c r="M311" s="2" t="str">
        <f t="shared" si="259"/>
        <v>KU-Weatherization-Wall Insulation (KY) - Maximum Feasible</v>
      </c>
      <c r="N311" s="2" t="str">
        <f t="shared" si="260"/>
        <v>LG&amp;E-Weatherization-Wall Insulation (KY) - Maximum Feasible</v>
      </c>
    </row>
    <row r="313" spans="2:14">
      <c r="B313" s="2" t="s">
        <v>2149</v>
      </c>
    </row>
  </sheetData>
  <autoFilter ref="A5:ER148" xr:uid="{00000000-0009-0000-0000-000008000000}">
    <filterColumn colId="1">
      <filters>
        <filter val="HVAC-DWH-Ductless Heat Pump (DHP)"/>
        <filter val="KU-HVAC-DWH-Ductless Heat Pump (DHP)"/>
        <filter val="LG&amp;E-HVAC-DWH-Ductless Heat Pump (DHP)"/>
      </filters>
    </filterColumn>
  </autoFilter>
  <mergeCells count="14">
    <mergeCell ref="EU4:FB4"/>
    <mergeCell ref="EG2:EK2"/>
    <mergeCell ref="EN2:ER2"/>
    <mergeCell ref="F4:P4"/>
    <mergeCell ref="Q4:T4"/>
    <mergeCell ref="U4:AG4"/>
    <mergeCell ref="AJ4:AW4"/>
    <mergeCell ref="AY4:AZ4"/>
    <mergeCell ref="BA2:BS2"/>
    <mergeCell ref="CC2:CG2"/>
    <mergeCell ref="CJ2:CN2"/>
    <mergeCell ref="CQ2:CU2"/>
    <mergeCell ref="CX2:DP2"/>
    <mergeCell ref="DZ2:ED2"/>
  </mergeCells>
  <pageMargins left="0.7" right="0.7" top="0.75" bottom="0.75" header="0.3" footer="0.3"/>
  <pageSetup orientation="portrait" r:id="rId1"/>
  <headerFooter>
    <oddFooter>&amp;L&amp;1#&amp;"Calibri"&amp;14&amp;K000000Business Use</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DF3B8-6B90-4EFC-BF09-4F3CD63D60C0}">
  <sheetPr>
    <tabColor theme="9" tint="0.59999389629810485"/>
    <pageSetUpPr autoPageBreaks="0"/>
  </sheetPr>
  <dimension ref="A1:AK99"/>
  <sheetViews>
    <sheetView zoomScale="70" zoomScaleNormal="70" workbookViewId="0">
      <selection activeCell="L61" sqref="L61"/>
    </sheetView>
  </sheetViews>
  <sheetFormatPr defaultRowHeight="14.5"/>
  <cols>
    <col min="1" max="1" width="18.1796875" bestFit="1" customWidth="1"/>
    <col min="2" max="2" width="96.7265625" customWidth="1"/>
    <col min="3" max="13" width="17.81640625" customWidth="1"/>
    <col min="14" max="14" width="16.453125" customWidth="1"/>
    <col min="15" max="15" width="13" customWidth="1"/>
    <col min="16" max="16" width="13.1796875" customWidth="1"/>
    <col min="26" max="26" width="29.1796875" customWidth="1"/>
    <col min="27" max="27" width="13.54296875" bestFit="1" customWidth="1"/>
    <col min="30" max="30" width="11.81640625" customWidth="1"/>
    <col min="31" max="31" width="11.453125" customWidth="1"/>
    <col min="32" max="32" width="9.54296875" customWidth="1"/>
    <col min="34" max="34" width="10.26953125" customWidth="1"/>
    <col min="35" max="35" width="13.54296875" customWidth="1"/>
    <col min="36" max="36" width="10.1796875" bestFit="1" customWidth="1"/>
  </cols>
  <sheetData>
    <row r="1" spans="1:13">
      <c r="A1" s="239" t="s">
        <v>2260</v>
      </c>
      <c r="B1" s="240" t="s">
        <v>2261</v>
      </c>
    </row>
    <row r="2" spans="1:13">
      <c r="A2" t="s">
        <v>2262</v>
      </c>
    </row>
    <row r="3" spans="1:13" ht="58">
      <c r="A3" s="239" t="s">
        <v>2263</v>
      </c>
      <c r="B3" s="65" t="s">
        <v>2264</v>
      </c>
    </row>
    <row r="5" spans="1:13" ht="58">
      <c r="A5" s="241" t="s">
        <v>2265</v>
      </c>
      <c r="B5" s="65" t="s">
        <v>2266</v>
      </c>
    </row>
    <row r="7" spans="1:13" ht="130.5">
      <c r="A7" s="239" t="s">
        <v>2267</v>
      </c>
      <c r="B7" s="242" t="s">
        <v>2268</v>
      </c>
    </row>
    <row r="9" spans="1:13" ht="188.5">
      <c r="A9" s="241" t="s">
        <v>2269</v>
      </c>
      <c r="B9" s="243" t="s">
        <v>2270</v>
      </c>
      <c r="C9" s="1448" t="s">
        <v>2271</v>
      </c>
      <c r="D9" s="1448"/>
    </row>
    <row r="11" spans="1:13" ht="29">
      <c r="A11" s="239" t="s">
        <v>2272</v>
      </c>
      <c r="B11" s="65" t="s">
        <v>2273</v>
      </c>
    </row>
    <row r="13" spans="1:13">
      <c r="A13" s="239" t="s">
        <v>170</v>
      </c>
      <c r="B13" t="s">
        <v>2274</v>
      </c>
    </row>
    <row r="14" spans="1:13">
      <c r="H14" t="s">
        <v>2275</v>
      </c>
      <c r="I14" t="s">
        <v>2276</v>
      </c>
    </row>
    <row r="15" spans="1:13">
      <c r="A15" s="244" t="s">
        <v>2277</v>
      </c>
      <c r="B15" s="245" t="s">
        <v>2278</v>
      </c>
      <c r="C15" s="1286" t="s">
        <v>2279</v>
      </c>
      <c r="D15" s="1286" t="s">
        <v>2279</v>
      </c>
      <c r="E15" s="1286" t="s">
        <v>2279</v>
      </c>
      <c r="F15" s="1286" t="s">
        <v>2279</v>
      </c>
      <c r="G15" s="1286" t="s">
        <v>2279</v>
      </c>
      <c r="H15" s="1286" t="s">
        <v>2280</v>
      </c>
      <c r="I15" s="1286" t="s">
        <v>2280</v>
      </c>
      <c r="J15" s="1286" t="s">
        <v>2280</v>
      </c>
      <c r="K15" s="1286" t="s">
        <v>2279</v>
      </c>
      <c r="L15" s="1286" t="s">
        <v>2280</v>
      </c>
      <c r="M15" s="1286" t="s">
        <v>2281</v>
      </c>
    </row>
    <row r="16" spans="1:13">
      <c r="B16" s="340" t="s">
        <v>2282</v>
      </c>
      <c r="C16" s="341" t="s">
        <v>2283</v>
      </c>
      <c r="D16" s="341" t="s">
        <v>2284</v>
      </c>
      <c r="E16" s="341" t="s">
        <v>2285</v>
      </c>
      <c r="F16" s="341" t="s">
        <v>2286</v>
      </c>
      <c r="G16" s="341" t="s">
        <v>2287</v>
      </c>
      <c r="H16" s="341" t="s">
        <v>2288</v>
      </c>
      <c r="I16" s="341" t="s">
        <v>2289</v>
      </c>
      <c r="J16" s="341" t="s">
        <v>2290</v>
      </c>
      <c r="K16" s="341" t="s">
        <v>2291</v>
      </c>
      <c r="L16" s="341" t="s">
        <v>2291</v>
      </c>
      <c r="M16" s="341" t="s">
        <v>2291</v>
      </c>
    </row>
    <row r="17" spans="1:13">
      <c r="B17" s="246" t="s">
        <v>2292</v>
      </c>
      <c r="C17" s="342">
        <f>AH39</f>
        <v>60.699999999999989</v>
      </c>
      <c r="D17" s="342">
        <f>AH40</f>
        <v>144.984375</v>
      </c>
      <c r="E17" s="342">
        <f>AH41</f>
        <v>222.20000000000002</v>
      </c>
      <c r="F17" s="342">
        <f>AH42</f>
        <v>350</v>
      </c>
      <c r="G17" s="342">
        <f>AH43</f>
        <v>555.1</v>
      </c>
      <c r="H17" s="343">
        <f>AH44</f>
        <v>337.58333333333331</v>
      </c>
      <c r="I17" s="343">
        <f>AH45</f>
        <v>1000</v>
      </c>
      <c r="J17" s="342">
        <f>AH46</f>
        <v>2500</v>
      </c>
      <c r="K17" s="342">
        <f>SUMPRODUCT(AF39:AF43,AH39:AH43)</f>
        <v>157.64107142857142</v>
      </c>
      <c r="L17" s="342">
        <f>SUMPRODUCT(AF44:AF46,AH44:AH46)</f>
        <v>403.82499999999999</v>
      </c>
      <c r="M17" s="342">
        <f>SUMPRODUCT(AG39:AG46,AH39:AH46)</f>
        <v>222.42631578947368</v>
      </c>
    </row>
    <row r="18" spans="1:13">
      <c r="B18" s="246" t="s">
        <v>2293</v>
      </c>
      <c r="C18" s="276">
        <f>AD39</f>
        <v>0.81599999999999995</v>
      </c>
      <c r="D18" s="276" t="s">
        <v>2294</v>
      </c>
      <c r="E18" s="276">
        <f>AD41</f>
        <v>0.79999999999999993</v>
      </c>
      <c r="F18" s="276">
        <f>AD42</f>
        <v>0.79999999999999993</v>
      </c>
      <c r="G18" s="276">
        <f>AD43</f>
        <v>0.79999999999999993</v>
      </c>
      <c r="H18" s="276" t="str">
        <f>AD44</f>
        <v>--</v>
      </c>
      <c r="I18" s="276">
        <f>AD45</f>
        <v>0.45900000000000002</v>
      </c>
      <c r="J18" s="276">
        <f>AD46</f>
        <v>0.45900000000000002</v>
      </c>
      <c r="K18" s="276" t="s">
        <v>2294</v>
      </c>
      <c r="L18" s="276" t="s">
        <v>2294</v>
      </c>
      <c r="M18" s="276" t="s">
        <v>2294</v>
      </c>
    </row>
    <row r="19" spans="1:13">
      <c r="B19" s="246" t="s">
        <v>2295</v>
      </c>
      <c r="C19" s="276">
        <f>AC39</f>
        <v>1.0667224430035558</v>
      </c>
      <c r="D19" s="276" t="s">
        <v>2294</v>
      </c>
      <c r="E19" s="276">
        <f>AC41</f>
        <v>1.0667224430035558</v>
      </c>
      <c r="F19" s="276">
        <f>AC42</f>
        <v>1.0667224430035558</v>
      </c>
      <c r="G19" s="276">
        <f>AC43</f>
        <v>1.0667224430035558</v>
      </c>
      <c r="H19" s="276" t="str">
        <f>AC44</f>
        <v>--</v>
      </c>
      <c r="I19" s="276">
        <f>AC45</f>
        <v>0.52700000000000002</v>
      </c>
      <c r="J19" s="276">
        <f>AC46</f>
        <v>0.52700000000000002</v>
      </c>
      <c r="K19" s="276" t="s">
        <v>2294</v>
      </c>
      <c r="L19" s="276" t="s">
        <v>2294</v>
      </c>
      <c r="M19" s="276" t="s">
        <v>2294</v>
      </c>
    </row>
    <row r="20" spans="1:13" ht="16.5">
      <c r="B20" s="246" t="s">
        <v>2296</v>
      </c>
      <c r="C20" s="277">
        <f t="shared" ref="C20:M20" si="0">$Q$63</f>
        <v>1141.0263157894738</v>
      </c>
      <c r="D20" s="277">
        <f t="shared" si="0"/>
        <v>1141.0263157894738</v>
      </c>
      <c r="E20" s="277">
        <f t="shared" si="0"/>
        <v>1141.0263157894738</v>
      </c>
      <c r="F20" s="277">
        <f t="shared" si="0"/>
        <v>1141.0263157894738</v>
      </c>
      <c r="G20" s="277">
        <f t="shared" si="0"/>
        <v>1141.0263157894738</v>
      </c>
      <c r="H20" s="277">
        <f t="shared" si="0"/>
        <v>1141.0263157894738</v>
      </c>
      <c r="I20" s="277">
        <f t="shared" si="0"/>
        <v>1141.0263157894738</v>
      </c>
      <c r="J20" s="277">
        <f t="shared" si="0"/>
        <v>1141.0263157894738</v>
      </c>
      <c r="K20" s="277">
        <f t="shared" si="0"/>
        <v>1141.0263157894738</v>
      </c>
      <c r="L20" s="277">
        <f t="shared" si="0"/>
        <v>1141.0263157894738</v>
      </c>
      <c r="M20" s="277">
        <f t="shared" si="0"/>
        <v>1141.0263157894738</v>
      </c>
    </row>
    <row r="21" spans="1:13">
      <c r="B21" s="246" t="s">
        <v>2297</v>
      </c>
      <c r="C21" s="277">
        <f>AI39</f>
        <v>56516.402652631572</v>
      </c>
      <c r="D21" s="277">
        <f>AI40</f>
        <v>134086.85173026315</v>
      </c>
      <c r="E21" s="277">
        <f>AI41</f>
        <v>202828.83789473685</v>
      </c>
      <c r="F21" s="277">
        <f>AI42</f>
        <v>319487.36842105264</v>
      </c>
      <c r="G21" s="277">
        <f>AI43</f>
        <v>506706.9663157895</v>
      </c>
      <c r="H21" s="277">
        <f>AI44/H17*500</f>
        <v>269302.78383261443</v>
      </c>
      <c r="I21" s="277">
        <f>AI45/I17*1500</f>
        <v>785596.6184210527</v>
      </c>
      <c r="J21" s="277">
        <f>AI46</f>
        <v>1309327.6973684211</v>
      </c>
      <c r="K21" s="277">
        <f>$AJ$39</f>
        <v>145131.01659473687</v>
      </c>
      <c r="L21" s="277">
        <f>$AJ$44</f>
        <v>216014.944490625</v>
      </c>
      <c r="M21" s="277">
        <f>$AK$39</f>
        <v>163784.68183049685</v>
      </c>
    </row>
    <row r="22" spans="1:13">
      <c r="B22" s="246" t="s">
        <v>2298</v>
      </c>
      <c r="C22" s="278">
        <v>0.05</v>
      </c>
      <c r="D22" s="278">
        <v>0.05</v>
      </c>
      <c r="E22" s="278">
        <v>0.05</v>
      </c>
      <c r="F22" s="278">
        <v>0.05</v>
      </c>
      <c r="G22" s="278">
        <v>0.05</v>
      </c>
      <c r="H22" s="278">
        <v>0.05</v>
      </c>
      <c r="I22" s="278">
        <v>0.05</v>
      </c>
      <c r="J22" s="278">
        <v>0.05</v>
      </c>
      <c r="K22" s="278">
        <v>0.05</v>
      </c>
      <c r="L22" s="278">
        <v>0.05</v>
      </c>
      <c r="M22" s="278">
        <v>0.05</v>
      </c>
    </row>
    <row r="23" spans="1:13">
      <c r="B23" s="344" t="s">
        <v>2299</v>
      </c>
      <c r="C23" s="345">
        <f t="shared" ref="C23:M23" si="1">C21*C22</f>
        <v>2825.8201326315789</v>
      </c>
      <c r="D23" s="346">
        <f t="shared" si="1"/>
        <v>6704.3425865131576</v>
      </c>
      <c r="E23" s="346">
        <f t="shared" si="1"/>
        <v>10141.441894736843</v>
      </c>
      <c r="F23" s="346">
        <f t="shared" si="1"/>
        <v>15974.368421052633</v>
      </c>
      <c r="G23" s="346">
        <f t="shared" si="1"/>
        <v>25335.348315789477</v>
      </c>
      <c r="H23" s="346">
        <f t="shared" si="1"/>
        <v>13465.139191630722</v>
      </c>
      <c r="I23" s="346">
        <f t="shared" si="1"/>
        <v>39279.830921052635</v>
      </c>
      <c r="J23" s="346">
        <f t="shared" si="1"/>
        <v>65466.384868421061</v>
      </c>
      <c r="K23" s="346">
        <f t="shared" si="1"/>
        <v>7256.5508297368433</v>
      </c>
      <c r="L23" s="346">
        <f t="shared" si="1"/>
        <v>10800.747224531251</v>
      </c>
      <c r="M23" s="346">
        <f t="shared" si="1"/>
        <v>8189.2340915248424</v>
      </c>
    </row>
    <row r="24" spans="1:13">
      <c r="B24" s="459" t="s">
        <v>2300</v>
      </c>
      <c r="C24" s="460">
        <v>0</v>
      </c>
      <c r="D24" s="430">
        <v>0</v>
      </c>
      <c r="E24" s="430">
        <v>0</v>
      </c>
      <c r="F24" s="430">
        <v>0</v>
      </c>
      <c r="G24" s="430">
        <v>0</v>
      </c>
      <c r="H24" s="430">
        <v>0</v>
      </c>
      <c r="I24" s="430">
        <v>0</v>
      </c>
      <c r="J24" s="430">
        <v>0</v>
      </c>
      <c r="K24" s="430">
        <v>0</v>
      </c>
      <c r="L24" s="430">
        <v>0</v>
      </c>
      <c r="M24" s="430">
        <v>0</v>
      </c>
    </row>
    <row r="25" spans="1:13">
      <c r="B25" s="1287" t="s">
        <v>2301</v>
      </c>
      <c r="C25" s="1288" t="s">
        <v>378</v>
      </c>
      <c r="D25" s="1288" t="s">
        <v>378</v>
      </c>
      <c r="E25" s="1288" t="s">
        <v>378</v>
      </c>
      <c r="F25" s="1288" t="s">
        <v>378</v>
      </c>
      <c r="G25" s="1288" t="s">
        <v>378</v>
      </c>
      <c r="H25" s="1288" t="s">
        <v>378</v>
      </c>
      <c r="I25" s="1288" t="s">
        <v>378</v>
      </c>
      <c r="J25" s="1288" t="s">
        <v>378</v>
      </c>
      <c r="K25" s="1288" t="s">
        <v>378</v>
      </c>
      <c r="L25" s="1288" t="s">
        <v>378</v>
      </c>
      <c r="M25" s="1288" t="s">
        <v>378</v>
      </c>
    </row>
    <row r="27" spans="1:13" ht="29">
      <c r="A27" s="244" t="s">
        <v>2302</v>
      </c>
      <c r="B27" s="247" t="s">
        <v>2303</v>
      </c>
      <c r="C27" s="1286" t="s">
        <v>2279</v>
      </c>
      <c r="D27" s="1286" t="s">
        <v>2279</v>
      </c>
      <c r="E27" s="1286" t="s">
        <v>2279</v>
      </c>
      <c r="F27" s="1286" t="s">
        <v>2279</v>
      </c>
      <c r="G27" s="1286" t="s">
        <v>2279</v>
      </c>
      <c r="H27" s="1286" t="s">
        <v>2280</v>
      </c>
      <c r="I27" s="1286" t="s">
        <v>2280</v>
      </c>
      <c r="J27" s="1286" t="s">
        <v>2280</v>
      </c>
      <c r="K27" s="1286" t="s">
        <v>2279</v>
      </c>
      <c r="L27" s="1286" t="s">
        <v>2280</v>
      </c>
      <c r="M27" s="1286" t="s">
        <v>2281</v>
      </c>
    </row>
    <row r="28" spans="1:13">
      <c r="B28" s="340" t="s">
        <v>2282</v>
      </c>
      <c r="C28" s="341" t="s">
        <v>2283</v>
      </c>
      <c r="D28" s="341" t="s">
        <v>2284</v>
      </c>
      <c r="E28" s="341" t="s">
        <v>2285</v>
      </c>
      <c r="F28" s="341" t="s">
        <v>2286</v>
      </c>
      <c r="G28" s="341" t="s">
        <v>2287</v>
      </c>
      <c r="H28" s="341" t="s">
        <v>2288</v>
      </c>
      <c r="I28" s="341" t="s">
        <v>2289</v>
      </c>
      <c r="J28" s="341" t="s">
        <v>2290</v>
      </c>
      <c r="K28" s="341" t="s">
        <v>2291</v>
      </c>
      <c r="L28" s="341" t="s">
        <v>2291</v>
      </c>
      <c r="M28" s="341" t="s">
        <v>2291</v>
      </c>
    </row>
    <row r="29" spans="1:13">
      <c r="B29" s="246" t="s">
        <v>2292</v>
      </c>
      <c r="C29" s="342">
        <f t="shared" ref="C29:M29" si="2">C17</f>
        <v>60.699999999999989</v>
      </c>
      <c r="D29" s="342">
        <f t="shared" si="2"/>
        <v>144.984375</v>
      </c>
      <c r="E29" s="342">
        <f t="shared" si="2"/>
        <v>222.20000000000002</v>
      </c>
      <c r="F29" s="342">
        <f t="shared" si="2"/>
        <v>350</v>
      </c>
      <c r="G29" s="342">
        <f t="shared" si="2"/>
        <v>555.1</v>
      </c>
      <c r="H29" s="342">
        <f t="shared" si="2"/>
        <v>337.58333333333331</v>
      </c>
      <c r="I29" s="342">
        <f t="shared" si="2"/>
        <v>1000</v>
      </c>
      <c r="J29" s="342">
        <f t="shared" si="2"/>
        <v>2500</v>
      </c>
      <c r="K29" s="342">
        <f t="shared" si="2"/>
        <v>157.64107142857142</v>
      </c>
      <c r="L29" s="342">
        <f t="shared" si="2"/>
        <v>403.82499999999999</v>
      </c>
      <c r="M29" s="342">
        <f t="shared" si="2"/>
        <v>222.42631578947368</v>
      </c>
    </row>
    <row r="30" spans="1:13">
      <c r="B30" s="344" t="s">
        <v>2304</v>
      </c>
      <c r="C30" s="347">
        <f t="shared" ref="C30:M30" si="3">C23/C29</f>
        <v>46.553873684210537</v>
      </c>
      <c r="D30" s="348">
        <f t="shared" si="3"/>
        <v>46.241828379873056</v>
      </c>
      <c r="E30" s="348">
        <f t="shared" si="3"/>
        <v>45.641052631578951</v>
      </c>
      <c r="F30" s="348">
        <f t="shared" si="3"/>
        <v>45.641052631578951</v>
      </c>
      <c r="G30" s="348">
        <f t="shared" si="3"/>
        <v>45.641052631578951</v>
      </c>
      <c r="H30" s="348">
        <f t="shared" si="3"/>
        <v>39.886860108508685</v>
      </c>
      <c r="I30" s="348">
        <f t="shared" si="3"/>
        <v>39.279830921052636</v>
      </c>
      <c r="J30" s="348">
        <f t="shared" si="3"/>
        <v>26.186553947368424</v>
      </c>
      <c r="K30" s="348">
        <f t="shared" si="3"/>
        <v>46.032108028553026</v>
      </c>
      <c r="L30" s="348">
        <f t="shared" si="3"/>
        <v>26.746108399755467</v>
      </c>
      <c r="M30" s="348">
        <f t="shared" si="3"/>
        <v>36.817739225047212</v>
      </c>
    </row>
    <row r="31" spans="1:13">
      <c r="B31" s="461" t="s">
        <v>2305</v>
      </c>
      <c r="C31" s="460">
        <v>0</v>
      </c>
      <c r="D31" s="430">
        <v>0</v>
      </c>
      <c r="E31" s="430">
        <v>0</v>
      </c>
      <c r="F31" s="430">
        <v>0</v>
      </c>
      <c r="G31" s="430">
        <v>0</v>
      </c>
      <c r="H31" s="430">
        <v>0</v>
      </c>
      <c r="I31" s="430">
        <v>0</v>
      </c>
      <c r="J31" s="430">
        <v>0</v>
      </c>
      <c r="K31" s="430">
        <v>0</v>
      </c>
      <c r="L31" s="430">
        <v>0</v>
      </c>
      <c r="M31" s="430">
        <v>0</v>
      </c>
    </row>
    <row r="32" spans="1:13">
      <c r="B32" s="1289" t="s">
        <v>2301</v>
      </c>
      <c r="C32" s="1288" t="s">
        <v>378</v>
      </c>
      <c r="D32" s="1288" t="s">
        <v>378</v>
      </c>
      <c r="E32" s="1288" t="s">
        <v>378</v>
      </c>
      <c r="F32" s="1288" t="s">
        <v>378</v>
      </c>
      <c r="G32" s="1288" t="s">
        <v>378</v>
      </c>
      <c r="H32" s="1288" t="s">
        <v>378</v>
      </c>
      <c r="I32" s="1288" t="s">
        <v>378</v>
      </c>
      <c r="J32" s="1288" t="s">
        <v>378</v>
      </c>
      <c r="K32" s="1288" t="s">
        <v>378</v>
      </c>
      <c r="L32" s="1288" t="s">
        <v>378</v>
      </c>
      <c r="M32" s="1288" t="s">
        <v>378</v>
      </c>
    </row>
    <row r="35" spans="3:37" ht="15.5">
      <c r="C35" s="248" t="s">
        <v>2306</v>
      </c>
      <c r="N35" s="248" t="s">
        <v>2307</v>
      </c>
    </row>
    <row r="36" spans="3:37" ht="15" thickBot="1">
      <c r="C36" s="68" t="s">
        <v>2308</v>
      </c>
      <c r="N36" s="22" t="s">
        <v>2309</v>
      </c>
      <c r="Z36" s="22" t="s">
        <v>2310</v>
      </c>
    </row>
    <row r="37" spans="3:37" ht="15" thickBot="1">
      <c r="C37" s="1449" t="s">
        <v>2311</v>
      </c>
      <c r="D37" s="1449" t="s">
        <v>2312</v>
      </c>
      <c r="E37" s="1449" t="s">
        <v>2313</v>
      </c>
      <c r="F37" s="1446" t="s">
        <v>2314</v>
      </c>
      <c r="G37" s="1447"/>
      <c r="H37" s="1446" t="s">
        <v>2315</v>
      </c>
      <c r="I37" s="1447"/>
      <c r="N37" s="1435" t="s">
        <v>2311</v>
      </c>
      <c r="O37" s="1435" t="s">
        <v>2312</v>
      </c>
      <c r="P37" s="1444" t="s">
        <v>2316</v>
      </c>
      <c r="Q37" s="1445"/>
      <c r="R37" s="1444" t="s">
        <v>2317</v>
      </c>
      <c r="S37" s="1445"/>
      <c r="T37" s="1435" t="s">
        <v>2318</v>
      </c>
      <c r="U37" s="1435" t="s">
        <v>2319</v>
      </c>
      <c r="V37" s="1435" t="s">
        <v>2320</v>
      </c>
      <c r="W37" s="1435" t="s">
        <v>2321</v>
      </c>
      <c r="Z37" s="1435" t="s">
        <v>2311</v>
      </c>
      <c r="AA37" s="1435" t="s">
        <v>2312</v>
      </c>
      <c r="AB37" s="1435" t="s">
        <v>2322</v>
      </c>
      <c r="AC37" s="1444" t="s">
        <v>2323</v>
      </c>
      <c r="AD37" s="1445"/>
      <c r="AE37" s="1435" t="s">
        <v>2318</v>
      </c>
      <c r="AF37" s="1435" t="s">
        <v>2324</v>
      </c>
      <c r="AG37" s="1435" t="s">
        <v>2325</v>
      </c>
      <c r="AH37" s="1435" t="s">
        <v>2320</v>
      </c>
      <c r="AI37" s="1435" t="s">
        <v>2326</v>
      </c>
      <c r="AJ37" s="1435" t="s">
        <v>2327</v>
      </c>
      <c r="AK37" s="1435" t="s">
        <v>2327</v>
      </c>
    </row>
    <row r="38" spans="3:37" ht="15" thickBot="1">
      <c r="C38" s="1450"/>
      <c r="D38" s="1450"/>
      <c r="E38" s="1450"/>
      <c r="F38" s="249" t="s">
        <v>2328</v>
      </c>
      <c r="G38" s="249" t="s">
        <v>2329</v>
      </c>
      <c r="H38" s="249" t="s">
        <v>2328</v>
      </c>
      <c r="I38" s="249" t="s">
        <v>2329</v>
      </c>
      <c r="N38" s="1436"/>
      <c r="O38" s="1436"/>
      <c r="P38" s="70" t="s">
        <v>2328</v>
      </c>
      <c r="Q38" s="70" t="s">
        <v>2329</v>
      </c>
      <c r="R38" s="70" t="s">
        <v>2328</v>
      </c>
      <c r="S38" s="70" t="s">
        <v>2329</v>
      </c>
      <c r="T38" s="1436"/>
      <c r="U38" s="1436"/>
      <c r="V38" s="1436"/>
      <c r="W38" s="1436"/>
      <c r="Z38" s="1436"/>
      <c r="AA38" s="1436"/>
      <c r="AB38" s="1436" t="s">
        <v>2322</v>
      </c>
      <c r="AC38" s="70" t="s">
        <v>2328</v>
      </c>
      <c r="AD38" s="70" t="s">
        <v>2329</v>
      </c>
      <c r="AE38" s="1436"/>
      <c r="AF38" s="1436"/>
      <c r="AG38" s="1436"/>
      <c r="AH38" s="1436"/>
      <c r="AI38" s="1436"/>
      <c r="AJ38" s="1436"/>
      <c r="AK38" s="1436"/>
    </row>
    <row r="39" spans="3:37" ht="15" thickBot="1">
      <c r="C39" s="1437" t="s">
        <v>2279</v>
      </c>
      <c r="D39" s="250" t="s">
        <v>2330</v>
      </c>
      <c r="E39" s="250" t="s">
        <v>903</v>
      </c>
      <c r="F39" s="251" t="s">
        <v>2331</v>
      </c>
      <c r="G39" s="251" t="s">
        <v>2332</v>
      </c>
      <c r="H39" s="251" t="s">
        <v>2</v>
      </c>
      <c r="I39" s="251" t="s">
        <v>2</v>
      </c>
      <c r="N39" s="71" t="s">
        <v>2279</v>
      </c>
      <c r="O39" s="71" t="s">
        <v>2330</v>
      </c>
      <c r="P39" s="72">
        <f>12/9.562</f>
        <v>1.2549675800041833</v>
      </c>
      <c r="Q39" s="72">
        <f>12/12.5</f>
        <v>0.96</v>
      </c>
      <c r="R39" s="72">
        <f t="shared" ref="R39:R47" si="4">P39*(1-$R$48)</f>
        <v>1.0667224430035558</v>
      </c>
      <c r="S39" s="72">
        <f t="shared" ref="S39:S47" si="5">Q39*(1-$R$48)</f>
        <v>0.81599999999999995</v>
      </c>
      <c r="T39" s="73">
        <v>35</v>
      </c>
      <c r="U39" s="252">
        <f>T39/SUM($T$39:$T$40)</f>
        <v>0.625</v>
      </c>
      <c r="V39" s="74">
        <v>108.0542857142857</v>
      </c>
      <c r="W39" s="74">
        <f t="shared" ref="W39:W44" si="6">S39*$Q$63</f>
        <v>931.07747368421053</v>
      </c>
      <c r="Z39" s="253" t="s">
        <v>2279</v>
      </c>
      <c r="AA39" s="254" t="s">
        <v>2283</v>
      </c>
      <c r="AB39" s="255">
        <v>250</v>
      </c>
      <c r="AC39" s="72">
        <f>R39</f>
        <v>1.0667224430035558</v>
      </c>
      <c r="AD39" s="72">
        <f>S39</f>
        <v>0.81599999999999995</v>
      </c>
      <c r="AE39" s="73">
        <v>12</v>
      </c>
      <c r="AF39" s="80">
        <f>AE39/SUM($AE$39:$AE$43)</f>
        <v>0.21428571428571427</v>
      </c>
      <c r="AG39" s="80">
        <f t="shared" ref="AG39:AG46" si="7">AE39/SUM($AE$39:$AE$46)</f>
        <v>0.15789473684210525</v>
      </c>
      <c r="AH39" s="79">
        <v>60.699999999999989</v>
      </c>
      <c r="AI39" s="79">
        <f>W39*AH39</f>
        <v>56516.402652631572</v>
      </c>
      <c r="AJ39" s="1439">
        <f>SUMPRODUCT(AI39:AI43,AF39:AF43)</f>
        <v>145131.01659473687</v>
      </c>
      <c r="AK39" s="1439">
        <f>SUMPRODUCT(AI39:AI46,AG39:AG46)</f>
        <v>163784.68183049685</v>
      </c>
    </row>
    <row r="40" spans="3:37" ht="15" thickBot="1">
      <c r="C40" s="1438"/>
      <c r="D40" s="250" t="s">
        <v>2333</v>
      </c>
      <c r="E40" s="250" t="s">
        <v>903</v>
      </c>
      <c r="F40" s="251" t="s">
        <v>2331</v>
      </c>
      <c r="G40" s="251" t="s">
        <v>2334</v>
      </c>
      <c r="H40" s="251" t="s">
        <v>2</v>
      </c>
      <c r="I40" s="251" t="s">
        <v>2</v>
      </c>
      <c r="N40" s="71" t="s">
        <v>2279</v>
      </c>
      <c r="O40" s="71" t="s">
        <v>2333</v>
      </c>
      <c r="P40" s="72">
        <f>12/9.562</f>
        <v>1.2549675800041833</v>
      </c>
      <c r="Q40" s="72">
        <f>12/12.75</f>
        <v>0.94117647058823528</v>
      </c>
      <c r="R40" s="72">
        <f t="shared" si="4"/>
        <v>1.0667224430035558</v>
      </c>
      <c r="S40" s="72">
        <f t="shared" si="5"/>
        <v>0.79999999999999993</v>
      </c>
      <c r="T40" s="73">
        <v>21</v>
      </c>
      <c r="U40" s="252">
        <f>T40/SUM($T$39:$T$40)</f>
        <v>0.375</v>
      </c>
      <c r="V40" s="74">
        <v>240.28571428571425</v>
      </c>
      <c r="W40" s="74">
        <f t="shared" si="6"/>
        <v>912.82105263157894</v>
      </c>
      <c r="Z40" s="253" t="s">
        <v>2279</v>
      </c>
      <c r="AA40" s="254" t="s">
        <v>2284</v>
      </c>
      <c r="AB40" s="255">
        <v>450</v>
      </c>
      <c r="AC40" s="265" t="s">
        <v>2294</v>
      </c>
      <c r="AD40" s="265" t="s">
        <v>2294</v>
      </c>
      <c r="AE40" s="73">
        <v>32</v>
      </c>
      <c r="AF40" s="80">
        <f>AE40/SUM($AE$39:$AE$43)</f>
        <v>0.5714285714285714</v>
      </c>
      <c r="AG40" s="80">
        <f t="shared" si="7"/>
        <v>0.42105263157894735</v>
      </c>
      <c r="AH40" s="79">
        <v>144.984375</v>
      </c>
      <c r="AI40" s="79">
        <f>AD53</f>
        <v>134086.85173026315</v>
      </c>
      <c r="AJ40" s="1440"/>
      <c r="AK40" s="1440"/>
    </row>
    <row r="41" spans="3:37" ht="15" thickBot="1">
      <c r="C41" s="1437" t="s">
        <v>2335</v>
      </c>
      <c r="D41" s="250" t="s">
        <v>2336</v>
      </c>
      <c r="E41" s="250" t="s">
        <v>2337</v>
      </c>
      <c r="F41" s="251" t="s">
        <v>2338</v>
      </c>
      <c r="G41" s="251" t="s">
        <v>2339</v>
      </c>
      <c r="H41" s="251" t="s">
        <v>2340</v>
      </c>
      <c r="I41" s="251" t="s">
        <v>2341</v>
      </c>
      <c r="N41" s="71" t="s">
        <v>2342</v>
      </c>
      <c r="O41" s="71" t="s">
        <v>2336</v>
      </c>
      <c r="P41" s="72">
        <v>0.78</v>
      </c>
      <c r="Q41" s="72">
        <v>0.63</v>
      </c>
      <c r="R41" s="72">
        <f t="shared" si="4"/>
        <v>0.66300000000000003</v>
      </c>
      <c r="S41" s="72">
        <f t="shared" si="5"/>
        <v>0.53549999999999998</v>
      </c>
      <c r="T41" s="73">
        <v>1</v>
      </c>
      <c r="U41" s="252">
        <f>T41/SUM($T$41:$T$44)</f>
        <v>0.05</v>
      </c>
      <c r="V41" s="74">
        <v>50</v>
      </c>
      <c r="W41" s="74">
        <f t="shared" si="6"/>
        <v>611.0195921052632</v>
      </c>
      <c r="Z41" s="253" t="s">
        <v>2279</v>
      </c>
      <c r="AA41" s="254" t="s">
        <v>2285</v>
      </c>
      <c r="AB41" s="255">
        <v>550</v>
      </c>
      <c r="AC41" s="72">
        <f>$R$40</f>
        <v>1.0667224430035558</v>
      </c>
      <c r="AD41" s="72">
        <f>$S$40</f>
        <v>0.79999999999999993</v>
      </c>
      <c r="AE41" s="73">
        <v>9</v>
      </c>
      <c r="AF41" s="80">
        <f>AE41/SUM($AE$39:$AE$43)</f>
        <v>0.16071428571428573</v>
      </c>
      <c r="AG41" s="80">
        <f t="shared" si="7"/>
        <v>0.11842105263157894</v>
      </c>
      <c r="AH41" s="79">
        <v>222.20000000000002</v>
      </c>
      <c r="AI41" s="79">
        <f>$W$40*AH41</f>
        <v>202828.83789473685</v>
      </c>
      <c r="AJ41" s="1440"/>
      <c r="AK41" s="1440"/>
    </row>
    <row r="42" spans="3:37" ht="15" thickBot="1">
      <c r="C42" s="1442"/>
      <c r="D42" s="250" t="s">
        <v>2343</v>
      </c>
      <c r="E42" s="250" t="s">
        <v>2337</v>
      </c>
      <c r="F42" s="251" t="s">
        <v>2344</v>
      </c>
      <c r="G42" s="251" t="s">
        <v>2345</v>
      </c>
      <c r="H42" s="251" t="s">
        <v>2346</v>
      </c>
      <c r="I42" s="251" t="s">
        <v>2347</v>
      </c>
      <c r="N42" s="71" t="s">
        <v>2342</v>
      </c>
      <c r="O42" s="71" t="s">
        <v>2343</v>
      </c>
      <c r="P42" s="72">
        <v>0.77500000000000002</v>
      </c>
      <c r="Q42" s="72">
        <v>0.61499999999999999</v>
      </c>
      <c r="R42" s="72">
        <f t="shared" si="4"/>
        <v>0.65874999999999995</v>
      </c>
      <c r="S42" s="72">
        <f t="shared" si="5"/>
        <v>0.52274999999999994</v>
      </c>
      <c r="T42" s="73">
        <v>5</v>
      </c>
      <c r="U42" s="252">
        <f>T42/SUM($T$41:$T$44)</f>
        <v>0.25</v>
      </c>
      <c r="V42" s="74">
        <v>114.7</v>
      </c>
      <c r="W42" s="74">
        <f t="shared" si="6"/>
        <v>596.47150657894736</v>
      </c>
      <c r="Z42" s="253" t="s">
        <v>2279</v>
      </c>
      <c r="AA42" s="254" t="s">
        <v>2286</v>
      </c>
      <c r="AB42" s="255">
        <v>550</v>
      </c>
      <c r="AC42" s="72">
        <f>$R$40</f>
        <v>1.0667224430035558</v>
      </c>
      <c r="AD42" s="72">
        <f>$S$40</f>
        <v>0.79999999999999993</v>
      </c>
      <c r="AE42" s="73">
        <v>1</v>
      </c>
      <c r="AF42" s="80">
        <f>AE42/SUM($AE$39:$AE$43)</f>
        <v>1.7857142857142856E-2</v>
      </c>
      <c r="AG42" s="80">
        <f t="shared" si="7"/>
        <v>1.3157894736842105E-2</v>
      </c>
      <c r="AH42" s="79">
        <v>350</v>
      </c>
      <c r="AI42" s="79">
        <f>$W$40*AH42</f>
        <v>319487.36842105264</v>
      </c>
      <c r="AJ42" s="1440"/>
      <c r="AK42" s="1440"/>
    </row>
    <row r="43" spans="3:37" ht="15" thickBot="1">
      <c r="C43" s="1442"/>
      <c r="D43" s="250" t="s">
        <v>2348</v>
      </c>
      <c r="E43" s="250" t="s">
        <v>2337</v>
      </c>
      <c r="F43" s="251" t="s">
        <v>2349</v>
      </c>
      <c r="G43" s="251" t="s">
        <v>2350</v>
      </c>
      <c r="H43" s="251" t="s">
        <v>2351</v>
      </c>
      <c r="I43" s="251" t="s">
        <v>2352</v>
      </c>
      <c r="N43" s="71" t="s">
        <v>2342</v>
      </c>
      <c r="O43" s="71" t="s">
        <v>2348</v>
      </c>
      <c r="P43" s="72">
        <v>0.68</v>
      </c>
      <c r="Q43" s="72">
        <v>0.57999999999999996</v>
      </c>
      <c r="R43" s="72">
        <f t="shared" si="4"/>
        <v>0.57800000000000007</v>
      </c>
      <c r="S43" s="72">
        <f t="shared" si="5"/>
        <v>0.49299999999999994</v>
      </c>
      <c r="T43" s="73">
        <v>5</v>
      </c>
      <c r="U43" s="252">
        <f>T43/SUM($T$41:$T$44)</f>
        <v>0.25</v>
      </c>
      <c r="V43" s="74">
        <v>228.4</v>
      </c>
      <c r="W43" s="74">
        <f t="shared" si="6"/>
        <v>562.5259736842105</v>
      </c>
      <c r="Z43" s="253" t="s">
        <v>2279</v>
      </c>
      <c r="AA43" s="254" t="s">
        <v>2287</v>
      </c>
      <c r="AB43" s="255">
        <v>550</v>
      </c>
      <c r="AC43" s="72">
        <f>$R$40</f>
        <v>1.0667224430035558</v>
      </c>
      <c r="AD43" s="72">
        <f>$S$40</f>
        <v>0.79999999999999993</v>
      </c>
      <c r="AE43" s="73">
        <v>2</v>
      </c>
      <c r="AF43" s="80">
        <f>AE43/SUM($AE$39:$AE$43)</f>
        <v>3.5714285714285712E-2</v>
      </c>
      <c r="AG43" s="80">
        <f t="shared" si="7"/>
        <v>2.6315789473684209E-2</v>
      </c>
      <c r="AH43" s="79">
        <v>555.1</v>
      </c>
      <c r="AI43" s="79">
        <f>$W$40*AH43</f>
        <v>506706.9663157895</v>
      </c>
      <c r="AJ43" s="1441"/>
      <c r="AK43" s="1440"/>
    </row>
    <row r="44" spans="3:37" ht="15" thickBot="1">
      <c r="C44" s="1438"/>
      <c r="D44" s="250" t="s">
        <v>2353</v>
      </c>
      <c r="E44" s="250" t="s">
        <v>2337</v>
      </c>
      <c r="F44" s="251" t="s">
        <v>2354</v>
      </c>
      <c r="G44" s="251" t="s">
        <v>2352</v>
      </c>
      <c r="H44" s="251" t="s">
        <v>2355</v>
      </c>
      <c r="I44" s="251" t="s">
        <v>2356</v>
      </c>
      <c r="N44" s="71" t="s">
        <v>2342</v>
      </c>
      <c r="O44" s="71" t="s">
        <v>2353</v>
      </c>
      <c r="P44" s="72">
        <v>0.62</v>
      </c>
      <c r="Q44" s="72">
        <v>0.54</v>
      </c>
      <c r="R44" s="72">
        <f t="shared" si="4"/>
        <v>0.52700000000000002</v>
      </c>
      <c r="S44" s="72">
        <f t="shared" si="5"/>
        <v>0.45900000000000002</v>
      </c>
      <c r="T44" s="73">
        <v>9</v>
      </c>
      <c r="U44" s="252">
        <f>T44/SUM($T$41:$T$44)</f>
        <v>0.45</v>
      </c>
      <c r="V44" s="74">
        <v>701.22222222222217</v>
      </c>
      <c r="W44" s="74">
        <f t="shared" si="6"/>
        <v>523.73107894736847</v>
      </c>
      <c r="Z44" s="253" t="s">
        <v>2280</v>
      </c>
      <c r="AA44" s="254" t="s">
        <v>2288</v>
      </c>
      <c r="AB44" s="255">
        <v>550</v>
      </c>
      <c r="AC44" s="265" t="s">
        <v>2294</v>
      </c>
      <c r="AD44" s="265" t="s">
        <v>2294</v>
      </c>
      <c r="AE44" s="73">
        <v>18</v>
      </c>
      <c r="AF44" s="80">
        <f>AE44/SUM($AE$44:$AE$46)</f>
        <v>0.9</v>
      </c>
      <c r="AG44" s="80">
        <f t="shared" si="7"/>
        <v>0.23684210526315788</v>
      </c>
      <c r="AH44" s="79">
        <v>337.58333333333331</v>
      </c>
      <c r="AI44" s="79">
        <f>AD56</f>
        <v>181824.26288432017</v>
      </c>
      <c r="AJ44" s="1443">
        <f>SUMPRODUCT(AI44:AI46,AF44:AF46)</f>
        <v>216014.944490625</v>
      </c>
      <c r="AK44" s="1440"/>
    </row>
    <row r="45" spans="3:37" ht="29.5" thickBot="1">
      <c r="C45" s="1437" t="s">
        <v>2357</v>
      </c>
      <c r="D45" s="250" t="s">
        <v>2358</v>
      </c>
      <c r="E45" s="250" t="s">
        <v>2337</v>
      </c>
      <c r="F45" s="251" t="s">
        <v>2359</v>
      </c>
      <c r="G45" s="251" t="s">
        <v>2360</v>
      </c>
      <c r="H45" s="251" t="s">
        <v>2355</v>
      </c>
      <c r="I45" s="251" t="s">
        <v>2361</v>
      </c>
      <c r="N45" s="71" t="s">
        <v>2362</v>
      </c>
      <c r="O45" s="71" t="s">
        <v>2358</v>
      </c>
      <c r="P45" s="72">
        <v>0.63400000000000001</v>
      </c>
      <c r="Q45" s="72">
        <v>0.59599999999999997</v>
      </c>
      <c r="R45" s="72">
        <f t="shared" si="4"/>
        <v>0.53890000000000005</v>
      </c>
      <c r="S45" s="72">
        <f t="shared" si="5"/>
        <v>0.50659999999999994</v>
      </c>
      <c r="Z45" s="253" t="s">
        <v>2280</v>
      </c>
      <c r="AA45" s="254" t="s">
        <v>2289</v>
      </c>
      <c r="AB45" s="255">
        <v>550</v>
      </c>
      <c r="AC45" s="72">
        <f>R44</f>
        <v>0.52700000000000002</v>
      </c>
      <c r="AD45" s="72">
        <f>S44</f>
        <v>0.45900000000000002</v>
      </c>
      <c r="AE45" s="73">
        <v>2</v>
      </c>
      <c r="AF45" s="80">
        <f>AE45/SUM($AE$44:$AE$46)</f>
        <v>0.1</v>
      </c>
      <c r="AG45" s="80">
        <f t="shared" si="7"/>
        <v>2.6315789473684209E-2</v>
      </c>
      <c r="AH45" s="79">
        <v>1000</v>
      </c>
      <c r="AI45" s="79">
        <f>AH45*$W$44</f>
        <v>523731.07894736849</v>
      </c>
      <c r="AJ45" s="1440"/>
      <c r="AK45" s="1440"/>
    </row>
    <row r="46" spans="3:37" ht="29.5" thickBot="1">
      <c r="C46" s="1442"/>
      <c r="D46" s="250" t="s">
        <v>2363</v>
      </c>
      <c r="E46" s="250" t="s">
        <v>2337</v>
      </c>
      <c r="F46" s="251" t="s">
        <v>2364</v>
      </c>
      <c r="G46" s="251" t="s">
        <v>2365</v>
      </c>
      <c r="H46" s="251" t="s">
        <v>2341</v>
      </c>
      <c r="I46" s="251" t="s">
        <v>2366</v>
      </c>
      <c r="N46" s="71" t="s">
        <v>2362</v>
      </c>
      <c r="O46" s="71" t="s">
        <v>2363</v>
      </c>
      <c r="P46" s="72">
        <v>0.57599999999999996</v>
      </c>
      <c r="Q46" s="72">
        <v>0.54900000000000004</v>
      </c>
      <c r="R46" s="72">
        <f t="shared" si="4"/>
        <v>0.48959999999999992</v>
      </c>
      <c r="S46" s="72">
        <f t="shared" si="5"/>
        <v>0.46665000000000001</v>
      </c>
      <c r="Z46" s="253" t="s">
        <v>2280</v>
      </c>
      <c r="AA46" s="254" t="s">
        <v>2290</v>
      </c>
      <c r="AB46" s="255">
        <v>550</v>
      </c>
      <c r="AC46" s="72">
        <f>R44</f>
        <v>0.52700000000000002</v>
      </c>
      <c r="AD46" s="72">
        <f>S44</f>
        <v>0.45900000000000002</v>
      </c>
      <c r="AE46" s="73">
        <v>0</v>
      </c>
      <c r="AF46" s="80">
        <f>AE46/SUM($AE$44:$AE$46)</f>
        <v>0</v>
      </c>
      <c r="AG46" s="80">
        <f t="shared" si="7"/>
        <v>0</v>
      </c>
      <c r="AH46" s="79">
        <v>2500</v>
      </c>
      <c r="AI46" s="79">
        <f>AH46*$W$44</f>
        <v>1309327.6973684211</v>
      </c>
      <c r="AJ46" s="1441"/>
      <c r="AK46" s="1441"/>
    </row>
    <row r="47" spans="3:37" ht="15" thickBot="1">
      <c r="C47" s="1438"/>
      <c r="D47" s="250" t="s">
        <v>2367</v>
      </c>
      <c r="E47" s="250" t="s">
        <v>2337</v>
      </c>
      <c r="F47" s="251" t="s">
        <v>2368</v>
      </c>
      <c r="G47" s="251" t="s">
        <v>2369</v>
      </c>
      <c r="H47" s="251" t="s">
        <v>2370</v>
      </c>
      <c r="I47" s="251" t="s">
        <v>2366</v>
      </c>
      <c r="N47" s="71" t="s">
        <v>2362</v>
      </c>
      <c r="O47" s="71" t="s">
        <v>2367</v>
      </c>
      <c r="P47" s="72">
        <v>0.56999999999999995</v>
      </c>
      <c r="Q47" s="72">
        <v>0.53900000000000003</v>
      </c>
      <c r="R47" s="72">
        <f t="shared" si="4"/>
        <v>0.48449999999999993</v>
      </c>
      <c r="S47" s="72">
        <f t="shared" si="5"/>
        <v>0.45815</v>
      </c>
      <c r="Z47" s="256" t="s">
        <v>2371</v>
      </c>
    </row>
    <row r="48" spans="3:37">
      <c r="R48" s="23">
        <v>0.15</v>
      </c>
      <c r="S48" t="s">
        <v>2372</v>
      </c>
    </row>
    <row r="51" spans="3:30" ht="15" thickBot="1">
      <c r="C51" s="68" t="s">
        <v>2373</v>
      </c>
      <c r="N51" s="22" t="s">
        <v>2374</v>
      </c>
      <c r="Z51" s="22" t="s">
        <v>2375</v>
      </c>
    </row>
    <row r="52" spans="3:30" ht="29.5" thickBot="1">
      <c r="C52" s="257" t="s">
        <v>360</v>
      </c>
      <c r="D52" s="258" t="s">
        <v>2376</v>
      </c>
      <c r="E52" s="258" t="s">
        <v>901</v>
      </c>
      <c r="N52" s="75" t="s">
        <v>360</v>
      </c>
      <c r="O52" s="75" t="s">
        <v>2377</v>
      </c>
      <c r="P52" s="75" t="s">
        <v>515</v>
      </c>
      <c r="Q52" s="259" t="s">
        <v>2376</v>
      </c>
      <c r="R52" s="75" t="s">
        <v>901</v>
      </c>
      <c r="Z52" s="70" t="s">
        <v>319</v>
      </c>
      <c r="AA52" s="70" t="s">
        <v>2377</v>
      </c>
      <c r="AB52" s="70" t="s">
        <v>950</v>
      </c>
      <c r="AC52" s="213" t="s">
        <v>2320</v>
      </c>
      <c r="AD52" s="213" t="s">
        <v>2326</v>
      </c>
    </row>
    <row r="53" spans="3:30" ht="15" thickBot="1">
      <c r="C53" s="71" t="s">
        <v>2378</v>
      </c>
      <c r="D53" s="79">
        <v>1452</v>
      </c>
      <c r="E53" s="73">
        <v>0.85</v>
      </c>
      <c r="N53" s="71" t="s">
        <v>2378</v>
      </c>
      <c r="O53" s="76">
        <v>4</v>
      </c>
      <c r="P53" s="260">
        <f t="shared" ref="P53:P63" si="8">O53/$O$63</f>
        <v>5.2631578947368418E-2</v>
      </c>
      <c r="Q53" s="76">
        <f t="shared" ref="Q53:Q62" si="9">VLOOKUP($N53,$C$53:$E$70,2,0)</f>
        <v>1452</v>
      </c>
      <c r="R53" s="76">
        <f t="shared" ref="R53:R62" si="10">VLOOKUP($N53,$C$53:$E$70,3,0)</f>
        <v>0.85</v>
      </c>
      <c r="Z53" s="71" t="s">
        <v>2379</v>
      </c>
      <c r="AA53" s="73"/>
      <c r="AB53" s="252"/>
      <c r="AC53" s="74">
        <f>SUMPRODUCT(AC54:AC55,$AB$54:$AB$55)</f>
        <v>144.984375</v>
      </c>
      <c r="AD53" s="79">
        <f>SUMPRODUCT(AD54:AD55,$AB$54:$AB$55)</f>
        <v>134086.85173026315</v>
      </c>
    </row>
    <row r="54" spans="3:30" ht="15" thickBot="1">
      <c r="C54" s="71" t="s">
        <v>2380</v>
      </c>
      <c r="D54" s="79">
        <v>1457</v>
      </c>
      <c r="E54" s="73">
        <v>0.87</v>
      </c>
      <c r="N54" s="71" t="s">
        <v>2381</v>
      </c>
      <c r="O54" s="76">
        <v>42</v>
      </c>
      <c r="P54" s="260">
        <f t="shared" si="8"/>
        <v>0.55263157894736847</v>
      </c>
      <c r="Q54" s="76">
        <f t="shared" si="9"/>
        <v>518</v>
      </c>
      <c r="R54" s="76">
        <f t="shared" si="10"/>
        <v>0.11</v>
      </c>
      <c r="Z54" s="71" t="s">
        <v>2330</v>
      </c>
      <c r="AA54" s="73">
        <v>23</v>
      </c>
      <c r="AB54" s="252">
        <f>AA54/SUM($AA$54:$AA$55)</f>
        <v>0.71875</v>
      </c>
      <c r="AC54" s="74">
        <v>132.76086956521738</v>
      </c>
      <c r="AD54" s="79">
        <f>AC54*VLOOKUP(Z54,$O$39:$W$44,9,0)</f>
        <v>123610.65503890159</v>
      </c>
    </row>
    <row r="55" spans="3:30" ht="15" thickBot="1">
      <c r="C55" s="71" t="s">
        <v>2381</v>
      </c>
      <c r="D55" s="73">
        <v>518</v>
      </c>
      <c r="E55" s="73">
        <v>0.11</v>
      </c>
      <c r="N55" s="71" t="s">
        <v>2382</v>
      </c>
      <c r="O55" s="76">
        <v>6</v>
      </c>
      <c r="P55" s="260">
        <f t="shared" si="8"/>
        <v>7.8947368421052627E-2</v>
      </c>
      <c r="Q55" s="76">
        <f t="shared" si="9"/>
        <v>3270</v>
      </c>
      <c r="R55" s="76">
        <f t="shared" si="10"/>
        <v>0.85</v>
      </c>
      <c r="Z55" s="71" t="s">
        <v>2333</v>
      </c>
      <c r="AA55" s="73">
        <v>9</v>
      </c>
      <c r="AB55" s="252">
        <f>AA55/SUM($AA$54:$AA$55)</f>
        <v>0.28125</v>
      </c>
      <c r="AC55" s="74">
        <v>176.22222222222226</v>
      </c>
      <c r="AD55" s="79">
        <f>AC55*VLOOKUP(Z55,$O$39:$W$44,9,0)</f>
        <v>160859.35438596495</v>
      </c>
    </row>
    <row r="56" spans="3:30" ht="15" thickBot="1">
      <c r="C56" s="71" t="s">
        <v>2383</v>
      </c>
      <c r="D56" s="79">
        <v>2478</v>
      </c>
      <c r="E56" s="73">
        <v>0.86</v>
      </c>
      <c r="N56" s="71" t="s">
        <v>2384</v>
      </c>
      <c r="O56" s="76">
        <v>2</v>
      </c>
      <c r="P56" s="260">
        <f t="shared" si="8"/>
        <v>2.6315789473684209E-2</v>
      </c>
      <c r="Q56" s="76">
        <f t="shared" si="9"/>
        <v>950</v>
      </c>
      <c r="R56" s="76">
        <f t="shared" si="10"/>
        <v>0.54</v>
      </c>
      <c r="Z56" s="71" t="s">
        <v>2385</v>
      </c>
      <c r="AA56" s="73"/>
      <c r="AB56" s="261"/>
      <c r="AC56" s="74">
        <f>SUMPRODUCT(AC57:AC60,$AB$57:$AB$60)</f>
        <v>337.58333333333337</v>
      </c>
      <c r="AD56" s="79">
        <f>SUMPRODUCT(AD57:AD60,$AB$57:$AB$60)</f>
        <v>181824.26288432017</v>
      </c>
    </row>
    <row r="57" spans="3:30" ht="15" thickBot="1">
      <c r="C57" s="71" t="s">
        <v>2382</v>
      </c>
      <c r="D57" s="79">
        <v>3270</v>
      </c>
      <c r="E57" s="73">
        <v>0.85</v>
      </c>
      <c r="N57" s="71" t="s">
        <v>2386</v>
      </c>
      <c r="O57" s="76">
        <v>1</v>
      </c>
      <c r="P57" s="260">
        <f t="shared" si="8"/>
        <v>1.3157894736842105E-2</v>
      </c>
      <c r="Q57" s="76">
        <f t="shared" si="9"/>
        <v>2125</v>
      </c>
      <c r="R57" s="76">
        <f t="shared" si="10"/>
        <v>0.86</v>
      </c>
      <c r="Z57" s="71" t="s">
        <v>2336</v>
      </c>
      <c r="AA57" s="73">
        <v>1</v>
      </c>
      <c r="AB57" s="252">
        <f>AA57/SUM($AA$57:$AA$60)</f>
        <v>5.5555555555555552E-2</v>
      </c>
      <c r="AC57" s="74">
        <v>50</v>
      </c>
      <c r="AD57" s="79">
        <f>AC57*VLOOKUP(Z57,$O$39:$W$44,9,0)</f>
        <v>30550.979605263161</v>
      </c>
    </row>
    <row r="58" spans="3:30" ht="15" thickBot="1">
      <c r="C58" s="71" t="s">
        <v>2384</v>
      </c>
      <c r="D58" s="73">
        <v>950</v>
      </c>
      <c r="E58" s="73">
        <v>0.54</v>
      </c>
      <c r="N58" s="71" t="s">
        <v>2387</v>
      </c>
      <c r="O58" s="76">
        <v>4</v>
      </c>
      <c r="P58" s="260">
        <f t="shared" si="8"/>
        <v>5.2631578947368418E-2</v>
      </c>
      <c r="Q58" s="76">
        <f t="shared" si="9"/>
        <v>3632</v>
      </c>
      <c r="R58" s="76">
        <f t="shared" si="10"/>
        <v>0.91</v>
      </c>
      <c r="Z58" s="71" t="s">
        <v>2343</v>
      </c>
      <c r="AA58" s="73">
        <v>5</v>
      </c>
      <c r="AB58" s="252">
        <f>AA58/SUM($AA$57:$AA$60)</f>
        <v>0.27777777777777779</v>
      </c>
      <c r="AC58" s="74">
        <v>114.7</v>
      </c>
      <c r="AD58" s="79">
        <f>AC58*VLOOKUP(Z58,$O$39:$W$44,9,0)</f>
        <v>68415.281804605256</v>
      </c>
    </row>
    <row r="59" spans="3:30" ht="15" thickBot="1">
      <c r="C59" s="71" t="s">
        <v>2388</v>
      </c>
      <c r="D59" s="79">
        <v>3854</v>
      </c>
      <c r="E59" s="73">
        <v>0.87</v>
      </c>
      <c r="N59" s="71" t="s">
        <v>2389</v>
      </c>
      <c r="O59" s="76">
        <v>8</v>
      </c>
      <c r="P59" s="260">
        <f t="shared" si="8"/>
        <v>0.10526315789473684</v>
      </c>
      <c r="Q59" s="76">
        <f t="shared" si="9"/>
        <v>1443</v>
      </c>
      <c r="R59" s="76">
        <f t="shared" si="10"/>
        <v>0.86</v>
      </c>
      <c r="Z59" s="71" t="s">
        <v>2348</v>
      </c>
      <c r="AA59" s="73">
        <v>5</v>
      </c>
      <c r="AB59" s="252">
        <f>AA59/SUM($AA$57:$AA$60)</f>
        <v>0.27777777777777779</v>
      </c>
      <c r="AC59" s="74">
        <v>228.4</v>
      </c>
      <c r="AD59" s="79">
        <f>AC59*VLOOKUP(Z59,$O$39:$W$44,9,0)</f>
        <v>128480.93238947369</v>
      </c>
    </row>
    <row r="60" spans="3:30" ht="15" thickBot="1">
      <c r="C60" s="71" t="s">
        <v>2386</v>
      </c>
      <c r="D60" s="79">
        <v>2125</v>
      </c>
      <c r="E60" s="73">
        <v>0.86</v>
      </c>
      <c r="N60" s="71" t="s">
        <v>325</v>
      </c>
      <c r="O60" s="76">
        <v>1</v>
      </c>
      <c r="P60" s="260">
        <f t="shared" si="8"/>
        <v>1.3157894736842105E-2</v>
      </c>
      <c r="Q60" s="76">
        <f t="shared" si="9"/>
        <v>1204</v>
      </c>
      <c r="R60" s="76">
        <f t="shared" si="10"/>
        <v>0.78</v>
      </c>
      <c r="Z60" s="71" t="s">
        <v>2353</v>
      </c>
      <c r="AA60" s="73">
        <v>7</v>
      </c>
      <c r="AB60" s="252">
        <f>AA60/SUM($AA$57:$AA$60)</f>
        <v>0.3888888888888889</v>
      </c>
      <c r="AC60" s="74">
        <v>615.85714285714289</v>
      </c>
      <c r="AD60" s="79">
        <f>AC60*VLOOKUP(Z60,$O$39:$W$44,9,0)</f>
        <v>322543.52590601507</v>
      </c>
    </row>
    <row r="61" spans="3:30" ht="15" thickBot="1">
      <c r="C61" s="71" t="s">
        <v>2390</v>
      </c>
      <c r="D61" s="79">
        <v>1825</v>
      </c>
      <c r="E61" s="73">
        <v>0.84</v>
      </c>
      <c r="N61" s="71" t="s">
        <v>2391</v>
      </c>
      <c r="O61" s="76">
        <v>5</v>
      </c>
      <c r="P61" s="260">
        <f t="shared" si="8"/>
        <v>6.5789473684210523E-2</v>
      </c>
      <c r="Q61" s="76">
        <f t="shared" si="9"/>
        <v>1406</v>
      </c>
      <c r="R61" s="76">
        <f t="shared" si="10"/>
        <v>0.85</v>
      </c>
    </row>
    <row r="62" spans="3:30" ht="15" thickBot="1">
      <c r="C62" s="71" t="s">
        <v>2392</v>
      </c>
      <c r="D62" s="79">
        <v>1412</v>
      </c>
      <c r="E62" s="73">
        <v>0.86</v>
      </c>
      <c r="N62" s="71" t="s">
        <v>2393</v>
      </c>
      <c r="O62" s="76">
        <v>3</v>
      </c>
      <c r="P62" s="260">
        <f t="shared" si="8"/>
        <v>3.9473684210526314E-2</v>
      </c>
      <c r="Q62" s="76">
        <f t="shared" si="9"/>
        <v>401</v>
      </c>
      <c r="R62" s="76">
        <f t="shared" si="10"/>
        <v>0.36</v>
      </c>
    </row>
    <row r="63" spans="3:30" ht="15" thickBot="1">
      <c r="C63" s="71" t="s">
        <v>2387</v>
      </c>
      <c r="D63" s="79">
        <v>3632</v>
      </c>
      <c r="E63" s="73">
        <v>0.91</v>
      </c>
      <c r="N63" s="77" t="s">
        <v>148</v>
      </c>
      <c r="O63" s="78">
        <f>SUM(O53:O62)</f>
        <v>76</v>
      </c>
      <c r="P63" s="262">
        <f t="shared" si="8"/>
        <v>1</v>
      </c>
      <c r="Q63" s="263">
        <f>SUMPRODUCT(Q53:Q62,P53:P62)</f>
        <v>1141.0263157894738</v>
      </c>
      <c r="R63" s="264">
        <f>SUMPRODUCT(R53:R62,P53:P62)</f>
        <v>0.41697368421052627</v>
      </c>
    </row>
    <row r="64" spans="3:30" ht="15" thickBot="1">
      <c r="C64" s="71" t="s">
        <v>2389</v>
      </c>
      <c r="D64" s="79">
        <v>1443</v>
      </c>
      <c r="E64" s="73">
        <v>0.86</v>
      </c>
    </row>
    <row r="65" spans="1:26" ht="15" thickBot="1">
      <c r="C65" s="71" t="s">
        <v>325</v>
      </c>
      <c r="D65" s="79">
        <v>1204</v>
      </c>
      <c r="E65" s="73">
        <v>0.78</v>
      </c>
    </row>
    <row r="66" spans="1:26" ht="15" thickBot="1">
      <c r="C66" s="71" t="s">
        <v>2391</v>
      </c>
      <c r="D66" s="79">
        <v>1406</v>
      </c>
      <c r="E66" s="73">
        <v>0.85</v>
      </c>
    </row>
    <row r="67" spans="1:26" ht="15" thickBot="1">
      <c r="C67" s="71" t="s">
        <v>2393</v>
      </c>
      <c r="D67" s="73">
        <v>401</v>
      </c>
      <c r="E67" s="73">
        <v>0.36</v>
      </c>
    </row>
    <row r="68" spans="1:26" ht="15" thickBot="1">
      <c r="C68" s="71" t="s">
        <v>2394</v>
      </c>
      <c r="D68" s="73">
        <v>770</v>
      </c>
      <c r="E68" s="73">
        <v>0.71</v>
      </c>
    </row>
    <row r="69" spans="1:26" ht="15" thickBot="1">
      <c r="C69" s="71" t="s">
        <v>2395</v>
      </c>
      <c r="D69" s="73">
        <v>404</v>
      </c>
      <c r="E69" s="73">
        <v>0.69</v>
      </c>
    </row>
    <row r="70" spans="1:26" ht="15" thickBot="1">
      <c r="C70" s="71" t="s">
        <v>2396</v>
      </c>
      <c r="D70" s="73">
        <v>432</v>
      </c>
      <c r="E70" s="73">
        <v>0.69</v>
      </c>
    </row>
    <row r="72" spans="1:26">
      <c r="A72" t="s">
        <v>2397</v>
      </c>
    </row>
    <row r="74" spans="1:26">
      <c r="A74" t="s">
        <v>2398</v>
      </c>
    </row>
    <row r="77" spans="1:26" ht="15" thickBot="1">
      <c r="O77" s="237" t="s">
        <v>2399</v>
      </c>
    </row>
    <row r="78" spans="1:26" ht="46.5" thickBot="1">
      <c r="O78" s="220" t="s">
        <v>2400</v>
      </c>
      <c r="P78" s="221" t="s">
        <v>2401</v>
      </c>
      <c r="Q78" s="221" t="s">
        <v>2402</v>
      </c>
      <c r="R78" s="221" t="s">
        <v>2403</v>
      </c>
      <c r="S78" s="222" t="s">
        <v>2404</v>
      </c>
      <c r="T78" s="223" t="s">
        <v>2405</v>
      </c>
      <c r="V78" s="462" t="s">
        <v>2406</v>
      </c>
      <c r="W78" s="462"/>
      <c r="X78" s="462"/>
      <c r="Y78" s="462" t="s">
        <v>2407</v>
      </c>
      <c r="Z78" s="462"/>
    </row>
    <row r="79" spans="1:26" ht="15" thickBot="1">
      <c r="O79" s="224" t="s">
        <v>2408</v>
      </c>
      <c r="P79" s="225">
        <v>13</v>
      </c>
      <c r="Q79" s="225">
        <v>559.29999999999995</v>
      </c>
      <c r="R79" s="225">
        <v>80</v>
      </c>
      <c r="S79" s="226"/>
      <c r="T79" s="227">
        <v>288765</v>
      </c>
      <c r="V79" s="462" t="s">
        <v>1479</v>
      </c>
      <c r="W79" s="462" t="s">
        <v>132</v>
      </c>
      <c r="X79" s="462" t="s">
        <v>2320</v>
      </c>
      <c r="Y79" s="1290" t="s">
        <v>1479</v>
      </c>
      <c r="Z79" s="462" t="s">
        <v>132</v>
      </c>
    </row>
    <row r="80" spans="1:26" ht="15" thickBot="1">
      <c r="O80" s="224" t="s">
        <v>2409</v>
      </c>
      <c r="P80" s="225">
        <v>3</v>
      </c>
      <c r="Q80" s="225">
        <v>13.5</v>
      </c>
      <c r="R80" s="225">
        <v>41.1</v>
      </c>
      <c r="S80" s="226"/>
      <c r="T80" s="227">
        <v>64677</v>
      </c>
      <c r="V80" s="462">
        <f>T80/P80</f>
        <v>21559</v>
      </c>
      <c r="W80" s="462">
        <f>R80/P80</f>
        <v>13.700000000000001</v>
      </c>
      <c r="X80" s="462">
        <f>AVERAGE(R93,R95,R96)</f>
        <v>132.46666666666667</v>
      </c>
      <c r="Y80" s="475">
        <f>V80/X80</f>
        <v>162.75037745344741</v>
      </c>
      <c r="Z80" s="475">
        <f>W80/X80</f>
        <v>0.10342224458983393</v>
      </c>
    </row>
    <row r="81" spans="15:26" ht="15" thickBot="1">
      <c r="O81" s="224" t="s">
        <v>2410</v>
      </c>
      <c r="P81" s="225">
        <v>6</v>
      </c>
      <c r="Q81" s="228">
        <v>1036.2</v>
      </c>
      <c r="R81" s="225">
        <v>37.200000000000003</v>
      </c>
      <c r="S81" s="226"/>
      <c r="T81" s="227">
        <v>1112332</v>
      </c>
      <c r="V81" s="462"/>
      <c r="W81" s="462"/>
      <c r="X81" s="462"/>
      <c r="Y81" s="475"/>
      <c r="Z81" s="475"/>
    </row>
    <row r="82" spans="15:26" ht="15" thickBot="1">
      <c r="O82" s="224" t="s">
        <v>2411</v>
      </c>
      <c r="P82" s="225">
        <v>4</v>
      </c>
      <c r="Q82" s="225">
        <v>22</v>
      </c>
      <c r="R82" s="225">
        <v>72.5</v>
      </c>
      <c r="S82" s="226"/>
      <c r="T82" s="227">
        <v>123522</v>
      </c>
      <c r="V82" s="462">
        <f>T82/P82</f>
        <v>30880.5</v>
      </c>
      <c r="W82" s="462">
        <f>R82/P82</f>
        <v>18.125</v>
      </c>
      <c r="X82" s="462">
        <f>AVERAGE(R98,R97,R94,R94)</f>
        <v>750</v>
      </c>
      <c r="Y82" s="475">
        <f>V82/X82</f>
        <v>41.173999999999999</v>
      </c>
      <c r="Z82" s="475">
        <f>W82/X82</f>
        <v>2.4166666666666666E-2</v>
      </c>
    </row>
    <row r="83" spans="15:26" ht="44" thickBot="1">
      <c r="O83" s="229" t="s">
        <v>148</v>
      </c>
      <c r="P83" s="230">
        <v>26</v>
      </c>
      <c r="Q83" s="231">
        <v>1631</v>
      </c>
      <c r="R83" s="230">
        <v>230.8</v>
      </c>
      <c r="S83" s="232" t="s">
        <v>2412</v>
      </c>
      <c r="T83" s="233">
        <v>1589296</v>
      </c>
      <c r="W83">
        <f>R83/T83</f>
        <v>1.4522153204941056E-4</v>
      </c>
    </row>
    <row r="85" spans="15:26">
      <c r="O85" s="234"/>
    </row>
    <row r="86" spans="15:26">
      <c r="O86" s="235" t="s">
        <v>2413</v>
      </c>
      <c r="P86" s="236" t="s">
        <v>2414</v>
      </c>
    </row>
    <row r="87" spans="15:26">
      <c r="O87" s="235" t="s">
        <v>2415</v>
      </c>
      <c r="P87" s="236" t="s">
        <v>2416</v>
      </c>
    </row>
    <row r="91" spans="15:26" ht="18.5">
      <c r="O91" s="238"/>
    </row>
    <row r="92" spans="15:26">
      <c r="O92" s="462" t="s">
        <v>2417</v>
      </c>
      <c r="P92" s="462" t="s">
        <v>2418</v>
      </c>
      <c r="Q92" s="462" t="s">
        <v>2377</v>
      </c>
      <c r="R92" s="462" t="s">
        <v>2419</v>
      </c>
    </row>
    <row r="93" spans="15:26" ht="18.5">
      <c r="O93" s="1291" t="s">
        <v>2420</v>
      </c>
      <c r="P93" s="462" t="s">
        <v>2421</v>
      </c>
      <c r="Q93" s="462">
        <v>1</v>
      </c>
      <c r="R93" s="462">
        <v>213</v>
      </c>
    </row>
    <row r="94" spans="15:26" ht="18.5">
      <c r="O94" s="1291" t="s">
        <v>2420</v>
      </c>
      <c r="P94" s="462" t="s">
        <v>2422</v>
      </c>
      <c r="Q94" s="462">
        <v>2</v>
      </c>
      <c r="R94" s="462">
        <v>500</v>
      </c>
    </row>
    <row r="95" spans="15:26" ht="18.5">
      <c r="O95" s="1291" t="s">
        <v>2423</v>
      </c>
      <c r="P95" s="462" t="s">
        <v>2421</v>
      </c>
      <c r="Q95" s="462">
        <v>1</v>
      </c>
      <c r="R95" s="462">
        <v>34.4</v>
      </c>
    </row>
    <row r="96" spans="15:26" ht="15.5">
      <c r="O96" s="1292" t="s">
        <v>2424</v>
      </c>
      <c r="P96" s="462" t="s">
        <v>2421</v>
      </c>
      <c r="Q96" s="462">
        <v>1</v>
      </c>
      <c r="R96" s="462">
        <v>150</v>
      </c>
    </row>
    <row r="97" spans="15:18" ht="18.5">
      <c r="O97" s="1291" t="s">
        <v>2425</v>
      </c>
      <c r="P97" s="462" t="s">
        <v>2422</v>
      </c>
      <c r="Q97" s="462">
        <v>1</v>
      </c>
      <c r="R97" s="462">
        <v>1000</v>
      </c>
    </row>
    <row r="98" spans="15:18" ht="18.5">
      <c r="O98" s="1291" t="s">
        <v>2426</v>
      </c>
      <c r="P98" s="462" t="s">
        <v>2422</v>
      </c>
      <c r="Q98" s="462">
        <v>1</v>
      </c>
      <c r="R98" s="462">
        <v>1000</v>
      </c>
    </row>
    <row r="99" spans="15:18">
      <c r="O99" t="s">
        <v>2398</v>
      </c>
    </row>
  </sheetData>
  <mergeCells count="31">
    <mergeCell ref="H37:I37"/>
    <mergeCell ref="C9:D9"/>
    <mergeCell ref="C37:C38"/>
    <mergeCell ref="D37:D38"/>
    <mergeCell ref="E37:E38"/>
    <mergeCell ref="F37:G37"/>
    <mergeCell ref="AA37:AA38"/>
    <mergeCell ref="AB37:AB38"/>
    <mergeCell ref="AC37:AD37"/>
    <mergeCell ref="N37:N38"/>
    <mergeCell ref="O37:O38"/>
    <mergeCell ref="P37:Q37"/>
    <mergeCell ref="R37:S37"/>
    <mergeCell ref="T37:T38"/>
    <mergeCell ref="U37:U38"/>
    <mergeCell ref="AK37:AK38"/>
    <mergeCell ref="C39:C40"/>
    <mergeCell ref="AJ39:AJ43"/>
    <mergeCell ref="AK39:AK46"/>
    <mergeCell ref="C41:C44"/>
    <mergeCell ref="AJ44:AJ46"/>
    <mergeCell ref="C45:C47"/>
    <mergeCell ref="AE37:AE38"/>
    <mergeCell ref="AF37:AF38"/>
    <mergeCell ref="AG37:AG38"/>
    <mergeCell ref="AH37:AH38"/>
    <mergeCell ref="AI37:AI38"/>
    <mergeCell ref="AJ37:AJ38"/>
    <mergeCell ref="V37:V38"/>
    <mergeCell ref="W37:W38"/>
    <mergeCell ref="Z37:Z38"/>
  </mergeCells>
  <hyperlinks>
    <hyperlink ref="T78" location="_ftn1" display="_ftn1" xr:uid="{96364830-ACA1-4F74-9E18-09AB154311DF}"/>
    <hyperlink ref="S83" location="_ftn2" display="_ftn2" xr:uid="{C9A07761-04CD-47D1-8BF3-4E2D48C250D2}"/>
    <hyperlink ref="O86" location="_ftnref1" display="_ftnref1" xr:uid="{B64199CD-D9DC-48AC-806B-770EB59BBA26}"/>
    <hyperlink ref="O87" location="_ftnref2" display="_ftnref2" xr:uid="{DE04EEE9-A768-471F-9904-44637F375635}"/>
  </hyperlinks>
  <pageMargins left="0.7" right="0.7" top="0.75" bottom="0.75" header="0.3" footer="0.3"/>
  <pageSetup orientation="portrait" r:id="rId1"/>
  <headerFooter>
    <oddFooter>&amp;L&amp;1#&amp;"Calibri"&amp;14&amp;K000000Business Use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3864-B54F-4067-8AF5-E3BFA1043771}">
  <sheetPr>
    <tabColor theme="9" tint="0.59999389629810485"/>
  </sheetPr>
  <dimension ref="B1:V122"/>
  <sheetViews>
    <sheetView topLeftCell="I1" zoomScale="85" zoomScaleNormal="85" workbookViewId="0">
      <selection activeCell="R9" sqref="R9"/>
    </sheetView>
  </sheetViews>
  <sheetFormatPr defaultColWidth="9.1796875" defaultRowHeight="14.5"/>
  <cols>
    <col min="1" max="1" width="9.1796875" style="150"/>
    <col min="2" max="2" width="48.7265625" style="150" customWidth="1"/>
    <col min="3" max="3" width="53.7265625" style="150" customWidth="1"/>
    <col min="4" max="4" width="26.453125" style="150" bestFit="1" customWidth="1"/>
    <col min="5" max="5" width="21.81640625" style="150" customWidth="1"/>
    <col min="6" max="6" width="58.453125" style="150" customWidth="1"/>
    <col min="7" max="7" width="21.7265625" style="150" bestFit="1" customWidth="1"/>
    <col min="8" max="8" width="54.1796875" style="152" bestFit="1" customWidth="1"/>
    <col min="9" max="9" width="119.26953125" style="150" bestFit="1" customWidth="1"/>
    <col min="10" max="10" width="23.81640625" style="150" bestFit="1" customWidth="1"/>
    <col min="11" max="11" width="13.7265625" style="150" customWidth="1"/>
    <col min="12" max="12" width="9.26953125" style="150" customWidth="1"/>
    <col min="13" max="13" width="16.81640625" style="150" customWidth="1"/>
    <col min="14" max="14" width="23.26953125" style="150" bestFit="1" customWidth="1"/>
    <col min="15" max="16" width="9.1796875" style="150"/>
    <col min="17" max="17" width="18.54296875" style="150" bestFit="1" customWidth="1"/>
    <col min="18" max="18" width="19.453125" style="150" bestFit="1" customWidth="1"/>
    <col min="19" max="19" width="75.81640625" style="150" bestFit="1" customWidth="1"/>
    <col min="20" max="16384" width="9.1796875" style="150"/>
  </cols>
  <sheetData>
    <row r="1" spans="2:22" ht="30.25" customHeight="1">
      <c r="K1" s="1452" t="s">
        <v>2427</v>
      </c>
      <c r="L1" s="1452"/>
      <c r="M1" s="1452"/>
      <c r="N1" s="1452"/>
      <c r="O1" s="1452"/>
      <c r="Q1" s="1451" t="s">
        <v>2428</v>
      </c>
      <c r="R1" s="1451"/>
      <c r="S1" s="1451"/>
    </row>
    <row r="2" spans="2:22">
      <c r="B2" s="143" t="s">
        <v>2429</v>
      </c>
      <c r="C2" s="143" t="s">
        <v>2430</v>
      </c>
      <c r="D2" s="143" t="s">
        <v>2431</v>
      </c>
      <c r="E2" s="143" t="s">
        <v>841</v>
      </c>
      <c r="F2" s="143" t="s">
        <v>2432</v>
      </c>
      <c r="G2" s="143" t="s">
        <v>2433</v>
      </c>
      <c r="H2" s="185" t="s">
        <v>2434</v>
      </c>
      <c r="I2" s="143" t="s">
        <v>324</v>
      </c>
      <c r="K2" s="1293" t="s">
        <v>2435</v>
      </c>
      <c r="L2" s="1293" t="s">
        <v>2436</v>
      </c>
      <c r="M2" s="1293" t="s">
        <v>2437</v>
      </c>
      <c r="N2" s="1293" t="s">
        <v>2438</v>
      </c>
      <c r="O2" s="1293" t="s">
        <v>2439</v>
      </c>
      <c r="Q2" s="143" t="s">
        <v>2440</v>
      </c>
      <c r="R2" s="143" t="s">
        <v>2428</v>
      </c>
      <c r="S2" s="143" t="s">
        <v>324</v>
      </c>
    </row>
    <row r="3" spans="2:22" ht="15" customHeight="1">
      <c r="B3" s="1456" t="s">
        <v>1344</v>
      </c>
      <c r="C3" s="1454" t="s">
        <v>2441</v>
      </c>
      <c r="D3" s="1456" t="s">
        <v>914</v>
      </c>
      <c r="E3" s="149">
        <v>1314</v>
      </c>
      <c r="F3" s="150" t="s">
        <v>2442</v>
      </c>
      <c r="G3" s="1453">
        <f>AVERAGE(E3:E4)</f>
        <v>1846</v>
      </c>
      <c r="H3" s="1454" t="s">
        <v>2443</v>
      </c>
      <c r="I3" s="1455" t="s">
        <v>2444</v>
      </c>
      <c r="K3" s="1294">
        <v>1200</v>
      </c>
      <c r="L3" s="1294" t="s">
        <v>2445</v>
      </c>
      <c r="M3" s="1294">
        <v>1</v>
      </c>
      <c r="N3" s="1295">
        <v>311.97000000000003</v>
      </c>
      <c r="O3" s="1295">
        <f>N3/M3</f>
        <v>311.97000000000003</v>
      </c>
      <c r="Q3" s="150" t="s">
        <v>2446</v>
      </c>
      <c r="R3" s="150">
        <v>1378</v>
      </c>
      <c r="S3" s="150" t="s">
        <v>2447</v>
      </c>
    </row>
    <row r="4" spans="2:22">
      <c r="B4" s="1456"/>
      <c r="C4" s="1454"/>
      <c r="D4" s="1456"/>
      <c r="E4" s="149">
        <v>2378</v>
      </c>
      <c r="F4" s="150" t="s">
        <v>2448</v>
      </c>
      <c r="G4" s="1456"/>
      <c r="H4" s="1454"/>
      <c r="I4" s="1455"/>
      <c r="K4" s="1294">
        <v>1200</v>
      </c>
      <c r="L4" s="1294" t="s">
        <v>2445</v>
      </c>
      <c r="M4" s="1294">
        <v>1.5</v>
      </c>
      <c r="N4" s="1295">
        <v>308.62</v>
      </c>
      <c r="O4" s="1295">
        <f t="shared" ref="O4:O67" si="0">N4/M4</f>
        <v>205.74666666666667</v>
      </c>
      <c r="Q4" s="150" t="s">
        <v>2449</v>
      </c>
      <c r="R4" s="150">
        <v>1709</v>
      </c>
      <c r="S4" s="186" t="s">
        <v>2450</v>
      </c>
    </row>
    <row r="5" spans="2:22">
      <c r="B5" s="1456" t="s">
        <v>2451</v>
      </c>
      <c r="C5" s="1454"/>
      <c r="D5" s="1453" t="s">
        <v>2452</v>
      </c>
      <c r="E5" s="149">
        <v>30.5</v>
      </c>
      <c r="F5" s="150" t="s">
        <v>2453</v>
      </c>
      <c r="G5" s="1453">
        <f>AVERAGE((E5/15),(E6/15))</f>
        <v>2.8653333333333331</v>
      </c>
      <c r="H5" s="1454" t="s">
        <v>2454</v>
      </c>
      <c r="I5" s="1455"/>
      <c r="K5" s="1294">
        <v>1200</v>
      </c>
      <c r="L5" s="1294" t="s">
        <v>2445</v>
      </c>
      <c r="M5" s="1294">
        <v>2</v>
      </c>
      <c r="N5" s="1295">
        <v>365.64</v>
      </c>
      <c r="O5" s="1295">
        <f t="shared" si="0"/>
        <v>182.82</v>
      </c>
      <c r="Q5" s="269" t="s">
        <v>2455</v>
      </c>
      <c r="R5" s="270">
        <f>R4/R3</f>
        <v>1.2402031930333817</v>
      </c>
      <c r="S5" s="270" t="s">
        <v>1183</v>
      </c>
    </row>
    <row r="6" spans="2:22">
      <c r="B6" s="1456"/>
      <c r="C6" s="1454"/>
      <c r="D6" s="1453"/>
      <c r="E6" s="149">
        <v>55.46</v>
      </c>
      <c r="F6" s="150" t="s">
        <v>2456</v>
      </c>
      <c r="G6" s="1453"/>
      <c r="H6" s="1454"/>
      <c r="I6" s="1455"/>
      <c r="K6" s="1294">
        <v>1200</v>
      </c>
      <c r="L6" s="1294" t="s">
        <v>2445</v>
      </c>
      <c r="M6" s="1294">
        <v>3</v>
      </c>
      <c r="N6" s="1295">
        <v>396.29</v>
      </c>
      <c r="O6" s="1295">
        <f t="shared" si="0"/>
        <v>132.09666666666666</v>
      </c>
    </row>
    <row r="7" spans="2:22">
      <c r="B7" s="1456" t="s">
        <v>1317</v>
      </c>
      <c r="C7" s="1456" t="s">
        <v>2457</v>
      </c>
      <c r="D7" s="1456" t="s">
        <v>914</v>
      </c>
      <c r="E7" s="149">
        <v>53</v>
      </c>
      <c r="F7" s="150" t="s">
        <v>2458</v>
      </c>
      <c r="G7" s="1453">
        <f>AVERAGE(E7:E14)</f>
        <v>67.125</v>
      </c>
      <c r="H7" s="1454" t="s">
        <v>2459</v>
      </c>
      <c r="I7" s="1455" t="s">
        <v>2460</v>
      </c>
      <c r="K7" s="1294">
        <v>1200</v>
      </c>
      <c r="L7" s="1294" t="s">
        <v>2445</v>
      </c>
      <c r="M7" s="1294">
        <v>5</v>
      </c>
      <c r="N7" s="1295">
        <v>411.67</v>
      </c>
      <c r="O7" s="1295">
        <f t="shared" si="0"/>
        <v>82.334000000000003</v>
      </c>
    </row>
    <row r="8" spans="2:22">
      <c r="B8" s="1456"/>
      <c r="C8" s="1456"/>
      <c r="D8" s="1456"/>
      <c r="E8" s="149">
        <v>69</v>
      </c>
      <c r="F8" s="150" t="s">
        <v>2461</v>
      </c>
      <c r="G8" s="1453"/>
      <c r="H8" s="1454"/>
      <c r="I8" s="1456"/>
      <c r="K8" s="1294">
        <v>1200</v>
      </c>
      <c r="L8" s="1294" t="s">
        <v>2445</v>
      </c>
      <c r="M8" s="1294" t="s">
        <v>2462</v>
      </c>
      <c r="N8" s="1295">
        <v>643.66999999999996</v>
      </c>
      <c r="O8" s="1295">
        <f t="shared" si="0"/>
        <v>85.822666666666663</v>
      </c>
    </row>
    <row r="9" spans="2:22">
      <c r="B9" s="1456"/>
      <c r="C9" s="1456"/>
      <c r="D9" s="1456"/>
      <c r="E9" s="149">
        <v>55</v>
      </c>
      <c r="F9" s="150" t="s">
        <v>2463</v>
      </c>
      <c r="G9" s="1453"/>
      <c r="H9" s="1454"/>
      <c r="I9" s="1456"/>
      <c r="K9" s="1294">
        <v>1200</v>
      </c>
      <c r="L9" s="1294" t="s">
        <v>2445</v>
      </c>
      <c r="M9" s="1294" t="s">
        <v>2464</v>
      </c>
      <c r="N9" s="1295">
        <v>745.15</v>
      </c>
      <c r="O9" s="1295">
        <f t="shared" si="0"/>
        <v>74.515000000000001</v>
      </c>
      <c r="R9" s="150">
        <f>888*R5</f>
        <v>1101.3004354136428</v>
      </c>
      <c r="U9" s="153"/>
    </row>
    <row r="10" spans="2:22">
      <c r="B10" s="1456"/>
      <c r="C10" s="1456"/>
      <c r="D10" s="1456"/>
      <c r="E10" s="149">
        <v>76</v>
      </c>
      <c r="F10" s="150" t="s">
        <v>2465</v>
      </c>
      <c r="G10" s="1453"/>
      <c r="H10" s="1454"/>
      <c r="I10" s="1456"/>
      <c r="K10" s="1294">
        <v>1200</v>
      </c>
      <c r="L10" s="1294" t="s">
        <v>2445</v>
      </c>
      <c r="M10" s="1294" t="s">
        <v>2466</v>
      </c>
      <c r="N10" s="1295">
        <v>976.47</v>
      </c>
      <c r="O10" s="1295">
        <f t="shared" si="0"/>
        <v>65.097999999999999</v>
      </c>
      <c r="U10" s="153"/>
    </row>
    <row r="11" spans="2:22">
      <c r="B11" s="1456"/>
      <c r="C11" s="1456"/>
      <c r="D11" s="1456"/>
      <c r="E11" s="149">
        <v>104</v>
      </c>
      <c r="F11" s="150" t="s">
        <v>2467</v>
      </c>
      <c r="G11" s="1453"/>
      <c r="H11" s="1454"/>
      <c r="I11" s="1456"/>
      <c r="K11" s="1294">
        <v>1200</v>
      </c>
      <c r="L11" s="1294" t="s">
        <v>2445</v>
      </c>
      <c r="M11" s="1294" t="s">
        <v>2468</v>
      </c>
      <c r="N11" s="1295">
        <v>1190.27</v>
      </c>
      <c r="O11" s="1295">
        <f t="shared" si="0"/>
        <v>59.513500000000001</v>
      </c>
      <c r="R11" s="153"/>
      <c r="U11" s="153"/>
      <c r="V11" s="153"/>
    </row>
    <row r="12" spans="2:22">
      <c r="B12" s="1456"/>
      <c r="C12" s="1456"/>
      <c r="D12" s="1456"/>
      <c r="E12" s="149">
        <v>22</v>
      </c>
      <c r="F12" s="150" t="s">
        <v>2469</v>
      </c>
      <c r="G12" s="1453"/>
      <c r="H12" s="1454"/>
      <c r="I12" s="1456"/>
      <c r="K12" s="1294">
        <v>1200</v>
      </c>
      <c r="L12" s="1294" t="s">
        <v>2445</v>
      </c>
      <c r="M12" s="1294" t="s">
        <v>2470</v>
      </c>
      <c r="N12" s="1295">
        <v>1457.5</v>
      </c>
      <c r="O12" s="1295">
        <f t="shared" si="0"/>
        <v>58.3</v>
      </c>
      <c r="R12" s="153"/>
      <c r="U12" s="153"/>
      <c r="V12" s="153"/>
    </row>
    <row r="13" spans="2:22">
      <c r="B13" s="1456"/>
      <c r="C13" s="1456"/>
      <c r="D13" s="1456"/>
      <c r="E13" s="149">
        <v>75</v>
      </c>
      <c r="F13" s="150" t="s">
        <v>2471</v>
      </c>
      <c r="G13" s="1453"/>
      <c r="H13" s="1454"/>
      <c r="I13" s="1456"/>
      <c r="K13" s="1294">
        <v>1200</v>
      </c>
      <c r="L13" s="1294" t="s">
        <v>2445</v>
      </c>
      <c r="M13" s="1294" t="s">
        <v>2472</v>
      </c>
      <c r="N13" s="1295">
        <v>1626.18</v>
      </c>
      <c r="O13" s="1295">
        <f t="shared" si="0"/>
        <v>54.206000000000003</v>
      </c>
      <c r="R13" s="153"/>
      <c r="U13" s="153"/>
      <c r="V13" s="153"/>
    </row>
    <row r="14" spans="2:22">
      <c r="B14" s="1456"/>
      <c r="C14" s="1456"/>
      <c r="D14" s="1456"/>
      <c r="E14" s="149">
        <v>83</v>
      </c>
      <c r="F14" s="150" t="s">
        <v>2473</v>
      </c>
      <c r="G14" s="1453"/>
      <c r="H14" s="1454"/>
      <c r="I14" s="1456"/>
      <c r="K14" s="1294">
        <v>1200</v>
      </c>
      <c r="L14" s="1294" t="s">
        <v>2445</v>
      </c>
      <c r="M14" s="1294" t="s">
        <v>2474</v>
      </c>
      <c r="N14" s="1295">
        <v>2099.62</v>
      </c>
      <c r="O14" s="1295">
        <f t="shared" si="0"/>
        <v>52.490499999999997</v>
      </c>
      <c r="R14" s="153"/>
      <c r="S14" s="153"/>
      <c r="U14" s="153"/>
      <c r="V14" s="153"/>
    </row>
    <row r="15" spans="2:22">
      <c r="B15" s="1456" t="s">
        <v>2408</v>
      </c>
      <c r="C15" s="1456" t="s">
        <v>2475</v>
      </c>
      <c r="D15" s="1456" t="s">
        <v>914</v>
      </c>
      <c r="E15" s="149">
        <v>226</v>
      </c>
      <c r="F15" s="150" t="s">
        <v>2476</v>
      </c>
      <c r="G15" s="1453">
        <f>(129-69)/3*2+69</f>
        <v>109</v>
      </c>
      <c r="H15" s="1454" t="s">
        <v>2477</v>
      </c>
      <c r="I15" s="1455" t="s">
        <v>2460</v>
      </c>
      <c r="J15" s="150" t="s">
        <v>2478</v>
      </c>
      <c r="K15" s="1294">
        <v>1200</v>
      </c>
      <c r="L15" s="1294" t="s">
        <v>2445</v>
      </c>
      <c r="M15" s="1294" t="s">
        <v>2479</v>
      </c>
      <c r="N15" s="1295">
        <v>2371.4699999999998</v>
      </c>
      <c r="O15" s="1295">
        <f t="shared" si="0"/>
        <v>47.429399999999994</v>
      </c>
      <c r="R15" s="153"/>
      <c r="S15" s="153"/>
      <c r="U15" s="153"/>
      <c r="V15" s="153"/>
    </row>
    <row r="16" spans="2:22">
      <c r="B16" s="1456"/>
      <c r="C16" s="1456"/>
      <c r="D16" s="1456"/>
      <c r="E16" s="149">
        <v>347</v>
      </c>
      <c r="F16" s="150" t="s">
        <v>2480</v>
      </c>
      <c r="G16" s="1453"/>
      <c r="H16" s="1454"/>
      <c r="I16" s="1455"/>
      <c r="K16" s="1294">
        <v>1200</v>
      </c>
      <c r="L16" s="1294" t="s">
        <v>2445</v>
      </c>
      <c r="M16" s="1294" t="s">
        <v>2481</v>
      </c>
      <c r="N16" s="1295">
        <v>3174.84</v>
      </c>
      <c r="O16" s="1295">
        <f t="shared" si="0"/>
        <v>52.914000000000001</v>
      </c>
      <c r="R16" s="153"/>
      <c r="S16" s="153"/>
      <c r="U16" s="153"/>
      <c r="V16" s="153"/>
    </row>
    <row r="17" spans="2:22">
      <c r="B17" s="1456"/>
      <c r="C17" s="1456" t="s">
        <v>2482</v>
      </c>
      <c r="D17" s="1456" t="s">
        <v>914</v>
      </c>
      <c r="E17" s="149">
        <v>129</v>
      </c>
      <c r="F17" s="150" t="s">
        <v>2476</v>
      </c>
      <c r="G17" s="1453"/>
      <c r="H17" s="1454"/>
      <c r="I17" s="1455" t="s">
        <v>2444</v>
      </c>
      <c r="K17" s="1294">
        <v>1200</v>
      </c>
      <c r="L17" s="1294" t="s">
        <v>2445</v>
      </c>
      <c r="M17" s="1294" t="s">
        <v>2483</v>
      </c>
      <c r="N17" s="1295">
        <v>3754.03</v>
      </c>
      <c r="O17" s="1295">
        <f t="shared" si="0"/>
        <v>50.053733333333334</v>
      </c>
      <c r="R17" s="153"/>
      <c r="S17" s="153"/>
      <c r="U17" s="153"/>
      <c r="V17" s="153"/>
    </row>
    <row r="18" spans="2:22">
      <c r="B18" s="1456"/>
      <c r="C18" s="1456"/>
      <c r="D18" s="1456"/>
      <c r="E18" s="149">
        <v>175</v>
      </c>
      <c r="F18" s="150" t="s">
        <v>2480</v>
      </c>
      <c r="G18" s="1453"/>
      <c r="H18" s="1454"/>
      <c r="I18" s="1456"/>
      <c r="K18" s="1294">
        <v>1200</v>
      </c>
      <c r="L18" s="1294" t="s">
        <v>2445</v>
      </c>
      <c r="M18" s="1294" t="s">
        <v>2484</v>
      </c>
      <c r="N18" s="1295">
        <v>4412.08</v>
      </c>
      <c r="O18" s="1295">
        <f t="shared" si="0"/>
        <v>44.120800000000003</v>
      </c>
      <c r="R18" s="153"/>
      <c r="S18" s="153"/>
      <c r="U18" s="153"/>
      <c r="V18" s="153"/>
    </row>
    <row r="19" spans="2:22">
      <c r="B19" s="1456" t="s">
        <v>1208</v>
      </c>
      <c r="C19" s="1456" t="s">
        <v>2482</v>
      </c>
      <c r="D19" s="1456" t="s">
        <v>914</v>
      </c>
      <c r="E19" s="149">
        <v>17</v>
      </c>
      <c r="F19" s="150" t="s">
        <v>2485</v>
      </c>
      <c r="G19" s="1453">
        <v>14.33</v>
      </c>
      <c r="H19" s="1454" t="s">
        <v>2486</v>
      </c>
      <c r="I19" s="1455" t="s">
        <v>2444</v>
      </c>
      <c r="K19" s="1294">
        <v>1200</v>
      </c>
      <c r="L19" s="1294" t="s">
        <v>2445</v>
      </c>
      <c r="M19" s="1294" t="s">
        <v>2487</v>
      </c>
      <c r="N19" s="1295">
        <v>5695.32</v>
      </c>
      <c r="O19" s="1295">
        <f t="shared" si="0"/>
        <v>45.562559999999998</v>
      </c>
      <c r="R19" s="153"/>
      <c r="S19" s="153"/>
      <c r="U19" s="153"/>
      <c r="V19" s="153"/>
    </row>
    <row r="20" spans="2:22">
      <c r="B20" s="1456"/>
      <c r="C20" s="1456"/>
      <c r="D20" s="1456"/>
      <c r="E20" s="149">
        <v>9</v>
      </c>
      <c r="F20" s="150" t="s">
        <v>2488</v>
      </c>
      <c r="G20" s="1453"/>
      <c r="H20" s="1454"/>
      <c r="I20" s="1456"/>
      <c r="K20" s="1294">
        <v>1200</v>
      </c>
      <c r="L20" s="1294" t="s">
        <v>2445</v>
      </c>
      <c r="M20" s="1294" t="s">
        <v>2489</v>
      </c>
      <c r="N20" s="1295">
        <v>5942.94</v>
      </c>
      <c r="O20" s="1295">
        <f t="shared" si="0"/>
        <v>39.619599999999998</v>
      </c>
      <c r="R20" s="153"/>
      <c r="S20" s="153"/>
      <c r="U20" s="153"/>
      <c r="V20" s="153"/>
    </row>
    <row r="21" spans="2:22">
      <c r="B21" s="150" t="s">
        <v>1233</v>
      </c>
      <c r="C21" s="1456" t="s">
        <v>2490</v>
      </c>
      <c r="D21" s="1456" t="s">
        <v>2491</v>
      </c>
      <c r="E21" s="150" t="s">
        <v>2492</v>
      </c>
      <c r="F21" s="150" t="s">
        <v>2493</v>
      </c>
      <c r="G21" s="149">
        <f>(305.32+23.49)/2</f>
        <v>164.405</v>
      </c>
      <c r="H21" s="1454" t="s">
        <v>2494</v>
      </c>
      <c r="I21" s="1455" t="s">
        <v>2495</v>
      </c>
      <c r="K21" s="1294">
        <v>1200</v>
      </c>
      <c r="L21" s="1294" t="s">
        <v>2445</v>
      </c>
      <c r="M21" s="1294" t="s">
        <v>2496</v>
      </c>
      <c r="N21" s="1295">
        <v>7351.45</v>
      </c>
      <c r="O21" s="1295">
        <f t="shared" si="0"/>
        <v>36.757249999999999</v>
      </c>
      <c r="R21" s="153"/>
      <c r="S21" s="153"/>
      <c r="U21" s="153"/>
      <c r="V21" s="153"/>
    </row>
    <row r="22" spans="2:22">
      <c r="B22" s="150" t="s">
        <v>1239</v>
      </c>
      <c r="C22" s="1456"/>
      <c r="D22" s="1456"/>
      <c r="E22" s="150" t="s">
        <v>2497</v>
      </c>
      <c r="F22" s="150" t="s">
        <v>2498</v>
      </c>
      <c r="G22" s="149">
        <v>159.57</v>
      </c>
      <c r="H22" s="1454"/>
      <c r="I22" s="1456"/>
      <c r="K22" s="1294">
        <v>1200</v>
      </c>
      <c r="L22" s="1294" t="s">
        <v>2445</v>
      </c>
      <c r="M22" s="1294" t="s">
        <v>2499</v>
      </c>
      <c r="N22" s="1295">
        <v>9413.9500000000007</v>
      </c>
      <c r="O22" s="1295">
        <f t="shared" si="0"/>
        <v>37.655800000000006</v>
      </c>
      <c r="R22" s="153"/>
      <c r="S22" s="153"/>
      <c r="U22" s="153"/>
      <c r="V22" s="153"/>
    </row>
    <row r="23" spans="2:22">
      <c r="B23" s="150" t="s">
        <v>1242</v>
      </c>
      <c r="C23" s="1456"/>
      <c r="D23" s="1456"/>
      <c r="E23" s="150" t="s">
        <v>2497</v>
      </c>
      <c r="F23" s="150" t="s">
        <v>2498</v>
      </c>
      <c r="G23" s="149">
        <f>(159.57+12.27)*(2/3)</f>
        <v>114.56</v>
      </c>
      <c r="H23" s="1454"/>
      <c r="I23" s="1456"/>
      <c r="K23" s="1294">
        <v>1200</v>
      </c>
      <c r="L23" s="1294" t="s">
        <v>2500</v>
      </c>
      <c r="M23" s="1294">
        <v>1</v>
      </c>
      <c r="N23" s="1295">
        <v>311.97000000000003</v>
      </c>
      <c r="O23" s="1295">
        <f t="shared" si="0"/>
        <v>311.97000000000003</v>
      </c>
      <c r="R23" s="153"/>
      <c r="S23" s="153"/>
    </row>
    <row r="24" spans="2:22">
      <c r="B24" s="150" t="s">
        <v>1244</v>
      </c>
      <c r="C24" s="1456"/>
      <c r="D24" s="1456"/>
      <c r="E24" s="150" t="s">
        <v>2497</v>
      </c>
      <c r="F24" s="150" t="s">
        <v>2498</v>
      </c>
      <c r="G24" s="149">
        <f>(159.57+12.27)*(1/3)</f>
        <v>57.28</v>
      </c>
      <c r="H24" s="1454"/>
      <c r="I24" s="1456"/>
      <c r="K24" s="1294">
        <v>1200</v>
      </c>
      <c r="L24" s="1294" t="s">
        <v>2500</v>
      </c>
      <c r="M24" s="1294" t="s">
        <v>2501</v>
      </c>
      <c r="N24" s="1295">
        <v>308.62</v>
      </c>
      <c r="O24" s="1295">
        <f t="shared" si="0"/>
        <v>205.74666666666667</v>
      </c>
      <c r="R24" s="153"/>
      <c r="S24" s="153"/>
    </row>
    <row r="25" spans="2:22">
      <c r="B25" s="150" t="s">
        <v>1245</v>
      </c>
      <c r="C25" s="1456"/>
      <c r="D25" s="1456"/>
      <c r="E25" s="150" t="s">
        <v>2502</v>
      </c>
      <c r="F25" s="150" t="s">
        <v>2503</v>
      </c>
      <c r="G25" s="149">
        <f>(90.67+6.97)*(4/5)</f>
        <v>78.112000000000009</v>
      </c>
      <c r="H25" s="1454"/>
      <c r="I25" s="1456"/>
      <c r="K25" s="1294">
        <v>1200</v>
      </c>
      <c r="L25" s="1294" t="s">
        <v>2500</v>
      </c>
      <c r="M25" s="1294">
        <v>2</v>
      </c>
      <c r="N25" s="1295">
        <v>365.64</v>
      </c>
      <c r="O25" s="1295">
        <f t="shared" si="0"/>
        <v>182.82</v>
      </c>
      <c r="R25" s="153"/>
      <c r="S25" s="153"/>
    </row>
    <row r="26" spans="2:22">
      <c r="B26" s="150" t="s">
        <v>1246</v>
      </c>
      <c r="C26" s="1456"/>
      <c r="D26" s="1456"/>
      <c r="E26" s="150" t="s">
        <v>2502</v>
      </c>
      <c r="F26" s="150" t="s">
        <v>2503</v>
      </c>
      <c r="G26" s="149">
        <f>(90.67+6.97)*(2/5)</f>
        <v>39.056000000000004</v>
      </c>
      <c r="H26" s="1454"/>
      <c r="I26" s="1456"/>
      <c r="K26" s="1294">
        <v>1200</v>
      </c>
      <c r="L26" s="1294" t="s">
        <v>2500</v>
      </c>
      <c r="M26" s="1294">
        <v>3</v>
      </c>
      <c r="N26" s="1295">
        <v>396.29</v>
      </c>
      <c r="O26" s="1295">
        <f t="shared" si="0"/>
        <v>132.09666666666666</v>
      </c>
    </row>
    <row r="27" spans="2:22">
      <c r="B27" s="150" t="s">
        <v>1247</v>
      </c>
      <c r="C27" s="1456"/>
      <c r="D27" s="1456"/>
      <c r="E27" s="150" t="s">
        <v>2504</v>
      </c>
      <c r="F27" s="150" t="s">
        <v>2505</v>
      </c>
      <c r="G27" s="149">
        <v>53.69</v>
      </c>
      <c r="H27" s="1454"/>
      <c r="I27" s="1456"/>
      <c r="K27" s="1294">
        <v>1200</v>
      </c>
      <c r="L27" s="1294" t="s">
        <v>2500</v>
      </c>
      <c r="M27" s="1294">
        <v>5</v>
      </c>
      <c r="N27" s="1295">
        <v>411.67</v>
      </c>
      <c r="O27" s="1295">
        <f t="shared" si="0"/>
        <v>82.334000000000003</v>
      </c>
    </row>
    <row r="28" spans="2:22">
      <c r="B28" s="1456" t="s">
        <v>1248</v>
      </c>
      <c r="C28" s="1456" t="s">
        <v>2506</v>
      </c>
      <c r="D28" s="1456" t="s">
        <v>1940</v>
      </c>
      <c r="E28" s="149">
        <v>210.52</v>
      </c>
      <c r="F28" s="150" t="s">
        <v>2507</v>
      </c>
      <c r="G28" s="1453">
        <f>AVERAGE(E28:E29)</f>
        <v>166.5</v>
      </c>
      <c r="H28" s="1454" t="s">
        <v>2508</v>
      </c>
      <c r="I28" s="1455" t="s">
        <v>2509</v>
      </c>
      <c r="K28" s="1294">
        <v>1200</v>
      </c>
      <c r="L28" s="1294" t="s">
        <v>2500</v>
      </c>
      <c r="M28" s="1294" t="s">
        <v>2462</v>
      </c>
      <c r="N28" s="1295">
        <v>643.66999999999996</v>
      </c>
      <c r="O28" s="1295">
        <f t="shared" si="0"/>
        <v>85.822666666666663</v>
      </c>
    </row>
    <row r="29" spans="2:22">
      <c r="B29" s="1456"/>
      <c r="C29" s="1456"/>
      <c r="D29" s="1456"/>
      <c r="E29" s="149">
        <v>122.48</v>
      </c>
      <c r="F29" s="150" t="s">
        <v>2510</v>
      </c>
      <c r="G29" s="1456"/>
      <c r="H29" s="1454"/>
      <c r="I29" s="1456"/>
      <c r="K29" s="1294">
        <v>1200</v>
      </c>
      <c r="L29" s="1294" t="s">
        <v>2500</v>
      </c>
      <c r="M29" s="1294" t="s">
        <v>2464</v>
      </c>
      <c r="N29" s="1295">
        <v>745.15</v>
      </c>
      <c r="O29" s="1295">
        <f t="shared" si="0"/>
        <v>74.515000000000001</v>
      </c>
    </row>
    <row r="30" spans="2:22">
      <c r="B30" s="1456" t="s">
        <v>1322</v>
      </c>
      <c r="C30" s="1456" t="s">
        <v>2511</v>
      </c>
      <c r="D30" s="1456" t="s">
        <v>914</v>
      </c>
      <c r="E30" s="149">
        <v>160</v>
      </c>
      <c r="F30" s="150" t="s">
        <v>2512</v>
      </c>
      <c r="G30" s="1453">
        <f>AVERAGE(E30:E35)</f>
        <v>326.08199999999999</v>
      </c>
      <c r="H30" s="1454" t="s">
        <v>2513</v>
      </c>
      <c r="I30" s="1455" t="s">
        <v>2444</v>
      </c>
      <c r="K30" s="1294">
        <v>1200</v>
      </c>
      <c r="L30" s="1294" t="s">
        <v>2500</v>
      </c>
      <c r="M30" s="1294" t="s">
        <v>2466</v>
      </c>
      <c r="N30" s="1295">
        <v>976.47</v>
      </c>
      <c r="O30" s="1295">
        <f t="shared" si="0"/>
        <v>65.097999999999999</v>
      </c>
    </row>
    <row r="31" spans="2:22">
      <c r="B31" s="1456"/>
      <c r="C31" s="1456"/>
      <c r="D31" s="1456"/>
      <c r="E31" s="149">
        <v>397</v>
      </c>
      <c r="F31" s="152" t="s">
        <v>2514</v>
      </c>
      <c r="G31" s="1453"/>
      <c r="H31" s="1454"/>
      <c r="I31" s="1455"/>
      <c r="K31" s="1294">
        <v>1200</v>
      </c>
      <c r="L31" s="1294" t="s">
        <v>2500</v>
      </c>
      <c r="M31" s="1294" t="s">
        <v>2468</v>
      </c>
      <c r="N31" s="1295">
        <v>1190.27</v>
      </c>
      <c r="O31" s="1295">
        <f t="shared" si="0"/>
        <v>59.513500000000001</v>
      </c>
      <c r="R31" s="153"/>
    </row>
    <row r="32" spans="2:22" ht="29">
      <c r="B32" s="1456"/>
      <c r="C32" s="1456"/>
      <c r="D32" s="1456"/>
      <c r="E32" s="149">
        <v>1013</v>
      </c>
      <c r="F32" s="152" t="s">
        <v>2515</v>
      </c>
      <c r="G32" s="1453"/>
      <c r="H32" s="1454"/>
      <c r="I32" s="1455"/>
      <c r="K32" s="1294">
        <v>1200</v>
      </c>
      <c r="L32" s="1294" t="s">
        <v>2500</v>
      </c>
      <c r="M32" s="1294" t="s">
        <v>2470</v>
      </c>
      <c r="N32" s="1295">
        <v>1457.5</v>
      </c>
      <c r="O32" s="1295">
        <f t="shared" si="0"/>
        <v>58.3</v>
      </c>
      <c r="R32" s="153"/>
    </row>
    <row r="33" spans="2:19">
      <c r="B33" s="1456" t="s">
        <v>1326</v>
      </c>
      <c r="C33" s="1456" t="s">
        <v>2516</v>
      </c>
      <c r="D33" s="1456" t="s">
        <v>914</v>
      </c>
      <c r="E33" s="149">
        <v>22.67</v>
      </c>
      <c r="F33" s="150" t="s">
        <v>2517</v>
      </c>
      <c r="G33" s="1453">
        <f>AVERAGE(E33:E34)</f>
        <v>30.205000000000002</v>
      </c>
      <c r="H33" s="1454" t="s">
        <v>2518</v>
      </c>
      <c r="I33" s="1455" t="s">
        <v>2444</v>
      </c>
      <c r="K33" s="1294">
        <v>1200</v>
      </c>
      <c r="L33" s="1294" t="s">
        <v>2500</v>
      </c>
      <c r="M33" s="1294" t="s">
        <v>2472</v>
      </c>
      <c r="N33" s="1295">
        <v>1626.18</v>
      </c>
      <c r="O33" s="1295">
        <f t="shared" si="0"/>
        <v>54.206000000000003</v>
      </c>
      <c r="R33" s="153"/>
      <c r="S33" s="153"/>
    </row>
    <row r="34" spans="2:19">
      <c r="B34" s="1456"/>
      <c r="C34" s="1456"/>
      <c r="D34" s="1456"/>
      <c r="E34" s="149">
        <v>37.74</v>
      </c>
      <c r="F34" s="150" t="s">
        <v>2519</v>
      </c>
      <c r="G34" s="1456"/>
      <c r="H34" s="1454"/>
      <c r="I34" s="1456"/>
      <c r="K34" s="1294">
        <v>1200</v>
      </c>
      <c r="L34" s="1294" t="s">
        <v>2500</v>
      </c>
      <c r="M34" s="1294" t="s">
        <v>2474</v>
      </c>
      <c r="N34" s="1295">
        <v>2099.62</v>
      </c>
      <c r="O34" s="1295">
        <f t="shared" si="0"/>
        <v>52.490499999999997</v>
      </c>
      <c r="R34" s="153"/>
      <c r="S34" s="153"/>
    </row>
    <row r="35" spans="2:19">
      <c r="B35" s="150" t="s">
        <v>1226</v>
      </c>
      <c r="C35" s="150" t="s">
        <v>2520</v>
      </c>
      <c r="D35" s="150" t="s">
        <v>914</v>
      </c>
      <c r="E35" s="149" t="s">
        <v>2521</v>
      </c>
      <c r="F35" s="150" t="s">
        <v>2520</v>
      </c>
      <c r="G35" s="149">
        <f>AVERAGE(O3:O122)</f>
        <v>86.364702605042069</v>
      </c>
      <c r="H35" s="152" t="s">
        <v>2522</v>
      </c>
      <c r="I35" s="151" t="s">
        <v>2523</v>
      </c>
      <c r="K35" s="1294">
        <v>1200</v>
      </c>
      <c r="L35" s="1294" t="s">
        <v>2500</v>
      </c>
      <c r="M35" s="1294" t="s">
        <v>2479</v>
      </c>
      <c r="N35" s="1295">
        <v>2371.4699999999998</v>
      </c>
      <c r="O35" s="1295">
        <f t="shared" si="0"/>
        <v>47.429399999999994</v>
      </c>
      <c r="R35" s="153"/>
      <c r="S35" s="153"/>
    </row>
    <row r="36" spans="2:19">
      <c r="B36" s="1456" t="s">
        <v>1269</v>
      </c>
      <c r="C36" s="1456" t="s">
        <v>2524</v>
      </c>
      <c r="D36" s="1456" t="s">
        <v>1940</v>
      </c>
      <c r="E36" s="149">
        <f>55/84</f>
        <v>0.65476190476190477</v>
      </c>
      <c r="F36" s="152" t="s">
        <v>2525</v>
      </c>
      <c r="G36" s="1453">
        <f>AVERAGE(E36:E41)</f>
        <v>0.73908981456363465</v>
      </c>
      <c r="H36" s="1454" t="s">
        <v>2526</v>
      </c>
      <c r="I36" s="1455" t="s">
        <v>2527</v>
      </c>
      <c r="K36" s="1294">
        <v>1200</v>
      </c>
      <c r="L36" s="1294" t="s">
        <v>2500</v>
      </c>
      <c r="M36" s="1294" t="s">
        <v>2481</v>
      </c>
      <c r="N36" s="1295">
        <v>3174.84</v>
      </c>
      <c r="O36" s="1295">
        <f t="shared" si="0"/>
        <v>52.914000000000001</v>
      </c>
      <c r="R36" s="153"/>
      <c r="S36" s="153"/>
    </row>
    <row r="37" spans="2:19">
      <c r="B37" s="1456"/>
      <c r="C37" s="1456"/>
      <c r="D37" s="1456"/>
      <c r="E37" s="149">
        <f>67/81</f>
        <v>0.8271604938271605</v>
      </c>
      <c r="F37" s="150" t="s">
        <v>2528</v>
      </c>
      <c r="G37" s="1456"/>
      <c r="H37" s="1454"/>
      <c r="I37" s="1456"/>
      <c r="K37" s="1294">
        <v>1200</v>
      </c>
      <c r="L37" s="1294" t="s">
        <v>2500</v>
      </c>
      <c r="M37" s="1294" t="s">
        <v>2483</v>
      </c>
      <c r="N37" s="1295">
        <v>3754.03</v>
      </c>
      <c r="O37" s="1295">
        <f t="shared" si="0"/>
        <v>50.053733333333334</v>
      </c>
      <c r="R37" s="153"/>
      <c r="S37" s="153"/>
    </row>
    <row r="38" spans="2:19">
      <c r="B38" s="1456"/>
      <c r="C38" s="1456"/>
      <c r="D38" s="1456"/>
      <c r="E38" s="149">
        <f>125/338</f>
        <v>0.36982248520710059</v>
      </c>
      <c r="F38" s="150" t="s">
        <v>2529</v>
      </c>
      <c r="G38" s="1456"/>
      <c r="H38" s="1454"/>
      <c r="I38" s="1456"/>
      <c r="K38" s="1294"/>
      <c r="L38" s="1294"/>
      <c r="M38" s="1294"/>
      <c r="N38" s="1295"/>
      <c r="O38" s="1295"/>
      <c r="R38" s="153"/>
      <c r="S38" s="153"/>
    </row>
    <row r="39" spans="2:19">
      <c r="B39" s="1456"/>
      <c r="C39" s="1456"/>
      <c r="D39" s="1456"/>
      <c r="E39" s="149">
        <f>40/31</f>
        <v>1.2903225806451613</v>
      </c>
      <c r="F39" s="150" t="s">
        <v>2530</v>
      </c>
      <c r="G39" s="1456"/>
      <c r="H39" s="1454"/>
      <c r="I39" s="1456"/>
      <c r="K39" s="1294">
        <v>1200</v>
      </c>
      <c r="L39" s="1294" t="s">
        <v>2500</v>
      </c>
      <c r="M39" s="1294" t="s">
        <v>2484</v>
      </c>
      <c r="N39" s="1295">
        <v>4412.08</v>
      </c>
      <c r="O39" s="1295">
        <f t="shared" si="0"/>
        <v>44.120800000000003</v>
      </c>
      <c r="R39" s="153"/>
      <c r="S39" s="153"/>
    </row>
    <row r="40" spans="2:19">
      <c r="B40" s="1456"/>
      <c r="C40" s="1456"/>
      <c r="D40" s="1456"/>
      <c r="E40" s="149">
        <f>40/118</f>
        <v>0.33898305084745761</v>
      </c>
      <c r="F40" s="150" t="s">
        <v>2531</v>
      </c>
      <c r="G40" s="1456"/>
      <c r="H40" s="1454"/>
      <c r="I40" s="1456"/>
      <c r="K40" s="1294">
        <v>1200</v>
      </c>
      <c r="L40" s="1294" t="s">
        <v>2500</v>
      </c>
      <c r="M40" s="1294" t="s">
        <v>2487</v>
      </c>
      <c r="N40" s="1295">
        <v>5695.32</v>
      </c>
      <c r="O40" s="1295">
        <f t="shared" si="0"/>
        <v>45.562559999999998</v>
      </c>
      <c r="R40" s="153"/>
      <c r="S40" s="153"/>
    </row>
    <row r="41" spans="2:19">
      <c r="B41" s="1456"/>
      <c r="C41" s="1456"/>
      <c r="D41" s="1456"/>
      <c r="E41" s="149">
        <f>82/86</f>
        <v>0.95348837209302328</v>
      </c>
      <c r="F41" s="150" t="s">
        <v>2532</v>
      </c>
      <c r="G41" s="1456"/>
      <c r="H41" s="1454"/>
      <c r="I41" s="1456"/>
      <c r="K41" s="1294">
        <v>1200</v>
      </c>
      <c r="L41" s="1294" t="s">
        <v>2500</v>
      </c>
      <c r="M41" s="1294" t="s">
        <v>2489</v>
      </c>
      <c r="N41" s="1295">
        <v>5942.94</v>
      </c>
      <c r="O41" s="1295">
        <f t="shared" si="0"/>
        <v>39.619599999999998</v>
      </c>
      <c r="R41" s="153"/>
      <c r="S41" s="153"/>
    </row>
    <row r="42" spans="2:19">
      <c r="B42" s="1456" t="s">
        <v>1275</v>
      </c>
      <c r="C42" s="1456"/>
      <c r="D42" s="1456"/>
      <c r="E42" s="149">
        <f>50/95</f>
        <v>0.52631578947368418</v>
      </c>
      <c r="F42" s="150" t="s">
        <v>2533</v>
      </c>
      <c r="G42" s="1453">
        <f>AVERAGE(E42:E43)</f>
        <v>0.39914115833516844</v>
      </c>
      <c r="H42" s="1454" t="s">
        <v>2534</v>
      </c>
      <c r="I42" s="1455" t="s">
        <v>2527</v>
      </c>
      <c r="K42" s="1294">
        <v>1200</v>
      </c>
      <c r="L42" s="1294" t="s">
        <v>2500</v>
      </c>
      <c r="M42" s="1294" t="s">
        <v>2499</v>
      </c>
      <c r="N42" s="1295">
        <v>9413.9500000000007</v>
      </c>
      <c r="O42" s="1295">
        <f t="shared" si="0"/>
        <v>37.655800000000006</v>
      </c>
      <c r="R42" s="153"/>
      <c r="S42" s="153"/>
    </row>
    <row r="43" spans="2:19">
      <c r="B43" s="1456"/>
      <c r="C43" s="1456"/>
      <c r="D43" s="1456"/>
      <c r="E43" s="149">
        <f>65/239</f>
        <v>0.27196652719665271</v>
      </c>
      <c r="F43" s="150" t="s">
        <v>2535</v>
      </c>
      <c r="G43" s="1456"/>
      <c r="H43" s="1454"/>
      <c r="I43" s="1455"/>
      <c r="K43" s="1294">
        <v>1800</v>
      </c>
      <c r="L43" s="1294" t="s">
        <v>2445</v>
      </c>
      <c r="M43" s="1294">
        <v>1</v>
      </c>
      <c r="N43" s="1295">
        <v>311.97000000000003</v>
      </c>
      <c r="O43" s="1295">
        <f t="shared" si="0"/>
        <v>311.97000000000003</v>
      </c>
      <c r="R43" s="153"/>
      <c r="S43" s="153"/>
    </row>
    <row r="44" spans="2:19">
      <c r="B44" s="1456" t="s">
        <v>1279</v>
      </c>
      <c r="C44" s="1456"/>
      <c r="D44" s="1456"/>
      <c r="E44" s="149">
        <f>50/31</f>
        <v>1.6129032258064515</v>
      </c>
      <c r="F44" s="150" t="s">
        <v>2536</v>
      </c>
      <c r="G44" s="1453">
        <f>AVERAGE(E44:E47)</f>
        <v>1.5274740295243303</v>
      </c>
      <c r="H44" s="1454" t="s">
        <v>2537</v>
      </c>
      <c r="I44" s="1455" t="s">
        <v>2527</v>
      </c>
      <c r="K44" s="1294">
        <v>1800</v>
      </c>
      <c r="L44" s="1294" t="s">
        <v>2445</v>
      </c>
      <c r="M44" s="1294" t="s">
        <v>2501</v>
      </c>
      <c r="N44" s="1295">
        <v>308.62</v>
      </c>
      <c r="O44" s="1295">
        <f t="shared" si="0"/>
        <v>205.74666666666667</v>
      </c>
      <c r="R44" s="153"/>
      <c r="S44" s="153"/>
    </row>
    <row r="45" spans="2:19">
      <c r="B45" s="1456"/>
      <c r="C45" s="1456"/>
      <c r="D45" s="1456"/>
      <c r="E45" s="149">
        <f>50/118</f>
        <v>0.42372881355932202</v>
      </c>
      <c r="F45" s="150" t="s">
        <v>2538</v>
      </c>
      <c r="G45" s="1456"/>
      <c r="H45" s="1454"/>
      <c r="I45" s="1456"/>
      <c r="K45" s="1294">
        <v>1800</v>
      </c>
      <c r="L45" s="1294" t="s">
        <v>2445</v>
      </c>
      <c r="M45" s="1294">
        <v>2</v>
      </c>
      <c r="N45" s="1295">
        <v>365.64</v>
      </c>
      <c r="O45" s="1295">
        <f t="shared" si="0"/>
        <v>182.82</v>
      </c>
      <c r="R45" s="153"/>
    </row>
    <row r="46" spans="2:19">
      <c r="B46" s="1456"/>
      <c r="C46" s="1456"/>
      <c r="D46" s="1456"/>
      <c r="E46" s="149">
        <f>100/31</f>
        <v>3.225806451612903</v>
      </c>
      <c r="F46" s="150" t="s">
        <v>2539</v>
      </c>
      <c r="G46" s="1456"/>
      <c r="H46" s="1454"/>
      <c r="I46" s="1456"/>
      <c r="K46" s="1294">
        <v>1800</v>
      </c>
      <c r="L46" s="1294" t="s">
        <v>2445</v>
      </c>
      <c r="M46" s="1294">
        <v>3</v>
      </c>
      <c r="N46" s="1295">
        <v>396.29</v>
      </c>
      <c r="O46" s="1295">
        <f t="shared" si="0"/>
        <v>132.09666666666666</v>
      </c>
      <c r="R46" s="153"/>
    </row>
    <row r="47" spans="2:19">
      <c r="B47" s="1456"/>
      <c r="C47" s="1456"/>
      <c r="D47" s="1456"/>
      <c r="E47" s="149">
        <f>100/118</f>
        <v>0.84745762711864403</v>
      </c>
      <c r="F47" s="150" t="s">
        <v>2540</v>
      </c>
      <c r="G47" s="1456"/>
      <c r="H47" s="1454"/>
      <c r="I47" s="1456"/>
      <c r="K47" s="1294">
        <v>1800</v>
      </c>
      <c r="L47" s="1294" t="s">
        <v>2445</v>
      </c>
      <c r="M47" s="1294">
        <v>5</v>
      </c>
      <c r="N47" s="1295">
        <v>411.67</v>
      </c>
      <c r="O47" s="1295">
        <f t="shared" si="0"/>
        <v>82.334000000000003</v>
      </c>
      <c r="R47" s="153"/>
    </row>
    <row r="48" spans="2:19">
      <c r="B48" s="1456" t="s">
        <v>1330</v>
      </c>
      <c r="C48" s="1456" t="s">
        <v>2541</v>
      </c>
      <c r="D48" s="1456" t="s">
        <v>914</v>
      </c>
      <c r="E48" s="149">
        <v>59</v>
      </c>
      <c r="F48" s="150" t="s">
        <v>2542</v>
      </c>
      <c r="G48" s="1453">
        <f>AVERAGE(E48:E49)</f>
        <v>36</v>
      </c>
      <c r="H48" s="1454" t="s">
        <v>2543</v>
      </c>
      <c r="I48" s="1455" t="s">
        <v>2527</v>
      </c>
      <c r="K48" s="1294">
        <v>1800</v>
      </c>
      <c r="L48" s="1294" t="s">
        <v>2445</v>
      </c>
      <c r="M48" s="1294" t="s">
        <v>2462</v>
      </c>
      <c r="N48" s="1295">
        <v>643.66999999999996</v>
      </c>
      <c r="O48" s="1295">
        <f t="shared" si="0"/>
        <v>85.822666666666663</v>
      </c>
      <c r="R48" s="153"/>
      <c r="S48" s="153"/>
    </row>
    <row r="49" spans="2:19">
      <c r="B49" s="1456"/>
      <c r="C49" s="1456"/>
      <c r="D49" s="1456"/>
      <c r="E49" s="149">
        <v>13</v>
      </c>
      <c r="F49" s="150" t="s">
        <v>2544</v>
      </c>
      <c r="G49" s="1456"/>
      <c r="H49" s="1454"/>
      <c r="I49" s="1455"/>
      <c r="K49" s="1294">
        <v>1800</v>
      </c>
      <c r="L49" s="1294" t="s">
        <v>2445</v>
      </c>
      <c r="M49" s="1294" t="s">
        <v>2464</v>
      </c>
      <c r="N49" s="1295">
        <v>745.15</v>
      </c>
      <c r="O49" s="1295">
        <f t="shared" si="0"/>
        <v>74.515000000000001</v>
      </c>
      <c r="R49" s="153"/>
      <c r="S49" s="153"/>
    </row>
    <row r="50" spans="2:19">
      <c r="B50" s="1456" t="s">
        <v>1333</v>
      </c>
      <c r="C50" s="1456"/>
      <c r="D50" s="1456"/>
      <c r="E50" s="149">
        <v>27</v>
      </c>
      <c r="F50" s="150" t="s">
        <v>2545</v>
      </c>
      <c r="G50" s="1453">
        <f>AVERAGE(E50:E56)</f>
        <v>36.285714285714285</v>
      </c>
      <c r="H50" s="1454" t="s">
        <v>2546</v>
      </c>
      <c r="I50" s="1455" t="s">
        <v>2527</v>
      </c>
      <c r="K50" s="1294">
        <v>1800</v>
      </c>
      <c r="L50" s="1294" t="s">
        <v>2445</v>
      </c>
      <c r="M50" s="1294" t="s">
        <v>2466</v>
      </c>
      <c r="N50" s="1295">
        <v>976.47</v>
      </c>
      <c r="O50" s="1295">
        <f t="shared" si="0"/>
        <v>65.097999999999999</v>
      </c>
      <c r="R50" s="153"/>
      <c r="S50" s="153"/>
    </row>
    <row r="51" spans="2:19">
      <c r="B51" s="1456"/>
      <c r="C51" s="1456"/>
      <c r="D51" s="1456"/>
      <c r="E51" s="149">
        <v>59</v>
      </c>
      <c r="F51" s="150" t="s">
        <v>2547</v>
      </c>
      <c r="G51" s="1456"/>
      <c r="H51" s="1454"/>
      <c r="I51" s="1455"/>
      <c r="K51" s="1294">
        <v>1800</v>
      </c>
      <c r="L51" s="1294" t="s">
        <v>2445</v>
      </c>
      <c r="M51" s="1294" t="s">
        <v>2468</v>
      </c>
      <c r="N51" s="1295">
        <v>1190.27</v>
      </c>
      <c r="O51" s="1295">
        <f t="shared" si="0"/>
        <v>59.513500000000001</v>
      </c>
      <c r="R51" s="153"/>
      <c r="S51" s="153"/>
    </row>
    <row r="52" spans="2:19">
      <c r="B52" s="1456"/>
      <c r="C52" s="1456"/>
      <c r="D52" s="1456"/>
      <c r="E52" s="149">
        <v>15</v>
      </c>
      <c r="F52" s="150" t="s">
        <v>2548</v>
      </c>
      <c r="G52" s="1456"/>
      <c r="H52" s="1454"/>
      <c r="I52" s="1455"/>
      <c r="K52" s="1294">
        <v>1800</v>
      </c>
      <c r="L52" s="1294" t="s">
        <v>2445</v>
      </c>
      <c r="M52" s="1294" t="s">
        <v>2470</v>
      </c>
      <c r="N52" s="1295">
        <v>1457.5</v>
      </c>
      <c r="O52" s="1295">
        <f t="shared" si="0"/>
        <v>58.3</v>
      </c>
      <c r="R52" s="153"/>
      <c r="S52" s="153"/>
    </row>
    <row r="53" spans="2:19">
      <c r="B53" s="1456"/>
      <c r="C53" s="1456"/>
      <c r="D53" s="1456"/>
      <c r="E53" s="149">
        <v>13</v>
      </c>
      <c r="F53" s="150" t="s">
        <v>2549</v>
      </c>
      <c r="G53" s="1456"/>
      <c r="H53" s="1454"/>
      <c r="I53" s="1455"/>
      <c r="K53" s="1294">
        <v>1800</v>
      </c>
      <c r="L53" s="1294" t="s">
        <v>2445</v>
      </c>
      <c r="M53" s="1294" t="s">
        <v>2472</v>
      </c>
      <c r="N53" s="1295">
        <v>1626.18</v>
      </c>
      <c r="O53" s="1295">
        <f t="shared" si="0"/>
        <v>54.206000000000003</v>
      </c>
      <c r="R53" s="153"/>
      <c r="S53" s="153"/>
    </row>
    <row r="54" spans="2:19">
      <c r="B54" s="1456"/>
      <c r="C54" s="1456"/>
      <c r="D54" s="1456"/>
      <c r="E54" s="149">
        <v>10</v>
      </c>
      <c r="F54" s="150" t="s">
        <v>2550</v>
      </c>
      <c r="G54" s="1456"/>
      <c r="H54" s="1454"/>
      <c r="I54" s="1455"/>
      <c r="K54" s="1294">
        <v>1800</v>
      </c>
      <c r="L54" s="1294" t="s">
        <v>2445</v>
      </c>
      <c r="M54" s="1294" t="s">
        <v>2474</v>
      </c>
      <c r="N54" s="1295">
        <v>2099.62</v>
      </c>
      <c r="O54" s="1295">
        <f t="shared" si="0"/>
        <v>52.490499999999997</v>
      </c>
      <c r="R54" s="153"/>
      <c r="S54" s="153"/>
    </row>
    <row r="55" spans="2:19">
      <c r="B55" s="1456"/>
      <c r="C55" s="1456"/>
      <c r="D55" s="1456"/>
      <c r="E55" s="149">
        <v>52</v>
      </c>
      <c r="F55" s="150" t="s">
        <v>2551</v>
      </c>
      <c r="G55" s="1456"/>
      <c r="H55" s="1454"/>
      <c r="I55" s="1455"/>
      <c r="K55" s="1294">
        <v>1800</v>
      </c>
      <c r="L55" s="1294" t="s">
        <v>2445</v>
      </c>
      <c r="M55" s="1294" t="s">
        <v>2479</v>
      </c>
      <c r="N55" s="1295">
        <v>2371.4699999999998</v>
      </c>
      <c r="O55" s="1295">
        <f t="shared" si="0"/>
        <v>47.429399999999994</v>
      </c>
      <c r="R55" s="153"/>
      <c r="S55" s="153"/>
    </row>
    <row r="56" spans="2:19">
      <c r="B56" s="1456"/>
      <c r="C56" s="1456"/>
      <c r="D56" s="1456"/>
      <c r="E56" s="149">
        <v>78</v>
      </c>
      <c r="F56" s="150" t="s">
        <v>2552</v>
      </c>
      <c r="G56" s="1456"/>
      <c r="H56" s="1454"/>
      <c r="I56" s="1455"/>
      <c r="K56" s="1294">
        <v>1800</v>
      </c>
      <c r="L56" s="1294" t="s">
        <v>2445</v>
      </c>
      <c r="M56" s="1294" t="s">
        <v>2481</v>
      </c>
      <c r="N56" s="1295">
        <v>3174.84</v>
      </c>
      <c r="O56" s="1295">
        <f t="shared" si="0"/>
        <v>52.914000000000001</v>
      </c>
      <c r="R56" s="153"/>
      <c r="S56" s="153"/>
    </row>
    <row r="57" spans="2:19">
      <c r="B57" s="1456" t="s">
        <v>1335</v>
      </c>
      <c r="C57" s="1456"/>
      <c r="D57" s="1456"/>
      <c r="E57" s="149">
        <v>131</v>
      </c>
      <c r="F57" s="150" t="s">
        <v>2553</v>
      </c>
      <c r="G57" s="1453">
        <f>AVERAGE(E57:E58)</f>
        <v>152</v>
      </c>
      <c r="H57" s="1454" t="s">
        <v>2554</v>
      </c>
      <c r="I57" s="1455" t="s">
        <v>2527</v>
      </c>
      <c r="K57" s="1294">
        <v>1800</v>
      </c>
      <c r="L57" s="1294" t="s">
        <v>2445</v>
      </c>
      <c r="M57" s="1294" t="s">
        <v>2483</v>
      </c>
      <c r="N57" s="1295">
        <v>3754.03</v>
      </c>
      <c r="O57" s="1295">
        <f t="shared" si="0"/>
        <v>50.053733333333334</v>
      </c>
      <c r="R57" s="153"/>
      <c r="S57" s="153"/>
    </row>
    <row r="58" spans="2:19">
      <c r="B58" s="1456"/>
      <c r="C58" s="1456"/>
      <c r="D58" s="1456"/>
      <c r="E58" s="149">
        <v>173</v>
      </c>
      <c r="F58" s="150" t="s">
        <v>2555</v>
      </c>
      <c r="G58" s="1456"/>
      <c r="H58" s="1454"/>
      <c r="I58" s="1455"/>
      <c r="K58" s="1294">
        <v>1800</v>
      </c>
      <c r="L58" s="1294" t="s">
        <v>2445</v>
      </c>
      <c r="M58" s="1294" t="s">
        <v>2484</v>
      </c>
      <c r="N58" s="1295">
        <v>4412.08</v>
      </c>
      <c r="O58" s="1295">
        <f t="shared" si="0"/>
        <v>44.120800000000003</v>
      </c>
      <c r="R58" s="153"/>
      <c r="S58" s="153"/>
    </row>
    <row r="59" spans="2:19">
      <c r="E59" s="149"/>
      <c r="K59" s="1294">
        <v>1800</v>
      </c>
      <c r="L59" s="1294" t="s">
        <v>2445</v>
      </c>
      <c r="M59" s="1294" t="s">
        <v>2487</v>
      </c>
      <c r="N59" s="1295">
        <v>5695.32</v>
      </c>
      <c r="O59" s="1295">
        <f t="shared" si="0"/>
        <v>45.562559999999998</v>
      </c>
      <c r="R59" s="153"/>
      <c r="S59" s="153"/>
    </row>
    <row r="60" spans="2:19">
      <c r="E60" s="149"/>
      <c r="K60" s="1294">
        <v>1800</v>
      </c>
      <c r="L60" s="1294" t="s">
        <v>2445</v>
      </c>
      <c r="M60" s="1294" t="s">
        <v>2489</v>
      </c>
      <c r="N60" s="1295">
        <v>5942.94</v>
      </c>
      <c r="O60" s="1295">
        <f t="shared" si="0"/>
        <v>39.619599999999998</v>
      </c>
      <c r="R60" s="153"/>
      <c r="S60" s="153"/>
    </row>
    <row r="61" spans="2:19">
      <c r="E61" s="149"/>
      <c r="K61" s="1294">
        <v>1800</v>
      </c>
      <c r="L61" s="1294" t="s">
        <v>2445</v>
      </c>
      <c r="M61" s="1294" t="s">
        <v>2496</v>
      </c>
      <c r="N61" s="1295">
        <v>7351.45</v>
      </c>
      <c r="O61" s="1295">
        <f t="shared" si="0"/>
        <v>36.757249999999999</v>
      </c>
    </row>
    <row r="62" spans="2:19">
      <c r="E62" s="149"/>
      <c r="K62" s="1294">
        <v>1800</v>
      </c>
      <c r="L62" s="1294" t="s">
        <v>2445</v>
      </c>
      <c r="M62" s="1294" t="s">
        <v>2499</v>
      </c>
      <c r="N62" s="1295">
        <v>9413.9500000000007</v>
      </c>
      <c r="O62" s="1295">
        <f t="shared" si="0"/>
        <v>37.655800000000006</v>
      </c>
    </row>
    <row r="63" spans="2:19">
      <c r="E63" s="149"/>
      <c r="K63" s="1294">
        <v>1800</v>
      </c>
      <c r="L63" s="1294" t="s">
        <v>2500</v>
      </c>
      <c r="M63" s="1294">
        <v>1</v>
      </c>
      <c r="N63" s="1295">
        <v>311.97000000000003</v>
      </c>
      <c r="O63" s="1295">
        <f t="shared" si="0"/>
        <v>311.97000000000003</v>
      </c>
    </row>
    <row r="64" spans="2:19">
      <c r="K64" s="1294">
        <v>1800</v>
      </c>
      <c r="L64" s="1294" t="s">
        <v>2500</v>
      </c>
      <c r="M64" s="1294" t="s">
        <v>2501</v>
      </c>
      <c r="N64" s="1295">
        <v>308.62</v>
      </c>
      <c r="O64" s="1295">
        <f t="shared" si="0"/>
        <v>205.74666666666667</v>
      </c>
    </row>
    <row r="65" spans="11:19">
      <c r="K65" s="1294">
        <v>1800</v>
      </c>
      <c r="L65" s="1294" t="s">
        <v>2500</v>
      </c>
      <c r="M65" s="1294">
        <v>2</v>
      </c>
      <c r="N65" s="1295">
        <v>365.64</v>
      </c>
      <c r="O65" s="1295">
        <f t="shared" si="0"/>
        <v>182.82</v>
      </c>
    </row>
    <row r="66" spans="11:19">
      <c r="K66" s="1294">
        <v>1800</v>
      </c>
      <c r="L66" s="1294" t="s">
        <v>2500</v>
      </c>
      <c r="M66" s="1294">
        <v>3</v>
      </c>
      <c r="N66" s="1295">
        <v>396.29</v>
      </c>
      <c r="O66" s="1295">
        <f t="shared" si="0"/>
        <v>132.09666666666666</v>
      </c>
      <c r="R66" s="153"/>
      <c r="S66" s="153"/>
    </row>
    <row r="67" spans="11:19">
      <c r="K67" s="1294">
        <v>1800</v>
      </c>
      <c r="L67" s="1294" t="s">
        <v>2500</v>
      </c>
      <c r="M67" s="1294">
        <v>5</v>
      </c>
      <c r="N67" s="1295">
        <v>411.67</v>
      </c>
      <c r="O67" s="1295">
        <f t="shared" si="0"/>
        <v>82.334000000000003</v>
      </c>
      <c r="R67" s="153"/>
      <c r="S67" s="153"/>
    </row>
    <row r="68" spans="11:19">
      <c r="K68" s="1294">
        <v>1800</v>
      </c>
      <c r="L68" s="1294" t="s">
        <v>2500</v>
      </c>
      <c r="M68" s="1294" t="s">
        <v>2462</v>
      </c>
      <c r="N68" s="1295">
        <v>643.66999999999996</v>
      </c>
      <c r="O68" s="1295">
        <f t="shared" ref="O68:O122" si="1">N68/M68</f>
        <v>85.822666666666663</v>
      </c>
      <c r="R68" s="153"/>
      <c r="S68" s="153"/>
    </row>
    <row r="69" spans="11:19">
      <c r="K69" s="1294">
        <v>1800</v>
      </c>
      <c r="L69" s="1294" t="s">
        <v>2500</v>
      </c>
      <c r="M69" s="1294" t="s">
        <v>2464</v>
      </c>
      <c r="N69" s="1295">
        <v>745.15</v>
      </c>
      <c r="O69" s="1295">
        <f t="shared" si="1"/>
        <v>74.515000000000001</v>
      </c>
      <c r="R69" s="153"/>
      <c r="S69" s="153"/>
    </row>
    <row r="70" spans="11:19">
      <c r="K70" s="1294">
        <v>1800</v>
      </c>
      <c r="L70" s="1294" t="s">
        <v>2500</v>
      </c>
      <c r="M70" s="1294" t="s">
        <v>2466</v>
      </c>
      <c r="N70" s="1295">
        <v>976.47</v>
      </c>
      <c r="O70" s="1295">
        <f t="shared" si="1"/>
        <v>65.097999999999999</v>
      </c>
      <c r="R70" s="153"/>
      <c r="S70" s="153"/>
    </row>
    <row r="71" spans="11:19">
      <c r="K71" s="1294">
        <v>1800</v>
      </c>
      <c r="L71" s="1294" t="s">
        <v>2500</v>
      </c>
      <c r="M71" s="1294" t="s">
        <v>2468</v>
      </c>
      <c r="N71" s="1295">
        <v>1190.27</v>
      </c>
      <c r="O71" s="1295">
        <f t="shared" si="1"/>
        <v>59.513500000000001</v>
      </c>
      <c r="R71" s="153"/>
      <c r="S71" s="153"/>
    </row>
    <row r="72" spans="11:19">
      <c r="K72" s="1294">
        <v>1800</v>
      </c>
      <c r="L72" s="1294" t="s">
        <v>2500</v>
      </c>
      <c r="M72" s="1294" t="s">
        <v>2470</v>
      </c>
      <c r="N72" s="1295">
        <v>1457.5</v>
      </c>
      <c r="O72" s="1295">
        <f t="shared" si="1"/>
        <v>58.3</v>
      </c>
      <c r="R72" s="153"/>
      <c r="S72" s="153"/>
    </row>
    <row r="73" spans="11:19">
      <c r="K73" s="1294">
        <v>1800</v>
      </c>
      <c r="L73" s="1294" t="s">
        <v>2500</v>
      </c>
      <c r="M73" s="1294" t="s">
        <v>2472</v>
      </c>
      <c r="N73" s="1295">
        <v>1626.18</v>
      </c>
      <c r="O73" s="1295">
        <f t="shared" si="1"/>
        <v>54.206000000000003</v>
      </c>
      <c r="R73" s="153"/>
      <c r="S73" s="153"/>
    </row>
    <row r="74" spans="11:19">
      <c r="K74" s="1294">
        <v>1800</v>
      </c>
      <c r="L74" s="1294" t="s">
        <v>2500</v>
      </c>
      <c r="M74" s="1294" t="s">
        <v>2474</v>
      </c>
      <c r="N74" s="1295">
        <v>2099.62</v>
      </c>
      <c r="O74" s="1295">
        <f t="shared" si="1"/>
        <v>52.490499999999997</v>
      </c>
    </row>
    <row r="75" spans="11:19">
      <c r="K75" s="1294">
        <v>1800</v>
      </c>
      <c r="L75" s="1294" t="s">
        <v>2500</v>
      </c>
      <c r="M75" s="1294" t="s">
        <v>2479</v>
      </c>
      <c r="N75" s="1295">
        <v>2371.4699999999998</v>
      </c>
      <c r="O75" s="1295">
        <f t="shared" si="1"/>
        <v>47.429399999999994</v>
      </c>
    </row>
    <row r="76" spans="11:19">
      <c r="K76" s="1294">
        <v>1800</v>
      </c>
      <c r="L76" s="1294" t="s">
        <v>2500</v>
      </c>
      <c r="M76" s="1294" t="s">
        <v>2481</v>
      </c>
      <c r="N76" s="1295">
        <v>3174.84</v>
      </c>
      <c r="O76" s="1295">
        <f t="shared" si="1"/>
        <v>52.914000000000001</v>
      </c>
    </row>
    <row r="77" spans="11:19">
      <c r="K77" s="1294">
        <v>1800</v>
      </c>
      <c r="L77" s="1294" t="s">
        <v>2500</v>
      </c>
      <c r="M77" s="1294" t="s">
        <v>2483</v>
      </c>
      <c r="N77" s="1295">
        <v>3754.03</v>
      </c>
      <c r="O77" s="1295">
        <f t="shared" si="1"/>
        <v>50.053733333333334</v>
      </c>
    </row>
    <row r="78" spans="11:19">
      <c r="K78" s="1294">
        <v>1800</v>
      </c>
      <c r="L78" s="1294" t="s">
        <v>2500</v>
      </c>
      <c r="M78" s="1294" t="s">
        <v>2484</v>
      </c>
      <c r="N78" s="1295">
        <v>4412.08</v>
      </c>
      <c r="O78" s="1295">
        <f t="shared" si="1"/>
        <v>44.120800000000003</v>
      </c>
    </row>
    <row r="79" spans="11:19">
      <c r="K79" s="1294">
        <v>1800</v>
      </c>
      <c r="L79" s="1294" t="s">
        <v>2500</v>
      </c>
      <c r="M79" s="1294" t="s">
        <v>2487</v>
      </c>
      <c r="N79" s="1295">
        <v>5695.32</v>
      </c>
      <c r="O79" s="1295">
        <f t="shared" si="1"/>
        <v>45.562559999999998</v>
      </c>
    </row>
    <row r="80" spans="11:19">
      <c r="K80" s="1294">
        <v>1800</v>
      </c>
      <c r="L80" s="1294" t="s">
        <v>2500</v>
      </c>
      <c r="M80" s="1294" t="s">
        <v>2489</v>
      </c>
      <c r="N80" s="1295">
        <v>5942.94</v>
      </c>
      <c r="O80" s="1295">
        <f t="shared" si="1"/>
        <v>39.619599999999998</v>
      </c>
    </row>
    <row r="81" spans="11:15">
      <c r="K81" s="1294">
        <v>1800</v>
      </c>
      <c r="L81" s="1294" t="s">
        <v>2500</v>
      </c>
      <c r="M81" s="1294" t="s">
        <v>2496</v>
      </c>
      <c r="N81" s="1295">
        <v>7351.45</v>
      </c>
      <c r="O81" s="1295">
        <f t="shared" si="1"/>
        <v>36.757249999999999</v>
      </c>
    </row>
    <row r="82" spans="11:15">
      <c r="K82" s="1294">
        <v>1800</v>
      </c>
      <c r="L82" s="1294" t="s">
        <v>2500</v>
      </c>
      <c r="M82" s="1294" t="s">
        <v>2499</v>
      </c>
      <c r="N82" s="1295">
        <v>9413.9500000000007</v>
      </c>
      <c r="O82" s="1295">
        <f t="shared" si="1"/>
        <v>37.655800000000006</v>
      </c>
    </row>
    <row r="83" spans="11:15">
      <c r="K83" s="1294">
        <v>3600</v>
      </c>
      <c r="L83" s="1294" t="s">
        <v>2445</v>
      </c>
      <c r="M83" s="1294">
        <v>1</v>
      </c>
      <c r="N83" s="1295">
        <v>311.97000000000003</v>
      </c>
      <c r="O83" s="1295">
        <f t="shared" si="1"/>
        <v>311.97000000000003</v>
      </c>
    </row>
    <row r="84" spans="11:15">
      <c r="K84" s="1294">
        <v>3600</v>
      </c>
      <c r="L84" s="1294" t="s">
        <v>2445</v>
      </c>
      <c r="M84" s="1294" t="s">
        <v>2501</v>
      </c>
      <c r="N84" s="1295">
        <v>308.62</v>
      </c>
      <c r="O84" s="1295">
        <f t="shared" si="1"/>
        <v>205.74666666666667</v>
      </c>
    </row>
    <row r="85" spans="11:15">
      <c r="K85" s="1294">
        <v>3600</v>
      </c>
      <c r="L85" s="1294" t="s">
        <v>2445</v>
      </c>
      <c r="M85" s="1294">
        <v>2</v>
      </c>
      <c r="N85" s="1295">
        <v>365.64</v>
      </c>
      <c r="O85" s="1295">
        <f t="shared" si="1"/>
        <v>182.82</v>
      </c>
    </row>
    <row r="86" spans="11:15">
      <c r="K86" s="1294">
        <v>3600</v>
      </c>
      <c r="L86" s="1294" t="s">
        <v>2445</v>
      </c>
      <c r="M86" s="1294">
        <v>3</v>
      </c>
      <c r="N86" s="1295">
        <v>396.29</v>
      </c>
      <c r="O86" s="1295">
        <f t="shared" si="1"/>
        <v>132.09666666666666</v>
      </c>
    </row>
    <row r="87" spans="11:15">
      <c r="K87" s="1294">
        <v>3600</v>
      </c>
      <c r="L87" s="1294" t="s">
        <v>2445</v>
      </c>
      <c r="M87" s="1294">
        <v>5</v>
      </c>
      <c r="N87" s="1295">
        <v>411.67</v>
      </c>
      <c r="O87" s="1295">
        <f t="shared" si="1"/>
        <v>82.334000000000003</v>
      </c>
    </row>
    <row r="88" spans="11:15">
      <c r="K88" s="1294">
        <v>3600</v>
      </c>
      <c r="L88" s="1294" t="s">
        <v>2445</v>
      </c>
      <c r="M88" s="1294" t="s">
        <v>2462</v>
      </c>
      <c r="N88" s="1295">
        <v>643.66999999999996</v>
      </c>
      <c r="O88" s="1295">
        <f t="shared" si="1"/>
        <v>85.822666666666663</v>
      </c>
    </row>
    <row r="89" spans="11:15">
      <c r="K89" s="1294">
        <v>3600</v>
      </c>
      <c r="L89" s="1294" t="s">
        <v>2445</v>
      </c>
      <c r="M89" s="1294" t="s">
        <v>2464</v>
      </c>
      <c r="N89" s="1295">
        <v>745.15</v>
      </c>
      <c r="O89" s="1295">
        <f t="shared" si="1"/>
        <v>74.515000000000001</v>
      </c>
    </row>
    <row r="90" spans="11:15">
      <c r="K90" s="1294">
        <v>3600</v>
      </c>
      <c r="L90" s="1294" t="s">
        <v>2445</v>
      </c>
      <c r="M90" s="1294" t="s">
        <v>2466</v>
      </c>
      <c r="N90" s="1295">
        <v>976.47</v>
      </c>
      <c r="O90" s="1295">
        <f t="shared" si="1"/>
        <v>65.097999999999999</v>
      </c>
    </row>
    <row r="91" spans="11:15">
      <c r="K91" s="1294">
        <v>3600</v>
      </c>
      <c r="L91" s="1294" t="s">
        <v>2445</v>
      </c>
      <c r="M91" s="1294" t="s">
        <v>2468</v>
      </c>
      <c r="N91" s="1295">
        <v>1190.27</v>
      </c>
      <c r="O91" s="1295">
        <f t="shared" si="1"/>
        <v>59.513500000000001</v>
      </c>
    </row>
    <row r="92" spans="11:15">
      <c r="K92" s="1294">
        <v>3600</v>
      </c>
      <c r="L92" s="1294" t="s">
        <v>2445</v>
      </c>
      <c r="M92" s="1294" t="s">
        <v>2470</v>
      </c>
      <c r="N92" s="1295">
        <v>1457.5</v>
      </c>
      <c r="O92" s="1295">
        <f t="shared" si="1"/>
        <v>58.3</v>
      </c>
    </row>
    <row r="93" spans="11:15">
      <c r="K93" s="1294">
        <v>3600</v>
      </c>
      <c r="L93" s="1294" t="s">
        <v>2445</v>
      </c>
      <c r="M93" s="1294" t="s">
        <v>2472</v>
      </c>
      <c r="N93" s="1295">
        <v>1626.18</v>
      </c>
      <c r="O93" s="1295">
        <f t="shared" si="1"/>
        <v>54.206000000000003</v>
      </c>
    </row>
    <row r="94" spans="11:15">
      <c r="K94" s="1294">
        <v>3600</v>
      </c>
      <c r="L94" s="1294" t="s">
        <v>2445</v>
      </c>
      <c r="M94" s="1294" t="s">
        <v>2474</v>
      </c>
      <c r="N94" s="1295">
        <v>2099.62</v>
      </c>
      <c r="O94" s="1295">
        <f t="shared" si="1"/>
        <v>52.490499999999997</v>
      </c>
    </row>
    <row r="95" spans="11:15">
      <c r="K95" s="1294">
        <v>3600</v>
      </c>
      <c r="L95" s="1294" t="s">
        <v>2445</v>
      </c>
      <c r="M95" s="1294" t="s">
        <v>2479</v>
      </c>
      <c r="N95" s="1295">
        <v>2371.4699999999998</v>
      </c>
      <c r="O95" s="1295">
        <f t="shared" si="1"/>
        <v>47.429399999999994</v>
      </c>
    </row>
    <row r="96" spans="11:15">
      <c r="K96" s="1294">
        <v>3600</v>
      </c>
      <c r="L96" s="1294" t="s">
        <v>2445</v>
      </c>
      <c r="M96" s="1294" t="s">
        <v>2481</v>
      </c>
      <c r="N96" s="1295">
        <v>3174.84</v>
      </c>
      <c r="O96" s="1295">
        <f t="shared" si="1"/>
        <v>52.914000000000001</v>
      </c>
    </row>
    <row r="97" spans="11:15">
      <c r="K97" s="1294">
        <v>3600</v>
      </c>
      <c r="L97" s="1294" t="s">
        <v>2445</v>
      </c>
      <c r="M97" s="1294" t="s">
        <v>2483</v>
      </c>
      <c r="N97" s="1295">
        <v>3754.03</v>
      </c>
      <c r="O97" s="1295">
        <f t="shared" si="1"/>
        <v>50.053733333333334</v>
      </c>
    </row>
    <row r="98" spans="11:15">
      <c r="K98" s="1294">
        <v>3600</v>
      </c>
      <c r="L98" s="1294" t="s">
        <v>2445</v>
      </c>
      <c r="M98" s="1294" t="s">
        <v>2484</v>
      </c>
      <c r="N98" s="1295">
        <v>4412.08</v>
      </c>
      <c r="O98" s="1295">
        <f t="shared" si="1"/>
        <v>44.120800000000003</v>
      </c>
    </row>
    <row r="99" spans="11:15">
      <c r="K99" s="1294">
        <v>3600</v>
      </c>
      <c r="L99" s="1294" t="s">
        <v>2445</v>
      </c>
      <c r="M99" s="1294" t="s">
        <v>2487</v>
      </c>
      <c r="N99" s="1295">
        <v>5695.32</v>
      </c>
      <c r="O99" s="1295">
        <f t="shared" si="1"/>
        <v>45.562559999999998</v>
      </c>
    </row>
    <row r="100" spans="11:15">
      <c r="K100" s="1294">
        <v>3600</v>
      </c>
      <c r="L100" s="1294" t="s">
        <v>2445</v>
      </c>
      <c r="M100" s="1294" t="s">
        <v>2489</v>
      </c>
      <c r="N100" s="1295">
        <v>5942.94</v>
      </c>
      <c r="O100" s="1295">
        <f t="shared" si="1"/>
        <v>39.619599999999998</v>
      </c>
    </row>
    <row r="101" spans="11:15">
      <c r="K101" s="1294">
        <v>3600</v>
      </c>
      <c r="L101" s="1294" t="s">
        <v>2445</v>
      </c>
      <c r="M101" s="1294" t="s">
        <v>2496</v>
      </c>
      <c r="N101" s="1295">
        <v>7351.45</v>
      </c>
      <c r="O101" s="1295">
        <f t="shared" si="1"/>
        <v>36.757249999999999</v>
      </c>
    </row>
    <row r="102" spans="11:15">
      <c r="K102" s="1294">
        <v>3600</v>
      </c>
      <c r="L102" s="1294" t="s">
        <v>2445</v>
      </c>
      <c r="M102" s="1294" t="s">
        <v>2499</v>
      </c>
      <c r="N102" s="1295">
        <v>9413.9500000000007</v>
      </c>
      <c r="O102" s="1295">
        <f t="shared" si="1"/>
        <v>37.655800000000006</v>
      </c>
    </row>
    <row r="103" spans="11:15">
      <c r="K103" s="1294">
        <v>3600</v>
      </c>
      <c r="L103" s="1294" t="s">
        <v>2500</v>
      </c>
      <c r="M103" s="1294">
        <v>1</v>
      </c>
      <c r="N103" s="1295">
        <v>311.97000000000003</v>
      </c>
      <c r="O103" s="1295">
        <f t="shared" si="1"/>
        <v>311.97000000000003</v>
      </c>
    </row>
    <row r="104" spans="11:15">
      <c r="K104" s="1294">
        <v>3600</v>
      </c>
      <c r="L104" s="1294" t="s">
        <v>2500</v>
      </c>
      <c r="M104" s="1294" t="s">
        <v>2501</v>
      </c>
      <c r="N104" s="1295">
        <v>308.62</v>
      </c>
      <c r="O104" s="1295">
        <f t="shared" si="1"/>
        <v>205.74666666666667</v>
      </c>
    </row>
    <row r="105" spans="11:15">
      <c r="K105" s="1294">
        <v>3600</v>
      </c>
      <c r="L105" s="1294" t="s">
        <v>2500</v>
      </c>
      <c r="M105" s="1294">
        <v>2</v>
      </c>
      <c r="N105" s="1295">
        <v>365.64</v>
      </c>
      <c r="O105" s="1295">
        <f t="shared" si="1"/>
        <v>182.82</v>
      </c>
    </row>
    <row r="106" spans="11:15">
      <c r="K106" s="1294">
        <v>3600</v>
      </c>
      <c r="L106" s="1294" t="s">
        <v>2500</v>
      </c>
      <c r="M106" s="1294">
        <v>3</v>
      </c>
      <c r="N106" s="1295">
        <v>396.29</v>
      </c>
      <c r="O106" s="1295">
        <f t="shared" si="1"/>
        <v>132.09666666666666</v>
      </c>
    </row>
    <row r="107" spans="11:15">
      <c r="K107" s="1294">
        <v>3600</v>
      </c>
      <c r="L107" s="1294" t="s">
        <v>2500</v>
      </c>
      <c r="M107" s="1294">
        <v>5</v>
      </c>
      <c r="N107" s="1295">
        <v>411.67</v>
      </c>
      <c r="O107" s="1295">
        <f t="shared" si="1"/>
        <v>82.334000000000003</v>
      </c>
    </row>
    <row r="108" spans="11:15">
      <c r="K108" s="1294">
        <v>3600</v>
      </c>
      <c r="L108" s="1294" t="s">
        <v>2500</v>
      </c>
      <c r="M108" s="1294" t="s">
        <v>2462</v>
      </c>
      <c r="N108" s="1295">
        <v>643.66999999999996</v>
      </c>
      <c r="O108" s="1295">
        <f t="shared" si="1"/>
        <v>85.822666666666663</v>
      </c>
    </row>
    <row r="109" spans="11:15">
      <c r="K109" s="1294">
        <v>3600</v>
      </c>
      <c r="L109" s="1294" t="s">
        <v>2500</v>
      </c>
      <c r="M109" s="1294" t="s">
        <v>2464</v>
      </c>
      <c r="N109" s="1295">
        <v>745.15</v>
      </c>
      <c r="O109" s="1295">
        <f t="shared" si="1"/>
        <v>74.515000000000001</v>
      </c>
    </row>
    <row r="110" spans="11:15">
      <c r="K110" s="1294">
        <v>3600</v>
      </c>
      <c r="L110" s="1294" t="s">
        <v>2500</v>
      </c>
      <c r="M110" s="1294" t="s">
        <v>2466</v>
      </c>
      <c r="N110" s="1295">
        <v>976.47</v>
      </c>
      <c r="O110" s="1295">
        <f t="shared" si="1"/>
        <v>65.097999999999999</v>
      </c>
    </row>
    <row r="111" spans="11:15">
      <c r="K111" s="1294">
        <v>3600</v>
      </c>
      <c r="L111" s="1294" t="s">
        <v>2500</v>
      </c>
      <c r="M111" s="1294" t="s">
        <v>2468</v>
      </c>
      <c r="N111" s="1295">
        <v>1190.27</v>
      </c>
      <c r="O111" s="1295">
        <f t="shared" si="1"/>
        <v>59.513500000000001</v>
      </c>
    </row>
    <row r="112" spans="11:15">
      <c r="K112" s="1294">
        <v>3600</v>
      </c>
      <c r="L112" s="1294" t="s">
        <v>2500</v>
      </c>
      <c r="M112" s="1294" t="s">
        <v>2470</v>
      </c>
      <c r="N112" s="1295">
        <v>1457.5</v>
      </c>
      <c r="O112" s="1295">
        <f t="shared" si="1"/>
        <v>58.3</v>
      </c>
    </row>
    <row r="113" spans="11:15">
      <c r="K113" s="1294">
        <v>3600</v>
      </c>
      <c r="L113" s="1294" t="s">
        <v>2500</v>
      </c>
      <c r="M113" s="1294" t="s">
        <v>2472</v>
      </c>
      <c r="N113" s="1295">
        <v>1626.18</v>
      </c>
      <c r="O113" s="1295">
        <f t="shared" si="1"/>
        <v>54.206000000000003</v>
      </c>
    </row>
    <row r="114" spans="11:15">
      <c r="K114" s="1294">
        <v>3600</v>
      </c>
      <c r="L114" s="1294" t="s">
        <v>2500</v>
      </c>
      <c r="M114" s="1294" t="s">
        <v>2474</v>
      </c>
      <c r="N114" s="1295">
        <v>2099.62</v>
      </c>
      <c r="O114" s="1295">
        <f t="shared" si="1"/>
        <v>52.490499999999997</v>
      </c>
    </row>
    <row r="115" spans="11:15">
      <c r="K115" s="1294">
        <v>3600</v>
      </c>
      <c r="L115" s="1294" t="s">
        <v>2500</v>
      </c>
      <c r="M115" s="1294" t="s">
        <v>2479</v>
      </c>
      <c r="N115" s="1295">
        <v>2371.4699999999998</v>
      </c>
      <c r="O115" s="1295">
        <f t="shared" si="1"/>
        <v>47.429399999999994</v>
      </c>
    </row>
    <row r="116" spans="11:15">
      <c r="K116" s="1294">
        <v>3600</v>
      </c>
      <c r="L116" s="1294" t="s">
        <v>2500</v>
      </c>
      <c r="M116" s="1294" t="s">
        <v>2481</v>
      </c>
      <c r="N116" s="1295">
        <v>3174.84</v>
      </c>
      <c r="O116" s="1295">
        <f t="shared" si="1"/>
        <v>52.914000000000001</v>
      </c>
    </row>
    <row r="117" spans="11:15">
      <c r="K117" s="1294">
        <v>3600</v>
      </c>
      <c r="L117" s="1294" t="s">
        <v>2500</v>
      </c>
      <c r="M117" s="1294" t="s">
        <v>2483</v>
      </c>
      <c r="N117" s="1295">
        <v>3754.03</v>
      </c>
      <c r="O117" s="1295">
        <f t="shared" si="1"/>
        <v>50.053733333333334</v>
      </c>
    </row>
    <row r="118" spans="11:15">
      <c r="K118" s="1294">
        <v>3600</v>
      </c>
      <c r="L118" s="1294" t="s">
        <v>2500</v>
      </c>
      <c r="M118" s="1294" t="s">
        <v>2484</v>
      </c>
      <c r="N118" s="1295">
        <v>4412.08</v>
      </c>
      <c r="O118" s="1295">
        <f t="shared" si="1"/>
        <v>44.120800000000003</v>
      </c>
    </row>
    <row r="119" spans="11:15">
      <c r="K119" s="1294">
        <v>3600</v>
      </c>
      <c r="L119" s="1294" t="s">
        <v>2500</v>
      </c>
      <c r="M119" s="1294" t="s">
        <v>2487</v>
      </c>
      <c r="N119" s="1295">
        <v>5695.32</v>
      </c>
      <c r="O119" s="1295">
        <f t="shared" si="1"/>
        <v>45.562559999999998</v>
      </c>
    </row>
    <row r="120" spans="11:15">
      <c r="K120" s="1294">
        <v>3600</v>
      </c>
      <c r="L120" s="1294" t="s">
        <v>2500</v>
      </c>
      <c r="M120" s="1294" t="s">
        <v>2489</v>
      </c>
      <c r="N120" s="1295">
        <v>5942.94</v>
      </c>
      <c r="O120" s="1295">
        <f t="shared" si="1"/>
        <v>39.619599999999998</v>
      </c>
    </row>
    <row r="121" spans="11:15">
      <c r="K121" s="1294">
        <v>3600</v>
      </c>
      <c r="L121" s="1294" t="s">
        <v>2500</v>
      </c>
      <c r="M121" s="1294" t="s">
        <v>2496</v>
      </c>
      <c r="N121" s="1295">
        <v>7351.45</v>
      </c>
      <c r="O121" s="1295">
        <f t="shared" si="1"/>
        <v>36.757249999999999</v>
      </c>
    </row>
    <row r="122" spans="11:15">
      <c r="K122" s="1294">
        <v>3600</v>
      </c>
      <c r="L122" s="1294" t="s">
        <v>2500</v>
      </c>
      <c r="M122" s="1294" t="s">
        <v>2499</v>
      </c>
      <c r="N122" s="1295">
        <v>9413.9500000000007</v>
      </c>
      <c r="O122" s="1295">
        <f t="shared" si="1"/>
        <v>37.655800000000006</v>
      </c>
    </row>
  </sheetData>
  <mergeCells count="83">
    <mergeCell ref="I48:I49"/>
    <mergeCell ref="B50:B56"/>
    <mergeCell ref="B57:B58"/>
    <mergeCell ref="D48:D58"/>
    <mergeCell ref="C48:C58"/>
    <mergeCell ref="G50:G56"/>
    <mergeCell ref="H50:H56"/>
    <mergeCell ref="H57:H58"/>
    <mergeCell ref="G57:G58"/>
    <mergeCell ref="I50:I56"/>
    <mergeCell ref="I57:I58"/>
    <mergeCell ref="G48:G49"/>
    <mergeCell ref="H48:H49"/>
    <mergeCell ref="B48:B49"/>
    <mergeCell ref="I36:I41"/>
    <mergeCell ref="G42:G43"/>
    <mergeCell ref="B42:B43"/>
    <mergeCell ref="I42:I43"/>
    <mergeCell ref="I44:I47"/>
    <mergeCell ref="B36:B41"/>
    <mergeCell ref="B44:B47"/>
    <mergeCell ref="C36:C47"/>
    <mergeCell ref="D36:D47"/>
    <mergeCell ref="G44:G47"/>
    <mergeCell ref="H42:H43"/>
    <mergeCell ref="H44:H47"/>
    <mergeCell ref="G36:G41"/>
    <mergeCell ref="H36:H41"/>
    <mergeCell ref="B3:B4"/>
    <mergeCell ref="G3:G4"/>
    <mergeCell ref="H3:H4"/>
    <mergeCell ref="B5:B6"/>
    <mergeCell ref="C3:C6"/>
    <mergeCell ref="D3:D4"/>
    <mergeCell ref="D5:D6"/>
    <mergeCell ref="G5:G6"/>
    <mergeCell ref="H5:H6"/>
    <mergeCell ref="C15:C16"/>
    <mergeCell ref="C17:C18"/>
    <mergeCell ref="D15:D16"/>
    <mergeCell ref="D7:D14"/>
    <mergeCell ref="B28:B29"/>
    <mergeCell ref="C28:C29"/>
    <mergeCell ref="D28:D29"/>
    <mergeCell ref="D17:D18"/>
    <mergeCell ref="B15:B18"/>
    <mergeCell ref="B7:B14"/>
    <mergeCell ref="C7:C14"/>
    <mergeCell ref="C19:C20"/>
    <mergeCell ref="B19:B20"/>
    <mergeCell ref="D19:D20"/>
    <mergeCell ref="C21:C27"/>
    <mergeCell ref="D21:D27"/>
    <mergeCell ref="B30:B32"/>
    <mergeCell ref="C30:C32"/>
    <mergeCell ref="D30:D32"/>
    <mergeCell ref="B33:B34"/>
    <mergeCell ref="C33:C34"/>
    <mergeCell ref="D33:D34"/>
    <mergeCell ref="G33:G34"/>
    <mergeCell ref="H33:H34"/>
    <mergeCell ref="I33:I34"/>
    <mergeCell ref="I28:I29"/>
    <mergeCell ref="I15:I16"/>
    <mergeCell ref="I17:I18"/>
    <mergeCell ref="I19:I20"/>
    <mergeCell ref="I21:I27"/>
    <mergeCell ref="Q1:S1"/>
    <mergeCell ref="K1:O1"/>
    <mergeCell ref="G30:G32"/>
    <mergeCell ref="H30:H32"/>
    <mergeCell ref="I30:I32"/>
    <mergeCell ref="I3:I6"/>
    <mergeCell ref="G7:G14"/>
    <mergeCell ref="H7:H14"/>
    <mergeCell ref="I7:I14"/>
    <mergeCell ref="H28:H29"/>
    <mergeCell ref="H19:H20"/>
    <mergeCell ref="H15:H18"/>
    <mergeCell ref="G15:G18"/>
    <mergeCell ref="G28:G29"/>
    <mergeCell ref="H21:H27"/>
    <mergeCell ref="G19:G20"/>
  </mergeCells>
  <hyperlinks>
    <hyperlink ref="I3" r:id="rId1" xr:uid="{E933AFD8-F0EC-43CD-BEE0-258F1CF72CA9}"/>
    <hyperlink ref="I7" r:id="rId2" xr:uid="{C4EA9574-DE4B-49C5-A24B-FBD8A12A6643}"/>
    <hyperlink ref="I15" r:id="rId3" xr:uid="{0D8DA69D-EF2E-4404-8A5E-A0189E174362}"/>
    <hyperlink ref="I17" r:id="rId4" xr:uid="{9846ECD7-CB55-449B-BC5C-A9A302A3D36B}"/>
    <hyperlink ref="I19" r:id="rId5" xr:uid="{D7A59EE8-D393-4DC4-93F4-092F9B867277}"/>
    <hyperlink ref="I28" r:id="rId6" xr:uid="{FE2033C0-AE88-4151-B837-19289325ECC0}"/>
    <hyperlink ref="I33" r:id="rId7" xr:uid="{B67308A2-ADFA-4B09-8BB2-63E91110F31A}"/>
    <hyperlink ref="I35" r:id="rId8" xr:uid="{0B6209F8-B6AC-40F3-A5B3-267C366A09A4}"/>
    <hyperlink ref="I21" r:id="rId9" xr:uid="{99B7DBB7-71DE-41C2-B93A-EE1E5D2369E1}"/>
    <hyperlink ref="I36" r:id="rId10" xr:uid="{A2473107-9387-47CB-B70B-A993BD4C23CF}"/>
    <hyperlink ref="I42" r:id="rId11" xr:uid="{59CF1CC3-1E59-45BB-AD18-B32F75E74E46}"/>
    <hyperlink ref="I44" r:id="rId12" xr:uid="{F778D8F8-D8A0-43C6-86D3-165F361242A9}"/>
    <hyperlink ref="I48" r:id="rId13" xr:uid="{929F922B-450C-403B-AF9A-4813C7D5B892}"/>
    <hyperlink ref="I50" r:id="rId14" xr:uid="{96059519-93DB-415F-9D9B-5264E3850C8E}"/>
    <hyperlink ref="I57" r:id="rId15" xr:uid="{3BDC7668-53A0-48AF-BAFA-CAB2B1215E1A}"/>
    <hyperlink ref="S4" r:id="rId16" display="Miojsdio" xr:uid="{9D64C3C0-B524-4F97-9DC9-3AA2B492B5F5}"/>
  </hyperlinks>
  <pageMargins left="0.7" right="0.7" top="0.75" bottom="0.75" header="0.3" footer="0.3"/>
  <pageSetup orientation="portrait" horizontalDpi="300" verticalDpi="300" r:id="rId17"/>
  <headerFooter>
    <oddFooter>&amp;L&amp;1#&amp;"Calibri"&amp;14&amp;K000000Business Use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31D1-29A9-4D3F-B684-749BEC761762}">
  <sheetPr>
    <tabColor theme="9" tint="0.59999389629810485"/>
  </sheetPr>
  <dimension ref="B2:H116"/>
  <sheetViews>
    <sheetView workbookViewId="0">
      <pane ySplit="2" topLeftCell="A72" activePane="bottomLeft" state="frozen"/>
      <selection pane="bottomLeft" activeCell="D83" sqref="D83:G83"/>
    </sheetView>
  </sheetViews>
  <sheetFormatPr defaultColWidth="9.1796875" defaultRowHeight="14.5"/>
  <cols>
    <col min="1" max="1" width="3" customWidth="1"/>
    <col min="2" max="2" width="44.54296875" bestFit="1" customWidth="1"/>
    <col min="3" max="3" width="5.7265625" bestFit="1" customWidth="1"/>
    <col min="4" max="4" width="18.1796875" bestFit="1" customWidth="1"/>
    <col min="5" max="5" width="21.7265625" bestFit="1" customWidth="1"/>
    <col min="6" max="6" width="36" bestFit="1" customWidth="1"/>
    <col min="7" max="7" width="27.1796875" style="30" bestFit="1" customWidth="1"/>
    <col min="8" max="8" width="41.453125" bestFit="1" customWidth="1"/>
  </cols>
  <sheetData>
    <row r="2" spans="2:8">
      <c r="B2" s="22" t="s">
        <v>2556</v>
      </c>
      <c r="C2" s="22" t="s">
        <v>2557</v>
      </c>
      <c r="D2" s="22" t="s">
        <v>2558</v>
      </c>
      <c r="E2" s="22" t="s">
        <v>2559</v>
      </c>
      <c r="F2" s="22" t="s">
        <v>2560</v>
      </c>
      <c r="G2" s="145" t="s">
        <v>2561</v>
      </c>
      <c r="H2" s="22" t="s">
        <v>2562</v>
      </c>
    </row>
    <row r="3" spans="2:8">
      <c r="B3" t="s">
        <v>2563</v>
      </c>
      <c r="C3" t="s">
        <v>2564</v>
      </c>
      <c r="D3">
        <v>921</v>
      </c>
      <c r="E3">
        <v>118606</v>
      </c>
      <c r="F3">
        <v>25.55</v>
      </c>
      <c r="G3" s="30">
        <f t="shared" ref="G3:G34" si="0">E3/$D3</f>
        <v>128.77958740499457</v>
      </c>
      <c r="H3" s="26">
        <f t="shared" ref="H3:H34" si="1">F3/$D3</f>
        <v>2.7741585233441911E-2</v>
      </c>
    </row>
    <row r="4" spans="2:8">
      <c r="B4" t="s">
        <v>2563</v>
      </c>
      <c r="C4" t="s">
        <v>2564</v>
      </c>
      <c r="D4">
        <v>2150</v>
      </c>
      <c r="E4">
        <v>276877</v>
      </c>
      <c r="F4">
        <v>59.65</v>
      </c>
      <c r="G4" s="30">
        <f t="shared" si="0"/>
        <v>128.78</v>
      </c>
      <c r="H4" s="26">
        <f t="shared" si="1"/>
        <v>2.7744186046511628E-2</v>
      </c>
    </row>
    <row r="5" spans="2:8">
      <c r="B5" t="s">
        <v>2563</v>
      </c>
      <c r="C5" t="s">
        <v>2564</v>
      </c>
      <c r="D5">
        <v>1848</v>
      </c>
      <c r="E5">
        <v>237985</v>
      </c>
      <c r="F5">
        <v>51.27</v>
      </c>
      <c r="G5" s="30">
        <f t="shared" si="0"/>
        <v>128.7797619047619</v>
      </c>
      <c r="H5" s="26">
        <f t="shared" si="1"/>
        <v>2.7743506493506494E-2</v>
      </c>
    </row>
    <row r="6" spans="2:8">
      <c r="B6" t="s">
        <v>2563</v>
      </c>
      <c r="C6" t="s">
        <v>2564</v>
      </c>
      <c r="D6">
        <v>1847</v>
      </c>
      <c r="E6">
        <v>237857</v>
      </c>
      <c r="F6">
        <v>51.24</v>
      </c>
      <c r="G6" s="30">
        <f t="shared" si="0"/>
        <v>128.78018408229562</v>
      </c>
      <c r="H6" s="26">
        <f t="shared" si="1"/>
        <v>2.7742284786139687E-2</v>
      </c>
    </row>
    <row r="7" spans="2:8">
      <c r="B7" t="s">
        <v>2563</v>
      </c>
      <c r="C7" t="s">
        <v>2564</v>
      </c>
      <c r="D7">
        <v>841</v>
      </c>
      <c r="E7">
        <v>108304</v>
      </c>
      <c r="F7">
        <v>23.33</v>
      </c>
      <c r="G7" s="30">
        <f t="shared" si="0"/>
        <v>128.78002378121283</v>
      </c>
      <c r="H7" s="26">
        <f t="shared" si="1"/>
        <v>2.7740784780023779E-2</v>
      </c>
    </row>
    <row r="8" spans="2:8">
      <c r="B8" t="s">
        <v>2563</v>
      </c>
      <c r="C8" t="s">
        <v>2564</v>
      </c>
      <c r="D8">
        <v>8801</v>
      </c>
      <c r="E8">
        <v>1133393</v>
      </c>
      <c r="F8">
        <v>244.17</v>
      </c>
      <c r="G8" s="30">
        <f t="shared" si="0"/>
        <v>128.78002499715942</v>
      </c>
      <c r="H8" s="26">
        <f t="shared" si="1"/>
        <v>2.7743438245653902E-2</v>
      </c>
    </row>
    <row r="9" spans="2:8">
      <c r="B9" t="s">
        <v>2563</v>
      </c>
      <c r="C9" t="s">
        <v>2564</v>
      </c>
      <c r="D9">
        <v>8829</v>
      </c>
      <c r="E9">
        <v>1136999</v>
      </c>
      <c r="F9">
        <v>244.95</v>
      </c>
      <c r="G9" s="30">
        <f t="shared" si="0"/>
        <v>128.78004303998188</v>
      </c>
      <c r="H9" s="26">
        <f t="shared" si="1"/>
        <v>2.7743798844716276E-2</v>
      </c>
    </row>
    <row r="10" spans="2:8">
      <c r="B10" t="s">
        <v>2563</v>
      </c>
      <c r="C10" t="s">
        <v>2564</v>
      </c>
      <c r="D10">
        <v>2146</v>
      </c>
      <c r="E10">
        <v>276362</v>
      </c>
      <c r="F10">
        <v>59.54</v>
      </c>
      <c r="G10" s="30">
        <f t="shared" si="0"/>
        <v>128.78005591798694</v>
      </c>
      <c r="H10" s="26">
        <f t="shared" si="1"/>
        <v>2.7744641192917054E-2</v>
      </c>
    </row>
    <row r="11" spans="2:8">
      <c r="B11" t="s">
        <v>2563</v>
      </c>
      <c r="C11" t="s">
        <v>2564</v>
      </c>
      <c r="D11">
        <v>3504</v>
      </c>
      <c r="E11">
        <v>451245</v>
      </c>
      <c r="F11">
        <v>97.21</v>
      </c>
      <c r="G11" s="30">
        <f t="shared" si="0"/>
        <v>128.77996575342465</v>
      </c>
      <c r="H11" s="26">
        <f t="shared" si="1"/>
        <v>2.7742579908675798E-2</v>
      </c>
    </row>
    <row r="12" spans="2:8">
      <c r="B12" t="s">
        <v>2563</v>
      </c>
      <c r="C12" t="s">
        <v>2564</v>
      </c>
      <c r="D12">
        <v>42</v>
      </c>
      <c r="E12">
        <v>5409</v>
      </c>
      <c r="F12">
        <v>1.17</v>
      </c>
      <c r="G12" s="30">
        <f t="shared" si="0"/>
        <v>128.78571428571428</v>
      </c>
      <c r="H12" s="26">
        <f t="shared" si="1"/>
        <v>2.7857142857142855E-2</v>
      </c>
    </row>
    <row r="13" spans="2:8">
      <c r="B13" t="s">
        <v>2563</v>
      </c>
      <c r="C13" t="s">
        <v>2564</v>
      </c>
      <c r="D13">
        <v>690</v>
      </c>
      <c r="E13">
        <v>88858</v>
      </c>
      <c r="F13">
        <v>19.14</v>
      </c>
      <c r="G13" s="30">
        <f t="shared" si="0"/>
        <v>128.77971014492755</v>
      </c>
      <c r="H13" s="26">
        <f t="shared" si="1"/>
        <v>2.773913043478261E-2</v>
      </c>
    </row>
    <row r="14" spans="2:8">
      <c r="B14" t="s">
        <v>2563</v>
      </c>
      <c r="C14" t="s">
        <v>2564</v>
      </c>
      <c r="D14">
        <v>1852</v>
      </c>
      <c r="E14">
        <v>238501</v>
      </c>
      <c r="F14">
        <v>51.38</v>
      </c>
      <c r="G14" s="30">
        <f t="shared" si="0"/>
        <v>128.78023758099351</v>
      </c>
      <c r="H14" s="26">
        <f t="shared" si="1"/>
        <v>2.7742980561555077E-2</v>
      </c>
    </row>
    <row r="15" spans="2:8">
      <c r="B15" t="s">
        <v>2563</v>
      </c>
      <c r="C15" t="s">
        <v>2564</v>
      </c>
      <c r="D15">
        <v>488</v>
      </c>
      <c r="E15">
        <v>62845</v>
      </c>
      <c r="F15">
        <v>13.54</v>
      </c>
      <c r="G15" s="30">
        <f t="shared" si="0"/>
        <v>128.78073770491804</v>
      </c>
      <c r="H15" s="26">
        <f t="shared" si="1"/>
        <v>2.7745901639344261E-2</v>
      </c>
    </row>
    <row r="16" spans="2:8">
      <c r="B16" t="s">
        <v>2563</v>
      </c>
      <c r="C16" t="s">
        <v>2564</v>
      </c>
      <c r="D16">
        <v>4550</v>
      </c>
      <c r="E16">
        <v>585949</v>
      </c>
      <c r="F16">
        <v>126.24</v>
      </c>
      <c r="G16" s="30">
        <f t="shared" si="0"/>
        <v>128.78</v>
      </c>
      <c r="H16" s="26">
        <f t="shared" si="1"/>
        <v>2.7745054945054946E-2</v>
      </c>
    </row>
    <row r="17" spans="2:8">
      <c r="B17" t="s">
        <v>2563</v>
      </c>
      <c r="C17" t="s">
        <v>2564</v>
      </c>
      <c r="D17">
        <v>861</v>
      </c>
      <c r="E17">
        <v>110880</v>
      </c>
      <c r="F17">
        <v>23.89</v>
      </c>
      <c r="G17" s="30">
        <f t="shared" si="0"/>
        <v>128.78048780487805</v>
      </c>
      <c r="H17" s="26">
        <f t="shared" si="1"/>
        <v>2.7746806039488967E-2</v>
      </c>
    </row>
    <row r="18" spans="2:8">
      <c r="B18" t="s">
        <v>2563</v>
      </c>
      <c r="C18" t="s">
        <v>2564</v>
      </c>
      <c r="D18">
        <v>142</v>
      </c>
      <c r="E18">
        <v>18287</v>
      </c>
      <c r="F18">
        <v>3.94</v>
      </c>
      <c r="G18" s="30">
        <f t="shared" si="0"/>
        <v>128.78169014084506</v>
      </c>
      <c r="H18" s="26">
        <f t="shared" si="1"/>
        <v>2.7746478873239437E-2</v>
      </c>
    </row>
    <row r="19" spans="2:8">
      <c r="B19" t="s">
        <v>2563</v>
      </c>
      <c r="C19" t="s">
        <v>2564</v>
      </c>
      <c r="D19">
        <v>2830</v>
      </c>
      <c r="E19">
        <v>364447</v>
      </c>
      <c r="F19">
        <v>78.52</v>
      </c>
      <c r="G19" s="30">
        <f t="shared" si="0"/>
        <v>128.77985865724381</v>
      </c>
      <c r="H19" s="26">
        <f t="shared" si="1"/>
        <v>2.7745583038869256E-2</v>
      </c>
    </row>
    <row r="20" spans="2:8">
      <c r="B20" t="s">
        <v>2563</v>
      </c>
      <c r="C20" t="s">
        <v>2564</v>
      </c>
      <c r="D20">
        <v>46</v>
      </c>
      <c r="E20">
        <v>5924</v>
      </c>
      <c r="F20">
        <v>1.28</v>
      </c>
      <c r="G20" s="30">
        <f t="shared" si="0"/>
        <v>128.78260869565219</v>
      </c>
      <c r="H20" s="26">
        <f t="shared" si="1"/>
        <v>2.782608695652174E-2</v>
      </c>
    </row>
    <row r="21" spans="2:8">
      <c r="B21" t="s">
        <v>2563</v>
      </c>
      <c r="C21" t="s">
        <v>2564</v>
      </c>
      <c r="D21">
        <v>1770</v>
      </c>
      <c r="E21">
        <v>227941</v>
      </c>
      <c r="F21">
        <v>49.11</v>
      </c>
      <c r="G21" s="30">
        <f t="shared" si="0"/>
        <v>128.78022598870058</v>
      </c>
      <c r="H21" s="26">
        <f t="shared" si="1"/>
        <v>2.7745762711864408E-2</v>
      </c>
    </row>
    <row r="22" spans="2:8">
      <c r="B22" t="s">
        <v>2563</v>
      </c>
      <c r="C22" t="s">
        <v>2564</v>
      </c>
      <c r="D22">
        <v>164</v>
      </c>
      <c r="E22">
        <v>21120</v>
      </c>
      <c r="F22">
        <v>4.55</v>
      </c>
      <c r="G22" s="30">
        <f t="shared" si="0"/>
        <v>128.78048780487805</v>
      </c>
      <c r="H22" s="26">
        <f t="shared" si="1"/>
        <v>2.7743902439024391E-2</v>
      </c>
    </row>
    <row r="23" spans="2:8">
      <c r="B23" t="s">
        <v>2563</v>
      </c>
      <c r="C23" t="s">
        <v>2564</v>
      </c>
      <c r="D23">
        <v>2622</v>
      </c>
      <c r="E23">
        <v>337661</v>
      </c>
      <c r="F23">
        <v>72.739999999999995</v>
      </c>
      <c r="G23" s="30">
        <f t="shared" si="0"/>
        <v>128.77993897787948</v>
      </c>
      <c r="H23" s="26">
        <f t="shared" si="1"/>
        <v>2.7742181540808541E-2</v>
      </c>
    </row>
    <row r="24" spans="2:8">
      <c r="B24" t="s">
        <v>2563</v>
      </c>
      <c r="C24" t="s">
        <v>2564</v>
      </c>
      <c r="D24">
        <v>5</v>
      </c>
      <c r="E24">
        <v>644</v>
      </c>
      <c r="F24">
        <v>5</v>
      </c>
      <c r="G24" s="30">
        <f t="shared" si="0"/>
        <v>128.80000000000001</v>
      </c>
      <c r="H24" s="26">
        <f t="shared" si="1"/>
        <v>1</v>
      </c>
    </row>
    <row r="25" spans="2:8">
      <c r="B25" t="s">
        <v>2563</v>
      </c>
      <c r="C25" t="s">
        <v>2564</v>
      </c>
      <c r="D25">
        <v>36</v>
      </c>
      <c r="E25">
        <v>4636</v>
      </c>
      <c r="F25">
        <v>1</v>
      </c>
      <c r="G25" s="30">
        <f t="shared" si="0"/>
        <v>128.77777777777777</v>
      </c>
      <c r="H25" s="26">
        <f t="shared" si="1"/>
        <v>2.7777777777777776E-2</v>
      </c>
    </row>
    <row r="26" spans="2:8">
      <c r="B26" t="s">
        <v>2563</v>
      </c>
      <c r="C26" t="s">
        <v>2564</v>
      </c>
      <c r="D26">
        <v>27</v>
      </c>
      <c r="E26">
        <v>3477</v>
      </c>
      <c r="F26">
        <v>0.75</v>
      </c>
      <c r="G26" s="30">
        <f t="shared" si="0"/>
        <v>128.77777777777777</v>
      </c>
      <c r="H26" s="26">
        <f t="shared" si="1"/>
        <v>2.7777777777777776E-2</v>
      </c>
    </row>
    <row r="27" spans="2:8">
      <c r="B27" t="s">
        <v>2563</v>
      </c>
      <c r="C27" t="s">
        <v>2564</v>
      </c>
      <c r="D27">
        <v>123</v>
      </c>
      <c r="E27">
        <v>17007</v>
      </c>
      <c r="F27">
        <v>3.3</v>
      </c>
      <c r="G27" s="30">
        <f t="shared" si="0"/>
        <v>138.26829268292684</v>
      </c>
      <c r="H27" s="26">
        <f t="shared" si="1"/>
        <v>2.6829268292682926E-2</v>
      </c>
    </row>
    <row r="28" spans="2:8">
      <c r="B28" t="s">
        <v>2563</v>
      </c>
      <c r="C28" t="s">
        <v>2564</v>
      </c>
      <c r="D28">
        <v>122</v>
      </c>
      <c r="E28">
        <v>15711</v>
      </c>
      <c r="F28">
        <v>3.38</v>
      </c>
      <c r="G28" s="30">
        <f t="shared" si="0"/>
        <v>128.77868852459017</v>
      </c>
      <c r="H28" s="26">
        <f t="shared" si="1"/>
        <v>2.7704918032786883E-2</v>
      </c>
    </row>
    <row r="29" spans="2:8">
      <c r="B29" t="s">
        <v>2563</v>
      </c>
      <c r="C29" t="s">
        <v>2564</v>
      </c>
      <c r="D29">
        <v>775</v>
      </c>
      <c r="E29">
        <v>99805</v>
      </c>
      <c r="F29">
        <v>21.5</v>
      </c>
      <c r="G29" s="30">
        <f t="shared" si="0"/>
        <v>128.78064516129032</v>
      </c>
      <c r="H29" s="26">
        <f t="shared" si="1"/>
        <v>2.7741935483870966E-2</v>
      </c>
    </row>
    <row r="30" spans="2:8">
      <c r="B30" t="s">
        <v>2563</v>
      </c>
      <c r="C30" t="s">
        <v>2564</v>
      </c>
      <c r="D30">
        <v>33</v>
      </c>
      <c r="E30">
        <v>4250</v>
      </c>
      <c r="F30">
        <v>0.92</v>
      </c>
      <c r="G30" s="30">
        <f t="shared" si="0"/>
        <v>128.78787878787878</v>
      </c>
      <c r="H30" s="26">
        <f t="shared" si="1"/>
        <v>2.7878787878787881E-2</v>
      </c>
    </row>
    <row r="31" spans="2:8">
      <c r="B31" t="s">
        <v>2565</v>
      </c>
      <c r="C31" t="s">
        <v>2564</v>
      </c>
      <c r="D31">
        <v>10</v>
      </c>
      <c r="E31">
        <v>1671</v>
      </c>
      <c r="F31">
        <v>0.38</v>
      </c>
      <c r="G31" s="30">
        <f t="shared" si="0"/>
        <v>167.1</v>
      </c>
      <c r="H31" s="26">
        <f t="shared" si="1"/>
        <v>3.7999999999999999E-2</v>
      </c>
    </row>
    <row r="32" spans="2:8">
      <c r="B32" t="s">
        <v>2565</v>
      </c>
      <c r="C32" t="s">
        <v>2564</v>
      </c>
      <c r="D32">
        <v>1619</v>
      </c>
      <c r="E32">
        <v>270600</v>
      </c>
      <c r="F32">
        <v>62.3</v>
      </c>
      <c r="G32" s="30">
        <f t="shared" si="0"/>
        <v>167.14021000617666</v>
      </c>
      <c r="H32" s="26">
        <f t="shared" si="1"/>
        <v>3.8480543545398392E-2</v>
      </c>
    </row>
    <row r="33" spans="2:8">
      <c r="B33" t="s">
        <v>2565</v>
      </c>
      <c r="C33" t="s">
        <v>2564</v>
      </c>
      <c r="D33">
        <v>24</v>
      </c>
      <c r="E33">
        <v>4011</v>
      </c>
      <c r="F33">
        <v>0.92</v>
      </c>
      <c r="G33" s="30">
        <f t="shared" si="0"/>
        <v>167.125</v>
      </c>
      <c r="H33" s="26">
        <f t="shared" si="1"/>
        <v>3.8333333333333337E-2</v>
      </c>
    </row>
    <row r="34" spans="2:8">
      <c r="B34" t="s">
        <v>2565</v>
      </c>
      <c r="C34" t="s">
        <v>2564</v>
      </c>
      <c r="D34">
        <v>20</v>
      </c>
      <c r="E34">
        <v>3343</v>
      </c>
      <c r="F34">
        <v>0.77</v>
      </c>
      <c r="G34" s="30">
        <f t="shared" si="0"/>
        <v>167.15</v>
      </c>
      <c r="H34" s="26">
        <f t="shared" si="1"/>
        <v>3.85E-2</v>
      </c>
    </row>
    <row r="35" spans="2:8">
      <c r="B35" t="s">
        <v>2565</v>
      </c>
      <c r="C35" t="s">
        <v>2564</v>
      </c>
      <c r="D35">
        <v>1</v>
      </c>
      <c r="E35">
        <v>167</v>
      </c>
      <c r="F35">
        <v>0.04</v>
      </c>
      <c r="G35" s="30">
        <f t="shared" ref="G35:G66" si="2">E35/$D35</f>
        <v>167</v>
      </c>
      <c r="H35" s="26">
        <f t="shared" ref="H35:H66" si="3">F35/$D35</f>
        <v>0.04</v>
      </c>
    </row>
    <row r="36" spans="2:8">
      <c r="B36" t="s">
        <v>2565</v>
      </c>
      <c r="C36" t="s">
        <v>2564</v>
      </c>
      <c r="D36">
        <v>12</v>
      </c>
      <c r="E36">
        <v>2006</v>
      </c>
      <c r="F36">
        <v>0.46</v>
      </c>
      <c r="G36" s="30">
        <f t="shared" si="2"/>
        <v>167.16666666666666</v>
      </c>
      <c r="H36" s="26">
        <f t="shared" si="3"/>
        <v>3.8333333333333337E-2</v>
      </c>
    </row>
    <row r="37" spans="2:8">
      <c r="B37" t="s">
        <v>2565</v>
      </c>
      <c r="C37" t="s">
        <v>2564</v>
      </c>
      <c r="D37">
        <v>9</v>
      </c>
      <c r="E37">
        <v>1504</v>
      </c>
      <c r="F37">
        <v>0.35</v>
      </c>
      <c r="G37" s="30">
        <f t="shared" si="2"/>
        <v>167.11111111111111</v>
      </c>
      <c r="H37" s="26">
        <f t="shared" si="3"/>
        <v>3.888888888888889E-2</v>
      </c>
    </row>
    <row r="38" spans="2:8">
      <c r="B38" t="s">
        <v>2565</v>
      </c>
      <c r="C38" t="s">
        <v>2564</v>
      </c>
      <c r="D38">
        <v>94</v>
      </c>
      <c r="E38">
        <v>15711</v>
      </c>
      <c r="F38">
        <v>3.62</v>
      </c>
      <c r="G38" s="30">
        <f t="shared" si="2"/>
        <v>167.13829787234042</v>
      </c>
      <c r="H38" s="26">
        <f t="shared" si="3"/>
        <v>3.8510638297872345E-2</v>
      </c>
    </row>
    <row r="39" spans="2:8">
      <c r="B39" t="s">
        <v>2565</v>
      </c>
      <c r="C39" t="s">
        <v>2564</v>
      </c>
      <c r="D39">
        <v>5</v>
      </c>
      <c r="E39">
        <v>836</v>
      </c>
      <c r="F39">
        <v>0.19</v>
      </c>
      <c r="G39" s="30">
        <f t="shared" si="2"/>
        <v>167.2</v>
      </c>
      <c r="H39" s="26">
        <f t="shared" si="3"/>
        <v>3.7999999999999999E-2</v>
      </c>
    </row>
    <row r="40" spans="2:8">
      <c r="B40" t="s">
        <v>2565</v>
      </c>
      <c r="C40" t="s">
        <v>2564</v>
      </c>
      <c r="D40">
        <v>70</v>
      </c>
      <c r="E40">
        <v>11700</v>
      </c>
      <c r="F40">
        <v>2.69</v>
      </c>
      <c r="G40" s="30">
        <f t="shared" si="2"/>
        <v>167.14285714285714</v>
      </c>
      <c r="H40" s="26">
        <f t="shared" si="3"/>
        <v>3.842857142857143E-2</v>
      </c>
    </row>
    <row r="41" spans="2:8">
      <c r="B41" t="s">
        <v>2566</v>
      </c>
      <c r="C41" t="s">
        <v>2564</v>
      </c>
      <c r="D41">
        <v>19</v>
      </c>
      <c r="E41">
        <v>34703</v>
      </c>
      <c r="F41">
        <v>0</v>
      </c>
      <c r="G41" s="30">
        <f t="shared" si="2"/>
        <v>1826.4736842105262</v>
      </c>
      <c r="H41" s="26">
        <f t="shared" si="3"/>
        <v>0</v>
      </c>
    </row>
    <row r="42" spans="2:8">
      <c r="B42" t="s">
        <v>2566</v>
      </c>
      <c r="C42" t="s">
        <v>2564</v>
      </c>
      <c r="D42">
        <v>20</v>
      </c>
      <c r="E42">
        <v>36529</v>
      </c>
      <c r="F42">
        <v>0</v>
      </c>
      <c r="G42" s="30">
        <f t="shared" si="2"/>
        <v>1826.45</v>
      </c>
      <c r="H42" s="26">
        <f t="shared" si="3"/>
        <v>0</v>
      </c>
    </row>
    <row r="43" spans="2:8">
      <c r="B43" t="s">
        <v>2566</v>
      </c>
      <c r="C43" t="s">
        <v>2564</v>
      </c>
      <c r="D43">
        <v>73</v>
      </c>
      <c r="E43">
        <v>133332</v>
      </c>
      <c r="F43">
        <v>0</v>
      </c>
      <c r="G43" s="30">
        <f t="shared" si="2"/>
        <v>1826.4657534246576</v>
      </c>
      <c r="H43" s="26">
        <f t="shared" si="3"/>
        <v>0</v>
      </c>
    </row>
    <row r="44" spans="2:8">
      <c r="B44" t="s">
        <v>2567</v>
      </c>
      <c r="C44" t="s">
        <v>2564</v>
      </c>
      <c r="D44">
        <v>20</v>
      </c>
      <c r="E44">
        <v>14454</v>
      </c>
      <c r="F44">
        <v>0</v>
      </c>
      <c r="G44" s="30">
        <f t="shared" si="2"/>
        <v>722.7</v>
      </c>
      <c r="H44" s="26">
        <f t="shared" si="3"/>
        <v>0</v>
      </c>
    </row>
    <row r="45" spans="2:8">
      <c r="B45" t="s">
        <v>2568</v>
      </c>
      <c r="C45" t="s">
        <v>2564</v>
      </c>
      <c r="D45">
        <v>2</v>
      </c>
      <c r="E45">
        <v>609</v>
      </c>
      <c r="F45">
        <v>0.09</v>
      </c>
      <c r="G45" s="30">
        <f t="shared" si="2"/>
        <v>304.5</v>
      </c>
      <c r="H45" s="26">
        <f t="shared" si="3"/>
        <v>4.4999999999999998E-2</v>
      </c>
    </row>
    <row r="46" spans="2:8">
      <c r="B46" t="s">
        <v>2568</v>
      </c>
      <c r="C46" t="s">
        <v>2564</v>
      </c>
      <c r="D46">
        <v>7</v>
      </c>
      <c r="E46">
        <v>2130</v>
      </c>
      <c r="F46">
        <v>0.33</v>
      </c>
      <c r="G46" s="30">
        <f t="shared" si="2"/>
        <v>304.28571428571428</v>
      </c>
      <c r="H46" s="26">
        <f t="shared" si="3"/>
        <v>4.7142857142857146E-2</v>
      </c>
    </row>
    <row r="47" spans="2:8">
      <c r="B47" t="s">
        <v>2568</v>
      </c>
      <c r="C47" t="s">
        <v>2564</v>
      </c>
      <c r="D47">
        <v>12</v>
      </c>
      <c r="E47">
        <v>3652</v>
      </c>
      <c r="F47">
        <v>0.56999999999999995</v>
      </c>
      <c r="G47" s="30">
        <f t="shared" si="2"/>
        <v>304.33333333333331</v>
      </c>
      <c r="H47" s="26">
        <f t="shared" si="3"/>
        <v>4.7499999999999994E-2</v>
      </c>
    </row>
    <row r="48" spans="2:8">
      <c r="B48" t="s">
        <v>2568</v>
      </c>
      <c r="C48" t="s">
        <v>2564</v>
      </c>
      <c r="D48">
        <v>5</v>
      </c>
      <c r="E48">
        <v>1522</v>
      </c>
      <c r="F48">
        <v>0.24</v>
      </c>
      <c r="G48" s="30">
        <f t="shared" si="2"/>
        <v>304.39999999999998</v>
      </c>
      <c r="H48" s="26">
        <f t="shared" si="3"/>
        <v>4.8000000000000001E-2</v>
      </c>
    </row>
    <row r="49" spans="2:8">
      <c r="B49" t="s">
        <v>2568</v>
      </c>
      <c r="C49" t="s">
        <v>2564</v>
      </c>
      <c r="D49">
        <v>8</v>
      </c>
      <c r="E49">
        <v>2434</v>
      </c>
      <c r="F49">
        <v>0.38</v>
      </c>
      <c r="G49" s="30">
        <f t="shared" si="2"/>
        <v>304.25</v>
      </c>
      <c r="H49" s="26">
        <f t="shared" si="3"/>
        <v>4.7500000000000001E-2</v>
      </c>
    </row>
    <row r="50" spans="2:8">
      <c r="B50" t="s">
        <v>2568</v>
      </c>
      <c r="C50" t="s">
        <v>2564</v>
      </c>
      <c r="D50">
        <v>15</v>
      </c>
      <c r="E50">
        <v>4565</v>
      </c>
      <c r="F50">
        <v>0.71</v>
      </c>
      <c r="G50" s="30">
        <f t="shared" si="2"/>
        <v>304.33333333333331</v>
      </c>
      <c r="H50" s="26">
        <f t="shared" si="3"/>
        <v>4.7333333333333331E-2</v>
      </c>
    </row>
    <row r="51" spans="2:8">
      <c r="B51" t="s">
        <v>2568</v>
      </c>
      <c r="C51" t="s">
        <v>2564</v>
      </c>
      <c r="D51">
        <v>52</v>
      </c>
      <c r="E51">
        <v>15824</v>
      </c>
      <c r="F51">
        <v>2.4500000000000002</v>
      </c>
      <c r="G51" s="30">
        <f t="shared" si="2"/>
        <v>304.30769230769232</v>
      </c>
      <c r="H51" s="26">
        <f t="shared" si="3"/>
        <v>4.7115384615384621E-2</v>
      </c>
    </row>
    <row r="52" spans="2:8">
      <c r="B52" t="s">
        <v>2569</v>
      </c>
      <c r="C52" t="s">
        <v>2570</v>
      </c>
      <c r="D52">
        <v>8817</v>
      </c>
      <c r="E52">
        <v>10140</v>
      </c>
      <c r="F52">
        <v>1.1599999999999999</v>
      </c>
      <c r="G52" s="30">
        <f t="shared" si="2"/>
        <v>1.1500510377679483</v>
      </c>
      <c r="H52" s="26">
        <f t="shared" si="3"/>
        <v>1.3156402404445957E-4</v>
      </c>
    </row>
    <row r="53" spans="2:8">
      <c r="B53" t="s">
        <v>2569</v>
      </c>
      <c r="C53" t="s">
        <v>2570</v>
      </c>
      <c r="D53">
        <v>10097</v>
      </c>
      <c r="E53">
        <v>11612</v>
      </c>
      <c r="F53">
        <v>1.32</v>
      </c>
      <c r="G53" s="30">
        <f t="shared" si="2"/>
        <v>1.1500445676933744</v>
      </c>
      <c r="H53" s="26">
        <f t="shared" si="3"/>
        <v>1.3073190056452411E-4</v>
      </c>
    </row>
    <row r="54" spans="2:8">
      <c r="B54" t="s">
        <v>2569</v>
      </c>
      <c r="C54" t="s">
        <v>2570</v>
      </c>
      <c r="D54">
        <v>6263</v>
      </c>
      <c r="E54">
        <v>7202</v>
      </c>
      <c r="F54">
        <v>0.82</v>
      </c>
      <c r="G54" s="30">
        <f t="shared" si="2"/>
        <v>1.1499281494491458</v>
      </c>
      <c r="H54" s="26">
        <f t="shared" si="3"/>
        <v>1.3092767044547342E-4</v>
      </c>
    </row>
    <row r="55" spans="2:8">
      <c r="B55" t="s">
        <v>2569</v>
      </c>
      <c r="C55" t="s">
        <v>2570</v>
      </c>
      <c r="D55">
        <v>8804</v>
      </c>
      <c r="E55">
        <v>10125</v>
      </c>
      <c r="F55">
        <v>1.1499999999999999</v>
      </c>
      <c r="G55" s="30">
        <f t="shared" si="2"/>
        <v>1.1500454338936847</v>
      </c>
      <c r="H55" s="26">
        <f t="shared" si="3"/>
        <v>1.3062244434348022E-4</v>
      </c>
    </row>
    <row r="56" spans="2:8">
      <c r="B56" t="s">
        <v>2569</v>
      </c>
      <c r="C56" t="s">
        <v>2570</v>
      </c>
      <c r="D56">
        <v>3385</v>
      </c>
      <c r="E56">
        <v>3893</v>
      </c>
      <c r="F56">
        <v>0.44</v>
      </c>
      <c r="G56" s="30">
        <f t="shared" si="2"/>
        <v>1.1500738552437224</v>
      </c>
      <c r="H56" s="26">
        <f t="shared" si="3"/>
        <v>1.2998522895125555E-4</v>
      </c>
    </row>
    <row r="57" spans="2:8">
      <c r="B57" t="s">
        <v>2571</v>
      </c>
      <c r="C57" t="s">
        <v>2564</v>
      </c>
      <c r="D57">
        <v>71</v>
      </c>
      <c r="E57">
        <v>29854</v>
      </c>
      <c r="F57">
        <v>0</v>
      </c>
      <c r="G57" s="30">
        <f t="shared" si="2"/>
        <v>420.47887323943661</v>
      </c>
      <c r="H57" s="26">
        <f t="shared" si="3"/>
        <v>0</v>
      </c>
    </row>
    <row r="58" spans="2:8">
      <c r="B58" t="s">
        <v>2571</v>
      </c>
      <c r="C58" t="s">
        <v>2564</v>
      </c>
      <c r="D58">
        <v>18</v>
      </c>
      <c r="E58">
        <v>7569</v>
      </c>
      <c r="F58">
        <v>0</v>
      </c>
      <c r="G58" s="30">
        <f t="shared" si="2"/>
        <v>420.5</v>
      </c>
      <c r="H58" s="26">
        <f t="shared" si="3"/>
        <v>0</v>
      </c>
    </row>
    <row r="59" spans="2:8">
      <c r="B59" t="s">
        <v>2571</v>
      </c>
      <c r="C59" t="s">
        <v>2564</v>
      </c>
      <c r="D59">
        <v>20</v>
      </c>
      <c r="E59">
        <v>8410</v>
      </c>
      <c r="F59">
        <v>0</v>
      </c>
      <c r="G59" s="30">
        <f t="shared" si="2"/>
        <v>420.5</v>
      </c>
      <c r="H59" s="26">
        <f t="shared" si="3"/>
        <v>0</v>
      </c>
    </row>
    <row r="60" spans="2:8">
      <c r="B60" t="s">
        <v>2571</v>
      </c>
      <c r="C60" t="s">
        <v>2564</v>
      </c>
      <c r="D60">
        <v>12</v>
      </c>
      <c r="E60">
        <v>5046</v>
      </c>
      <c r="F60">
        <v>0</v>
      </c>
      <c r="G60" s="30">
        <f t="shared" si="2"/>
        <v>420.5</v>
      </c>
      <c r="H60" s="26">
        <f t="shared" si="3"/>
        <v>0</v>
      </c>
    </row>
    <row r="61" spans="2:8">
      <c r="B61" t="s">
        <v>2571</v>
      </c>
      <c r="C61" t="s">
        <v>2564</v>
      </c>
      <c r="D61">
        <v>2</v>
      </c>
      <c r="E61">
        <v>841</v>
      </c>
      <c r="F61">
        <v>0</v>
      </c>
      <c r="G61" s="30">
        <f t="shared" si="2"/>
        <v>420.5</v>
      </c>
      <c r="H61" s="26">
        <f t="shared" si="3"/>
        <v>0</v>
      </c>
    </row>
    <row r="62" spans="2:8">
      <c r="B62" t="s">
        <v>2571</v>
      </c>
      <c r="C62" t="s">
        <v>2564</v>
      </c>
      <c r="D62">
        <v>2</v>
      </c>
      <c r="E62">
        <v>841</v>
      </c>
      <c r="F62">
        <v>0</v>
      </c>
      <c r="G62" s="30">
        <f t="shared" si="2"/>
        <v>420.5</v>
      </c>
      <c r="H62" s="26">
        <f t="shared" si="3"/>
        <v>0</v>
      </c>
    </row>
    <row r="63" spans="2:8">
      <c r="B63" t="s">
        <v>2571</v>
      </c>
      <c r="C63" t="s">
        <v>2564</v>
      </c>
      <c r="D63">
        <v>20</v>
      </c>
      <c r="E63">
        <v>8410</v>
      </c>
      <c r="F63">
        <v>0</v>
      </c>
      <c r="G63" s="30">
        <f t="shared" si="2"/>
        <v>420.5</v>
      </c>
      <c r="H63" s="26">
        <f t="shared" si="3"/>
        <v>0</v>
      </c>
    </row>
    <row r="64" spans="2:8">
      <c r="B64" t="s">
        <v>2571</v>
      </c>
      <c r="C64" t="s">
        <v>2564</v>
      </c>
      <c r="D64">
        <v>205</v>
      </c>
      <c r="E64">
        <v>86198</v>
      </c>
      <c r="F64">
        <v>0</v>
      </c>
      <c r="G64" s="30">
        <f t="shared" si="2"/>
        <v>420.47804878048782</v>
      </c>
      <c r="H64" s="26">
        <f t="shared" si="3"/>
        <v>0</v>
      </c>
    </row>
    <row r="65" spans="2:8">
      <c r="B65" t="s">
        <v>2571</v>
      </c>
      <c r="C65" t="s">
        <v>2564</v>
      </c>
      <c r="D65">
        <v>5</v>
      </c>
      <c r="E65">
        <v>2102</v>
      </c>
      <c r="F65">
        <v>0</v>
      </c>
      <c r="G65" s="30">
        <f t="shared" si="2"/>
        <v>420.4</v>
      </c>
      <c r="H65" s="26">
        <f t="shared" si="3"/>
        <v>0</v>
      </c>
    </row>
    <row r="66" spans="2:8">
      <c r="B66" t="s">
        <v>2571</v>
      </c>
      <c r="C66" t="s">
        <v>2564</v>
      </c>
      <c r="D66">
        <v>2</v>
      </c>
      <c r="E66">
        <v>841</v>
      </c>
      <c r="F66">
        <v>0</v>
      </c>
      <c r="G66" s="30">
        <f t="shared" si="2"/>
        <v>420.5</v>
      </c>
      <c r="H66" s="26">
        <f t="shared" si="3"/>
        <v>0</v>
      </c>
    </row>
    <row r="67" spans="2:8">
      <c r="B67" t="s">
        <v>2571</v>
      </c>
      <c r="C67" t="s">
        <v>2564</v>
      </c>
      <c r="D67">
        <v>10</v>
      </c>
      <c r="E67">
        <v>4205</v>
      </c>
      <c r="F67">
        <v>0</v>
      </c>
      <c r="G67" s="30">
        <f t="shared" ref="G67:G98" si="4">E67/$D67</f>
        <v>420.5</v>
      </c>
      <c r="H67" s="26">
        <f t="shared" ref="H67:H98" si="5">F67/$D67</f>
        <v>0</v>
      </c>
    </row>
    <row r="68" spans="2:8">
      <c r="B68" t="s">
        <v>2571</v>
      </c>
      <c r="C68" t="s">
        <v>2564</v>
      </c>
      <c r="D68">
        <v>30</v>
      </c>
      <c r="E68">
        <v>12614</v>
      </c>
      <c r="F68">
        <v>0</v>
      </c>
      <c r="G68" s="30">
        <f t="shared" si="4"/>
        <v>420.46666666666664</v>
      </c>
      <c r="H68" s="26">
        <f t="shared" si="5"/>
        <v>0</v>
      </c>
    </row>
    <row r="69" spans="2:8">
      <c r="B69" t="s">
        <v>2572</v>
      </c>
      <c r="C69" t="s">
        <v>2564</v>
      </c>
      <c r="D69">
        <v>4366</v>
      </c>
      <c r="E69">
        <v>909656</v>
      </c>
      <c r="F69">
        <v>193.64</v>
      </c>
      <c r="G69" s="30">
        <f t="shared" si="4"/>
        <v>208.3499770957398</v>
      </c>
      <c r="H69" s="26">
        <f t="shared" si="5"/>
        <v>4.4351809436555194E-2</v>
      </c>
    </row>
    <row r="70" spans="2:8">
      <c r="B70" t="s">
        <v>2572</v>
      </c>
      <c r="C70" t="s">
        <v>2564</v>
      </c>
      <c r="D70">
        <v>20</v>
      </c>
      <c r="E70">
        <v>4167</v>
      </c>
      <c r="F70">
        <v>0.89</v>
      </c>
      <c r="G70" s="30">
        <f t="shared" si="4"/>
        <v>208.35</v>
      </c>
      <c r="H70" s="26">
        <f t="shared" si="5"/>
        <v>4.4499999999999998E-2</v>
      </c>
    </row>
    <row r="71" spans="2:8">
      <c r="B71" t="s">
        <v>2572</v>
      </c>
      <c r="C71" t="s">
        <v>2564</v>
      </c>
      <c r="D71">
        <v>48</v>
      </c>
      <c r="E71">
        <v>10001</v>
      </c>
      <c r="F71">
        <v>2.13</v>
      </c>
      <c r="G71" s="30">
        <f t="shared" si="4"/>
        <v>208.35416666666666</v>
      </c>
      <c r="H71" s="26">
        <f t="shared" si="5"/>
        <v>4.4374999999999998E-2</v>
      </c>
    </row>
    <row r="72" spans="2:8">
      <c r="B72" t="s">
        <v>2572</v>
      </c>
      <c r="C72" t="s">
        <v>2564</v>
      </c>
      <c r="D72">
        <v>171</v>
      </c>
      <c r="E72">
        <v>35628</v>
      </c>
      <c r="F72">
        <v>7.58</v>
      </c>
      <c r="G72" s="30">
        <f t="shared" si="4"/>
        <v>208.35087719298247</v>
      </c>
      <c r="H72" s="26">
        <f t="shared" si="5"/>
        <v>4.4327485380116959E-2</v>
      </c>
    </row>
    <row r="73" spans="2:8">
      <c r="B73" t="s">
        <v>2573</v>
      </c>
      <c r="C73" t="s">
        <v>2564</v>
      </c>
      <c r="D73">
        <v>10</v>
      </c>
      <c r="E73">
        <v>9198</v>
      </c>
      <c r="F73">
        <v>0</v>
      </c>
      <c r="G73" s="30">
        <f t="shared" si="4"/>
        <v>919.8</v>
      </c>
      <c r="H73" s="26">
        <f t="shared" si="5"/>
        <v>0</v>
      </c>
    </row>
    <row r="74" spans="2:8">
      <c r="B74" t="s">
        <v>2573</v>
      </c>
      <c r="C74" t="s">
        <v>2564</v>
      </c>
      <c r="D74">
        <v>36</v>
      </c>
      <c r="E74">
        <v>33113</v>
      </c>
      <c r="F74">
        <v>0</v>
      </c>
      <c r="G74" s="30">
        <f t="shared" si="4"/>
        <v>919.80555555555554</v>
      </c>
      <c r="H74" s="26">
        <f t="shared" si="5"/>
        <v>0</v>
      </c>
    </row>
    <row r="75" spans="2:8">
      <c r="B75" t="s">
        <v>2573</v>
      </c>
      <c r="C75" t="s">
        <v>2564</v>
      </c>
      <c r="D75">
        <v>16</v>
      </c>
      <c r="E75">
        <v>14717</v>
      </c>
      <c r="F75">
        <v>0</v>
      </c>
      <c r="G75" s="30">
        <f t="shared" si="4"/>
        <v>919.8125</v>
      </c>
      <c r="H75" s="26">
        <f t="shared" si="5"/>
        <v>0</v>
      </c>
    </row>
    <row r="76" spans="2:8">
      <c r="B76" t="s">
        <v>2573</v>
      </c>
      <c r="C76" t="s">
        <v>2564</v>
      </c>
      <c r="D76">
        <v>1</v>
      </c>
      <c r="E76">
        <v>920</v>
      </c>
      <c r="F76">
        <v>0</v>
      </c>
      <c r="G76" s="30">
        <f t="shared" si="4"/>
        <v>920</v>
      </c>
      <c r="H76" s="26">
        <f t="shared" si="5"/>
        <v>0</v>
      </c>
    </row>
    <row r="77" spans="2:8">
      <c r="B77" t="s">
        <v>2573</v>
      </c>
      <c r="C77" t="s">
        <v>2564</v>
      </c>
      <c r="D77">
        <v>2</v>
      </c>
      <c r="E77">
        <v>1840</v>
      </c>
      <c r="F77">
        <v>0</v>
      </c>
      <c r="G77" s="30">
        <f t="shared" si="4"/>
        <v>920</v>
      </c>
      <c r="H77" s="26">
        <f t="shared" si="5"/>
        <v>0</v>
      </c>
    </row>
    <row r="78" spans="2:8">
      <c r="B78" t="s">
        <v>2573</v>
      </c>
      <c r="C78" t="s">
        <v>2564</v>
      </c>
      <c r="D78">
        <v>8</v>
      </c>
      <c r="E78">
        <v>7358</v>
      </c>
      <c r="F78">
        <v>0</v>
      </c>
      <c r="G78" s="30">
        <f t="shared" si="4"/>
        <v>919.75</v>
      </c>
      <c r="H78" s="26">
        <f t="shared" si="5"/>
        <v>0</v>
      </c>
    </row>
    <row r="79" spans="2:8">
      <c r="B79" t="s">
        <v>2573</v>
      </c>
      <c r="C79" t="s">
        <v>2564</v>
      </c>
      <c r="D79">
        <v>2</v>
      </c>
      <c r="E79">
        <v>1840</v>
      </c>
      <c r="F79">
        <v>0</v>
      </c>
      <c r="G79" s="30">
        <f t="shared" si="4"/>
        <v>920</v>
      </c>
      <c r="H79" s="26">
        <f t="shared" si="5"/>
        <v>0</v>
      </c>
    </row>
    <row r="80" spans="2:8">
      <c r="B80" t="s">
        <v>2573</v>
      </c>
      <c r="C80" t="s">
        <v>2564</v>
      </c>
      <c r="D80">
        <v>5</v>
      </c>
      <c r="E80">
        <v>4599</v>
      </c>
      <c r="F80">
        <v>0</v>
      </c>
      <c r="G80" s="30">
        <f t="shared" si="4"/>
        <v>919.8</v>
      </c>
      <c r="H80" s="26">
        <f t="shared" si="5"/>
        <v>0</v>
      </c>
    </row>
    <row r="81" spans="2:8">
      <c r="B81" t="s">
        <v>2573</v>
      </c>
      <c r="C81" t="s">
        <v>2564</v>
      </c>
      <c r="D81">
        <v>26</v>
      </c>
      <c r="E81">
        <v>23915</v>
      </c>
      <c r="F81">
        <v>0</v>
      </c>
      <c r="G81" s="30">
        <f t="shared" si="4"/>
        <v>919.80769230769226</v>
      </c>
      <c r="H81" s="26">
        <f t="shared" si="5"/>
        <v>0</v>
      </c>
    </row>
    <row r="82" spans="2:8">
      <c r="B82" t="s">
        <v>2574</v>
      </c>
      <c r="C82" t="s">
        <v>2575</v>
      </c>
      <c r="D82">
        <v>40</v>
      </c>
      <c r="E82">
        <v>1485</v>
      </c>
      <c r="F82">
        <v>0.45</v>
      </c>
      <c r="G82" s="30">
        <f t="shared" si="4"/>
        <v>37.125</v>
      </c>
      <c r="H82" s="26">
        <f t="shared" si="5"/>
        <v>1.125E-2</v>
      </c>
    </row>
    <row r="83" spans="2:8">
      <c r="B83" t="s">
        <v>2576</v>
      </c>
      <c r="C83" t="s">
        <v>2577</v>
      </c>
      <c r="D83">
        <v>284</v>
      </c>
      <c r="E83">
        <v>46141</v>
      </c>
      <c r="F83">
        <v>22.29</v>
      </c>
      <c r="G83" s="144">
        <f t="shared" si="4"/>
        <v>162.46830985915494</v>
      </c>
      <c r="H83" s="26">
        <f t="shared" si="5"/>
        <v>7.8485915492957747E-2</v>
      </c>
    </row>
    <row r="84" spans="2:8">
      <c r="B84" t="s">
        <v>2576</v>
      </c>
      <c r="C84" t="s">
        <v>2577</v>
      </c>
      <c r="D84">
        <v>78</v>
      </c>
      <c r="E84">
        <v>12673</v>
      </c>
      <c r="F84">
        <v>6.12</v>
      </c>
      <c r="G84" s="144">
        <f t="shared" si="4"/>
        <v>162.47435897435898</v>
      </c>
      <c r="H84" s="26">
        <f t="shared" si="5"/>
        <v>7.8461538461538458E-2</v>
      </c>
    </row>
    <row r="85" spans="2:8">
      <c r="B85" t="s">
        <v>2578</v>
      </c>
      <c r="C85" t="s">
        <v>2577</v>
      </c>
      <c r="D85">
        <v>1978</v>
      </c>
      <c r="E85">
        <v>253785</v>
      </c>
      <c r="F85">
        <v>106.49</v>
      </c>
      <c r="G85" s="144">
        <f t="shared" si="4"/>
        <v>128.30384226491407</v>
      </c>
      <c r="H85" s="26">
        <f t="shared" si="5"/>
        <v>5.3837209302325578E-2</v>
      </c>
    </row>
    <row r="86" spans="2:8">
      <c r="B86" t="s">
        <v>2579</v>
      </c>
      <c r="C86" t="s">
        <v>2575</v>
      </c>
      <c r="D86">
        <v>1</v>
      </c>
      <c r="E86">
        <v>364</v>
      </c>
      <c r="F86">
        <v>0.09</v>
      </c>
      <c r="G86" s="144">
        <f t="shared" si="4"/>
        <v>364</v>
      </c>
      <c r="H86" s="26">
        <f t="shared" si="5"/>
        <v>0.09</v>
      </c>
    </row>
    <row r="87" spans="2:8">
      <c r="B87" t="s">
        <v>2580</v>
      </c>
      <c r="C87" t="s">
        <v>2575</v>
      </c>
      <c r="D87">
        <v>12</v>
      </c>
      <c r="E87">
        <v>7194</v>
      </c>
      <c r="F87">
        <v>1.5</v>
      </c>
      <c r="G87" s="144">
        <f t="shared" si="4"/>
        <v>599.5</v>
      </c>
      <c r="H87" s="26">
        <f t="shared" si="5"/>
        <v>0.125</v>
      </c>
    </row>
    <row r="88" spans="2:8">
      <c r="B88" t="s">
        <v>2581</v>
      </c>
      <c r="C88" t="s">
        <v>2575</v>
      </c>
      <c r="D88">
        <v>24</v>
      </c>
      <c r="E88">
        <v>14586</v>
      </c>
      <c r="F88">
        <v>3.19</v>
      </c>
      <c r="G88" s="144">
        <f t="shared" si="4"/>
        <v>607.75</v>
      </c>
      <c r="H88" s="26">
        <f t="shared" si="5"/>
        <v>0.13291666666666666</v>
      </c>
    </row>
    <row r="89" spans="2:8">
      <c r="B89" t="s">
        <v>2582</v>
      </c>
      <c r="C89" t="s">
        <v>2575</v>
      </c>
      <c r="D89">
        <v>33</v>
      </c>
      <c r="E89">
        <v>15582</v>
      </c>
      <c r="F89">
        <v>4.08</v>
      </c>
      <c r="G89" s="144">
        <f t="shared" si="4"/>
        <v>472.18181818181819</v>
      </c>
      <c r="H89" s="26">
        <f t="shared" si="5"/>
        <v>0.12363636363636364</v>
      </c>
    </row>
    <row r="90" spans="2:8">
      <c r="B90" t="s">
        <v>2582</v>
      </c>
      <c r="C90" t="s">
        <v>2575</v>
      </c>
      <c r="D90">
        <v>12</v>
      </c>
      <c r="E90">
        <v>5666</v>
      </c>
      <c r="F90">
        <v>1.48</v>
      </c>
      <c r="G90" s="144">
        <f t="shared" si="4"/>
        <v>472.16666666666669</v>
      </c>
      <c r="H90" s="26">
        <f t="shared" si="5"/>
        <v>0.12333333333333334</v>
      </c>
    </row>
    <row r="91" spans="2:8">
      <c r="B91" t="s">
        <v>2583</v>
      </c>
      <c r="C91" t="s">
        <v>2575</v>
      </c>
      <c r="D91">
        <v>95</v>
      </c>
      <c r="E91">
        <v>41100</v>
      </c>
      <c r="F91">
        <v>11.54</v>
      </c>
      <c r="G91" s="144">
        <f t="shared" si="4"/>
        <v>432.63157894736844</v>
      </c>
      <c r="H91" s="26">
        <f t="shared" si="5"/>
        <v>0.1214736842105263</v>
      </c>
    </row>
    <row r="92" spans="2:8">
      <c r="B92" t="s">
        <v>2583</v>
      </c>
      <c r="C92" t="s">
        <v>2575</v>
      </c>
      <c r="D92">
        <v>30</v>
      </c>
      <c r="E92">
        <v>12979</v>
      </c>
      <c r="F92">
        <v>3.64</v>
      </c>
      <c r="G92" s="144">
        <f t="shared" si="4"/>
        <v>432.63333333333333</v>
      </c>
      <c r="H92" s="26">
        <f t="shared" si="5"/>
        <v>0.12133333333333333</v>
      </c>
    </row>
    <row r="93" spans="2:8">
      <c r="B93" t="s">
        <v>2584</v>
      </c>
      <c r="C93" t="s">
        <v>2575</v>
      </c>
      <c r="D93">
        <v>98</v>
      </c>
      <c r="E93">
        <v>47720</v>
      </c>
      <c r="F93">
        <v>11.41</v>
      </c>
      <c r="G93" s="144">
        <f t="shared" si="4"/>
        <v>486.9387755102041</v>
      </c>
      <c r="H93" s="26">
        <f t="shared" si="5"/>
        <v>0.11642857142857144</v>
      </c>
    </row>
    <row r="94" spans="2:8">
      <c r="B94" t="s">
        <v>2584</v>
      </c>
      <c r="C94" t="s">
        <v>2575</v>
      </c>
      <c r="D94">
        <v>15</v>
      </c>
      <c r="E94">
        <v>7342</v>
      </c>
      <c r="F94">
        <v>1.76</v>
      </c>
      <c r="G94" s="144">
        <f t="shared" si="4"/>
        <v>489.46666666666664</v>
      </c>
      <c r="H94" s="26">
        <f t="shared" si="5"/>
        <v>0.11733333333333333</v>
      </c>
    </row>
    <row r="95" spans="2:8">
      <c r="B95" t="s">
        <v>2585</v>
      </c>
      <c r="C95" t="s">
        <v>2575</v>
      </c>
      <c r="D95">
        <v>50</v>
      </c>
      <c r="E95">
        <v>23221</v>
      </c>
      <c r="F95">
        <v>5.62</v>
      </c>
      <c r="G95" s="144">
        <f t="shared" si="4"/>
        <v>464.42</v>
      </c>
      <c r="H95" s="26">
        <f t="shared" si="5"/>
        <v>0.1124</v>
      </c>
    </row>
    <row r="96" spans="2:8">
      <c r="B96" t="s">
        <v>2585</v>
      </c>
      <c r="C96" t="s">
        <v>2575</v>
      </c>
      <c r="D96">
        <v>10</v>
      </c>
      <c r="E96">
        <v>4644</v>
      </c>
      <c r="F96">
        <v>1.1200000000000001</v>
      </c>
      <c r="G96" s="144">
        <f t="shared" si="4"/>
        <v>464.4</v>
      </c>
      <c r="H96" s="26">
        <f t="shared" si="5"/>
        <v>0.11200000000000002</v>
      </c>
    </row>
    <row r="97" spans="2:8">
      <c r="B97" t="s">
        <v>2586</v>
      </c>
      <c r="C97" t="s">
        <v>2575</v>
      </c>
      <c r="D97">
        <v>150</v>
      </c>
      <c r="E97">
        <v>72899</v>
      </c>
      <c r="F97">
        <v>17.43</v>
      </c>
      <c r="G97" s="144">
        <f t="shared" si="4"/>
        <v>485.99333333333334</v>
      </c>
      <c r="H97" s="26">
        <f t="shared" si="5"/>
        <v>0.1162</v>
      </c>
    </row>
    <row r="98" spans="2:8">
      <c r="B98" t="s">
        <v>2587</v>
      </c>
      <c r="C98" t="s">
        <v>2575</v>
      </c>
      <c r="D98">
        <v>40</v>
      </c>
      <c r="E98">
        <v>18532</v>
      </c>
      <c r="F98">
        <v>4.49</v>
      </c>
      <c r="G98" s="144">
        <f t="shared" si="4"/>
        <v>463.3</v>
      </c>
      <c r="H98" s="26">
        <f t="shared" si="5"/>
        <v>0.11225</v>
      </c>
    </row>
    <row r="99" spans="2:8">
      <c r="B99" t="s">
        <v>2587</v>
      </c>
      <c r="C99" t="s">
        <v>2575</v>
      </c>
      <c r="D99">
        <v>280</v>
      </c>
      <c r="E99">
        <v>129724</v>
      </c>
      <c r="F99">
        <v>31.41</v>
      </c>
      <c r="G99" s="144">
        <f t="shared" ref="G99:G112" si="6">E99/$D99</f>
        <v>463.3</v>
      </c>
      <c r="H99" s="26">
        <f t="shared" ref="H99:H112" si="7">F99/$D99</f>
        <v>0.11217857142857143</v>
      </c>
    </row>
    <row r="100" spans="2:8">
      <c r="B100" t="s">
        <v>2588</v>
      </c>
      <c r="C100" t="s">
        <v>2575</v>
      </c>
      <c r="D100">
        <v>100</v>
      </c>
      <c r="E100">
        <v>45845</v>
      </c>
      <c r="F100">
        <v>12.24</v>
      </c>
      <c r="G100" s="144">
        <f t="shared" si="6"/>
        <v>458.45</v>
      </c>
      <c r="H100" s="26">
        <f t="shared" si="7"/>
        <v>0.12240000000000001</v>
      </c>
    </row>
    <row r="101" spans="2:8">
      <c r="B101" t="s">
        <v>2589</v>
      </c>
      <c r="C101" t="s">
        <v>2575</v>
      </c>
      <c r="D101">
        <v>30</v>
      </c>
      <c r="E101">
        <v>13658</v>
      </c>
      <c r="F101">
        <v>3.56</v>
      </c>
      <c r="G101" s="144">
        <f t="shared" si="6"/>
        <v>455.26666666666665</v>
      </c>
      <c r="H101" s="26">
        <f t="shared" si="7"/>
        <v>0.11866666666666667</v>
      </c>
    </row>
    <row r="102" spans="2:8">
      <c r="B102" t="s">
        <v>2589</v>
      </c>
      <c r="C102" t="s">
        <v>2575</v>
      </c>
      <c r="D102">
        <v>30</v>
      </c>
      <c r="E102">
        <v>13658</v>
      </c>
      <c r="F102">
        <v>0</v>
      </c>
      <c r="G102" s="144">
        <f t="shared" si="6"/>
        <v>455.26666666666665</v>
      </c>
      <c r="H102" s="26">
        <f t="shared" si="7"/>
        <v>0</v>
      </c>
    </row>
    <row r="103" spans="2:8">
      <c r="B103" t="s">
        <v>2590</v>
      </c>
      <c r="C103" t="s">
        <v>2575</v>
      </c>
      <c r="D103">
        <v>120</v>
      </c>
      <c r="E103">
        <v>61238</v>
      </c>
      <c r="F103">
        <v>14.14</v>
      </c>
      <c r="G103" s="144">
        <f t="shared" si="6"/>
        <v>510.31666666666666</v>
      </c>
      <c r="H103" s="26">
        <f t="shared" si="7"/>
        <v>0.11783333333333333</v>
      </c>
    </row>
    <row r="104" spans="2:8">
      <c r="B104" t="s">
        <v>2591</v>
      </c>
      <c r="C104" t="s">
        <v>2575</v>
      </c>
      <c r="D104">
        <v>100</v>
      </c>
      <c r="E104">
        <v>63863</v>
      </c>
      <c r="F104">
        <v>11.36</v>
      </c>
      <c r="G104" s="144">
        <f t="shared" si="6"/>
        <v>638.63</v>
      </c>
      <c r="H104" s="26">
        <f t="shared" si="7"/>
        <v>0.11359999999999999</v>
      </c>
    </row>
    <row r="105" spans="2:8">
      <c r="B105" t="s">
        <v>2592</v>
      </c>
      <c r="C105" t="s">
        <v>2575</v>
      </c>
      <c r="D105">
        <v>400</v>
      </c>
      <c r="E105">
        <v>255452</v>
      </c>
      <c r="F105">
        <v>45.46</v>
      </c>
      <c r="G105" s="144">
        <f t="shared" si="6"/>
        <v>638.63</v>
      </c>
      <c r="H105" s="26">
        <f t="shared" si="7"/>
        <v>0.11365</v>
      </c>
    </row>
    <row r="106" spans="2:8">
      <c r="B106" t="s">
        <v>2593</v>
      </c>
      <c r="C106" t="s">
        <v>2575</v>
      </c>
      <c r="D106">
        <v>450</v>
      </c>
      <c r="E106">
        <v>287384</v>
      </c>
      <c r="F106">
        <v>51.14</v>
      </c>
      <c r="G106" s="144">
        <f t="shared" si="6"/>
        <v>638.63111111111107</v>
      </c>
      <c r="H106" s="26">
        <f t="shared" si="7"/>
        <v>0.11364444444444445</v>
      </c>
    </row>
    <row r="107" spans="2:8">
      <c r="B107" t="s">
        <v>2594</v>
      </c>
      <c r="C107" t="s">
        <v>2575</v>
      </c>
      <c r="D107">
        <v>750</v>
      </c>
      <c r="E107">
        <v>478973</v>
      </c>
      <c r="F107">
        <v>85.23</v>
      </c>
      <c r="G107" s="144">
        <f t="shared" si="6"/>
        <v>638.63066666666668</v>
      </c>
      <c r="H107" s="26">
        <f t="shared" si="7"/>
        <v>0.11364</v>
      </c>
    </row>
    <row r="108" spans="2:8">
      <c r="B108" t="s">
        <v>2595</v>
      </c>
      <c r="C108" t="s">
        <v>2564</v>
      </c>
      <c r="D108">
        <v>2</v>
      </c>
      <c r="E108">
        <v>24004</v>
      </c>
      <c r="F108">
        <v>6.74</v>
      </c>
      <c r="G108" s="144">
        <f>E108/$D108</f>
        <v>12002</v>
      </c>
      <c r="H108" s="26">
        <f t="shared" si="7"/>
        <v>3.37</v>
      </c>
    </row>
    <row r="109" spans="2:8">
      <c r="B109" t="s">
        <v>2596</v>
      </c>
      <c r="C109" t="s">
        <v>2564</v>
      </c>
      <c r="D109">
        <v>2</v>
      </c>
      <c r="E109">
        <v>8979</v>
      </c>
      <c r="F109">
        <v>3.01</v>
      </c>
      <c r="G109" s="144">
        <f t="shared" si="6"/>
        <v>4489.5</v>
      </c>
      <c r="H109" s="26">
        <f t="shared" si="7"/>
        <v>1.5049999999999999</v>
      </c>
    </row>
    <row r="110" spans="2:8">
      <c r="B110" t="s">
        <v>2597</v>
      </c>
      <c r="C110" t="s">
        <v>2575</v>
      </c>
      <c r="D110">
        <v>400</v>
      </c>
      <c r="E110">
        <v>10964</v>
      </c>
      <c r="F110">
        <v>2.72</v>
      </c>
      <c r="G110" s="144">
        <f t="shared" si="6"/>
        <v>27.41</v>
      </c>
      <c r="H110" s="26">
        <f t="shared" si="7"/>
        <v>6.8000000000000005E-3</v>
      </c>
    </row>
    <row r="111" spans="2:8">
      <c r="B111" t="s">
        <v>2598</v>
      </c>
      <c r="C111" t="s">
        <v>2575</v>
      </c>
      <c r="D111">
        <v>450</v>
      </c>
      <c r="E111">
        <v>12681</v>
      </c>
      <c r="F111">
        <v>1.61</v>
      </c>
      <c r="G111" s="144">
        <f t="shared" si="6"/>
        <v>28.18</v>
      </c>
      <c r="H111" s="26">
        <f t="shared" si="7"/>
        <v>3.5777777777777778E-3</v>
      </c>
    </row>
    <row r="112" spans="2:8">
      <c r="B112" t="s">
        <v>2599</v>
      </c>
      <c r="C112" t="s">
        <v>2575</v>
      </c>
      <c r="D112">
        <v>750</v>
      </c>
      <c r="E112">
        <v>21135</v>
      </c>
      <c r="F112">
        <v>2.69</v>
      </c>
      <c r="G112" s="144">
        <f t="shared" si="6"/>
        <v>28.18</v>
      </c>
      <c r="H112" s="26">
        <f t="shared" si="7"/>
        <v>3.5866666666666664E-3</v>
      </c>
    </row>
    <row r="113" spans="7:7">
      <c r="G113" s="144"/>
    </row>
    <row r="114" spans="7:7">
      <c r="G114" s="144"/>
    </row>
    <row r="115" spans="7:7">
      <c r="G115" s="144"/>
    </row>
    <row r="116" spans="7:7">
      <c r="G116" s="144"/>
    </row>
  </sheetData>
  <pageMargins left="0.7" right="0.7" top="0.75" bottom="0.75" header="0.3" footer="0.3"/>
  <pageSetup orientation="portrait" r:id="rId1"/>
  <headerFooter>
    <oddFooter>&amp;L&amp;1#&amp;"Calibri"&amp;14&amp;K000000Business Use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59999389629810485"/>
  </sheetPr>
  <dimension ref="A1:V106"/>
  <sheetViews>
    <sheetView zoomScale="85" zoomScaleNormal="85" workbookViewId="0">
      <selection activeCell="L61" sqref="L61"/>
    </sheetView>
  </sheetViews>
  <sheetFormatPr defaultColWidth="9.1796875" defaultRowHeight="14.5"/>
  <cols>
    <col min="1" max="1" width="5.26953125" customWidth="1"/>
    <col min="2" max="2" width="18.54296875" bestFit="1" customWidth="1"/>
    <col min="3" max="3" width="27.453125" customWidth="1"/>
    <col min="4" max="4" width="27.26953125" customWidth="1"/>
    <col min="5" max="5" width="27.7265625" customWidth="1"/>
    <col min="6" max="6" width="28" customWidth="1"/>
    <col min="7" max="7" width="23.7265625" customWidth="1"/>
    <col min="8" max="8" width="21.54296875" customWidth="1"/>
    <col min="9" max="9" width="18" customWidth="1"/>
    <col min="10" max="10" width="14.26953125" bestFit="1" customWidth="1"/>
    <col min="11" max="11" width="13.453125" bestFit="1" customWidth="1"/>
    <col min="12" max="12" width="15.26953125" bestFit="1" customWidth="1"/>
    <col min="13" max="13" width="11.7265625" customWidth="1"/>
    <col min="14" max="15" width="9.26953125" bestFit="1" customWidth="1"/>
    <col min="18" max="18" width="12.54296875" bestFit="1" customWidth="1"/>
    <col min="21" max="21" width="13.26953125" bestFit="1" customWidth="1"/>
  </cols>
  <sheetData>
    <row r="1" spans="1:8">
      <c r="A1" t="s">
        <v>2600</v>
      </c>
    </row>
    <row r="3" spans="1:8">
      <c r="A3" t="s">
        <v>316</v>
      </c>
    </row>
    <row r="4" spans="1:8">
      <c r="A4">
        <v>1</v>
      </c>
      <c r="B4" t="s">
        <v>2601</v>
      </c>
    </row>
    <row r="5" spans="1:8">
      <c r="A5">
        <v>2</v>
      </c>
      <c r="B5" t="s">
        <v>2602</v>
      </c>
    </row>
    <row r="9" spans="1:8">
      <c r="A9">
        <v>2</v>
      </c>
      <c r="B9" t="s">
        <v>2603</v>
      </c>
    </row>
    <row r="10" spans="1:8">
      <c r="A10">
        <v>3</v>
      </c>
      <c r="B10" t="s">
        <v>2604</v>
      </c>
    </row>
    <row r="11" spans="1:8">
      <c r="A11" t="s">
        <v>2605</v>
      </c>
    </row>
    <row r="12" spans="1:8">
      <c r="B12" s="462" t="s">
        <v>2606</v>
      </c>
      <c r="C12" s="462" t="s">
        <v>2607</v>
      </c>
      <c r="D12" s="462" t="s">
        <v>2608</v>
      </c>
      <c r="E12" s="462" t="s">
        <v>2609</v>
      </c>
      <c r="F12" s="462" t="s">
        <v>2610</v>
      </c>
      <c r="G12" s="462" t="s">
        <v>2611</v>
      </c>
      <c r="H12" s="462" t="s">
        <v>2612</v>
      </c>
    </row>
    <row r="13" spans="1:8">
      <c r="B13" s="462" t="s">
        <v>2613</v>
      </c>
      <c r="C13" s="465">
        <f>Q23</f>
        <v>8.5948048247054834E-2</v>
      </c>
      <c r="D13" s="465">
        <f>R24</f>
        <v>0.89275884210526313</v>
      </c>
      <c r="E13" s="465">
        <f>S23</f>
        <v>0.17189609649410967</v>
      </c>
      <c r="F13" s="465">
        <f>T24</f>
        <v>1.7855176842105263</v>
      </c>
      <c r="G13" s="466">
        <f>U23</f>
        <v>452739.11409395974</v>
      </c>
      <c r="H13" s="462">
        <f>V23</f>
        <v>5937.5</v>
      </c>
    </row>
    <row r="14" spans="1:8">
      <c r="B14" s="462" t="s">
        <v>2614</v>
      </c>
      <c r="C14" s="465"/>
      <c r="D14" s="465"/>
      <c r="E14" s="465">
        <f>F91</f>
        <v>0.16946671533012139</v>
      </c>
      <c r="F14" s="465"/>
      <c r="G14" s="466"/>
      <c r="H14" s="462"/>
    </row>
    <row r="15" spans="1:8">
      <c r="B15" s="462" t="s">
        <v>2615</v>
      </c>
      <c r="C15" s="465"/>
      <c r="D15" s="465"/>
      <c r="E15" s="465">
        <f>C105</f>
        <v>0.2</v>
      </c>
      <c r="F15" s="465">
        <f>C106</f>
        <v>3.03</v>
      </c>
      <c r="G15" s="466"/>
      <c r="H15" s="462"/>
    </row>
    <row r="16" spans="1:8">
      <c r="B16" s="462" t="s">
        <v>2616</v>
      </c>
      <c r="C16" s="465">
        <f>Q33</f>
        <v>0.12961929637526654</v>
      </c>
      <c r="D16" s="465"/>
      <c r="E16" s="465">
        <f t="shared" ref="E16" si="0">S33</f>
        <v>0.3132619250685349</v>
      </c>
      <c r="F16" s="465"/>
      <c r="G16" s="466">
        <f>U33</f>
        <v>1025937.5</v>
      </c>
      <c r="H16" s="462"/>
    </row>
    <row r="17" spans="1:22">
      <c r="B17" s="462" t="s">
        <v>2617</v>
      </c>
      <c r="C17" s="465">
        <f>E74</f>
        <v>6.6351339978492324E-2</v>
      </c>
      <c r="D17" s="465"/>
      <c r="E17" s="465">
        <f>D74</f>
        <v>0.25126902799083412</v>
      </c>
      <c r="F17" s="465"/>
      <c r="G17" s="466">
        <f>C73/F73</f>
        <v>95545.158692307683</v>
      </c>
      <c r="H17" s="462"/>
    </row>
    <row r="18" spans="1:22">
      <c r="B18" s="462" t="s">
        <v>846</v>
      </c>
      <c r="C18" s="465">
        <f>AVERAGE(C13:C17)</f>
        <v>9.3972894866937898E-2</v>
      </c>
      <c r="D18" s="465">
        <f>AVERAGE(D13:D17)</f>
        <v>0.89275884210526313</v>
      </c>
      <c r="E18" s="1299">
        <f>AVERAGE(E13:E17)</f>
        <v>0.22117875297672002</v>
      </c>
      <c r="F18" s="1299">
        <f t="shared" ref="F18" si="1">AVERAGE(F13:F17)</f>
        <v>2.4077588421052631</v>
      </c>
      <c r="G18" s="466">
        <f>AVERAGE(G13:G17)</f>
        <v>524740.59092875582</v>
      </c>
      <c r="H18" s="462">
        <f>AVERAGE(H13:H17)</f>
        <v>5937.5</v>
      </c>
    </row>
    <row r="21" spans="1:22">
      <c r="A21" t="s">
        <v>2618</v>
      </c>
    </row>
    <row r="22" spans="1:22">
      <c r="B22" s="467" t="s">
        <v>2619</v>
      </c>
      <c r="C22" s="467" t="s">
        <v>0</v>
      </c>
      <c r="D22" s="467" t="s">
        <v>2620</v>
      </c>
      <c r="E22" s="467" t="s">
        <v>1901</v>
      </c>
      <c r="F22" s="467" t="s">
        <v>2621</v>
      </c>
      <c r="G22" s="468" t="s">
        <v>949</v>
      </c>
      <c r="H22" s="468" t="s">
        <v>2313</v>
      </c>
      <c r="I22" s="469" t="s">
        <v>2622</v>
      </c>
      <c r="J22" s="469" t="s">
        <v>2623</v>
      </c>
      <c r="K22" s="470" t="s">
        <v>132</v>
      </c>
      <c r="L22" s="470" t="s">
        <v>1479</v>
      </c>
      <c r="M22" s="470" t="s">
        <v>2624</v>
      </c>
      <c r="N22" s="468" t="s">
        <v>2625</v>
      </c>
      <c r="O22" s="468" t="s">
        <v>2626</v>
      </c>
      <c r="Q22" t="s">
        <v>2607</v>
      </c>
      <c r="R22" t="s">
        <v>2608</v>
      </c>
      <c r="S22" t="s">
        <v>2609</v>
      </c>
      <c r="T22" t="s">
        <v>2610</v>
      </c>
      <c r="U22" t="s">
        <v>2611</v>
      </c>
      <c r="V22" t="s">
        <v>2612</v>
      </c>
    </row>
    <row r="23" spans="1:22">
      <c r="B23" s="462" t="s">
        <v>2627</v>
      </c>
      <c r="C23" s="462" t="s">
        <v>2628</v>
      </c>
      <c r="D23" s="462" t="s">
        <v>2629</v>
      </c>
      <c r="E23" s="462">
        <v>2014</v>
      </c>
      <c r="F23" s="462" t="s">
        <v>2630</v>
      </c>
      <c r="G23" s="462"/>
      <c r="H23" s="462">
        <v>27</v>
      </c>
      <c r="I23" s="463">
        <v>1018491.8999999999</v>
      </c>
      <c r="J23" s="462">
        <v>0</v>
      </c>
      <c r="K23" s="463">
        <v>1354.9899999999993</v>
      </c>
      <c r="L23" s="463">
        <v>10518378</v>
      </c>
      <c r="M23" s="463">
        <v>49309</v>
      </c>
      <c r="N23" s="463">
        <v>26</v>
      </c>
      <c r="O23" s="463">
        <v>15</v>
      </c>
      <c r="Q23" s="471">
        <f>I24/L24</f>
        <v>8.5948048247054834E-2</v>
      </c>
      <c r="R23" s="462"/>
      <c r="S23" s="465">
        <f>Q23*2</f>
        <v>0.17189609649410967</v>
      </c>
      <c r="T23" s="462"/>
      <c r="U23" s="463">
        <f>L24/N24</f>
        <v>452739.11409395974</v>
      </c>
      <c r="V23" s="462">
        <f>M25/O25</f>
        <v>5937.5</v>
      </c>
    </row>
    <row r="24" spans="1:22">
      <c r="B24" s="462" t="s">
        <v>2627</v>
      </c>
      <c r="C24" s="462" t="s">
        <v>2628</v>
      </c>
      <c r="D24" s="462" t="s">
        <v>2629</v>
      </c>
      <c r="E24" s="462">
        <v>2014</v>
      </c>
      <c r="F24" s="462" t="s">
        <v>384</v>
      </c>
      <c r="G24" s="462"/>
      <c r="H24" s="462">
        <v>149</v>
      </c>
      <c r="I24" s="463">
        <v>5797894.4400000004</v>
      </c>
      <c r="J24" s="462">
        <v>0</v>
      </c>
      <c r="K24" s="463">
        <v>8422.6000000000076</v>
      </c>
      <c r="L24" s="463">
        <v>67458128</v>
      </c>
      <c r="M24" s="463">
        <v>0</v>
      </c>
      <c r="N24" s="463">
        <v>149</v>
      </c>
      <c r="O24" s="463">
        <v>0</v>
      </c>
      <c r="Q24" s="462"/>
      <c r="R24" s="471">
        <f>I25/M25</f>
        <v>0.89275884210526313</v>
      </c>
      <c r="S24" s="462"/>
      <c r="T24" s="465">
        <f>R24*2</f>
        <v>1.7855176842105263</v>
      </c>
    </row>
    <row r="25" spans="1:22">
      <c r="B25" s="462" t="s">
        <v>2627</v>
      </c>
      <c r="C25" s="462" t="s">
        <v>2628</v>
      </c>
      <c r="D25" s="462" t="s">
        <v>2629</v>
      </c>
      <c r="E25" s="462">
        <v>2014</v>
      </c>
      <c r="F25" s="462" t="s">
        <v>2013</v>
      </c>
      <c r="G25" s="462"/>
      <c r="H25" s="462">
        <v>16</v>
      </c>
      <c r="I25" s="463">
        <v>84812.09</v>
      </c>
      <c r="J25" s="462">
        <v>0</v>
      </c>
      <c r="K25" s="463">
        <v>0</v>
      </c>
      <c r="L25" s="463">
        <v>0</v>
      </c>
      <c r="M25" s="463">
        <v>95000</v>
      </c>
      <c r="N25" s="463">
        <v>0</v>
      </c>
      <c r="O25" s="463">
        <v>16</v>
      </c>
    </row>
    <row r="26" spans="1:22">
      <c r="B26" s="462" t="s">
        <v>2627</v>
      </c>
      <c r="C26" s="462" t="s">
        <v>2628</v>
      </c>
      <c r="D26" s="462" t="s">
        <v>1865</v>
      </c>
      <c r="E26" s="462">
        <v>2014</v>
      </c>
      <c r="F26" s="462" t="s">
        <v>2630</v>
      </c>
      <c r="G26" s="462"/>
      <c r="H26" s="462">
        <v>1</v>
      </c>
      <c r="I26" s="463">
        <v>9100</v>
      </c>
      <c r="J26" s="462">
        <v>0</v>
      </c>
      <c r="K26" s="463">
        <v>9</v>
      </c>
      <c r="L26" s="463">
        <v>350447</v>
      </c>
      <c r="M26" s="463">
        <v>6025</v>
      </c>
      <c r="N26" s="463">
        <v>1</v>
      </c>
      <c r="O26" s="463">
        <v>1</v>
      </c>
    </row>
    <row r="27" spans="1:22">
      <c r="B27" s="462" t="s">
        <v>2627</v>
      </c>
      <c r="C27" s="462" t="s">
        <v>2628</v>
      </c>
      <c r="D27" s="462" t="s">
        <v>1865</v>
      </c>
      <c r="E27" s="462">
        <v>2014</v>
      </c>
      <c r="F27" s="462" t="s">
        <v>384</v>
      </c>
      <c r="G27" s="462"/>
      <c r="H27" s="462">
        <v>4</v>
      </c>
      <c r="I27" s="463">
        <v>113150</v>
      </c>
      <c r="J27" s="462">
        <v>0</v>
      </c>
      <c r="K27" s="463">
        <v>80</v>
      </c>
      <c r="L27" s="463">
        <v>1392554</v>
      </c>
      <c r="M27" s="463">
        <v>8646</v>
      </c>
      <c r="N27" s="463">
        <v>4</v>
      </c>
      <c r="O27" s="463">
        <v>1</v>
      </c>
    </row>
    <row r="28" spans="1:22">
      <c r="B28" s="462" t="s">
        <v>1866</v>
      </c>
      <c r="C28" s="462" t="s">
        <v>2631</v>
      </c>
      <c r="D28" s="462"/>
      <c r="E28" s="462"/>
      <c r="F28" s="462"/>
      <c r="G28" s="462"/>
      <c r="H28" s="462">
        <f>SUM(H23:H27)</f>
        <v>197</v>
      </c>
      <c r="I28" s="463">
        <f t="shared" ref="I28:O28" si="2">SUM(I23:I27)</f>
        <v>7023448.4299999997</v>
      </c>
      <c r="J28" s="462">
        <f t="shared" si="2"/>
        <v>0</v>
      </c>
      <c r="K28" s="463">
        <f t="shared" si="2"/>
        <v>9866.5900000000074</v>
      </c>
      <c r="L28" s="463">
        <f t="shared" si="2"/>
        <v>79719507</v>
      </c>
      <c r="M28" s="463">
        <f t="shared" si="2"/>
        <v>158980</v>
      </c>
      <c r="N28" s="463">
        <f t="shared" si="2"/>
        <v>180</v>
      </c>
      <c r="O28" s="463">
        <f t="shared" si="2"/>
        <v>33</v>
      </c>
      <c r="Q28" s="25"/>
      <c r="R28" s="25"/>
    </row>
    <row r="29" spans="1:22">
      <c r="K29" s="12"/>
      <c r="L29" s="12"/>
      <c r="M29" s="12"/>
      <c r="N29" s="12"/>
      <c r="O29" s="12"/>
    </row>
    <row r="30" spans="1:22">
      <c r="A30" t="s">
        <v>2632</v>
      </c>
    </row>
    <row r="31" spans="1:22" ht="16" thickBot="1">
      <c r="B31" s="1466" t="s">
        <v>2633</v>
      </c>
      <c r="C31" s="1466"/>
      <c r="D31" s="1466"/>
      <c r="E31" s="1466"/>
      <c r="F31" s="1466"/>
      <c r="G31" s="31"/>
      <c r="H31" s="31"/>
      <c r="I31" s="31" t="s">
        <v>2634</v>
      </c>
      <c r="J31" s="31"/>
      <c r="K31" s="31"/>
      <c r="L31" s="31"/>
    </row>
    <row r="32" spans="1:22" ht="16.5" thickTop="1" thickBot="1">
      <c r="B32" s="1459" t="s">
        <v>2635</v>
      </c>
      <c r="C32" s="1461" t="s">
        <v>2636</v>
      </c>
      <c r="D32" s="1462"/>
      <c r="E32" s="1463"/>
      <c r="F32" s="1464" t="s">
        <v>148</v>
      </c>
      <c r="G32" s="31"/>
      <c r="H32" s="31" t="s">
        <v>2637</v>
      </c>
      <c r="I32" s="1457" t="s">
        <v>2636</v>
      </c>
      <c r="J32" s="1457"/>
      <c r="K32" s="1457"/>
      <c r="L32" s="1458" t="s">
        <v>148</v>
      </c>
      <c r="Q32" t="s">
        <v>2607</v>
      </c>
      <c r="R32" t="s">
        <v>2608</v>
      </c>
      <c r="S32" t="s">
        <v>2609</v>
      </c>
      <c r="T32" t="s">
        <v>2610</v>
      </c>
      <c r="U32" t="s">
        <v>2611</v>
      </c>
      <c r="V32" t="s">
        <v>2612</v>
      </c>
    </row>
    <row r="33" spans="2:21" ht="16" thickBot="1">
      <c r="B33" s="1460"/>
      <c r="C33" s="32" t="s">
        <v>2638</v>
      </c>
      <c r="D33" s="33" t="s">
        <v>2639</v>
      </c>
      <c r="E33" s="34" t="s">
        <v>2640</v>
      </c>
      <c r="F33" s="1465"/>
      <c r="G33" s="31"/>
      <c r="H33" s="31"/>
      <c r="I33" s="472" t="s">
        <v>2638</v>
      </c>
      <c r="J33" s="472" t="s">
        <v>2639</v>
      </c>
      <c r="K33" s="472" t="s">
        <v>2640</v>
      </c>
      <c r="L33" s="1458"/>
      <c r="Q33" s="464">
        <f>L39/(L34*1000)</f>
        <v>0.12961929637526654</v>
      </c>
      <c r="S33" s="464">
        <f>L37/(L34*1000)</f>
        <v>0.3132619250685349</v>
      </c>
      <c r="U33" s="466">
        <f>L34*1000/64</f>
        <v>1025937.5</v>
      </c>
    </row>
    <row r="34" spans="2:21" ht="16.5" thickTop="1" thickBot="1">
      <c r="B34" s="35" t="s">
        <v>2641</v>
      </c>
      <c r="C34" s="36">
        <v>1862</v>
      </c>
      <c r="D34" s="36">
        <v>1397</v>
      </c>
      <c r="E34" s="36">
        <v>1250</v>
      </c>
      <c r="F34" s="37">
        <v>4508</v>
      </c>
      <c r="G34" s="31"/>
      <c r="H34" s="31"/>
      <c r="I34" s="463">
        <f>SUM(C34+C47+C60)</f>
        <v>24951</v>
      </c>
      <c r="J34" s="463">
        <f>SUM(D34+D47+D60)</f>
        <v>22859</v>
      </c>
      <c r="K34" s="463">
        <f t="shared" ref="K34:L42" si="3">SUM(E34+E47+E60)</f>
        <v>17851</v>
      </c>
      <c r="L34" s="463">
        <f t="shared" si="3"/>
        <v>65660</v>
      </c>
    </row>
    <row r="35" spans="2:21" ht="16" thickBot="1">
      <c r="B35" s="35" t="s">
        <v>2642</v>
      </c>
      <c r="C35" s="38">
        <v>0.27</v>
      </c>
      <c r="D35" s="38">
        <v>0.2</v>
      </c>
      <c r="E35" s="38">
        <v>0.18</v>
      </c>
      <c r="F35" s="39">
        <v>0.66</v>
      </c>
      <c r="G35" s="31"/>
      <c r="H35" s="31"/>
      <c r="I35" s="463">
        <f t="shared" ref="I35:J42" si="4">SUM(C35+C48+C61)</f>
        <v>3.52</v>
      </c>
      <c r="J35" s="463">
        <f t="shared" si="4"/>
        <v>3.2200000000000006</v>
      </c>
      <c r="K35" s="463">
        <f t="shared" si="3"/>
        <v>2.5100000000000002</v>
      </c>
      <c r="L35" s="463">
        <f t="shared" si="3"/>
        <v>9.26</v>
      </c>
    </row>
    <row r="36" spans="2:21" ht="16" thickBot="1">
      <c r="B36" s="35" t="s">
        <v>2643</v>
      </c>
      <c r="C36" s="40">
        <v>1143143</v>
      </c>
      <c r="D36" s="41">
        <v>905987</v>
      </c>
      <c r="E36" s="41">
        <v>825885</v>
      </c>
      <c r="F36" s="42">
        <v>2875015</v>
      </c>
      <c r="G36" s="31"/>
      <c r="H36" s="31"/>
      <c r="I36" s="463">
        <f t="shared" si="4"/>
        <v>12659336</v>
      </c>
      <c r="J36" s="463">
        <f t="shared" si="4"/>
        <v>11480603</v>
      </c>
      <c r="K36" s="463">
        <f t="shared" si="3"/>
        <v>9014140</v>
      </c>
      <c r="L36" s="463">
        <f t="shared" si="3"/>
        <v>33154080</v>
      </c>
    </row>
    <row r="37" spans="2:21" ht="16" thickBot="1">
      <c r="B37" s="35" t="s">
        <v>2644</v>
      </c>
      <c r="C37" s="41">
        <v>672631</v>
      </c>
      <c r="D37" s="41">
        <v>213993</v>
      </c>
      <c r="E37" s="41">
        <v>425886</v>
      </c>
      <c r="F37" s="42">
        <v>1312510</v>
      </c>
      <c r="G37" s="31"/>
      <c r="H37" s="31"/>
      <c r="I37" s="463">
        <f t="shared" si="4"/>
        <v>9013418</v>
      </c>
      <c r="J37" s="463">
        <f t="shared" si="4"/>
        <v>5471101</v>
      </c>
      <c r="K37" s="463">
        <f t="shared" si="3"/>
        <v>6084259</v>
      </c>
      <c r="L37" s="463">
        <f t="shared" si="3"/>
        <v>20568778</v>
      </c>
    </row>
    <row r="38" spans="2:21" ht="16" thickBot="1">
      <c r="B38" s="35" t="s">
        <v>2645</v>
      </c>
      <c r="C38" s="41">
        <v>470512</v>
      </c>
      <c r="D38" s="41">
        <v>691995</v>
      </c>
      <c r="E38" s="41">
        <v>399999</v>
      </c>
      <c r="F38" s="42">
        <v>1562505</v>
      </c>
      <c r="G38" s="31"/>
      <c r="H38" s="31"/>
      <c r="I38" s="463">
        <f t="shared" si="4"/>
        <v>3645919</v>
      </c>
      <c r="J38" s="463">
        <f t="shared" si="4"/>
        <v>6009503</v>
      </c>
      <c r="K38" s="463">
        <f t="shared" si="3"/>
        <v>2929882</v>
      </c>
      <c r="L38" s="463">
        <f>SUM(F38+F51+F64)</f>
        <v>12585302</v>
      </c>
    </row>
    <row r="39" spans="2:21" ht="16" thickBot="1">
      <c r="B39" s="35" t="s">
        <v>2646</v>
      </c>
      <c r="C39" s="41">
        <v>152012</v>
      </c>
      <c r="D39" s="41">
        <v>404494</v>
      </c>
      <c r="E39" s="41">
        <v>127498</v>
      </c>
      <c r="F39" s="43">
        <v>684004</v>
      </c>
      <c r="G39" s="31"/>
      <c r="H39" s="31"/>
      <c r="I39" s="463">
        <f>SUM(C39+C52+C65)</f>
        <v>2036820</v>
      </c>
      <c r="J39" s="463">
        <f t="shared" si="4"/>
        <v>4652502</v>
      </c>
      <c r="K39" s="463">
        <f t="shared" si="3"/>
        <v>1821481</v>
      </c>
      <c r="L39" s="463">
        <f t="shared" si="3"/>
        <v>8510803</v>
      </c>
    </row>
    <row r="40" spans="2:21" ht="16" thickBot="1">
      <c r="B40" s="35" t="s">
        <v>2647</v>
      </c>
      <c r="C40" s="41">
        <v>128500</v>
      </c>
      <c r="D40" s="41">
        <v>145000</v>
      </c>
      <c r="E40" s="41">
        <v>145000</v>
      </c>
      <c r="F40" s="43">
        <v>418500</v>
      </c>
      <c r="G40" s="31"/>
      <c r="H40" s="31"/>
      <c r="I40" s="463">
        <f t="shared" si="4"/>
        <v>347500</v>
      </c>
      <c r="J40" s="463">
        <f t="shared" si="4"/>
        <v>397500</v>
      </c>
      <c r="K40" s="463">
        <f t="shared" si="3"/>
        <v>397500</v>
      </c>
      <c r="L40" s="463">
        <f t="shared" si="3"/>
        <v>1142500</v>
      </c>
    </row>
    <row r="41" spans="2:21" ht="16" thickBot="1">
      <c r="B41" s="35" t="s">
        <v>2648</v>
      </c>
      <c r="C41" s="41">
        <v>190000</v>
      </c>
      <c r="D41" s="41">
        <v>142501</v>
      </c>
      <c r="E41" s="41">
        <v>127501</v>
      </c>
      <c r="F41" s="43">
        <v>460001</v>
      </c>
      <c r="G41" s="31"/>
      <c r="H41" s="31"/>
      <c r="I41" s="463">
        <f t="shared" si="4"/>
        <v>1261599</v>
      </c>
      <c r="J41" s="463">
        <f t="shared" si="4"/>
        <v>959501</v>
      </c>
      <c r="K41" s="463">
        <f t="shared" si="3"/>
        <v>710901</v>
      </c>
      <c r="L41" s="463">
        <f t="shared" si="3"/>
        <v>2931999</v>
      </c>
    </row>
    <row r="42" spans="2:21" ht="16" thickBot="1">
      <c r="B42" s="35" t="s">
        <v>2649</v>
      </c>
      <c r="C42" s="44">
        <v>0</v>
      </c>
      <c r="D42" s="44">
        <v>0</v>
      </c>
      <c r="E42" s="44">
        <v>0</v>
      </c>
      <c r="F42" s="45">
        <v>0</v>
      </c>
      <c r="G42" s="31"/>
      <c r="H42" s="31"/>
      <c r="I42" s="463">
        <f t="shared" si="4"/>
        <v>0</v>
      </c>
      <c r="J42" s="463">
        <f t="shared" si="4"/>
        <v>0</v>
      </c>
      <c r="K42" s="463">
        <f t="shared" si="3"/>
        <v>0</v>
      </c>
      <c r="L42" s="463">
        <f t="shared" si="3"/>
        <v>0</v>
      </c>
    </row>
    <row r="43" spans="2:21" ht="15.5">
      <c r="B43" s="31"/>
      <c r="C43" s="31"/>
      <c r="D43" s="31"/>
      <c r="E43" s="31"/>
      <c r="F43" s="31"/>
      <c r="G43" s="31"/>
      <c r="H43" s="31"/>
      <c r="I43" s="31"/>
      <c r="J43" s="31"/>
      <c r="K43" s="31"/>
      <c r="L43" s="31"/>
    </row>
    <row r="44" spans="2:21" ht="16" thickBot="1">
      <c r="B44" s="1466" t="s">
        <v>2650</v>
      </c>
      <c r="C44" s="1466"/>
      <c r="D44" s="1466"/>
      <c r="E44" s="1466"/>
      <c r="F44" s="1466"/>
      <c r="G44" s="31"/>
      <c r="H44" s="31"/>
      <c r="I44" s="31"/>
      <c r="J44" s="31"/>
      <c r="K44" s="31"/>
      <c r="L44" s="31"/>
    </row>
    <row r="45" spans="2:21" ht="16.5" thickTop="1" thickBot="1">
      <c r="B45" s="1459" t="s">
        <v>2635</v>
      </c>
      <c r="C45" s="1461" t="s">
        <v>2636</v>
      </c>
      <c r="D45" s="1462"/>
      <c r="E45" s="1463"/>
      <c r="F45" s="1464" t="s">
        <v>148</v>
      </c>
      <c r="G45" s="31"/>
      <c r="H45" s="31"/>
      <c r="I45" s="31"/>
      <c r="J45" s="31"/>
      <c r="K45" s="31"/>
      <c r="L45" s="31"/>
    </row>
    <row r="46" spans="2:21" ht="16" thickBot="1">
      <c r="B46" s="1460"/>
      <c r="C46" s="32" t="s">
        <v>2638</v>
      </c>
      <c r="D46" s="33" t="s">
        <v>2639</v>
      </c>
      <c r="E46" s="34" t="s">
        <v>2640</v>
      </c>
      <c r="F46" s="1465"/>
      <c r="G46" s="31"/>
      <c r="H46" s="31"/>
      <c r="I46" s="31"/>
      <c r="J46" s="31"/>
      <c r="K46" s="31"/>
      <c r="L46" s="31"/>
    </row>
    <row r="47" spans="2:21" ht="16.5" thickTop="1" thickBot="1">
      <c r="B47" s="35" t="s">
        <v>2641</v>
      </c>
      <c r="C47" s="46">
        <v>18620</v>
      </c>
      <c r="D47" s="46">
        <v>19502</v>
      </c>
      <c r="E47" s="46">
        <v>15680</v>
      </c>
      <c r="F47" s="47">
        <v>53802</v>
      </c>
      <c r="G47" s="31"/>
      <c r="H47" s="31" t="s">
        <v>2651</v>
      </c>
      <c r="I47" s="31"/>
      <c r="J47" s="31"/>
      <c r="K47" s="31"/>
      <c r="L47" s="31"/>
    </row>
    <row r="48" spans="2:21" ht="16" thickBot="1">
      <c r="B48" s="35" t="s">
        <v>2642</v>
      </c>
      <c r="C48" s="48">
        <v>2.61</v>
      </c>
      <c r="D48" s="48">
        <v>2.74</v>
      </c>
      <c r="E48" s="48">
        <v>2.2000000000000002</v>
      </c>
      <c r="F48" s="49">
        <v>7.55</v>
      </c>
      <c r="G48" s="31"/>
      <c r="H48" s="31"/>
      <c r="I48" s="31"/>
      <c r="J48" s="31"/>
      <c r="K48" s="31"/>
      <c r="L48" s="31"/>
    </row>
    <row r="49" spans="2:12" ht="16" thickBot="1">
      <c r="B49" s="35" t="s">
        <v>2643</v>
      </c>
      <c r="C49" s="50">
        <v>8929948</v>
      </c>
      <c r="D49" s="51">
        <v>9364069</v>
      </c>
      <c r="E49" s="50">
        <v>7554373</v>
      </c>
      <c r="F49" s="52">
        <v>25848391</v>
      </c>
      <c r="G49" s="31"/>
      <c r="H49" s="31"/>
      <c r="I49" s="31"/>
      <c r="J49" s="31"/>
      <c r="K49" s="31"/>
      <c r="L49" s="31"/>
    </row>
    <row r="50" spans="2:12" ht="16" thickBot="1">
      <c r="B50" s="35" t="s">
        <v>2644</v>
      </c>
      <c r="C50" s="50">
        <v>6726447</v>
      </c>
      <c r="D50" s="51">
        <v>4959059</v>
      </c>
      <c r="E50" s="50">
        <v>5344390</v>
      </c>
      <c r="F50" s="52">
        <v>17029896</v>
      </c>
      <c r="G50" s="31"/>
      <c r="H50" s="31"/>
      <c r="I50" s="31"/>
      <c r="J50" s="31"/>
      <c r="K50" s="31"/>
      <c r="L50" s="31"/>
    </row>
    <row r="51" spans="2:12" ht="16" thickBot="1">
      <c r="B51" s="35" t="s">
        <v>2645</v>
      </c>
      <c r="C51" s="50">
        <v>2203502</v>
      </c>
      <c r="D51" s="51">
        <v>4405010</v>
      </c>
      <c r="E51" s="50">
        <v>2209984</v>
      </c>
      <c r="F51" s="52">
        <v>8818495</v>
      </c>
      <c r="G51" s="31"/>
      <c r="H51" s="31"/>
      <c r="I51" s="31"/>
      <c r="J51" s="31"/>
      <c r="K51" s="31"/>
      <c r="L51" s="31"/>
    </row>
    <row r="52" spans="2:12" ht="16" thickBot="1">
      <c r="B52" s="35" t="s">
        <v>2646</v>
      </c>
      <c r="C52" s="50">
        <v>1520002</v>
      </c>
      <c r="D52" s="51">
        <v>3678010</v>
      </c>
      <c r="E52" s="50">
        <v>1599984</v>
      </c>
      <c r="F52" s="52">
        <v>6797996</v>
      </c>
      <c r="G52" s="31"/>
      <c r="H52" s="31"/>
      <c r="I52" s="31"/>
      <c r="J52" s="31"/>
      <c r="K52" s="31"/>
      <c r="L52" s="31"/>
    </row>
    <row r="53" spans="2:12" ht="16" thickBot="1">
      <c r="B53" s="35" t="s">
        <v>2647</v>
      </c>
      <c r="C53" s="51">
        <v>113500</v>
      </c>
      <c r="D53" s="51">
        <v>130000</v>
      </c>
      <c r="E53" s="51">
        <v>130000</v>
      </c>
      <c r="F53" s="53">
        <v>373500</v>
      </c>
      <c r="G53" s="31"/>
      <c r="H53" s="31"/>
      <c r="I53" s="31"/>
      <c r="J53" s="31"/>
      <c r="K53" s="31"/>
      <c r="L53" s="31"/>
    </row>
    <row r="54" spans="2:12" ht="16" thickBot="1">
      <c r="B54" s="35" t="s">
        <v>2648</v>
      </c>
      <c r="C54" s="51">
        <v>570000</v>
      </c>
      <c r="D54" s="51">
        <v>597000</v>
      </c>
      <c r="E54" s="51">
        <v>480000</v>
      </c>
      <c r="F54" s="52">
        <v>1646999</v>
      </c>
      <c r="G54" s="31"/>
      <c r="H54" s="31"/>
      <c r="I54" s="31"/>
      <c r="J54" s="31"/>
      <c r="K54" s="31"/>
      <c r="L54" s="31"/>
    </row>
    <row r="55" spans="2:12" ht="16" thickBot="1">
      <c r="B55" s="35" t="s">
        <v>2649</v>
      </c>
      <c r="C55" s="54">
        <v>0</v>
      </c>
      <c r="D55" s="54">
        <v>0</v>
      </c>
      <c r="E55" s="54">
        <v>0</v>
      </c>
      <c r="F55" s="55">
        <v>0</v>
      </c>
      <c r="G55" s="31"/>
      <c r="H55" s="31"/>
      <c r="I55" s="31"/>
      <c r="J55" s="31"/>
      <c r="K55" s="31"/>
      <c r="L55" s="31"/>
    </row>
    <row r="56" spans="2:12" ht="15.5">
      <c r="B56" s="31"/>
      <c r="C56" s="31"/>
      <c r="D56" s="31"/>
      <c r="E56" s="31"/>
      <c r="F56" s="31"/>
      <c r="G56" s="31"/>
      <c r="H56" s="31"/>
      <c r="I56" s="31"/>
      <c r="J56" s="31"/>
      <c r="K56" s="31"/>
      <c r="L56" s="31"/>
    </row>
    <row r="57" spans="2:12" ht="16" thickBot="1">
      <c r="B57" s="1466" t="s">
        <v>2652</v>
      </c>
      <c r="C57" s="1466"/>
      <c r="D57" s="1466"/>
      <c r="E57" s="1466"/>
      <c r="F57" s="1466"/>
      <c r="G57" s="31"/>
      <c r="H57" s="31"/>
      <c r="I57" s="31"/>
      <c r="J57" s="31"/>
      <c r="K57" s="31"/>
      <c r="L57" s="31"/>
    </row>
    <row r="58" spans="2:12" ht="16.5" thickTop="1" thickBot="1">
      <c r="B58" s="1459" t="s">
        <v>2635</v>
      </c>
      <c r="C58" s="1461" t="s">
        <v>2636</v>
      </c>
      <c r="D58" s="1462"/>
      <c r="E58" s="1463"/>
      <c r="F58" s="1464" t="s">
        <v>148</v>
      </c>
      <c r="G58" s="31"/>
      <c r="H58" s="31"/>
      <c r="I58" s="31"/>
      <c r="J58" s="31"/>
      <c r="K58" s="31"/>
      <c r="L58" s="31"/>
    </row>
    <row r="59" spans="2:12" ht="16" thickBot="1">
      <c r="B59" s="1460"/>
      <c r="C59" s="32" t="s">
        <v>2638</v>
      </c>
      <c r="D59" s="33" t="s">
        <v>2639</v>
      </c>
      <c r="E59" s="34" t="s">
        <v>2640</v>
      </c>
      <c r="F59" s="1465"/>
      <c r="G59" s="31"/>
      <c r="H59" s="31"/>
      <c r="I59" s="31"/>
      <c r="J59" s="31"/>
      <c r="K59" s="31"/>
      <c r="L59" s="31"/>
    </row>
    <row r="60" spans="2:12" ht="16.5" thickTop="1" thickBot="1">
      <c r="B60" s="35" t="s">
        <v>2641</v>
      </c>
      <c r="C60" s="46">
        <v>4469</v>
      </c>
      <c r="D60" s="46">
        <v>1960</v>
      </c>
      <c r="E60" s="48">
        <v>921</v>
      </c>
      <c r="F60" s="47">
        <v>7350</v>
      </c>
      <c r="G60" s="31"/>
      <c r="H60" s="31" t="s">
        <v>2653</v>
      </c>
      <c r="I60" s="31"/>
      <c r="J60" s="31"/>
      <c r="K60" s="31"/>
      <c r="L60" s="31"/>
    </row>
    <row r="61" spans="2:12" ht="16" thickBot="1">
      <c r="B61" s="35" t="s">
        <v>2642</v>
      </c>
      <c r="C61" s="48">
        <v>0.64</v>
      </c>
      <c r="D61" s="48">
        <v>0.28000000000000003</v>
      </c>
      <c r="E61" s="48">
        <v>0.13</v>
      </c>
      <c r="F61" s="49">
        <v>1.05</v>
      </c>
      <c r="G61" s="31"/>
      <c r="H61" s="31"/>
      <c r="I61" s="31"/>
      <c r="J61" s="31"/>
      <c r="K61" s="31"/>
      <c r="L61" s="31"/>
    </row>
    <row r="62" spans="2:12" ht="16" thickBot="1">
      <c r="B62" s="35" t="s">
        <v>2643</v>
      </c>
      <c r="C62" s="50">
        <v>2586245</v>
      </c>
      <c r="D62" s="51">
        <v>1210547</v>
      </c>
      <c r="E62" s="51">
        <v>633882</v>
      </c>
      <c r="F62" s="52">
        <v>4430674</v>
      </c>
      <c r="G62" s="31"/>
      <c r="H62" s="31"/>
      <c r="I62" s="31"/>
      <c r="J62" s="31"/>
      <c r="K62" s="31"/>
      <c r="L62" s="31"/>
    </row>
    <row r="63" spans="2:12" ht="16" thickBot="1">
      <c r="B63" s="35" t="s">
        <v>2644</v>
      </c>
      <c r="C63" s="50">
        <v>1614340</v>
      </c>
      <c r="D63" s="51">
        <v>298049</v>
      </c>
      <c r="E63" s="51">
        <v>313983</v>
      </c>
      <c r="F63" s="52">
        <v>2226372</v>
      </c>
      <c r="G63" s="31"/>
      <c r="H63" s="31"/>
      <c r="I63" s="31"/>
      <c r="J63" s="31"/>
      <c r="K63" s="31"/>
      <c r="L63" s="31"/>
    </row>
    <row r="64" spans="2:12" ht="16" thickBot="1">
      <c r="B64" s="35" t="s">
        <v>2645</v>
      </c>
      <c r="C64" s="51">
        <v>971905</v>
      </c>
      <c r="D64" s="51">
        <v>912498</v>
      </c>
      <c r="E64" s="51">
        <v>319899</v>
      </c>
      <c r="F64" s="52">
        <v>2204302</v>
      </c>
      <c r="G64" s="31"/>
      <c r="H64" s="31"/>
      <c r="I64" s="31"/>
      <c r="J64" s="31"/>
      <c r="K64" s="31"/>
      <c r="L64" s="31"/>
    </row>
    <row r="65" spans="1:17" ht="16" thickBot="1">
      <c r="B65" s="35" t="s">
        <v>2646</v>
      </c>
      <c r="C65" s="51">
        <v>364806</v>
      </c>
      <c r="D65" s="51">
        <v>569998</v>
      </c>
      <c r="E65" s="51">
        <v>93999</v>
      </c>
      <c r="F65" s="52">
        <v>1028803</v>
      </c>
      <c r="G65" s="31"/>
      <c r="H65" s="31"/>
      <c r="I65" s="31"/>
      <c r="J65" s="31"/>
      <c r="K65" s="31"/>
      <c r="L65" s="31"/>
    </row>
    <row r="66" spans="1:17" ht="16" thickBot="1">
      <c r="B66" s="35" t="s">
        <v>2647</v>
      </c>
      <c r="C66" s="51">
        <v>105500</v>
      </c>
      <c r="D66" s="51">
        <v>122500</v>
      </c>
      <c r="E66" s="51">
        <v>122500</v>
      </c>
      <c r="F66" s="53">
        <v>350500</v>
      </c>
      <c r="G66" s="31"/>
      <c r="H66" s="31"/>
      <c r="I66" s="31"/>
      <c r="J66" s="31"/>
      <c r="K66" s="31"/>
      <c r="L66" s="31"/>
    </row>
    <row r="67" spans="1:17" ht="16" thickBot="1">
      <c r="B67" s="35" t="s">
        <v>2648</v>
      </c>
      <c r="C67" s="51">
        <v>501599</v>
      </c>
      <c r="D67" s="51">
        <v>220000</v>
      </c>
      <c r="E67" s="51">
        <v>103400</v>
      </c>
      <c r="F67" s="53">
        <v>824999</v>
      </c>
      <c r="G67" s="31"/>
      <c r="H67" s="31"/>
      <c r="I67" s="31"/>
      <c r="J67" s="31"/>
      <c r="K67" s="31"/>
      <c r="L67" s="31"/>
    </row>
    <row r="68" spans="1:17" ht="16" thickBot="1">
      <c r="B68" s="35" t="s">
        <v>2649</v>
      </c>
      <c r="C68" s="44">
        <v>0</v>
      </c>
      <c r="D68" s="44">
        <v>0</v>
      </c>
      <c r="E68" s="44">
        <v>0</v>
      </c>
      <c r="F68" s="45">
        <v>0</v>
      </c>
      <c r="G68" s="31"/>
      <c r="H68" s="31"/>
      <c r="I68" s="31"/>
      <c r="J68" s="31"/>
      <c r="K68" s="31"/>
      <c r="L68" s="31"/>
    </row>
    <row r="71" spans="1:17">
      <c r="A71" t="s">
        <v>2654</v>
      </c>
    </row>
    <row r="72" spans="1:17">
      <c r="B72" s="473" t="s">
        <v>565</v>
      </c>
      <c r="C72" s="473" t="s">
        <v>2655</v>
      </c>
      <c r="D72" s="473" t="s">
        <v>2656</v>
      </c>
      <c r="E72" s="473" t="s">
        <v>2657</v>
      </c>
      <c r="F72" s="473" t="s">
        <v>2377</v>
      </c>
    </row>
    <row r="73" spans="1:17">
      <c r="B73" s="474" t="s">
        <v>2658</v>
      </c>
      <c r="C73" s="466">
        <v>12420870.629999999</v>
      </c>
      <c r="D73" s="466">
        <v>3120980.0899999994</v>
      </c>
      <c r="E73" s="462">
        <v>824141.41</v>
      </c>
      <c r="F73" s="462">
        <v>130</v>
      </c>
    </row>
    <row r="74" spans="1:17">
      <c r="B74" s="474" t="s">
        <v>2658</v>
      </c>
      <c r="C74" s="462"/>
      <c r="D74" s="475">
        <f>D73/C73</f>
        <v>0.25126902799083412</v>
      </c>
      <c r="E74" s="475">
        <f>E73/C73</f>
        <v>6.6351339978492324E-2</v>
      </c>
      <c r="F74" s="462"/>
    </row>
    <row r="76" spans="1:17" ht="15.5">
      <c r="A76" s="56" t="s">
        <v>2659</v>
      </c>
    </row>
    <row r="77" spans="1:17">
      <c r="B77" t="s">
        <v>2660</v>
      </c>
    </row>
    <row r="78" spans="1:17" ht="36.75" customHeight="1">
      <c r="B78" s="57"/>
      <c r="C78" s="1467" t="s">
        <v>2661</v>
      </c>
      <c r="D78" s="1467" t="s">
        <v>1702</v>
      </c>
      <c r="E78" s="1467" t="s">
        <v>2662</v>
      </c>
      <c r="F78" s="1467" t="s">
        <v>2663</v>
      </c>
      <c r="G78" s="1467" t="s">
        <v>2664</v>
      </c>
      <c r="H78" s="1467" t="s">
        <v>2665</v>
      </c>
      <c r="I78" s="1467" t="s">
        <v>2666</v>
      </c>
      <c r="J78" s="1467" t="s">
        <v>2667</v>
      </c>
      <c r="K78" s="58" t="s">
        <v>2668</v>
      </c>
      <c r="L78" s="1467" t="s">
        <v>2669</v>
      </c>
      <c r="M78" s="1467" t="s">
        <v>2670</v>
      </c>
    </row>
    <row r="79" spans="1:17" ht="15" thickBot="1">
      <c r="B79" s="59" t="s">
        <v>1013</v>
      </c>
      <c r="C79" s="1468"/>
      <c r="D79" s="1468"/>
      <c r="E79" s="1468"/>
      <c r="F79" s="1468"/>
      <c r="G79" s="1468"/>
      <c r="H79" s="1468"/>
      <c r="I79" s="1468"/>
      <c r="J79" s="1468"/>
      <c r="K79" s="59" t="s">
        <v>2671</v>
      </c>
      <c r="L79" s="1468"/>
      <c r="M79" s="1468"/>
      <c r="P79" s="462" t="s">
        <v>2672</v>
      </c>
      <c r="Q79" s="462" t="s">
        <v>2673</v>
      </c>
    </row>
    <row r="80" spans="1:17" ht="26" thickTop="1" thickBot="1">
      <c r="B80" s="60" t="s">
        <v>2674</v>
      </c>
      <c r="C80" s="60" t="s">
        <v>2675</v>
      </c>
      <c r="D80" s="60" t="s">
        <v>2676</v>
      </c>
      <c r="E80" s="60" t="s">
        <v>2677</v>
      </c>
      <c r="F80" s="60" t="s">
        <v>2678</v>
      </c>
      <c r="G80" s="60">
        <v>0.1885</v>
      </c>
      <c r="H80" s="60">
        <v>870</v>
      </c>
      <c r="I80" s="60">
        <v>37.4</v>
      </c>
      <c r="J80" s="60">
        <v>0</v>
      </c>
      <c r="K80" s="61">
        <v>1865</v>
      </c>
      <c r="L80" s="61">
        <v>1865</v>
      </c>
      <c r="M80" s="60">
        <v>20</v>
      </c>
      <c r="P80" s="462">
        <f>H80*3412+I80*100000</f>
        <v>6708440</v>
      </c>
      <c r="Q80" s="462">
        <f>L80/P80</f>
        <v>2.780080018603431E-4</v>
      </c>
    </row>
    <row r="81" spans="1:13" ht="26" thickTop="1" thickBot="1">
      <c r="B81" s="62" t="s">
        <v>2679</v>
      </c>
      <c r="C81" s="62" t="s">
        <v>2680</v>
      </c>
      <c r="D81" s="62" t="s">
        <v>2676</v>
      </c>
      <c r="E81" s="62" t="s">
        <v>2681</v>
      </c>
      <c r="F81" s="62" t="s">
        <v>2678</v>
      </c>
      <c r="G81" s="62">
        <v>0.1885</v>
      </c>
      <c r="H81" s="62">
        <v>870</v>
      </c>
      <c r="I81" s="62">
        <v>37.4</v>
      </c>
      <c r="J81" s="62">
        <v>0</v>
      </c>
      <c r="K81" s="63">
        <v>1865</v>
      </c>
      <c r="L81" s="63">
        <v>1865</v>
      </c>
      <c r="M81" s="62">
        <v>20</v>
      </c>
    </row>
    <row r="82" spans="1:13" ht="26" thickTop="1" thickBot="1">
      <c r="B82" s="60" t="s">
        <v>2682</v>
      </c>
      <c r="C82" s="60" t="s">
        <v>2683</v>
      </c>
      <c r="D82" s="60" t="s">
        <v>2676</v>
      </c>
      <c r="E82" s="60" t="s">
        <v>2684</v>
      </c>
      <c r="F82" s="60" t="s">
        <v>2678</v>
      </c>
      <c r="G82" s="60">
        <v>0.1885</v>
      </c>
      <c r="H82" s="60">
        <v>870</v>
      </c>
      <c r="I82" s="60">
        <v>37.4</v>
      </c>
      <c r="J82" s="60">
        <v>0</v>
      </c>
      <c r="K82" s="61">
        <v>1865</v>
      </c>
      <c r="L82" s="61">
        <v>1865</v>
      </c>
      <c r="M82" s="60">
        <v>20</v>
      </c>
    </row>
    <row r="83" spans="1:13" ht="15" thickTop="1">
      <c r="B83" s="64" t="s">
        <v>2685</v>
      </c>
    </row>
    <row r="87" spans="1:13">
      <c r="A87" t="s">
        <v>2602</v>
      </c>
    </row>
    <row r="88" spans="1:13">
      <c r="B88" t="s">
        <v>2686</v>
      </c>
    </row>
    <row r="89" spans="1:13">
      <c r="B89" t="s">
        <v>2687</v>
      </c>
    </row>
    <row r="90" spans="1:13">
      <c r="B90" t="s">
        <v>317</v>
      </c>
      <c r="C90" t="s">
        <v>2688</v>
      </c>
      <c r="E90" t="s">
        <v>2689</v>
      </c>
      <c r="F90" t="s">
        <v>2690</v>
      </c>
    </row>
    <row r="91" spans="1:13">
      <c r="B91" t="s">
        <v>2691</v>
      </c>
      <c r="C91" s="66">
        <v>118.7</v>
      </c>
      <c r="D91" s="67" t="s">
        <v>2692</v>
      </c>
      <c r="E91" s="21">
        <v>700432529</v>
      </c>
      <c r="F91">
        <f>C91*1000000/E91</f>
        <v>0.16946671533012139</v>
      </c>
      <c r="G91" t="s">
        <v>2693</v>
      </c>
    </row>
    <row r="92" spans="1:13">
      <c r="B92" t="s">
        <v>2694</v>
      </c>
      <c r="C92" s="66">
        <v>12.6</v>
      </c>
      <c r="E92" s="21">
        <v>299980373</v>
      </c>
      <c r="F92">
        <f>C92*1000000/E92</f>
        <v>4.2002747959780685E-2</v>
      </c>
    </row>
    <row r="93" spans="1:13">
      <c r="B93" t="s">
        <v>2695</v>
      </c>
      <c r="C93" s="66">
        <v>7.7</v>
      </c>
      <c r="D93" s="67" t="s">
        <v>2692</v>
      </c>
      <c r="E93" s="21">
        <v>18773752</v>
      </c>
      <c r="F93">
        <f>C93*1000000/E93</f>
        <v>0.41014710325352122</v>
      </c>
    </row>
    <row r="94" spans="1:13">
      <c r="B94" t="s">
        <v>2696</v>
      </c>
      <c r="C94" s="66">
        <v>6.1</v>
      </c>
      <c r="E94" s="21">
        <v>11175581</v>
      </c>
      <c r="F94">
        <f>C94*1000000/E94</f>
        <v>0.54583291911176701</v>
      </c>
    </row>
    <row r="95" spans="1:13">
      <c r="B95" t="s">
        <v>2697</v>
      </c>
      <c r="C95" s="66"/>
      <c r="E95" s="21"/>
      <c r="F95">
        <f>SUMPRODUCT(E91:E94,F91:F94/SUM(E91:E94))</f>
        <v>0.1408242607028391</v>
      </c>
    </row>
    <row r="96" spans="1:13">
      <c r="B96" s="67" t="s">
        <v>2698</v>
      </c>
    </row>
    <row r="98" spans="1:5">
      <c r="A98" t="s">
        <v>2699</v>
      </c>
    </row>
    <row r="99" spans="1:5">
      <c r="A99" t="s">
        <v>2700</v>
      </c>
    </row>
    <row r="100" spans="1:5">
      <c r="B100" t="s">
        <v>2701</v>
      </c>
    </row>
    <row r="101" spans="1:5">
      <c r="B101" t="s">
        <v>2702</v>
      </c>
      <c r="C101">
        <v>0.19</v>
      </c>
      <c r="D101" t="s">
        <v>2703</v>
      </c>
      <c r="E101" t="s">
        <v>2704</v>
      </c>
    </row>
    <row r="102" spans="1:5">
      <c r="B102" t="s">
        <v>2705</v>
      </c>
      <c r="C102">
        <v>3.03</v>
      </c>
      <c r="D102" t="s">
        <v>2706</v>
      </c>
      <c r="E102" t="s">
        <v>2707</v>
      </c>
    </row>
    <row r="103" spans="1:5">
      <c r="B103" t="s">
        <v>2708</v>
      </c>
      <c r="C103">
        <v>0.21</v>
      </c>
      <c r="D103" t="s">
        <v>2703</v>
      </c>
      <c r="E103" t="s">
        <v>2704</v>
      </c>
    </row>
    <row r="104" spans="1:5">
      <c r="B104" t="s">
        <v>2709</v>
      </c>
      <c r="C104">
        <v>3.03</v>
      </c>
      <c r="D104" t="s">
        <v>2706</v>
      </c>
      <c r="E104" t="s">
        <v>2707</v>
      </c>
    </row>
    <row r="105" spans="1:5">
      <c r="B105" s="462" t="s">
        <v>846</v>
      </c>
      <c r="C105" s="462">
        <f>AVERAGE(C101,C103)</f>
        <v>0.2</v>
      </c>
      <c r="D105" s="462" t="s">
        <v>2703</v>
      </c>
    </row>
    <row r="106" spans="1:5">
      <c r="B106" s="462" t="s">
        <v>846</v>
      </c>
      <c r="C106" s="462">
        <f>AVERAGE(C102,C104)</f>
        <v>3.03</v>
      </c>
      <c r="D106" s="462" t="s">
        <v>2706</v>
      </c>
    </row>
  </sheetData>
  <mergeCells count="24">
    <mergeCell ref="I78:I79"/>
    <mergeCell ref="J78:J79"/>
    <mergeCell ref="L78:L79"/>
    <mergeCell ref="M78:M79"/>
    <mergeCell ref="C78:C79"/>
    <mergeCell ref="D78:D79"/>
    <mergeCell ref="E78:E79"/>
    <mergeCell ref="F78:F79"/>
    <mergeCell ref="G78:G79"/>
    <mergeCell ref="H78:H79"/>
    <mergeCell ref="B31:F31"/>
    <mergeCell ref="B32:B33"/>
    <mergeCell ref="C32:E32"/>
    <mergeCell ref="F32:F33"/>
    <mergeCell ref="B44:F44"/>
    <mergeCell ref="I32:K32"/>
    <mergeCell ref="L32:L33"/>
    <mergeCell ref="B58:B59"/>
    <mergeCell ref="C58:E58"/>
    <mergeCell ref="F58:F59"/>
    <mergeCell ref="B45:B46"/>
    <mergeCell ref="C45:E45"/>
    <mergeCell ref="F45:F46"/>
    <mergeCell ref="B57:F57"/>
  </mergeCells>
  <hyperlinks>
    <hyperlink ref="K78" location="_ftn1" display="_ftn1" xr:uid="{00000000-0004-0000-2D00-000000000000}"/>
    <hyperlink ref="B83" location="_ftnref1" display="_ftnref1" xr:uid="{00000000-0004-0000-2D00-000001000000}"/>
  </hyperlinks>
  <pageMargins left="0.7" right="0.7" top="0.75" bottom="0.75" header="0.3" footer="0.3"/>
  <pageSetup orientation="portrait" horizontalDpi="4294967295" verticalDpi="4294967295" r:id="rId1"/>
  <headerFooter>
    <oddFooter>&amp;L&amp;1#&amp;"Calibri"&amp;14&amp;K000000Business Use</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BT186"/>
  <sheetViews>
    <sheetView topLeftCell="AB161" zoomScale="70" zoomScaleNormal="70" workbookViewId="0">
      <selection activeCell="AG162" sqref="AG162"/>
    </sheetView>
  </sheetViews>
  <sheetFormatPr defaultColWidth="9.1796875" defaultRowHeight="13" outlineLevelCol="1"/>
  <cols>
    <col min="1" max="1" width="3" style="2" customWidth="1"/>
    <col min="2" max="2" width="7.81640625" style="2" bestFit="1" customWidth="1"/>
    <col min="3" max="3" width="26.81640625" style="2" customWidth="1"/>
    <col min="4" max="4" width="71.54296875" style="2" customWidth="1"/>
    <col min="5" max="5" width="51.90625" style="2" customWidth="1"/>
    <col min="6" max="6" width="29.6328125" style="2" customWidth="1"/>
    <col min="7" max="7" width="11.81640625" style="3" customWidth="1"/>
    <col min="8" max="8" width="12" style="3" customWidth="1"/>
    <col min="9" max="13" width="13.54296875" style="3" customWidth="1" outlineLevel="1"/>
    <col min="14" max="15" width="15.54296875" style="2" customWidth="1"/>
    <col min="16" max="20" width="15.54296875" style="2" customWidth="1" outlineLevel="1"/>
    <col min="21" max="22" width="15.54296875" style="2" customWidth="1"/>
    <col min="23" max="27" width="15.54296875" style="2" customWidth="1" outlineLevel="1"/>
    <col min="28" max="29" width="15.54296875" style="2" customWidth="1"/>
    <col min="30" max="34" width="15.54296875" style="2" customWidth="1" outlineLevel="1"/>
    <col min="35" max="36" width="15.54296875" style="2" customWidth="1"/>
    <col min="37" max="41" width="15.54296875" style="2" customWidth="1" outlineLevel="1"/>
    <col min="42" max="43" width="15.54296875" style="2" customWidth="1"/>
    <col min="44" max="44" width="27.81640625" style="2" customWidth="1" outlineLevel="1"/>
    <col min="45" max="45" width="21.7265625" style="2" customWidth="1" outlineLevel="1"/>
    <col min="46" max="48" width="15.54296875" style="2" customWidth="1" outlineLevel="1"/>
    <col min="49" max="50" width="15.54296875" style="2" customWidth="1"/>
    <col min="51" max="55" width="15.54296875" style="2" customWidth="1" outlineLevel="1"/>
    <col min="56" max="63" width="15.54296875" style="2" customWidth="1"/>
    <col min="64" max="64" width="12.08984375" style="2" bestFit="1" customWidth="1"/>
    <col min="65" max="16384" width="9.1796875" style="2"/>
  </cols>
  <sheetData>
    <row r="1" spans="1:65" s="14" customFormat="1" ht="15" customHeight="1">
      <c r="C1" s="13"/>
      <c r="BD1" s="528"/>
      <c r="BE1" s="528"/>
      <c r="BF1" s="528"/>
      <c r="BG1" s="528"/>
      <c r="BH1" s="528"/>
      <c r="BI1" s="528"/>
      <c r="BJ1" s="528"/>
      <c r="BK1" s="528"/>
      <c r="BL1" s="528"/>
      <c r="BM1" s="528"/>
    </row>
    <row r="2" spans="1:65" s="8" customFormat="1" ht="19.5" customHeight="1">
      <c r="C2" s="8" t="s">
        <v>0</v>
      </c>
      <c r="D2" s="8" t="s">
        <v>75</v>
      </c>
      <c r="F2" s="8" t="s">
        <v>76</v>
      </c>
      <c r="G2" s="8" t="s">
        <v>77</v>
      </c>
      <c r="H2" s="8" t="s">
        <v>78</v>
      </c>
      <c r="I2" s="8" t="s">
        <v>79</v>
      </c>
      <c r="J2" s="8" t="s">
        <v>80</v>
      </c>
      <c r="K2" s="8" t="s">
        <v>81</v>
      </c>
      <c r="L2" s="8" t="s">
        <v>82</v>
      </c>
      <c r="M2" s="8" t="s">
        <v>83</v>
      </c>
      <c r="N2" s="8" t="s">
        <v>84</v>
      </c>
      <c r="O2" s="8" t="s">
        <v>85</v>
      </c>
      <c r="P2" s="8" t="s">
        <v>86</v>
      </c>
      <c r="Q2" s="8" t="s">
        <v>87</v>
      </c>
      <c r="R2" s="8" t="s">
        <v>88</v>
      </c>
      <c r="S2" s="8" t="s">
        <v>89</v>
      </c>
      <c r="T2" s="8" t="s">
        <v>90</v>
      </c>
      <c r="U2" s="8" t="s">
        <v>91</v>
      </c>
      <c r="V2" s="8" t="s">
        <v>92</v>
      </c>
      <c r="W2" s="8" t="s">
        <v>93</v>
      </c>
      <c r="X2" s="8" t="s">
        <v>94</v>
      </c>
      <c r="Y2" s="8" t="s">
        <v>95</v>
      </c>
      <c r="Z2" s="8" t="s">
        <v>96</v>
      </c>
      <c r="AA2" s="8" t="s">
        <v>97</v>
      </c>
      <c r="AB2" s="8" t="s">
        <v>98</v>
      </c>
      <c r="AC2" s="8" t="s">
        <v>99</v>
      </c>
      <c r="AD2" s="8" t="s">
        <v>100</v>
      </c>
      <c r="AE2" s="8" t="s">
        <v>101</v>
      </c>
      <c r="AF2" s="8" t="s">
        <v>102</v>
      </c>
      <c r="AG2" s="8" t="s">
        <v>103</v>
      </c>
      <c r="AH2" s="8" t="s">
        <v>104</v>
      </c>
      <c r="AI2" s="8" t="s">
        <v>105</v>
      </c>
      <c r="AJ2" s="8" t="s">
        <v>106</v>
      </c>
      <c r="AK2" s="8" t="s">
        <v>107</v>
      </c>
      <c r="AL2" s="8" t="s">
        <v>108</v>
      </c>
      <c r="AM2" s="8" t="s">
        <v>109</v>
      </c>
      <c r="AN2" s="8" t="s">
        <v>110</v>
      </c>
      <c r="AO2" s="8" t="s">
        <v>111</v>
      </c>
      <c r="AP2" s="8" t="s">
        <v>112</v>
      </c>
      <c r="AQ2" s="8" t="s">
        <v>113</v>
      </c>
      <c r="AR2" s="8" t="s">
        <v>114</v>
      </c>
      <c r="AS2" s="8" t="s">
        <v>115</v>
      </c>
      <c r="AT2" s="8" t="s">
        <v>116</v>
      </c>
      <c r="AU2" s="8" t="s">
        <v>117</v>
      </c>
      <c r="AV2" s="8" t="s">
        <v>118</v>
      </c>
      <c r="AW2" s="8" t="s">
        <v>119</v>
      </c>
      <c r="AX2" s="8" t="s">
        <v>120</v>
      </c>
      <c r="AY2" s="8" t="s">
        <v>121</v>
      </c>
      <c r="AZ2" s="8" t="s">
        <v>122</v>
      </c>
      <c r="BA2" s="8" t="s">
        <v>123</v>
      </c>
      <c r="BB2" s="8" t="s">
        <v>124</v>
      </c>
      <c r="BC2" s="8" t="s">
        <v>125</v>
      </c>
      <c r="BD2" s="5"/>
      <c r="BE2" s="5"/>
      <c r="BF2" s="5"/>
      <c r="BG2" s="5"/>
      <c r="BH2" s="5"/>
      <c r="BI2" s="5"/>
      <c r="BJ2" s="5"/>
      <c r="BK2" s="5"/>
      <c r="BL2" s="5"/>
      <c r="BM2" s="5"/>
    </row>
    <row r="3" spans="1:65" s="5" customFormat="1" ht="15.5">
      <c r="A3" s="13" t="s">
        <v>126</v>
      </c>
      <c r="C3" s="1"/>
      <c r="D3" s="4"/>
      <c r="E3" s="4"/>
      <c r="G3" s="6"/>
      <c r="H3" s="6"/>
      <c r="I3" s="6"/>
      <c r="J3" s="6"/>
      <c r="K3" s="6"/>
      <c r="L3" s="6"/>
      <c r="M3" s="6"/>
      <c r="N3" s="1348"/>
      <c r="O3" s="1348"/>
      <c r="P3" s="1348"/>
      <c r="Q3" s="1348"/>
      <c r="R3" s="1348"/>
      <c r="S3" s="1348"/>
      <c r="T3" s="1348"/>
      <c r="U3" s="1348"/>
      <c r="V3" s="1348"/>
      <c r="W3" s="1348"/>
      <c r="X3" s="1348"/>
      <c r="Y3" s="1348"/>
      <c r="Z3" s="1348"/>
      <c r="AA3" s="1348"/>
      <c r="AB3" s="1348"/>
      <c r="AC3" s="1348"/>
      <c r="AD3" s="1348"/>
      <c r="AE3" s="1348"/>
      <c r="AF3" s="1348"/>
      <c r="AG3" s="1349"/>
      <c r="AH3" s="441"/>
      <c r="AI3" s="1350"/>
      <c r="AJ3" s="1350"/>
      <c r="AK3" s="1350"/>
      <c r="AL3" s="1350"/>
      <c r="AM3" s="1350"/>
      <c r="AN3" s="1351"/>
      <c r="AO3" s="654"/>
      <c r="AP3" s="1350"/>
      <c r="AQ3" s="1350"/>
      <c r="AR3" s="1350"/>
      <c r="AS3" s="1350"/>
      <c r="AT3" s="1350"/>
      <c r="AU3" s="1351"/>
      <c r="AV3" s="655"/>
      <c r="AW3" s="1352"/>
      <c r="AX3" s="1352"/>
      <c r="AY3" s="1352"/>
      <c r="AZ3" s="1352"/>
      <c r="BA3" s="1352"/>
      <c r="BB3" s="1352"/>
      <c r="BC3" s="279"/>
    </row>
    <row r="4" spans="1:65">
      <c r="D4" s="8"/>
      <c r="E4" s="8"/>
      <c r="N4" s="476" t="s">
        <v>0</v>
      </c>
      <c r="O4" s="476" t="s">
        <v>0</v>
      </c>
      <c r="P4" s="476" t="s">
        <v>0</v>
      </c>
      <c r="Q4" s="476" t="s">
        <v>0</v>
      </c>
      <c r="R4" s="476" t="s">
        <v>0</v>
      </c>
      <c r="S4" s="476" t="s">
        <v>0</v>
      </c>
      <c r="T4" s="476" t="s">
        <v>0</v>
      </c>
      <c r="U4" s="476" t="s">
        <v>0</v>
      </c>
      <c r="V4" s="476" t="s">
        <v>0</v>
      </c>
      <c r="W4" s="476" t="s">
        <v>0</v>
      </c>
      <c r="X4" s="476" t="s">
        <v>0</v>
      </c>
      <c r="Y4" s="476" t="s">
        <v>0</v>
      </c>
      <c r="Z4" s="476" t="s">
        <v>0</v>
      </c>
      <c r="AA4" s="476" t="s">
        <v>0</v>
      </c>
      <c r="AB4" s="476" t="s">
        <v>0</v>
      </c>
      <c r="AC4" s="476" t="s">
        <v>0</v>
      </c>
      <c r="AD4" s="476" t="s">
        <v>0</v>
      </c>
      <c r="AE4" s="476" t="s">
        <v>0</v>
      </c>
      <c r="AF4" s="476" t="s">
        <v>0</v>
      </c>
      <c r="AG4" s="476" t="s">
        <v>0</v>
      </c>
      <c r="AH4" s="476" t="s">
        <v>0</v>
      </c>
      <c r="AI4" s="478" t="s">
        <v>0</v>
      </c>
      <c r="AJ4" s="478" t="s">
        <v>0</v>
      </c>
      <c r="AK4" s="478" t="s">
        <v>0</v>
      </c>
      <c r="AL4" s="478" t="s">
        <v>0</v>
      </c>
      <c r="AM4" s="478" t="s">
        <v>0</v>
      </c>
      <c r="AN4" s="478" t="s">
        <v>0</v>
      </c>
      <c r="AO4" s="478" t="s">
        <v>0</v>
      </c>
      <c r="AP4" s="478" t="s">
        <v>0</v>
      </c>
      <c r="AQ4" s="478" t="s">
        <v>0</v>
      </c>
      <c r="AR4" s="478" t="s">
        <v>0</v>
      </c>
      <c r="AS4" s="478" t="s">
        <v>0</v>
      </c>
      <c r="AT4" s="478" t="s">
        <v>0</v>
      </c>
      <c r="AU4" s="478" t="s">
        <v>0</v>
      </c>
      <c r="AV4" s="478" t="s">
        <v>0</v>
      </c>
      <c r="AW4" s="478" t="s">
        <v>0</v>
      </c>
      <c r="AX4" s="478" t="s">
        <v>0</v>
      </c>
      <c r="AY4" s="478" t="s">
        <v>0</v>
      </c>
      <c r="AZ4" s="478" t="s">
        <v>0</v>
      </c>
      <c r="BA4" s="478" t="s">
        <v>0</v>
      </c>
      <c r="BB4" s="478" t="s">
        <v>0</v>
      </c>
      <c r="BC4" s="478" t="s">
        <v>0</v>
      </c>
      <c r="BD4" s="318"/>
      <c r="BE4" s="318"/>
      <c r="BF4" s="318"/>
      <c r="BG4" s="318"/>
      <c r="BH4" s="318"/>
      <c r="BI4" s="318"/>
      <c r="BJ4" s="318"/>
      <c r="BK4" s="318"/>
    </row>
    <row r="5" spans="1:65" ht="26">
      <c r="B5" s="656" t="s">
        <v>127</v>
      </c>
      <c r="C5" s="656"/>
      <c r="D5" s="656"/>
      <c r="E5" s="656"/>
      <c r="F5" s="656"/>
      <c r="G5" s="1346"/>
      <c r="H5" s="1346"/>
      <c r="I5" s="1346"/>
      <c r="J5" s="1346"/>
      <c r="K5" s="1346"/>
      <c r="L5" s="1347"/>
      <c r="M5" s="657"/>
      <c r="N5" s="476" t="s">
        <v>128</v>
      </c>
      <c r="O5" s="476" t="s">
        <v>128</v>
      </c>
      <c r="P5" s="476" t="s">
        <v>128</v>
      </c>
      <c r="Q5" s="476" t="s">
        <v>128</v>
      </c>
      <c r="R5" s="476" t="s">
        <v>128</v>
      </c>
      <c r="S5" s="476" t="s">
        <v>128</v>
      </c>
      <c r="T5" s="476" t="s">
        <v>128</v>
      </c>
      <c r="U5" s="476" t="s">
        <v>129</v>
      </c>
      <c r="V5" s="476" t="s">
        <v>129</v>
      </c>
      <c r="W5" s="476" t="s">
        <v>129</v>
      </c>
      <c r="X5" s="476" t="s">
        <v>129</v>
      </c>
      <c r="Y5" s="476" t="s">
        <v>129</v>
      </c>
      <c r="Z5" s="476" t="s">
        <v>129</v>
      </c>
      <c r="AA5" s="476" t="s">
        <v>129</v>
      </c>
      <c r="AB5" s="476" t="s">
        <v>130</v>
      </c>
      <c r="AC5" s="476" t="s">
        <v>130</v>
      </c>
      <c r="AD5" s="476" t="s">
        <v>130</v>
      </c>
      <c r="AE5" s="476" t="s">
        <v>130</v>
      </c>
      <c r="AF5" s="476" t="s">
        <v>130</v>
      </c>
      <c r="AG5" s="476" t="s">
        <v>130</v>
      </c>
      <c r="AH5" s="476" t="s">
        <v>130</v>
      </c>
      <c r="AI5" s="477" t="s">
        <v>131</v>
      </c>
      <c r="AJ5" s="477" t="s">
        <v>131</v>
      </c>
      <c r="AK5" s="477" t="s">
        <v>131</v>
      </c>
      <c r="AL5" s="477" t="s">
        <v>131</v>
      </c>
      <c r="AM5" s="477" t="s">
        <v>131</v>
      </c>
      <c r="AN5" s="477" t="s">
        <v>131</v>
      </c>
      <c r="AO5" s="477" t="s">
        <v>131</v>
      </c>
      <c r="AP5" s="477" t="s">
        <v>132</v>
      </c>
      <c r="AQ5" s="477" t="s">
        <v>132</v>
      </c>
      <c r="AR5" s="477" t="s">
        <v>132</v>
      </c>
      <c r="AS5" s="477" t="s">
        <v>132</v>
      </c>
      <c r="AT5" s="477" t="s">
        <v>132</v>
      </c>
      <c r="AU5" s="477" t="s">
        <v>132</v>
      </c>
      <c r="AV5" s="477" t="s">
        <v>132</v>
      </c>
      <c r="AW5" s="477" t="s">
        <v>133</v>
      </c>
      <c r="AX5" s="477" t="s">
        <v>133</v>
      </c>
      <c r="AY5" s="477" t="s">
        <v>133</v>
      </c>
      <c r="AZ5" s="477" t="s">
        <v>133</v>
      </c>
      <c r="BA5" s="477" t="s">
        <v>133</v>
      </c>
      <c r="BB5" s="477" t="s">
        <v>133</v>
      </c>
      <c r="BC5" s="477" t="s">
        <v>133</v>
      </c>
      <c r="BD5" s="1343" t="s">
        <v>134</v>
      </c>
      <c r="BE5" s="1344"/>
      <c r="BF5" s="1344"/>
      <c r="BG5" s="1344"/>
      <c r="BH5" s="1344"/>
      <c r="BI5" s="1344"/>
      <c r="BJ5" s="1344"/>
      <c r="BK5" s="1345"/>
    </row>
    <row r="6" spans="1:65" ht="42" customHeight="1">
      <c r="B6" s="443" t="s">
        <v>135</v>
      </c>
      <c r="C6" s="443" t="s">
        <v>8</v>
      </c>
      <c r="D6" s="443" t="s">
        <v>136</v>
      </c>
      <c r="E6" s="443" t="s">
        <v>137</v>
      </c>
      <c r="F6" s="443" t="s">
        <v>138</v>
      </c>
      <c r="G6" s="658" t="s">
        <v>15</v>
      </c>
      <c r="H6" s="658" t="s">
        <v>16</v>
      </c>
      <c r="I6" s="658" t="s">
        <v>17</v>
      </c>
      <c r="J6" s="658" t="s">
        <v>18</v>
      </c>
      <c r="K6" s="658" t="s">
        <v>19</v>
      </c>
      <c r="L6" s="658" t="s">
        <v>20</v>
      </c>
      <c r="M6" s="658" t="s">
        <v>21</v>
      </c>
      <c r="N6" s="479">
        <v>2024</v>
      </c>
      <c r="O6" s="479">
        <v>2025</v>
      </c>
      <c r="P6" s="479">
        <v>2026</v>
      </c>
      <c r="Q6" s="479">
        <v>2027</v>
      </c>
      <c r="R6" s="479">
        <v>2028</v>
      </c>
      <c r="S6" s="479">
        <v>2029</v>
      </c>
      <c r="T6" s="479">
        <v>2030</v>
      </c>
      <c r="U6" s="479">
        <v>2024</v>
      </c>
      <c r="V6" s="479">
        <v>2025</v>
      </c>
      <c r="W6" s="479">
        <v>2026</v>
      </c>
      <c r="X6" s="479">
        <v>2027</v>
      </c>
      <c r="Y6" s="479">
        <v>2028</v>
      </c>
      <c r="Z6" s="479">
        <v>2029</v>
      </c>
      <c r="AA6" s="479">
        <v>2030</v>
      </c>
      <c r="AB6" s="479">
        <v>2024</v>
      </c>
      <c r="AC6" s="479">
        <v>2025</v>
      </c>
      <c r="AD6" s="479">
        <v>2026</v>
      </c>
      <c r="AE6" s="479">
        <v>2027</v>
      </c>
      <c r="AF6" s="479">
        <v>2028</v>
      </c>
      <c r="AG6" s="479">
        <v>2029</v>
      </c>
      <c r="AH6" s="479">
        <v>2030</v>
      </c>
      <c r="AI6" s="480">
        <v>2024</v>
      </c>
      <c r="AJ6" s="480">
        <v>2025</v>
      </c>
      <c r="AK6" s="480">
        <v>2026</v>
      </c>
      <c r="AL6" s="480">
        <v>2027</v>
      </c>
      <c r="AM6" s="480">
        <v>2028</v>
      </c>
      <c r="AN6" s="480">
        <v>2029</v>
      </c>
      <c r="AO6" s="480">
        <v>2030</v>
      </c>
      <c r="AP6" s="480">
        <v>2024</v>
      </c>
      <c r="AQ6" s="480">
        <v>2025</v>
      </c>
      <c r="AR6" s="480">
        <v>2026</v>
      </c>
      <c r="AS6" s="480">
        <v>2027</v>
      </c>
      <c r="AT6" s="480">
        <v>2028</v>
      </c>
      <c r="AU6" s="480">
        <v>2029</v>
      </c>
      <c r="AV6" s="480">
        <v>2030</v>
      </c>
      <c r="AW6" s="480">
        <v>2024</v>
      </c>
      <c r="AX6" s="480">
        <v>2025</v>
      </c>
      <c r="AY6" s="480">
        <v>2026</v>
      </c>
      <c r="AZ6" s="480">
        <v>2027</v>
      </c>
      <c r="BA6" s="480">
        <v>2028</v>
      </c>
      <c r="BB6" s="480">
        <v>2029</v>
      </c>
      <c r="BC6" s="480">
        <v>2030</v>
      </c>
      <c r="BD6" s="659" t="s">
        <v>9</v>
      </c>
      <c r="BE6" s="659" t="s">
        <v>139</v>
      </c>
      <c r="BF6" s="659" t="s">
        <v>140</v>
      </c>
      <c r="BG6" s="659" t="s">
        <v>141</v>
      </c>
      <c r="BH6" s="659" t="s">
        <v>142</v>
      </c>
      <c r="BI6" s="659" t="s">
        <v>12</v>
      </c>
      <c r="BJ6" s="659" t="s">
        <v>13</v>
      </c>
      <c r="BK6" s="659" t="s">
        <v>14</v>
      </c>
    </row>
    <row r="7" spans="1:65">
      <c r="B7" s="570">
        <v>1</v>
      </c>
      <c r="C7" s="570" t="s">
        <v>69</v>
      </c>
      <c r="D7" s="660" t="str">
        <f ca="1">VLOOKUP($B7,INDIRECT("'"&amp;$C7&amp;"'!A6:FC1000"),IF(D$6="Participation 2023",MATCH("__Participation 2023",INDIRECT("'"&amp;$C7&amp;"'!1:1"),0),IF(D$6="Participation",MATCH("_Total Plan Summary _Participation",INDIRECT("'"&amp;$C7&amp;"'!1:1"),0),MATCH(D$4&amp;"_"&amp;D$5&amp;"_"&amp;D$6,INDIRECT("'"&amp;$C7&amp;"'!1:1"),0))),0)</f>
        <v>Program Development &amp; Administration (PDA)</v>
      </c>
      <c r="E7" s="660" t="str">
        <f t="shared" ref="E7:F8" ca="1" si="0">VLOOKUP($B7,INDIRECT("'"&amp;$C7&amp;"'!A6:FC1000"),IF(E$6="Participation 2023",MATCH("__Participation 2023",INDIRECT("'"&amp;$C7&amp;"'!1:1"),0),IF(E$6="Participation",MATCH("_Total Plan Summary _Participation",INDIRECT("'"&amp;$C7&amp;"'!1:1"),0),MATCH(E$4&amp;"_"&amp;E$5&amp;"_"&amp;E$6,INDIRECT("'"&amp;$C7&amp;"'!1:1"),0))),0)</f>
        <v>PDA</v>
      </c>
      <c r="F7" s="660" t="str">
        <f t="shared" ca="1" si="0"/>
        <v>Per Program</v>
      </c>
      <c r="G7" s="652">
        <f t="shared" ref="G7:T24" ca="1" si="1">VLOOKUP($B7,INDIRECT("'"&amp;$C7&amp;"'!A6:FR1000"),IF(G$6="Participation 2023",MATCH("__Participation 2023",INDIRECT("'"&amp;$C7&amp;"'!1:1"),0),IF(G$6="Participation",MATCH("_Total Plan Summary _Participation",INDIRECT("'"&amp;$C7&amp;"'!1:1"),0),MATCH(G$4&amp;"_"&amp;G$5&amp;"_"&amp;G$6,INDIRECT("'"&amp;$C7&amp;"'!1:1"),0))),0)</f>
        <v>1</v>
      </c>
      <c r="H7" s="652">
        <f t="shared" ca="1" si="1"/>
        <v>1</v>
      </c>
      <c r="I7" s="652">
        <f t="shared" ca="1" si="1"/>
        <v>1</v>
      </c>
      <c r="J7" s="652">
        <f ca="1">VLOOKUP($B7,INDIRECT("'"&amp;$C7&amp;"'!A6:FR1000"),IF(J$6="Participation 2023",MATCH("__Participation 2023",INDIRECT("'"&amp;$C7&amp;"'!1:1"),0),IF(J$6="Participation",MATCH("_Total Plan Summary _Participation",INDIRECT("'"&amp;$C7&amp;"'!1:1"),0),MATCH(J$4&amp;"_"&amp;J$5&amp;"_"&amp;J$6,INDIRECT("'"&amp;$C7&amp;"'!1:1"),0))),0)</f>
        <v>1</v>
      </c>
      <c r="K7" s="652">
        <f t="shared" ca="1" si="1"/>
        <v>1</v>
      </c>
      <c r="L7" s="652">
        <f t="shared" ca="1" si="1"/>
        <v>1</v>
      </c>
      <c r="M7" s="652">
        <f t="shared" ca="1" si="1"/>
        <v>1</v>
      </c>
      <c r="N7" s="652">
        <f t="shared" ref="N7:AZ13" ca="1" si="2">VLOOKUP($B7,INDIRECT("'"&amp;$C7&amp;"'!A6:FR1000"),IF(N$6="Participation 2023",MATCH("__Participation 2023",INDIRECT("'"&amp;$C7&amp;"'!1:1"),0),IF(N$6="Participation",MATCH("_Total Plan Summary _Participation",INDIRECT("'"&amp;$C7&amp;"'!1:1"),0),MATCH(N$4&amp;"_"&amp;N$5&amp;"_"&amp;N$6,INDIRECT("'"&amp;$C7&amp;"'!1:1"),0))),0)</f>
        <v>0</v>
      </c>
      <c r="O7" s="652">
        <f t="shared" ca="1" si="2"/>
        <v>0</v>
      </c>
      <c r="P7" s="652">
        <f t="shared" ca="1" si="2"/>
        <v>0</v>
      </c>
      <c r="Q7" s="652">
        <f t="shared" ca="1" si="2"/>
        <v>0</v>
      </c>
      <c r="R7" s="652">
        <f t="shared" ca="1" si="2"/>
        <v>0</v>
      </c>
      <c r="S7" s="652">
        <f t="shared" ca="1" si="2"/>
        <v>0</v>
      </c>
      <c r="T7" s="652">
        <f t="shared" ca="1" si="2"/>
        <v>0</v>
      </c>
      <c r="U7" s="652">
        <f t="shared" ca="1" si="2"/>
        <v>0</v>
      </c>
      <c r="V7" s="652">
        <f t="shared" ca="1" si="2"/>
        <v>0</v>
      </c>
      <c r="W7" s="652">
        <f t="shared" ca="1" si="2"/>
        <v>0</v>
      </c>
      <c r="X7" s="652">
        <f t="shared" ca="1" si="2"/>
        <v>0</v>
      </c>
      <c r="Y7" s="652">
        <f t="shared" ca="1" si="2"/>
        <v>0</v>
      </c>
      <c r="Z7" s="652">
        <f t="shared" ca="1" si="2"/>
        <v>0</v>
      </c>
      <c r="AA7" s="652">
        <f t="shared" ca="1" si="2"/>
        <v>0</v>
      </c>
      <c r="AB7" s="652">
        <f t="shared" ca="1" si="2"/>
        <v>0</v>
      </c>
      <c r="AC7" s="652">
        <f t="shared" ca="1" si="2"/>
        <v>0</v>
      </c>
      <c r="AD7" s="652">
        <f t="shared" ca="1" si="2"/>
        <v>0</v>
      </c>
      <c r="AE7" s="652">
        <f t="shared" ca="1" si="2"/>
        <v>0</v>
      </c>
      <c r="AF7" s="652">
        <f t="shared" ca="1" si="2"/>
        <v>0</v>
      </c>
      <c r="AG7" s="652">
        <f t="shared" ca="1" si="2"/>
        <v>0</v>
      </c>
      <c r="AH7" s="652">
        <f t="shared" ca="1" si="2"/>
        <v>0</v>
      </c>
      <c r="AI7" s="652">
        <f t="shared" ca="1" si="2"/>
        <v>0</v>
      </c>
      <c r="AJ7" s="652">
        <f t="shared" ca="1" si="2"/>
        <v>0</v>
      </c>
      <c r="AK7" s="652">
        <f t="shared" ca="1" si="2"/>
        <v>0</v>
      </c>
      <c r="AL7" s="652">
        <f t="shared" ca="1" si="2"/>
        <v>0</v>
      </c>
      <c r="AM7" s="652">
        <f t="shared" ca="1" si="2"/>
        <v>0</v>
      </c>
      <c r="AN7" s="652">
        <f ca="1">VLOOKUP($B7,INDIRECT("'"&amp;$C7&amp;"'!A6:FR1000"),IF(AN$6="Participation 2023",MATCH("__Participation 2023",INDIRECT("'"&amp;$C7&amp;"'!1:1"),0),IF(AN$6="Participation",MATCH("_Total Plan Summary _Participation",INDIRECT("'"&amp;$C7&amp;"'!1:1"),0),MATCH(AN$4&amp;"_"&amp;AN$5&amp;"_"&amp;AN$6,INDIRECT("'"&amp;$C7&amp;"'!1:1"),0))),0)</f>
        <v>0</v>
      </c>
      <c r="AO7" s="652">
        <f t="shared" ca="1" si="2"/>
        <v>0</v>
      </c>
      <c r="AP7" s="652">
        <f t="shared" ca="1" si="2"/>
        <v>0</v>
      </c>
      <c r="AQ7" s="652">
        <f t="shared" ca="1" si="2"/>
        <v>0</v>
      </c>
      <c r="AR7" s="652">
        <f t="shared" ca="1" si="2"/>
        <v>0</v>
      </c>
      <c r="AS7" s="652">
        <f t="shared" ref="AS7:AZ7" ca="1" si="3">VLOOKUP($B7,INDIRECT("'"&amp;$C7&amp;"'!A6:FR1000"),IF(AS$6="Participation 2023",MATCH("__Participation 2023",INDIRECT("'"&amp;$C7&amp;"'!1:1"),0),IF(AS$6="Participation",MATCH("_Total Plan Summary _Participation",INDIRECT("'"&amp;$C7&amp;"'!1:1"),0),MATCH(AS$4&amp;"_"&amp;AS$5&amp;"_"&amp;AS$6,INDIRECT("'"&amp;$C7&amp;"'!1:1"),0))),0)</f>
        <v>0</v>
      </c>
      <c r="AT7" s="652">
        <f t="shared" ca="1" si="3"/>
        <v>0</v>
      </c>
      <c r="AU7" s="652">
        <f t="shared" ca="1" si="3"/>
        <v>0</v>
      </c>
      <c r="AV7" s="652">
        <f t="shared" ca="1" si="3"/>
        <v>0</v>
      </c>
      <c r="AW7" s="652">
        <f t="shared" ca="1" si="3"/>
        <v>0</v>
      </c>
      <c r="AX7" s="652">
        <f t="shared" ca="1" si="3"/>
        <v>0</v>
      </c>
      <c r="AY7" s="652">
        <f t="shared" ca="1" si="3"/>
        <v>0</v>
      </c>
      <c r="AZ7" s="652">
        <f t="shared" ca="1" si="3"/>
        <v>0</v>
      </c>
      <c r="BA7" s="652">
        <f ca="1">VLOOKUP($B7,INDIRECT("'"&amp;$C7&amp;"'!A6:FR1000"),IF(BA$6="Participation 2023",MATCH("__Participation 2023",INDIRECT("'"&amp;$C7&amp;"'!1:1"),0),IF(BA$6="Participation",MATCH("_Total Plan Summary _Participation",INDIRECT("'"&amp;$C7&amp;"'!1:1"),0),MATCH(BA$4&amp;"_"&amp;BA$5&amp;"_"&amp;BA$6,INDIRECT("'"&amp;$C7&amp;"'!1:1"),0))),0)</f>
        <v>0</v>
      </c>
      <c r="BB7" s="652">
        <f t="shared" ref="BB7:BC24" ca="1" si="4">VLOOKUP($B7,INDIRECT("'"&amp;$C7&amp;"'!A6:FR1000"),IF(BB$6="Participation 2023",MATCH("__Participation 2023",INDIRECT("'"&amp;$C7&amp;"'!1:1"),0),IF(BB$6="Participation",MATCH("_Total Plan Summary _Participation",INDIRECT("'"&amp;$C7&amp;"'!1:1"),0),MATCH(BB$4&amp;"_"&amp;BB$5&amp;"_"&amp;BB$6,INDIRECT("'"&amp;$C7&amp;"'!1:1"),0))),0)</f>
        <v>0</v>
      </c>
      <c r="BC7" s="652">
        <f t="shared" ca="1" si="4"/>
        <v>0</v>
      </c>
      <c r="BD7" s="652">
        <f ca="1">SUM(G7:M7)</f>
        <v>7</v>
      </c>
      <c r="BE7" s="652">
        <f t="shared" ref="BE7:BK24" ca="1" si="5">VLOOKUP($B7,INDIRECT("'"&amp;$C7&amp;"'!A6:FR1000"),IF(BE$6="Participation 2023",MATCH("__Participation 2023",INDIRECT("'"&amp;$C7&amp;"'!1:1"),0),IF(BE$6="Participation",MATCH("_Total Plan Summary _Participation",INDIRECT("'"&amp;$C7&amp;"'!1:1"),0),MATCH(BE$4&amp;"_"&amp;BE$5&amp;"_"&amp;BE$6,INDIRECT("'"&amp;$C7&amp;"'!1:1"),0))),0)</f>
        <v>0</v>
      </c>
      <c r="BF7" s="652">
        <f t="shared" ca="1" si="5"/>
        <v>0</v>
      </c>
      <c r="BG7" s="652">
        <f t="shared" ca="1" si="5"/>
        <v>0</v>
      </c>
      <c r="BH7" s="652">
        <f ca="1">VLOOKUP($B7,INDIRECT("'"&amp;$C7&amp;"'!A6:FR1000"),IF(BH$6="Participation 2023",MATCH("__Participation 2023",INDIRECT("'"&amp;$C7&amp;"'!1:1"),0),IF(BH$6="Participation",MATCH("_Total Plan Summary _Participation",INDIRECT("'"&amp;$C7&amp;"'!1:1"),0),MATCH(BH$4&amp;"_"&amp;BH$5&amp;"_"&amp;BH$6,INDIRECT("'"&amp;$C7&amp;"'!1:1"),0))),0)</f>
        <v>0</v>
      </c>
      <c r="BI7" s="652">
        <f t="shared" ca="1" si="5"/>
        <v>0</v>
      </c>
      <c r="BJ7" s="652">
        <f t="shared" ca="1" si="5"/>
        <v>0</v>
      </c>
      <c r="BK7" s="652">
        <f t="shared" ca="1" si="5"/>
        <v>0</v>
      </c>
    </row>
    <row r="8" spans="1:65">
      <c r="A8" s="526"/>
      <c r="B8" s="661">
        <v>1</v>
      </c>
      <c r="C8" s="662" t="s">
        <v>57</v>
      </c>
      <c r="D8" s="660" t="str">
        <f ca="1">VLOOKUP($B8,INDIRECT("'"&amp;$C8&amp;"'!A6:FC1000"),IF(D$6="Participation 2023",MATCH("__Participation 2023",INDIRECT("'"&amp;$C8&amp;"'!1:1"),0),IF(D$6="Participation",MATCH("_Total Plan Summary _Participation",INDIRECT("'"&amp;$C8&amp;"'!1:1"),0),MATCH(D$4&amp;"_"&amp;D$5&amp;"_"&amp;D$6,INDIRECT("'"&amp;$C8&amp;"'!1:1"),0))),0)</f>
        <v>WeCare V2 Weatherization Project - Single Family - Complete Package</v>
      </c>
      <c r="E8" s="660" t="str">
        <f t="shared" ca="1" si="0"/>
        <v>Low Income Heating Assistance Program (LIHEAP) at 300% FPL</v>
      </c>
      <c r="F8" s="660" t="str">
        <f t="shared" ca="1" si="0"/>
        <v>Per Home</v>
      </c>
      <c r="G8" s="652">
        <f t="shared" ca="1" si="1"/>
        <v>4590</v>
      </c>
      <c r="H8" s="652">
        <f t="shared" ca="1" si="1"/>
        <v>4590</v>
      </c>
      <c r="I8" s="652">
        <f t="shared" ca="1" si="1"/>
        <v>4590</v>
      </c>
      <c r="J8" s="652">
        <f ca="1">VLOOKUP($B8,INDIRECT("'"&amp;$C8&amp;"'!A6:FR1000"),IF(J$6="Participation 2023",MATCH("__Participation 2023",INDIRECT("'"&amp;$C8&amp;"'!1:1"),0),IF(J$6="Participation",MATCH("_Total Plan Summary _Participation",INDIRECT("'"&amp;$C8&amp;"'!1:1"),0),MATCH(J$4&amp;"_"&amp;J$5&amp;"_"&amp;J$6,INDIRECT("'"&amp;$C8&amp;"'!1:1"),0))),0)</f>
        <v>4590</v>
      </c>
      <c r="K8" s="652">
        <f t="shared" ca="1" si="1"/>
        <v>4590</v>
      </c>
      <c r="L8" s="652">
        <f t="shared" ca="1" si="1"/>
        <v>4590</v>
      </c>
      <c r="M8" s="652">
        <f t="shared" ca="1" si="1"/>
        <v>4590</v>
      </c>
      <c r="N8" s="652">
        <f t="shared" ca="1" si="2"/>
        <v>0</v>
      </c>
      <c r="O8" s="652">
        <f t="shared" ca="1" si="2"/>
        <v>0</v>
      </c>
      <c r="P8" s="652">
        <f t="shared" ca="1" si="2"/>
        <v>0</v>
      </c>
      <c r="Q8" s="652">
        <f t="shared" ca="1" si="2"/>
        <v>0</v>
      </c>
      <c r="R8" s="652">
        <f t="shared" ca="1" si="2"/>
        <v>0</v>
      </c>
      <c r="S8" s="652">
        <f t="shared" ca="1" si="2"/>
        <v>0</v>
      </c>
      <c r="T8" s="652">
        <f t="shared" ca="1" si="2"/>
        <v>0</v>
      </c>
      <c r="U8" s="652">
        <f t="shared" ca="1" si="2"/>
        <v>0</v>
      </c>
      <c r="V8" s="652">
        <f t="shared" ca="1" si="2"/>
        <v>0</v>
      </c>
      <c r="W8" s="652">
        <f t="shared" ca="1" si="2"/>
        <v>0</v>
      </c>
      <c r="X8" s="652">
        <f t="shared" ca="1" si="2"/>
        <v>0</v>
      </c>
      <c r="Y8" s="652">
        <f t="shared" ca="1" si="2"/>
        <v>0</v>
      </c>
      <c r="Z8" s="652">
        <f t="shared" ca="1" si="2"/>
        <v>0</v>
      </c>
      <c r="AA8" s="652">
        <f t="shared" ca="1" si="2"/>
        <v>0</v>
      </c>
      <c r="AB8" s="652">
        <f t="shared" ca="1" si="2"/>
        <v>0</v>
      </c>
      <c r="AC8" s="652">
        <f t="shared" ca="1" si="2"/>
        <v>0</v>
      </c>
      <c r="AD8" s="652">
        <f t="shared" ca="1" si="2"/>
        <v>0</v>
      </c>
      <c r="AE8" s="652">
        <f t="shared" ca="1" si="2"/>
        <v>0</v>
      </c>
      <c r="AF8" s="652">
        <f t="shared" ca="1" si="2"/>
        <v>0</v>
      </c>
      <c r="AG8" s="652">
        <f t="shared" ca="1" si="2"/>
        <v>0</v>
      </c>
      <c r="AH8" s="652">
        <f t="shared" ca="1" si="2"/>
        <v>0</v>
      </c>
      <c r="AI8" s="652">
        <f t="shared" ca="1" si="2"/>
        <v>3641017.5</v>
      </c>
      <c r="AJ8" s="652">
        <f t="shared" ca="1" si="2"/>
        <v>3641017.5</v>
      </c>
      <c r="AK8" s="652">
        <f t="shared" ca="1" si="2"/>
        <v>3641017.5</v>
      </c>
      <c r="AL8" s="652">
        <f t="shared" ca="1" si="2"/>
        <v>3641017.5</v>
      </c>
      <c r="AM8" s="652">
        <f t="shared" ca="1" si="2"/>
        <v>3641017.5</v>
      </c>
      <c r="AN8" s="652">
        <f ca="1">VLOOKUP($B8,INDIRECT("'"&amp;$C8&amp;"'!A6:FR1000"),IF(AN$6="Participation 2023",MATCH("__Participation 2023",INDIRECT("'"&amp;$C8&amp;"'!1:1"),0),IF(AN$6="Participation",MATCH("_Total Plan Summary _Participation",INDIRECT("'"&amp;$C8&amp;"'!1:1"),0),MATCH(AN$4&amp;"_"&amp;AN$5&amp;"_"&amp;AN$6,INDIRECT("'"&amp;$C8&amp;"'!1:1"),0))),0)</f>
        <v>3641017.5</v>
      </c>
      <c r="AO8" s="652">
        <f t="shared" ca="1" si="2"/>
        <v>3641017.5</v>
      </c>
      <c r="AP8" s="652">
        <f t="shared" ca="1" si="2"/>
        <v>311.26966633157275</v>
      </c>
      <c r="AQ8" s="652">
        <f t="shared" ca="1" si="2"/>
        <v>311.26966633157275</v>
      </c>
      <c r="AR8" s="652">
        <f t="shared" ca="1" si="2"/>
        <v>311.26966633157275</v>
      </c>
      <c r="AS8" s="652">
        <f t="shared" ca="1" si="2"/>
        <v>311.26966633157275</v>
      </c>
      <c r="AT8" s="652">
        <f t="shared" ca="1" si="2"/>
        <v>311.26966633157275</v>
      </c>
      <c r="AU8" s="652">
        <f t="shared" ca="1" si="2"/>
        <v>311.26966633157275</v>
      </c>
      <c r="AV8" s="652">
        <f t="shared" ca="1" si="2"/>
        <v>311.26966633157275</v>
      </c>
      <c r="AW8" s="652">
        <f t="shared" ca="1" si="2"/>
        <v>123755.57999999999</v>
      </c>
      <c r="AX8" s="652">
        <f t="shared" ca="1" si="2"/>
        <v>123755.57999999999</v>
      </c>
      <c r="AY8" s="652">
        <f t="shared" ca="1" si="2"/>
        <v>123755.57999999999</v>
      </c>
      <c r="AZ8" s="652">
        <f t="shared" ca="1" si="2"/>
        <v>123755.57999999999</v>
      </c>
      <c r="BA8" s="652">
        <f ca="1">VLOOKUP($B8,INDIRECT("'"&amp;$C8&amp;"'!A6:FR1000"),IF(BA$6="Participation 2023",MATCH("__Participation 2023",INDIRECT("'"&amp;$C8&amp;"'!1:1"),0),IF(BA$6="Participation",MATCH("_Total Plan Summary _Participation",INDIRECT("'"&amp;$C8&amp;"'!1:1"),0),MATCH(BA$4&amp;"_"&amp;BA$5&amp;"_"&amp;BA$6,INDIRECT("'"&amp;$C8&amp;"'!1:1"),0))),0)</f>
        <v>123755.57999999999</v>
      </c>
      <c r="BB8" s="652">
        <f t="shared" ca="1" si="4"/>
        <v>123755.57999999999</v>
      </c>
      <c r="BC8" s="652">
        <f t="shared" ca="1" si="4"/>
        <v>123755.57999999999</v>
      </c>
      <c r="BD8" s="652">
        <f t="shared" ref="BD8:BD72" ca="1" si="6">SUM(G8:M8)</f>
        <v>32130</v>
      </c>
      <c r="BE8" s="652">
        <f t="shared" ca="1" si="5"/>
        <v>0</v>
      </c>
      <c r="BF8" s="652">
        <f t="shared" ca="1" si="5"/>
        <v>0</v>
      </c>
      <c r="BG8" s="652">
        <f t="shared" ca="1" si="5"/>
        <v>0</v>
      </c>
      <c r="BH8" s="652">
        <f ca="1">VLOOKUP($B8,INDIRECT("'"&amp;$C8&amp;"'!A6:FR1000"),IF(BH$6="Participation 2023",MATCH("__Participation 2023",INDIRECT("'"&amp;$C8&amp;"'!1:1"),0),IF(BH$6="Participation",MATCH("_Total Plan Summary _Participation",INDIRECT("'"&amp;$C8&amp;"'!1:1"),0),MATCH(BH$4&amp;"_"&amp;BH$5&amp;"_"&amp;BH$6,INDIRECT("'"&amp;$C8&amp;"'!1:1"),0))),0)</f>
        <v>58315950</v>
      </c>
      <c r="BI8" s="652">
        <f t="shared" ca="1" si="5"/>
        <v>25487122.5</v>
      </c>
      <c r="BJ8" s="652">
        <f t="shared" ca="1" si="5"/>
        <v>2178.8876643210092</v>
      </c>
      <c r="BK8" s="652">
        <f t="shared" ca="1" si="5"/>
        <v>866289.05999999982</v>
      </c>
    </row>
    <row r="9" spans="1:65">
      <c r="A9" s="526"/>
      <c r="B9" s="661">
        <v>2</v>
      </c>
      <c r="C9" s="662" t="s">
        <v>57</v>
      </c>
      <c r="D9" s="660" t="str">
        <f t="shared" ref="D9:F17" ca="1" si="7">VLOOKUP($B9,INDIRECT("'"&amp;$C9&amp;"'!A6:FC1000"),IF(D$6="Participation 2023",MATCH("__Participation 2023",INDIRECT("'"&amp;$C9&amp;"'!1:1"),0),IF(D$6="Participation",MATCH("_Total Plan Summary _Participation",INDIRECT("'"&amp;$C9&amp;"'!1:1"),0),MATCH(D$4&amp;"_"&amp;D$5&amp;"_"&amp;D$6,INDIRECT("'"&amp;$C9&amp;"'!1:1"),0))),0)</f>
        <v>WeCare V2 Smart Thermostat - Single Family (with direct enrollment to DR)</v>
      </c>
      <c r="E9" s="660" t="str">
        <f t="shared" ca="1" si="7"/>
        <v>Smart thermostat rebate with direct enrollment to DR</v>
      </c>
      <c r="F9" s="660" t="str">
        <f t="shared" ca="1" si="7"/>
        <v>Per smart thermostat</v>
      </c>
      <c r="G9" s="652">
        <f t="shared" ca="1" si="1"/>
        <v>522</v>
      </c>
      <c r="H9" s="652">
        <f t="shared" ca="1" si="1"/>
        <v>522</v>
      </c>
      <c r="I9" s="652">
        <f t="shared" ca="1" si="1"/>
        <v>522</v>
      </c>
      <c r="J9" s="652">
        <f t="shared" ca="1" si="1"/>
        <v>522</v>
      </c>
      <c r="K9" s="652">
        <f t="shared" ca="1" si="1"/>
        <v>522</v>
      </c>
      <c r="L9" s="652">
        <f t="shared" ca="1" si="1"/>
        <v>522</v>
      </c>
      <c r="M9" s="652">
        <f t="shared" ca="1" si="1"/>
        <v>522</v>
      </c>
      <c r="N9" s="652">
        <f t="shared" ca="1" si="2"/>
        <v>0</v>
      </c>
      <c r="O9" s="652">
        <f t="shared" ca="1" si="2"/>
        <v>0</v>
      </c>
      <c r="P9" s="652">
        <f t="shared" ca="1" si="2"/>
        <v>0</v>
      </c>
      <c r="Q9" s="652">
        <f t="shared" ca="1" si="2"/>
        <v>0</v>
      </c>
      <c r="R9" s="652">
        <f t="shared" ca="1" si="2"/>
        <v>0</v>
      </c>
      <c r="S9" s="652">
        <f t="shared" ca="1" si="2"/>
        <v>0</v>
      </c>
      <c r="T9" s="652">
        <f t="shared" ca="1" si="2"/>
        <v>0</v>
      </c>
      <c r="U9" s="652">
        <f t="shared" ca="1" si="2"/>
        <v>0</v>
      </c>
      <c r="V9" s="652">
        <f t="shared" ca="1" si="2"/>
        <v>0</v>
      </c>
      <c r="W9" s="652">
        <f t="shared" ca="1" si="2"/>
        <v>0</v>
      </c>
      <c r="X9" s="652">
        <f t="shared" ca="1" si="2"/>
        <v>0</v>
      </c>
      <c r="Y9" s="652">
        <f t="shared" ca="1" si="2"/>
        <v>0</v>
      </c>
      <c r="Z9" s="652">
        <f t="shared" ca="1" si="2"/>
        <v>0</v>
      </c>
      <c r="AA9" s="652">
        <f t="shared" ca="1" si="2"/>
        <v>0</v>
      </c>
      <c r="AB9" s="652">
        <f t="shared" ca="1" si="2"/>
        <v>0</v>
      </c>
      <c r="AC9" s="652">
        <f t="shared" ca="1" si="2"/>
        <v>0</v>
      </c>
      <c r="AD9" s="652">
        <f t="shared" ca="1" si="2"/>
        <v>0</v>
      </c>
      <c r="AE9" s="652">
        <f t="shared" ca="1" si="2"/>
        <v>0</v>
      </c>
      <c r="AF9" s="652">
        <f t="shared" ca="1" si="2"/>
        <v>0</v>
      </c>
      <c r="AG9" s="652">
        <f t="shared" ca="1" si="2"/>
        <v>0</v>
      </c>
      <c r="AH9" s="652">
        <f t="shared" ca="1" si="2"/>
        <v>0</v>
      </c>
      <c r="AI9" s="652">
        <f t="shared" ca="1" si="2"/>
        <v>162120.05895291912</v>
      </c>
      <c r="AJ9" s="652">
        <f t="shared" ca="1" si="2"/>
        <v>162120.05895291912</v>
      </c>
      <c r="AK9" s="652">
        <f t="shared" ca="1" si="2"/>
        <v>162120.05895291912</v>
      </c>
      <c r="AL9" s="652">
        <f t="shared" ca="1" si="2"/>
        <v>162120.05895291912</v>
      </c>
      <c r="AM9" s="652">
        <f t="shared" ca="1" si="2"/>
        <v>162120.05895291912</v>
      </c>
      <c r="AN9" s="652">
        <f t="shared" ca="1" si="2"/>
        <v>162120.05895291912</v>
      </c>
      <c r="AO9" s="652">
        <f t="shared" ca="1" si="2"/>
        <v>162120.05895291912</v>
      </c>
      <c r="AP9" s="652">
        <f t="shared" ca="1" si="2"/>
        <v>0</v>
      </c>
      <c r="AQ9" s="652">
        <f t="shared" ca="1" si="2"/>
        <v>0</v>
      </c>
      <c r="AR9" s="652">
        <f t="shared" ca="1" si="2"/>
        <v>0</v>
      </c>
      <c r="AS9" s="652">
        <f t="shared" ca="1" si="2"/>
        <v>0</v>
      </c>
      <c r="AT9" s="652">
        <f t="shared" ca="1" si="2"/>
        <v>0</v>
      </c>
      <c r="AU9" s="652">
        <f t="shared" ca="1" si="2"/>
        <v>0</v>
      </c>
      <c r="AV9" s="652">
        <f t="shared" ca="1" si="2"/>
        <v>0</v>
      </c>
      <c r="AW9" s="652">
        <f t="shared" ca="1" si="2"/>
        <v>7171.0272000000004</v>
      </c>
      <c r="AX9" s="652">
        <f t="shared" ca="1" si="2"/>
        <v>7171.0272000000004</v>
      </c>
      <c r="AY9" s="652">
        <f t="shared" ca="1" si="2"/>
        <v>7171.0272000000004</v>
      </c>
      <c r="AZ9" s="652">
        <f t="shared" ca="1" si="2"/>
        <v>7171.0272000000004</v>
      </c>
      <c r="BA9" s="652">
        <f t="shared" ref="BA9:BK40" ca="1" si="8">VLOOKUP($B9,INDIRECT("'"&amp;$C9&amp;"'!A6:FR1000"),IF(BA$6="Participation 2023",MATCH("__Participation 2023",INDIRECT("'"&amp;$C9&amp;"'!1:1"),0),IF(BA$6="Participation",MATCH("_Total Plan Summary _Participation",INDIRECT("'"&amp;$C9&amp;"'!1:1"),0),MATCH(BA$4&amp;"_"&amp;BA$5&amp;"_"&amp;BA$6,INDIRECT("'"&amp;$C9&amp;"'!1:1"),0))),0)</f>
        <v>7171.0272000000004</v>
      </c>
      <c r="BB9" s="652">
        <f t="shared" ca="1" si="4"/>
        <v>7171.0272000000004</v>
      </c>
      <c r="BC9" s="652">
        <f t="shared" ca="1" si="4"/>
        <v>7171.0272000000004</v>
      </c>
      <c r="BD9" s="652">
        <f t="shared" ca="1" si="6"/>
        <v>3654</v>
      </c>
      <c r="BE9" s="652">
        <f t="shared" ca="1" si="5"/>
        <v>0</v>
      </c>
      <c r="BF9" s="652">
        <f t="shared" ca="1" si="5"/>
        <v>0</v>
      </c>
      <c r="BG9" s="652">
        <f t="shared" ca="1" si="5"/>
        <v>0</v>
      </c>
      <c r="BH9" s="652">
        <f t="shared" ca="1" si="5"/>
        <v>745416</v>
      </c>
      <c r="BI9" s="652">
        <f t="shared" ca="1" si="5"/>
        <v>1134840.4126704338</v>
      </c>
      <c r="BJ9" s="652">
        <f t="shared" ca="1" si="5"/>
        <v>0</v>
      </c>
      <c r="BK9" s="652">
        <f t="shared" ca="1" si="5"/>
        <v>50197.190399999992</v>
      </c>
    </row>
    <row r="10" spans="1:65">
      <c r="A10" s="526"/>
      <c r="B10" s="661">
        <v>1</v>
      </c>
      <c r="C10" s="662" t="s">
        <v>58</v>
      </c>
      <c r="D10" s="660" t="str">
        <f t="shared" ca="1" si="7"/>
        <v>WeCare Weatherization Project - Multi Family - Complete Package (MF-GS Com)</v>
      </c>
      <c r="E10" s="660" t="str">
        <f t="shared" ca="1" si="7"/>
        <v>Low Income Heating Assistance Program (LIHEAP) at 200% poverty</v>
      </c>
      <c r="F10" s="660" t="str">
        <f t="shared" ca="1" si="7"/>
        <v>Per Home</v>
      </c>
      <c r="G10" s="652">
        <f t="shared" ca="1" si="1"/>
        <v>359.99999999999989</v>
      </c>
      <c r="H10" s="652">
        <f t="shared" ca="1" si="1"/>
        <v>359.99999999999989</v>
      </c>
      <c r="I10" s="652">
        <f t="shared" ca="1" si="1"/>
        <v>359.99999999999989</v>
      </c>
      <c r="J10" s="652">
        <f t="shared" ca="1" si="1"/>
        <v>359.99999999999989</v>
      </c>
      <c r="K10" s="652">
        <f t="shared" ca="1" si="1"/>
        <v>359.99999999999989</v>
      </c>
      <c r="L10" s="652">
        <f t="shared" ca="1" si="1"/>
        <v>359.99999999999989</v>
      </c>
      <c r="M10" s="652">
        <f t="shared" ca="1" si="1"/>
        <v>359.99999999999989</v>
      </c>
      <c r="N10" s="652">
        <f t="shared" ca="1" si="2"/>
        <v>0</v>
      </c>
      <c r="O10" s="652">
        <f t="shared" ca="1" si="2"/>
        <v>0</v>
      </c>
      <c r="P10" s="652">
        <f t="shared" ca="1" si="2"/>
        <v>0</v>
      </c>
      <c r="Q10" s="652">
        <f t="shared" ca="1" si="2"/>
        <v>0</v>
      </c>
      <c r="R10" s="652">
        <f t="shared" ca="1" si="2"/>
        <v>0</v>
      </c>
      <c r="S10" s="652">
        <f t="shared" ca="1" si="2"/>
        <v>0</v>
      </c>
      <c r="T10" s="652">
        <f t="shared" ca="1" si="2"/>
        <v>0</v>
      </c>
      <c r="U10" s="652">
        <f t="shared" ca="1" si="2"/>
        <v>0</v>
      </c>
      <c r="V10" s="652">
        <f t="shared" ca="1" si="2"/>
        <v>0</v>
      </c>
      <c r="W10" s="652">
        <f t="shared" ca="1" si="2"/>
        <v>0</v>
      </c>
      <c r="X10" s="652">
        <f t="shared" ca="1" si="2"/>
        <v>0</v>
      </c>
      <c r="Y10" s="652">
        <f t="shared" ca="1" si="2"/>
        <v>0</v>
      </c>
      <c r="Z10" s="652">
        <f t="shared" ca="1" si="2"/>
        <v>0</v>
      </c>
      <c r="AA10" s="652">
        <f t="shared" ca="1" si="2"/>
        <v>0</v>
      </c>
      <c r="AB10" s="652">
        <f t="shared" ca="1" si="2"/>
        <v>0</v>
      </c>
      <c r="AC10" s="652">
        <f t="shared" ca="1" si="2"/>
        <v>0</v>
      </c>
      <c r="AD10" s="652">
        <f t="shared" ca="1" si="2"/>
        <v>0</v>
      </c>
      <c r="AE10" s="652">
        <f t="shared" ca="1" si="2"/>
        <v>0</v>
      </c>
      <c r="AF10" s="652">
        <f t="shared" ca="1" si="2"/>
        <v>0</v>
      </c>
      <c r="AG10" s="652">
        <f t="shared" ca="1" si="2"/>
        <v>0</v>
      </c>
      <c r="AH10" s="652">
        <f t="shared" ca="1" si="2"/>
        <v>0</v>
      </c>
      <c r="AI10" s="652">
        <f t="shared" ca="1" si="2"/>
        <v>249980.0326050373</v>
      </c>
      <c r="AJ10" s="652">
        <f t="shared" ca="1" si="2"/>
        <v>249980.0326050373</v>
      </c>
      <c r="AK10" s="652">
        <f t="shared" ca="1" si="2"/>
        <v>249980.0326050373</v>
      </c>
      <c r="AL10" s="652">
        <f t="shared" ca="1" si="2"/>
        <v>249980.0326050373</v>
      </c>
      <c r="AM10" s="652">
        <f t="shared" ca="1" si="2"/>
        <v>249980.0326050373</v>
      </c>
      <c r="AN10" s="652">
        <f t="shared" ca="1" si="2"/>
        <v>249980.0326050373</v>
      </c>
      <c r="AO10" s="652">
        <f t="shared" ca="1" si="2"/>
        <v>249980.0326050373</v>
      </c>
      <c r="AP10" s="652">
        <f t="shared" ca="1" si="2"/>
        <v>21.349411165058868</v>
      </c>
      <c r="AQ10" s="652">
        <f t="shared" ca="1" si="2"/>
        <v>21.349411165058868</v>
      </c>
      <c r="AR10" s="652">
        <f t="shared" ca="1" si="2"/>
        <v>21.349411165058868</v>
      </c>
      <c r="AS10" s="652">
        <f t="shared" ca="1" si="2"/>
        <v>21.349411165058868</v>
      </c>
      <c r="AT10" s="652">
        <f t="shared" ca="1" si="2"/>
        <v>21.349411165058868</v>
      </c>
      <c r="AU10" s="652">
        <f t="shared" ca="1" si="2"/>
        <v>21.349411165058868</v>
      </c>
      <c r="AV10" s="652">
        <f t="shared" ca="1" si="2"/>
        <v>21.349411165058868</v>
      </c>
      <c r="AW10" s="652">
        <f t="shared" ca="1" si="2"/>
        <v>2542.0741536808164</v>
      </c>
      <c r="AX10" s="652">
        <f t="shared" ca="1" si="2"/>
        <v>2542.0741536808164</v>
      </c>
      <c r="AY10" s="652">
        <f t="shared" ca="1" si="2"/>
        <v>2542.0741536808164</v>
      </c>
      <c r="AZ10" s="652">
        <f t="shared" ca="1" si="2"/>
        <v>2542.0741536808164</v>
      </c>
      <c r="BA10" s="652">
        <f t="shared" ca="1" si="8"/>
        <v>2542.0741536808164</v>
      </c>
      <c r="BB10" s="652">
        <f t="shared" ca="1" si="4"/>
        <v>2542.0741536808164</v>
      </c>
      <c r="BC10" s="652">
        <f t="shared" ca="1" si="4"/>
        <v>2542.0741536808164</v>
      </c>
      <c r="BD10" s="652">
        <f t="shared" ca="1" si="6"/>
        <v>2519.9999999999995</v>
      </c>
      <c r="BE10" s="652">
        <f t="shared" ca="1" si="5"/>
        <v>0</v>
      </c>
      <c r="BF10" s="652">
        <f t="shared" ca="1" si="5"/>
        <v>0</v>
      </c>
      <c r="BG10" s="652">
        <f t="shared" ca="1" si="5"/>
        <v>0</v>
      </c>
      <c r="BH10" s="652">
        <f t="shared" ca="1" si="5"/>
        <v>2078999.9999999995</v>
      </c>
      <c r="BI10" s="652">
        <f t="shared" ca="1" si="5"/>
        <v>1749860.228235261</v>
      </c>
      <c r="BJ10" s="652">
        <f t="shared" ca="1" si="5"/>
        <v>149.44587815541206</v>
      </c>
      <c r="BK10" s="652">
        <f t="shared" ca="1" si="5"/>
        <v>17794.519075765715</v>
      </c>
    </row>
    <row r="11" spans="1:65">
      <c r="A11" s="526"/>
      <c r="B11" s="661">
        <v>2</v>
      </c>
      <c r="C11" s="662" t="s">
        <v>58</v>
      </c>
      <c r="D11" s="660" t="str">
        <f t="shared" ca="1" si="7"/>
        <v>WeCare Weatherization Project - Multi Family - Complete Package (MF-NonRes Com)</v>
      </c>
      <c r="E11" s="660" t="str">
        <f t="shared" ca="1" si="7"/>
        <v>Low Income Heating Assistance Program (LIHEAP) at 200% poverty</v>
      </c>
      <c r="F11" s="660" t="str">
        <f t="shared" ca="1" si="7"/>
        <v>Per Home</v>
      </c>
      <c r="G11" s="652">
        <f t="shared" ca="1" si="1"/>
        <v>439.99999999999989</v>
      </c>
      <c r="H11" s="652">
        <f t="shared" ca="1" si="1"/>
        <v>439.99999999999989</v>
      </c>
      <c r="I11" s="652">
        <f t="shared" ca="1" si="1"/>
        <v>439.99999999999989</v>
      </c>
      <c r="J11" s="652">
        <f t="shared" ca="1" si="1"/>
        <v>439.99999999999989</v>
      </c>
      <c r="K11" s="652">
        <f t="shared" ca="1" si="1"/>
        <v>439.99999999999989</v>
      </c>
      <c r="L11" s="652">
        <f t="shared" ca="1" si="1"/>
        <v>439.99999999999989</v>
      </c>
      <c r="M11" s="652">
        <f t="shared" ca="1" si="1"/>
        <v>439.99999999999989</v>
      </c>
      <c r="N11" s="652">
        <f t="shared" ca="1" si="2"/>
        <v>0</v>
      </c>
      <c r="O11" s="652">
        <f t="shared" ca="1" si="2"/>
        <v>0</v>
      </c>
      <c r="P11" s="652">
        <f t="shared" ca="1" si="2"/>
        <v>0</v>
      </c>
      <c r="Q11" s="652">
        <f t="shared" ca="1" si="2"/>
        <v>0</v>
      </c>
      <c r="R11" s="652">
        <f t="shared" ca="1" si="2"/>
        <v>0</v>
      </c>
      <c r="S11" s="652">
        <f t="shared" ca="1" si="2"/>
        <v>0</v>
      </c>
      <c r="T11" s="652">
        <f t="shared" ca="1" si="2"/>
        <v>0</v>
      </c>
      <c r="U11" s="652">
        <f t="shared" ca="1" si="2"/>
        <v>0</v>
      </c>
      <c r="V11" s="652">
        <f t="shared" ca="1" si="2"/>
        <v>0</v>
      </c>
      <c r="W11" s="652">
        <f t="shared" ca="1" si="2"/>
        <v>0</v>
      </c>
      <c r="X11" s="652">
        <f t="shared" ca="1" si="2"/>
        <v>0</v>
      </c>
      <c r="Y11" s="652">
        <f t="shared" ca="1" si="2"/>
        <v>0</v>
      </c>
      <c r="Z11" s="652">
        <f t="shared" ca="1" si="2"/>
        <v>0</v>
      </c>
      <c r="AA11" s="652">
        <f t="shared" ca="1" si="2"/>
        <v>0</v>
      </c>
      <c r="AB11" s="652">
        <f t="shared" ca="1" si="2"/>
        <v>0</v>
      </c>
      <c r="AC11" s="652">
        <f t="shared" ca="1" si="2"/>
        <v>0</v>
      </c>
      <c r="AD11" s="652">
        <f t="shared" ca="1" si="2"/>
        <v>0</v>
      </c>
      <c r="AE11" s="652">
        <f t="shared" ca="1" si="2"/>
        <v>0</v>
      </c>
      <c r="AF11" s="652">
        <f t="shared" ca="1" si="2"/>
        <v>0</v>
      </c>
      <c r="AG11" s="652">
        <f t="shared" ca="1" si="2"/>
        <v>0</v>
      </c>
      <c r="AH11" s="652">
        <f t="shared" ca="1" si="2"/>
        <v>0</v>
      </c>
      <c r="AI11" s="652">
        <f t="shared" ca="1" si="2"/>
        <v>314110.30253416533</v>
      </c>
      <c r="AJ11" s="652">
        <f t="shared" ca="1" si="2"/>
        <v>314110.30253416533</v>
      </c>
      <c r="AK11" s="652">
        <f t="shared" ca="1" si="2"/>
        <v>314110.30253416533</v>
      </c>
      <c r="AL11" s="652">
        <f t="shared" ca="1" si="2"/>
        <v>314110.30253416533</v>
      </c>
      <c r="AM11" s="652">
        <f t="shared" ca="1" si="2"/>
        <v>314110.30253416533</v>
      </c>
      <c r="AN11" s="652">
        <f t="shared" ca="1" si="2"/>
        <v>314110.30253416533</v>
      </c>
      <c r="AO11" s="652">
        <f t="shared" ca="1" si="2"/>
        <v>314110.30253416533</v>
      </c>
      <c r="AP11" s="652">
        <f t="shared" ca="1" si="2"/>
        <v>26.874529093301511</v>
      </c>
      <c r="AQ11" s="652">
        <f t="shared" ca="1" si="2"/>
        <v>26.874529093301511</v>
      </c>
      <c r="AR11" s="652">
        <f t="shared" ca="1" si="2"/>
        <v>26.874529093301511</v>
      </c>
      <c r="AS11" s="652">
        <f t="shared" ca="1" si="2"/>
        <v>26.874529093301511</v>
      </c>
      <c r="AT11" s="652">
        <f t="shared" ca="1" si="2"/>
        <v>26.874529093301511</v>
      </c>
      <c r="AU11" s="652">
        <f t="shared" ca="1" si="2"/>
        <v>26.874529093301511</v>
      </c>
      <c r="AV11" s="652">
        <f t="shared" ca="1" si="2"/>
        <v>26.874529093301511</v>
      </c>
      <c r="AW11" s="652">
        <f t="shared" ca="1" si="2"/>
        <v>3813.1112305212237</v>
      </c>
      <c r="AX11" s="652">
        <f t="shared" ca="1" si="2"/>
        <v>3813.1112305212237</v>
      </c>
      <c r="AY11" s="652">
        <f t="shared" ca="1" si="2"/>
        <v>3813.1112305212237</v>
      </c>
      <c r="AZ11" s="652">
        <f t="shared" ca="1" si="2"/>
        <v>3813.1112305212237</v>
      </c>
      <c r="BA11" s="652">
        <f t="shared" ca="1" si="8"/>
        <v>3813.1112305212237</v>
      </c>
      <c r="BB11" s="652">
        <f t="shared" ca="1" si="4"/>
        <v>3813.1112305212237</v>
      </c>
      <c r="BC11" s="652">
        <f t="shared" ca="1" si="4"/>
        <v>3813.1112305212237</v>
      </c>
      <c r="BD11" s="652">
        <f t="shared" ca="1" si="6"/>
        <v>3079.9999999999995</v>
      </c>
      <c r="BE11" s="652">
        <f t="shared" ca="1" si="5"/>
        <v>0</v>
      </c>
      <c r="BF11" s="652">
        <f t="shared" ca="1" si="5"/>
        <v>0</v>
      </c>
      <c r="BG11" s="652">
        <f t="shared" ca="1" si="5"/>
        <v>0</v>
      </c>
      <c r="BH11" s="652">
        <f t="shared" ca="1" si="5"/>
        <v>2540999.9999999995</v>
      </c>
      <c r="BI11" s="652">
        <f t="shared" ca="1" si="5"/>
        <v>2198772.1177391573</v>
      </c>
      <c r="BJ11" s="652">
        <f t="shared" ca="1" si="5"/>
        <v>188.12170365311056</v>
      </c>
      <c r="BK11" s="652">
        <f t="shared" ca="1" si="5"/>
        <v>26691.778613648563</v>
      </c>
    </row>
    <row r="12" spans="1:65">
      <c r="A12" s="526"/>
      <c r="B12" s="661">
        <v>3</v>
      </c>
      <c r="C12" s="662" t="s">
        <v>58</v>
      </c>
      <c r="D12" s="660" t="str">
        <f t="shared" ca="1" si="7"/>
        <v>Direct Install - Water Conservation Bathroom Aerators</v>
      </c>
      <c r="E12" s="660" t="str">
        <f t="shared" ca="1" si="7"/>
        <v>Aerators 0.5 GPM</v>
      </c>
      <c r="F12" s="660" t="str">
        <f t="shared" ca="1" si="7"/>
        <v>Per Unit</v>
      </c>
      <c r="G12" s="652">
        <f t="shared" ca="1" si="1"/>
        <v>0</v>
      </c>
      <c r="H12" s="652">
        <f t="shared" ca="1" si="1"/>
        <v>0</v>
      </c>
      <c r="I12" s="652">
        <f t="shared" ca="1" si="1"/>
        <v>0</v>
      </c>
      <c r="J12" s="652">
        <f t="shared" ca="1" si="1"/>
        <v>0</v>
      </c>
      <c r="K12" s="652">
        <f t="shared" ca="1" si="1"/>
        <v>0</v>
      </c>
      <c r="L12" s="652">
        <f t="shared" ca="1" si="1"/>
        <v>0</v>
      </c>
      <c r="M12" s="652">
        <f t="shared" ca="1" si="1"/>
        <v>0</v>
      </c>
      <c r="N12" s="652">
        <f t="shared" ca="1" si="2"/>
        <v>0</v>
      </c>
      <c r="O12" s="652">
        <f t="shared" ca="1" si="2"/>
        <v>0</v>
      </c>
      <c r="P12" s="652">
        <f t="shared" ca="1" si="2"/>
        <v>0</v>
      </c>
      <c r="Q12" s="652">
        <f t="shared" ca="1" si="2"/>
        <v>0</v>
      </c>
      <c r="R12" s="652">
        <f t="shared" ca="1" si="2"/>
        <v>0</v>
      </c>
      <c r="S12" s="652">
        <f t="shared" ca="1" si="2"/>
        <v>0</v>
      </c>
      <c r="T12" s="652">
        <f t="shared" ca="1" si="2"/>
        <v>0</v>
      </c>
      <c r="U12" s="652">
        <f t="shared" ca="1" si="2"/>
        <v>0</v>
      </c>
      <c r="V12" s="652">
        <f t="shared" ca="1" si="2"/>
        <v>0</v>
      </c>
      <c r="W12" s="652">
        <f t="shared" ca="1" si="2"/>
        <v>0</v>
      </c>
      <c r="X12" s="652">
        <f t="shared" ca="1" si="2"/>
        <v>0</v>
      </c>
      <c r="Y12" s="652">
        <f t="shared" ca="1" si="2"/>
        <v>0</v>
      </c>
      <c r="Z12" s="652">
        <f t="shared" ca="1" si="2"/>
        <v>0</v>
      </c>
      <c r="AA12" s="652">
        <f t="shared" ca="1" si="2"/>
        <v>0</v>
      </c>
      <c r="AB12" s="652">
        <f t="shared" ca="1" si="2"/>
        <v>0</v>
      </c>
      <c r="AC12" s="652">
        <f t="shared" ca="1" si="2"/>
        <v>0</v>
      </c>
      <c r="AD12" s="652">
        <f t="shared" ca="1" si="2"/>
        <v>0</v>
      </c>
      <c r="AE12" s="652">
        <f t="shared" ca="1" si="2"/>
        <v>0</v>
      </c>
      <c r="AF12" s="652">
        <f t="shared" ca="1" si="2"/>
        <v>0</v>
      </c>
      <c r="AG12" s="652">
        <f t="shared" ca="1" si="2"/>
        <v>0</v>
      </c>
      <c r="AH12" s="652">
        <f t="shared" ca="1" si="2"/>
        <v>0</v>
      </c>
      <c r="AI12" s="652">
        <f t="shared" ca="1" si="2"/>
        <v>0</v>
      </c>
      <c r="AJ12" s="652">
        <f t="shared" ca="1" si="2"/>
        <v>0</v>
      </c>
      <c r="AK12" s="652">
        <f t="shared" ca="1" si="2"/>
        <v>0</v>
      </c>
      <c r="AL12" s="652">
        <f t="shared" ca="1" si="2"/>
        <v>0</v>
      </c>
      <c r="AM12" s="652">
        <f t="shared" ca="1" si="2"/>
        <v>0</v>
      </c>
      <c r="AN12" s="652">
        <f t="shared" ca="1" si="2"/>
        <v>0</v>
      </c>
      <c r="AO12" s="652">
        <f t="shared" ca="1" si="2"/>
        <v>0</v>
      </c>
      <c r="AP12" s="652">
        <f t="shared" ca="1" si="2"/>
        <v>0</v>
      </c>
      <c r="AQ12" s="652">
        <f t="shared" ca="1" si="2"/>
        <v>0</v>
      </c>
      <c r="AR12" s="652">
        <f t="shared" ca="1" si="2"/>
        <v>0</v>
      </c>
      <c r="AS12" s="652">
        <f t="shared" ca="1" si="2"/>
        <v>0</v>
      </c>
      <c r="AT12" s="652">
        <f t="shared" ca="1" si="2"/>
        <v>0</v>
      </c>
      <c r="AU12" s="652">
        <f t="shared" ca="1" si="2"/>
        <v>0</v>
      </c>
      <c r="AV12" s="652">
        <f t="shared" ca="1" si="2"/>
        <v>0</v>
      </c>
      <c r="AW12" s="652">
        <f t="shared" ca="1" si="2"/>
        <v>0</v>
      </c>
      <c r="AX12" s="652">
        <f t="shared" ca="1" si="2"/>
        <v>0</v>
      </c>
      <c r="AY12" s="652">
        <f t="shared" ca="1" si="2"/>
        <v>0</v>
      </c>
      <c r="AZ12" s="652">
        <f t="shared" ca="1" si="2"/>
        <v>0</v>
      </c>
      <c r="BA12" s="652">
        <f t="shared" ca="1" si="8"/>
        <v>0</v>
      </c>
      <c r="BB12" s="652">
        <f t="shared" ca="1" si="4"/>
        <v>0</v>
      </c>
      <c r="BC12" s="652">
        <f t="shared" ca="1" si="4"/>
        <v>0</v>
      </c>
      <c r="BD12" s="652">
        <f t="shared" ca="1" si="6"/>
        <v>0</v>
      </c>
      <c r="BE12" s="652">
        <f t="shared" ca="1" si="5"/>
        <v>0</v>
      </c>
      <c r="BF12" s="652">
        <f t="shared" ca="1" si="5"/>
        <v>0</v>
      </c>
      <c r="BG12" s="652">
        <f t="shared" ca="1" si="5"/>
        <v>0</v>
      </c>
      <c r="BH12" s="652">
        <f t="shared" ca="1" si="5"/>
        <v>0</v>
      </c>
      <c r="BI12" s="652">
        <f t="shared" ca="1" si="5"/>
        <v>0</v>
      </c>
      <c r="BJ12" s="652">
        <f t="shared" ca="1" si="5"/>
        <v>0</v>
      </c>
      <c r="BK12" s="652">
        <f t="shared" ca="1" si="5"/>
        <v>0</v>
      </c>
    </row>
    <row r="13" spans="1:65">
      <c r="A13" s="526"/>
      <c r="B13" s="661">
        <v>4</v>
      </c>
      <c r="C13" s="662" t="s">
        <v>58</v>
      </c>
      <c r="D13" s="660" t="str">
        <f t="shared" ca="1" si="7"/>
        <v>Direct Install - Water Conservation Kitchen Aerators</v>
      </c>
      <c r="E13" s="660" t="str">
        <f t="shared" ca="1" si="7"/>
        <v>Aerators 1.5 GPM</v>
      </c>
      <c r="F13" s="660" t="str">
        <f t="shared" ca="1" si="7"/>
        <v>Per Unit</v>
      </c>
      <c r="G13" s="652">
        <f t="shared" ca="1" si="1"/>
        <v>0</v>
      </c>
      <c r="H13" s="652">
        <f t="shared" ca="1" si="1"/>
        <v>0</v>
      </c>
      <c r="I13" s="652">
        <f t="shared" ca="1" si="1"/>
        <v>0</v>
      </c>
      <c r="J13" s="652">
        <f t="shared" ca="1" si="1"/>
        <v>0</v>
      </c>
      <c r="K13" s="652">
        <f t="shared" ca="1" si="1"/>
        <v>0</v>
      </c>
      <c r="L13" s="652">
        <f t="shared" ca="1" si="1"/>
        <v>0</v>
      </c>
      <c r="M13" s="652">
        <f t="shared" ca="1" si="1"/>
        <v>0</v>
      </c>
      <c r="N13" s="652">
        <f t="shared" ca="1" si="2"/>
        <v>0</v>
      </c>
      <c r="O13" s="652">
        <f t="shared" ca="1" si="2"/>
        <v>0</v>
      </c>
      <c r="P13" s="652">
        <f t="shared" ca="1" si="2"/>
        <v>0</v>
      </c>
      <c r="Q13" s="652">
        <f t="shared" ca="1" si="2"/>
        <v>0</v>
      </c>
      <c r="R13" s="652">
        <f t="shared" ca="1" si="2"/>
        <v>0</v>
      </c>
      <c r="S13" s="652">
        <f t="shared" ca="1" si="2"/>
        <v>0</v>
      </c>
      <c r="T13" s="652">
        <f t="shared" ca="1" si="2"/>
        <v>0</v>
      </c>
      <c r="U13" s="652">
        <f t="shared" ca="1" si="2"/>
        <v>0</v>
      </c>
      <c r="V13" s="652">
        <f t="shared" ca="1" si="2"/>
        <v>0</v>
      </c>
      <c r="W13" s="652">
        <f t="shared" ca="1" si="2"/>
        <v>0</v>
      </c>
      <c r="X13" s="652">
        <f t="shared" ca="1" si="2"/>
        <v>0</v>
      </c>
      <c r="Y13" s="652">
        <f t="shared" ca="1" si="2"/>
        <v>0</v>
      </c>
      <c r="Z13" s="652">
        <f t="shared" ca="1" si="2"/>
        <v>0</v>
      </c>
      <c r="AA13" s="652">
        <f t="shared" ca="1" si="2"/>
        <v>0</v>
      </c>
      <c r="AB13" s="652">
        <f t="shared" ca="1" si="2"/>
        <v>0</v>
      </c>
      <c r="AC13" s="652">
        <f t="shared" ca="1" si="2"/>
        <v>0</v>
      </c>
      <c r="AD13" s="652">
        <f t="shared" ca="1" si="2"/>
        <v>0</v>
      </c>
      <c r="AE13" s="652">
        <f t="shared" ca="1" si="2"/>
        <v>0</v>
      </c>
      <c r="AF13" s="652">
        <f t="shared" ca="1" si="2"/>
        <v>0</v>
      </c>
      <c r="AG13" s="652">
        <f t="shared" ca="1" si="2"/>
        <v>0</v>
      </c>
      <c r="AH13" s="652">
        <f t="shared" ca="1" si="2"/>
        <v>0</v>
      </c>
      <c r="AI13" s="652">
        <f t="shared" ca="1" si="2"/>
        <v>0</v>
      </c>
      <c r="AJ13" s="652">
        <f t="shared" ca="1" si="2"/>
        <v>0</v>
      </c>
      <c r="AK13" s="652">
        <f t="shared" ca="1" si="2"/>
        <v>0</v>
      </c>
      <c r="AL13" s="652">
        <f t="shared" ca="1" si="2"/>
        <v>0</v>
      </c>
      <c r="AM13" s="652">
        <f t="shared" ca="1" si="2"/>
        <v>0</v>
      </c>
      <c r="AN13" s="652">
        <f t="shared" ca="1" si="2"/>
        <v>0</v>
      </c>
      <c r="AO13" s="652">
        <f t="shared" ca="1" si="2"/>
        <v>0</v>
      </c>
      <c r="AP13" s="652">
        <f t="shared" ca="1" si="2"/>
        <v>0</v>
      </c>
      <c r="AQ13" s="652">
        <f t="shared" ca="1" si="2"/>
        <v>0</v>
      </c>
      <c r="AR13" s="652">
        <f t="shared" ca="1" si="2"/>
        <v>0</v>
      </c>
      <c r="AS13" s="652">
        <f t="shared" ref="AS13:AZ29" ca="1" si="9">VLOOKUP($B13,INDIRECT("'"&amp;$C13&amp;"'!A6:FR1000"),IF(AS$6="Participation 2023",MATCH("__Participation 2023",INDIRECT("'"&amp;$C13&amp;"'!1:1"),0),IF(AS$6="Participation",MATCH("_Total Plan Summary _Participation",INDIRECT("'"&amp;$C13&amp;"'!1:1"),0),MATCH(AS$4&amp;"_"&amp;AS$5&amp;"_"&amp;AS$6,INDIRECT("'"&amp;$C13&amp;"'!1:1"),0))),0)</f>
        <v>0</v>
      </c>
      <c r="AT13" s="652">
        <f t="shared" ca="1" si="9"/>
        <v>0</v>
      </c>
      <c r="AU13" s="652">
        <f t="shared" ca="1" si="9"/>
        <v>0</v>
      </c>
      <c r="AV13" s="652">
        <f t="shared" ca="1" si="9"/>
        <v>0</v>
      </c>
      <c r="AW13" s="652">
        <f t="shared" ca="1" si="9"/>
        <v>0</v>
      </c>
      <c r="AX13" s="652">
        <f t="shared" ca="1" si="9"/>
        <v>0</v>
      </c>
      <c r="AY13" s="652">
        <f t="shared" ca="1" si="9"/>
        <v>0</v>
      </c>
      <c r="AZ13" s="652">
        <f t="shared" ca="1" si="9"/>
        <v>0</v>
      </c>
      <c r="BA13" s="652">
        <f t="shared" ca="1" si="8"/>
        <v>0</v>
      </c>
      <c r="BB13" s="652">
        <f t="shared" ca="1" si="4"/>
        <v>0</v>
      </c>
      <c r="BC13" s="652">
        <f t="shared" ca="1" si="4"/>
        <v>0</v>
      </c>
      <c r="BD13" s="652">
        <f t="shared" ca="1" si="6"/>
        <v>0</v>
      </c>
      <c r="BE13" s="652">
        <f t="shared" ca="1" si="5"/>
        <v>0</v>
      </c>
      <c r="BF13" s="652">
        <f t="shared" ca="1" si="5"/>
        <v>0</v>
      </c>
      <c r="BG13" s="652">
        <f t="shared" ca="1" si="5"/>
        <v>0</v>
      </c>
      <c r="BH13" s="652">
        <f t="shared" ca="1" si="5"/>
        <v>0</v>
      </c>
      <c r="BI13" s="652">
        <f t="shared" ca="1" si="5"/>
        <v>0</v>
      </c>
      <c r="BJ13" s="652">
        <f t="shared" ca="1" si="5"/>
        <v>0</v>
      </c>
      <c r="BK13" s="652">
        <f t="shared" ca="1" si="5"/>
        <v>0</v>
      </c>
    </row>
    <row r="14" spans="1:65">
      <c r="A14" s="526"/>
      <c r="B14" s="661">
        <v>5</v>
      </c>
      <c r="C14" s="662" t="s">
        <v>58</v>
      </c>
      <c r="D14" s="660" t="str">
        <f t="shared" ca="1" si="7"/>
        <v>Direct Install - Water Conservation Showerheads</v>
      </c>
      <c r="E14" s="660" t="str">
        <f t="shared" ca="1" si="7"/>
        <v>Showerhead 1.5 GPM</v>
      </c>
      <c r="F14" s="660" t="str">
        <f t="shared" ca="1" si="7"/>
        <v>Per Unit</v>
      </c>
      <c r="G14" s="652">
        <f t="shared" ca="1" si="1"/>
        <v>0</v>
      </c>
      <c r="H14" s="652">
        <f t="shared" ca="1" si="1"/>
        <v>0</v>
      </c>
      <c r="I14" s="652">
        <f t="shared" ca="1" si="1"/>
        <v>0</v>
      </c>
      <c r="J14" s="652">
        <f t="shared" ca="1" si="1"/>
        <v>0</v>
      </c>
      <c r="K14" s="652">
        <f t="shared" ca="1" si="1"/>
        <v>0</v>
      </c>
      <c r="L14" s="652">
        <f t="shared" ca="1" si="1"/>
        <v>0</v>
      </c>
      <c r="M14" s="652">
        <f t="shared" ca="1" si="1"/>
        <v>0</v>
      </c>
      <c r="N14" s="652">
        <f t="shared" ca="1" si="1"/>
        <v>0</v>
      </c>
      <c r="O14" s="652">
        <f t="shared" ca="1" si="1"/>
        <v>0</v>
      </c>
      <c r="P14" s="652">
        <f t="shared" ca="1" si="1"/>
        <v>0</v>
      </c>
      <c r="Q14" s="652">
        <f t="shared" ca="1" si="1"/>
        <v>0</v>
      </c>
      <c r="R14" s="652">
        <f t="shared" ca="1" si="1"/>
        <v>0</v>
      </c>
      <c r="S14" s="652">
        <f t="shared" ca="1" si="1"/>
        <v>0</v>
      </c>
      <c r="T14" s="652">
        <f t="shared" ca="1" si="1"/>
        <v>0</v>
      </c>
      <c r="U14" s="652">
        <f t="shared" ref="U14:AH24" ca="1" si="10">VLOOKUP($B14,INDIRECT("'"&amp;$C14&amp;"'!A6:FR1000"),IF(U$6="Participation 2023",MATCH("__Participation 2023",INDIRECT("'"&amp;$C14&amp;"'!1:1"),0),IF(U$6="Participation",MATCH("_Total Plan Summary _Participation",INDIRECT("'"&amp;$C14&amp;"'!1:1"),0),MATCH(U$4&amp;"_"&amp;U$5&amp;"_"&amp;U$6,INDIRECT("'"&amp;$C14&amp;"'!1:1"),0))),0)</f>
        <v>0</v>
      </c>
      <c r="V14" s="652">
        <f t="shared" ca="1" si="10"/>
        <v>0</v>
      </c>
      <c r="W14" s="652">
        <f t="shared" ca="1" si="10"/>
        <v>0</v>
      </c>
      <c r="X14" s="652">
        <f t="shared" ca="1" si="10"/>
        <v>0</v>
      </c>
      <c r="Y14" s="652">
        <f t="shared" ca="1" si="10"/>
        <v>0</v>
      </c>
      <c r="Z14" s="652">
        <f t="shared" ca="1" si="10"/>
        <v>0</v>
      </c>
      <c r="AA14" s="652">
        <f t="shared" ca="1" si="10"/>
        <v>0</v>
      </c>
      <c r="AB14" s="652">
        <f t="shared" ca="1" si="10"/>
        <v>0</v>
      </c>
      <c r="AC14" s="652">
        <f t="shared" ca="1" si="10"/>
        <v>0</v>
      </c>
      <c r="AD14" s="652">
        <f t="shared" ca="1" si="10"/>
        <v>0</v>
      </c>
      <c r="AE14" s="652">
        <f t="shared" ca="1" si="10"/>
        <v>0</v>
      </c>
      <c r="AF14" s="652">
        <f t="shared" ca="1" si="10"/>
        <v>0</v>
      </c>
      <c r="AG14" s="652">
        <f t="shared" ca="1" si="10"/>
        <v>0</v>
      </c>
      <c r="AH14" s="652">
        <f t="shared" ca="1" si="10"/>
        <v>0</v>
      </c>
      <c r="AI14" s="652">
        <f t="shared" ref="AI14:AV30" ca="1" si="11">VLOOKUP($B14,INDIRECT("'"&amp;$C14&amp;"'!A6:FR1000"),IF(AI$6="Participation 2023",MATCH("__Participation 2023",INDIRECT("'"&amp;$C14&amp;"'!1:1"),0),IF(AI$6="Participation",MATCH("_Total Plan Summary _Participation",INDIRECT("'"&amp;$C14&amp;"'!1:1"),0),MATCH(AI$4&amp;"_"&amp;AI$5&amp;"_"&amp;AI$6,INDIRECT("'"&amp;$C14&amp;"'!1:1"),0))),0)</f>
        <v>0</v>
      </c>
      <c r="AJ14" s="652">
        <f t="shared" ca="1" si="11"/>
        <v>0</v>
      </c>
      <c r="AK14" s="652">
        <f t="shared" ca="1" si="11"/>
        <v>0</v>
      </c>
      <c r="AL14" s="652">
        <f t="shared" ca="1" si="11"/>
        <v>0</v>
      </c>
      <c r="AM14" s="652">
        <f t="shared" ca="1" si="11"/>
        <v>0</v>
      </c>
      <c r="AN14" s="652">
        <f t="shared" ca="1" si="11"/>
        <v>0</v>
      </c>
      <c r="AO14" s="652">
        <f t="shared" ca="1" si="11"/>
        <v>0</v>
      </c>
      <c r="AP14" s="652">
        <f t="shared" ca="1" si="11"/>
        <v>0</v>
      </c>
      <c r="AQ14" s="652">
        <f t="shared" ca="1" si="11"/>
        <v>0</v>
      </c>
      <c r="AR14" s="652">
        <f t="shared" ca="1" si="11"/>
        <v>0</v>
      </c>
      <c r="AS14" s="652">
        <f t="shared" ca="1" si="11"/>
        <v>0</v>
      </c>
      <c r="AT14" s="652">
        <f t="shared" ca="1" si="11"/>
        <v>0</v>
      </c>
      <c r="AU14" s="652">
        <f t="shared" ca="1" si="11"/>
        <v>0</v>
      </c>
      <c r="AV14" s="652">
        <f t="shared" ca="1" si="11"/>
        <v>0</v>
      </c>
      <c r="AW14" s="652">
        <f t="shared" ca="1" si="9"/>
        <v>0</v>
      </c>
      <c r="AX14" s="652">
        <f t="shared" ca="1" si="9"/>
        <v>0</v>
      </c>
      <c r="AY14" s="652">
        <f t="shared" ca="1" si="9"/>
        <v>0</v>
      </c>
      <c r="AZ14" s="652">
        <f t="shared" ca="1" si="9"/>
        <v>0</v>
      </c>
      <c r="BA14" s="652">
        <f t="shared" ca="1" si="8"/>
        <v>0</v>
      </c>
      <c r="BB14" s="652">
        <f t="shared" ca="1" si="4"/>
        <v>0</v>
      </c>
      <c r="BC14" s="652">
        <f t="shared" ca="1" si="4"/>
        <v>0</v>
      </c>
      <c r="BD14" s="652">
        <f t="shared" ca="1" si="6"/>
        <v>0</v>
      </c>
      <c r="BE14" s="652">
        <f t="shared" ca="1" si="5"/>
        <v>0</v>
      </c>
      <c r="BF14" s="652">
        <f t="shared" ca="1" si="5"/>
        <v>0</v>
      </c>
      <c r="BG14" s="652">
        <f t="shared" ca="1" si="5"/>
        <v>0</v>
      </c>
      <c r="BH14" s="652">
        <f t="shared" ca="1" si="5"/>
        <v>0</v>
      </c>
      <c r="BI14" s="652">
        <f t="shared" ca="1" si="5"/>
        <v>0</v>
      </c>
      <c r="BJ14" s="652">
        <f t="shared" ca="1" si="5"/>
        <v>0</v>
      </c>
      <c r="BK14" s="652">
        <f t="shared" ca="1" si="5"/>
        <v>0</v>
      </c>
    </row>
    <row r="15" spans="1:65">
      <c r="A15" s="526"/>
      <c r="B15" s="661">
        <v>6</v>
      </c>
      <c r="C15" s="662" t="s">
        <v>58</v>
      </c>
      <c r="D15" s="660" t="str">
        <f t="shared" ca="1" si="7"/>
        <v>Custom MF Retrofit Common Area</v>
      </c>
      <c r="E15" s="660" t="str">
        <f t="shared" ca="1" si="7"/>
        <v>Custom Projects - for common areas</v>
      </c>
      <c r="F15" s="660" t="str">
        <f t="shared" ca="1" si="7"/>
        <v>Per Saved kWh (first year savings only)</v>
      </c>
      <c r="G15" s="652">
        <f t="shared" ca="1" si="1"/>
        <v>37500</v>
      </c>
      <c r="H15" s="652">
        <f t="shared" ca="1" si="1"/>
        <v>37500</v>
      </c>
      <c r="I15" s="652">
        <f t="shared" ca="1" si="1"/>
        <v>37500</v>
      </c>
      <c r="J15" s="652">
        <f t="shared" ca="1" si="1"/>
        <v>37500</v>
      </c>
      <c r="K15" s="652">
        <f t="shared" ca="1" si="1"/>
        <v>37500</v>
      </c>
      <c r="L15" s="652">
        <f t="shared" ca="1" si="1"/>
        <v>37500</v>
      </c>
      <c r="M15" s="652">
        <f t="shared" ca="1" si="1"/>
        <v>37500</v>
      </c>
      <c r="N15" s="652">
        <f t="shared" ca="1" si="1"/>
        <v>0</v>
      </c>
      <c r="O15" s="652">
        <f t="shared" ca="1" si="1"/>
        <v>0</v>
      </c>
      <c r="P15" s="652">
        <f t="shared" ca="1" si="1"/>
        <v>0</v>
      </c>
      <c r="Q15" s="652">
        <f t="shared" ca="1" si="1"/>
        <v>0</v>
      </c>
      <c r="R15" s="652">
        <f t="shared" ca="1" si="1"/>
        <v>0</v>
      </c>
      <c r="S15" s="652">
        <f t="shared" ca="1" si="1"/>
        <v>0</v>
      </c>
      <c r="T15" s="652">
        <f t="shared" ca="1" si="1"/>
        <v>0</v>
      </c>
      <c r="U15" s="652">
        <f t="shared" ca="1" si="10"/>
        <v>0</v>
      </c>
      <c r="V15" s="652">
        <f t="shared" ca="1" si="10"/>
        <v>0</v>
      </c>
      <c r="W15" s="652">
        <f t="shared" ca="1" si="10"/>
        <v>0</v>
      </c>
      <c r="X15" s="652">
        <f t="shared" ca="1" si="10"/>
        <v>0</v>
      </c>
      <c r="Y15" s="652">
        <f t="shared" ca="1" si="10"/>
        <v>0</v>
      </c>
      <c r="Z15" s="652">
        <f t="shared" ca="1" si="10"/>
        <v>0</v>
      </c>
      <c r="AA15" s="652">
        <f t="shared" ca="1" si="10"/>
        <v>0</v>
      </c>
      <c r="AB15" s="652">
        <f t="shared" ca="1" si="10"/>
        <v>0</v>
      </c>
      <c r="AC15" s="652">
        <f t="shared" ca="1" si="10"/>
        <v>0</v>
      </c>
      <c r="AD15" s="652">
        <f t="shared" ca="1" si="10"/>
        <v>0</v>
      </c>
      <c r="AE15" s="652">
        <f t="shared" ca="1" si="10"/>
        <v>0</v>
      </c>
      <c r="AF15" s="652">
        <f t="shared" ca="1" si="10"/>
        <v>0</v>
      </c>
      <c r="AG15" s="652">
        <f t="shared" ca="1" si="10"/>
        <v>0</v>
      </c>
      <c r="AH15" s="652">
        <f t="shared" ca="1" si="10"/>
        <v>0</v>
      </c>
      <c r="AI15" s="652">
        <f t="shared" ca="1" si="11"/>
        <v>37500</v>
      </c>
      <c r="AJ15" s="652">
        <f t="shared" ca="1" si="11"/>
        <v>37500</v>
      </c>
      <c r="AK15" s="652">
        <f t="shared" ca="1" si="11"/>
        <v>37500</v>
      </c>
      <c r="AL15" s="652">
        <f t="shared" ca="1" si="11"/>
        <v>37500</v>
      </c>
      <c r="AM15" s="652">
        <f t="shared" ca="1" si="11"/>
        <v>37500</v>
      </c>
      <c r="AN15" s="652">
        <f t="shared" ca="1" si="11"/>
        <v>37500</v>
      </c>
      <c r="AO15" s="652">
        <f t="shared" ca="1" si="11"/>
        <v>37500</v>
      </c>
      <c r="AP15" s="652">
        <f t="shared" ca="1" si="11"/>
        <v>10.242146886978416</v>
      </c>
      <c r="AQ15" s="652">
        <f t="shared" ca="1" si="11"/>
        <v>10.242146886978416</v>
      </c>
      <c r="AR15" s="652">
        <f t="shared" ca="1" si="11"/>
        <v>10.242146886978416</v>
      </c>
      <c r="AS15" s="652">
        <f t="shared" ca="1" si="11"/>
        <v>10.242146886978416</v>
      </c>
      <c r="AT15" s="652">
        <f t="shared" ca="1" si="11"/>
        <v>10.242146886978416</v>
      </c>
      <c r="AU15" s="652">
        <f t="shared" ca="1" si="11"/>
        <v>10.242146886978416</v>
      </c>
      <c r="AV15" s="652">
        <f t="shared" ca="1" si="11"/>
        <v>10.242146886978416</v>
      </c>
      <c r="AW15" s="652">
        <f t="shared" ca="1" si="9"/>
        <v>57.221716258728364</v>
      </c>
      <c r="AX15" s="652">
        <f t="shared" ca="1" si="9"/>
        <v>57.221716258728364</v>
      </c>
      <c r="AY15" s="652">
        <f t="shared" ca="1" si="9"/>
        <v>57.221716258728364</v>
      </c>
      <c r="AZ15" s="652">
        <f t="shared" ca="1" si="9"/>
        <v>57.221716258728364</v>
      </c>
      <c r="BA15" s="652">
        <f t="shared" ca="1" si="8"/>
        <v>57.221716258728364</v>
      </c>
      <c r="BB15" s="652">
        <f t="shared" ca="1" si="4"/>
        <v>57.221716258728364</v>
      </c>
      <c r="BC15" s="652">
        <f t="shared" ca="1" si="4"/>
        <v>57.221716258728364</v>
      </c>
      <c r="BD15" s="652">
        <f t="shared" ca="1" si="6"/>
        <v>262500</v>
      </c>
      <c r="BE15" s="652">
        <f t="shared" ca="1" si="5"/>
        <v>0</v>
      </c>
      <c r="BF15" s="652">
        <f t="shared" ca="1" si="5"/>
        <v>0</v>
      </c>
      <c r="BG15" s="652">
        <f t="shared" ca="1" si="5"/>
        <v>0</v>
      </c>
      <c r="BH15" s="652">
        <f t="shared" ca="1" si="5"/>
        <v>145148.55664097247</v>
      </c>
      <c r="BI15" s="652">
        <f t="shared" ca="1" si="5"/>
        <v>262500</v>
      </c>
      <c r="BJ15" s="652">
        <f t="shared" ca="1" si="5"/>
        <v>71.69502820884891</v>
      </c>
      <c r="BK15" s="652">
        <f t="shared" ca="1" si="5"/>
        <v>400.5520138110985</v>
      </c>
    </row>
    <row r="16" spans="1:65">
      <c r="A16" s="526"/>
      <c r="B16" s="661">
        <v>1</v>
      </c>
      <c r="C16" s="662" t="s">
        <v>59</v>
      </c>
      <c r="D16" s="660" t="str">
        <f t="shared" ca="1" si="7"/>
        <v>Refrigerator - Removal of Secondary</v>
      </c>
      <c r="E16" s="660" t="str">
        <f t="shared" ca="1" si="7"/>
        <v>Proper Disposal of Refrigerator</v>
      </c>
      <c r="F16" s="660" t="str">
        <f t="shared" ca="1" si="7"/>
        <v>Per Unit</v>
      </c>
      <c r="G16" s="652">
        <f t="shared" ca="1" si="1"/>
        <v>0</v>
      </c>
      <c r="H16" s="652">
        <f t="shared" ca="1" si="1"/>
        <v>0</v>
      </c>
      <c r="I16" s="652">
        <f t="shared" ca="1" si="1"/>
        <v>4885.9693596384877</v>
      </c>
      <c r="J16" s="652">
        <f t="shared" ca="1" si="1"/>
        <v>5700.297586244903</v>
      </c>
      <c r="K16" s="652">
        <f t="shared" ca="1" si="1"/>
        <v>6514.6258128513173</v>
      </c>
      <c r="L16" s="652">
        <f t="shared" ca="1" si="1"/>
        <v>6514.6258128513173</v>
      </c>
      <c r="M16" s="652">
        <f t="shared" ca="1" si="1"/>
        <v>6514.6258128513173</v>
      </c>
      <c r="N16" s="652">
        <f t="shared" ca="1" si="1"/>
        <v>0</v>
      </c>
      <c r="O16" s="652">
        <f t="shared" ca="1" si="1"/>
        <v>0</v>
      </c>
      <c r="P16" s="652">
        <f t="shared" ca="1" si="1"/>
        <v>0</v>
      </c>
      <c r="Q16" s="652">
        <f t="shared" ca="1" si="1"/>
        <v>0</v>
      </c>
      <c r="R16" s="652">
        <f t="shared" ca="1" si="1"/>
        <v>0</v>
      </c>
      <c r="S16" s="652">
        <f t="shared" ca="1" si="1"/>
        <v>0</v>
      </c>
      <c r="T16" s="652">
        <f t="shared" ca="1" si="1"/>
        <v>0</v>
      </c>
      <c r="U16" s="652">
        <f t="shared" ca="1" si="10"/>
        <v>0</v>
      </c>
      <c r="V16" s="652">
        <f t="shared" ca="1" si="10"/>
        <v>0</v>
      </c>
      <c r="W16" s="652">
        <f t="shared" ca="1" si="10"/>
        <v>0</v>
      </c>
      <c r="X16" s="652">
        <f t="shared" ca="1" si="10"/>
        <v>0</v>
      </c>
      <c r="Y16" s="652">
        <f t="shared" ca="1" si="10"/>
        <v>0</v>
      </c>
      <c r="Z16" s="652">
        <f t="shared" ca="1" si="10"/>
        <v>0</v>
      </c>
      <c r="AA16" s="652">
        <f t="shared" ca="1" si="10"/>
        <v>0</v>
      </c>
      <c r="AB16" s="652">
        <f t="shared" ca="1" si="10"/>
        <v>0</v>
      </c>
      <c r="AC16" s="652">
        <f t="shared" ca="1" si="10"/>
        <v>0</v>
      </c>
      <c r="AD16" s="652">
        <f t="shared" ca="1" si="10"/>
        <v>244298.46798192439</v>
      </c>
      <c r="AE16" s="652">
        <f t="shared" ca="1" si="10"/>
        <v>285014.87931224518</v>
      </c>
      <c r="AF16" s="652">
        <f t="shared" ca="1" si="10"/>
        <v>325731.29064256587</v>
      </c>
      <c r="AG16" s="652">
        <f t="shared" ca="1" si="10"/>
        <v>325731.29064256587</v>
      </c>
      <c r="AH16" s="652">
        <f t="shared" ca="1" si="10"/>
        <v>325731.29064256587</v>
      </c>
      <c r="AI16" s="652">
        <f t="shared" ca="1" si="11"/>
        <v>0</v>
      </c>
      <c r="AJ16" s="652">
        <f t="shared" ca="1" si="11"/>
        <v>0</v>
      </c>
      <c r="AK16" s="652">
        <f t="shared" ca="1" si="11"/>
        <v>3664477.0197288659</v>
      </c>
      <c r="AL16" s="652">
        <f t="shared" ca="1" si="11"/>
        <v>4275223.1896836776</v>
      </c>
      <c r="AM16" s="652">
        <f t="shared" ca="1" si="11"/>
        <v>4885969.3596384879</v>
      </c>
      <c r="AN16" s="652">
        <f t="shared" ca="1" si="11"/>
        <v>4885969.3596384879</v>
      </c>
      <c r="AO16" s="652">
        <f t="shared" ca="1" si="11"/>
        <v>4885969.3596384879</v>
      </c>
      <c r="AP16" s="652">
        <f t="shared" ca="1" si="11"/>
        <v>0</v>
      </c>
      <c r="AQ16" s="652">
        <f t="shared" ca="1" si="11"/>
        <v>0</v>
      </c>
      <c r="AR16" s="652">
        <f t="shared" ca="1" si="11"/>
        <v>415.30739556927148</v>
      </c>
      <c r="AS16" s="652">
        <f t="shared" ca="1" si="11"/>
        <v>484.52529483081679</v>
      </c>
      <c r="AT16" s="652">
        <f t="shared" ca="1" si="11"/>
        <v>553.74319409236205</v>
      </c>
      <c r="AU16" s="652">
        <f t="shared" ca="1" si="11"/>
        <v>553.74319409236205</v>
      </c>
      <c r="AV16" s="652">
        <f t="shared" ca="1" si="11"/>
        <v>553.74319409236205</v>
      </c>
      <c r="AW16" s="652">
        <f t="shared" ca="1" si="9"/>
        <v>0</v>
      </c>
      <c r="AX16" s="652">
        <f t="shared" ca="1" si="9"/>
        <v>0</v>
      </c>
      <c r="AY16" s="652">
        <f t="shared" ca="1" si="9"/>
        <v>0</v>
      </c>
      <c r="AZ16" s="652">
        <f t="shared" ca="1" si="9"/>
        <v>0</v>
      </c>
      <c r="BA16" s="652">
        <f t="shared" ca="1" si="8"/>
        <v>0</v>
      </c>
      <c r="BB16" s="652">
        <f t="shared" ca="1" si="4"/>
        <v>0</v>
      </c>
      <c r="BC16" s="652">
        <f t="shared" ca="1" si="4"/>
        <v>0</v>
      </c>
      <c r="BD16" s="652">
        <f t="shared" ca="1" si="6"/>
        <v>30130.144384437346</v>
      </c>
      <c r="BE16" s="652">
        <f t="shared" ca="1" si="5"/>
        <v>0</v>
      </c>
      <c r="BF16" s="652">
        <f t="shared" ca="1" si="5"/>
        <v>0</v>
      </c>
      <c r="BG16" s="652">
        <f t="shared" ca="1" si="5"/>
        <v>1506507.2192218672</v>
      </c>
      <c r="BH16" s="652">
        <f t="shared" ca="1" si="5"/>
        <v>0</v>
      </c>
      <c r="BI16" s="652">
        <f t="shared" ca="1" si="5"/>
        <v>22597608.288328007</v>
      </c>
      <c r="BJ16" s="652">
        <f t="shared" ca="1" si="5"/>
        <v>2561.0622726771744</v>
      </c>
      <c r="BK16" s="652">
        <f t="shared" ca="1" si="5"/>
        <v>0</v>
      </c>
    </row>
    <row r="17" spans="1:63">
      <c r="A17" s="526"/>
      <c r="B17" s="661">
        <v>2</v>
      </c>
      <c r="C17" s="662" t="s">
        <v>59</v>
      </c>
      <c r="D17" s="660" t="str">
        <f t="shared" ca="1" si="7"/>
        <v>Freezer - Removal of Stand-Alone</v>
      </c>
      <c r="E17" s="660" t="str">
        <f ca="1">VLOOKUP($B17,INDIRECT("'"&amp;$C17&amp;"'!A6:FC1000"),IF(E$6="Participation 2023",MATCH("__Participation 2023",INDIRECT("'"&amp;$C17&amp;"'!1:1"),0),IF(E$6="Participation",MATCH("_Total Plan Summary _Participation",INDIRECT("'"&amp;$C17&amp;"'!1:1"),0),MATCH(E$4&amp;"_"&amp;E$5&amp;"_"&amp;E$6,INDIRECT("'"&amp;$C17&amp;"'!1:1"),0))),0)</f>
        <v>Proper Disposal of Freezer</v>
      </c>
      <c r="F17" s="660" t="str">
        <f t="shared" ca="1" si="7"/>
        <v>Per Unit</v>
      </c>
      <c r="G17" s="652">
        <f t="shared" ca="1" si="1"/>
        <v>0</v>
      </c>
      <c r="H17" s="652">
        <f t="shared" ca="1" si="1"/>
        <v>0</v>
      </c>
      <c r="I17" s="652">
        <f t="shared" ca="1" si="1"/>
        <v>1114.0306403615123</v>
      </c>
      <c r="J17" s="652">
        <f t="shared" ca="1" si="1"/>
        <v>1299.7024137550975</v>
      </c>
      <c r="K17" s="652">
        <f t="shared" ca="1" si="1"/>
        <v>1485.3741871486829</v>
      </c>
      <c r="L17" s="652">
        <f t="shared" ca="1" si="1"/>
        <v>1485.3741871486829</v>
      </c>
      <c r="M17" s="652">
        <f t="shared" ca="1" si="1"/>
        <v>1485.3741871486829</v>
      </c>
      <c r="N17" s="652">
        <f t="shared" ca="1" si="1"/>
        <v>0</v>
      </c>
      <c r="O17" s="652">
        <f t="shared" ca="1" si="1"/>
        <v>0</v>
      </c>
      <c r="P17" s="652">
        <f t="shared" ca="1" si="1"/>
        <v>0</v>
      </c>
      <c r="Q17" s="652">
        <f t="shared" ca="1" si="1"/>
        <v>0</v>
      </c>
      <c r="R17" s="652">
        <f t="shared" ca="1" si="1"/>
        <v>0</v>
      </c>
      <c r="S17" s="652">
        <f t="shared" ca="1" si="1"/>
        <v>0</v>
      </c>
      <c r="T17" s="652">
        <f t="shared" ca="1" si="1"/>
        <v>0</v>
      </c>
      <c r="U17" s="652">
        <f t="shared" ca="1" si="10"/>
        <v>0</v>
      </c>
      <c r="V17" s="652">
        <f t="shared" ca="1" si="10"/>
        <v>0</v>
      </c>
      <c r="W17" s="652">
        <f t="shared" ca="1" si="10"/>
        <v>0</v>
      </c>
      <c r="X17" s="652">
        <f t="shared" ca="1" si="10"/>
        <v>0</v>
      </c>
      <c r="Y17" s="652">
        <f t="shared" ca="1" si="10"/>
        <v>0</v>
      </c>
      <c r="Z17" s="652">
        <f t="shared" ca="1" si="10"/>
        <v>0</v>
      </c>
      <c r="AA17" s="652">
        <f t="shared" ca="1" si="10"/>
        <v>0</v>
      </c>
      <c r="AB17" s="652">
        <f t="shared" ca="1" si="10"/>
        <v>0</v>
      </c>
      <c r="AC17" s="652">
        <f t="shared" ca="1" si="10"/>
        <v>0</v>
      </c>
      <c r="AD17" s="652">
        <f t="shared" ca="1" si="10"/>
        <v>55701.53201807561</v>
      </c>
      <c r="AE17" s="652">
        <f t="shared" ca="1" si="10"/>
        <v>64985.120687754876</v>
      </c>
      <c r="AF17" s="652">
        <f t="shared" ca="1" si="10"/>
        <v>74268.709357434142</v>
      </c>
      <c r="AG17" s="652">
        <f t="shared" ca="1" si="10"/>
        <v>74268.709357434142</v>
      </c>
      <c r="AH17" s="652">
        <f t="shared" ca="1" si="10"/>
        <v>74268.709357434142</v>
      </c>
      <c r="AI17" s="652">
        <f t="shared" ca="1" si="11"/>
        <v>0</v>
      </c>
      <c r="AJ17" s="652">
        <f t="shared" ca="1" si="11"/>
        <v>0</v>
      </c>
      <c r="AK17" s="652">
        <f t="shared" ca="1" si="11"/>
        <v>835522.98027113418</v>
      </c>
      <c r="AL17" s="652">
        <f t="shared" ca="1" si="11"/>
        <v>974776.81031632307</v>
      </c>
      <c r="AM17" s="652">
        <f t="shared" ca="1" si="11"/>
        <v>1114030.6403615123</v>
      </c>
      <c r="AN17" s="652">
        <f t="shared" ca="1" si="11"/>
        <v>1114030.6403615123</v>
      </c>
      <c r="AO17" s="652">
        <f t="shared" ca="1" si="11"/>
        <v>1114030.6403615123</v>
      </c>
      <c r="AP17" s="652">
        <f t="shared" ca="1" si="11"/>
        <v>0</v>
      </c>
      <c r="AQ17" s="652">
        <f t="shared" ca="1" si="11"/>
        <v>0</v>
      </c>
      <c r="AR17" s="652">
        <f t="shared" ca="1" si="11"/>
        <v>94.692604430728551</v>
      </c>
      <c r="AS17" s="652">
        <f t="shared" ca="1" si="11"/>
        <v>110.4747051691833</v>
      </c>
      <c r="AT17" s="652">
        <f t="shared" ca="1" si="11"/>
        <v>126.25680590763805</v>
      </c>
      <c r="AU17" s="652">
        <f t="shared" ca="1" si="11"/>
        <v>126.25680590763805</v>
      </c>
      <c r="AV17" s="652">
        <f t="shared" ca="1" si="11"/>
        <v>126.25680590763805</v>
      </c>
      <c r="AW17" s="652">
        <f t="shared" ca="1" si="9"/>
        <v>0</v>
      </c>
      <c r="AX17" s="652">
        <f t="shared" ca="1" si="9"/>
        <v>0</v>
      </c>
      <c r="AY17" s="652">
        <f t="shared" ca="1" si="9"/>
        <v>0</v>
      </c>
      <c r="AZ17" s="652">
        <f t="shared" ca="1" si="9"/>
        <v>0</v>
      </c>
      <c r="BA17" s="652">
        <f t="shared" ca="1" si="8"/>
        <v>0</v>
      </c>
      <c r="BB17" s="652">
        <f t="shared" ca="1" si="4"/>
        <v>0</v>
      </c>
      <c r="BC17" s="652">
        <f t="shared" ca="1" si="4"/>
        <v>0</v>
      </c>
      <c r="BD17" s="652">
        <f t="shared" ca="1" si="6"/>
        <v>6869.8556155626584</v>
      </c>
      <c r="BE17" s="652">
        <f t="shared" ca="1" si="5"/>
        <v>0</v>
      </c>
      <c r="BF17" s="652">
        <f t="shared" ca="1" si="5"/>
        <v>0</v>
      </c>
      <c r="BG17" s="652">
        <f t="shared" ca="1" si="5"/>
        <v>343492.7807781329</v>
      </c>
      <c r="BH17" s="652">
        <f t="shared" ca="1" si="5"/>
        <v>0</v>
      </c>
      <c r="BI17" s="652">
        <f t="shared" ca="1" si="5"/>
        <v>5152391.7116719941</v>
      </c>
      <c r="BJ17" s="652">
        <f t="shared" ca="1" si="5"/>
        <v>583.93772732282605</v>
      </c>
      <c r="BK17" s="652">
        <f t="shared" ca="1" si="5"/>
        <v>0</v>
      </c>
    </row>
    <row r="18" spans="1:63">
      <c r="A18" s="526"/>
      <c r="B18" s="661">
        <v>3</v>
      </c>
      <c r="C18" s="662" t="s">
        <v>59</v>
      </c>
      <c r="D18" s="660" t="str">
        <f t="shared" ref="D18:F33" ca="1" si="12">VLOOKUP($B18,INDIRECT("'"&amp;$C18&amp;"'!A6:FC1000"),IF(D$6="Participation 2023",MATCH("__Participation 2023",INDIRECT("'"&amp;$C18&amp;"'!1:1"),0),IF(D$6="Participation",MATCH("_Total Plan Summary _Participation",INDIRECT("'"&amp;$C18&amp;"'!1:1"),0),MATCH(D$4&amp;"_"&amp;D$5&amp;"_"&amp;D$6,INDIRECT("'"&amp;$C18&amp;"'!1:1"),0))),0)</f>
        <v>Room AC - Removal of inefficient unit</v>
      </c>
      <c r="E18" s="660" t="str">
        <f t="shared" ca="1" si="12"/>
        <v>Proper Disposal of Room AC - Available only if there is a refrigrator and/or freezer to remove</v>
      </c>
      <c r="F18" s="660" t="str">
        <f t="shared" ca="1" si="12"/>
        <v>Per Unit</v>
      </c>
      <c r="G18" s="652">
        <f t="shared" ca="1" si="1"/>
        <v>0</v>
      </c>
      <c r="H18" s="652">
        <f t="shared" ca="1" si="1"/>
        <v>0</v>
      </c>
      <c r="I18" s="652">
        <f t="shared" ca="1" si="1"/>
        <v>60</v>
      </c>
      <c r="J18" s="652">
        <f t="shared" ca="1" si="1"/>
        <v>70</v>
      </c>
      <c r="K18" s="652">
        <f t="shared" ca="1" si="1"/>
        <v>80</v>
      </c>
      <c r="L18" s="652">
        <f t="shared" ca="1" si="1"/>
        <v>80</v>
      </c>
      <c r="M18" s="652">
        <f t="shared" ca="1" si="1"/>
        <v>80</v>
      </c>
      <c r="N18" s="652">
        <f t="shared" ca="1" si="1"/>
        <v>0</v>
      </c>
      <c r="O18" s="652">
        <f t="shared" ca="1" si="1"/>
        <v>0</v>
      </c>
      <c r="P18" s="652">
        <f t="shared" ca="1" si="1"/>
        <v>0</v>
      </c>
      <c r="Q18" s="652">
        <f t="shared" ca="1" si="1"/>
        <v>0</v>
      </c>
      <c r="R18" s="652">
        <f t="shared" ca="1" si="1"/>
        <v>0</v>
      </c>
      <c r="S18" s="652">
        <f t="shared" ca="1" si="1"/>
        <v>0</v>
      </c>
      <c r="T18" s="652">
        <f t="shared" ca="1" si="1"/>
        <v>0</v>
      </c>
      <c r="U18" s="652">
        <f t="shared" ca="1" si="10"/>
        <v>0</v>
      </c>
      <c r="V18" s="652">
        <f t="shared" ca="1" si="10"/>
        <v>0</v>
      </c>
      <c r="W18" s="652">
        <f t="shared" ca="1" si="10"/>
        <v>0</v>
      </c>
      <c r="X18" s="652">
        <f t="shared" ca="1" si="10"/>
        <v>0</v>
      </c>
      <c r="Y18" s="652">
        <f t="shared" ca="1" si="10"/>
        <v>0</v>
      </c>
      <c r="Z18" s="652">
        <f t="shared" ca="1" si="10"/>
        <v>0</v>
      </c>
      <c r="AA18" s="652">
        <f t="shared" ca="1" si="10"/>
        <v>0</v>
      </c>
      <c r="AB18" s="652">
        <f t="shared" ca="1" si="10"/>
        <v>0</v>
      </c>
      <c r="AC18" s="652">
        <f t="shared" ca="1" si="10"/>
        <v>0</v>
      </c>
      <c r="AD18" s="652">
        <f t="shared" ca="1" si="10"/>
        <v>0</v>
      </c>
      <c r="AE18" s="652">
        <f t="shared" ca="1" si="10"/>
        <v>0</v>
      </c>
      <c r="AF18" s="652">
        <f t="shared" ca="1" si="10"/>
        <v>0</v>
      </c>
      <c r="AG18" s="652">
        <f t="shared" ca="1" si="10"/>
        <v>0</v>
      </c>
      <c r="AH18" s="652">
        <f t="shared" ca="1" si="10"/>
        <v>0</v>
      </c>
      <c r="AI18" s="652">
        <f t="shared" ca="1" si="11"/>
        <v>0</v>
      </c>
      <c r="AJ18" s="652">
        <f t="shared" ca="1" si="11"/>
        <v>0</v>
      </c>
      <c r="AK18" s="652">
        <f t="shared" ca="1" si="11"/>
        <v>16913.265306122448</v>
      </c>
      <c r="AL18" s="652">
        <f t="shared" ca="1" si="11"/>
        <v>19732.142857142855</v>
      </c>
      <c r="AM18" s="652">
        <f t="shared" ca="1" si="11"/>
        <v>22551.020408163262</v>
      </c>
      <c r="AN18" s="652">
        <f t="shared" ca="1" si="11"/>
        <v>22551.020408163262</v>
      </c>
      <c r="AO18" s="652">
        <f t="shared" ca="1" si="11"/>
        <v>22551.020408163262</v>
      </c>
      <c r="AP18" s="652">
        <f t="shared" ca="1" si="11"/>
        <v>0</v>
      </c>
      <c r="AQ18" s="652">
        <f t="shared" ca="1" si="11"/>
        <v>0</v>
      </c>
      <c r="AR18" s="652">
        <f t="shared" ca="1" si="11"/>
        <v>16.132653061224492</v>
      </c>
      <c r="AS18" s="652">
        <f t="shared" ca="1" si="11"/>
        <v>18.821428571428573</v>
      </c>
      <c r="AT18" s="652">
        <f t="shared" ca="1" si="11"/>
        <v>21.510204081632654</v>
      </c>
      <c r="AU18" s="652">
        <f t="shared" ca="1" si="11"/>
        <v>21.510204081632654</v>
      </c>
      <c r="AV18" s="652">
        <f t="shared" ca="1" si="11"/>
        <v>21.510204081632654</v>
      </c>
      <c r="AW18" s="652">
        <f t="shared" ca="1" si="9"/>
        <v>0</v>
      </c>
      <c r="AX18" s="652">
        <f t="shared" ca="1" si="9"/>
        <v>0</v>
      </c>
      <c r="AY18" s="652">
        <f t="shared" ca="1" si="9"/>
        <v>0</v>
      </c>
      <c r="AZ18" s="652">
        <f t="shared" ca="1" si="9"/>
        <v>0</v>
      </c>
      <c r="BA18" s="652">
        <f t="shared" ca="1" si="8"/>
        <v>0</v>
      </c>
      <c r="BB18" s="652">
        <f t="shared" ca="1" si="4"/>
        <v>0</v>
      </c>
      <c r="BC18" s="652">
        <f t="shared" ca="1" si="4"/>
        <v>0</v>
      </c>
      <c r="BD18" s="652">
        <f t="shared" ca="1" si="6"/>
        <v>370</v>
      </c>
      <c r="BE18" s="652">
        <f t="shared" ca="1" si="5"/>
        <v>0</v>
      </c>
      <c r="BF18" s="652">
        <f t="shared" ca="1" si="5"/>
        <v>0</v>
      </c>
      <c r="BG18" s="652">
        <f t="shared" ca="1" si="5"/>
        <v>0</v>
      </c>
      <c r="BH18" s="652">
        <f t="shared" ca="1" si="5"/>
        <v>0</v>
      </c>
      <c r="BI18" s="652">
        <f t="shared" ca="1" si="5"/>
        <v>104298.46938775509</v>
      </c>
      <c r="BJ18" s="652">
        <f t="shared" ca="1" si="5"/>
        <v>99.484693877551024</v>
      </c>
      <c r="BK18" s="652">
        <f t="shared" ca="1" si="5"/>
        <v>0</v>
      </c>
    </row>
    <row r="19" spans="1:63">
      <c r="A19" s="526"/>
      <c r="B19" s="661">
        <v>4</v>
      </c>
      <c r="C19" s="662" t="s">
        <v>59</v>
      </c>
      <c r="D19" s="660" t="str">
        <f t="shared" ca="1" si="12"/>
        <v>Dehumidifier - Removal of inefficient unit</v>
      </c>
      <c r="E19" s="660" t="str">
        <f t="shared" ca="1" si="12"/>
        <v>Proper Disposal of Dehumidifier - Available only if there is a refrigrator and/or freezer to remove</v>
      </c>
      <c r="F19" s="660" t="str">
        <f t="shared" ca="1" si="12"/>
        <v>Per Unit</v>
      </c>
      <c r="G19" s="652">
        <f t="shared" ca="1" si="1"/>
        <v>0</v>
      </c>
      <c r="H19" s="652">
        <f t="shared" ca="1" si="1"/>
        <v>0</v>
      </c>
      <c r="I19" s="652">
        <f t="shared" ca="1" si="1"/>
        <v>30</v>
      </c>
      <c r="J19" s="652">
        <f t="shared" ca="1" si="1"/>
        <v>35</v>
      </c>
      <c r="K19" s="652">
        <f t="shared" ca="1" si="1"/>
        <v>40</v>
      </c>
      <c r="L19" s="652">
        <f t="shared" ca="1" si="1"/>
        <v>40</v>
      </c>
      <c r="M19" s="652">
        <f t="shared" ca="1" si="1"/>
        <v>40</v>
      </c>
      <c r="N19" s="652">
        <f t="shared" ca="1" si="1"/>
        <v>0</v>
      </c>
      <c r="O19" s="652">
        <f t="shared" ca="1" si="1"/>
        <v>0</v>
      </c>
      <c r="P19" s="652">
        <f t="shared" ca="1" si="1"/>
        <v>0</v>
      </c>
      <c r="Q19" s="652">
        <f t="shared" ca="1" si="1"/>
        <v>0</v>
      </c>
      <c r="R19" s="652">
        <f t="shared" ca="1" si="1"/>
        <v>0</v>
      </c>
      <c r="S19" s="652">
        <f t="shared" ca="1" si="1"/>
        <v>0</v>
      </c>
      <c r="T19" s="652">
        <f t="shared" ca="1" si="1"/>
        <v>0</v>
      </c>
      <c r="U19" s="652">
        <f t="shared" ca="1" si="10"/>
        <v>0</v>
      </c>
      <c r="V19" s="652">
        <f t="shared" ca="1" si="10"/>
        <v>0</v>
      </c>
      <c r="W19" s="652">
        <f t="shared" ca="1" si="10"/>
        <v>0</v>
      </c>
      <c r="X19" s="652">
        <f t="shared" ca="1" si="10"/>
        <v>0</v>
      </c>
      <c r="Y19" s="652">
        <f t="shared" ca="1" si="10"/>
        <v>0</v>
      </c>
      <c r="Z19" s="652">
        <f t="shared" ca="1" si="10"/>
        <v>0</v>
      </c>
      <c r="AA19" s="652">
        <f t="shared" ca="1" si="10"/>
        <v>0</v>
      </c>
      <c r="AB19" s="652">
        <f t="shared" ca="1" si="10"/>
        <v>0</v>
      </c>
      <c r="AC19" s="652">
        <f t="shared" ca="1" si="10"/>
        <v>0</v>
      </c>
      <c r="AD19" s="652">
        <f t="shared" ca="1" si="10"/>
        <v>0</v>
      </c>
      <c r="AE19" s="652">
        <f t="shared" ca="1" si="10"/>
        <v>0</v>
      </c>
      <c r="AF19" s="652">
        <f t="shared" ca="1" si="10"/>
        <v>0</v>
      </c>
      <c r="AG19" s="652">
        <f t="shared" ca="1" si="10"/>
        <v>0</v>
      </c>
      <c r="AH19" s="652">
        <f t="shared" ca="1" si="10"/>
        <v>0</v>
      </c>
      <c r="AI19" s="652">
        <f t="shared" ca="1" si="11"/>
        <v>0</v>
      </c>
      <c r="AJ19" s="652">
        <f t="shared" ca="1" si="11"/>
        <v>0</v>
      </c>
      <c r="AK19" s="652">
        <f t="shared" ca="1" si="11"/>
        <v>25740</v>
      </c>
      <c r="AL19" s="652">
        <f t="shared" ca="1" si="11"/>
        <v>30030</v>
      </c>
      <c r="AM19" s="652">
        <f t="shared" ca="1" si="11"/>
        <v>34320</v>
      </c>
      <c r="AN19" s="652">
        <f t="shared" ca="1" si="11"/>
        <v>34320</v>
      </c>
      <c r="AO19" s="652">
        <f t="shared" ca="1" si="11"/>
        <v>34320</v>
      </c>
      <c r="AP19" s="652">
        <f t="shared" ca="1" si="11"/>
        <v>0</v>
      </c>
      <c r="AQ19" s="652">
        <f t="shared" ca="1" si="11"/>
        <v>0</v>
      </c>
      <c r="AR19" s="652">
        <f t="shared" ca="1" si="11"/>
        <v>5.82</v>
      </c>
      <c r="AS19" s="652">
        <f t="shared" ca="1" si="11"/>
        <v>6.79</v>
      </c>
      <c r="AT19" s="652">
        <f t="shared" ca="1" si="11"/>
        <v>7.76</v>
      </c>
      <c r="AU19" s="652">
        <f t="shared" ca="1" si="11"/>
        <v>7.76</v>
      </c>
      <c r="AV19" s="652">
        <f t="shared" ca="1" si="11"/>
        <v>7.76</v>
      </c>
      <c r="AW19" s="652">
        <f t="shared" ca="1" si="9"/>
        <v>0</v>
      </c>
      <c r="AX19" s="652">
        <f t="shared" ca="1" si="9"/>
        <v>0</v>
      </c>
      <c r="AY19" s="652">
        <f t="shared" ca="1" si="9"/>
        <v>0</v>
      </c>
      <c r="AZ19" s="652">
        <f t="shared" ca="1" si="9"/>
        <v>0</v>
      </c>
      <c r="BA19" s="652">
        <f t="shared" ca="1" si="8"/>
        <v>0</v>
      </c>
      <c r="BB19" s="652">
        <f t="shared" ca="1" si="4"/>
        <v>0</v>
      </c>
      <c r="BC19" s="652">
        <f t="shared" ca="1" si="4"/>
        <v>0</v>
      </c>
      <c r="BD19" s="652">
        <f t="shared" ca="1" si="6"/>
        <v>185</v>
      </c>
      <c r="BE19" s="652">
        <f t="shared" ca="1" si="5"/>
        <v>0</v>
      </c>
      <c r="BF19" s="652">
        <f t="shared" ca="1" si="5"/>
        <v>0</v>
      </c>
      <c r="BG19" s="652">
        <f t="shared" ca="1" si="5"/>
        <v>0</v>
      </c>
      <c r="BH19" s="652">
        <f t="shared" ca="1" si="5"/>
        <v>0</v>
      </c>
      <c r="BI19" s="652">
        <f t="shared" ca="1" si="5"/>
        <v>158730</v>
      </c>
      <c r="BJ19" s="652">
        <f t="shared" ca="1" si="5"/>
        <v>35.889999999999993</v>
      </c>
      <c r="BK19" s="652">
        <f t="shared" ca="1" si="5"/>
        <v>0</v>
      </c>
    </row>
    <row r="20" spans="1:63">
      <c r="A20" s="526"/>
      <c r="B20" s="661">
        <v>1</v>
      </c>
      <c r="C20" s="662" t="s">
        <v>60</v>
      </c>
      <c r="D20" s="660" t="str">
        <f t="shared" ca="1" si="12"/>
        <v>Marketplace</v>
      </c>
      <c r="E20" s="660" t="str">
        <f t="shared" ca="1" si="12"/>
        <v>Online Marketplace</v>
      </c>
      <c r="F20" s="660" t="str">
        <f t="shared" ca="1" si="12"/>
        <v>Per Program</v>
      </c>
      <c r="G20" s="652">
        <f t="shared" ca="1" si="1"/>
        <v>1</v>
      </c>
      <c r="H20" s="652">
        <f t="shared" ca="1" si="1"/>
        <v>1</v>
      </c>
      <c r="I20" s="652">
        <f t="shared" ca="1" si="1"/>
        <v>1</v>
      </c>
      <c r="J20" s="652">
        <f t="shared" ca="1" si="1"/>
        <v>1</v>
      </c>
      <c r="K20" s="652">
        <f t="shared" ca="1" si="1"/>
        <v>1</v>
      </c>
      <c r="L20" s="652">
        <f t="shared" ca="1" si="1"/>
        <v>1</v>
      </c>
      <c r="M20" s="652">
        <f t="shared" ca="1" si="1"/>
        <v>1</v>
      </c>
      <c r="N20" s="652">
        <f t="shared" ca="1" si="1"/>
        <v>0</v>
      </c>
      <c r="O20" s="652">
        <f t="shared" ca="1" si="1"/>
        <v>0</v>
      </c>
      <c r="P20" s="652">
        <f t="shared" ca="1" si="1"/>
        <v>0</v>
      </c>
      <c r="Q20" s="652">
        <f t="shared" ca="1" si="1"/>
        <v>0</v>
      </c>
      <c r="R20" s="652">
        <f t="shared" ca="1" si="1"/>
        <v>0</v>
      </c>
      <c r="S20" s="652">
        <f t="shared" ca="1" si="1"/>
        <v>0</v>
      </c>
      <c r="T20" s="652">
        <f t="shared" ca="1" si="1"/>
        <v>0</v>
      </c>
      <c r="U20" s="652">
        <f t="shared" ca="1" si="10"/>
        <v>0</v>
      </c>
      <c r="V20" s="652">
        <f t="shared" ca="1" si="10"/>
        <v>0</v>
      </c>
      <c r="W20" s="652">
        <f t="shared" ca="1" si="10"/>
        <v>0</v>
      </c>
      <c r="X20" s="652">
        <f t="shared" ca="1" si="10"/>
        <v>0</v>
      </c>
      <c r="Y20" s="652">
        <f t="shared" ca="1" si="10"/>
        <v>0</v>
      </c>
      <c r="Z20" s="652">
        <f t="shared" ca="1" si="10"/>
        <v>0</v>
      </c>
      <c r="AA20" s="652">
        <f t="shared" ca="1" si="10"/>
        <v>0</v>
      </c>
      <c r="AB20" s="652">
        <f t="shared" ca="1" si="10"/>
        <v>0</v>
      </c>
      <c r="AC20" s="652">
        <f t="shared" ca="1" si="10"/>
        <v>0</v>
      </c>
      <c r="AD20" s="652">
        <f t="shared" ca="1" si="10"/>
        <v>0</v>
      </c>
      <c r="AE20" s="652">
        <f t="shared" ca="1" si="10"/>
        <v>0</v>
      </c>
      <c r="AF20" s="652">
        <f t="shared" ca="1" si="10"/>
        <v>0</v>
      </c>
      <c r="AG20" s="652">
        <f t="shared" ca="1" si="10"/>
        <v>0</v>
      </c>
      <c r="AH20" s="652">
        <f t="shared" ca="1" si="10"/>
        <v>0</v>
      </c>
      <c r="AI20" s="652">
        <f t="shared" ca="1" si="11"/>
        <v>0</v>
      </c>
      <c r="AJ20" s="652">
        <f t="shared" ca="1" si="11"/>
        <v>0</v>
      </c>
      <c r="AK20" s="652">
        <f t="shared" ca="1" si="11"/>
        <v>0</v>
      </c>
      <c r="AL20" s="652">
        <f t="shared" ca="1" si="11"/>
        <v>0</v>
      </c>
      <c r="AM20" s="652">
        <f t="shared" ca="1" si="11"/>
        <v>0</v>
      </c>
      <c r="AN20" s="652">
        <f t="shared" ca="1" si="11"/>
        <v>0</v>
      </c>
      <c r="AO20" s="652">
        <f t="shared" ca="1" si="11"/>
        <v>0</v>
      </c>
      <c r="AP20" s="652">
        <f t="shared" ca="1" si="11"/>
        <v>0</v>
      </c>
      <c r="AQ20" s="652">
        <f t="shared" ca="1" si="11"/>
        <v>0</v>
      </c>
      <c r="AR20" s="652">
        <f t="shared" ca="1" si="11"/>
        <v>0</v>
      </c>
      <c r="AS20" s="652">
        <f t="shared" ca="1" si="11"/>
        <v>0</v>
      </c>
      <c r="AT20" s="652">
        <f t="shared" ca="1" si="11"/>
        <v>0</v>
      </c>
      <c r="AU20" s="652">
        <f t="shared" ca="1" si="11"/>
        <v>0</v>
      </c>
      <c r="AV20" s="652">
        <f t="shared" ca="1" si="11"/>
        <v>0</v>
      </c>
      <c r="AW20" s="652">
        <f t="shared" ca="1" si="9"/>
        <v>0</v>
      </c>
      <c r="AX20" s="652">
        <f t="shared" ca="1" si="9"/>
        <v>0</v>
      </c>
      <c r="AY20" s="652">
        <f t="shared" ca="1" si="9"/>
        <v>0</v>
      </c>
      <c r="AZ20" s="652">
        <f t="shared" ca="1" si="9"/>
        <v>0</v>
      </c>
      <c r="BA20" s="652">
        <f t="shared" ca="1" si="8"/>
        <v>0</v>
      </c>
      <c r="BB20" s="652">
        <f t="shared" ca="1" si="4"/>
        <v>0</v>
      </c>
      <c r="BC20" s="652">
        <f t="shared" ca="1" si="4"/>
        <v>0</v>
      </c>
      <c r="BD20" s="652">
        <f t="shared" ca="1" si="6"/>
        <v>7</v>
      </c>
      <c r="BE20" s="652">
        <f t="shared" ca="1" si="5"/>
        <v>0</v>
      </c>
      <c r="BF20" s="652">
        <f t="shared" ca="1" si="5"/>
        <v>0</v>
      </c>
      <c r="BG20" s="652">
        <f t="shared" ca="1" si="5"/>
        <v>0</v>
      </c>
      <c r="BH20" s="652">
        <f t="shared" ca="1" si="5"/>
        <v>0</v>
      </c>
      <c r="BI20" s="652">
        <f t="shared" ca="1" si="5"/>
        <v>0</v>
      </c>
      <c r="BJ20" s="652">
        <f t="shared" ca="1" si="5"/>
        <v>0</v>
      </c>
      <c r="BK20" s="652">
        <f t="shared" ca="1" si="5"/>
        <v>0</v>
      </c>
    </row>
    <row r="21" spans="1:63">
      <c r="A21" s="526"/>
      <c r="B21" s="661">
        <v>2</v>
      </c>
      <c r="C21" s="662" t="s">
        <v>60</v>
      </c>
      <c r="D21" s="660" t="str">
        <f t="shared" ca="1" si="12"/>
        <v>Smart Thermostat (with direct enrollment to DR)</v>
      </c>
      <c r="E21" s="660" t="str">
        <f t="shared" ca="1" si="12"/>
        <v>Smart thermostat sold on online marketplace (with direct enrollment to DR)</v>
      </c>
      <c r="F21" s="660" t="str">
        <f t="shared" ca="1" si="12"/>
        <v>Per smart thermostat</v>
      </c>
      <c r="G21" s="652">
        <f t="shared" ca="1" si="1"/>
        <v>1045</v>
      </c>
      <c r="H21" s="652">
        <f t="shared" ca="1" si="1"/>
        <v>2090</v>
      </c>
      <c r="I21" s="652">
        <f t="shared" ca="1" si="1"/>
        <v>4180</v>
      </c>
      <c r="J21" s="652">
        <f t="shared" ca="1" si="1"/>
        <v>8360</v>
      </c>
      <c r="K21" s="652">
        <f t="shared" ca="1" si="1"/>
        <v>12000</v>
      </c>
      <c r="L21" s="652">
        <f t="shared" ca="1" si="1"/>
        <v>12000</v>
      </c>
      <c r="M21" s="652">
        <f t="shared" ca="1" si="1"/>
        <v>12000</v>
      </c>
      <c r="N21" s="652">
        <f t="shared" ca="1" si="1"/>
        <v>160930</v>
      </c>
      <c r="O21" s="652">
        <f t="shared" ca="1" si="1"/>
        <v>321860</v>
      </c>
      <c r="P21" s="652">
        <f t="shared" ca="1" si="1"/>
        <v>643720</v>
      </c>
      <c r="Q21" s="652">
        <f t="shared" ca="1" si="1"/>
        <v>1287440</v>
      </c>
      <c r="R21" s="652">
        <f t="shared" ca="1" si="1"/>
        <v>1848000</v>
      </c>
      <c r="S21" s="652">
        <f t="shared" ca="1" si="1"/>
        <v>1848000</v>
      </c>
      <c r="T21" s="652">
        <f t="shared" ca="1" si="1"/>
        <v>1848000</v>
      </c>
      <c r="U21" s="652">
        <f t="shared" ca="1" si="10"/>
        <v>0</v>
      </c>
      <c r="V21" s="652">
        <f t="shared" ca="1" si="10"/>
        <v>0</v>
      </c>
      <c r="W21" s="652">
        <f t="shared" ca="1" si="10"/>
        <v>0</v>
      </c>
      <c r="X21" s="652">
        <f t="shared" ca="1" si="10"/>
        <v>0</v>
      </c>
      <c r="Y21" s="652">
        <f t="shared" ca="1" si="10"/>
        <v>0</v>
      </c>
      <c r="Z21" s="652">
        <f t="shared" ca="1" si="10"/>
        <v>0</v>
      </c>
      <c r="AA21" s="652">
        <f t="shared" ca="1" si="10"/>
        <v>0</v>
      </c>
      <c r="AB21" s="652">
        <f t="shared" ca="1" si="10"/>
        <v>78375</v>
      </c>
      <c r="AC21" s="652">
        <f t="shared" ca="1" si="10"/>
        <v>156750</v>
      </c>
      <c r="AD21" s="652">
        <f t="shared" ca="1" si="10"/>
        <v>313500</v>
      </c>
      <c r="AE21" s="652">
        <f t="shared" ca="1" si="10"/>
        <v>627000</v>
      </c>
      <c r="AF21" s="652">
        <f t="shared" ca="1" si="10"/>
        <v>900000</v>
      </c>
      <c r="AG21" s="652">
        <f t="shared" ca="1" si="10"/>
        <v>900000</v>
      </c>
      <c r="AH21" s="652">
        <f t="shared" ca="1" si="10"/>
        <v>900000</v>
      </c>
      <c r="AI21" s="652">
        <f t="shared" ca="1" si="11"/>
        <v>324550.69273141853</v>
      </c>
      <c r="AJ21" s="652">
        <f t="shared" ca="1" si="11"/>
        <v>649101.38546283706</v>
      </c>
      <c r="AK21" s="652">
        <f t="shared" ca="1" si="11"/>
        <v>1298202.7709256741</v>
      </c>
      <c r="AL21" s="652">
        <f t="shared" ca="1" si="11"/>
        <v>2596405.5418513482</v>
      </c>
      <c r="AM21" s="652">
        <f t="shared" ca="1" si="11"/>
        <v>3726897.9069636581</v>
      </c>
      <c r="AN21" s="652">
        <f t="shared" ca="1" si="11"/>
        <v>3726897.9069636581</v>
      </c>
      <c r="AO21" s="652">
        <f t="shared" ca="1" si="11"/>
        <v>3726897.9069636581</v>
      </c>
      <c r="AP21" s="652">
        <f t="shared" ca="1" si="11"/>
        <v>0</v>
      </c>
      <c r="AQ21" s="652">
        <f t="shared" ca="1" si="11"/>
        <v>0</v>
      </c>
      <c r="AR21" s="652">
        <f t="shared" ca="1" si="11"/>
        <v>0</v>
      </c>
      <c r="AS21" s="652">
        <f t="shared" ca="1" si="11"/>
        <v>0</v>
      </c>
      <c r="AT21" s="652">
        <f t="shared" ca="1" si="11"/>
        <v>0</v>
      </c>
      <c r="AU21" s="652">
        <f t="shared" ca="1" si="11"/>
        <v>0</v>
      </c>
      <c r="AV21" s="652">
        <f t="shared" ca="1" si="11"/>
        <v>0</v>
      </c>
      <c r="AW21" s="652">
        <f t="shared" ca="1" si="9"/>
        <v>14355.792000000001</v>
      </c>
      <c r="AX21" s="652">
        <f t="shared" ca="1" si="9"/>
        <v>28711.584000000003</v>
      </c>
      <c r="AY21" s="652">
        <f t="shared" ca="1" si="9"/>
        <v>57423.168000000005</v>
      </c>
      <c r="AZ21" s="652">
        <f t="shared" ca="1" si="9"/>
        <v>114846.33600000001</v>
      </c>
      <c r="BA21" s="652">
        <f t="shared" ca="1" si="8"/>
        <v>164851.20000000001</v>
      </c>
      <c r="BB21" s="652">
        <f t="shared" ca="1" si="4"/>
        <v>164851.20000000001</v>
      </c>
      <c r="BC21" s="652">
        <f t="shared" ca="1" si="4"/>
        <v>164851.20000000001</v>
      </c>
      <c r="BD21" s="652">
        <f t="shared" ca="1" si="6"/>
        <v>51675</v>
      </c>
      <c r="BE21" s="652">
        <f t="shared" ca="1" si="5"/>
        <v>7957950</v>
      </c>
      <c r="BF21" s="652">
        <f t="shared" ca="1" si="5"/>
        <v>0</v>
      </c>
      <c r="BG21" s="652">
        <f t="shared" ca="1" si="5"/>
        <v>3875625</v>
      </c>
      <c r="BH21" s="652">
        <f t="shared" ca="1" si="5"/>
        <v>0</v>
      </c>
      <c r="BI21" s="652">
        <f t="shared" ca="1" si="5"/>
        <v>16048954.111862252</v>
      </c>
      <c r="BJ21" s="652">
        <f t="shared" ca="1" si="5"/>
        <v>0</v>
      </c>
      <c r="BK21" s="652">
        <f t="shared" ca="1" si="5"/>
        <v>709890.48</v>
      </c>
    </row>
    <row r="22" spans="1:63">
      <c r="A22" s="526"/>
      <c r="B22" s="661">
        <v>3</v>
      </c>
      <c r="C22" s="662" t="s">
        <v>60</v>
      </c>
      <c r="D22" s="660" t="str">
        <f t="shared" ca="1" si="12"/>
        <v>Smart plug</v>
      </c>
      <c r="E22" s="660" t="str">
        <f t="shared" ca="1" si="12"/>
        <v>Smart plug sold on online marketplace</v>
      </c>
      <c r="F22" s="660" t="str">
        <f t="shared" ca="1" si="12"/>
        <v>Per smart plug</v>
      </c>
      <c r="G22" s="652">
        <f t="shared" ca="1" si="1"/>
        <v>24</v>
      </c>
      <c r="H22" s="652">
        <f t="shared" ca="1" si="1"/>
        <v>25.2</v>
      </c>
      <c r="I22" s="652">
        <f t="shared" ca="1" si="1"/>
        <v>26.46</v>
      </c>
      <c r="J22" s="652">
        <f t="shared" ca="1" si="1"/>
        <v>27.783000000000001</v>
      </c>
      <c r="K22" s="652">
        <f t="shared" ca="1" si="1"/>
        <v>29.172150000000002</v>
      </c>
      <c r="L22" s="652">
        <f t="shared" ca="1" si="1"/>
        <v>30.630757500000001</v>
      </c>
      <c r="M22" s="652">
        <f t="shared" ca="1" si="1"/>
        <v>32.162295374999999</v>
      </c>
      <c r="N22" s="652">
        <f t="shared" ca="1" si="1"/>
        <v>461.76</v>
      </c>
      <c r="O22" s="652">
        <f t="shared" ca="1" si="1"/>
        <v>484.84799999999996</v>
      </c>
      <c r="P22" s="652">
        <f t="shared" ca="1" si="1"/>
        <v>509.09039999999999</v>
      </c>
      <c r="Q22" s="652">
        <f t="shared" ca="1" si="1"/>
        <v>534.54491999999993</v>
      </c>
      <c r="R22" s="652">
        <f t="shared" ca="1" si="1"/>
        <v>561.27216599999997</v>
      </c>
      <c r="S22" s="652">
        <f t="shared" ca="1" si="1"/>
        <v>589.33577430000003</v>
      </c>
      <c r="T22" s="652">
        <f t="shared" ca="1" si="1"/>
        <v>618.80256301499992</v>
      </c>
      <c r="U22" s="652">
        <f t="shared" ca="1" si="10"/>
        <v>0</v>
      </c>
      <c r="V22" s="652">
        <f t="shared" ca="1" si="10"/>
        <v>0</v>
      </c>
      <c r="W22" s="652">
        <f t="shared" ca="1" si="10"/>
        <v>0</v>
      </c>
      <c r="X22" s="652">
        <f t="shared" ca="1" si="10"/>
        <v>0</v>
      </c>
      <c r="Y22" s="652">
        <f t="shared" ca="1" si="10"/>
        <v>0</v>
      </c>
      <c r="Z22" s="652">
        <f t="shared" ca="1" si="10"/>
        <v>0</v>
      </c>
      <c r="AA22" s="652">
        <f t="shared" ca="1" si="10"/>
        <v>0</v>
      </c>
      <c r="AB22" s="652">
        <f t="shared" ca="1" si="10"/>
        <v>240</v>
      </c>
      <c r="AC22" s="652">
        <f t="shared" ca="1" si="10"/>
        <v>252</v>
      </c>
      <c r="AD22" s="652">
        <f t="shared" ca="1" si="10"/>
        <v>264.60000000000002</v>
      </c>
      <c r="AE22" s="652">
        <f t="shared" ca="1" si="10"/>
        <v>277.83000000000004</v>
      </c>
      <c r="AF22" s="652">
        <f t="shared" ca="1" si="10"/>
        <v>291.72149999999999</v>
      </c>
      <c r="AG22" s="652">
        <f t="shared" ca="1" si="10"/>
        <v>306.30757500000004</v>
      </c>
      <c r="AH22" s="652">
        <f t="shared" ca="1" si="10"/>
        <v>321.62295374999997</v>
      </c>
      <c r="AI22" s="652">
        <f t="shared" ca="1" si="11"/>
        <v>1524</v>
      </c>
      <c r="AJ22" s="652">
        <f t="shared" ca="1" si="11"/>
        <v>1600.2</v>
      </c>
      <c r="AK22" s="652">
        <f t="shared" ca="1" si="11"/>
        <v>1680.21</v>
      </c>
      <c r="AL22" s="652">
        <f t="shared" ca="1" si="11"/>
        <v>1764.2205000000001</v>
      </c>
      <c r="AM22" s="652">
        <f t="shared" ca="1" si="11"/>
        <v>1852.4315250000002</v>
      </c>
      <c r="AN22" s="652">
        <f t="shared" ca="1" si="11"/>
        <v>1945.0531012500001</v>
      </c>
      <c r="AO22" s="652">
        <f t="shared" ca="1" si="11"/>
        <v>2042.3057563124999</v>
      </c>
      <c r="AP22" s="652">
        <f t="shared" ca="1" si="11"/>
        <v>0</v>
      </c>
      <c r="AQ22" s="652">
        <f t="shared" ca="1" si="11"/>
        <v>0</v>
      </c>
      <c r="AR22" s="652">
        <f t="shared" ca="1" si="11"/>
        <v>0</v>
      </c>
      <c r="AS22" s="652">
        <f t="shared" ca="1" si="11"/>
        <v>0</v>
      </c>
      <c r="AT22" s="652">
        <f t="shared" ca="1" si="11"/>
        <v>0</v>
      </c>
      <c r="AU22" s="652">
        <f t="shared" ca="1" si="11"/>
        <v>0</v>
      </c>
      <c r="AV22" s="652">
        <f t="shared" ca="1" si="11"/>
        <v>0</v>
      </c>
      <c r="AW22" s="652">
        <f t="shared" ca="1" si="9"/>
        <v>0</v>
      </c>
      <c r="AX22" s="652">
        <f t="shared" ca="1" si="9"/>
        <v>0</v>
      </c>
      <c r="AY22" s="652">
        <f t="shared" ca="1" si="9"/>
        <v>0</v>
      </c>
      <c r="AZ22" s="652">
        <f t="shared" ca="1" si="9"/>
        <v>0</v>
      </c>
      <c r="BA22" s="652">
        <f t="shared" ca="1" si="8"/>
        <v>0</v>
      </c>
      <c r="BB22" s="652">
        <f t="shared" ca="1" si="4"/>
        <v>0</v>
      </c>
      <c r="BC22" s="652">
        <f t="shared" ca="1" si="4"/>
        <v>0</v>
      </c>
      <c r="BD22" s="652">
        <f t="shared" ca="1" si="6"/>
        <v>195.40820287499997</v>
      </c>
      <c r="BE22" s="652">
        <f t="shared" ca="1" si="5"/>
        <v>3759.6538233150004</v>
      </c>
      <c r="BF22" s="652">
        <f t="shared" ca="1" si="5"/>
        <v>0</v>
      </c>
      <c r="BG22" s="652">
        <f t="shared" ca="1" si="5"/>
        <v>1954.0820287500001</v>
      </c>
      <c r="BH22" s="652">
        <f t="shared" ca="1" si="5"/>
        <v>0</v>
      </c>
      <c r="BI22" s="652">
        <f t="shared" ca="1" si="5"/>
        <v>12408.420882562501</v>
      </c>
      <c r="BJ22" s="652">
        <f t="shared" ca="1" si="5"/>
        <v>0</v>
      </c>
      <c r="BK22" s="652">
        <f t="shared" ca="1" si="5"/>
        <v>0</v>
      </c>
    </row>
    <row r="23" spans="1:63">
      <c r="A23" s="526"/>
      <c r="B23" s="661">
        <v>4</v>
      </c>
      <c r="C23" s="662" t="s">
        <v>60</v>
      </c>
      <c r="D23" s="660" t="str">
        <f t="shared" ca="1" si="12"/>
        <v>BYOD enablement devices</v>
      </c>
      <c r="E23" s="660" t="str">
        <f ca="1">VLOOKUP($B23,INDIRECT("'"&amp;$C23&amp;"'!A6:FC1000"),IF(E$6="Participation 2023",MATCH("__Participation 2023",INDIRECT("'"&amp;$C23&amp;"'!1:1"),0),IF(E$6="Participation",MATCH("_Total Plan Summary _Participation",INDIRECT("'"&amp;$C23&amp;"'!1:1"),0),MATCH(E$4&amp;"_"&amp;E$5&amp;"_"&amp;E$6,INDIRECT("'"&amp;$C23&amp;"'!1:1"),0))),0)</f>
        <v>Attachments for water heaters</v>
      </c>
      <c r="F23" s="660" t="str">
        <f t="shared" ca="1" si="12"/>
        <v>Per device</v>
      </c>
      <c r="G23" s="652">
        <f t="shared" ca="1" si="1"/>
        <v>0</v>
      </c>
      <c r="H23" s="652">
        <f t="shared" ca="1" si="1"/>
        <v>0</v>
      </c>
      <c r="I23" s="652">
        <f t="shared" ca="1" si="1"/>
        <v>10</v>
      </c>
      <c r="J23" s="652">
        <f t="shared" ca="1" si="1"/>
        <v>15</v>
      </c>
      <c r="K23" s="652">
        <f t="shared" ca="1" si="1"/>
        <v>22.5</v>
      </c>
      <c r="L23" s="652">
        <f t="shared" ca="1" si="1"/>
        <v>33.75</v>
      </c>
      <c r="M23" s="652">
        <f t="shared" ca="1" si="1"/>
        <v>50.625</v>
      </c>
      <c r="N23" s="652">
        <f t="shared" ca="1" si="1"/>
        <v>0</v>
      </c>
      <c r="O23" s="652">
        <f t="shared" ca="1" si="1"/>
        <v>0</v>
      </c>
      <c r="P23" s="652">
        <f t="shared" ca="1" si="1"/>
        <v>500</v>
      </c>
      <c r="Q23" s="652">
        <f t="shared" ca="1" si="1"/>
        <v>750</v>
      </c>
      <c r="R23" s="652">
        <f t="shared" ca="1" si="1"/>
        <v>1125</v>
      </c>
      <c r="S23" s="652">
        <f t="shared" ca="1" si="1"/>
        <v>1687.5</v>
      </c>
      <c r="T23" s="652">
        <f t="shared" ca="1" si="1"/>
        <v>2531.25</v>
      </c>
      <c r="U23" s="652">
        <f t="shared" ca="1" si="10"/>
        <v>0</v>
      </c>
      <c r="V23" s="652">
        <f t="shared" ca="1" si="10"/>
        <v>0</v>
      </c>
      <c r="W23" s="652">
        <f t="shared" ca="1" si="10"/>
        <v>0</v>
      </c>
      <c r="X23" s="652">
        <f t="shared" ca="1" si="10"/>
        <v>0</v>
      </c>
      <c r="Y23" s="652">
        <f t="shared" ca="1" si="10"/>
        <v>0</v>
      </c>
      <c r="Z23" s="652">
        <f t="shared" ca="1" si="10"/>
        <v>0</v>
      </c>
      <c r="AA23" s="652">
        <f t="shared" ca="1" si="10"/>
        <v>0</v>
      </c>
      <c r="AB23" s="652">
        <f t="shared" ca="1" si="10"/>
        <v>0</v>
      </c>
      <c r="AC23" s="652">
        <f t="shared" ca="1" si="10"/>
        <v>0</v>
      </c>
      <c r="AD23" s="652">
        <f t="shared" ca="1" si="10"/>
        <v>500</v>
      </c>
      <c r="AE23" s="652">
        <f t="shared" ca="1" si="10"/>
        <v>750</v>
      </c>
      <c r="AF23" s="652">
        <f t="shared" ca="1" si="10"/>
        <v>1125</v>
      </c>
      <c r="AG23" s="652">
        <f t="shared" ca="1" si="10"/>
        <v>1687.5</v>
      </c>
      <c r="AH23" s="652">
        <f t="shared" ca="1" si="10"/>
        <v>2531.25</v>
      </c>
      <c r="AI23" s="652">
        <f t="shared" ca="1" si="11"/>
        <v>0</v>
      </c>
      <c r="AJ23" s="652">
        <f t="shared" ca="1" si="11"/>
        <v>0</v>
      </c>
      <c r="AK23" s="652">
        <f t="shared" ca="1" si="11"/>
        <v>0</v>
      </c>
      <c r="AL23" s="652">
        <f t="shared" ca="1" si="11"/>
        <v>0</v>
      </c>
      <c r="AM23" s="652">
        <f t="shared" ca="1" si="11"/>
        <v>0</v>
      </c>
      <c r="AN23" s="652">
        <f t="shared" ca="1" si="11"/>
        <v>0</v>
      </c>
      <c r="AO23" s="652">
        <f t="shared" ca="1" si="11"/>
        <v>0</v>
      </c>
      <c r="AP23" s="652">
        <f t="shared" ca="1" si="11"/>
        <v>0</v>
      </c>
      <c r="AQ23" s="652">
        <f t="shared" ca="1" si="11"/>
        <v>0</v>
      </c>
      <c r="AR23" s="652">
        <f t="shared" ca="1" si="11"/>
        <v>0</v>
      </c>
      <c r="AS23" s="652">
        <f t="shared" ca="1" si="11"/>
        <v>0</v>
      </c>
      <c r="AT23" s="652">
        <f t="shared" ca="1" si="11"/>
        <v>0</v>
      </c>
      <c r="AU23" s="652">
        <f t="shared" ca="1" si="11"/>
        <v>0</v>
      </c>
      <c r="AV23" s="652">
        <f t="shared" ca="1" si="11"/>
        <v>0</v>
      </c>
      <c r="AW23" s="652">
        <f t="shared" ca="1" si="9"/>
        <v>0</v>
      </c>
      <c r="AX23" s="652">
        <f t="shared" ca="1" si="9"/>
        <v>0</v>
      </c>
      <c r="AY23" s="652">
        <f t="shared" ca="1" si="9"/>
        <v>0</v>
      </c>
      <c r="AZ23" s="652">
        <f t="shared" ca="1" si="9"/>
        <v>0</v>
      </c>
      <c r="BA23" s="652">
        <f t="shared" ca="1" si="8"/>
        <v>0</v>
      </c>
      <c r="BB23" s="652">
        <f t="shared" ca="1" si="4"/>
        <v>0</v>
      </c>
      <c r="BC23" s="652">
        <f t="shared" ca="1" si="4"/>
        <v>0</v>
      </c>
      <c r="BD23" s="652">
        <f t="shared" ca="1" si="6"/>
        <v>131.875</v>
      </c>
      <c r="BE23" s="652">
        <f t="shared" ca="1" si="5"/>
        <v>6593.75</v>
      </c>
      <c r="BF23" s="652">
        <f t="shared" ca="1" si="5"/>
        <v>0</v>
      </c>
      <c r="BG23" s="652">
        <f t="shared" ca="1" si="5"/>
        <v>6593.75</v>
      </c>
      <c r="BH23" s="652">
        <f t="shared" ca="1" si="5"/>
        <v>0</v>
      </c>
      <c r="BI23" s="652">
        <f t="shared" ca="1" si="5"/>
        <v>0</v>
      </c>
      <c r="BJ23" s="652">
        <f t="shared" ca="1" si="5"/>
        <v>0</v>
      </c>
      <c r="BK23" s="652">
        <f t="shared" ca="1" si="5"/>
        <v>0</v>
      </c>
    </row>
    <row r="24" spans="1:63">
      <c r="A24" s="526"/>
      <c r="B24" s="661">
        <v>1</v>
      </c>
      <c r="C24" s="662" t="s">
        <v>61</v>
      </c>
      <c r="D24" s="660" t="str">
        <f t="shared" ca="1" si="12"/>
        <v>Residential Audit - Virtual</v>
      </c>
      <c r="E24" s="660" t="str">
        <f t="shared" ca="1" si="12"/>
        <v>Virtual audit with no cost to customer</v>
      </c>
      <c r="F24" s="660" t="str">
        <f t="shared" ca="1" si="12"/>
        <v>Per Home</v>
      </c>
      <c r="G24" s="652">
        <f t="shared" ca="1" si="1"/>
        <v>0</v>
      </c>
      <c r="H24" s="652">
        <f t="shared" ca="1" si="1"/>
        <v>1250</v>
      </c>
      <c r="I24" s="652">
        <f t="shared" ca="1" si="1"/>
        <v>1312.5</v>
      </c>
      <c r="J24" s="652">
        <f t="shared" ca="1" si="1"/>
        <v>1378.125</v>
      </c>
      <c r="K24" s="652">
        <f t="shared" ca="1" si="1"/>
        <v>1447.03125</v>
      </c>
      <c r="L24" s="652">
        <f t="shared" ca="1" si="1"/>
        <v>1447.03125</v>
      </c>
      <c r="M24" s="652">
        <f t="shared" ca="1" si="1"/>
        <v>1447.03125</v>
      </c>
      <c r="N24" s="652">
        <f t="shared" ca="1" si="1"/>
        <v>0</v>
      </c>
      <c r="O24" s="652">
        <f t="shared" ca="1" si="1"/>
        <v>0</v>
      </c>
      <c r="P24" s="652">
        <f t="shared" ca="1" si="1"/>
        <v>0</v>
      </c>
      <c r="Q24" s="652">
        <f t="shared" ca="1" si="1"/>
        <v>0</v>
      </c>
      <c r="R24" s="652">
        <f t="shared" ca="1" si="1"/>
        <v>0</v>
      </c>
      <c r="S24" s="652">
        <f t="shared" ca="1" si="1"/>
        <v>0</v>
      </c>
      <c r="T24" s="652">
        <f t="shared" ca="1" si="1"/>
        <v>0</v>
      </c>
      <c r="U24" s="652">
        <f t="shared" ca="1" si="10"/>
        <v>0</v>
      </c>
      <c r="V24" s="652">
        <f t="shared" ca="1" si="10"/>
        <v>0</v>
      </c>
      <c r="W24" s="652">
        <f t="shared" ca="1" si="10"/>
        <v>0</v>
      </c>
      <c r="X24" s="652">
        <f t="shared" ca="1" si="10"/>
        <v>0</v>
      </c>
      <c r="Y24" s="652">
        <f t="shared" ca="1" si="10"/>
        <v>0</v>
      </c>
      <c r="Z24" s="652">
        <f t="shared" ca="1" si="10"/>
        <v>0</v>
      </c>
      <c r="AA24" s="652">
        <f t="shared" ca="1" si="10"/>
        <v>0</v>
      </c>
      <c r="AB24" s="652">
        <f t="shared" ca="1" si="10"/>
        <v>0</v>
      </c>
      <c r="AC24" s="652">
        <f t="shared" ca="1" si="10"/>
        <v>0</v>
      </c>
      <c r="AD24" s="652">
        <f t="shared" ca="1" si="10"/>
        <v>0</v>
      </c>
      <c r="AE24" s="652">
        <f t="shared" ca="1" si="10"/>
        <v>0</v>
      </c>
      <c r="AF24" s="652">
        <f t="shared" ca="1" si="10"/>
        <v>0</v>
      </c>
      <c r="AG24" s="652">
        <f t="shared" ca="1" si="10"/>
        <v>0</v>
      </c>
      <c r="AH24" s="652">
        <f t="shared" ca="1" si="10"/>
        <v>0</v>
      </c>
      <c r="AI24" s="652">
        <f t="shared" ca="1" si="11"/>
        <v>0</v>
      </c>
      <c r="AJ24" s="652">
        <f t="shared" ca="1" si="11"/>
        <v>0</v>
      </c>
      <c r="AK24" s="652">
        <f t="shared" ca="1" si="11"/>
        <v>0</v>
      </c>
      <c r="AL24" s="652">
        <f t="shared" ca="1" si="11"/>
        <v>0</v>
      </c>
      <c r="AM24" s="652">
        <f t="shared" ca="1" si="11"/>
        <v>0</v>
      </c>
      <c r="AN24" s="652">
        <f t="shared" ca="1" si="11"/>
        <v>0</v>
      </c>
      <c r="AO24" s="652">
        <f t="shared" ca="1" si="11"/>
        <v>0</v>
      </c>
      <c r="AP24" s="652">
        <f t="shared" ca="1" si="11"/>
        <v>0</v>
      </c>
      <c r="AQ24" s="652">
        <f t="shared" ca="1" si="11"/>
        <v>0</v>
      </c>
      <c r="AR24" s="652">
        <f t="shared" ca="1" si="11"/>
        <v>0</v>
      </c>
      <c r="AS24" s="652">
        <f t="shared" ca="1" si="11"/>
        <v>0</v>
      </c>
      <c r="AT24" s="652">
        <f t="shared" ca="1" si="11"/>
        <v>0</v>
      </c>
      <c r="AU24" s="652">
        <f t="shared" ca="1" si="11"/>
        <v>0</v>
      </c>
      <c r="AV24" s="652">
        <f t="shared" ca="1" si="11"/>
        <v>0</v>
      </c>
      <c r="AW24" s="652">
        <f t="shared" ca="1" si="9"/>
        <v>0</v>
      </c>
      <c r="AX24" s="652">
        <f t="shared" ca="1" si="9"/>
        <v>0</v>
      </c>
      <c r="AY24" s="652">
        <f t="shared" ca="1" si="9"/>
        <v>0</v>
      </c>
      <c r="AZ24" s="652">
        <f t="shared" ca="1" si="9"/>
        <v>0</v>
      </c>
      <c r="BA24" s="652">
        <f t="shared" ca="1" si="8"/>
        <v>0</v>
      </c>
      <c r="BB24" s="652">
        <f t="shared" ca="1" si="4"/>
        <v>0</v>
      </c>
      <c r="BC24" s="652">
        <f t="shared" ca="1" si="4"/>
        <v>0</v>
      </c>
      <c r="BD24" s="652">
        <f t="shared" ca="1" si="6"/>
        <v>8281.71875</v>
      </c>
      <c r="BE24" s="652">
        <f t="shared" ca="1" si="5"/>
        <v>0</v>
      </c>
      <c r="BF24" s="652">
        <f t="shared" ca="1" si="5"/>
        <v>0</v>
      </c>
      <c r="BG24" s="652">
        <f t="shared" ca="1" si="5"/>
        <v>0</v>
      </c>
      <c r="BH24" s="652">
        <f t="shared" ca="1" si="5"/>
        <v>0</v>
      </c>
      <c r="BI24" s="652">
        <f t="shared" ca="1" si="5"/>
        <v>0</v>
      </c>
      <c r="BJ24" s="652">
        <f t="shared" ca="1" si="5"/>
        <v>0</v>
      </c>
      <c r="BK24" s="652">
        <f t="shared" ca="1" si="5"/>
        <v>0</v>
      </c>
    </row>
    <row r="25" spans="1:63">
      <c r="A25" s="526"/>
      <c r="B25" s="661">
        <v>2</v>
      </c>
      <c r="C25" s="662" t="s">
        <v>61</v>
      </c>
      <c r="D25" s="660" t="str">
        <f t="shared" ca="1" si="12"/>
        <v>Virtual Energy Kit</v>
      </c>
      <c r="E25" s="660" t="str">
        <f t="shared" ca="1" si="12"/>
        <v>Kits will be mailed to customer</v>
      </c>
      <c r="F25" s="660" t="str">
        <f t="shared" ca="1" si="12"/>
        <v>Per Home</v>
      </c>
      <c r="G25" s="652">
        <f t="shared" ref="G25:T37" ca="1" si="13">VLOOKUP($B25,INDIRECT("'"&amp;$C25&amp;"'!A6:FR1000"),IF(G$6="Participation 2023",MATCH("__Participation 2023",INDIRECT("'"&amp;$C25&amp;"'!1:1"),0),IF(G$6="Participation",MATCH("_Total Plan Summary _Participation",INDIRECT("'"&amp;$C25&amp;"'!1:1"),0),MATCH(G$4&amp;"_"&amp;G$5&amp;"_"&amp;G$6,INDIRECT("'"&amp;$C25&amp;"'!1:1"),0))),0)</f>
        <v>0</v>
      </c>
      <c r="H25" s="652">
        <f t="shared" ca="1" si="13"/>
        <v>1250</v>
      </c>
      <c r="I25" s="652">
        <f t="shared" ca="1" si="13"/>
        <v>1312.5</v>
      </c>
      <c r="J25" s="652">
        <f t="shared" ca="1" si="13"/>
        <v>1378.125</v>
      </c>
      <c r="K25" s="652">
        <f t="shared" ca="1" si="13"/>
        <v>1447.03125</v>
      </c>
      <c r="L25" s="652">
        <f t="shared" ca="1" si="13"/>
        <v>1447.03125</v>
      </c>
      <c r="M25" s="652">
        <f t="shared" ca="1" si="13"/>
        <v>1447.03125</v>
      </c>
      <c r="N25" s="652">
        <f t="shared" ca="1" si="13"/>
        <v>0</v>
      </c>
      <c r="O25" s="652">
        <f t="shared" ca="1" si="13"/>
        <v>0</v>
      </c>
      <c r="P25" s="652">
        <f t="shared" ca="1" si="13"/>
        <v>0</v>
      </c>
      <c r="Q25" s="652">
        <f t="shared" ca="1" si="13"/>
        <v>0</v>
      </c>
      <c r="R25" s="652">
        <f t="shared" ca="1" si="13"/>
        <v>0</v>
      </c>
      <c r="S25" s="652">
        <f t="shared" ca="1" si="13"/>
        <v>0</v>
      </c>
      <c r="T25" s="652">
        <f t="shared" ca="1" si="13"/>
        <v>0</v>
      </c>
      <c r="U25" s="652">
        <f t="shared" ref="U25:AH37" ca="1" si="14">VLOOKUP($B25,INDIRECT("'"&amp;$C25&amp;"'!A6:FR1000"),IF(U$6="Participation 2023",MATCH("__Participation 2023",INDIRECT("'"&amp;$C25&amp;"'!1:1"),0),IF(U$6="Participation",MATCH("_Total Plan Summary _Participation",INDIRECT("'"&amp;$C25&amp;"'!1:1"),0),MATCH(U$4&amp;"_"&amp;U$5&amp;"_"&amp;U$6,INDIRECT("'"&amp;$C25&amp;"'!1:1"),0))),0)</f>
        <v>0</v>
      </c>
      <c r="V25" s="652">
        <f t="shared" ca="1" si="14"/>
        <v>0</v>
      </c>
      <c r="W25" s="652">
        <f t="shared" ca="1" si="14"/>
        <v>0</v>
      </c>
      <c r="X25" s="652">
        <f t="shared" ca="1" si="14"/>
        <v>0</v>
      </c>
      <c r="Y25" s="652">
        <f t="shared" ca="1" si="14"/>
        <v>0</v>
      </c>
      <c r="Z25" s="652">
        <f t="shared" ca="1" si="14"/>
        <v>0</v>
      </c>
      <c r="AA25" s="652">
        <f t="shared" ca="1" si="14"/>
        <v>0</v>
      </c>
      <c r="AB25" s="652">
        <f t="shared" ca="1" si="14"/>
        <v>0</v>
      </c>
      <c r="AC25" s="652">
        <f t="shared" ca="1" si="14"/>
        <v>0</v>
      </c>
      <c r="AD25" s="652">
        <f t="shared" ca="1" si="14"/>
        <v>0</v>
      </c>
      <c r="AE25" s="652">
        <f t="shared" ca="1" si="14"/>
        <v>0</v>
      </c>
      <c r="AF25" s="652">
        <f t="shared" ca="1" si="14"/>
        <v>0</v>
      </c>
      <c r="AG25" s="652">
        <f t="shared" ca="1" si="14"/>
        <v>0</v>
      </c>
      <c r="AH25" s="652">
        <f t="shared" ca="1" si="14"/>
        <v>0</v>
      </c>
      <c r="AI25" s="652">
        <f t="shared" ca="1" si="11"/>
        <v>0</v>
      </c>
      <c r="AJ25" s="652">
        <f t="shared" ca="1" si="11"/>
        <v>178584.72883714703</v>
      </c>
      <c r="AK25" s="652">
        <f t="shared" ca="1" si="11"/>
        <v>187513.96527900439</v>
      </c>
      <c r="AL25" s="652">
        <f t="shared" ca="1" si="11"/>
        <v>196889.6635429546</v>
      </c>
      <c r="AM25" s="652">
        <f t="shared" ca="1" si="11"/>
        <v>206734.14672010235</v>
      </c>
      <c r="AN25" s="652">
        <f t="shared" ca="1" si="11"/>
        <v>206734.14672010235</v>
      </c>
      <c r="AO25" s="652">
        <f t="shared" ca="1" si="11"/>
        <v>206734.14672010235</v>
      </c>
      <c r="AP25" s="652">
        <f t="shared" ca="1" si="11"/>
        <v>0</v>
      </c>
      <c r="AQ25" s="652">
        <f t="shared" ca="1" si="11"/>
        <v>12.965473808161871</v>
      </c>
      <c r="AR25" s="652">
        <f t="shared" ca="1" si="11"/>
        <v>13.613747498569964</v>
      </c>
      <c r="AS25" s="652">
        <f t="shared" ca="1" si="11"/>
        <v>14.294434873498462</v>
      </c>
      <c r="AT25" s="652">
        <f t="shared" ca="1" si="11"/>
        <v>15.009156617173385</v>
      </c>
      <c r="AU25" s="652">
        <f t="shared" ca="1" si="11"/>
        <v>15.009156617173385</v>
      </c>
      <c r="AV25" s="652">
        <f t="shared" ca="1" si="11"/>
        <v>15.009156617173385</v>
      </c>
      <c r="AW25" s="652">
        <f t="shared" ca="1" si="9"/>
        <v>0</v>
      </c>
      <c r="AX25" s="652">
        <f t="shared" ca="1" si="9"/>
        <v>4200.7058073289536</v>
      </c>
      <c r="AY25" s="652">
        <f t="shared" ca="1" si="9"/>
        <v>4410.7410976954015</v>
      </c>
      <c r="AZ25" s="652">
        <f t="shared" ca="1" si="9"/>
        <v>4631.278152580172</v>
      </c>
      <c r="BA25" s="652">
        <f t="shared" ca="1" si="8"/>
        <v>4862.8420602091801</v>
      </c>
      <c r="BB25" s="652">
        <f t="shared" ca="1" si="8"/>
        <v>4862.8420602091801</v>
      </c>
      <c r="BC25" s="652">
        <f t="shared" ca="1" si="8"/>
        <v>4862.8420602091801</v>
      </c>
      <c r="BD25" s="652">
        <f t="shared" ca="1" si="6"/>
        <v>8281.71875</v>
      </c>
      <c r="BE25" s="652">
        <f t="shared" ca="1" si="8"/>
        <v>0</v>
      </c>
      <c r="BF25" s="652">
        <f t="shared" ca="1" si="8"/>
        <v>0</v>
      </c>
      <c r="BG25" s="652">
        <f t="shared" ca="1" si="8"/>
        <v>0</v>
      </c>
      <c r="BH25" s="652">
        <f t="shared" ca="1" si="8"/>
        <v>276278.13750000001</v>
      </c>
      <c r="BI25" s="652">
        <f t="shared" ca="1" si="8"/>
        <v>1183190.797819413</v>
      </c>
      <c r="BJ25" s="652">
        <f t="shared" ca="1" si="8"/>
        <v>85.901126031750465</v>
      </c>
      <c r="BK25" s="652">
        <f t="shared" ca="1" si="8"/>
        <v>27831.251238232064</v>
      </c>
    </row>
    <row r="26" spans="1:63">
      <c r="A26" s="526"/>
      <c r="B26" s="661">
        <v>3</v>
      </c>
      <c r="C26" s="662" t="s">
        <v>61</v>
      </c>
      <c r="D26" s="660" t="str">
        <f t="shared" ca="1" si="12"/>
        <v>Weatherization-Ceiling Insulation (KY) - Code</v>
      </c>
      <c r="E26" s="660" t="str">
        <f t="shared" ca="1" si="12"/>
        <v>R-49</v>
      </c>
      <c r="F26" s="660" t="str">
        <f t="shared" ca="1" si="12"/>
        <v>Per Unit</v>
      </c>
      <c r="G26" s="652">
        <f t="shared" ca="1" si="13"/>
        <v>0</v>
      </c>
      <c r="H26" s="652">
        <f t="shared" ca="1" si="13"/>
        <v>0</v>
      </c>
      <c r="I26" s="652">
        <f t="shared" ca="1" si="13"/>
        <v>0</v>
      </c>
      <c r="J26" s="652">
        <f t="shared" ca="1" si="13"/>
        <v>0</v>
      </c>
      <c r="K26" s="652">
        <f t="shared" ca="1" si="13"/>
        <v>0</v>
      </c>
      <c r="L26" s="652">
        <f t="shared" ca="1" si="13"/>
        <v>0</v>
      </c>
      <c r="M26" s="652">
        <f t="shared" ca="1" si="13"/>
        <v>0</v>
      </c>
      <c r="N26" s="652">
        <f t="shared" ca="1" si="13"/>
        <v>0</v>
      </c>
      <c r="O26" s="652">
        <f t="shared" ca="1" si="13"/>
        <v>0</v>
      </c>
      <c r="P26" s="652">
        <f t="shared" ca="1" si="13"/>
        <v>0</v>
      </c>
      <c r="Q26" s="652">
        <f t="shared" ca="1" si="13"/>
        <v>0</v>
      </c>
      <c r="R26" s="652">
        <f t="shared" ca="1" si="13"/>
        <v>0</v>
      </c>
      <c r="S26" s="652">
        <f t="shared" ca="1" si="13"/>
        <v>0</v>
      </c>
      <c r="T26" s="652">
        <f t="shared" ca="1" si="13"/>
        <v>0</v>
      </c>
      <c r="U26" s="652">
        <f t="shared" ca="1" si="14"/>
        <v>0</v>
      </c>
      <c r="V26" s="652">
        <f t="shared" ca="1" si="14"/>
        <v>0</v>
      </c>
      <c r="W26" s="652">
        <f t="shared" ca="1" si="14"/>
        <v>0</v>
      </c>
      <c r="X26" s="652">
        <f t="shared" ca="1" si="14"/>
        <v>0</v>
      </c>
      <c r="Y26" s="652">
        <f t="shared" ca="1" si="14"/>
        <v>0</v>
      </c>
      <c r="Z26" s="652">
        <f t="shared" ca="1" si="14"/>
        <v>0</v>
      </c>
      <c r="AA26" s="652">
        <f t="shared" ca="1" si="14"/>
        <v>0</v>
      </c>
      <c r="AB26" s="652">
        <f t="shared" ca="1" si="14"/>
        <v>0</v>
      </c>
      <c r="AC26" s="652">
        <f t="shared" ca="1" si="14"/>
        <v>0</v>
      </c>
      <c r="AD26" s="652">
        <f t="shared" ca="1" si="14"/>
        <v>0</v>
      </c>
      <c r="AE26" s="652">
        <f t="shared" ca="1" si="14"/>
        <v>0</v>
      </c>
      <c r="AF26" s="652">
        <f t="shared" ca="1" si="14"/>
        <v>0</v>
      </c>
      <c r="AG26" s="652">
        <f t="shared" ca="1" si="14"/>
        <v>0</v>
      </c>
      <c r="AH26" s="652">
        <f t="shared" ca="1" si="14"/>
        <v>0</v>
      </c>
      <c r="AI26" s="652">
        <f t="shared" ca="1" si="11"/>
        <v>0</v>
      </c>
      <c r="AJ26" s="652">
        <f t="shared" ca="1" si="11"/>
        <v>0</v>
      </c>
      <c r="AK26" s="652">
        <f t="shared" ca="1" si="11"/>
        <v>0</v>
      </c>
      <c r="AL26" s="652">
        <f t="shared" ca="1" si="11"/>
        <v>0</v>
      </c>
      <c r="AM26" s="652">
        <f t="shared" ca="1" si="11"/>
        <v>0</v>
      </c>
      <c r="AN26" s="652">
        <f t="shared" ca="1" si="11"/>
        <v>0</v>
      </c>
      <c r="AO26" s="652">
        <f t="shared" ca="1" si="11"/>
        <v>0</v>
      </c>
      <c r="AP26" s="652">
        <f t="shared" ca="1" si="11"/>
        <v>0</v>
      </c>
      <c r="AQ26" s="652">
        <f t="shared" ca="1" si="11"/>
        <v>0</v>
      </c>
      <c r="AR26" s="652">
        <f t="shared" ca="1" si="11"/>
        <v>0</v>
      </c>
      <c r="AS26" s="652">
        <f t="shared" ca="1" si="11"/>
        <v>0</v>
      </c>
      <c r="AT26" s="652">
        <f t="shared" ca="1" si="11"/>
        <v>0</v>
      </c>
      <c r="AU26" s="652">
        <f t="shared" ca="1" si="11"/>
        <v>0</v>
      </c>
      <c r="AV26" s="652">
        <f t="shared" ca="1" si="11"/>
        <v>0</v>
      </c>
      <c r="AW26" s="652">
        <f t="shared" ca="1" si="9"/>
        <v>0</v>
      </c>
      <c r="AX26" s="652">
        <f t="shared" ca="1" si="9"/>
        <v>0</v>
      </c>
      <c r="AY26" s="652">
        <f t="shared" ca="1" si="9"/>
        <v>0</v>
      </c>
      <c r="AZ26" s="652">
        <f t="shared" ca="1" si="9"/>
        <v>0</v>
      </c>
      <c r="BA26" s="652">
        <f t="shared" ca="1" si="8"/>
        <v>0</v>
      </c>
      <c r="BB26" s="652">
        <f t="shared" ca="1" si="8"/>
        <v>0</v>
      </c>
      <c r="BC26" s="652">
        <f t="shared" ca="1" si="8"/>
        <v>0</v>
      </c>
      <c r="BD26" s="652">
        <f t="shared" ca="1" si="6"/>
        <v>0</v>
      </c>
      <c r="BE26" s="652">
        <f t="shared" ca="1" si="8"/>
        <v>0</v>
      </c>
      <c r="BF26" s="652">
        <f t="shared" ca="1" si="8"/>
        <v>0</v>
      </c>
      <c r="BG26" s="652">
        <f t="shared" ca="1" si="8"/>
        <v>0</v>
      </c>
      <c r="BH26" s="652">
        <f t="shared" ca="1" si="8"/>
        <v>0</v>
      </c>
      <c r="BI26" s="652">
        <f t="shared" ca="1" si="8"/>
        <v>0</v>
      </c>
      <c r="BJ26" s="652">
        <f t="shared" ca="1" si="8"/>
        <v>0</v>
      </c>
      <c r="BK26" s="652">
        <f t="shared" ca="1" si="8"/>
        <v>0</v>
      </c>
    </row>
    <row r="27" spans="1:63">
      <c r="A27" s="526"/>
      <c r="B27" s="661">
        <v>4</v>
      </c>
      <c r="C27" s="662" t="s">
        <v>61</v>
      </c>
      <c r="D27" s="660" t="str">
        <f t="shared" ca="1" si="12"/>
        <v>Weatherization-Duct Sealing and Insulation - Code</v>
      </c>
      <c r="E27" s="660" t="str">
        <f t="shared" ca="1" si="12"/>
        <v>Code Duct Sealing and Insulation - R-8</v>
      </c>
      <c r="F27" s="660" t="str">
        <f t="shared" ca="1" si="12"/>
        <v>Per Unit</v>
      </c>
      <c r="G27" s="652">
        <f t="shared" ca="1" si="13"/>
        <v>0</v>
      </c>
      <c r="H27" s="652">
        <f t="shared" ca="1" si="13"/>
        <v>0</v>
      </c>
      <c r="I27" s="652">
        <f t="shared" ca="1" si="13"/>
        <v>0</v>
      </c>
      <c r="J27" s="652">
        <f t="shared" ca="1" si="13"/>
        <v>0</v>
      </c>
      <c r="K27" s="652">
        <f t="shared" ca="1" si="13"/>
        <v>0</v>
      </c>
      <c r="L27" s="652">
        <f t="shared" ca="1" si="13"/>
        <v>0</v>
      </c>
      <c r="M27" s="652">
        <f t="shared" ca="1" si="13"/>
        <v>0</v>
      </c>
      <c r="N27" s="652">
        <f t="shared" ca="1" si="13"/>
        <v>0</v>
      </c>
      <c r="O27" s="652">
        <f t="shared" ca="1" si="13"/>
        <v>0</v>
      </c>
      <c r="P27" s="652">
        <f t="shared" ca="1" si="13"/>
        <v>0</v>
      </c>
      <c r="Q27" s="652">
        <f t="shared" ca="1" si="13"/>
        <v>0</v>
      </c>
      <c r="R27" s="652">
        <f t="shared" ca="1" si="13"/>
        <v>0</v>
      </c>
      <c r="S27" s="652">
        <f t="shared" ca="1" si="13"/>
        <v>0</v>
      </c>
      <c r="T27" s="652">
        <f t="shared" ca="1" si="13"/>
        <v>0</v>
      </c>
      <c r="U27" s="652">
        <f t="shared" ca="1" si="14"/>
        <v>0</v>
      </c>
      <c r="V27" s="652">
        <f t="shared" ca="1" si="14"/>
        <v>0</v>
      </c>
      <c r="W27" s="652">
        <f t="shared" ca="1" si="14"/>
        <v>0</v>
      </c>
      <c r="X27" s="652">
        <f t="shared" ca="1" si="14"/>
        <v>0</v>
      </c>
      <c r="Y27" s="652">
        <f t="shared" ca="1" si="14"/>
        <v>0</v>
      </c>
      <c r="Z27" s="652">
        <f t="shared" ca="1" si="14"/>
        <v>0</v>
      </c>
      <c r="AA27" s="652">
        <f t="shared" ca="1" si="14"/>
        <v>0</v>
      </c>
      <c r="AB27" s="652">
        <f t="shared" ca="1" si="14"/>
        <v>0</v>
      </c>
      <c r="AC27" s="652">
        <f t="shared" ca="1" si="14"/>
        <v>0</v>
      </c>
      <c r="AD27" s="652">
        <f t="shared" ca="1" si="14"/>
        <v>0</v>
      </c>
      <c r="AE27" s="652">
        <f t="shared" ca="1" si="14"/>
        <v>0</v>
      </c>
      <c r="AF27" s="652">
        <f t="shared" ca="1" si="14"/>
        <v>0</v>
      </c>
      <c r="AG27" s="652">
        <f t="shared" ca="1" si="14"/>
        <v>0</v>
      </c>
      <c r="AH27" s="652">
        <f t="shared" ca="1" si="14"/>
        <v>0</v>
      </c>
      <c r="AI27" s="652">
        <f t="shared" ca="1" si="11"/>
        <v>0</v>
      </c>
      <c r="AJ27" s="652">
        <f t="shared" ca="1" si="11"/>
        <v>0</v>
      </c>
      <c r="AK27" s="652">
        <f t="shared" ca="1" si="11"/>
        <v>0</v>
      </c>
      <c r="AL27" s="652">
        <f t="shared" ca="1" si="11"/>
        <v>0</v>
      </c>
      <c r="AM27" s="652">
        <f t="shared" ca="1" si="11"/>
        <v>0</v>
      </c>
      <c r="AN27" s="652">
        <f t="shared" ca="1" si="11"/>
        <v>0</v>
      </c>
      <c r="AO27" s="652">
        <f t="shared" ca="1" si="11"/>
        <v>0</v>
      </c>
      <c r="AP27" s="652">
        <f t="shared" ca="1" si="11"/>
        <v>0</v>
      </c>
      <c r="AQ27" s="652">
        <f t="shared" ca="1" si="11"/>
        <v>0</v>
      </c>
      <c r="AR27" s="652">
        <f t="shared" ca="1" si="11"/>
        <v>0</v>
      </c>
      <c r="AS27" s="652">
        <f t="shared" ca="1" si="11"/>
        <v>0</v>
      </c>
      <c r="AT27" s="652">
        <f t="shared" ca="1" si="11"/>
        <v>0</v>
      </c>
      <c r="AU27" s="652">
        <f t="shared" ca="1" si="11"/>
        <v>0</v>
      </c>
      <c r="AV27" s="652">
        <f t="shared" ca="1" si="11"/>
        <v>0</v>
      </c>
      <c r="AW27" s="652">
        <f t="shared" ca="1" si="9"/>
        <v>0</v>
      </c>
      <c r="AX27" s="652">
        <f t="shared" ca="1" si="9"/>
        <v>0</v>
      </c>
      <c r="AY27" s="652">
        <f t="shared" ca="1" si="9"/>
        <v>0</v>
      </c>
      <c r="AZ27" s="652">
        <f t="shared" ca="1" si="9"/>
        <v>0</v>
      </c>
      <c r="BA27" s="652">
        <f t="shared" ca="1" si="8"/>
        <v>0</v>
      </c>
      <c r="BB27" s="652">
        <f t="shared" ca="1" si="8"/>
        <v>0</v>
      </c>
      <c r="BC27" s="652">
        <f t="shared" ca="1" si="8"/>
        <v>0</v>
      </c>
      <c r="BD27" s="652">
        <f t="shared" ca="1" si="6"/>
        <v>0</v>
      </c>
      <c r="BE27" s="652">
        <f t="shared" ca="1" si="8"/>
        <v>0</v>
      </c>
      <c r="BF27" s="652">
        <f t="shared" ca="1" si="8"/>
        <v>0</v>
      </c>
      <c r="BG27" s="652">
        <f t="shared" ca="1" si="8"/>
        <v>0</v>
      </c>
      <c r="BH27" s="652">
        <f t="shared" ca="1" si="8"/>
        <v>0</v>
      </c>
      <c r="BI27" s="652">
        <f t="shared" ca="1" si="8"/>
        <v>0</v>
      </c>
      <c r="BJ27" s="652">
        <f t="shared" ca="1" si="8"/>
        <v>0</v>
      </c>
      <c r="BK27" s="652">
        <f t="shared" ca="1" si="8"/>
        <v>0</v>
      </c>
    </row>
    <row r="28" spans="1:63">
      <c r="A28" s="526"/>
      <c r="B28" s="661">
        <v>5</v>
      </c>
      <c r="C28" s="662" t="s">
        <v>61</v>
      </c>
      <c r="D28" s="660" t="str">
        <f t="shared" ca="1" si="12"/>
        <v>Weatherization-Infiltration Control - Reduction of Existing Conditions</v>
      </c>
      <c r="E28" s="660" t="str">
        <f t="shared" ca="1" si="12"/>
        <v>Infiltration Control - 0.1 ACH Reduction</v>
      </c>
      <c r="F28" s="660" t="str">
        <f t="shared" ca="1" si="12"/>
        <v>Per Unit</v>
      </c>
      <c r="G28" s="652">
        <f t="shared" ca="1" si="13"/>
        <v>0</v>
      </c>
      <c r="H28" s="652">
        <f t="shared" ca="1" si="13"/>
        <v>0</v>
      </c>
      <c r="I28" s="652">
        <f t="shared" ca="1" si="13"/>
        <v>0</v>
      </c>
      <c r="J28" s="652">
        <f t="shared" ca="1" si="13"/>
        <v>0</v>
      </c>
      <c r="K28" s="652">
        <f t="shared" ca="1" si="13"/>
        <v>0</v>
      </c>
      <c r="L28" s="652">
        <f t="shared" ca="1" si="13"/>
        <v>0</v>
      </c>
      <c r="M28" s="652">
        <f t="shared" ca="1" si="13"/>
        <v>0</v>
      </c>
      <c r="N28" s="652">
        <f t="shared" ca="1" si="13"/>
        <v>0</v>
      </c>
      <c r="O28" s="652">
        <f t="shared" ca="1" si="13"/>
        <v>0</v>
      </c>
      <c r="P28" s="652">
        <f t="shared" ca="1" si="13"/>
        <v>0</v>
      </c>
      <c r="Q28" s="652">
        <f t="shared" ca="1" si="13"/>
        <v>0</v>
      </c>
      <c r="R28" s="652">
        <f t="shared" ca="1" si="13"/>
        <v>0</v>
      </c>
      <c r="S28" s="652">
        <f t="shared" ca="1" si="13"/>
        <v>0</v>
      </c>
      <c r="T28" s="652">
        <f t="shared" ca="1" si="13"/>
        <v>0</v>
      </c>
      <c r="U28" s="652">
        <f t="shared" ca="1" si="14"/>
        <v>0</v>
      </c>
      <c r="V28" s="652">
        <f t="shared" ca="1" si="14"/>
        <v>0</v>
      </c>
      <c r="W28" s="652">
        <f t="shared" ca="1" si="14"/>
        <v>0</v>
      </c>
      <c r="X28" s="652">
        <f t="shared" ca="1" si="14"/>
        <v>0</v>
      </c>
      <c r="Y28" s="652">
        <f t="shared" ca="1" si="14"/>
        <v>0</v>
      </c>
      <c r="Z28" s="652">
        <f t="shared" ca="1" si="14"/>
        <v>0</v>
      </c>
      <c r="AA28" s="652">
        <f t="shared" ca="1" si="14"/>
        <v>0</v>
      </c>
      <c r="AB28" s="652">
        <f t="shared" ca="1" si="14"/>
        <v>0</v>
      </c>
      <c r="AC28" s="652">
        <f t="shared" ca="1" si="14"/>
        <v>0</v>
      </c>
      <c r="AD28" s="652">
        <f t="shared" ca="1" si="14"/>
        <v>0</v>
      </c>
      <c r="AE28" s="652">
        <f t="shared" ca="1" si="14"/>
        <v>0</v>
      </c>
      <c r="AF28" s="652">
        <f t="shared" ca="1" si="14"/>
        <v>0</v>
      </c>
      <c r="AG28" s="652">
        <f t="shared" ca="1" si="14"/>
        <v>0</v>
      </c>
      <c r="AH28" s="652">
        <f t="shared" ca="1" si="14"/>
        <v>0</v>
      </c>
      <c r="AI28" s="652">
        <f t="shared" ca="1" si="11"/>
        <v>0</v>
      </c>
      <c r="AJ28" s="652">
        <f t="shared" ca="1" si="11"/>
        <v>0</v>
      </c>
      <c r="AK28" s="652">
        <f t="shared" ca="1" si="11"/>
        <v>0</v>
      </c>
      <c r="AL28" s="652">
        <f t="shared" ca="1" si="11"/>
        <v>0</v>
      </c>
      <c r="AM28" s="652">
        <f t="shared" ca="1" si="11"/>
        <v>0</v>
      </c>
      <c r="AN28" s="652">
        <f t="shared" ca="1" si="11"/>
        <v>0</v>
      </c>
      <c r="AO28" s="652">
        <f t="shared" ca="1" si="11"/>
        <v>0</v>
      </c>
      <c r="AP28" s="652">
        <f t="shared" ca="1" si="11"/>
        <v>0</v>
      </c>
      <c r="AQ28" s="652">
        <f t="shared" ca="1" si="11"/>
        <v>0</v>
      </c>
      <c r="AR28" s="652">
        <f t="shared" ca="1" si="11"/>
        <v>0</v>
      </c>
      <c r="AS28" s="652">
        <f t="shared" ca="1" si="11"/>
        <v>0</v>
      </c>
      <c r="AT28" s="652">
        <f t="shared" ca="1" si="11"/>
        <v>0</v>
      </c>
      <c r="AU28" s="652">
        <f t="shared" ca="1" si="11"/>
        <v>0</v>
      </c>
      <c r="AV28" s="652">
        <f t="shared" ca="1" si="11"/>
        <v>0</v>
      </c>
      <c r="AW28" s="652">
        <f t="shared" ca="1" si="9"/>
        <v>0</v>
      </c>
      <c r="AX28" s="652">
        <f t="shared" ca="1" si="9"/>
        <v>0</v>
      </c>
      <c r="AY28" s="652">
        <f t="shared" ca="1" si="9"/>
        <v>0</v>
      </c>
      <c r="AZ28" s="652">
        <f t="shared" ca="1" si="9"/>
        <v>0</v>
      </c>
      <c r="BA28" s="652">
        <f t="shared" ca="1" si="8"/>
        <v>0</v>
      </c>
      <c r="BB28" s="652">
        <f t="shared" ca="1" si="8"/>
        <v>0</v>
      </c>
      <c r="BC28" s="652">
        <f t="shared" ca="1" si="8"/>
        <v>0</v>
      </c>
      <c r="BD28" s="652">
        <f t="shared" ca="1" si="6"/>
        <v>0</v>
      </c>
      <c r="BE28" s="652">
        <f t="shared" ca="1" si="8"/>
        <v>0</v>
      </c>
      <c r="BF28" s="652">
        <f t="shared" ca="1" si="8"/>
        <v>0</v>
      </c>
      <c r="BG28" s="652">
        <f t="shared" ca="1" si="8"/>
        <v>0</v>
      </c>
      <c r="BH28" s="652">
        <f t="shared" ca="1" si="8"/>
        <v>0</v>
      </c>
      <c r="BI28" s="652">
        <f t="shared" ca="1" si="8"/>
        <v>0</v>
      </c>
      <c r="BJ28" s="652">
        <f t="shared" ca="1" si="8"/>
        <v>0</v>
      </c>
      <c r="BK28" s="652">
        <f t="shared" ca="1" si="8"/>
        <v>0</v>
      </c>
    </row>
    <row r="29" spans="1:63">
      <c r="A29" s="526"/>
      <c r="B29" s="661">
        <v>6</v>
      </c>
      <c r="C29" s="662" t="s">
        <v>61</v>
      </c>
      <c r="D29" s="660" t="str">
        <f t="shared" ca="1" si="12"/>
        <v>Weatherization-Wall Insulation (KY) - Maximum Feasible</v>
      </c>
      <c r="E29" s="660" t="str">
        <f t="shared" ca="1" si="12"/>
        <v>R-13 (Maximum Insulation Feasible)</v>
      </c>
      <c r="F29" s="660" t="str">
        <f t="shared" ca="1" si="12"/>
        <v>Per Unit</v>
      </c>
      <c r="G29" s="652">
        <f t="shared" ca="1" si="13"/>
        <v>0</v>
      </c>
      <c r="H29" s="652">
        <f t="shared" ca="1" si="13"/>
        <v>0</v>
      </c>
      <c r="I29" s="652">
        <f t="shared" ca="1" si="13"/>
        <v>0</v>
      </c>
      <c r="J29" s="652">
        <f t="shared" ca="1" si="13"/>
        <v>0</v>
      </c>
      <c r="K29" s="652">
        <f t="shared" ca="1" si="13"/>
        <v>0</v>
      </c>
      <c r="L29" s="652">
        <f t="shared" ca="1" si="13"/>
        <v>0</v>
      </c>
      <c r="M29" s="652">
        <f t="shared" ca="1" si="13"/>
        <v>0</v>
      </c>
      <c r="N29" s="652">
        <f t="shared" ca="1" si="13"/>
        <v>0</v>
      </c>
      <c r="O29" s="652">
        <f t="shared" ca="1" si="13"/>
        <v>0</v>
      </c>
      <c r="P29" s="652">
        <f t="shared" ca="1" si="13"/>
        <v>0</v>
      </c>
      <c r="Q29" s="652">
        <f t="shared" ca="1" si="13"/>
        <v>0</v>
      </c>
      <c r="R29" s="652">
        <f t="shared" ca="1" si="13"/>
        <v>0</v>
      </c>
      <c r="S29" s="652">
        <f t="shared" ca="1" si="13"/>
        <v>0</v>
      </c>
      <c r="T29" s="652">
        <f t="shared" ca="1" si="13"/>
        <v>0</v>
      </c>
      <c r="U29" s="652">
        <f t="shared" ca="1" si="14"/>
        <v>0</v>
      </c>
      <c r="V29" s="652">
        <f t="shared" ca="1" si="14"/>
        <v>0</v>
      </c>
      <c r="W29" s="652">
        <f t="shared" ca="1" si="14"/>
        <v>0</v>
      </c>
      <c r="X29" s="652">
        <f t="shared" ca="1" si="14"/>
        <v>0</v>
      </c>
      <c r="Y29" s="652">
        <f t="shared" ca="1" si="14"/>
        <v>0</v>
      </c>
      <c r="Z29" s="652">
        <f t="shared" ca="1" si="14"/>
        <v>0</v>
      </c>
      <c r="AA29" s="652">
        <f t="shared" ca="1" si="14"/>
        <v>0</v>
      </c>
      <c r="AB29" s="652">
        <f t="shared" ca="1" si="14"/>
        <v>0</v>
      </c>
      <c r="AC29" s="652">
        <f t="shared" ca="1" si="14"/>
        <v>0</v>
      </c>
      <c r="AD29" s="652">
        <f t="shared" ca="1" si="14"/>
        <v>0</v>
      </c>
      <c r="AE29" s="652">
        <f t="shared" ca="1" si="14"/>
        <v>0</v>
      </c>
      <c r="AF29" s="652">
        <f t="shared" ca="1" si="14"/>
        <v>0</v>
      </c>
      <c r="AG29" s="652">
        <f t="shared" ca="1" si="14"/>
        <v>0</v>
      </c>
      <c r="AH29" s="652">
        <f t="shared" ca="1" si="14"/>
        <v>0</v>
      </c>
      <c r="AI29" s="652">
        <f t="shared" ca="1" si="11"/>
        <v>0</v>
      </c>
      <c r="AJ29" s="652">
        <f t="shared" ca="1" si="11"/>
        <v>0</v>
      </c>
      <c r="AK29" s="652">
        <f t="shared" ca="1" si="11"/>
        <v>0</v>
      </c>
      <c r="AL29" s="652">
        <f t="shared" ca="1" si="11"/>
        <v>0</v>
      </c>
      <c r="AM29" s="652">
        <f t="shared" ca="1" si="11"/>
        <v>0</v>
      </c>
      <c r="AN29" s="652">
        <f t="shared" ca="1" si="11"/>
        <v>0</v>
      </c>
      <c r="AO29" s="652">
        <f t="shared" ca="1" si="11"/>
        <v>0</v>
      </c>
      <c r="AP29" s="652">
        <f t="shared" ca="1" si="11"/>
        <v>0</v>
      </c>
      <c r="AQ29" s="652">
        <f t="shared" ca="1" si="11"/>
        <v>0</v>
      </c>
      <c r="AR29" s="652">
        <f t="shared" ca="1" si="11"/>
        <v>0</v>
      </c>
      <c r="AS29" s="652">
        <f t="shared" ca="1" si="11"/>
        <v>0</v>
      </c>
      <c r="AT29" s="652">
        <f t="shared" ca="1" si="11"/>
        <v>0</v>
      </c>
      <c r="AU29" s="652">
        <f t="shared" ca="1" si="11"/>
        <v>0</v>
      </c>
      <c r="AV29" s="652">
        <f t="shared" ca="1" si="11"/>
        <v>0</v>
      </c>
      <c r="AW29" s="652">
        <f t="shared" ca="1" si="9"/>
        <v>0</v>
      </c>
      <c r="AX29" s="652">
        <f t="shared" ca="1" si="9"/>
        <v>0</v>
      </c>
      <c r="AY29" s="652">
        <f t="shared" ca="1" si="9"/>
        <v>0</v>
      </c>
      <c r="AZ29" s="652">
        <f t="shared" ca="1" si="9"/>
        <v>0</v>
      </c>
      <c r="BA29" s="652">
        <f t="shared" ca="1" si="8"/>
        <v>0</v>
      </c>
      <c r="BB29" s="652">
        <f t="shared" ca="1" si="8"/>
        <v>0</v>
      </c>
      <c r="BC29" s="652">
        <f t="shared" ca="1" si="8"/>
        <v>0</v>
      </c>
      <c r="BD29" s="652">
        <f t="shared" ca="1" si="6"/>
        <v>0</v>
      </c>
      <c r="BE29" s="652">
        <f t="shared" ca="1" si="8"/>
        <v>0</v>
      </c>
      <c r="BF29" s="652">
        <f t="shared" ca="1" si="8"/>
        <v>0</v>
      </c>
      <c r="BG29" s="652">
        <f t="shared" ca="1" si="8"/>
        <v>0</v>
      </c>
      <c r="BH29" s="652">
        <f t="shared" ca="1" si="8"/>
        <v>0</v>
      </c>
      <c r="BI29" s="652">
        <f t="shared" ca="1" si="8"/>
        <v>0</v>
      </c>
      <c r="BJ29" s="652">
        <f t="shared" ca="1" si="8"/>
        <v>0</v>
      </c>
      <c r="BK29" s="652">
        <f t="shared" ca="1" si="8"/>
        <v>0</v>
      </c>
    </row>
    <row r="30" spans="1:63">
      <c r="A30" s="526"/>
      <c r="B30" s="661">
        <v>7</v>
      </c>
      <c r="C30" s="662" t="s">
        <v>61</v>
      </c>
      <c r="D30" s="660" t="str">
        <f t="shared" ca="1" si="12"/>
        <v>Weatherization-Floor Insulation (KY) - Above Code</v>
      </c>
      <c r="E30" s="660" t="str">
        <f t="shared" ca="1" si="12"/>
        <v>R-30</v>
      </c>
      <c r="F30" s="660" t="str">
        <f t="shared" ca="1" si="12"/>
        <v>Per Unit</v>
      </c>
      <c r="G30" s="652">
        <f t="shared" ca="1" si="13"/>
        <v>0</v>
      </c>
      <c r="H30" s="652">
        <f t="shared" ca="1" si="13"/>
        <v>0</v>
      </c>
      <c r="I30" s="652">
        <f t="shared" ca="1" si="13"/>
        <v>0</v>
      </c>
      <c r="J30" s="652">
        <f t="shared" ca="1" si="13"/>
        <v>0</v>
      </c>
      <c r="K30" s="652">
        <f t="shared" ca="1" si="13"/>
        <v>0</v>
      </c>
      <c r="L30" s="652">
        <f t="shared" ca="1" si="13"/>
        <v>0</v>
      </c>
      <c r="M30" s="652">
        <f t="shared" ca="1" si="13"/>
        <v>0</v>
      </c>
      <c r="N30" s="652">
        <f t="shared" ca="1" si="13"/>
        <v>0</v>
      </c>
      <c r="O30" s="652">
        <f t="shared" ca="1" si="13"/>
        <v>0</v>
      </c>
      <c r="P30" s="652">
        <f t="shared" ca="1" si="13"/>
        <v>0</v>
      </c>
      <c r="Q30" s="652">
        <f t="shared" ca="1" si="13"/>
        <v>0</v>
      </c>
      <c r="R30" s="652">
        <f t="shared" ca="1" si="13"/>
        <v>0</v>
      </c>
      <c r="S30" s="652">
        <f t="shared" ca="1" si="13"/>
        <v>0</v>
      </c>
      <c r="T30" s="652">
        <f t="shared" ca="1" si="13"/>
        <v>0</v>
      </c>
      <c r="U30" s="652">
        <f t="shared" ca="1" si="14"/>
        <v>0</v>
      </c>
      <c r="V30" s="652">
        <f t="shared" ca="1" si="14"/>
        <v>0</v>
      </c>
      <c r="W30" s="652">
        <f t="shared" ca="1" si="14"/>
        <v>0</v>
      </c>
      <c r="X30" s="652">
        <f t="shared" ca="1" si="14"/>
        <v>0</v>
      </c>
      <c r="Y30" s="652">
        <f t="shared" ca="1" si="14"/>
        <v>0</v>
      </c>
      <c r="Z30" s="652">
        <f t="shared" ca="1" si="14"/>
        <v>0</v>
      </c>
      <c r="AA30" s="652">
        <f t="shared" ca="1" si="14"/>
        <v>0</v>
      </c>
      <c r="AB30" s="652">
        <f t="shared" ca="1" si="14"/>
        <v>0</v>
      </c>
      <c r="AC30" s="652">
        <f t="shared" ca="1" si="14"/>
        <v>0</v>
      </c>
      <c r="AD30" s="652">
        <f t="shared" ca="1" si="14"/>
        <v>0</v>
      </c>
      <c r="AE30" s="652">
        <f t="shared" ca="1" si="14"/>
        <v>0</v>
      </c>
      <c r="AF30" s="652">
        <f t="shared" ca="1" si="14"/>
        <v>0</v>
      </c>
      <c r="AG30" s="652">
        <f t="shared" ca="1" si="14"/>
        <v>0</v>
      </c>
      <c r="AH30" s="652">
        <f t="shared" ca="1" si="14"/>
        <v>0</v>
      </c>
      <c r="AI30" s="652">
        <f t="shared" ca="1" si="11"/>
        <v>0</v>
      </c>
      <c r="AJ30" s="652">
        <f t="shared" ca="1" si="11"/>
        <v>0</v>
      </c>
      <c r="AK30" s="652">
        <f t="shared" ca="1" si="11"/>
        <v>0</v>
      </c>
      <c r="AL30" s="652">
        <f t="shared" ca="1" si="11"/>
        <v>0</v>
      </c>
      <c r="AM30" s="652">
        <f t="shared" ca="1" si="11"/>
        <v>0</v>
      </c>
      <c r="AN30" s="652">
        <f t="shared" ca="1" si="11"/>
        <v>0</v>
      </c>
      <c r="AO30" s="652">
        <f t="shared" ca="1" si="11"/>
        <v>0</v>
      </c>
      <c r="AP30" s="652">
        <f t="shared" ca="1" si="11"/>
        <v>0</v>
      </c>
      <c r="AQ30" s="652">
        <f t="shared" ca="1" si="11"/>
        <v>0</v>
      </c>
      <c r="AR30" s="652">
        <f t="shared" ca="1" si="11"/>
        <v>0</v>
      </c>
      <c r="AS30" s="652">
        <f t="shared" ca="1" si="11"/>
        <v>0</v>
      </c>
      <c r="AT30" s="652">
        <f t="shared" ca="1" si="11"/>
        <v>0</v>
      </c>
      <c r="AU30" s="652">
        <f t="shared" ca="1" si="11"/>
        <v>0</v>
      </c>
      <c r="AV30" s="652">
        <f t="shared" ca="1" si="11"/>
        <v>0</v>
      </c>
      <c r="AW30" s="652">
        <f t="shared" ref="AW30:AZ37" ca="1" si="15">VLOOKUP($B30,INDIRECT("'"&amp;$C30&amp;"'!A6:FR1000"),IF(AW$6="Participation 2023",MATCH("__Participation 2023",INDIRECT("'"&amp;$C30&amp;"'!1:1"),0),IF(AW$6="Participation",MATCH("_Total Plan Summary _Participation",INDIRECT("'"&amp;$C30&amp;"'!1:1"),0),MATCH(AW$4&amp;"_"&amp;AW$5&amp;"_"&amp;AW$6,INDIRECT("'"&amp;$C30&amp;"'!1:1"),0))),0)</f>
        <v>0</v>
      </c>
      <c r="AX30" s="652">
        <f t="shared" ca="1" si="15"/>
        <v>0</v>
      </c>
      <c r="AY30" s="652">
        <f t="shared" ca="1" si="15"/>
        <v>0</v>
      </c>
      <c r="AZ30" s="652">
        <f t="shared" ca="1" si="15"/>
        <v>0</v>
      </c>
      <c r="BA30" s="652">
        <f t="shared" ca="1" si="8"/>
        <v>0</v>
      </c>
      <c r="BB30" s="652">
        <f t="shared" ca="1" si="8"/>
        <v>0</v>
      </c>
      <c r="BC30" s="652">
        <f t="shared" ca="1" si="8"/>
        <v>0</v>
      </c>
      <c r="BD30" s="652">
        <f t="shared" ca="1" si="6"/>
        <v>0</v>
      </c>
      <c r="BE30" s="652">
        <f t="shared" ca="1" si="8"/>
        <v>0</v>
      </c>
      <c r="BF30" s="652">
        <f t="shared" ca="1" si="8"/>
        <v>0</v>
      </c>
      <c r="BG30" s="652">
        <f t="shared" ca="1" si="8"/>
        <v>0</v>
      </c>
      <c r="BH30" s="652">
        <f t="shared" ca="1" si="8"/>
        <v>0</v>
      </c>
      <c r="BI30" s="652">
        <f t="shared" ca="1" si="8"/>
        <v>0</v>
      </c>
      <c r="BJ30" s="652">
        <f t="shared" ca="1" si="8"/>
        <v>0</v>
      </c>
      <c r="BK30" s="652">
        <f t="shared" ca="1" si="8"/>
        <v>0</v>
      </c>
    </row>
    <row r="31" spans="1:63">
      <c r="A31" s="526"/>
      <c r="B31" s="661">
        <v>8</v>
      </c>
      <c r="C31" s="662" t="s">
        <v>61</v>
      </c>
      <c r="D31" s="660" t="str">
        <f t="shared" ca="1" si="12"/>
        <v>Weatherization-Insulation - Basement Wall - Code</v>
      </c>
      <c r="E31" s="660" t="str">
        <f t="shared" ca="1" si="12"/>
        <v>R-10 (IECC 2012 - Future KY Code)</v>
      </c>
      <c r="F31" s="660" t="str">
        <f t="shared" ca="1" si="12"/>
        <v>Per Unit</v>
      </c>
      <c r="G31" s="652">
        <f t="shared" ca="1" si="13"/>
        <v>0</v>
      </c>
      <c r="H31" s="652">
        <f t="shared" ca="1" si="13"/>
        <v>0</v>
      </c>
      <c r="I31" s="652">
        <f t="shared" ca="1" si="13"/>
        <v>0</v>
      </c>
      <c r="J31" s="652">
        <f t="shared" ca="1" si="13"/>
        <v>0</v>
      </c>
      <c r="K31" s="652">
        <f t="shared" ca="1" si="13"/>
        <v>0</v>
      </c>
      <c r="L31" s="652">
        <f t="shared" ca="1" si="13"/>
        <v>0</v>
      </c>
      <c r="M31" s="652">
        <f t="shared" ca="1" si="13"/>
        <v>0</v>
      </c>
      <c r="N31" s="652">
        <f t="shared" ca="1" si="13"/>
        <v>0</v>
      </c>
      <c r="O31" s="652">
        <f t="shared" ca="1" si="13"/>
        <v>0</v>
      </c>
      <c r="P31" s="652">
        <f t="shared" ca="1" si="13"/>
        <v>0</v>
      </c>
      <c r="Q31" s="652">
        <f t="shared" ca="1" si="13"/>
        <v>0</v>
      </c>
      <c r="R31" s="652">
        <f t="shared" ca="1" si="13"/>
        <v>0</v>
      </c>
      <c r="S31" s="652">
        <f t="shared" ca="1" si="13"/>
        <v>0</v>
      </c>
      <c r="T31" s="652">
        <f t="shared" ca="1" si="13"/>
        <v>0</v>
      </c>
      <c r="U31" s="652">
        <f t="shared" ca="1" si="14"/>
        <v>0</v>
      </c>
      <c r="V31" s="652">
        <f t="shared" ca="1" si="14"/>
        <v>0</v>
      </c>
      <c r="W31" s="652">
        <f t="shared" ca="1" si="14"/>
        <v>0</v>
      </c>
      <c r="X31" s="652">
        <f t="shared" ca="1" si="14"/>
        <v>0</v>
      </c>
      <c r="Y31" s="652">
        <f t="shared" ca="1" si="14"/>
        <v>0</v>
      </c>
      <c r="Z31" s="652">
        <f t="shared" ca="1" si="14"/>
        <v>0</v>
      </c>
      <c r="AA31" s="652">
        <f t="shared" ca="1" si="14"/>
        <v>0</v>
      </c>
      <c r="AB31" s="652">
        <f t="shared" ca="1" si="14"/>
        <v>0</v>
      </c>
      <c r="AC31" s="652">
        <f t="shared" ca="1" si="14"/>
        <v>0</v>
      </c>
      <c r="AD31" s="652">
        <f t="shared" ca="1" si="14"/>
        <v>0</v>
      </c>
      <c r="AE31" s="652">
        <f t="shared" ca="1" si="14"/>
        <v>0</v>
      </c>
      <c r="AF31" s="652">
        <f t="shared" ca="1" si="14"/>
        <v>0</v>
      </c>
      <c r="AG31" s="652">
        <f t="shared" ca="1" si="14"/>
        <v>0</v>
      </c>
      <c r="AH31" s="652">
        <f t="shared" ca="1" si="14"/>
        <v>0</v>
      </c>
      <c r="AI31" s="652">
        <f t="shared" ref="AI31:AV37" ca="1" si="16">VLOOKUP($B31,INDIRECT("'"&amp;$C31&amp;"'!A6:FR1000"),IF(AI$6="Participation 2023",MATCH("__Participation 2023",INDIRECT("'"&amp;$C31&amp;"'!1:1"),0),IF(AI$6="Participation",MATCH("_Total Plan Summary _Participation",INDIRECT("'"&amp;$C31&amp;"'!1:1"),0),MATCH(AI$4&amp;"_"&amp;AI$5&amp;"_"&amp;AI$6,INDIRECT("'"&amp;$C31&amp;"'!1:1"),0))),0)</f>
        <v>0</v>
      </c>
      <c r="AJ31" s="652">
        <f t="shared" ca="1" si="16"/>
        <v>0</v>
      </c>
      <c r="AK31" s="652">
        <f t="shared" ca="1" si="16"/>
        <v>0</v>
      </c>
      <c r="AL31" s="652">
        <f t="shared" ca="1" si="16"/>
        <v>0</v>
      </c>
      <c r="AM31" s="652">
        <f t="shared" ca="1" si="16"/>
        <v>0</v>
      </c>
      <c r="AN31" s="652">
        <f t="shared" ca="1" si="16"/>
        <v>0</v>
      </c>
      <c r="AO31" s="652">
        <f t="shared" ca="1" si="16"/>
        <v>0</v>
      </c>
      <c r="AP31" s="652">
        <f t="shared" ca="1" si="16"/>
        <v>0</v>
      </c>
      <c r="AQ31" s="652">
        <f t="shared" ca="1" si="16"/>
        <v>0</v>
      </c>
      <c r="AR31" s="652">
        <f t="shared" ca="1" si="16"/>
        <v>0</v>
      </c>
      <c r="AS31" s="652">
        <f t="shared" ca="1" si="16"/>
        <v>0</v>
      </c>
      <c r="AT31" s="652">
        <f t="shared" ca="1" si="16"/>
        <v>0</v>
      </c>
      <c r="AU31" s="652">
        <f t="shared" ca="1" si="16"/>
        <v>0</v>
      </c>
      <c r="AV31" s="652">
        <f t="shared" ca="1" si="16"/>
        <v>0</v>
      </c>
      <c r="AW31" s="652">
        <f t="shared" ca="1" si="15"/>
        <v>0</v>
      </c>
      <c r="AX31" s="652">
        <f t="shared" ca="1" si="15"/>
        <v>0</v>
      </c>
      <c r="AY31" s="652">
        <f t="shared" ca="1" si="15"/>
        <v>0</v>
      </c>
      <c r="AZ31" s="652">
        <f t="shared" ca="1" si="15"/>
        <v>0</v>
      </c>
      <c r="BA31" s="652">
        <f t="shared" ca="1" si="8"/>
        <v>0</v>
      </c>
      <c r="BB31" s="652">
        <f t="shared" ca="1" si="8"/>
        <v>0</v>
      </c>
      <c r="BC31" s="652">
        <f t="shared" ca="1" si="8"/>
        <v>0</v>
      </c>
      <c r="BD31" s="652">
        <f t="shared" ca="1" si="6"/>
        <v>0</v>
      </c>
      <c r="BE31" s="652">
        <f t="shared" ca="1" si="8"/>
        <v>0</v>
      </c>
      <c r="BF31" s="652">
        <f t="shared" ca="1" si="8"/>
        <v>0</v>
      </c>
      <c r="BG31" s="652">
        <f t="shared" ca="1" si="8"/>
        <v>0</v>
      </c>
      <c r="BH31" s="652">
        <f t="shared" ca="1" si="8"/>
        <v>0</v>
      </c>
      <c r="BI31" s="652">
        <f t="shared" ca="1" si="8"/>
        <v>0</v>
      </c>
      <c r="BJ31" s="652">
        <f t="shared" ca="1" si="8"/>
        <v>0</v>
      </c>
      <c r="BK31" s="652">
        <f t="shared" ca="1" si="8"/>
        <v>0</v>
      </c>
    </row>
    <row r="32" spans="1:63">
      <c r="A32" s="526"/>
      <c r="B32" s="661">
        <v>9</v>
      </c>
      <c r="C32" s="662" t="s">
        <v>61</v>
      </c>
      <c r="D32" s="660" t="str">
        <f t="shared" ca="1" si="12"/>
        <v>HVAC-DWH-Central Air Conditioner - ENERGY STAR</v>
      </c>
      <c r="E32" s="660" t="str">
        <f t="shared" ca="1" si="12"/>
        <v>ENERGY STAR Central Air Conditioner - SEER2 15.2 (Split System)</v>
      </c>
      <c r="F32" s="660" t="str">
        <f t="shared" ca="1" si="12"/>
        <v>Per Unit</v>
      </c>
      <c r="G32" s="652">
        <f t="shared" ca="1" si="13"/>
        <v>0</v>
      </c>
      <c r="H32" s="652">
        <f t="shared" ca="1" si="13"/>
        <v>480</v>
      </c>
      <c r="I32" s="652">
        <f t="shared" ca="1" si="13"/>
        <v>624</v>
      </c>
      <c r="J32" s="652">
        <f t="shared" ca="1" si="13"/>
        <v>769</v>
      </c>
      <c r="K32" s="652">
        <f t="shared" ca="1" si="13"/>
        <v>961</v>
      </c>
      <c r="L32" s="652">
        <f t="shared" ca="1" si="13"/>
        <v>961</v>
      </c>
      <c r="M32" s="652">
        <f t="shared" ca="1" si="13"/>
        <v>961</v>
      </c>
      <c r="N32" s="652">
        <f t="shared" ca="1" si="13"/>
        <v>0</v>
      </c>
      <c r="O32" s="652">
        <f t="shared" ca="1" si="13"/>
        <v>162720</v>
      </c>
      <c r="P32" s="652">
        <f t="shared" ca="1" si="13"/>
        <v>211536</v>
      </c>
      <c r="Q32" s="652">
        <f t="shared" ca="1" si="13"/>
        <v>260691</v>
      </c>
      <c r="R32" s="652">
        <f t="shared" ca="1" si="13"/>
        <v>325779</v>
      </c>
      <c r="S32" s="652">
        <f t="shared" ca="1" si="13"/>
        <v>325779</v>
      </c>
      <c r="T32" s="652">
        <f t="shared" ca="1" si="13"/>
        <v>325779</v>
      </c>
      <c r="U32" s="652">
        <f t="shared" ca="1" si="14"/>
        <v>0</v>
      </c>
      <c r="V32" s="652">
        <f t="shared" ca="1" si="14"/>
        <v>0</v>
      </c>
      <c r="W32" s="652">
        <f t="shared" ca="1" si="14"/>
        <v>0</v>
      </c>
      <c r="X32" s="652">
        <f t="shared" ca="1" si="14"/>
        <v>0</v>
      </c>
      <c r="Y32" s="652">
        <f t="shared" ca="1" si="14"/>
        <v>0</v>
      </c>
      <c r="Z32" s="652">
        <f t="shared" ca="1" si="14"/>
        <v>0</v>
      </c>
      <c r="AA32" s="652">
        <f t="shared" ca="1" si="14"/>
        <v>0</v>
      </c>
      <c r="AB32" s="652">
        <f t="shared" ca="1" si="14"/>
        <v>0</v>
      </c>
      <c r="AC32" s="652">
        <f t="shared" ca="1" si="14"/>
        <v>144000</v>
      </c>
      <c r="AD32" s="652">
        <f t="shared" ca="1" si="14"/>
        <v>187200</v>
      </c>
      <c r="AE32" s="652">
        <f t="shared" ca="1" si="14"/>
        <v>230700</v>
      </c>
      <c r="AF32" s="652">
        <f t="shared" ca="1" si="14"/>
        <v>288300</v>
      </c>
      <c r="AG32" s="652">
        <f t="shared" ca="1" si="14"/>
        <v>288300</v>
      </c>
      <c r="AH32" s="652">
        <f t="shared" ca="1" si="14"/>
        <v>288300</v>
      </c>
      <c r="AI32" s="652">
        <f t="shared" ca="1" si="16"/>
        <v>0</v>
      </c>
      <c r="AJ32" s="652">
        <f t="shared" ca="1" si="16"/>
        <v>38779.830695620069</v>
      </c>
      <c r="AK32" s="652">
        <f t="shared" ca="1" si="16"/>
        <v>50413.779904306088</v>
      </c>
      <c r="AL32" s="652">
        <f t="shared" ca="1" si="16"/>
        <v>62128.520426941315</v>
      </c>
      <c r="AM32" s="652">
        <f t="shared" ca="1" si="16"/>
        <v>77640.452705189338</v>
      </c>
      <c r="AN32" s="652">
        <f t="shared" ca="1" si="16"/>
        <v>77640.452705189338</v>
      </c>
      <c r="AO32" s="652">
        <f t="shared" ca="1" si="16"/>
        <v>77640.452705189338</v>
      </c>
      <c r="AP32" s="652">
        <f t="shared" ca="1" si="16"/>
        <v>0</v>
      </c>
      <c r="AQ32" s="652">
        <f t="shared" ca="1" si="16"/>
        <v>94.00319999999995</v>
      </c>
      <c r="AR32" s="652">
        <f t="shared" ca="1" si="16"/>
        <v>122.20415999999994</v>
      </c>
      <c r="AS32" s="652">
        <f t="shared" ca="1" si="16"/>
        <v>150.60095999999993</v>
      </c>
      <c r="AT32" s="652">
        <f t="shared" ca="1" si="16"/>
        <v>188.2022399999999</v>
      </c>
      <c r="AU32" s="652">
        <f t="shared" ca="1" si="16"/>
        <v>188.2022399999999</v>
      </c>
      <c r="AV32" s="652">
        <f t="shared" ca="1" si="16"/>
        <v>188.2022399999999</v>
      </c>
      <c r="AW32" s="652">
        <f t="shared" ca="1" si="15"/>
        <v>0</v>
      </c>
      <c r="AX32" s="652">
        <f t="shared" ca="1" si="15"/>
        <v>0</v>
      </c>
      <c r="AY32" s="652">
        <f t="shared" ca="1" si="15"/>
        <v>0</v>
      </c>
      <c r="AZ32" s="652">
        <f t="shared" ca="1" si="15"/>
        <v>0</v>
      </c>
      <c r="BA32" s="652">
        <f t="shared" ca="1" si="8"/>
        <v>0</v>
      </c>
      <c r="BB32" s="652">
        <f t="shared" ca="1" si="8"/>
        <v>0</v>
      </c>
      <c r="BC32" s="652">
        <f t="shared" ca="1" si="8"/>
        <v>0</v>
      </c>
      <c r="BD32" s="652">
        <f t="shared" ca="1" si="6"/>
        <v>4756</v>
      </c>
      <c r="BE32" s="652">
        <f t="shared" ca="1" si="8"/>
        <v>1612284</v>
      </c>
      <c r="BF32" s="652">
        <f t="shared" ca="1" si="8"/>
        <v>0</v>
      </c>
      <c r="BG32" s="652">
        <f t="shared" ca="1" si="8"/>
        <v>1426800</v>
      </c>
      <c r="BH32" s="652">
        <f t="shared" ca="1" si="8"/>
        <v>0</v>
      </c>
      <c r="BI32" s="652">
        <f t="shared" ca="1" si="8"/>
        <v>384243.48914243549</v>
      </c>
      <c r="BJ32" s="652">
        <f t="shared" ca="1" si="8"/>
        <v>931.41503999999941</v>
      </c>
      <c r="BK32" s="652">
        <f t="shared" ca="1" si="8"/>
        <v>0</v>
      </c>
    </row>
    <row r="33" spans="1:63">
      <c r="A33" s="526"/>
      <c r="B33" s="661">
        <v>10</v>
      </c>
      <c r="C33" s="662" t="s">
        <v>61</v>
      </c>
      <c r="D33" s="660" t="str">
        <f t="shared" ca="1" si="12"/>
        <v>HVAC-DWH-Heat Pump - Air Source ENERGY STAR</v>
      </c>
      <c r="E33" s="660" t="str">
        <f t="shared" ca="1" si="12"/>
        <v>ENERGY STAR Air Source Heat Pump - SEER2 15.2 and HSPF2 7.8 (Split System) (CEE Tier 1)</v>
      </c>
      <c r="F33" s="660" t="str">
        <f t="shared" ca="1" si="12"/>
        <v>Per Unit</v>
      </c>
      <c r="G33" s="652">
        <f t="shared" ca="1" si="13"/>
        <v>0</v>
      </c>
      <c r="H33" s="652">
        <f t="shared" ca="1" si="13"/>
        <v>459</v>
      </c>
      <c r="I33" s="652">
        <f t="shared" ca="1" si="13"/>
        <v>597</v>
      </c>
      <c r="J33" s="652">
        <f t="shared" ca="1" si="13"/>
        <v>735</v>
      </c>
      <c r="K33" s="652">
        <f t="shared" ca="1" si="13"/>
        <v>919</v>
      </c>
      <c r="L33" s="652">
        <f t="shared" ca="1" si="13"/>
        <v>919</v>
      </c>
      <c r="M33" s="652">
        <f t="shared" ca="1" si="13"/>
        <v>919</v>
      </c>
      <c r="N33" s="652">
        <f t="shared" ca="1" si="13"/>
        <v>0</v>
      </c>
      <c r="O33" s="652">
        <f t="shared" ca="1" si="13"/>
        <v>185895</v>
      </c>
      <c r="P33" s="652">
        <f t="shared" ca="1" si="13"/>
        <v>241785</v>
      </c>
      <c r="Q33" s="652">
        <f t="shared" ca="1" si="13"/>
        <v>297675</v>
      </c>
      <c r="R33" s="652">
        <f t="shared" ca="1" si="13"/>
        <v>372195</v>
      </c>
      <c r="S33" s="652">
        <f t="shared" ca="1" si="13"/>
        <v>372195</v>
      </c>
      <c r="T33" s="652">
        <f t="shared" ca="1" si="13"/>
        <v>372195</v>
      </c>
      <c r="U33" s="652">
        <f t="shared" ca="1" si="14"/>
        <v>0</v>
      </c>
      <c r="V33" s="652">
        <f t="shared" ca="1" si="14"/>
        <v>0</v>
      </c>
      <c r="W33" s="652">
        <f t="shared" ca="1" si="14"/>
        <v>0</v>
      </c>
      <c r="X33" s="652">
        <f t="shared" ca="1" si="14"/>
        <v>0</v>
      </c>
      <c r="Y33" s="652">
        <f t="shared" ca="1" si="14"/>
        <v>0</v>
      </c>
      <c r="Z33" s="652">
        <f t="shared" ca="1" si="14"/>
        <v>0</v>
      </c>
      <c r="AA33" s="652">
        <f t="shared" ca="1" si="14"/>
        <v>0</v>
      </c>
      <c r="AB33" s="652">
        <f t="shared" ca="1" si="14"/>
        <v>0</v>
      </c>
      <c r="AC33" s="652">
        <f t="shared" ca="1" si="14"/>
        <v>183600</v>
      </c>
      <c r="AD33" s="652">
        <f t="shared" ca="1" si="14"/>
        <v>238800</v>
      </c>
      <c r="AE33" s="652">
        <f t="shared" ca="1" si="14"/>
        <v>294000</v>
      </c>
      <c r="AF33" s="652">
        <f t="shared" ca="1" si="14"/>
        <v>367600</v>
      </c>
      <c r="AG33" s="652">
        <f t="shared" ca="1" si="14"/>
        <v>367600</v>
      </c>
      <c r="AH33" s="652">
        <f t="shared" ca="1" si="14"/>
        <v>367600</v>
      </c>
      <c r="AI33" s="652">
        <f t="shared" ca="1" si="16"/>
        <v>0</v>
      </c>
      <c r="AJ33" s="652">
        <f t="shared" ca="1" si="16"/>
        <v>122419.8916893632</v>
      </c>
      <c r="AK33" s="652">
        <f t="shared" ca="1" si="16"/>
        <v>159225.8721972763</v>
      </c>
      <c r="AL33" s="652">
        <f t="shared" ca="1" si="16"/>
        <v>196031.85270518943</v>
      </c>
      <c r="AM33" s="652">
        <f t="shared" ca="1" si="16"/>
        <v>245106.49338240692</v>
      </c>
      <c r="AN33" s="652">
        <f t="shared" ca="1" si="16"/>
        <v>245106.49338240692</v>
      </c>
      <c r="AO33" s="652">
        <f t="shared" ca="1" si="16"/>
        <v>245106.49338240692</v>
      </c>
      <c r="AP33" s="652">
        <f t="shared" ca="1" si="16"/>
        <v>0</v>
      </c>
      <c r="AQ33" s="652">
        <f t="shared" ca="1" si="16"/>
        <v>85.7399160839161</v>
      </c>
      <c r="AR33" s="652">
        <f t="shared" ca="1" si="16"/>
        <v>111.51793006993009</v>
      </c>
      <c r="AS33" s="652">
        <f t="shared" ca="1" si="16"/>
        <v>137.29594405594409</v>
      </c>
      <c r="AT33" s="652">
        <f t="shared" ca="1" si="16"/>
        <v>171.66662937062941</v>
      </c>
      <c r="AU33" s="652">
        <f t="shared" ca="1" si="16"/>
        <v>171.66662937062941</v>
      </c>
      <c r="AV33" s="652">
        <f t="shared" ca="1" si="16"/>
        <v>171.66662937062941</v>
      </c>
      <c r="AW33" s="652">
        <f t="shared" ca="1" si="15"/>
        <v>0</v>
      </c>
      <c r="AX33" s="652">
        <f t="shared" ca="1" si="15"/>
        <v>0</v>
      </c>
      <c r="AY33" s="652">
        <f t="shared" ca="1" si="15"/>
        <v>0</v>
      </c>
      <c r="AZ33" s="652">
        <f t="shared" ca="1" si="15"/>
        <v>0</v>
      </c>
      <c r="BA33" s="652">
        <f t="shared" ca="1" si="8"/>
        <v>0</v>
      </c>
      <c r="BB33" s="652">
        <f t="shared" ca="1" si="8"/>
        <v>0</v>
      </c>
      <c r="BC33" s="652">
        <f t="shared" ca="1" si="8"/>
        <v>0</v>
      </c>
      <c r="BD33" s="652">
        <f t="shared" ca="1" si="6"/>
        <v>4548</v>
      </c>
      <c r="BE33" s="652">
        <f t="shared" ca="1" si="8"/>
        <v>1841940</v>
      </c>
      <c r="BF33" s="652">
        <f t="shared" ca="1" si="8"/>
        <v>0</v>
      </c>
      <c r="BG33" s="652">
        <f t="shared" ca="1" si="8"/>
        <v>1819200</v>
      </c>
      <c r="BH33" s="652">
        <f t="shared" ca="1" si="8"/>
        <v>0</v>
      </c>
      <c r="BI33" s="652">
        <f t="shared" ca="1" si="8"/>
        <v>1212997.0967390498</v>
      </c>
      <c r="BJ33" s="652">
        <f t="shared" ca="1" si="8"/>
        <v>849.55367832167838</v>
      </c>
      <c r="BK33" s="652">
        <f t="shared" ca="1" si="8"/>
        <v>0</v>
      </c>
    </row>
    <row r="34" spans="1:63">
      <c r="A34" s="526"/>
      <c r="B34" s="661">
        <v>11</v>
      </c>
      <c r="C34" s="662" t="s">
        <v>61</v>
      </c>
      <c r="D34" s="660" t="str">
        <f t="shared" ref="D34:F48" ca="1" si="17">VLOOKUP($B34,INDIRECT("'"&amp;$C34&amp;"'!A6:FC1000"),IF(D$6="Participation 2023",MATCH("__Participation 2023",INDIRECT("'"&amp;$C34&amp;"'!1:1"),0),IF(D$6="Participation",MATCH("_Total Plan Summary _Participation",INDIRECT("'"&amp;$C34&amp;"'!1:1"),0),MATCH(D$4&amp;"_"&amp;D$5&amp;"_"&amp;D$6,INDIRECT("'"&amp;$C34&amp;"'!1:1"),0))),0)</f>
        <v>HVAC-DWH-Ductless Heat Pump (DHP)</v>
      </c>
      <c r="E34" s="660" t="str">
        <f t="shared" ca="1" si="17"/>
        <v>Ductless Heat Pump - SEER/EER 18/12.5, HSPF 10.0</v>
      </c>
      <c r="F34" s="660" t="str">
        <f t="shared" ca="1" si="17"/>
        <v>Per Unit</v>
      </c>
      <c r="G34" s="652">
        <f t="shared" ca="1" si="13"/>
        <v>0</v>
      </c>
      <c r="H34" s="652">
        <f t="shared" ca="1" si="13"/>
        <v>469.5</v>
      </c>
      <c r="I34" s="652">
        <f t="shared" ca="1" si="13"/>
        <v>610.5</v>
      </c>
      <c r="J34" s="652">
        <f t="shared" ca="1" si="13"/>
        <v>752</v>
      </c>
      <c r="K34" s="652">
        <f t="shared" ca="1" si="13"/>
        <v>940</v>
      </c>
      <c r="L34" s="652">
        <f t="shared" ca="1" si="13"/>
        <v>940</v>
      </c>
      <c r="M34" s="652">
        <f t="shared" ca="1" si="13"/>
        <v>940</v>
      </c>
      <c r="N34" s="652">
        <f t="shared" ca="1" si="13"/>
        <v>0</v>
      </c>
      <c r="O34" s="652">
        <f t="shared" ca="1" si="13"/>
        <v>470439</v>
      </c>
      <c r="P34" s="652">
        <f t="shared" ca="1" si="13"/>
        <v>611721</v>
      </c>
      <c r="Q34" s="652">
        <f t="shared" ca="1" si="13"/>
        <v>753504</v>
      </c>
      <c r="R34" s="652">
        <f t="shared" ca="1" si="13"/>
        <v>941880</v>
      </c>
      <c r="S34" s="652">
        <f t="shared" ca="1" si="13"/>
        <v>941880</v>
      </c>
      <c r="T34" s="652">
        <f t="shared" ca="1" si="13"/>
        <v>941880</v>
      </c>
      <c r="U34" s="652">
        <f t="shared" ca="1" si="14"/>
        <v>0</v>
      </c>
      <c r="V34" s="652">
        <f t="shared" ca="1" si="14"/>
        <v>0</v>
      </c>
      <c r="W34" s="652">
        <f t="shared" ca="1" si="14"/>
        <v>0</v>
      </c>
      <c r="X34" s="652">
        <f t="shared" ca="1" si="14"/>
        <v>0</v>
      </c>
      <c r="Y34" s="652">
        <f t="shared" ca="1" si="14"/>
        <v>0</v>
      </c>
      <c r="Z34" s="652">
        <f t="shared" ca="1" si="14"/>
        <v>0</v>
      </c>
      <c r="AA34" s="652">
        <f t="shared" ca="1" si="14"/>
        <v>0</v>
      </c>
      <c r="AB34" s="652">
        <f t="shared" ca="1" si="14"/>
        <v>0</v>
      </c>
      <c r="AC34" s="652">
        <f t="shared" ca="1" si="14"/>
        <v>187800</v>
      </c>
      <c r="AD34" s="652">
        <f t="shared" ca="1" si="14"/>
        <v>244200</v>
      </c>
      <c r="AE34" s="652">
        <f t="shared" ca="1" si="14"/>
        <v>300800</v>
      </c>
      <c r="AF34" s="652">
        <f t="shared" ca="1" si="14"/>
        <v>376000</v>
      </c>
      <c r="AG34" s="652">
        <f t="shared" ca="1" si="14"/>
        <v>376000</v>
      </c>
      <c r="AH34" s="652">
        <f t="shared" ca="1" si="14"/>
        <v>376000</v>
      </c>
      <c r="AI34" s="652">
        <f t="shared" ca="1" si="16"/>
        <v>0</v>
      </c>
      <c r="AJ34" s="652">
        <f t="shared" ca="1" si="16"/>
        <v>1958926.1104481036</v>
      </c>
      <c r="AK34" s="652">
        <f t="shared" ca="1" si="16"/>
        <v>2547229.7985698986</v>
      </c>
      <c r="AL34" s="652">
        <f t="shared" ca="1" si="16"/>
        <v>3137619.669982905</v>
      </c>
      <c r="AM34" s="652">
        <f t="shared" ca="1" si="16"/>
        <v>3922024.5874786316</v>
      </c>
      <c r="AN34" s="652">
        <f t="shared" ca="1" si="16"/>
        <v>3922024.5874786316</v>
      </c>
      <c r="AO34" s="652">
        <f t="shared" ca="1" si="16"/>
        <v>3922024.5874786316</v>
      </c>
      <c r="AP34" s="652">
        <f t="shared" ca="1" si="16"/>
        <v>0</v>
      </c>
      <c r="AQ34" s="652">
        <f t="shared" ca="1" si="16"/>
        <v>0</v>
      </c>
      <c r="AR34" s="652">
        <f t="shared" ca="1" si="16"/>
        <v>0</v>
      </c>
      <c r="AS34" s="652">
        <f t="shared" ca="1" si="16"/>
        <v>0</v>
      </c>
      <c r="AT34" s="652">
        <f t="shared" ca="1" si="16"/>
        <v>0</v>
      </c>
      <c r="AU34" s="652">
        <f t="shared" ca="1" si="16"/>
        <v>0</v>
      </c>
      <c r="AV34" s="652">
        <f t="shared" ca="1" si="16"/>
        <v>0</v>
      </c>
      <c r="AW34" s="652">
        <f t="shared" ca="1" si="15"/>
        <v>0</v>
      </c>
      <c r="AX34" s="652">
        <f t="shared" ca="1" si="15"/>
        <v>0</v>
      </c>
      <c r="AY34" s="652">
        <f t="shared" ca="1" si="15"/>
        <v>0</v>
      </c>
      <c r="AZ34" s="652">
        <f t="shared" ca="1" si="15"/>
        <v>0</v>
      </c>
      <c r="BA34" s="652">
        <f t="shared" ca="1" si="8"/>
        <v>0</v>
      </c>
      <c r="BB34" s="652">
        <f t="shared" ca="1" si="8"/>
        <v>0</v>
      </c>
      <c r="BC34" s="652">
        <f t="shared" ca="1" si="8"/>
        <v>0</v>
      </c>
      <c r="BD34" s="652">
        <f t="shared" ca="1" si="6"/>
        <v>4652</v>
      </c>
      <c r="BE34" s="652">
        <f t="shared" ca="1" si="8"/>
        <v>4661304</v>
      </c>
      <c r="BF34" s="652">
        <f t="shared" ca="1" si="8"/>
        <v>0</v>
      </c>
      <c r="BG34" s="652">
        <f t="shared" ca="1" si="8"/>
        <v>1860800</v>
      </c>
      <c r="BH34" s="652">
        <f t="shared" ca="1" si="8"/>
        <v>0</v>
      </c>
      <c r="BI34" s="652">
        <f t="shared" ca="1" si="8"/>
        <v>19409849.341436803</v>
      </c>
      <c r="BJ34" s="652">
        <f t="shared" ca="1" si="8"/>
        <v>0</v>
      </c>
      <c r="BK34" s="652">
        <f t="shared" ca="1" si="8"/>
        <v>0</v>
      </c>
    </row>
    <row r="35" spans="1:63">
      <c r="A35" s="526"/>
      <c r="B35" s="661">
        <v>12</v>
      </c>
      <c r="C35" s="662" t="s">
        <v>61</v>
      </c>
      <c r="D35" s="660" t="str">
        <f t="shared" ca="1" si="17"/>
        <v>HVAC-DWH-Boiler - ENERGY STAR</v>
      </c>
      <c r="E35" s="660" t="str">
        <f t="shared" ca="1" si="17"/>
        <v>ENERGY STAR Boiler - 90% AFUE</v>
      </c>
      <c r="F35" s="660" t="str">
        <f t="shared" ca="1" si="17"/>
        <v>Per Unit</v>
      </c>
      <c r="G35" s="652">
        <f t="shared" ca="1" si="13"/>
        <v>0</v>
      </c>
      <c r="H35" s="652">
        <f t="shared" ca="1" si="13"/>
        <v>0</v>
      </c>
      <c r="I35" s="652">
        <f t="shared" ca="1" si="13"/>
        <v>0</v>
      </c>
      <c r="J35" s="652">
        <f t="shared" ca="1" si="13"/>
        <v>0</v>
      </c>
      <c r="K35" s="652">
        <f t="shared" ca="1" si="13"/>
        <v>0</v>
      </c>
      <c r="L35" s="652">
        <f t="shared" ca="1" si="13"/>
        <v>0</v>
      </c>
      <c r="M35" s="652">
        <f t="shared" ca="1" si="13"/>
        <v>0</v>
      </c>
      <c r="N35" s="652">
        <f t="shared" ca="1" si="13"/>
        <v>0</v>
      </c>
      <c r="O35" s="652">
        <f t="shared" ca="1" si="13"/>
        <v>0</v>
      </c>
      <c r="P35" s="652">
        <f t="shared" ca="1" si="13"/>
        <v>0</v>
      </c>
      <c r="Q35" s="652">
        <f t="shared" ca="1" si="13"/>
        <v>0</v>
      </c>
      <c r="R35" s="652">
        <f t="shared" ca="1" si="13"/>
        <v>0</v>
      </c>
      <c r="S35" s="652">
        <f t="shared" ca="1" si="13"/>
        <v>0</v>
      </c>
      <c r="T35" s="652">
        <f t="shared" ca="1" si="13"/>
        <v>0</v>
      </c>
      <c r="U35" s="652">
        <f t="shared" ca="1" si="14"/>
        <v>0</v>
      </c>
      <c r="V35" s="652">
        <f t="shared" ca="1" si="14"/>
        <v>0</v>
      </c>
      <c r="W35" s="652">
        <f t="shared" ca="1" si="14"/>
        <v>0</v>
      </c>
      <c r="X35" s="652">
        <f t="shared" ca="1" si="14"/>
        <v>0</v>
      </c>
      <c r="Y35" s="652">
        <f t="shared" ca="1" si="14"/>
        <v>0</v>
      </c>
      <c r="Z35" s="652">
        <f t="shared" ca="1" si="14"/>
        <v>0</v>
      </c>
      <c r="AA35" s="652">
        <f t="shared" ca="1" si="14"/>
        <v>0</v>
      </c>
      <c r="AB35" s="652">
        <f t="shared" ca="1" si="14"/>
        <v>0</v>
      </c>
      <c r="AC35" s="652">
        <f t="shared" ca="1" si="14"/>
        <v>0</v>
      </c>
      <c r="AD35" s="652">
        <f t="shared" ca="1" si="14"/>
        <v>0</v>
      </c>
      <c r="AE35" s="652">
        <f t="shared" ca="1" si="14"/>
        <v>0</v>
      </c>
      <c r="AF35" s="652">
        <f t="shared" ca="1" si="14"/>
        <v>0</v>
      </c>
      <c r="AG35" s="652">
        <f t="shared" ca="1" si="14"/>
        <v>0</v>
      </c>
      <c r="AH35" s="652">
        <f t="shared" ca="1" si="14"/>
        <v>0</v>
      </c>
      <c r="AI35" s="652">
        <f t="shared" ca="1" si="16"/>
        <v>0</v>
      </c>
      <c r="AJ35" s="652">
        <f t="shared" ca="1" si="16"/>
        <v>0</v>
      </c>
      <c r="AK35" s="652">
        <f t="shared" ca="1" si="16"/>
        <v>0</v>
      </c>
      <c r="AL35" s="652">
        <f t="shared" ca="1" si="16"/>
        <v>0</v>
      </c>
      <c r="AM35" s="652">
        <f t="shared" ca="1" si="16"/>
        <v>0</v>
      </c>
      <c r="AN35" s="652">
        <f t="shared" ca="1" si="16"/>
        <v>0</v>
      </c>
      <c r="AO35" s="652">
        <f t="shared" ca="1" si="16"/>
        <v>0</v>
      </c>
      <c r="AP35" s="652">
        <f t="shared" ca="1" si="16"/>
        <v>0</v>
      </c>
      <c r="AQ35" s="652">
        <f t="shared" ca="1" si="16"/>
        <v>0</v>
      </c>
      <c r="AR35" s="652">
        <f t="shared" ca="1" si="16"/>
        <v>0</v>
      </c>
      <c r="AS35" s="652">
        <f t="shared" ca="1" si="16"/>
        <v>0</v>
      </c>
      <c r="AT35" s="652">
        <f t="shared" ca="1" si="16"/>
        <v>0</v>
      </c>
      <c r="AU35" s="652">
        <f t="shared" ca="1" si="16"/>
        <v>0</v>
      </c>
      <c r="AV35" s="652">
        <f t="shared" ca="1" si="16"/>
        <v>0</v>
      </c>
      <c r="AW35" s="652">
        <f t="shared" ca="1" si="15"/>
        <v>0</v>
      </c>
      <c r="AX35" s="652">
        <f t="shared" ca="1" si="15"/>
        <v>0</v>
      </c>
      <c r="AY35" s="652">
        <f t="shared" ca="1" si="15"/>
        <v>0</v>
      </c>
      <c r="AZ35" s="652">
        <f t="shared" ca="1" si="15"/>
        <v>0</v>
      </c>
      <c r="BA35" s="652">
        <f t="shared" ca="1" si="8"/>
        <v>0</v>
      </c>
      <c r="BB35" s="652">
        <f t="shared" ca="1" si="8"/>
        <v>0</v>
      </c>
      <c r="BC35" s="652">
        <f t="shared" ca="1" si="8"/>
        <v>0</v>
      </c>
      <c r="BD35" s="652">
        <f t="shared" ca="1" si="6"/>
        <v>0</v>
      </c>
      <c r="BE35" s="652">
        <f t="shared" ca="1" si="8"/>
        <v>0</v>
      </c>
      <c r="BF35" s="652">
        <f t="shared" ca="1" si="8"/>
        <v>0</v>
      </c>
      <c r="BG35" s="652">
        <f t="shared" ca="1" si="8"/>
        <v>0</v>
      </c>
      <c r="BH35" s="652">
        <f t="shared" ca="1" si="8"/>
        <v>0</v>
      </c>
      <c r="BI35" s="652">
        <f t="shared" ca="1" si="8"/>
        <v>0</v>
      </c>
      <c r="BJ35" s="652">
        <f t="shared" ca="1" si="8"/>
        <v>0</v>
      </c>
      <c r="BK35" s="652">
        <f t="shared" ca="1" si="8"/>
        <v>0</v>
      </c>
    </row>
    <row r="36" spans="1:63">
      <c r="A36" s="526"/>
      <c r="B36" s="661">
        <v>13</v>
      </c>
      <c r="C36" s="662" t="s">
        <v>61</v>
      </c>
      <c r="D36" s="660" t="str">
        <f t="shared" ca="1" si="17"/>
        <v>HVAC-DWH-Furnace - ENERGY STAR</v>
      </c>
      <c r="E36" s="660" t="str">
        <f t="shared" ca="1" si="17"/>
        <v>ENERGY STAR Furnace - 95% AFUE</v>
      </c>
      <c r="F36" s="660" t="str">
        <f t="shared" ca="1" si="17"/>
        <v>Per Unit</v>
      </c>
      <c r="G36" s="652">
        <f t="shared" ca="1" si="13"/>
        <v>0</v>
      </c>
      <c r="H36" s="652">
        <f t="shared" ca="1" si="13"/>
        <v>50</v>
      </c>
      <c r="I36" s="652">
        <f t="shared" ca="1" si="13"/>
        <v>100</v>
      </c>
      <c r="J36" s="652">
        <f t="shared" ca="1" si="13"/>
        <v>150</v>
      </c>
      <c r="K36" s="652">
        <f t="shared" ca="1" si="13"/>
        <v>200</v>
      </c>
      <c r="L36" s="652">
        <f t="shared" ca="1" si="13"/>
        <v>0</v>
      </c>
      <c r="M36" s="652">
        <f t="shared" ca="1" si="13"/>
        <v>0</v>
      </c>
      <c r="N36" s="652">
        <f t="shared" ca="1" si="13"/>
        <v>0</v>
      </c>
      <c r="O36" s="652">
        <f t="shared" ca="1" si="13"/>
        <v>48843</v>
      </c>
      <c r="P36" s="652">
        <f t="shared" ca="1" si="13"/>
        <v>97686</v>
      </c>
      <c r="Q36" s="652">
        <f t="shared" ca="1" si="13"/>
        <v>146529</v>
      </c>
      <c r="R36" s="652">
        <f t="shared" ca="1" si="13"/>
        <v>195372</v>
      </c>
      <c r="S36" s="652">
        <f t="shared" ca="1" si="13"/>
        <v>0</v>
      </c>
      <c r="T36" s="652">
        <f t="shared" ca="1" si="13"/>
        <v>0</v>
      </c>
      <c r="U36" s="652">
        <f t="shared" ca="1" si="14"/>
        <v>0</v>
      </c>
      <c r="V36" s="652">
        <f t="shared" ca="1" si="14"/>
        <v>0</v>
      </c>
      <c r="W36" s="652">
        <f t="shared" ca="1" si="14"/>
        <v>0</v>
      </c>
      <c r="X36" s="652">
        <f t="shared" ca="1" si="14"/>
        <v>0</v>
      </c>
      <c r="Y36" s="652">
        <f t="shared" ca="1" si="14"/>
        <v>0</v>
      </c>
      <c r="Z36" s="652">
        <f t="shared" ca="1" si="14"/>
        <v>0</v>
      </c>
      <c r="AA36" s="652">
        <f t="shared" ca="1" si="14"/>
        <v>0</v>
      </c>
      <c r="AB36" s="652">
        <f t="shared" ca="1" si="14"/>
        <v>0</v>
      </c>
      <c r="AC36" s="652">
        <f t="shared" ca="1" si="14"/>
        <v>12500</v>
      </c>
      <c r="AD36" s="652">
        <f t="shared" ca="1" si="14"/>
        <v>25000</v>
      </c>
      <c r="AE36" s="652">
        <f t="shared" ca="1" si="14"/>
        <v>37500</v>
      </c>
      <c r="AF36" s="652">
        <f t="shared" ca="1" si="14"/>
        <v>50000</v>
      </c>
      <c r="AG36" s="652">
        <f t="shared" ca="1" si="14"/>
        <v>0</v>
      </c>
      <c r="AH36" s="652">
        <f t="shared" ca="1" si="14"/>
        <v>0</v>
      </c>
      <c r="AI36" s="652">
        <f t="shared" ca="1" si="16"/>
        <v>0</v>
      </c>
      <c r="AJ36" s="652">
        <f t="shared" ca="1" si="16"/>
        <v>0</v>
      </c>
      <c r="AK36" s="652">
        <f t="shared" ca="1" si="16"/>
        <v>0</v>
      </c>
      <c r="AL36" s="652">
        <f t="shared" ca="1" si="16"/>
        <v>0</v>
      </c>
      <c r="AM36" s="652">
        <f t="shared" ca="1" si="16"/>
        <v>0</v>
      </c>
      <c r="AN36" s="652">
        <f t="shared" ca="1" si="16"/>
        <v>0</v>
      </c>
      <c r="AO36" s="652">
        <f t="shared" ca="1" si="16"/>
        <v>0</v>
      </c>
      <c r="AP36" s="652">
        <f t="shared" ca="1" si="16"/>
        <v>0</v>
      </c>
      <c r="AQ36" s="652">
        <f t="shared" ca="1" si="16"/>
        <v>0</v>
      </c>
      <c r="AR36" s="652">
        <f t="shared" ca="1" si="16"/>
        <v>0</v>
      </c>
      <c r="AS36" s="652">
        <f t="shared" ca="1" si="16"/>
        <v>0</v>
      </c>
      <c r="AT36" s="652">
        <f t="shared" ca="1" si="16"/>
        <v>0</v>
      </c>
      <c r="AU36" s="652">
        <f t="shared" ca="1" si="16"/>
        <v>0</v>
      </c>
      <c r="AV36" s="652">
        <f t="shared" ca="1" si="16"/>
        <v>0</v>
      </c>
      <c r="AW36" s="652">
        <f t="shared" ca="1" si="15"/>
        <v>0</v>
      </c>
      <c r="AX36" s="652">
        <f t="shared" ca="1" si="15"/>
        <v>3766.8749999999955</v>
      </c>
      <c r="AY36" s="652">
        <f t="shared" ca="1" si="15"/>
        <v>7533.7499999999909</v>
      </c>
      <c r="AZ36" s="652">
        <f t="shared" ca="1" si="15"/>
        <v>11300.624999999985</v>
      </c>
      <c r="BA36" s="652">
        <f t="shared" ca="1" si="8"/>
        <v>15067.499999999982</v>
      </c>
      <c r="BB36" s="652">
        <f t="shared" ca="1" si="8"/>
        <v>0</v>
      </c>
      <c r="BC36" s="652">
        <f t="shared" ca="1" si="8"/>
        <v>0</v>
      </c>
      <c r="BD36" s="652">
        <f t="shared" ca="1" si="6"/>
        <v>500</v>
      </c>
      <c r="BE36" s="652">
        <f t="shared" ca="1" si="8"/>
        <v>488430</v>
      </c>
      <c r="BF36" s="652">
        <f t="shared" ca="1" si="8"/>
        <v>0</v>
      </c>
      <c r="BG36" s="652">
        <f t="shared" ca="1" si="8"/>
        <v>125000</v>
      </c>
      <c r="BH36" s="652">
        <f t="shared" ca="1" si="8"/>
        <v>0</v>
      </c>
      <c r="BI36" s="652">
        <f t="shared" ca="1" si="8"/>
        <v>0</v>
      </c>
      <c r="BJ36" s="652">
        <f t="shared" ca="1" si="8"/>
        <v>0</v>
      </c>
      <c r="BK36" s="652">
        <f t="shared" ca="1" si="8"/>
        <v>37668.749999999956</v>
      </c>
    </row>
    <row r="37" spans="1:63">
      <c r="A37" s="526"/>
      <c r="B37" s="661">
        <v>14</v>
      </c>
      <c r="C37" s="662" t="s">
        <v>61</v>
      </c>
      <c r="D37" s="660" t="str">
        <f t="shared" ca="1" si="17"/>
        <v>HVAC-DWH-Heat Pump Water Heater - ENERGY STAR</v>
      </c>
      <c r="E37" s="660" t="str">
        <f t="shared" ca="1" si="17"/>
        <v>ENERGY STAR Heat Pump Water Heater ≤ 55 GAL - UEF 2.2</v>
      </c>
      <c r="F37" s="660" t="str">
        <f t="shared" ca="1" si="17"/>
        <v>Per Unit</v>
      </c>
      <c r="G37" s="652">
        <f t="shared" ca="1" si="13"/>
        <v>0</v>
      </c>
      <c r="H37" s="652">
        <f t="shared" ca="1" si="13"/>
        <v>75</v>
      </c>
      <c r="I37" s="652">
        <f t="shared" ca="1" si="13"/>
        <v>97</v>
      </c>
      <c r="J37" s="652">
        <f t="shared" ca="1" si="13"/>
        <v>120</v>
      </c>
      <c r="K37" s="652">
        <f t="shared" ca="1" si="13"/>
        <v>150</v>
      </c>
      <c r="L37" s="652">
        <f t="shared" ca="1" si="13"/>
        <v>150</v>
      </c>
      <c r="M37" s="652">
        <f t="shared" ca="1" si="13"/>
        <v>150</v>
      </c>
      <c r="N37" s="652">
        <f t="shared" ca="1" si="13"/>
        <v>0</v>
      </c>
      <c r="O37" s="652">
        <f t="shared" ca="1" si="13"/>
        <v>77250</v>
      </c>
      <c r="P37" s="652">
        <f t="shared" ca="1" si="13"/>
        <v>99910</v>
      </c>
      <c r="Q37" s="652">
        <f t="shared" ca="1" si="13"/>
        <v>123600</v>
      </c>
      <c r="R37" s="652">
        <f t="shared" ca="1" si="13"/>
        <v>154500</v>
      </c>
      <c r="S37" s="652">
        <f t="shared" ca="1" si="13"/>
        <v>154500</v>
      </c>
      <c r="T37" s="652">
        <f t="shared" ca="1" si="13"/>
        <v>154500</v>
      </c>
      <c r="U37" s="652">
        <f t="shared" ca="1" si="14"/>
        <v>0</v>
      </c>
      <c r="V37" s="652">
        <f t="shared" ca="1" si="14"/>
        <v>0</v>
      </c>
      <c r="W37" s="652">
        <f t="shared" ca="1" si="14"/>
        <v>0</v>
      </c>
      <c r="X37" s="652">
        <f t="shared" ca="1" si="14"/>
        <v>0</v>
      </c>
      <c r="Y37" s="652">
        <f t="shared" ca="1" si="14"/>
        <v>0</v>
      </c>
      <c r="Z37" s="652">
        <f t="shared" ca="1" si="14"/>
        <v>0</v>
      </c>
      <c r="AA37" s="652">
        <f t="shared" ca="1" si="14"/>
        <v>0</v>
      </c>
      <c r="AB37" s="652">
        <f t="shared" ca="1" si="14"/>
        <v>0</v>
      </c>
      <c r="AC37" s="652">
        <f t="shared" ca="1" si="14"/>
        <v>22500</v>
      </c>
      <c r="AD37" s="652">
        <f t="shared" ca="1" si="14"/>
        <v>29100</v>
      </c>
      <c r="AE37" s="652">
        <f t="shared" ca="1" si="14"/>
        <v>36000</v>
      </c>
      <c r="AF37" s="652">
        <f t="shared" ca="1" si="14"/>
        <v>45000</v>
      </c>
      <c r="AG37" s="652">
        <f t="shared" ca="1" si="14"/>
        <v>45000</v>
      </c>
      <c r="AH37" s="652">
        <f t="shared" ca="1" si="14"/>
        <v>45000</v>
      </c>
      <c r="AI37" s="652">
        <f t="shared" ca="1" si="16"/>
        <v>0</v>
      </c>
      <c r="AJ37" s="652">
        <f t="shared" ca="1" si="16"/>
        <v>109155.67088400268</v>
      </c>
      <c r="AK37" s="652">
        <f t="shared" ca="1" si="16"/>
        <v>141174.66767664347</v>
      </c>
      <c r="AL37" s="652">
        <f t="shared" ca="1" si="16"/>
        <v>174649.07341440429</v>
      </c>
      <c r="AM37" s="652">
        <f t="shared" ca="1" si="16"/>
        <v>218311.34176800537</v>
      </c>
      <c r="AN37" s="652">
        <f t="shared" ca="1" si="16"/>
        <v>218311.34176800537</v>
      </c>
      <c r="AO37" s="652">
        <f t="shared" ca="1" si="16"/>
        <v>218311.34176800537</v>
      </c>
      <c r="AP37" s="652">
        <f t="shared" ca="1" si="16"/>
        <v>0</v>
      </c>
      <c r="AQ37" s="652">
        <f t="shared" ca="1" si="16"/>
        <v>4.3548387096774199</v>
      </c>
      <c r="AR37" s="652">
        <f t="shared" ca="1" si="16"/>
        <v>5.6322580645161295</v>
      </c>
      <c r="AS37" s="652">
        <f t="shared" ca="1" si="16"/>
        <v>6.967741935483871</v>
      </c>
      <c r="AT37" s="652">
        <f t="shared" ca="1" si="16"/>
        <v>8.7096774193548399</v>
      </c>
      <c r="AU37" s="652">
        <f t="shared" ca="1" si="16"/>
        <v>8.7096774193548399</v>
      </c>
      <c r="AV37" s="652">
        <f t="shared" ca="1" si="16"/>
        <v>8.7096774193548399</v>
      </c>
      <c r="AW37" s="652">
        <f t="shared" ca="1" si="15"/>
        <v>0</v>
      </c>
      <c r="AX37" s="652">
        <f t="shared" ca="1" si="15"/>
        <v>0</v>
      </c>
      <c r="AY37" s="652">
        <f t="shared" ca="1" si="15"/>
        <v>0</v>
      </c>
      <c r="AZ37" s="652">
        <f t="shared" ca="1" si="15"/>
        <v>0</v>
      </c>
      <c r="BA37" s="652">
        <f t="shared" ca="1" si="8"/>
        <v>0</v>
      </c>
      <c r="BB37" s="652">
        <f t="shared" ca="1" si="8"/>
        <v>0</v>
      </c>
      <c r="BC37" s="652">
        <f t="shared" ca="1" si="8"/>
        <v>0</v>
      </c>
      <c r="BD37" s="652">
        <f t="shared" ca="1" si="6"/>
        <v>742</v>
      </c>
      <c r="BE37" s="652">
        <f t="shared" ca="1" si="8"/>
        <v>764260</v>
      </c>
      <c r="BF37" s="652">
        <f t="shared" ca="1" si="8"/>
        <v>0</v>
      </c>
      <c r="BG37" s="652">
        <f t="shared" ca="1" si="8"/>
        <v>222600</v>
      </c>
      <c r="BH37" s="652">
        <f t="shared" ca="1" si="8"/>
        <v>0</v>
      </c>
      <c r="BI37" s="652">
        <f t="shared" ca="1" si="8"/>
        <v>1079913.4372790665</v>
      </c>
      <c r="BJ37" s="652">
        <f t="shared" ca="1" si="8"/>
        <v>43.083870967741937</v>
      </c>
      <c r="BK37" s="652">
        <f t="shared" ca="1" si="8"/>
        <v>0</v>
      </c>
    </row>
    <row r="38" spans="1:63">
      <c r="A38" s="526"/>
      <c r="B38" s="661">
        <v>1</v>
      </c>
      <c r="C38" s="662" t="s">
        <v>62</v>
      </c>
      <c r="D38" s="660" t="str">
        <f t="shared" ca="1" si="17"/>
        <v>Residential - BYOT - Cooling - Summer</v>
      </c>
      <c r="E38" s="660" t="str">
        <f ca="1">VLOOKUP($B38,INDIRECT("'"&amp;$C38&amp;"'!A6:FC1000"),IF(E$6="Participation 2023",MATCH("__Participation 2023",INDIRECT("'"&amp;$C38&amp;"'!1:1"),0),IF(E$6="Participation",MATCH("_Total Plan Summary _Participation",INDIRECT("'"&amp;$C38&amp;"'!1:1"),0),MATCH(E$4&amp;"_"&amp;E$5&amp;"_"&amp;E$6,INDIRECT("'"&amp;$C38&amp;"'!1:1"),0))),0)</f>
        <v>This product targets customers with smart thermostats and pays participants an incentive to curtail load during events</v>
      </c>
      <c r="F38" s="660" t="str">
        <f t="shared" ca="1" si="17"/>
        <v>Per Customer</v>
      </c>
      <c r="G38" s="652">
        <f t="shared" ref="G38:AZ42" ca="1" si="18">VLOOKUP($B38,INDIRECT("'"&amp;$C38&amp;"'!A6:FR1000"),IF(G$6="Participation 2023",MATCH("__Participation 2023",INDIRECT("'"&amp;$C38&amp;"'!1:1"),0),IF(G$6="Participation",MATCH("_Total Plan Summary _Participation",INDIRECT("'"&amp;$C38&amp;"'!1:1"),0),MATCH(G$4&amp;"_"&amp;G$5&amp;"_"&amp;G$6,INDIRECT("'"&amp;$C38&amp;"'!1:1"),0))),0)</f>
        <v>1233</v>
      </c>
      <c r="H38" s="652">
        <f t="shared" ca="1" si="18"/>
        <v>1621</v>
      </c>
      <c r="I38" s="652">
        <f t="shared" ca="1" si="18"/>
        <v>2619</v>
      </c>
      <c r="J38" s="652">
        <f t="shared" ca="1" si="18"/>
        <v>2619</v>
      </c>
      <c r="K38" s="652">
        <f t="shared" ca="1" si="18"/>
        <v>2619</v>
      </c>
      <c r="L38" s="652">
        <f t="shared" ca="1" si="18"/>
        <v>2619</v>
      </c>
      <c r="M38" s="652">
        <f t="shared" ca="1" si="18"/>
        <v>2619</v>
      </c>
      <c r="N38" s="652">
        <f t="shared" ca="1" si="18"/>
        <v>0</v>
      </c>
      <c r="O38" s="652">
        <f t="shared" ca="1" si="18"/>
        <v>0</v>
      </c>
      <c r="P38" s="652">
        <f t="shared" ca="1" si="18"/>
        <v>0</v>
      </c>
      <c r="Q38" s="652">
        <f t="shared" ca="1" si="18"/>
        <v>0</v>
      </c>
      <c r="R38" s="652">
        <f t="shared" ca="1" si="18"/>
        <v>0</v>
      </c>
      <c r="S38" s="652">
        <f t="shared" ca="1" si="18"/>
        <v>0</v>
      </c>
      <c r="T38" s="652">
        <f t="shared" ca="1" si="18"/>
        <v>0</v>
      </c>
      <c r="U38" s="652">
        <f t="shared" ca="1" si="18"/>
        <v>0</v>
      </c>
      <c r="V38" s="652">
        <f t="shared" ca="1" si="18"/>
        <v>0</v>
      </c>
      <c r="W38" s="652">
        <f t="shared" ca="1" si="18"/>
        <v>0</v>
      </c>
      <c r="X38" s="652">
        <f t="shared" ca="1" si="18"/>
        <v>0</v>
      </c>
      <c r="Y38" s="652">
        <f t="shared" ca="1" si="18"/>
        <v>0</v>
      </c>
      <c r="Z38" s="652">
        <f t="shared" ca="1" si="18"/>
        <v>0</v>
      </c>
      <c r="AA38" s="652">
        <f t="shared" ca="1" si="18"/>
        <v>0</v>
      </c>
      <c r="AB38" s="652">
        <f t="shared" ca="1" si="18"/>
        <v>221940</v>
      </c>
      <c r="AC38" s="652">
        <f t="shared" ca="1" si="18"/>
        <v>230130</v>
      </c>
      <c r="AD38" s="652">
        <f t="shared" ca="1" si="18"/>
        <v>390370</v>
      </c>
      <c r="AE38" s="652">
        <f t="shared" ca="1" si="18"/>
        <v>340470</v>
      </c>
      <c r="AF38" s="652">
        <f t="shared" ca="1" si="18"/>
        <v>340470</v>
      </c>
      <c r="AG38" s="652">
        <f t="shared" ca="1" si="18"/>
        <v>340470</v>
      </c>
      <c r="AH38" s="652">
        <f t="shared" ca="1" si="18"/>
        <v>340470</v>
      </c>
      <c r="AI38" s="652">
        <f t="shared" ca="1" si="18"/>
        <v>0</v>
      </c>
      <c r="AJ38" s="652">
        <f t="shared" ca="1" si="18"/>
        <v>0</v>
      </c>
      <c r="AK38" s="652">
        <f t="shared" ca="1" si="18"/>
        <v>0</v>
      </c>
      <c r="AL38" s="652">
        <f t="shared" ca="1" si="18"/>
        <v>0</v>
      </c>
      <c r="AM38" s="652">
        <f t="shared" ca="1" si="18"/>
        <v>0</v>
      </c>
      <c r="AN38" s="652">
        <f t="shared" ca="1" si="18"/>
        <v>0</v>
      </c>
      <c r="AO38" s="652">
        <f t="shared" ca="1" si="18"/>
        <v>0</v>
      </c>
      <c r="AP38" s="652">
        <f t="shared" ca="1" si="18"/>
        <v>591.52452025586365</v>
      </c>
      <c r="AQ38" s="652">
        <f t="shared" ca="1" si="18"/>
        <v>777.66524520255871</v>
      </c>
      <c r="AR38" s="652">
        <f t="shared" ca="1" si="18"/>
        <v>1256.4498933901921</v>
      </c>
      <c r="AS38" s="652">
        <f t="shared" ca="1" si="18"/>
        <v>1256.4498933901921</v>
      </c>
      <c r="AT38" s="652">
        <f t="shared" ca="1" si="18"/>
        <v>1256.4498933901921</v>
      </c>
      <c r="AU38" s="652">
        <f t="shared" ca="1" si="18"/>
        <v>1256.4498933901921</v>
      </c>
      <c r="AV38" s="652">
        <f t="shared" ca="1" si="18"/>
        <v>1256.4498933901921</v>
      </c>
      <c r="AW38" s="652">
        <f t="shared" ca="1" si="18"/>
        <v>0</v>
      </c>
      <c r="AX38" s="652">
        <f t="shared" ca="1" si="18"/>
        <v>0</v>
      </c>
      <c r="AY38" s="652">
        <f t="shared" ca="1" si="18"/>
        <v>0</v>
      </c>
      <c r="AZ38" s="652">
        <f t="shared" ca="1" si="18"/>
        <v>0</v>
      </c>
      <c r="BA38" s="652">
        <f t="shared" ca="1" si="8"/>
        <v>0</v>
      </c>
      <c r="BB38" s="652">
        <f t="shared" ca="1" si="8"/>
        <v>0</v>
      </c>
      <c r="BC38" s="652">
        <f t="shared" ca="1" si="8"/>
        <v>0</v>
      </c>
      <c r="BD38" s="652">
        <f t="shared" ca="1" si="6"/>
        <v>15949</v>
      </c>
      <c r="BE38" s="652">
        <f t="shared" ca="1" si="8"/>
        <v>0</v>
      </c>
      <c r="BF38" s="652">
        <f t="shared" ca="1" si="8"/>
        <v>0</v>
      </c>
      <c r="BG38" s="652">
        <f t="shared" ca="1" si="8"/>
        <v>2204320</v>
      </c>
      <c r="BH38" s="652">
        <f t="shared" ca="1" si="8"/>
        <v>574164</v>
      </c>
      <c r="BI38" s="652">
        <f t="shared" ca="1" si="8"/>
        <v>0</v>
      </c>
      <c r="BJ38" s="652">
        <f t="shared" ca="1" si="8"/>
        <v>1256.4498933901921</v>
      </c>
      <c r="BK38" s="652">
        <f t="shared" ca="1" si="8"/>
        <v>0</v>
      </c>
    </row>
    <row r="39" spans="1:63">
      <c r="A39" s="526"/>
      <c r="B39" s="661">
        <v>2</v>
      </c>
      <c r="C39" s="662" t="s">
        <v>62</v>
      </c>
      <c r="D39" s="660" t="str">
        <f t="shared" ca="1" si="17"/>
        <v>Residential - BYOT - Heating - Winter</v>
      </c>
      <c r="E39" s="660" t="str">
        <f t="shared" ca="1" si="17"/>
        <v>This product targets customers with smart thermostats and pays participants an incentive to curtail load during events</v>
      </c>
      <c r="F39" s="660" t="str">
        <f t="shared" ca="1" si="17"/>
        <v>Per Customer</v>
      </c>
      <c r="G39" s="652">
        <f t="shared" ca="1" si="18"/>
        <v>386.6</v>
      </c>
      <c r="H39" s="652">
        <f t="shared" ca="1" si="18"/>
        <v>564.20000000000005</v>
      </c>
      <c r="I39" s="652">
        <f t="shared" ca="1" si="18"/>
        <v>1023.8000000000002</v>
      </c>
      <c r="J39" s="652">
        <f t="shared" ca="1" si="18"/>
        <v>1023.8000000000002</v>
      </c>
      <c r="K39" s="652">
        <f t="shared" ca="1" si="18"/>
        <v>1023.8000000000002</v>
      </c>
      <c r="L39" s="652">
        <f t="shared" ca="1" si="18"/>
        <v>1023.8000000000002</v>
      </c>
      <c r="M39" s="652">
        <f t="shared" ca="1" si="18"/>
        <v>1023.8000000000002</v>
      </c>
      <c r="N39" s="652">
        <f t="shared" ca="1" si="18"/>
        <v>0</v>
      </c>
      <c r="O39" s="652">
        <f t="shared" ca="1" si="18"/>
        <v>0</v>
      </c>
      <c r="P39" s="652">
        <f t="shared" ca="1" si="18"/>
        <v>0</v>
      </c>
      <c r="Q39" s="652">
        <f t="shared" ca="1" si="18"/>
        <v>0</v>
      </c>
      <c r="R39" s="652">
        <f t="shared" ca="1" si="18"/>
        <v>0</v>
      </c>
      <c r="S39" s="652">
        <f t="shared" ca="1" si="18"/>
        <v>0</v>
      </c>
      <c r="T39" s="652">
        <f t="shared" ca="1" si="18"/>
        <v>0</v>
      </c>
      <c r="U39" s="652">
        <f t="shared" ca="1" si="18"/>
        <v>0</v>
      </c>
      <c r="V39" s="652">
        <f t="shared" ca="1" si="18"/>
        <v>0</v>
      </c>
      <c r="W39" s="652">
        <f t="shared" ca="1" si="18"/>
        <v>0</v>
      </c>
      <c r="X39" s="652">
        <f t="shared" ca="1" si="18"/>
        <v>0</v>
      </c>
      <c r="Y39" s="652">
        <f t="shared" ca="1" si="18"/>
        <v>0</v>
      </c>
      <c r="Z39" s="652">
        <f t="shared" ca="1" si="18"/>
        <v>0</v>
      </c>
      <c r="AA39" s="652">
        <f t="shared" ca="1" si="18"/>
        <v>0</v>
      </c>
      <c r="AB39" s="652">
        <f t="shared" ca="1" si="18"/>
        <v>46392</v>
      </c>
      <c r="AC39" s="652">
        <f t="shared" ca="1" si="18"/>
        <v>67704</v>
      </c>
      <c r="AD39" s="652">
        <f t="shared" ca="1" si="18"/>
        <v>122856.00000000003</v>
      </c>
      <c r="AE39" s="652">
        <f t="shared" ca="1" si="18"/>
        <v>122856.00000000003</v>
      </c>
      <c r="AF39" s="652">
        <f t="shared" ca="1" si="18"/>
        <v>122856.00000000003</v>
      </c>
      <c r="AG39" s="652">
        <f t="shared" ca="1" si="18"/>
        <v>122856.00000000003</v>
      </c>
      <c r="AH39" s="652">
        <f t="shared" ca="1" si="18"/>
        <v>122856.00000000003</v>
      </c>
      <c r="AI39" s="652">
        <f t="shared" ca="1" si="18"/>
        <v>0</v>
      </c>
      <c r="AJ39" s="652">
        <f t="shared" ca="1" si="18"/>
        <v>0</v>
      </c>
      <c r="AK39" s="652">
        <f t="shared" ca="1" si="18"/>
        <v>0</v>
      </c>
      <c r="AL39" s="652">
        <f t="shared" ca="1" si="18"/>
        <v>0</v>
      </c>
      <c r="AM39" s="652">
        <f t="shared" ca="1" si="18"/>
        <v>0</v>
      </c>
      <c r="AN39" s="652">
        <f t="shared" ca="1" si="18"/>
        <v>0</v>
      </c>
      <c r="AO39" s="652">
        <f t="shared" ca="1" si="18"/>
        <v>0</v>
      </c>
      <c r="AP39" s="652">
        <f t="shared" ca="1" si="18"/>
        <v>231.83635394456292</v>
      </c>
      <c r="AQ39" s="652">
        <f t="shared" ca="1" si="18"/>
        <v>338.33955223880599</v>
      </c>
      <c r="AR39" s="652">
        <f t="shared" ca="1" si="18"/>
        <v>613.95255863539455</v>
      </c>
      <c r="AS39" s="652">
        <f t="shared" ca="1" si="18"/>
        <v>613.95255863539455</v>
      </c>
      <c r="AT39" s="652">
        <f t="shared" ca="1" si="18"/>
        <v>613.95255863539455</v>
      </c>
      <c r="AU39" s="652">
        <f t="shared" ca="1" si="18"/>
        <v>613.95255863539455</v>
      </c>
      <c r="AV39" s="652">
        <f t="shared" ca="1" si="18"/>
        <v>613.95255863539455</v>
      </c>
      <c r="AW39" s="652">
        <f t="shared" ca="1" si="18"/>
        <v>0</v>
      </c>
      <c r="AX39" s="652">
        <f t="shared" ca="1" si="18"/>
        <v>0</v>
      </c>
      <c r="AY39" s="652">
        <f t="shared" ca="1" si="18"/>
        <v>0</v>
      </c>
      <c r="AZ39" s="652">
        <f t="shared" ca="1" si="18"/>
        <v>0</v>
      </c>
      <c r="BA39" s="652">
        <f t="shared" ref="BA39:BK76" ca="1" si="19">VLOOKUP($B39,INDIRECT("'"&amp;$C39&amp;"'!A6:FR1000"),IF(BA$6="Participation 2023",MATCH("__Participation 2023",INDIRECT("'"&amp;$C39&amp;"'!1:1"),0),IF(BA$6="Participation",MATCH("_Total Plan Summary _Participation",INDIRECT("'"&amp;$C39&amp;"'!1:1"),0),MATCH(BA$4&amp;"_"&amp;BA$5&amp;"_"&amp;BA$6,INDIRECT("'"&amp;$C39&amp;"'!1:1"),0))),0)</f>
        <v>0</v>
      </c>
      <c r="BB39" s="652">
        <f t="shared" ca="1" si="19"/>
        <v>0</v>
      </c>
      <c r="BC39" s="652">
        <f t="shared" ca="1" si="19"/>
        <v>0</v>
      </c>
      <c r="BD39" s="652">
        <f t="shared" ca="1" si="6"/>
        <v>6069.8000000000011</v>
      </c>
      <c r="BE39" s="652">
        <f t="shared" ca="1" si="19"/>
        <v>0</v>
      </c>
      <c r="BF39" s="652">
        <f t="shared" ca="1" si="19"/>
        <v>0</v>
      </c>
      <c r="BG39" s="652">
        <f t="shared" ca="1" si="19"/>
        <v>728376.00000000012</v>
      </c>
      <c r="BH39" s="652">
        <f t="shared" ca="1" si="19"/>
        <v>0</v>
      </c>
      <c r="BI39" s="652">
        <f t="shared" ca="1" si="19"/>
        <v>0</v>
      </c>
      <c r="BJ39" s="652">
        <f t="shared" ca="1" si="19"/>
        <v>613.95255863539455</v>
      </c>
      <c r="BK39" s="652">
        <f t="shared" ca="1" si="19"/>
        <v>0</v>
      </c>
    </row>
    <row r="40" spans="1:63">
      <c r="A40" s="526"/>
      <c r="B40" s="661">
        <v>3</v>
      </c>
      <c r="C40" s="662" t="s">
        <v>62</v>
      </c>
      <c r="D40" s="660" t="str">
        <f t="shared" ca="1" si="17"/>
        <v>LI - Cooling</v>
      </c>
      <c r="E40" s="660" t="str">
        <f t="shared" ca="1" si="17"/>
        <v>This product targets LI customers who have smart thermostats through We Care direct installs and pays participants an incentive to curtail load during events</v>
      </c>
      <c r="F40" s="660" t="str">
        <f t="shared" ca="1" si="17"/>
        <v>Per Customer</v>
      </c>
      <c r="G40" s="652">
        <f t="shared" ca="1" si="18"/>
        <v>522</v>
      </c>
      <c r="H40" s="652">
        <f t="shared" ca="1" si="18"/>
        <v>1044</v>
      </c>
      <c r="I40" s="652">
        <f t="shared" ca="1" si="18"/>
        <v>1566</v>
      </c>
      <c r="J40" s="652">
        <f t="shared" ca="1" si="18"/>
        <v>2088</v>
      </c>
      <c r="K40" s="652">
        <f t="shared" ca="1" si="18"/>
        <v>2610</v>
      </c>
      <c r="L40" s="652">
        <f t="shared" ca="1" si="18"/>
        <v>3132</v>
      </c>
      <c r="M40" s="652">
        <f t="shared" ca="1" si="18"/>
        <v>3654</v>
      </c>
      <c r="N40" s="652">
        <f t="shared" ca="1" si="18"/>
        <v>0</v>
      </c>
      <c r="O40" s="652">
        <f t="shared" ca="1" si="18"/>
        <v>0</v>
      </c>
      <c r="P40" s="652">
        <f t="shared" ca="1" si="18"/>
        <v>0</v>
      </c>
      <c r="Q40" s="652">
        <f t="shared" ca="1" si="18"/>
        <v>0</v>
      </c>
      <c r="R40" s="652">
        <f t="shared" ca="1" si="18"/>
        <v>0</v>
      </c>
      <c r="S40" s="652">
        <f t="shared" ca="1" si="18"/>
        <v>0</v>
      </c>
      <c r="T40" s="652">
        <f t="shared" ca="1" si="18"/>
        <v>0</v>
      </c>
      <c r="U40" s="652">
        <f t="shared" ca="1" si="18"/>
        <v>0</v>
      </c>
      <c r="V40" s="652">
        <f t="shared" ca="1" si="18"/>
        <v>0</v>
      </c>
      <c r="W40" s="652">
        <f t="shared" ca="1" si="18"/>
        <v>0</v>
      </c>
      <c r="X40" s="652">
        <f t="shared" ca="1" si="18"/>
        <v>0</v>
      </c>
      <c r="Y40" s="652">
        <f t="shared" ca="1" si="18"/>
        <v>0</v>
      </c>
      <c r="Z40" s="652">
        <f t="shared" ca="1" si="18"/>
        <v>0</v>
      </c>
      <c r="AA40" s="652">
        <f t="shared" ca="1" si="18"/>
        <v>0</v>
      </c>
      <c r="AB40" s="652">
        <f t="shared" ca="1" si="18"/>
        <v>93960</v>
      </c>
      <c r="AC40" s="652">
        <f t="shared" ca="1" si="18"/>
        <v>161820</v>
      </c>
      <c r="AD40" s="652">
        <f t="shared" ca="1" si="18"/>
        <v>229679.99999999997</v>
      </c>
      <c r="AE40" s="652">
        <f t="shared" ca="1" si="18"/>
        <v>297540</v>
      </c>
      <c r="AF40" s="652">
        <f t="shared" ca="1" si="18"/>
        <v>365400</v>
      </c>
      <c r="AG40" s="652">
        <f t="shared" ca="1" si="18"/>
        <v>433260.00000000006</v>
      </c>
      <c r="AH40" s="652">
        <f t="shared" ca="1" si="18"/>
        <v>501120</v>
      </c>
      <c r="AI40" s="652">
        <f t="shared" ca="1" si="18"/>
        <v>0</v>
      </c>
      <c r="AJ40" s="652">
        <f t="shared" ca="1" si="18"/>
        <v>0</v>
      </c>
      <c r="AK40" s="652">
        <f t="shared" ca="1" si="18"/>
        <v>0</v>
      </c>
      <c r="AL40" s="652">
        <f t="shared" ca="1" si="18"/>
        <v>0</v>
      </c>
      <c r="AM40" s="652">
        <f t="shared" ca="1" si="18"/>
        <v>0</v>
      </c>
      <c r="AN40" s="652">
        <f t="shared" ca="1" si="18"/>
        <v>0</v>
      </c>
      <c r="AO40" s="652">
        <f t="shared" ca="1" si="18"/>
        <v>0</v>
      </c>
      <c r="AP40" s="652">
        <f t="shared" ca="1" si="18"/>
        <v>250.42643923240939</v>
      </c>
      <c r="AQ40" s="652">
        <f t="shared" ca="1" si="18"/>
        <v>500.85287846481879</v>
      </c>
      <c r="AR40" s="652">
        <f t="shared" ca="1" si="18"/>
        <v>751.27931769722818</v>
      </c>
      <c r="AS40" s="652">
        <f t="shared" ca="1" si="18"/>
        <v>1001.7057569296376</v>
      </c>
      <c r="AT40" s="652">
        <f t="shared" ca="1" si="18"/>
        <v>1252.132196162047</v>
      </c>
      <c r="AU40" s="652">
        <f t="shared" ca="1" si="18"/>
        <v>1502.5586353944564</v>
      </c>
      <c r="AV40" s="652">
        <f t="shared" ca="1" si="18"/>
        <v>1752.9850746268658</v>
      </c>
      <c r="AW40" s="652">
        <f t="shared" ca="1" si="18"/>
        <v>0</v>
      </c>
      <c r="AX40" s="652">
        <f t="shared" ca="1" si="18"/>
        <v>0</v>
      </c>
      <c r="AY40" s="652">
        <f t="shared" ca="1" si="18"/>
        <v>0</v>
      </c>
      <c r="AZ40" s="652">
        <f t="shared" ca="1" si="18"/>
        <v>0</v>
      </c>
      <c r="BA40" s="652">
        <f t="shared" ca="1" si="8"/>
        <v>0</v>
      </c>
      <c r="BB40" s="652">
        <f t="shared" ca="1" si="19"/>
        <v>0</v>
      </c>
      <c r="BC40" s="652">
        <f t="shared" ca="1" si="19"/>
        <v>0</v>
      </c>
      <c r="BD40" s="652">
        <f t="shared" ca="1" si="6"/>
        <v>14616</v>
      </c>
      <c r="BE40" s="652">
        <f t="shared" ca="1" si="19"/>
        <v>0</v>
      </c>
      <c r="BF40" s="652">
        <f t="shared" ca="1" si="19"/>
        <v>0</v>
      </c>
      <c r="BG40" s="652">
        <f t="shared" ca="1" si="19"/>
        <v>2082780</v>
      </c>
      <c r="BH40" s="652">
        <f t="shared" ca="1" si="19"/>
        <v>526176</v>
      </c>
      <c r="BI40" s="652">
        <f t="shared" ca="1" si="19"/>
        <v>0</v>
      </c>
      <c r="BJ40" s="652">
        <f t="shared" ca="1" si="19"/>
        <v>1752.9850746268658</v>
      </c>
      <c r="BK40" s="652">
        <f t="shared" ca="1" si="19"/>
        <v>0</v>
      </c>
    </row>
    <row r="41" spans="1:63">
      <c r="A41" s="526"/>
      <c r="B41" s="661">
        <v>4</v>
      </c>
      <c r="C41" s="662" t="s">
        <v>62</v>
      </c>
      <c r="D41" s="660" t="str">
        <f t="shared" ca="1" si="17"/>
        <v>LI - Heating</v>
      </c>
      <c r="E41" s="660" t="str">
        <f t="shared" ca="1" si="17"/>
        <v>This product targets LI customers who have smart thermostats through We Care direct installs and pays participants an incentive to curtail load during events</v>
      </c>
      <c r="F41" s="660" t="str">
        <f t="shared" ca="1" si="17"/>
        <v>Per Customer</v>
      </c>
      <c r="G41" s="652">
        <f t="shared" ca="1" si="18"/>
        <v>104.4</v>
      </c>
      <c r="H41" s="652">
        <f t="shared" ca="1" si="18"/>
        <v>208.8</v>
      </c>
      <c r="I41" s="652">
        <f t="shared" ca="1" si="18"/>
        <v>313.20000000000005</v>
      </c>
      <c r="J41" s="652">
        <f t="shared" ca="1" si="18"/>
        <v>417.6</v>
      </c>
      <c r="K41" s="652">
        <f t="shared" ca="1" si="18"/>
        <v>522</v>
      </c>
      <c r="L41" s="652">
        <f t="shared" ca="1" si="18"/>
        <v>626.4</v>
      </c>
      <c r="M41" s="652">
        <f t="shared" ca="1" si="18"/>
        <v>730.8</v>
      </c>
      <c r="N41" s="652">
        <f t="shared" ca="1" si="18"/>
        <v>0</v>
      </c>
      <c r="O41" s="652">
        <f t="shared" ca="1" si="18"/>
        <v>0</v>
      </c>
      <c r="P41" s="652">
        <f t="shared" ca="1" si="18"/>
        <v>0</v>
      </c>
      <c r="Q41" s="652">
        <f t="shared" ca="1" si="18"/>
        <v>0</v>
      </c>
      <c r="R41" s="652">
        <f t="shared" ca="1" si="18"/>
        <v>0</v>
      </c>
      <c r="S41" s="652">
        <f t="shared" ca="1" si="18"/>
        <v>0</v>
      </c>
      <c r="T41" s="652">
        <f t="shared" ca="1" si="18"/>
        <v>0</v>
      </c>
      <c r="U41" s="652">
        <f t="shared" ca="1" si="18"/>
        <v>0</v>
      </c>
      <c r="V41" s="652">
        <f t="shared" ca="1" si="18"/>
        <v>0</v>
      </c>
      <c r="W41" s="652">
        <f t="shared" ca="1" si="18"/>
        <v>0</v>
      </c>
      <c r="X41" s="652">
        <f t="shared" ca="1" si="18"/>
        <v>0</v>
      </c>
      <c r="Y41" s="652">
        <f t="shared" ca="1" si="18"/>
        <v>0</v>
      </c>
      <c r="Z41" s="652">
        <f t="shared" ca="1" si="18"/>
        <v>0</v>
      </c>
      <c r="AA41" s="652">
        <f t="shared" ca="1" si="18"/>
        <v>0</v>
      </c>
      <c r="AB41" s="652">
        <f t="shared" ca="1" si="18"/>
        <v>12528</v>
      </c>
      <c r="AC41" s="652">
        <f t="shared" ca="1" si="18"/>
        <v>25056</v>
      </c>
      <c r="AD41" s="652">
        <f t="shared" ca="1" si="18"/>
        <v>37584.000000000007</v>
      </c>
      <c r="AE41" s="652">
        <f t="shared" ca="1" si="18"/>
        <v>50112</v>
      </c>
      <c r="AF41" s="652">
        <f t="shared" ca="1" si="18"/>
        <v>62640</v>
      </c>
      <c r="AG41" s="652">
        <f t="shared" ca="1" si="18"/>
        <v>75168</v>
      </c>
      <c r="AH41" s="652">
        <f t="shared" ca="1" si="18"/>
        <v>87696</v>
      </c>
      <c r="AI41" s="652">
        <f t="shared" ca="1" si="18"/>
        <v>0</v>
      </c>
      <c r="AJ41" s="652">
        <f t="shared" ca="1" si="18"/>
        <v>0</v>
      </c>
      <c r="AK41" s="652">
        <f t="shared" ca="1" si="18"/>
        <v>0</v>
      </c>
      <c r="AL41" s="652">
        <f t="shared" ca="1" si="18"/>
        <v>0</v>
      </c>
      <c r="AM41" s="652">
        <f t="shared" ca="1" si="18"/>
        <v>0</v>
      </c>
      <c r="AN41" s="652">
        <f t="shared" ca="1" si="18"/>
        <v>0</v>
      </c>
      <c r="AO41" s="652">
        <f t="shared" ca="1" si="18"/>
        <v>0</v>
      </c>
      <c r="AP41" s="652">
        <f t="shared" ca="1" si="18"/>
        <v>62.606609808102355</v>
      </c>
      <c r="AQ41" s="652">
        <f t="shared" ca="1" si="18"/>
        <v>125.21321961620471</v>
      </c>
      <c r="AR41" s="652">
        <f t="shared" ca="1" si="18"/>
        <v>187.81982942430707</v>
      </c>
      <c r="AS41" s="652">
        <f t="shared" ca="1" si="18"/>
        <v>250.42643923240942</v>
      </c>
      <c r="AT41" s="652">
        <f t="shared" ca="1" si="18"/>
        <v>313.03304904051174</v>
      </c>
      <c r="AU41" s="652">
        <f t="shared" ca="1" si="18"/>
        <v>375.63965884861409</v>
      </c>
      <c r="AV41" s="652">
        <f t="shared" ca="1" si="18"/>
        <v>438.24626865671644</v>
      </c>
      <c r="AW41" s="652">
        <f t="shared" ca="1" si="18"/>
        <v>0</v>
      </c>
      <c r="AX41" s="652">
        <f t="shared" ca="1" si="18"/>
        <v>0</v>
      </c>
      <c r="AY41" s="652">
        <f t="shared" ca="1" si="18"/>
        <v>0</v>
      </c>
      <c r="AZ41" s="652">
        <f t="shared" ca="1" si="18"/>
        <v>0</v>
      </c>
      <c r="BA41" s="652">
        <f t="shared" ref="BA41:BK76" ca="1" si="20">VLOOKUP($B41,INDIRECT("'"&amp;$C41&amp;"'!A6:FR1000"),IF(BA$6="Participation 2023",MATCH("__Participation 2023",INDIRECT("'"&amp;$C41&amp;"'!1:1"),0),IF(BA$6="Participation",MATCH("_Total Plan Summary _Participation",INDIRECT("'"&amp;$C41&amp;"'!1:1"),0),MATCH(BA$4&amp;"_"&amp;BA$5&amp;"_"&amp;BA$6,INDIRECT("'"&amp;$C41&amp;"'!1:1"),0))),0)</f>
        <v>0</v>
      </c>
      <c r="BB41" s="652">
        <f t="shared" ca="1" si="19"/>
        <v>0</v>
      </c>
      <c r="BC41" s="652">
        <f t="shared" ca="1" si="19"/>
        <v>0</v>
      </c>
      <c r="BD41" s="652">
        <f t="shared" ca="1" si="6"/>
        <v>2923.2</v>
      </c>
      <c r="BE41" s="652">
        <f t="shared" ca="1" si="19"/>
        <v>0</v>
      </c>
      <c r="BF41" s="652">
        <f t="shared" ca="1" si="19"/>
        <v>0</v>
      </c>
      <c r="BG41" s="652">
        <f t="shared" ca="1" si="19"/>
        <v>350784</v>
      </c>
      <c r="BH41" s="652">
        <f t="shared" ca="1" si="19"/>
        <v>0</v>
      </c>
      <c r="BI41" s="652">
        <f t="shared" ca="1" si="19"/>
        <v>0</v>
      </c>
      <c r="BJ41" s="652">
        <f t="shared" ca="1" si="19"/>
        <v>438.24626865671644</v>
      </c>
      <c r="BK41" s="652">
        <f t="shared" ca="1" si="19"/>
        <v>0</v>
      </c>
    </row>
    <row r="42" spans="1:63">
      <c r="A42" s="526"/>
      <c r="B42" s="661">
        <v>5</v>
      </c>
      <c r="C42" s="662" t="s">
        <v>62</v>
      </c>
      <c r="D42" s="660" t="str">
        <f t="shared" ca="1" si="17"/>
        <v>Marketplace - Cooling</v>
      </c>
      <c r="E42" s="660" t="str">
        <f t="shared" ca="1" si="17"/>
        <v>This product targets customers who had their smart thermostats from online marketplace and pays participants an incentive to curtail load during events</v>
      </c>
      <c r="F42" s="660" t="str">
        <f t="shared" ca="1" si="17"/>
        <v>Per Customer</v>
      </c>
      <c r="G42" s="652">
        <f t="shared" ca="1" si="18"/>
        <v>1045</v>
      </c>
      <c r="H42" s="652">
        <f t="shared" ca="1" si="18"/>
        <v>3135</v>
      </c>
      <c r="I42" s="652">
        <f t="shared" ca="1" si="18"/>
        <v>7015</v>
      </c>
      <c r="J42" s="652">
        <f t="shared" ca="1" si="18"/>
        <v>15075</v>
      </c>
      <c r="K42" s="652">
        <f t="shared" ca="1" si="18"/>
        <v>26875</v>
      </c>
      <c r="L42" s="652">
        <f t="shared" ca="1" si="18"/>
        <v>38675</v>
      </c>
      <c r="M42" s="652">
        <f t="shared" ca="1" si="18"/>
        <v>50475</v>
      </c>
      <c r="N42" s="652">
        <f t="shared" ca="1" si="18"/>
        <v>0</v>
      </c>
      <c r="O42" s="652">
        <f t="shared" ca="1" si="18"/>
        <v>0</v>
      </c>
      <c r="P42" s="652">
        <f t="shared" ca="1" si="18"/>
        <v>0</v>
      </c>
      <c r="Q42" s="652">
        <f t="shared" ca="1" si="18"/>
        <v>0</v>
      </c>
      <c r="R42" s="652">
        <f t="shared" ca="1" si="18"/>
        <v>0</v>
      </c>
      <c r="S42" s="652">
        <f t="shared" ca="1" si="18"/>
        <v>0</v>
      </c>
      <c r="T42" s="652">
        <f t="shared" ca="1" si="18"/>
        <v>0</v>
      </c>
      <c r="U42" s="652">
        <f t="shared" ca="1" si="18"/>
        <v>0</v>
      </c>
      <c r="V42" s="652">
        <f t="shared" ca="1" si="18"/>
        <v>0</v>
      </c>
      <c r="W42" s="652">
        <f t="shared" ca="1" si="18"/>
        <v>0</v>
      </c>
      <c r="X42" s="652">
        <f t="shared" ca="1" si="18"/>
        <v>0</v>
      </c>
      <c r="Y42" s="652">
        <f t="shared" ca="1" si="18"/>
        <v>0</v>
      </c>
      <c r="Z42" s="652">
        <f t="shared" ca="1" si="18"/>
        <v>0</v>
      </c>
      <c r="AA42" s="652">
        <f t="shared" ca="1" si="18"/>
        <v>0</v>
      </c>
      <c r="AB42" s="652">
        <f t="shared" ca="1" si="18"/>
        <v>188100</v>
      </c>
      <c r="AC42" s="652">
        <f t="shared" ca="1" si="18"/>
        <v>512050.00000000006</v>
      </c>
      <c r="AD42" s="652">
        <f t="shared" ca="1" si="18"/>
        <v>1105950</v>
      </c>
      <c r="AE42" s="652">
        <f t="shared" ca="1" si="18"/>
        <v>2362750</v>
      </c>
      <c r="AF42" s="652">
        <f t="shared" ca="1" si="18"/>
        <v>4083750.0000000005</v>
      </c>
      <c r="AG42" s="652">
        <f t="shared" ca="1" si="18"/>
        <v>5617750</v>
      </c>
      <c r="AH42" s="652">
        <f t="shared" ca="1" si="18"/>
        <v>7151749.9999999991</v>
      </c>
      <c r="AI42" s="652">
        <f t="shared" ca="1" si="18"/>
        <v>0</v>
      </c>
      <c r="AJ42" s="652">
        <f t="shared" ca="1" si="18"/>
        <v>0</v>
      </c>
      <c r="AK42" s="652">
        <f t="shared" ca="1" si="18"/>
        <v>0</v>
      </c>
      <c r="AL42" s="652">
        <f t="shared" ca="1" si="18"/>
        <v>0</v>
      </c>
      <c r="AM42" s="652">
        <f t="shared" ca="1" si="18"/>
        <v>0</v>
      </c>
      <c r="AN42" s="652">
        <f t="shared" ca="1" si="18"/>
        <v>0</v>
      </c>
      <c r="AO42" s="652">
        <f t="shared" ca="1" si="18"/>
        <v>0</v>
      </c>
      <c r="AP42" s="652">
        <f t="shared" ca="1" si="18"/>
        <v>501.33262260127935</v>
      </c>
      <c r="AQ42" s="652">
        <f t="shared" ca="1" si="18"/>
        <v>1503.9978678038381</v>
      </c>
      <c r="AR42" s="652">
        <f t="shared" ref="AR42:AZ75" ca="1" si="21">VLOOKUP($B42,INDIRECT("'"&amp;$C42&amp;"'!A6:FR1000"),IF(AR$6="Participation 2023",MATCH("__Participation 2023",INDIRECT("'"&amp;$C42&amp;"'!1:1"),0),IF(AR$6="Participation",MATCH("_Total Plan Summary _Participation",INDIRECT("'"&amp;$C42&amp;"'!1:1"),0),MATCH(AR$4&amp;"_"&amp;AR$5&amp;"_"&amp;AR$6,INDIRECT("'"&amp;$C42&amp;"'!1:1"),0))),0)</f>
        <v>3365.4051172707891</v>
      </c>
      <c r="AS42" s="652">
        <f t="shared" ca="1" si="21"/>
        <v>7232.1428571428578</v>
      </c>
      <c r="AT42" s="652">
        <f t="shared" ca="1" si="21"/>
        <v>12893.1236673774</v>
      </c>
      <c r="AU42" s="652">
        <f t="shared" ca="1" si="21"/>
        <v>18554.104477611942</v>
      </c>
      <c r="AV42" s="652">
        <f t="shared" ca="1" si="21"/>
        <v>24215.085287846483</v>
      </c>
      <c r="AW42" s="652">
        <f t="shared" ca="1" si="21"/>
        <v>0</v>
      </c>
      <c r="AX42" s="652">
        <f t="shared" ca="1" si="21"/>
        <v>0</v>
      </c>
      <c r="AY42" s="652">
        <f t="shared" ca="1" si="21"/>
        <v>0</v>
      </c>
      <c r="AZ42" s="652">
        <f t="shared" ca="1" si="21"/>
        <v>0</v>
      </c>
      <c r="BA42" s="652">
        <f t="shared" ca="1" si="20"/>
        <v>0</v>
      </c>
      <c r="BB42" s="652">
        <f t="shared" ca="1" si="19"/>
        <v>0</v>
      </c>
      <c r="BC42" s="652">
        <f t="shared" ca="1" si="19"/>
        <v>0</v>
      </c>
      <c r="BD42" s="652">
        <f t="shared" ca="1" si="6"/>
        <v>142295</v>
      </c>
      <c r="BE42" s="652">
        <f t="shared" ca="1" si="19"/>
        <v>0</v>
      </c>
      <c r="BF42" s="652">
        <f t="shared" ca="1" si="19"/>
        <v>0</v>
      </c>
      <c r="BG42" s="652">
        <f t="shared" ca="1" si="19"/>
        <v>21022100</v>
      </c>
      <c r="BH42" s="652">
        <f t="shared" ca="1" si="19"/>
        <v>5122620</v>
      </c>
      <c r="BI42" s="652">
        <f t="shared" ca="1" si="19"/>
        <v>0</v>
      </c>
      <c r="BJ42" s="652">
        <f t="shared" ca="1" si="19"/>
        <v>24215.085287846483</v>
      </c>
      <c r="BK42" s="652">
        <f t="shared" ca="1" si="19"/>
        <v>0</v>
      </c>
    </row>
    <row r="43" spans="1:63">
      <c r="A43" s="526"/>
      <c r="B43" s="661">
        <v>6</v>
      </c>
      <c r="C43" s="662" t="s">
        <v>62</v>
      </c>
      <c r="D43" s="660" t="str">
        <f t="shared" ca="1" si="17"/>
        <v>Marketplace - Heating</v>
      </c>
      <c r="E43" s="660" t="str">
        <f t="shared" ca="1" si="17"/>
        <v>This product targets customers who had their smart thermostats from online marketplace and pays participants an incentive to curtail load during events</v>
      </c>
      <c r="F43" s="660" t="str">
        <f t="shared" ca="1" si="17"/>
        <v>Per Customer</v>
      </c>
      <c r="G43" s="652">
        <f t="shared" ref="G43:T59" ca="1" si="22">VLOOKUP($B43,INDIRECT("'"&amp;$C43&amp;"'!A6:FR1000"),IF(G$6="Participation 2023",MATCH("__Participation 2023",INDIRECT("'"&amp;$C43&amp;"'!1:1"),0),IF(G$6="Participation",MATCH("_Total Plan Summary _Participation",INDIRECT("'"&amp;$C43&amp;"'!1:1"),0),MATCH(G$4&amp;"_"&amp;G$5&amp;"_"&amp;G$6,INDIRECT("'"&amp;$C43&amp;"'!1:1"),0))),0)</f>
        <v>209</v>
      </c>
      <c r="H43" s="652">
        <f t="shared" ca="1" si="22"/>
        <v>627</v>
      </c>
      <c r="I43" s="652">
        <f t="shared" ca="1" si="22"/>
        <v>1463</v>
      </c>
      <c r="J43" s="652">
        <f t="shared" ca="1" si="22"/>
        <v>3135</v>
      </c>
      <c r="K43" s="652">
        <f t="shared" ca="1" si="22"/>
        <v>5535</v>
      </c>
      <c r="L43" s="652">
        <f t="shared" ca="1" si="22"/>
        <v>7935</v>
      </c>
      <c r="M43" s="652">
        <f t="shared" ca="1" si="22"/>
        <v>10335</v>
      </c>
      <c r="N43" s="652">
        <f t="shared" ca="1" si="22"/>
        <v>0</v>
      </c>
      <c r="O43" s="652">
        <f t="shared" ca="1" si="22"/>
        <v>0</v>
      </c>
      <c r="P43" s="652">
        <f t="shared" ca="1" si="22"/>
        <v>0</v>
      </c>
      <c r="Q43" s="652">
        <f t="shared" ca="1" si="22"/>
        <v>0</v>
      </c>
      <c r="R43" s="652">
        <f t="shared" ca="1" si="22"/>
        <v>0</v>
      </c>
      <c r="S43" s="652">
        <f t="shared" ca="1" si="22"/>
        <v>0</v>
      </c>
      <c r="T43" s="652">
        <f t="shared" ca="1" si="22"/>
        <v>0</v>
      </c>
      <c r="U43" s="652">
        <f t="shared" ref="U43:AH59" ca="1" si="23">VLOOKUP($B43,INDIRECT("'"&amp;$C43&amp;"'!A6:FR1000"),IF(U$6="Participation 2023",MATCH("__Participation 2023",INDIRECT("'"&amp;$C43&amp;"'!1:1"),0),IF(U$6="Participation",MATCH("_Total Plan Summary _Participation",INDIRECT("'"&amp;$C43&amp;"'!1:1"),0),MATCH(U$4&amp;"_"&amp;U$5&amp;"_"&amp;U$6,INDIRECT("'"&amp;$C43&amp;"'!1:1"),0))),0)</f>
        <v>0</v>
      </c>
      <c r="V43" s="652">
        <f t="shared" ca="1" si="23"/>
        <v>0</v>
      </c>
      <c r="W43" s="652">
        <f t="shared" ca="1" si="23"/>
        <v>0</v>
      </c>
      <c r="X43" s="652">
        <f t="shared" ca="1" si="23"/>
        <v>0</v>
      </c>
      <c r="Y43" s="652">
        <f t="shared" ca="1" si="23"/>
        <v>0</v>
      </c>
      <c r="Z43" s="652">
        <f t="shared" ca="1" si="23"/>
        <v>0</v>
      </c>
      <c r="AA43" s="652">
        <f t="shared" ca="1" si="23"/>
        <v>0</v>
      </c>
      <c r="AB43" s="652">
        <f t="shared" ca="1" si="23"/>
        <v>25080</v>
      </c>
      <c r="AC43" s="652">
        <f t="shared" ca="1" si="23"/>
        <v>75240</v>
      </c>
      <c r="AD43" s="652">
        <f t="shared" ca="1" si="23"/>
        <v>175560</v>
      </c>
      <c r="AE43" s="652">
        <f t="shared" ca="1" si="23"/>
        <v>376200</v>
      </c>
      <c r="AF43" s="652">
        <f t="shared" ca="1" si="23"/>
        <v>664200</v>
      </c>
      <c r="AG43" s="652">
        <f t="shared" ca="1" si="23"/>
        <v>952200</v>
      </c>
      <c r="AH43" s="652">
        <f t="shared" ca="1" si="23"/>
        <v>1240200</v>
      </c>
      <c r="AI43" s="652">
        <f t="shared" ref="AI43:AV59" ca="1" si="24">VLOOKUP($B43,INDIRECT("'"&amp;$C43&amp;"'!A6:FR1000"),IF(AI$6="Participation 2023",MATCH("__Participation 2023",INDIRECT("'"&amp;$C43&amp;"'!1:1"),0),IF(AI$6="Participation",MATCH("_Total Plan Summary _Participation",INDIRECT("'"&amp;$C43&amp;"'!1:1"),0),MATCH(AI$4&amp;"_"&amp;AI$5&amp;"_"&amp;AI$6,INDIRECT("'"&amp;$C43&amp;"'!1:1"),0))),0)</f>
        <v>0</v>
      </c>
      <c r="AJ43" s="652">
        <f t="shared" ca="1" si="24"/>
        <v>0</v>
      </c>
      <c r="AK43" s="652">
        <f t="shared" ca="1" si="24"/>
        <v>0</v>
      </c>
      <c r="AL43" s="652">
        <f t="shared" ca="1" si="24"/>
        <v>0</v>
      </c>
      <c r="AM43" s="652">
        <f t="shared" ca="1" si="24"/>
        <v>0</v>
      </c>
      <c r="AN43" s="652">
        <f t="shared" ca="1" si="24"/>
        <v>0</v>
      </c>
      <c r="AO43" s="652">
        <f t="shared" ca="1" si="24"/>
        <v>0</v>
      </c>
      <c r="AP43" s="652">
        <f t="shared" ca="1" si="24"/>
        <v>125.33315565031984</v>
      </c>
      <c r="AQ43" s="652">
        <f t="shared" ca="1" si="24"/>
        <v>375.99946695095952</v>
      </c>
      <c r="AR43" s="652">
        <f t="shared" ca="1" si="24"/>
        <v>877.33208955223881</v>
      </c>
      <c r="AS43" s="652">
        <f t="shared" ca="1" si="24"/>
        <v>1879.9973347547975</v>
      </c>
      <c r="AT43" s="652">
        <f t="shared" ca="1" si="24"/>
        <v>3319.2297441364608</v>
      </c>
      <c r="AU43" s="652">
        <f t="shared" ca="1" si="24"/>
        <v>4758.4621535181241</v>
      </c>
      <c r="AV43" s="652">
        <f t="shared" ca="1" si="24"/>
        <v>6197.6945628997873</v>
      </c>
      <c r="AW43" s="652">
        <f t="shared" ca="1" si="21"/>
        <v>0</v>
      </c>
      <c r="AX43" s="652">
        <f t="shared" ca="1" si="21"/>
        <v>0</v>
      </c>
      <c r="AY43" s="652">
        <f t="shared" ca="1" si="21"/>
        <v>0</v>
      </c>
      <c r="AZ43" s="652">
        <f t="shared" ca="1" si="21"/>
        <v>0</v>
      </c>
      <c r="BA43" s="652">
        <f t="shared" ca="1" si="20"/>
        <v>0</v>
      </c>
      <c r="BB43" s="652">
        <f t="shared" ca="1" si="19"/>
        <v>0</v>
      </c>
      <c r="BC43" s="652">
        <f t="shared" ca="1" si="19"/>
        <v>0</v>
      </c>
      <c r="BD43" s="652">
        <f t="shared" ca="1" si="6"/>
        <v>29239</v>
      </c>
      <c r="BE43" s="652">
        <f t="shared" ca="1" si="19"/>
        <v>0</v>
      </c>
      <c r="BF43" s="652">
        <f t="shared" ca="1" si="19"/>
        <v>0</v>
      </c>
      <c r="BG43" s="652">
        <f t="shared" ca="1" si="19"/>
        <v>3508680</v>
      </c>
      <c r="BH43" s="652">
        <f t="shared" ca="1" si="19"/>
        <v>0</v>
      </c>
      <c r="BI43" s="652">
        <f t="shared" ca="1" si="19"/>
        <v>0</v>
      </c>
      <c r="BJ43" s="652">
        <f t="shared" ca="1" si="19"/>
        <v>6197.6945628997873</v>
      </c>
      <c r="BK43" s="652">
        <f t="shared" ca="1" si="19"/>
        <v>0</v>
      </c>
    </row>
    <row r="44" spans="1:63">
      <c r="A44" s="526"/>
      <c r="B44" s="661">
        <v>7</v>
      </c>
      <c r="C44" s="662" t="s">
        <v>62</v>
      </c>
      <c r="D44" s="660" t="str">
        <f t="shared" ca="1" si="17"/>
        <v>Small NonRes - Cooling</v>
      </c>
      <c r="E44" s="660" t="str">
        <f t="shared" ca="1" si="17"/>
        <v>This product targets small non-residential customers with smart thermostats and pays participants an incentive to curtail load during events</v>
      </c>
      <c r="F44" s="660" t="str">
        <f t="shared" ca="1" si="17"/>
        <v>Per Customer</v>
      </c>
      <c r="G44" s="652">
        <f t="shared" ca="1" si="22"/>
        <v>0</v>
      </c>
      <c r="H44" s="652">
        <f t="shared" ca="1" si="22"/>
        <v>0</v>
      </c>
      <c r="I44" s="652">
        <f t="shared" ca="1" si="22"/>
        <v>300</v>
      </c>
      <c r="J44" s="652">
        <f t="shared" ca="1" si="22"/>
        <v>600</v>
      </c>
      <c r="K44" s="652">
        <f t="shared" ca="1" si="22"/>
        <v>800</v>
      </c>
      <c r="L44" s="652">
        <f t="shared" ca="1" si="22"/>
        <v>1000</v>
      </c>
      <c r="M44" s="652">
        <f t="shared" ca="1" si="22"/>
        <v>1200</v>
      </c>
      <c r="N44" s="652">
        <f t="shared" ca="1" si="22"/>
        <v>0</v>
      </c>
      <c r="O44" s="652">
        <f t="shared" ca="1" si="22"/>
        <v>0</v>
      </c>
      <c r="P44" s="652">
        <f t="shared" ca="1" si="22"/>
        <v>0</v>
      </c>
      <c r="Q44" s="652">
        <f t="shared" ca="1" si="22"/>
        <v>0</v>
      </c>
      <c r="R44" s="652">
        <f t="shared" ca="1" si="22"/>
        <v>0</v>
      </c>
      <c r="S44" s="652">
        <f t="shared" ca="1" si="22"/>
        <v>0</v>
      </c>
      <c r="T44" s="652">
        <f t="shared" ca="1" si="22"/>
        <v>0</v>
      </c>
      <c r="U44" s="652">
        <f t="shared" ca="1" si="23"/>
        <v>0</v>
      </c>
      <c r="V44" s="652">
        <f t="shared" ca="1" si="23"/>
        <v>0</v>
      </c>
      <c r="W44" s="652">
        <f t="shared" ca="1" si="23"/>
        <v>0</v>
      </c>
      <c r="X44" s="652">
        <f t="shared" ca="1" si="23"/>
        <v>0</v>
      </c>
      <c r="Y44" s="652">
        <f t="shared" ca="1" si="23"/>
        <v>0</v>
      </c>
      <c r="Z44" s="652">
        <f t="shared" ca="1" si="23"/>
        <v>0</v>
      </c>
      <c r="AA44" s="652">
        <f t="shared" ca="1" si="23"/>
        <v>0</v>
      </c>
      <c r="AB44" s="652">
        <f t="shared" ca="1" si="23"/>
        <v>0</v>
      </c>
      <c r="AC44" s="652">
        <f t="shared" ca="1" si="23"/>
        <v>0</v>
      </c>
      <c r="AD44" s="652">
        <f t="shared" ca="1" si="23"/>
        <v>90000</v>
      </c>
      <c r="AE44" s="652">
        <f t="shared" ca="1" si="23"/>
        <v>165000</v>
      </c>
      <c r="AF44" s="652">
        <f t="shared" ca="1" si="23"/>
        <v>210000</v>
      </c>
      <c r="AG44" s="652">
        <f t="shared" ca="1" si="23"/>
        <v>260000</v>
      </c>
      <c r="AH44" s="652">
        <f t="shared" ca="1" si="23"/>
        <v>310000</v>
      </c>
      <c r="AI44" s="652">
        <f t="shared" ca="1" si="24"/>
        <v>0</v>
      </c>
      <c r="AJ44" s="652">
        <f t="shared" ca="1" si="24"/>
        <v>0</v>
      </c>
      <c r="AK44" s="652">
        <f t="shared" ca="1" si="24"/>
        <v>0</v>
      </c>
      <c r="AL44" s="652">
        <f t="shared" ca="1" si="24"/>
        <v>0</v>
      </c>
      <c r="AM44" s="652">
        <f t="shared" ca="1" si="24"/>
        <v>0</v>
      </c>
      <c r="AN44" s="652">
        <f t="shared" ca="1" si="24"/>
        <v>0</v>
      </c>
      <c r="AO44" s="652">
        <f t="shared" ca="1" si="24"/>
        <v>0</v>
      </c>
      <c r="AP44" s="652">
        <f t="shared" ca="1" si="24"/>
        <v>0</v>
      </c>
      <c r="AQ44" s="652">
        <f t="shared" ca="1" si="24"/>
        <v>0</v>
      </c>
      <c r="AR44" s="652">
        <f t="shared" ca="1" si="24"/>
        <v>477</v>
      </c>
      <c r="AS44" s="652">
        <f t="shared" ca="1" si="24"/>
        <v>954</v>
      </c>
      <c r="AT44" s="652">
        <f t="shared" ca="1" si="24"/>
        <v>1272</v>
      </c>
      <c r="AU44" s="652">
        <f t="shared" ca="1" si="24"/>
        <v>1590</v>
      </c>
      <c r="AV44" s="652">
        <f t="shared" ca="1" si="24"/>
        <v>1908</v>
      </c>
      <c r="AW44" s="652">
        <f t="shared" ca="1" si="21"/>
        <v>0</v>
      </c>
      <c r="AX44" s="652">
        <f t="shared" ca="1" si="21"/>
        <v>0</v>
      </c>
      <c r="AY44" s="652">
        <f t="shared" ca="1" si="21"/>
        <v>0</v>
      </c>
      <c r="AZ44" s="652">
        <f t="shared" ca="1" si="21"/>
        <v>0</v>
      </c>
      <c r="BA44" s="652">
        <f t="shared" ca="1" si="20"/>
        <v>0</v>
      </c>
      <c r="BB44" s="652">
        <f t="shared" ca="1" si="19"/>
        <v>0</v>
      </c>
      <c r="BC44" s="652">
        <f t="shared" ca="1" si="19"/>
        <v>0</v>
      </c>
      <c r="BD44" s="652">
        <f t="shared" ca="1" si="6"/>
        <v>3900</v>
      </c>
      <c r="BE44" s="652">
        <f t="shared" ca="1" si="19"/>
        <v>0</v>
      </c>
      <c r="BF44" s="652">
        <f t="shared" ca="1" si="19"/>
        <v>0</v>
      </c>
      <c r="BG44" s="652">
        <f t="shared" ca="1" si="19"/>
        <v>1035000</v>
      </c>
      <c r="BH44" s="652">
        <f t="shared" ca="1" si="19"/>
        <v>140400</v>
      </c>
      <c r="BI44" s="652">
        <f t="shared" ca="1" si="19"/>
        <v>0</v>
      </c>
      <c r="BJ44" s="652">
        <f t="shared" ca="1" si="19"/>
        <v>1908</v>
      </c>
      <c r="BK44" s="652">
        <f t="shared" ca="1" si="19"/>
        <v>0</v>
      </c>
    </row>
    <row r="45" spans="1:63">
      <c r="A45" s="526"/>
      <c r="B45" s="661">
        <v>8</v>
      </c>
      <c r="C45" s="662" t="s">
        <v>62</v>
      </c>
      <c r="D45" s="660" t="str">
        <f t="shared" ca="1" si="17"/>
        <v>Residential - BYOD - Room A/C - Summer</v>
      </c>
      <c r="E45" s="660" t="str">
        <f t="shared" ca="1" si="17"/>
        <v>This product targets customers with grid connected room A/Cs and pays participants an incentive to curtail load during events</v>
      </c>
      <c r="F45" s="660" t="str">
        <f t="shared" ca="1" si="17"/>
        <v>Per Customer</v>
      </c>
      <c r="G45" s="652">
        <f t="shared" ca="1" si="22"/>
        <v>0</v>
      </c>
      <c r="H45" s="652">
        <f t="shared" ca="1" si="22"/>
        <v>0</v>
      </c>
      <c r="I45" s="652">
        <f t="shared" ca="1" si="22"/>
        <v>10</v>
      </c>
      <c r="J45" s="652">
        <f t="shared" ca="1" si="22"/>
        <v>15</v>
      </c>
      <c r="K45" s="652">
        <f t="shared" ca="1" si="22"/>
        <v>22.5</v>
      </c>
      <c r="L45" s="652">
        <f t="shared" ca="1" si="22"/>
        <v>33.75</v>
      </c>
      <c r="M45" s="652">
        <f t="shared" ca="1" si="22"/>
        <v>50.625</v>
      </c>
      <c r="N45" s="652">
        <f t="shared" ca="1" si="22"/>
        <v>0</v>
      </c>
      <c r="O45" s="652">
        <f t="shared" ca="1" si="22"/>
        <v>0</v>
      </c>
      <c r="P45" s="652">
        <f t="shared" ca="1" si="22"/>
        <v>0</v>
      </c>
      <c r="Q45" s="652">
        <f t="shared" ca="1" si="22"/>
        <v>0</v>
      </c>
      <c r="R45" s="652">
        <f t="shared" ca="1" si="22"/>
        <v>0</v>
      </c>
      <c r="S45" s="652">
        <f t="shared" ca="1" si="22"/>
        <v>0</v>
      </c>
      <c r="T45" s="652">
        <f t="shared" ca="1" si="22"/>
        <v>0</v>
      </c>
      <c r="U45" s="652">
        <f t="shared" ca="1" si="23"/>
        <v>0</v>
      </c>
      <c r="V45" s="652">
        <f t="shared" ca="1" si="23"/>
        <v>0</v>
      </c>
      <c r="W45" s="652">
        <f t="shared" ca="1" si="23"/>
        <v>0</v>
      </c>
      <c r="X45" s="652">
        <f t="shared" ca="1" si="23"/>
        <v>0</v>
      </c>
      <c r="Y45" s="652">
        <f t="shared" ca="1" si="23"/>
        <v>0</v>
      </c>
      <c r="Z45" s="652">
        <f t="shared" ca="1" si="23"/>
        <v>0</v>
      </c>
      <c r="AA45" s="652">
        <f t="shared" ca="1" si="23"/>
        <v>0</v>
      </c>
      <c r="AB45" s="652">
        <f t="shared" ca="1" si="23"/>
        <v>0</v>
      </c>
      <c r="AC45" s="652">
        <f t="shared" ca="1" si="23"/>
        <v>0</v>
      </c>
      <c r="AD45" s="652">
        <f t="shared" ca="1" si="23"/>
        <v>3000</v>
      </c>
      <c r="AE45" s="652">
        <f t="shared" ca="1" si="23"/>
        <v>4000.0000000000005</v>
      </c>
      <c r="AF45" s="652">
        <f t="shared" ca="1" si="23"/>
        <v>6000</v>
      </c>
      <c r="AG45" s="652">
        <f t="shared" ca="1" si="23"/>
        <v>9000</v>
      </c>
      <c r="AH45" s="652">
        <f t="shared" ca="1" si="23"/>
        <v>13500.000000000002</v>
      </c>
      <c r="AI45" s="652">
        <f t="shared" ca="1" si="24"/>
        <v>0</v>
      </c>
      <c r="AJ45" s="652">
        <f t="shared" ca="1" si="24"/>
        <v>0</v>
      </c>
      <c r="AK45" s="652">
        <f t="shared" ca="1" si="24"/>
        <v>0</v>
      </c>
      <c r="AL45" s="652">
        <f t="shared" ca="1" si="24"/>
        <v>0</v>
      </c>
      <c r="AM45" s="652">
        <f t="shared" ca="1" si="24"/>
        <v>0</v>
      </c>
      <c r="AN45" s="652">
        <f t="shared" ca="1" si="24"/>
        <v>0</v>
      </c>
      <c r="AO45" s="652">
        <f t="shared" ca="1" si="24"/>
        <v>0</v>
      </c>
      <c r="AP45" s="652">
        <f t="shared" ca="1" si="24"/>
        <v>0</v>
      </c>
      <c r="AQ45" s="652">
        <f t="shared" ca="1" si="24"/>
        <v>0</v>
      </c>
      <c r="AR45" s="652">
        <f t="shared" ca="1" si="24"/>
        <v>5</v>
      </c>
      <c r="AS45" s="652">
        <f t="shared" ca="1" si="24"/>
        <v>7.5</v>
      </c>
      <c r="AT45" s="652">
        <f t="shared" ca="1" si="24"/>
        <v>11.25</v>
      </c>
      <c r="AU45" s="652">
        <f t="shared" ca="1" si="24"/>
        <v>16.875</v>
      </c>
      <c r="AV45" s="652">
        <f t="shared" ca="1" si="24"/>
        <v>25.3125</v>
      </c>
      <c r="AW45" s="652">
        <f t="shared" ca="1" si="21"/>
        <v>0</v>
      </c>
      <c r="AX45" s="652">
        <f t="shared" ca="1" si="21"/>
        <v>0</v>
      </c>
      <c r="AY45" s="652">
        <f t="shared" ca="1" si="21"/>
        <v>0</v>
      </c>
      <c r="AZ45" s="652">
        <f t="shared" ca="1" si="21"/>
        <v>0</v>
      </c>
      <c r="BA45" s="652">
        <f t="shared" ca="1" si="20"/>
        <v>0</v>
      </c>
      <c r="BB45" s="652">
        <f t="shared" ca="1" si="19"/>
        <v>0</v>
      </c>
      <c r="BC45" s="652">
        <f t="shared" ca="1" si="19"/>
        <v>0</v>
      </c>
      <c r="BD45" s="652">
        <f t="shared" ca="1" si="6"/>
        <v>131.875</v>
      </c>
      <c r="BE45" s="652">
        <f t="shared" ca="1" si="19"/>
        <v>0</v>
      </c>
      <c r="BF45" s="652">
        <f t="shared" ca="1" si="19"/>
        <v>0</v>
      </c>
      <c r="BG45" s="652">
        <f t="shared" ca="1" si="19"/>
        <v>35500</v>
      </c>
      <c r="BH45" s="652">
        <f t="shared" ca="1" si="19"/>
        <v>4747.5</v>
      </c>
      <c r="BI45" s="652">
        <f t="shared" ca="1" si="19"/>
        <v>0</v>
      </c>
      <c r="BJ45" s="652">
        <f t="shared" ca="1" si="19"/>
        <v>25.3125</v>
      </c>
      <c r="BK45" s="652">
        <f t="shared" ca="1" si="19"/>
        <v>0</v>
      </c>
    </row>
    <row r="46" spans="1:63">
      <c r="A46" s="526"/>
      <c r="B46" s="661">
        <v>9</v>
      </c>
      <c r="C46" s="662" t="s">
        <v>62</v>
      </c>
      <c r="D46" s="660" t="str">
        <f t="shared" ca="1" si="17"/>
        <v>Residential - BYOD - Water Heating</v>
      </c>
      <c r="E46" s="660" t="str">
        <f t="shared" ca="1" si="17"/>
        <v>This product targets customers with grid connected water heaters and pays participants an incentive to curtail load during events</v>
      </c>
      <c r="F46" s="660" t="str">
        <f t="shared" ca="1" si="17"/>
        <v>Per Customer</v>
      </c>
      <c r="G46" s="652">
        <f t="shared" ca="1" si="22"/>
        <v>0</v>
      </c>
      <c r="H46" s="652">
        <f t="shared" ca="1" si="22"/>
        <v>0</v>
      </c>
      <c r="I46" s="652">
        <f t="shared" ca="1" si="22"/>
        <v>10</v>
      </c>
      <c r="J46" s="652">
        <f t="shared" ca="1" si="22"/>
        <v>15</v>
      </c>
      <c r="K46" s="652">
        <f t="shared" ca="1" si="22"/>
        <v>22.5</v>
      </c>
      <c r="L46" s="652">
        <f t="shared" ca="1" si="22"/>
        <v>33.75</v>
      </c>
      <c r="M46" s="652">
        <f t="shared" ca="1" si="22"/>
        <v>50.625</v>
      </c>
      <c r="N46" s="652">
        <f t="shared" ca="1" si="22"/>
        <v>0</v>
      </c>
      <c r="O46" s="652">
        <f t="shared" ca="1" si="22"/>
        <v>0</v>
      </c>
      <c r="P46" s="652">
        <f t="shared" ca="1" si="22"/>
        <v>0</v>
      </c>
      <c r="Q46" s="652">
        <f t="shared" ca="1" si="22"/>
        <v>0</v>
      </c>
      <c r="R46" s="652">
        <f t="shared" ca="1" si="22"/>
        <v>0</v>
      </c>
      <c r="S46" s="652">
        <f t="shared" ca="1" si="22"/>
        <v>0</v>
      </c>
      <c r="T46" s="652">
        <f t="shared" ca="1" si="22"/>
        <v>0</v>
      </c>
      <c r="U46" s="652">
        <f t="shared" ca="1" si="23"/>
        <v>0</v>
      </c>
      <c r="V46" s="652">
        <f t="shared" ca="1" si="23"/>
        <v>0</v>
      </c>
      <c r="W46" s="652">
        <f t="shared" ca="1" si="23"/>
        <v>0</v>
      </c>
      <c r="X46" s="652">
        <f t="shared" ca="1" si="23"/>
        <v>0</v>
      </c>
      <c r="Y46" s="652">
        <f t="shared" ca="1" si="23"/>
        <v>0</v>
      </c>
      <c r="Z46" s="652">
        <f t="shared" ca="1" si="23"/>
        <v>0</v>
      </c>
      <c r="AA46" s="652">
        <f t="shared" ca="1" si="23"/>
        <v>0</v>
      </c>
      <c r="AB46" s="652">
        <f t="shared" ca="1" si="23"/>
        <v>0</v>
      </c>
      <c r="AC46" s="652">
        <f t="shared" ca="1" si="23"/>
        <v>0</v>
      </c>
      <c r="AD46" s="652">
        <f t="shared" ca="1" si="23"/>
        <v>1750</v>
      </c>
      <c r="AE46" s="652">
        <f t="shared" ca="1" si="23"/>
        <v>2125</v>
      </c>
      <c r="AF46" s="652">
        <f t="shared" ca="1" si="23"/>
        <v>3187.5</v>
      </c>
      <c r="AG46" s="652">
        <f t="shared" ca="1" si="23"/>
        <v>4781.25</v>
      </c>
      <c r="AH46" s="652">
        <f t="shared" ca="1" si="23"/>
        <v>7171.8749999999991</v>
      </c>
      <c r="AI46" s="652">
        <f t="shared" ca="1" si="24"/>
        <v>0</v>
      </c>
      <c r="AJ46" s="652">
        <f t="shared" ca="1" si="24"/>
        <v>0</v>
      </c>
      <c r="AK46" s="652">
        <f t="shared" ca="1" si="24"/>
        <v>0</v>
      </c>
      <c r="AL46" s="652">
        <f t="shared" ca="1" si="24"/>
        <v>0</v>
      </c>
      <c r="AM46" s="652">
        <f t="shared" ca="1" si="24"/>
        <v>0</v>
      </c>
      <c r="AN46" s="652">
        <f t="shared" ca="1" si="24"/>
        <v>0</v>
      </c>
      <c r="AO46" s="652">
        <f t="shared" ca="1" si="24"/>
        <v>0</v>
      </c>
      <c r="AP46" s="652">
        <f t="shared" ca="1" si="24"/>
        <v>0</v>
      </c>
      <c r="AQ46" s="652">
        <f t="shared" ca="1" si="24"/>
        <v>0</v>
      </c>
      <c r="AR46" s="652">
        <f t="shared" ca="1" si="24"/>
        <v>5</v>
      </c>
      <c r="AS46" s="652">
        <f t="shared" ca="1" si="24"/>
        <v>7.5</v>
      </c>
      <c r="AT46" s="652">
        <f t="shared" ca="1" si="24"/>
        <v>11.25</v>
      </c>
      <c r="AU46" s="652">
        <f t="shared" ca="1" si="24"/>
        <v>16.875</v>
      </c>
      <c r="AV46" s="652">
        <f t="shared" ca="1" si="24"/>
        <v>25.3125</v>
      </c>
      <c r="AW46" s="652">
        <f t="shared" ca="1" si="21"/>
        <v>0</v>
      </c>
      <c r="AX46" s="652">
        <f t="shared" ca="1" si="21"/>
        <v>0</v>
      </c>
      <c r="AY46" s="652">
        <f t="shared" ca="1" si="21"/>
        <v>0</v>
      </c>
      <c r="AZ46" s="652">
        <f t="shared" ca="1" si="21"/>
        <v>0</v>
      </c>
      <c r="BA46" s="652">
        <f t="shared" ca="1" si="20"/>
        <v>0</v>
      </c>
      <c r="BB46" s="652">
        <f t="shared" ca="1" si="19"/>
        <v>0</v>
      </c>
      <c r="BC46" s="652">
        <f t="shared" ca="1" si="19"/>
        <v>0</v>
      </c>
      <c r="BD46" s="652">
        <f t="shared" ref="BD46" ca="1" si="25">SUM(G46:M46)</f>
        <v>131.875</v>
      </c>
      <c r="BE46" s="652">
        <f t="shared" ca="1" si="19"/>
        <v>0</v>
      </c>
      <c r="BF46" s="652">
        <f t="shared" ca="1" si="19"/>
        <v>0</v>
      </c>
      <c r="BG46" s="652">
        <f t="shared" ca="1" si="19"/>
        <v>19015.625</v>
      </c>
      <c r="BH46" s="652">
        <f t="shared" ca="1" si="19"/>
        <v>4747.5</v>
      </c>
      <c r="BI46" s="652">
        <f t="shared" ca="1" si="19"/>
        <v>0</v>
      </c>
      <c r="BJ46" s="652">
        <f t="shared" ca="1" si="19"/>
        <v>25.3125</v>
      </c>
      <c r="BK46" s="652">
        <f t="shared" ca="1" si="19"/>
        <v>0</v>
      </c>
    </row>
    <row r="47" spans="1:63">
      <c r="A47" s="526"/>
      <c r="B47" s="662">
        <v>1</v>
      </c>
      <c r="C47" s="662" t="s">
        <v>63</v>
      </c>
      <c r="D47" s="660" t="str">
        <f t="shared" ca="1" si="17"/>
        <v>Commercial Energy Audit</v>
      </c>
      <c r="E47" s="660" t="str">
        <f t="shared" ca="1" si="17"/>
        <v>Audit</v>
      </c>
      <c r="F47" s="660" t="str">
        <f t="shared" ca="1" si="17"/>
        <v>Per Audit</v>
      </c>
      <c r="G47" s="652">
        <f t="shared" ca="1" si="22"/>
        <v>10</v>
      </c>
      <c r="H47" s="652">
        <f t="shared" ca="1" si="22"/>
        <v>10</v>
      </c>
      <c r="I47" s="652">
        <f t="shared" ca="1" si="22"/>
        <v>10</v>
      </c>
      <c r="J47" s="652">
        <f t="shared" ca="1" si="22"/>
        <v>10</v>
      </c>
      <c r="K47" s="652">
        <f t="shared" ca="1" si="22"/>
        <v>10</v>
      </c>
      <c r="L47" s="652">
        <f t="shared" ca="1" si="22"/>
        <v>10</v>
      </c>
      <c r="M47" s="652">
        <f t="shared" ca="1" si="22"/>
        <v>10</v>
      </c>
      <c r="N47" s="652">
        <f t="shared" ca="1" si="22"/>
        <v>120000</v>
      </c>
      <c r="O47" s="652">
        <f t="shared" ca="1" si="22"/>
        <v>120000</v>
      </c>
      <c r="P47" s="652">
        <f t="shared" ca="1" si="22"/>
        <v>120000</v>
      </c>
      <c r="Q47" s="652">
        <f t="shared" ca="1" si="22"/>
        <v>120000</v>
      </c>
      <c r="R47" s="652">
        <f t="shared" ca="1" si="22"/>
        <v>120000</v>
      </c>
      <c r="S47" s="652">
        <f t="shared" ca="1" si="22"/>
        <v>120000</v>
      </c>
      <c r="T47" s="652">
        <f t="shared" ca="1" si="22"/>
        <v>120000</v>
      </c>
      <c r="U47" s="652">
        <f t="shared" ca="1" si="23"/>
        <v>0</v>
      </c>
      <c r="V47" s="652">
        <f t="shared" ca="1" si="23"/>
        <v>0</v>
      </c>
      <c r="W47" s="652">
        <f t="shared" ca="1" si="23"/>
        <v>0</v>
      </c>
      <c r="X47" s="652">
        <f t="shared" ca="1" si="23"/>
        <v>0</v>
      </c>
      <c r="Y47" s="652">
        <f t="shared" ca="1" si="23"/>
        <v>0</v>
      </c>
      <c r="Z47" s="652">
        <f t="shared" ca="1" si="23"/>
        <v>0</v>
      </c>
      <c r="AA47" s="652">
        <f t="shared" ca="1" si="23"/>
        <v>0</v>
      </c>
      <c r="AB47" s="652">
        <f t="shared" ca="1" si="23"/>
        <v>30000</v>
      </c>
      <c r="AC47" s="652">
        <f t="shared" ca="1" si="23"/>
        <v>30000</v>
      </c>
      <c r="AD47" s="652">
        <f t="shared" ca="1" si="23"/>
        <v>30000</v>
      </c>
      <c r="AE47" s="652">
        <f t="shared" ca="1" si="23"/>
        <v>30000</v>
      </c>
      <c r="AF47" s="652">
        <f t="shared" ca="1" si="23"/>
        <v>30000</v>
      </c>
      <c r="AG47" s="652">
        <f t="shared" ca="1" si="23"/>
        <v>30000</v>
      </c>
      <c r="AH47" s="652">
        <f t="shared" ca="1" si="23"/>
        <v>30000</v>
      </c>
      <c r="AI47" s="652">
        <f t="shared" ca="1" si="24"/>
        <v>0</v>
      </c>
      <c r="AJ47" s="652">
        <f t="shared" ca="1" si="24"/>
        <v>0</v>
      </c>
      <c r="AK47" s="652">
        <f t="shared" ca="1" si="24"/>
        <v>0</v>
      </c>
      <c r="AL47" s="652">
        <f t="shared" ca="1" si="24"/>
        <v>0</v>
      </c>
      <c r="AM47" s="652">
        <f t="shared" ca="1" si="24"/>
        <v>0</v>
      </c>
      <c r="AN47" s="652">
        <f t="shared" ca="1" si="24"/>
        <v>0</v>
      </c>
      <c r="AO47" s="652">
        <f t="shared" ca="1" si="24"/>
        <v>0</v>
      </c>
      <c r="AP47" s="652">
        <f t="shared" ca="1" si="24"/>
        <v>0</v>
      </c>
      <c r="AQ47" s="652">
        <f t="shared" ca="1" si="24"/>
        <v>0</v>
      </c>
      <c r="AR47" s="652">
        <f t="shared" ca="1" si="24"/>
        <v>0</v>
      </c>
      <c r="AS47" s="652">
        <f t="shared" ca="1" si="24"/>
        <v>0</v>
      </c>
      <c r="AT47" s="652">
        <f t="shared" ca="1" si="24"/>
        <v>0</v>
      </c>
      <c r="AU47" s="652">
        <f t="shared" ca="1" si="24"/>
        <v>0</v>
      </c>
      <c r="AV47" s="652">
        <f t="shared" ca="1" si="24"/>
        <v>0</v>
      </c>
      <c r="AW47" s="652">
        <f t="shared" ca="1" si="21"/>
        <v>0</v>
      </c>
      <c r="AX47" s="652">
        <f t="shared" ca="1" si="21"/>
        <v>0</v>
      </c>
      <c r="AY47" s="652">
        <f t="shared" ca="1" si="21"/>
        <v>0</v>
      </c>
      <c r="AZ47" s="652">
        <f t="shared" ca="1" si="21"/>
        <v>0</v>
      </c>
      <c r="BA47" s="652">
        <f t="shared" ca="1" si="20"/>
        <v>0</v>
      </c>
      <c r="BB47" s="652">
        <f t="shared" ca="1" si="19"/>
        <v>0</v>
      </c>
      <c r="BC47" s="652">
        <f t="shared" ca="1" si="19"/>
        <v>0</v>
      </c>
      <c r="BD47" s="652">
        <f t="shared" ca="1" si="6"/>
        <v>70</v>
      </c>
      <c r="BE47" s="652">
        <f t="shared" ca="1" si="19"/>
        <v>840000</v>
      </c>
      <c r="BF47" s="652">
        <f t="shared" ca="1" si="19"/>
        <v>0</v>
      </c>
      <c r="BG47" s="652">
        <f t="shared" ca="1" si="19"/>
        <v>210000</v>
      </c>
      <c r="BH47" s="652">
        <f t="shared" ca="1" si="19"/>
        <v>0</v>
      </c>
      <c r="BI47" s="652">
        <f t="shared" ca="1" si="19"/>
        <v>0</v>
      </c>
      <c r="BJ47" s="652">
        <f t="shared" ca="1" si="19"/>
        <v>0</v>
      </c>
      <c r="BK47" s="652">
        <f t="shared" ca="1" si="19"/>
        <v>0</v>
      </c>
    </row>
    <row r="48" spans="1:63">
      <c r="A48" s="526"/>
      <c r="B48" s="662">
        <v>2</v>
      </c>
      <c r="C48" s="662" t="s">
        <v>63</v>
      </c>
      <c r="D48" s="660" t="str">
        <f t="shared" ca="1" si="17"/>
        <v xml:space="preserve">Air Cooled Chiller </v>
      </c>
      <c r="E48" s="660" t="str">
        <f t="shared" ca="1" si="17"/>
        <v>1.18 kW/ton full load (10.1 EER)</v>
      </c>
      <c r="F48" s="660" t="str">
        <f t="shared" ca="1" si="17"/>
        <v>Per Ton</v>
      </c>
      <c r="G48" s="652">
        <f t="shared" ca="1" si="22"/>
        <v>283</v>
      </c>
      <c r="H48" s="652">
        <f t="shared" ca="1" si="22"/>
        <v>283</v>
      </c>
      <c r="I48" s="652">
        <f t="shared" ca="1" si="22"/>
        <v>283</v>
      </c>
      <c r="J48" s="652">
        <f t="shared" ca="1" si="22"/>
        <v>283</v>
      </c>
      <c r="K48" s="652">
        <f t="shared" ca="1" si="22"/>
        <v>283</v>
      </c>
      <c r="L48" s="652">
        <f t="shared" ca="1" si="22"/>
        <v>283</v>
      </c>
      <c r="M48" s="652">
        <f t="shared" ca="1" si="22"/>
        <v>283</v>
      </c>
      <c r="N48" s="652">
        <f t="shared" ca="1" si="22"/>
        <v>30847</v>
      </c>
      <c r="O48" s="652">
        <f t="shared" ca="1" si="22"/>
        <v>30847</v>
      </c>
      <c r="P48" s="652">
        <f t="shared" ca="1" si="22"/>
        <v>30847</v>
      </c>
      <c r="Q48" s="652">
        <f t="shared" ca="1" si="22"/>
        <v>30847</v>
      </c>
      <c r="R48" s="652">
        <f t="shared" ca="1" si="22"/>
        <v>30847</v>
      </c>
      <c r="S48" s="652">
        <f t="shared" ca="1" si="22"/>
        <v>30847</v>
      </c>
      <c r="T48" s="652">
        <f t="shared" ca="1" si="22"/>
        <v>30847</v>
      </c>
      <c r="U48" s="652">
        <f t="shared" ca="1" si="23"/>
        <v>0</v>
      </c>
      <c r="V48" s="652">
        <f t="shared" ca="1" si="23"/>
        <v>0</v>
      </c>
      <c r="W48" s="652">
        <f t="shared" ca="1" si="23"/>
        <v>0</v>
      </c>
      <c r="X48" s="652">
        <f t="shared" ca="1" si="23"/>
        <v>0</v>
      </c>
      <c r="Y48" s="652">
        <f t="shared" ca="1" si="23"/>
        <v>0</v>
      </c>
      <c r="Z48" s="652">
        <f t="shared" ca="1" si="23"/>
        <v>0</v>
      </c>
      <c r="AA48" s="652">
        <f t="shared" ca="1" si="23"/>
        <v>0</v>
      </c>
      <c r="AB48" s="652">
        <f t="shared" ca="1" si="23"/>
        <v>1415</v>
      </c>
      <c r="AC48" s="652">
        <f t="shared" ca="1" si="23"/>
        <v>1415</v>
      </c>
      <c r="AD48" s="652">
        <f t="shared" ca="1" si="23"/>
        <v>1415</v>
      </c>
      <c r="AE48" s="652">
        <f t="shared" ca="1" si="23"/>
        <v>1415</v>
      </c>
      <c r="AF48" s="652">
        <f t="shared" ca="1" si="23"/>
        <v>1415</v>
      </c>
      <c r="AG48" s="652">
        <f t="shared" ca="1" si="23"/>
        <v>1415</v>
      </c>
      <c r="AH48" s="652">
        <f t="shared" ca="1" si="23"/>
        <v>1415</v>
      </c>
      <c r="AI48" s="652">
        <f t="shared" ca="1" si="24"/>
        <v>25971.31051666964</v>
      </c>
      <c r="AJ48" s="652">
        <f t="shared" ca="1" si="24"/>
        <v>25971.31051666964</v>
      </c>
      <c r="AK48" s="652">
        <f t="shared" ca="1" si="24"/>
        <v>25971.31051666964</v>
      </c>
      <c r="AL48" s="652">
        <f t="shared" ca="1" si="24"/>
        <v>25971.31051666964</v>
      </c>
      <c r="AM48" s="652">
        <f t="shared" ca="1" si="24"/>
        <v>25971.31051666964</v>
      </c>
      <c r="AN48" s="652">
        <f t="shared" ca="1" si="24"/>
        <v>25971.31051666964</v>
      </c>
      <c r="AO48" s="652">
        <f t="shared" ca="1" si="24"/>
        <v>25971.31051666964</v>
      </c>
      <c r="AP48" s="652">
        <f t="shared" ca="1" si="24"/>
        <v>15.285906714076582</v>
      </c>
      <c r="AQ48" s="652">
        <f t="shared" ca="1" si="24"/>
        <v>15.285906714076582</v>
      </c>
      <c r="AR48" s="652">
        <f t="shared" ca="1" si="24"/>
        <v>15.285906714076582</v>
      </c>
      <c r="AS48" s="652">
        <f t="shared" ca="1" si="24"/>
        <v>15.285906714076582</v>
      </c>
      <c r="AT48" s="652">
        <f t="shared" ca="1" si="24"/>
        <v>15.285906714076582</v>
      </c>
      <c r="AU48" s="652">
        <f t="shared" ca="1" si="24"/>
        <v>15.285906714076582</v>
      </c>
      <c r="AV48" s="652">
        <f t="shared" ca="1" si="24"/>
        <v>15.285906714076582</v>
      </c>
      <c r="AW48" s="652">
        <f t="shared" ca="1" si="21"/>
        <v>0</v>
      </c>
      <c r="AX48" s="652">
        <f t="shared" ca="1" si="21"/>
        <v>0</v>
      </c>
      <c r="AY48" s="652">
        <f t="shared" ca="1" si="21"/>
        <v>0</v>
      </c>
      <c r="AZ48" s="652">
        <f t="shared" ca="1" si="21"/>
        <v>0</v>
      </c>
      <c r="BA48" s="652">
        <f t="shared" ca="1" si="20"/>
        <v>0</v>
      </c>
      <c r="BB48" s="652">
        <f t="shared" ca="1" si="19"/>
        <v>0</v>
      </c>
      <c r="BC48" s="652">
        <f t="shared" ca="1" si="19"/>
        <v>0</v>
      </c>
      <c r="BD48" s="652">
        <f t="shared" ca="1" si="6"/>
        <v>1981</v>
      </c>
      <c r="BE48" s="652">
        <f t="shared" ca="1" si="19"/>
        <v>215929</v>
      </c>
      <c r="BF48" s="652">
        <f t="shared" ca="1" si="19"/>
        <v>0</v>
      </c>
      <c r="BG48" s="652">
        <f t="shared" ca="1" si="19"/>
        <v>9905</v>
      </c>
      <c r="BH48" s="652">
        <f t="shared" ca="1" si="19"/>
        <v>0</v>
      </c>
      <c r="BI48" s="652">
        <f t="shared" ca="1" si="19"/>
        <v>181799.17361668751</v>
      </c>
      <c r="BJ48" s="652">
        <f t="shared" ca="1" si="19"/>
        <v>107.00134699853609</v>
      </c>
      <c r="BK48" s="652">
        <f t="shared" ca="1" si="19"/>
        <v>0</v>
      </c>
    </row>
    <row r="49" spans="1:63">
      <c r="A49" s="526"/>
      <c r="B49" s="662">
        <v>3</v>
      </c>
      <c r="C49" s="662" t="s">
        <v>63</v>
      </c>
      <c r="D49" s="660" t="str">
        <f t="shared" ref="D49:F64" ca="1" si="26">VLOOKUP($B49,INDIRECT("'"&amp;$C49&amp;"'!A6:FC1000"),IF(D$6="Participation 2023",MATCH("__Participation 2023",INDIRECT("'"&amp;$C49&amp;"'!1:1"),0),IF(D$6="Participation",MATCH("_Total Plan Summary _Participation",INDIRECT("'"&amp;$C49&amp;"'!1:1"),0),MATCH(D$4&amp;"_"&amp;D$5&amp;"_"&amp;D$6,INDIRECT("'"&amp;$C49&amp;"'!1:1"),0))),0)</f>
        <v>Water Cooled Chiller &lt; 150 Tons</v>
      </c>
      <c r="E49" s="660" t="str">
        <f t="shared" ca="1" si="26"/>
        <v>0.66 kW/ton (full load); 0.54 kW/ton (IPLV)</v>
      </c>
      <c r="F49" s="660" t="str">
        <f t="shared" ca="1" si="26"/>
        <v>Per Ton</v>
      </c>
      <c r="G49" s="652">
        <f t="shared" ca="1" si="22"/>
        <v>0</v>
      </c>
      <c r="H49" s="652">
        <f t="shared" ca="1" si="22"/>
        <v>0</v>
      </c>
      <c r="I49" s="652">
        <f t="shared" ca="1" si="22"/>
        <v>1</v>
      </c>
      <c r="J49" s="652">
        <f t="shared" ca="1" si="22"/>
        <v>0</v>
      </c>
      <c r="K49" s="652">
        <f t="shared" ca="1" si="22"/>
        <v>0</v>
      </c>
      <c r="L49" s="652">
        <f t="shared" ca="1" si="22"/>
        <v>1</v>
      </c>
      <c r="M49" s="652">
        <f t="shared" ca="1" si="22"/>
        <v>0</v>
      </c>
      <c r="N49" s="652">
        <f t="shared" ca="1" si="22"/>
        <v>0</v>
      </c>
      <c r="O49" s="652">
        <f t="shared" ca="1" si="22"/>
        <v>0</v>
      </c>
      <c r="P49" s="652">
        <f t="shared" ca="1" si="22"/>
        <v>10400</v>
      </c>
      <c r="Q49" s="652">
        <f t="shared" ca="1" si="22"/>
        <v>0</v>
      </c>
      <c r="R49" s="652">
        <f t="shared" ca="1" si="22"/>
        <v>0</v>
      </c>
      <c r="S49" s="652">
        <f t="shared" ca="1" si="22"/>
        <v>10400</v>
      </c>
      <c r="T49" s="652">
        <f t="shared" ca="1" si="22"/>
        <v>0</v>
      </c>
      <c r="U49" s="652">
        <f t="shared" ca="1" si="23"/>
        <v>0</v>
      </c>
      <c r="V49" s="652">
        <f t="shared" ca="1" si="23"/>
        <v>0</v>
      </c>
      <c r="W49" s="652">
        <f t="shared" ca="1" si="23"/>
        <v>0</v>
      </c>
      <c r="X49" s="652">
        <f t="shared" ca="1" si="23"/>
        <v>0</v>
      </c>
      <c r="Y49" s="652">
        <f t="shared" ca="1" si="23"/>
        <v>0</v>
      </c>
      <c r="Z49" s="652">
        <f t="shared" ca="1" si="23"/>
        <v>0</v>
      </c>
      <c r="AA49" s="652">
        <f t="shared" ca="1" si="23"/>
        <v>0</v>
      </c>
      <c r="AB49" s="652">
        <f t="shared" ca="1" si="23"/>
        <v>0</v>
      </c>
      <c r="AC49" s="652">
        <f t="shared" ca="1" si="23"/>
        <v>0</v>
      </c>
      <c r="AD49" s="652">
        <f t="shared" ca="1" si="23"/>
        <v>300</v>
      </c>
      <c r="AE49" s="652">
        <f t="shared" ca="1" si="23"/>
        <v>0</v>
      </c>
      <c r="AF49" s="652">
        <f t="shared" ca="1" si="23"/>
        <v>0</v>
      </c>
      <c r="AG49" s="652">
        <f t="shared" ca="1" si="23"/>
        <v>300</v>
      </c>
      <c r="AH49" s="652">
        <f t="shared" ca="1" si="23"/>
        <v>0</v>
      </c>
      <c r="AI49" s="652">
        <f t="shared" ca="1" si="24"/>
        <v>0</v>
      </c>
      <c r="AJ49" s="652">
        <f t="shared" ca="1" si="24"/>
        <v>0</v>
      </c>
      <c r="AK49" s="652">
        <f t="shared" ca="1" si="24"/>
        <v>2182.7576197387534</v>
      </c>
      <c r="AL49" s="652">
        <f t="shared" ca="1" si="24"/>
        <v>0</v>
      </c>
      <c r="AM49" s="652">
        <f t="shared" ca="1" si="24"/>
        <v>0</v>
      </c>
      <c r="AN49" s="652">
        <f t="shared" ca="1" si="24"/>
        <v>2182.7576197387534</v>
      </c>
      <c r="AO49" s="652">
        <f t="shared" ca="1" si="24"/>
        <v>0</v>
      </c>
      <c r="AP49" s="652">
        <f t="shared" ca="1" si="24"/>
        <v>0</v>
      </c>
      <c r="AQ49" s="652">
        <f t="shared" ca="1" si="24"/>
        <v>0</v>
      </c>
      <c r="AR49" s="652">
        <f t="shared" ca="1" si="24"/>
        <v>4.8479999999999954</v>
      </c>
      <c r="AS49" s="652">
        <f t="shared" ca="1" si="24"/>
        <v>0</v>
      </c>
      <c r="AT49" s="652">
        <f t="shared" ca="1" si="24"/>
        <v>0</v>
      </c>
      <c r="AU49" s="652">
        <f t="shared" ca="1" si="24"/>
        <v>4.8479999999999954</v>
      </c>
      <c r="AV49" s="652">
        <f t="shared" ca="1" si="24"/>
        <v>0</v>
      </c>
      <c r="AW49" s="652">
        <f t="shared" ca="1" si="21"/>
        <v>0</v>
      </c>
      <c r="AX49" s="652">
        <f t="shared" ca="1" si="21"/>
        <v>0</v>
      </c>
      <c r="AY49" s="652">
        <f t="shared" ca="1" si="21"/>
        <v>0</v>
      </c>
      <c r="AZ49" s="652">
        <f t="shared" ca="1" si="21"/>
        <v>0</v>
      </c>
      <c r="BA49" s="652">
        <f t="shared" ca="1" si="20"/>
        <v>0</v>
      </c>
      <c r="BB49" s="652">
        <f t="shared" ca="1" si="19"/>
        <v>0</v>
      </c>
      <c r="BC49" s="652">
        <f t="shared" ca="1" si="19"/>
        <v>0</v>
      </c>
      <c r="BD49" s="652">
        <f t="shared" ca="1" si="6"/>
        <v>2</v>
      </c>
      <c r="BE49" s="652">
        <f t="shared" ca="1" si="19"/>
        <v>20800</v>
      </c>
      <c r="BF49" s="652">
        <f t="shared" ca="1" si="19"/>
        <v>0</v>
      </c>
      <c r="BG49" s="652">
        <f t="shared" ca="1" si="19"/>
        <v>600</v>
      </c>
      <c r="BH49" s="652">
        <f t="shared" ca="1" si="19"/>
        <v>0</v>
      </c>
      <c r="BI49" s="652">
        <f t="shared" ca="1" si="19"/>
        <v>4365.5152394775068</v>
      </c>
      <c r="BJ49" s="652">
        <f t="shared" ca="1" si="19"/>
        <v>9.6959999999999908</v>
      </c>
      <c r="BK49" s="652">
        <f t="shared" ca="1" si="19"/>
        <v>0</v>
      </c>
    </row>
    <row r="50" spans="1:63">
      <c r="A50" s="526"/>
      <c r="B50" s="662">
        <v>4</v>
      </c>
      <c r="C50" s="662" t="s">
        <v>63</v>
      </c>
      <c r="D50" s="660" t="str">
        <f t="shared" ca="1" si="26"/>
        <v>Water Cooled Chiller ≥ 150 Tons &amp; ≤ 300 Tons</v>
      </c>
      <c r="E50" s="660" t="str">
        <f t="shared" ca="1" si="26"/>
        <v>0.58 kW/ton (full load); 0.49 kW/ton (IPLV)</v>
      </c>
      <c r="F50" s="660" t="str">
        <f t="shared" ca="1" si="26"/>
        <v>Per Ton</v>
      </c>
      <c r="G50" s="652">
        <f t="shared" ca="1" si="22"/>
        <v>1</v>
      </c>
      <c r="H50" s="652">
        <f t="shared" ca="1" si="22"/>
        <v>0</v>
      </c>
      <c r="I50" s="652">
        <f t="shared" ca="1" si="22"/>
        <v>0</v>
      </c>
      <c r="J50" s="652">
        <f t="shared" ca="1" si="22"/>
        <v>1</v>
      </c>
      <c r="K50" s="652">
        <f t="shared" ca="1" si="22"/>
        <v>0</v>
      </c>
      <c r="L50" s="652">
        <f t="shared" ca="1" si="22"/>
        <v>0</v>
      </c>
      <c r="M50" s="652">
        <f t="shared" ca="1" si="22"/>
        <v>1</v>
      </c>
      <c r="N50" s="652">
        <f t="shared" ca="1" si="22"/>
        <v>15600</v>
      </c>
      <c r="O50" s="652">
        <f t="shared" ca="1" si="22"/>
        <v>0</v>
      </c>
      <c r="P50" s="652">
        <f t="shared" ca="1" si="22"/>
        <v>0</v>
      </c>
      <c r="Q50" s="652">
        <f t="shared" ca="1" si="22"/>
        <v>15600</v>
      </c>
      <c r="R50" s="652">
        <f t="shared" ca="1" si="22"/>
        <v>0</v>
      </c>
      <c r="S50" s="652">
        <f t="shared" ca="1" si="22"/>
        <v>0</v>
      </c>
      <c r="T50" s="652">
        <f t="shared" ca="1" si="22"/>
        <v>15600</v>
      </c>
      <c r="U50" s="652">
        <f t="shared" ca="1" si="23"/>
        <v>0</v>
      </c>
      <c r="V50" s="652">
        <f t="shared" ca="1" si="23"/>
        <v>0</v>
      </c>
      <c r="W50" s="652">
        <f t="shared" ca="1" si="23"/>
        <v>0</v>
      </c>
      <c r="X50" s="652">
        <f t="shared" ca="1" si="23"/>
        <v>0</v>
      </c>
      <c r="Y50" s="652">
        <f t="shared" ca="1" si="23"/>
        <v>0</v>
      </c>
      <c r="Z50" s="652">
        <f t="shared" ca="1" si="23"/>
        <v>0</v>
      </c>
      <c r="AA50" s="652">
        <f t="shared" ca="1" si="23"/>
        <v>0</v>
      </c>
      <c r="AB50" s="652">
        <f t="shared" ca="1" si="23"/>
        <v>600</v>
      </c>
      <c r="AC50" s="652">
        <f t="shared" ca="1" si="23"/>
        <v>0</v>
      </c>
      <c r="AD50" s="652">
        <f t="shared" ca="1" si="23"/>
        <v>0</v>
      </c>
      <c r="AE50" s="652">
        <f t="shared" ca="1" si="23"/>
        <v>600</v>
      </c>
      <c r="AF50" s="652">
        <f t="shared" ca="1" si="23"/>
        <v>0</v>
      </c>
      <c r="AG50" s="652">
        <f t="shared" ca="1" si="23"/>
        <v>0</v>
      </c>
      <c r="AH50" s="652">
        <f t="shared" ca="1" si="23"/>
        <v>600</v>
      </c>
      <c r="AI50" s="652">
        <f t="shared" ca="1" si="24"/>
        <v>10913.788098693769</v>
      </c>
      <c r="AJ50" s="652">
        <f t="shared" ca="1" si="24"/>
        <v>0</v>
      </c>
      <c r="AK50" s="652">
        <f t="shared" ca="1" si="24"/>
        <v>0</v>
      </c>
      <c r="AL50" s="652">
        <f t="shared" ca="1" si="24"/>
        <v>10913.788098693769</v>
      </c>
      <c r="AM50" s="652">
        <f t="shared" ca="1" si="24"/>
        <v>0</v>
      </c>
      <c r="AN50" s="652">
        <f t="shared" ca="1" si="24"/>
        <v>0</v>
      </c>
      <c r="AO50" s="652">
        <f t="shared" ca="1" si="24"/>
        <v>10913.788098693769</v>
      </c>
      <c r="AP50" s="652">
        <f t="shared" ca="1" si="24"/>
        <v>12.928000000000011</v>
      </c>
      <c r="AQ50" s="652">
        <f t="shared" ca="1" si="24"/>
        <v>0</v>
      </c>
      <c r="AR50" s="652">
        <f t="shared" ca="1" si="24"/>
        <v>0</v>
      </c>
      <c r="AS50" s="652">
        <f t="shared" ca="1" si="24"/>
        <v>12.928000000000011</v>
      </c>
      <c r="AT50" s="652">
        <f t="shared" ca="1" si="24"/>
        <v>0</v>
      </c>
      <c r="AU50" s="652">
        <f t="shared" ca="1" si="24"/>
        <v>0</v>
      </c>
      <c r="AV50" s="652">
        <f t="shared" ca="1" si="24"/>
        <v>12.928000000000011</v>
      </c>
      <c r="AW50" s="652">
        <f t="shared" ca="1" si="21"/>
        <v>0</v>
      </c>
      <c r="AX50" s="652">
        <f t="shared" ca="1" si="21"/>
        <v>0</v>
      </c>
      <c r="AY50" s="652">
        <f t="shared" ca="1" si="21"/>
        <v>0</v>
      </c>
      <c r="AZ50" s="652">
        <f t="shared" ca="1" si="21"/>
        <v>0</v>
      </c>
      <c r="BA50" s="652">
        <f t="shared" ca="1" si="20"/>
        <v>0</v>
      </c>
      <c r="BB50" s="652">
        <f t="shared" ca="1" si="19"/>
        <v>0</v>
      </c>
      <c r="BC50" s="652">
        <f t="shared" ca="1" si="19"/>
        <v>0</v>
      </c>
      <c r="BD50" s="652">
        <f t="shared" ca="1" si="6"/>
        <v>3</v>
      </c>
      <c r="BE50" s="652">
        <f t="shared" ca="1" si="19"/>
        <v>46800</v>
      </c>
      <c r="BF50" s="652">
        <f t="shared" ca="1" si="19"/>
        <v>0</v>
      </c>
      <c r="BG50" s="652">
        <f t="shared" ca="1" si="19"/>
        <v>1800</v>
      </c>
      <c r="BH50" s="652">
        <f t="shared" ca="1" si="19"/>
        <v>0</v>
      </c>
      <c r="BI50" s="652">
        <f t="shared" ca="1" si="19"/>
        <v>32741.364296081309</v>
      </c>
      <c r="BJ50" s="652">
        <f t="shared" ca="1" si="19"/>
        <v>38.784000000000034</v>
      </c>
      <c r="BK50" s="652">
        <f t="shared" ca="1" si="19"/>
        <v>0</v>
      </c>
    </row>
    <row r="51" spans="1:63">
      <c r="A51" s="526"/>
      <c r="B51" s="662">
        <v>5</v>
      </c>
      <c r="C51" s="662" t="s">
        <v>63</v>
      </c>
      <c r="D51" s="660" t="str">
        <f t="shared" ca="1" si="26"/>
        <v>Water Cooled Chiller &gt; 300 Tons</v>
      </c>
      <c r="E51" s="660" t="str">
        <f t="shared" ca="1" si="26"/>
        <v>0.53 kW/ton (full load); 0.46 kW/ton (IPLV)</v>
      </c>
      <c r="F51" s="660" t="str">
        <f t="shared" ca="1" si="26"/>
        <v>Per Ton</v>
      </c>
      <c r="G51" s="652">
        <f t="shared" ca="1" si="22"/>
        <v>0</v>
      </c>
      <c r="H51" s="652">
        <f t="shared" ca="1" si="22"/>
        <v>1</v>
      </c>
      <c r="I51" s="652">
        <f t="shared" ca="1" si="22"/>
        <v>0</v>
      </c>
      <c r="J51" s="652">
        <f t="shared" ca="1" si="22"/>
        <v>0</v>
      </c>
      <c r="K51" s="652">
        <f t="shared" ca="1" si="22"/>
        <v>1</v>
      </c>
      <c r="L51" s="652">
        <f t="shared" ca="1" si="22"/>
        <v>0</v>
      </c>
      <c r="M51" s="652">
        <f t="shared" ca="1" si="22"/>
        <v>0</v>
      </c>
      <c r="N51" s="652">
        <f t="shared" ca="1" si="22"/>
        <v>0</v>
      </c>
      <c r="O51" s="652">
        <f t="shared" ca="1" si="22"/>
        <v>5732</v>
      </c>
      <c r="P51" s="652">
        <f t="shared" ca="1" si="22"/>
        <v>0</v>
      </c>
      <c r="Q51" s="652">
        <f t="shared" ca="1" si="22"/>
        <v>0</v>
      </c>
      <c r="R51" s="652">
        <f t="shared" ca="1" si="22"/>
        <v>5732</v>
      </c>
      <c r="S51" s="652">
        <f t="shared" ca="1" si="22"/>
        <v>0</v>
      </c>
      <c r="T51" s="652">
        <f t="shared" ca="1" si="22"/>
        <v>0</v>
      </c>
      <c r="U51" s="652">
        <f t="shared" ca="1" si="23"/>
        <v>0</v>
      </c>
      <c r="V51" s="652">
        <f t="shared" ca="1" si="23"/>
        <v>0</v>
      </c>
      <c r="W51" s="652">
        <f t="shared" ca="1" si="23"/>
        <v>0</v>
      </c>
      <c r="X51" s="652">
        <f t="shared" ca="1" si="23"/>
        <v>0</v>
      </c>
      <c r="Y51" s="652">
        <f t="shared" ca="1" si="23"/>
        <v>0</v>
      </c>
      <c r="Z51" s="652">
        <f t="shared" ca="1" si="23"/>
        <v>0</v>
      </c>
      <c r="AA51" s="652">
        <f t="shared" ca="1" si="23"/>
        <v>0</v>
      </c>
      <c r="AB51" s="652">
        <f t="shared" ca="1" si="23"/>
        <v>0</v>
      </c>
      <c r="AC51" s="652">
        <f t="shared" ca="1" si="23"/>
        <v>1200</v>
      </c>
      <c r="AD51" s="652">
        <f t="shared" ca="1" si="23"/>
        <v>0</v>
      </c>
      <c r="AE51" s="652">
        <f t="shared" ca="1" si="23"/>
        <v>0</v>
      </c>
      <c r="AF51" s="652">
        <f t="shared" ca="1" si="23"/>
        <v>1200</v>
      </c>
      <c r="AG51" s="652">
        <f t="shared" ca="1" si="23"/>
        <v>0</v>
      </c>
      <c r="AH51" s="652">
        <f t="shared" ca="1" si="23"/>
        <v>0</v>
      </c>
      <c r="AI51" s="652">
        <f t="shared" ca="1" si="24"/>
        <v>0</v>
      </c>
      <c r="AJ51" s="652">
        <f t="shared" ca="1" si="24"/>
        <v>51321.53690596563</v>
      </c>
      <c r="AK51" s="652">
        <f t="shared" ca="1" si="24"/>
        <v>0</v>
      </c>
      <c r="AL51" s="652">
        <f t="shared" ca="1" si="24"/>
        <v>0</v>
      </c>
      <c r="AM51" s="652">
        <f t="shared" ca="1" si="24"/>
        <v>51321.53690596563</v>
      </c>
      <c r="AN51" s="652">
        <f t="shared" ca="1" si="24"/>
        <v>0</v>
      </c>
      <c r="AO51" s="652">
        <f t="shared" ca="1" si="24"/>
        <v>0</v>
      </c>
      <c r="AP51" s="652">
        <f t="shared" ca="1" si="24"/>
        <v>0</v>
      </c>
      <c r="AQ51" s="652">
        <f t="shared" ca="1" si="24"/>
        <v>21.534883720930232</v>
      </c>
      <c r="AR51" s="652">
        <f t="shared" ca="1" si="24"/>
        <v>0</v>
      </c>
      <c r="AS51" s="652">
        <f t="shared" ca="1" si="24"/>
        <v>0</v>
      </c>
      <c r="AT51" s="652">
        <f t="shared" ca="1" si="24"/>
        <v>21.534883720930232</v>
      </c>
      <c r="AU51" s="652">
        <f t="shared" ca="1" si="24"/>
        <v>0</v>
      </c>
      <c r="AV51" s="652">
        <f t="shared" ca="1" si="24"/>
        <v>0</v>
      </c>
      <c r="AW51" s="652">
        <f t="shared" ca="1" si="21"/>
        <v>0</v>
      </c>
      <c r="AX51" s="652">
        <f t="shared" ca="1" si="21"/>
        <v>0</v>
      </c>
      <c r="AY51" s="652">
        <f t="shared" ca="1" si="21"/>
        <v>0</v>
      </c>
      <c r="AZ51" s="652">
        <f t="shared" ca="1" si="21"/>
        <v>0</v>
      </c>
      <c r="BA51" s="652">
        <f t="shared" ca="1" si="20"/>
        <v>0</v>
      </c>
      <c r="BB51" s="652">
        <f t="shared" ca="1" si="19"/>
        <v>0</v>
      </c>
      <c r="BC51" s="652">
        <f t="shared" ca="1" si="19"/>
        <v>0</v>
      </c>
      <c r="BD51" s="652">
        <f t="shared" ca="1" si="6"/>
        <v>2</v>
      </c>
      <c r="BE51" s="652">
        <f t="shared" ca="1" si="19"/>
        <v>11464</v>
      </c>
      <c r="BF51" s="652">
        <f t="shared" ca="1" si="19"/>
        <v>0</v>
      </c>
      <c r="BG51" s="652">
        <f t="shared" ca="1" si="19"/>
        <v>2400</v>
      </c>
      <c r="BH51" s="652">
        <f t="shared" ca="1" si="19"/>
        <v>0</v>
      </c>
      <c r="BI51" s="652">
        <f t="shared" ca="1" si="19"/>
        <v>102643.07381193126</v>
      </c>
      <c r="BJ51" s="652">
        <f t="shared" ca="1" si="19"/>
        <v>43.069767441860463</v>
      </c>
      <c r="BK51" s="652">
        <f t="shared" ca="1" si="19"/>
        <v>0</v>
      </c>
    </row>
    <row r="52" spans="1:63">
      <c r="A52" s="526"/>
      <c r="B52" s="662">
        <v>6</v>
      </c>
      <c r="C52" s="662" t="s">
        <v>63</v>
      </c>
      <c r="D52" s="660" t="str">
        <f t="shared" ca="1" si="26"/>
        <v>Air Cooled Chilled Water Reset, 0-100 tons</v>
      </c>
      <c r="E52" s="660" t="str">
        <f t="shared" ca="1" si="26"/>
        <v>Air Cooled Chilled Water Reset</v>
      </c>
      <c r="F52" s="660" t="str">
        <f t="shared" ca="1" si="26"/>
        <v>Per Unit</v>
      </c>
      <c r="G52" s="652">
        <f t="shared" ca="1" si="22"/>
        <v>0</v>
      </c>
      <c r="H52" s="652">
        <f t="shared" ca="1" si="22"/>
        <v>1</v>
      </c>
      <c r="I52" s="652">
        <f t="shared" ca="1" si="22"/>
        <v>0</v>
      </c>
      <c r="J52" s="652">
        <f t="shared" ca="1" si="22"/>
        <v>0</v>
      </c>
      <c r="K52" s="652">
        <f t="shared" ca="1" si="22"/>
        <v>1</v>
      </c>
      <c r="L52" s="652">
        <f t="shared" ca="1" si="22"/>
        <v>0</v>
      </c>
      <c r="M52" s="652">
        <f t="shared" ca="1" si="22"/>
        <v>0</v>
      </c>
      <c r="N52" s="652">
        <f t="shared" ca="1" si="22"/>
        <v>0</v>
      </c>
      <c r="O52" s="652">
        <f t="shared" ca="1" si="22"/>
        <v>400</v>
      </c>
      <c r="P52" s="652">
        <f t="shared" ca="1" si="22"/>
        <v>0</v>
      </c>
      <c r="Q52" s="652">
        <f t="shared" ca="1" si="22"/>
        <v>0</v>
      </c>
      <c r="R52" s="652">
        <f t="shared" ca="1" si="22"/>
        <v>400</v>
      </c>
      <c r="S52" s="652">
        <f t="shared" ca="1" si="22"/>
        <v>0</v>
      </c>
      <c r="T52" s="652">
        <f t="shared" ca="1" si="22"/>
        <v>0</v>
      </c>
      <c r="U52" s="652">
        <f t="shared" ca="1" si="23"/>
        <v>0</v>
      </c>
      <c r="V52" s="652">
        <f t="shared" ca="1" si="23"/>
        <v>0</v>
      </c>
      <c r="W52" s="652">
        <f t="shared" ca="1" si="23"/>
        <v>0</v>
      </c>
      <c r="X52" s="652">
        <f t="shared" ca="1" si="23"/>
        <v>0</v>
      </c>
      <c r="Y52" s="652">
        <f t="shared" ca="1" si="23"/>
        <v>0</v>
      </c>
      <c r="Z52" s="652">
        <f t="shared" ca="1" si="23"/>
        <v>0</v>
      </c>
      <c r="AA52" s="652">
        <f t="shared" ca="1" si="23"/>
        <v>0</v>
      </c>
      <c r="AB52" s="652">
        <f t="shared" ca="1" si="23"/>
        <v>0</v>
      </c>
      <c r="AC52" s="652">
        <f t="shared" ca="1" si="23"/>
        <v>100</v>
      </c>
      <c r="AD52" s="652">
        <f t="shared" ca="1" si="23"/>
        <v>0</v>
      </c>
      <c r="AE52" s="652">
        <f t="shared" ca="1" si="23"/>
        <v>0</v>
      </c>
      <c r="AF52" s="652">
        <f t="shared" ca="1" si="23"/>
        <v>100</v>
      </c>
      <c r="AG52" s="652">
        <f t="shared" ca="1" si="23"/>
        <v>0</v>
      </c>
      <c r="AH52" s="652">
        <f t="shared" ca="1" si="23"/>
        <v>0</v>
      </c>
      <c r="AI52" s="652">
        <f t="shared" ca="1" si="24"/>
        <v>0</v>
      </c>
      <c r="AJ52" s="652">
        <f t="shared" ca="1" si="24"/>
        <v>2825.8201326315789</v>
      </c>
      <c r="AK52" s="652">
        <f t="shared" ca="1" si="24"/>
        <v>0</v>
      </c>
      <c r="AL52" s="652">
        <f t="shared" ca="1" si="24"/>
        <v>0</v>
      </c>
      <c r="AM52" s="652">
        <f t="shared" ca="1" si="24"/>
        <v>2825.8201326315789</v>
      </c>
      <c r="AN52" s="652">
        <f t="shared" ca="1" si="24"/>
        <v>0</v>
      </c>
      <c r="AO52" s="652">
        <f t="shared" ca="1" si="24"/>
        <v>0</v>
      </c>
      <c r="AP52" s="652">
        <f t="shared" ca="1" si="24"/>
        <v>0</v>
      </c>
      <c r="AQ52" s="652">
        <f t="shared" ca="1" si="24"/>
        <v>1.79571110984056</v>
      </c>
      <c r="AR52" s="652">
        <f t="shared" ca="1" si="24"/>
        <v>0</v>
      </c>
      <c r="AS52" s="652">
        <f t="shared" ca="1" si="24"/>
        <v>0</v>
      </c>
      <c r="AT52" s="652">
        <f t="shared" ca="1" si="24"/>
        <v>1.79571110984056</v>
      </c>
      <c r="AU52" s="652">
        <f t="shared" ca="1" si="24"/>
        <v>0</v>
      </c>
      <c r="AV52" s="652">
        <f t="shared" ca="1" si="24"/>
        <v>0</v>
      </c>
      <c r="AW52" s="652">
        <f t="shared" ca="1" si="21"/>
        <v>0</v>
      </c>
      <c r="AX52" s="652">
        <f t="shared" ca="1" si="21"/>
        <v>0</v>
      </c>
      <c r="AY52" s="652">
        <f t="shared" ca="1" si="21"/>
        <v>0</v>
      </c>
      <c r="AZ52" s="652">
        <f t="shared" ca="1" si="21"/>
        <v>0</v>
      </c>
      <c r="BA52" s="652">
        <f t="shared" ca="1" si="20"/>
        <v>0</v>
      </c>
      <c r="BB52" s="652">
        <f t="shared" ca="1" si="19"/>
        <v>0</v>
      </c>
      <c r="BC52" s="652">
        <f t="shared" ca="1" si="19"/>
        <v>0</v>
      </c>
      <c r="BD52" s="652">
        <f t="shared" ca="1" si="6"/>
        <v>2</v>
      </c>
      <c r="BE52" s="652">
        <f t="shared" ca="1" si="19"/>
        <v>800</v>
      </c>
      <c r="BF52" s="652">
        <f t="shared" ca="1" si="19"/>
        <v>0</v>
      </c>
      <c r="BG52" s="652">
        <f t="shared" ca="1" si="19"/>
        <v>200</v>
      </c>
      <c r="BH52" s="652">
        <f t="shared" ca="1" si="19"/>
        <v>0</v>
      </c>
      <c r="BI52" s="652">
        <f t="shared" ca="1" si="19"/>
        <v>5651.6402652631577</v>
      </c>
      <c r="BJ52" s="652">
        <f t="shared" ca="1" si="19"/>
        <v>3.5914222196811201</v>
      </c>
      <c r="BK52" s="652">
        <f t="shared" ca="1" si="19"/>
        <v>0</v>
      </c>
    </row>
    <row r="53" spans="1:63">
      <c r="A53" s="526"/>
      <c r="B53" s="662">
        <v>7</v>
      </c>
      <c r="C53" s="662" t="s">
        <v>63</v>
      </c>
      <c r="D53" s="660" t="str">
        <f t="shared" ca="1" si="26"/>
        <v>Air Cooled Chilled Water Reset, 100-200 tons</v>
      </c>
      <c r="E53" s="660" t="str">
        <f t="shared" ca="1" si="26"/>
        <v>Air Cooled Chilled Water Reset</v>
      </c>
      <c r="F53" s="660" t="str">
        <f t="shared" ca="1" si="26"/>
        <v>Per Unit</v>
      </c>
      <c r="G53" s="652">
        <f t="shared" ca="1" si="22"/>
        <v>0</v>
      </c>
      <c r="H53" s="652">
        <f t="shared" ca="1" si="22"/>
        <v>0</v>
      </c>
      <c r="I53" s="652">
        <f t="shared" ca="1" si="22"/>
        <v>1</v>
      </c>
      <c r="J53" s="652">
        <f t="shared" ca="1" si="22"/>
        <v>0</v>
      </c>
      <c r="K53" s="652">
        <f t="shared" ca="1" si="22"/>
        <v>0</v>
      </c>
      <c r="L53" s="652">
        <f t="shared" ca="1" si="22"/>
        <v>1</v>
      </c>
      <c r="M53" s="652">
        <f t="shared" ca="1" si="22"/>
        <v>0</v>
      </c>
      <c r="N53" s="652">
        <f t="shared" ca="1" si="22"/>
        <v>0</v>
      </c>
      <c r="O53" s="652">
        <f t="shared" ca="1" si="22"/>
        <v>0</v>
      </c>
      <c r="P53" s="652">
        <f t="shared" ca="1" si="22"/>
        <v>800</v>
      </c>
      <c r="Q53" s="652">
        <f t="shared" ca="1" si="22"/>
        <v>0</v>
      </c>
      <c r="R53" s="652">
        <f t="shared" ca="1" si="22"/>
        <v>0</v>
      </c>
      <c r="S53" s="652">
        <f t="shared" ca="1" si="22"/>
        <v>800</v>
      </c>
      <c r="T53" s="652">
        <f t="shared" ca="1" si="22"/>
        <v>0</v>
      </c>
      <c r="U53" s="652">
        <f t="shared" ca="1" si="23"/>
        <v>0</v>
      </c>
      <c r="V53" s="652">
        <f t="shared" ca="1" si="23"/>
        <v>0</v>
      </c>
      <c r="W53" s="652">
        <f t="shared" ca="1" si="23"/>
        <v>0</v>
      </c>
      <c r="X53" s="652">
        <f t="shared" ca="1" si="23"/>
        <v>0</v>
      </c>
      <c r="Y53" s="652">
        <f t="shared" ca="1" si="23"/>
        <v>0</v>
      </c>
      <c r="Z53" s="652">
        <f t="shared" ca="1" si="23"/>
        <v>0</v>
      </c>
      <c r="AA53" s="652">
        <f t="shared" ca="1" si="23"/>
        <v>0</v>
      </c>
      <c r="AB53" s="652">
        <f t="shared" ca="1" si="23"/>
        <v>0</v>
      </c>
      <c r="AC53" s="652">
        <f t="shared" ca="1" si="23"/>
        <v>0</v>
      </c>
      <c r="AD53" s="652">
        <f t="shared" ca="1" si="23"/>
        <v>200</v>
      </c>
      <c r="AE53" s="652">
        <f t="shared" ca="1" si="23"/>
        <v>0</v>
      </c>
      <c r="AF53" s="652">
        <f t="shared" ca="1" si="23"/>
        <v>0</v>
      </c>
      <c r="AG53" s="652">
        <f t="shared" ca="1" si="23"/>
        <v>200</v>
      </c>
      <c r="AH53" s="652">
        <f t="shared" ca="1" si="23"/>
        <v>0</v>
      </c>
      <c r="AI53" s="652">
        <f t="shared" ca="1" si="24"/>
        <v>0</v>
      </c>
      <c r="AJ53" s="652">
        <f t="shared" ca="1" si="24"/>
        <v>0</v>
      </c>
      <c r="AK53" s="652">
        <f t="shared" ca="1" si="24"/>
        <v>6704.3425865131576</v>
      </c>
      <c r="AL53" s="652">
        <f t="shared" ca="1" si="24"/>
        <v>0</v>
      </c>
      <c r="AM53" s="652">
        <f t="shared" ca="1" si="24"/>
        <v>0</v>
      </c>
      <c r="AN53" s="652">
        <f t="shared" ca="1" si="24"/>
        <v>6704.3425865131576</v>
      </c>
      <c r="AO53" s="652">
        <f t="shared" ca="1" si="24"/>
        <v>0</v>
      </c>
      <c r="AP53" s="652">
        <f t="shared" ca="1" si="24"/>
        <v>0</v>
      </c>
      <c r="AQ53" s="652">
        <f t="shared" ca="1" si="24"/>
        <v>0</v>
      </c>
      <c r="AR53" s="652">
        <f t="shared" ca="1" si="24"/>
        <v>4.2603781917171606</v>
      </c>
      <c r="AS53" s="652">
        <f t="shared" ca="1" si="24"/>
        <v>0</v>
      </c>
      <c r="AT53" s="652">
        <f t="shared" ca="1" si="24"/>
        <v>0</v>
      </c>
      <c r="AU53" s="652">
        <f t="shared" ca="1" si="24"/>
        <v>4.2603781917171606</v>
      </c>
      <c r="AV53" s="652">
        <f t="shared" ca="1" si="24"/>
        <v>0</v>
      </c>
      <c r="AW53" s="652">
        <f t="shared" ca="1" si="21"/>
        <v>0</v>
      </c>
      <c r="AX53" s="652">
        <f t="shared" ca="1" si="21"/>
        <v>0</v>
      </c>
      <c r="AY53" s="652">
        <f t="shared" ca="1" si="21"/>
        <v>0</v>
      </c>
      <c r="AZ53" s="652">
        <f t="shared" ca="1" si="21"/>
        <v>0</v>
      </c>
      <c r="BA53" s="652">
        <f t="shared" ca="1" si="20"/>
        <v>0</v>
      </c>
      <c r="BB53" s="652">
        <f t="shared" ca="1" si="19"/>
        <v>0</v>
      </c>
      <c r="BC53" s="652">
        <f t="shared" ca="1" si="19"/>
        <v>0</v>
      </c>
      <c r="BD53" s="652">
        <f t="shared" ca="1" si="6"/>
        <v>2</v>
      </c>
      <c r="BE53" s="652">
        <f t="shared" ca="1" si="19"/>
        <v>1600</v>
      </c>
      <c r="BF53" s="652">
        <f t="shared" ca="1" si="19"/>
        <v>0</v>
      </c>
      <c r="BG53" s="652">
        <f t="shared" ca="1" si="19"/>
        <v>400</v>
      </c>
      <c r="BH53" s="652">
        <f t="shared" ca="1" si="19"/>
        <v>0</v>
      </c>
      <c r="BI53" s="652">
        <f t="shared" ca="1" si="19"/>
        <v>13408.685173026315</v>
      </c>
      <c r="BJ53" s="652">
        <f t="shared" ca="1" si="19"/>
        <v>8.5207563834343212</v>
      </c>
      <c r="BK53" s="652">
        <f t="shared" ca="1" si="19"/>
        <v>0</v>
      </c>
    </row>
    <row r="54" spans="1:63">
      <c r="A54" s="526"/>
      <c r="B54" s="662">
        <v>8</v>
      </c>
      <c r="C54" s="662" t="s">
        <v>63</v>
      </c>
      <c r="D54" s="660" t="str">
        <f t="shared" ca="1" si="26"/>
        <v>Air Cooled Chilled Water Reset, 200-300 tons</v>
      </c>
      <c r="E54" s="660" t="str">
        <f t="shared" ca="1" si="26"/>
        <v>Air Cooled Chilled Water Reset</v>
      </c>
      <c r="F54" s="660" t="str">
        <f t="shared" ca="1" si="26"/>
        <v>Per Unit</v>
      </c>
      <c r="G54" s="652">
        <f t="shared" ca="1" si="22"/>
        <v>1</v>
      </c>
      <c r="H54" s="652">
        <f t="shared" ca="1" si="22"/>
        <v>0</v>
      </c>
      <c r="I54" s="652">
        <f t="shared" ca="1" si="22"/>
        <v>0</v>
      </c>
      <c r="J54" s="652">
        <f t="shared" ca="1" si="22"/>
        <v>1</v>
      </c>
      <c r="K54" s="652">
        <f t="shared" ca="1" si="22"/>
        <v>0</v>
      </c>
      <c r="L54" s="652">
        <f t="shared" ca="1" si="22"/>
        <v>0</v>
      </c>
      <c r="M54" s="652">
        <f t="shared" ca="1" si="22"/>
        <v>1</v>
      </c>
      <c r="N54" s="652">
        <f t="shared" ca="1" si="22"/>
        <v>1200</v>
      </c>
      <c r="O54" s="652">
        <f t="shared" ca="1" si="22"/>
        <v>0</v>
      </c>
      <c r="P54" s="652">
        <f t="shared" ca="1" si="22"/>
        <v>0</v>
      </c>
      <c r="Q54" s="652">
        <f t="shared" ca="1" si="22"/>
        <v>1200</v>
      </c>
      <c r="R54" s="652">
        <f t="shared" ca="1" si="22"/>
        <v>0</v>
      </c>
      <c r="S54" s="652">
        <f t="shared" ca="1" si="22"/>
        <v>0</v>
      </c>
      <c r="T54" s="652">
        <f t="shared" ca="1" si="22"/>
        <v>1200</v>
      </c>
      <c r="U54" s="652">
        <f t="shared" ca="1" si="23"/>
        <v>0</v>
      </c>
      <c r="V54" s="652">
        <f t="shared" ca="1" si="23"/>
        <v>0</v>
      </c>
      <c r="W54" s="652">
        <f t="shared" ca="1" si="23"/>
        <v>0</v>
      </c>
      <c r="X54" s="652">
        <f t="shared" ca="1" si="23"/>
        <v>0</v>
      </c>
      <c r="Y54" s="652">
        <f t="shared" ca="1" si="23"/>
        <v>0</v>
      </c>
      <c r="Z54" s="652">
        <f t="shared" ca="1" si="23"/>
        <v>0</v>
      </c>
      <c r="AA54" s="652">
        <f t="shared" ca="1" si="23"/>
        <v>0</v>
      </c>
      <c r="AB54" s="652">
        <f t="shared" ca="1" si="23"/>
        <v>300</v>
      </c>
      <c r="AC54" s="652">
        <f t="shared" ca="1" si="23"/>
        <v>0</v>
      </c>
      <c r="AD54" s="652">
        <f t="shared" ca="1" si="23"/>
        <v>0</v>
      </c>
      <c r="AE54" s="652">
        <f t="shared" ca="1" si="23"/>
        <v>300</v>
      </c>
      <c r="AF54" s="652">
        <f t="shared" ca="1" si="23"/>
        <v>0</v>
      </c>
      <c r="AG54" s="652">
        <f t="shared" ca="1" si="23"/>
        <v>0</v>
      </c>
      <c r="AH54" s="652">
        <f t="shared" ca="1" si="23"/>
        <v>300</v>
      </c>
      <c r="AI54" s="652">
        <f t="shared" ca="1" si="24"/>
        <v>10141.441894736843</v>
      </c>
      <c r="AJ54" s="652">
        <f t="shared" ca="1" si="24"/>
        <v>0</v>
      </c>
      <c r="AK54" s="652">
        <f t="shared" ca="1" si="24"/>
        <v>0</v>
      </c>
      <c r="AL54" s="652">
        <f t="shared" ca="1" si="24"/>
        <v>10141.441894736843</v>
      </c>
      <c r="AM54" s="652">
        <f t="shared" ca="1" si="24"/>
        <v>0</v>
      </c>
      <c r="AN54" s="652">
        <f t="shared" ca="1" si="24"/>
        <v>0</v>
      </c>
      <c r="AO54" s="652">
        <f t="shared" ca="1" si="24"/>
        <v>10141.441894736843</v>
      </c>
      <c r="AP54" s="652">
        <f t="shared" ca="1" si="24"/>
        <v>6.4445361082561696</v>
      </c>
      <c r="AQ54" s="652">
        <f t="shared" ca="1" si="24"/>
        <v>0</v>
      </c>
      <c r="AR54" s="652">
        <f t="shared" ca="1" si="24"/>
        <v>0</v>
      </c>
      <c r="AS54" s="652">
        <f t="shared" ca="1" si="24"/>
        <v>6.4445361082561696</v>
      </c>
      <c r="AT54" s="652">
        <f t="shared" ca="1" si="24"/>
        <v>0</v>
      </c>
      <c r="AU54" s="652">
        <f t="shared" ca="1" si="24"/>
        <v>0</v>
      </c>
      <c r="AV54" s="652">
        <f t="shared" ca="1" si="24"/>
        <v>6.4445361082561696</v>
      </c>
      <c r="AW54" s="652">
        <f t="shared" ca="1" si="21"/>
        <v>0</v>
      </c>
      <c r="AX54" s="652">
        <f t="shared" ca="1" si="21"/>
        <v>0</v>
      </c>
      <c r="AY54" s="652">
        <f t="shared" ca="1" si="21"/>
        <v>0</v>
      </c>
      <c r="AZ54" s="652">
        <f t="shared" ca="1" si="21"/>
        <v>0</v>
      </c>
      <c r="BA54" s="652">
        <f t="shared" ca="1" si="20"/>
        <v>0</v>
      </c>
      <c r="BB54" s="652">
        <f t="shared" ca="1" si="19"/>
        <v>0</v>
      </c>
      <c r="BC54" s="652">
        <f t="shared" ca="1" si="19"/>
        <v>0</v>
      </c>
      <c r="BD54" s="652">
        <f t="shared" ca="1" si="6"/>
        <v>3</v>
      </c>
      <c r="BE54" s="652">
        <f t="shared" ca="1" si="19"/>
        <v>3600</v>
      </c>
      <c r="BF54" s="652">
        <f t="shared" ca="1" si="19"/>
        <v>0</v>
      </c>
      <c r="BG54" s="652">
        <f t="shared" ca="1" si="19"/>
        <v>900</v>
      </c>
      <c r="BH54" s="652">
        <f t="shared" ca="1" si="19"/>
        <v>0</v>
      </c>
      <c r="BI54" s="652">
        <f t="shared" ca="1" si="19"/>
        <v>30424.325684210529</v>
      </c>
      <c r="BJ54" s="652">
        <f t="shared" ca="1" si="19"/>
        <v>19.333608324768509</v>
      </c>
      <c r="BK54" s="652">
        <f t="shared" ca="1" si="19"/>
        <v>0</v>
      </c>
    </row>
    <row r="55" spans="1:63">
      <c r="A55" s="526"/>
      <c r="B55" s="662">
        <v>9</v>
      </c>
      <c r="C55" s="662" t="s">
        <v>63</v>
      </c>
      <c r="D55" s="660" t="str">
        <f t="shared" ca="1" si="26"/>
        <v>Air Cooled Chilled Water Reset, 300-400 tons</v>
      </c>
      <c r="E55" s="660" t="str">
        <f t="shared" ca="1" si="26"/>
        <v>Air Cooled Chilled Water Reset</v>
      </c>
      <c r="F55" s="660" t="str">
        <f t="shared" ca="1" si="26"/>
        <v>Per Unit</v>
      </c>
      <c r="G55" s="652">
        <f t="shared" ca="1" si="22"/>
        <v>0</v>
      </c>
      <c r="H55" s="652">
        <f t="shared" ca="1" si="22"/>
        <v>1</v>
      </c>
      <c r="I55" s="652">
        <f t="shared" ca="1" si="22"/>
        <v>0</v>
      </c>
      <c r="J55" s="652">
        <f t="shared" ca="1" si="22"/>
        <v>0</v>
      </c>
      <c r="K55" s="652">
        <f t="shared" ca="1" si="22"/>
        <v>1</v>
      </c>
      <c r="L55" s="652">
        <f t="shared" ca="1" si="22"/>
        <v>0</v>
      </c>
      <c r="M55" s="652">
        <f t="shared" ca="1" si="22"/>
        <v>0</v>
      </c>
      <c r="N55" s="652">
        <f t="shared" ca="1" si="22"/>
        <v>0</v>
      </c>
      <c r="O55" s="652">
        <f t="shared" ca="1" si="22"/>
        <v>2000</v>
      </c>
      <c r="P55" s="652">
        <f t="shared" ca="1" si="22"/>
        <v>0</v>
      </c>
      <c r="Q55" s="652">
        <f t="shared" ca="1" si="22"/>
        <v>0</v>
      </c>
      <c r="R55" s="652">
        <f t="shared" ca="1" si="22"/>
        <v>2000</v>
      </c>
      <c r="S55" s="652">
        <f t="shared" ca="1" si="22"/>
        <v>0</v>
      </c>
      <c r="T55" s="652">
        <f t="shared" ca="1" si="22"/>
        <v>0</v>
      </c>
      <c r="U55" s="652">
        <f t="shared" ca="1" si="23"/>
        <v>0</v>
      </c>
      <c r="V55" s="652">
        <f t="shared" ca="1" si="23"/>
        <v>0</v>
      </c>
      <c r="W55" s="652">
        <f t="shared" ca="1" si="23"/>
        <v>0</v>
      </c>
      <c r="X55" s="652">
        <f t="shared" ca="1" si="23"/>
        <v>0</v>
      </c>
      <c r="Y55" s="652">
        <f t="shared" ca="1" si="23"/>
        <v>0</v>
      </c>
      <c r="Z55" s="652">
        <f t="shared" ca="1" si="23"/>
        <v>0</v>
      </c>
      <c r="AA55" s="652">
        <f t="shared" ca="1" si="23"/>
        <v>0</v>
      </c>
      <c r="AB55" s="652">
        <f t="shared" ca="1" si="23"/>
        <v>0</v>
      </c>
      <c r="AC55" s="652">
        <f t="shared" ca="1" si="23"/>
        <v>500</v>
      </c>
      <c r="AD55" s="652">
        <f t="shared" ca="1" si="23"/>
        <v>0</v>
      </c>
      <c r="AE55" s="652">
        <f t="shared" ca="1" si="23"/>
        <v>0</v>
      </c>
      <c r="AF55" s="652">
        <f t="shared" ca="1" si="23"/>
        <v>500</v>
      </c>
      <c r="AG55" s="652">
        <f t="shared" ca="1" si="23"/>
        <v>0</v>
      </c>
      <c r="AH55" s="652">
        <f t="shared" ca="1" si="23"/>
        <v>0</v>
      </c>
      <c r="AI55" s="652">
        <f t="shared" ca="1" si="24"/>
        <v>0</v>
      </c>
      <c r="AJ55" s="652">
        <f t="shared" ca="1" si="24"/>
        <v>15974.368421052633</v>
      </c>
      <c r="AK55" s="652">
        <f t="shared" ca="1" si="24"/>
        <v>0</v>
      </c>
      <c r="AL55" s="652">
        <f t="shared" ca="1" si="24"/>
        <v>0</v>
      </c>
      <c r="AM55" s="652">
        <f t="shared" ca="1" si="24"/>
        <v>15974.368421052633</v>
      </c>
      <c r="AN55" s="652">
        <f t="shared" ca="1" si="24"/>
        <v>0</v>
      </c>
      <c r="AO55" s="652">
        <f t="shared" ca="1" si="24"/>
        <v>0</v>
      </c>
      <c r="AP55" s="652">
        <f t="shared" ca="1" si="24"/>
        <v>0</v>
      </c>
      <c r="AQ55" s="652">
        <f t="shared" ca="1" si="24"/>
        <v>10.151159486452112</v>
      </c>
      <c r="AR55" s="652">
        <f t="shared" ca="1" si="24"/>
        <v>0</v>
      </c>
      <c r="AS55" s="652">
        <f t="shared" ca="1" si="24"/>
        <v>0</v>
      </c>
      <c r="AT55" s="652">
        <f t="shared" ca="1" si="24"/>
        <v>10.151159486452112</v>
      </c>
      <c r="AU55" s="652">
        <f t="shared" ca="1" si="24"/>
        <v>0</v>
      </c>
      <c r="AV55" s="652">
        <f t="shared" ca="1" si="24"/>
        <v>0</v>
      </c>
      <c r="AW55" s="652">
        <f t="shared" ca="1" si="21"/>
        <v>0</v>
      </c>
      <c r="AX55" s="652">
        <f t="shared" ca="1" si="21"/>
        <v>0</v>
      </c>
      <c r="AY55" s="652">
        <f t="shared" ca="1" si="21"/>
        <v>0</v>
      </c>
      <c r="AZ55" s="652">
        <f t="shared" ca="1" si="21"/>
        <v>0</v>
      </c>
      <c r="BA55" s="652">
        <f t="shared" ca="1" si="20"/>
        <v>0</v>
      </c>
      <c r="BB55" s="652">
        <f t="shared" ca="1" si="19"/>
        <v>0</v>
      </c>
      <c r="BC55" s="652">
        <f t="shared" ca="1" si="19"/>
        <v>0</v>
      </c>
      <c r="BD55" s="652">
        <f t="shared" ca="1" si="6"/>
        <v>2</v>
      </c>
      <c r="BE55" s="652">
        <f t="shared" ca="1" si="19"/>
        <v>4000</v>
      </c>
      <c r="BF55" s="652">
        <f t="shared" ca="1" si="19"/>
        <v>0</v>
      </c>
      <c r="BG55" s="652">
        <f t="shared" ca="1" si="19"/>
        <v>1000</v>
      </c>
      <c r="BH55" s="652">
        <f t="shared" ca="1" si="19"/>
        <v>0</v>
      </c>
      <c r="BI55" s="652">
        <f t="shared" ca="1" si="19"/>
        <v>31948.736842105267</v>
      </c>
      <c r="BJ55" s="652">
        <f t="shared" ca="1" si="19"/>
        <v>20.302318972904224</v>
      </c>
      <c r="BK55" s="652">
        <f t="shared" ca="1" si="19"/>
        <v>0</v>
      </c>
    </row>
    <row r="56" spans="1:63">
      <c r="A56" s="526"/>
      <c r="B56" s="662">
        <v>10</v>
      </c>
      <c r="C56" s="662" t="s">
        <v>63</v>
      </c>
      <c r="D56" s="660" t="str">
        <f t="shared" ca="1" si="26"/>
        <v>Air Cooled Chilled Water Reset, 400-500 tons</v>
      </c>
      <c r="E56" s="660" t="str">
        <f t="shared" ca="1" si="26"/>
        <v>Air Cooled Chilled Water Reset</v>
      </c>
      <c r="F56" s="660" t="str">
        <f t="shared" ca="1" si="26"/>
        <v>Per Unit</v>
      </c>
      <c r="G56" s="652">
        <f t="shared" ca="1" si="22"/>
        <v>0</v>
      </c>
      <c r="H56" s="652">
        <f t="shared" ca="1" si="22"/>
        <v>0</v>
      </c>
      <c r="I56" s="652">
        <f t="shared" ca="1" si="22"/>
        <v>1</v>
      </c>
      <c r="J56" s="652">
        <f t="shared" ca="1" si="22"/>
        <v>0</v>
      </c>
      <c r="K56" s="652">
        <f t="shared" ca="1" si="22"/>
        <v>0</v>
      </c>
      <c r="L56" s="652">
        <f t="shared" ca="1" si="22"/>
        <v>1</v>
      </c>
      <c r="M56" s="652">
        <f t="shared" ca="1" si="22"/>
        <v>0</v>
      </c>
      <c r="N56" s="652">
        <f t="shared" ca="1" si="22"/>
        <v>0</v>
      </c>
      <c r="O56" s="652">
        <f t="shared" ca="1" si="22"/>
        <v>0</v>
      </c>
      <c r="P56" s="652">
        <f t="shared" ca="1" si="22"/>
        <v>3200</v>
      </c>
      <c r="Q56" s="652">
        <f t="shared" ca="1" si="22"/>
        <v>0</v>
      </c>
      <c r="R56" s="652">
        <f t="shared" ca="1" si="22"/>
        <v>0</v>
      </c>
      <c r="S56" s="652">
        <f t="shared" ca="1" si="22"/>
        <v>3200</v>
      </c>
      <c r="T56" s="652">
        <f t="shared" ca="1" si="22"/>
        <v>0</v>
      </c>
      <c r="U56" s="652">
        <f t="shared" ca="1" si="23"/>
        <v>0</v>
      </c>
      <c r="V56" s="652">
        <f t="shared" ca="1" si="23"/>
        <v>0</v>
      </c>
      <c r="W56" s="652">
        <f t="shared" ca="1" si="23"/>
        <v>0</v>
      </c>
      <c r="X56" s="652">
        <f t="shared" ca="1" si="23"/>
        <v>0</v>
      </c>
      <c r="Y56" s="652">
        <f t="shared" ca="1" si="23"/>
        <v>0</v>
      </c>
      <c r="Z56" s="652">
        <f t="shared" ca="1" si="23"/>
        <v>0</v>
      </c>
      <c r="AA56" s="652">
        <f t="shared" ca="1" si="23"/>
        <v>0</v>
      </c>
      <c r="AB56" s="652">
        <f t="shared" ca="1" si="23"/>
        <v>0</v>
      </c>
      <c r="AC56" s="652">
        <f t="shared" ca="1" si="23"/>
        <v>0</v>
      </c>
      <c r="AD56" s="652">
        <f t="shared" ca="1" si="23"/>
        <v>800</v>
      </c>
      <c r="AE56" s="652">
        <f t="shared" ca="1" si="23"/>
        <v>0</v>
      </c>
      <c r="AF56" s="652">
        <f t="shared" ca="1" si="23"/>
        <v>0</v>
      </c>
      <c r="AG56" s="652">
        <f t="shared" ca="1" si="23"/>
        <v>800</v>
      </c>
      <c r="AH56" s="652">
        <f t="shared" ca="1" si="23"/>
        <v>0</v>
      </c>
      <c r="AI56" s="652">
        <f t="shared" ca="1" si="24"/>
        <v>0</v>
      </c>
      <c r="AJ56" s="652">
        <f t="shared" ca="1" si="24"/>
        <v>0</v>
      </c>
      <c r="AK56" s="652">
        <f t="shared" ca="1" si="24"/>
        <v>25335.348315789477</v>
      </c>
      <c r="AL56" s="652">
        <f t="shared" ca="1" si="24"/>
        <v>0</v>
      </c>
      <c r="AM56" s="652">
        <f t="shared" ca="1" si="24"/>
        <v>0</v>
      </c>
      <c r="AN56" s="652">
        <f t="shared" ca="1" si="24"/>
        <v>25335.348315789477</v>
      </c>
      <c r="AO56" s="652">
        <f t="shared" ca="1" si="24"/>
        <v>0</v>
      </c>
      <c r="AP56" s="652">
        <f t="shared" ca="1" si="24"/>
        <v>0</v>
      </c>
      <c r="AQ56" s="652">
        <f t="shared" ca="1" si="24"/>
        <v>0</v>
      </c>
      <c r="AR56" s="652">
        <f t="shared" ca="1" si="24"/>
        <v>16.09973894551305</v>
      </c>
      <c r="AS56" s="652">
        <f t="shared" ca="1" si="24"/>
        <v>0</v>
      </c>
      <c r="AT56" s="652">
        <f t="shared" ca="1" si="24"/>
        <v>0</v>
      </c>
      <c r="AU56" s="652">
        <f t="shared" ca="1" si="24"/>
        <v>16.09973894551305</v>
      </c>
      <c r="AV56" s="652">
        <f t="shared" ca="1" si="24"/>
        <v>0</v>
      </c>
      <c r="AW56" s="652">
        <f t="shared" ca="1" si="21"/>
        <v>0</v>
      </c>
      <c r="AX56" s="652">
        <f t="shared" ca="1" si="21"/>
        <v>0</v>
      </c>
      <c r="AY56" s="652">
        <f t="shared" ca="1" si="21"/>
        <v>0</v>
      </c>
      <c r="AZ56" s="652">
        <f t="shared" ca="1" si="21"/>
        <v>0</v>
      </c>
      <c r="BA56" s="652">
        <f t="shared" ca="1" si="20"/>
        <v>0</v>
      </c>
      <c r="BB56" s="652">
        <f t="shared" ca="1" si="20"/>
        <v>0</v>
      </c>
      <c r="BC56" s="652">
        <f t="shared" ca="1" si="20"/>
        <v>0</v>
      </c>
      <c r="BD56" s="652">
        <f t="shared" ca="1" si="6"/>
        <v>2</v>
      </c>
      <c r="BE56" s="652">
        <f t="shared" ca="1" si="20"/>
        <v>6400</v>
      </c>
      <c r="BF56" s="652">
        <f t="shared" ca="1" si="20"/>
        <v>0</v>
      </c>
      <c r="BG56" s="652">
        <f t="shared" ca="1" si="20"/>
        <v>1600</v>
      </c>
      <c r="BH56" s="652">
        <f t="shared" ca="1" si="20"/>
        <v>0</v>
      </c>
      <c r="BI56" s="652">
        <f t="shared" ca="1" si="20"/>
        <v>50670.696631578954</v>
      </c>
      <c r="BJ56" s="652">
        <f t="shared" ca="1" si="20"/>
        <v>32.199477891026099</v>
      </c>
      <c r="BK56" s="652">
        <f t="shared" ca="1" si="20"/>
        <v>0</v>
      </c>
    </row>
    <row r="57" spans="1:63">
      <c r="A57" s="526"/>
      <c r="B57" s="662">
        <v>11</v>
      </c>
      <c r="C57" s="662" t="s">
        <v>63</v>
      </c>
      <c r="D57" s="660" t="str">
        <f t="shared" ca="1" si="26"/>
        <v>Water Cooled Chilled Water Reset, 0-1000 tons</v>
      </c>
      <c r="E57" s="660" t="str">
        <f t="shared" ca="1" si="26"/>
        <v>Water Cooled Chilled Water Reset</v>
      </c>
      <c r="F57" s="660" t="str">
        <f t="shared" ca="1" si="26"/>
        <v>Per Unit</v>
      </c>
      <c r="G57" s="652">
        <f t="shared" ca="1" si="22"/>
        <v>1</v>
      </c>
      <c r="H57" s="652">
        <f t="shared" ca="1" si="22"/>
        <v>2</v>
      </c>
      <c r="I57" s="652">
        <f t="shared" ca="1" si="22"/>
        <v>1</v>
      </c>
      <c r="J57" s="652">
        <f t="shared" ca="1" si="22"/>
        <v>2</v>
      </c>
      <c r="K57" s="652">
        <f t="shared" ca="1" si="22"/>
        <v>1</v>
      </c>
      <c r="L57" s="652">
        <f t="shared" ca="1" si="22"/>
        <v>2</v>
      </c>
      <c r="M57" s="652">
        <f t="shared" ca="1" si="22"/>
        <v>1</v>
      </c>
      <c r="N57" s="652">
        <f t="shared" ca="1" si="22"/>
        <v>1200</v>
      </c>
      <c r="O57" s="652">
        <f t="shared" ca="1" si="22"/>
        <v>2400</v>
      </c>
      <c r="P57" s="652">
        <f t="shared" ca="1" si="22"/>
        <v>1200</v>
      </c>
      <c r="Q57" s="652">
        <f t="shared" ca="1" si="22"/>
        <v>2400</v>
      </c>
      <c r="R57" s="652">
        <f t="shared" ca="1" si="22"/>
        <v>1200</v>
      </c>
      <c r="S57" s="652">
        <f t="shared" ca="1" si="22"/>
        <v>2400</v>
      </c>
      <c r="T57" s="652">
        <f t="shared" ca="1" si="22"/>
        <v>1200</v>
      </c>
      <c r="U57" s="652">
        <f t="shared" ca="1" si="23"/>
        <v>0</v>
      </c>
      <c r="V57" s="652">
        <f t="shared" ca="1" si="23"/>
        <v>0</v>
      </c>
      <c r="W57" s="652">
        <f t="shared" ca="1" si="23"/>
        <v>0</v>
      </c>
      <c r="X57" s="652">
        <f t="shared" ca="1" si="23"/>
        <v>0</v>
      </c>
      <c r="Y57" s="652">
        <f t="shared" ca="1" si="23"/>
        <v>0</v>
      </c>
      <c r="Z57" s="652">
        <f t="shared" ca="1" si="23"/>
        <v>0</v>
      </c>
      <c r="AA57" s="652">
        <f t="shared" ca="1" si="23"/>
        <v>0</v>
      </c>
      <c r="AB57" s="652">
        <f t="shared" ca="1" si="23"/>
        <v>300</v>
      </c>
      <c r="AC57" s="652">
        <f t="shared" ca="1" si="23"/>
        <v>600</v>
      </c>
      <c r="AD57" s="652">
        <f t="shared" ca="1" si="23"/>
        <v>300</v>
      </c>
      <c r="AE57" s="652">
        <f t="shared" ca="1" si="23"/>
        <v>600</v>
      </c>
      <c r="AF57" s="652">
        <f t="shared" ca="1" si="23"/>
        <v>300</v>
      </c>
      <c r="AG57" s="652">
        <f t="shared" ca="1" si="23"/>
        <v>600</v>
      </c>
      <c r="AH57" s="652">
        <f t="shared" ca="1" si="23"/>
        <v>300</v>
      </c>
      <c r="AI57" s="652">
        <f t="shared" ca="1" si="24"/>
        <v>13465.139191630722</v>
      </c>
      <c r="AJ57" s="652">
        <f t="shared" ca="1" si="24"/>
        <v>26930.278383261444</v>
      </c>
      <c r="AK57" s="652">
        <f t="shared" ca="1" si="24"/>
        <v>13465.139191630722</v>
      </c>
      <c r="AL57" s="652">
        <f t="shared" ca="1" si="24"/>
        <v>26930.278383261444</v>
      </c>
      <c r="AM57" s="652">
        <f t="shared" ca="1" si="24"/>
        <v>13465.139191630722</v>
      </c>
      <c r="AN57" s="652">
        <f t="shared" ca="1" si="24"/>
        <v>26930.278383261444</v>
      </c>
      <c r="AO57" s="652">
        <f t="shared" ca="1" si="24"/>
        <v>13465.139191630722</v>
      </c>
      <c r="AP57" s="652">
        <f t="shared" ca="1" si="24"/>
        <v>7.9032285049888067</v>
      </c>
      <c r="AQ57" s="652">
        <f t="shared" ca="1" si="24"/>
        <v>15.806457009977613</v>
      </c>
      <c r="AR57" s="652">
        <f t="shared" ca="1" si="24"/>
        <v>7.9032285049888067</v>
      </c>
      <c r="AS57" s="652">
        <f t="shared" ca="1" si="24"/>
        <v>15.806457009977613</v>
      </c>
      <c r="AT57" s="652">
        <f t="shared" ca="1" si="24"/>
        <v>7.9032285049888067</v>
      </c>
      <c r="AU57" s="652">
        <f t="shared" ca="1" si="24"/>
        <v>15.806457009977613</v>
      </c>
      <c r="AV57" s="652">
        <f t="shared" ca="1" si="24"/>
        <v>7.9032285049888067</v>
      </c>
      <c r="AW57" s="652">
        <f t="shared" ca="1" si="21"/>
        <v>0</v>
      </c>
      <c r="AX57" s="652">
        <f t="shared" ca="1" si="21"/>
        <v>0</v>
      </c>
      <c r="AY57" s="652">
        <f t="shared" ca="1" si="21"/>
        <v>0</v>
      </c>
      <c r="AZ57" s="652">
        <f t="shared" ca="1" si="21"/>
        <v>0</v>
      </c>
      <c r="BA57" s="652">
        <f t="shared" ca="1" si="20"/>
        <v>0</v>
      </c>
      <c r="BB57" s="652">
        <f t="shared" ca="1" si="20"/>
        <v>0</v>
      </c>
      <c r="BC57" s="652">
        <f t="shared" ca="1" si="20"/>
        <v>0</v>
      </c>
      <c r="BD57" s="652">
        <f t="shared" ca="1" si="6"/>
        <v>10</v>
      </c>
      <c r="BE57" s="652">
        <f t="shared" ca="1" si="20"/>
        <v>12000</v>
      </c>
      <c r="BF57" s="652">
        <f t="shared" ca="1" si="20"/>
        <v>0</v>
      </c>
      <c r="BG57" s="652">
        <f t="shared" ca="1" si="20"/>
        <v>3000</v>
      </c>
      <c r="BH57" s="652">
        <f t="shared" ca="1" si="20"/>
        <v>0</v>
      </c>
      <c r="BI57" s="652">
        <f t="shared" ca="1" si="20"/>
        <v>134651.39191630724</v>
      </c>
      <c r="BJ57" s="652">
        <f t="shared" ca="1" si="20"/>
        <v>79.032285049888074</v>
      </c>
      <c r="BK57" s="652">
        <f t="shared" ca="1" si="20"/>
        <v>0</v>
      </c>
    </row>
    <row r="58" spans="1:63">
      <c r="A58" s="526"/>
      <c r="B58" s="662">
        <v>12</v>
      </c>
      <c r="C58" s="662" t="s">
        <v>63</v>
      </c>
      <c r="D58" s="660" t="str">
        <f t="shared" ca="1" si="26"/>
        <v>Water Cooled Chilled Water Reset, 1000-2000 tons</v>
      </c>
      <c r="E58" s="660" t="str">
        <f t="shared" ca="1" si="26"/>
        <v>Water Cooled Chilled Water Reset</v>
      </c>
      <c r="F58" s="660" t="str">
        <f t="shared" ca="1" si="26"/>
        <v>Per Unit</v>
      </c>
      <c r="G58" s="652">
        <f t="shared" ca="1" si="22"/>
        <v>2</v>
      </c>
      <c r="H58" s="652">
        <f t="shared" ca="1" si="22"/>
        <v>1</v>
      </c>
      <c r="I58" s="652">
        <f t="shared" ca="1" si="22"/>
        <v>2</v>
      </c>
      <c r="J58" s="652">
        <f t="shared" ca="1" si="22"/>
        <v>1</v>
      </c>
      <c r="K58" s="652">
        <f t="shared" ca="1" si="22"/>
        <v>2</v>
      </c>
      <c r="L58" s="652">
        <f t="shared" ca="1" si="22"/>
        <v>1</v>
      </c>
      <c r="M58" s="652">
        <f t="shared" ca="1" si="22"/>
        <v>2</v>
      </c>
      <c r="N58" s="652">
        <f t="shared" ca="1" si="22"/>
        <v>6400</v>
      </c>
      <c r="O58" s="652">
        <f t="shared" ca="1" si="22"/>
        <v>3200</v>
      </c>
      <c r="P58" s="652">
        <f t="shared" ca="1" si="22"/>
        <v>6400</v>
      </c>
      <c r="Q58" s="652">
        <f t="shared" ca="1" si="22"/>
        <v>3200</v>
      </c>
      <c r="R58" s="652">
        <f t="shared" ca="1" si="22"/>
        <v>6400</v>
      </c>
      <c r="S58" s="652">
        <f t="shared" ca="1" si="22"/>
        <v>3200</v>
      </c>
      <c r="T58" s="652">
        <f t="shared" ca="1" si="22"/>
        <v>6400</v>
      </c>
      <c r="U58" s="652">
        <f t="shared" ca="1" si="23"/>
        <v>0</v>
      </c>
      <c r="V58" s="652">
        <f t="shared" ca="1" si="23"/>
        <v>0</v>
      </c>
      <c r="W58" s="652">
        <f t="shared" ca="1" si="23"/>
        <v>0</v>
      </c>
      <c r="X58" s="652">
        <f t="shared" ca="1" si="23"/>
        <v>0</v>
      </c>
      <c r="Y58" s="652">
        <f t="shared" ca="1" si="23"/>
        <v>0</v>
      </c>
      <c r="Z58" s="652">
        <f t="shared" ca="1" si="23"/>
        <v>0</v>
      </c>
      <c r="AA58" s="652">
        <f t="shared" ca="1" si="23"/>
        <v>0</v>
      </c>
      <c r="AB58" s="652">
        <f t="shared" ca="1" si="23"/>
        <v>1600</v>
      </c>
      <c r="AC58" s="652">
        <f t="shared" ca="1" si="23"/>
        <v>800</v>
      </c>
      <c r="AD58" s="652">
        <f t="shared" ca="1" si="23"/>
        <v>1600</v>
      </c>
      <c r="AE58" s="652">
        <f t="shared" ca="1" si="23"/>
        <v>800</v>
      </c>
      <c r="AF58" s="652">
        <f t="shared" ca="1" si="23"/>
        <v>1600</v>
      </c>
      <c r="AG58" s="652">
        <f t="shared" ca="1" si="23"/>
        <v>800</v>
      </c>
      <c r="AH58" s="652">
        <f t="shared" ca="1" si="23"/>
        <v>1600</v>
      </c>
      <c r="AI58" s="652">
        <f t="shared" ca="1" si="24"/>
        <v>78559.66184210527</v>
      </c>
      <c r="AJ58" s="652">
        <f t="shared" ca="1" si="24"/>
        <v>39279.830921052635</v>
      </c>
      <c r="AK58" s="652">
        <f t="shared" ca="1" si="24"/>
        <v>78559.66184210527</v>
      </c>
      <c r="AL58" s="652">
        <f t="shared" ca="1" si="24"/>
        <v>39279.830921052635</v>
      </c>
      <c r="AM58" s="652">
        <f t="shared" ca="1" si="24"/>
        <v>78559.66184210527</v>
      </c>
      <c r="AN58" s="652">
        <f t="shared" ca="1" si="24"/>
        <v>39279.830921052635</v>
      </c>
      <c r="AO58" s="652">
        <f t="shared" ca="1" si="24"/>
        <v>78559.66184210527</v>
      </c>
      <c r="AP58" s="652">
        <f t="shared" ca="1" si="24"/>
        <v>46.10980621713243</v>
      </c>
      <c r="AQ58" s="652">
        <f t="shared" ca="1" si="24"/>
        <v>23.054903108566215</v>
      </c>
      <c r="AR58" s="652">
        <f t="shared" ca="1" si="24"/>
        <v>46.10980621713243</v>
      </c>
      <c r="AS58" s="652">
        <f t="shared" ca="1" si="24"/>
        <v>23.054903108566215</v>
      </c>
      <c r="AT58" s="652">
        <f t="shared" ca="1" si="24"/>
        <v>46.10980621713243</v>
      </c>
      <c r="AU58" s="652">
        <f t="shared" ca="1" si="24"/>
        <v>23.054903108566215</v>
      </c>
      <c r="AV58" s="652">
        <f t="shared" ca="1" si="24"/>
        <v>46.10980621713243</v>
      </c>
      <c r="AW58" s="652">
        <f t="shared" ca="1" si="21"/>
        <v>0</v>
      </c>
      <c r="AX58" s="652">
        <f t="shared" ca="1" si="21"/>
        <v>0</v>
      </c>
      <c r="AY58" s="652">
        <f t="shared" ca="1" si="21"/>
        <v>0</v>
      </c>
      <c r="AZ58" s="652">
        <f t="shared" ca="1" si="21"/>
        <v>0</v>
      </c>
      <c r="BA58" s="652">
        <f t="shared" ca="1" si="20"/>
        <v>0</v>
      </c>
      <c r="BB58" s="652">
        <f t="shared" ca="1" si="20"/>
        <v>0</v>
      </c>
      <c r="BC58" s="652">
        <f t="shared" ca="1" si="20"/>
        <v>0</v>
      </c>
      <c r="BD58" s="652">
        <f t="shared" ca="1" si="6"/>
        <v>11</v>
      </c>
      <c r="BE58" s="652">
        <f t="shared" ca="1" si="20"/>
        <v>35200</v>
      </c>
      <c r="BF58" s="652">
        <f t="shared" ca="1" si="20"/>
        <v>0</v>
      </c>
      <c r="BG58" s="652">
        <f t="shared" ca="1" si="20"/>
        <v>8800</v>
      </c>
      <c r="BH58" s="652">
        <f t="shared" ca="1" si="20"/>
        <v>0</v>
      </c>
      <c r="BI58" s="652">
        <f t="shared" ca="1" si="20"/>
        <v>432078.14013157896</v>
      </c>
      <c r="BJ58" s="652">
        <f t="shared" ca="1" si="20"/>
        <v>253.60393419422837</v>
      </c>
      <c r="BK58" s="652">
        <f t="shared" ca="1" si="20"/>
        <v>0</v>
      </c>
    </row>
    <row r="59" spans="1:63">
      <c r="A59" s="526"/>
      <c r="B59" s="662">
        <v>13</v>
      </c>
      <c r="C59" s="662" t="s">
        <v>63</v>
      </c>
      <c r="D59" s="660" t="str">
        <f t="shared" ca="1" si="26"/>
        <v>Water Cooled Chilled Water Reset, 2000-3000 tons</v>
      </c>
      <c r="E59" s="660" t="str">
        <f t="shared" ca="1" si="26"/>
        <v>Water Cooled Chilled Water Reset</v>
      </c>
      <c r="F59" s="660" t="str">
        <f t="shared" ca="1" si="26"/>
        <v>Per Unit</v>
      </c>
      <c r="G59" s="652">
        <f t="shared" ca="1" si="22"/>
        <v>1</v>
      </c>
      <c r="H59" s="652">
        <f t="shared" ca="1" si="22"/>
        <v>0</v>
      </c>
      <c r="I59" s="652">
        <f t="shared" ca="1" si="22"/>
        <v>0</v>
      </c>
      <c r="J59" s="652">
        <f t="shared" ca="1" si="22"/>
        <v>1</v>
      </c>
      <c r="K59" s="652">
        <f t="shared" ca="1" si="22"/>
        <v>0</v>
      </c>
      <c r="L59" s="652">
        <f t="shared" ca="1" si="22"/>
        <v>0</v>
      </c>
      <c r="M59" s="652">
        <f t="shared" ca="1" si="22"/>
        <v>1</v>
      </c>
      <c r="N59" s="652">
        <f t="shared" ca="1" si="22"/>
        <v>8000</v>
      </c>
      <c r="O59" s="652">
        <f t="shared" ca="1" si="22"/>
        <v>0</v>
      </c>
      <c r="P59" s="652">
        <f t="shared" ca="1" si="22"/>
        <v>0</v>
      </c>
      <c r="Q59" s="652">
        <f t="shared" ca="1" si="22"/>
        <v>8000</v>
      </c>
      <c r="R59" s="652">
        <f t="shared" ca="1" si="22"/>
        <v>0</v>
      </c>
      <c r="S59" s="652">
        <f t="shared" ca="1" si="22"/>
        <v>0</v>
      </c>
      <c r="T59" s="652">
        <f t="shared" ref="G59:T75" ca="1" si="27">VLOOKUP($B59,INDIRECT("'"&amp;$C59&amp;"'!A6:FR1000"),IF(T$6="Participation 2023",MATCH("__Participation 2023",INDIRECT("'"&amp;$C59&amp;"'!1:1"),0),IF(T$6="Participation",MATCH("_Total Plan Summary _Participation",INDIRECT("'"&amp;$C59&amp;"'!1:1"),0),MATCH(T$4&amp;"_"&amp;T$5&amp;"_"&amp;T$6,INDIRECT("'"&amp;$C59&amp;"'!1:1"),0))),0)</f>
        <v>8000</v>
      </c>
      <c r="U59" s="652">
        <f t="shared" ca="1" si="23"/>
        <v>0</v>
      </c>
      <c r="V59" s="652">
        <f t="shared" ca="1" si="23"/>
        <v>0</v>
      </c>
      <c r="W59" s="652">
        <f t="shared" ca="1" si="23"/>
        <v>0</v>
      </c>
      <c r="X59" s="652">
        <f t="shared" ca="1" si="23"/>
        <v>0</v>
      </c>
      <c r="Y59" s="652">
        <f t="shared" ca="1" si="23"/>
        <v>0</v>
      </c>
      <c r="Z59" s="652">
        <f t="shared" ca="1" si="23"/>
        <v>0</v>
      </c>
      <c r="AA59" s="652">
        <f t="shared" ca="1" si="23"/>
        <v>0</v>
      </c>
      <c r="AB59" s="652">
        <f t="shared" ca="1" si="23"/>
        <v>2000</v>
      </c>
      <c r="AC59" s="652">
        <f t="shared" ca="1" si="23"/>
        <v>0</v>
      </c>
      <c r="AD59" s="652">
        <f t="shared" ca="1" si="23"/>
        <v>0</v>
      </c>
      <c r="AE59" s="652">
        <f t="shared" ca="1" si="23"/>
        <v>2000</v>
      </c>
      <c r="AF59" s="652">
        <f t="shared" ca="1" si="23"/>
        <v>0</v>
      </c>
      <c r="AG59" s="652">
        <f t="shared" ca="1" si="23"/>
        <v>0</v>
      </c>
      <c r="AH59" s="652">
        <f t="shared" ref="U59:AH75" ca="1" si="28">VLOOKUP($B59,INDIRECT("'"&amp;$C59&amp;"'!A6:FR1000"),IF(AH$6="Participation 2023",MATCH("__Participation 2023",INDIRECT("'"&amp;$C59&amp;"'!1:1"),0),IF(AH$6="Participation",MATCH("_Total Plan Summary _Participation",INDIRECT("'"&amp;$C59&amp;"'!1:1"),0),MATCH(AH$4&amp;"_"&amp;AH$5&amp;"_"&amp;AH$6,INDIRECT("'"&amp;$C59&amp;"'!1:1"),0))),0)</f>
        <v>2000</v>
      </c>
      <c r="AI59" s="652">
        <f t="shared" ca="1" si="24"/>
        <v>65466.384868421061</v>
      </c>
      <c r="AJ59" s="652">
        <f t="shared" ca="1" si="24"/>
        <v>0</v>
      </c>
      <c r="AK59" s="652">
        <f t="shared" ca="1" si="24"/>
        <v>0</v>
      </c>
      <c r="AL59" s="652">
        <f t="shared" ca="1" si="24"/>
        <v>65466.384868421061</v>
      </c>
      <c r="AM59" s="652">
        <f t="shared" ca="1" si="24"/>
        <v>0</v>
      </c>
      <c r="AN59" s="652">
        <f t="shared" ca="1" si="24"/>
        <v>0</v>
      </c>
      <c r="AO59" s="652">
        <f t="shared" ca="1" si="24"/>
        <v>65466.384868421061</v>
      </c>
      <c r="AP59" s="652">
        <f t="shared" ca="1" si="24"/>
        <v>38.424838514277027</v>
      </c>
      <c r="AQ59" s="652">
        <f t="shared" ca="1" si="24"/>
        <v>0</v>
      </c>
      <c r="AR59" s="652">
        <f t="shared" ca="1" si="24"/>
        <v>0</v>
      </c>
      <c r="AS59" s="652">
        <f t="shared" ca="1" si="24"/>
        <v>38.424838514277027</v>
      </c>
      <c r="AT59" s="652">
        <f t="shared" ca="1" si="24"/>
        <v>0</v>
      </c>
      <c r="AU59" s="652">
        <f t="shared" ca="1" si="24"/>
        <v>0</v>
      </c>
      <c r="AV59" s="652">
        <f t="shared" ref="AI59:AV70" ca="1" si="29">VLOOKUP($B59,INDIRECT("'"&amp;$C59&amp;"'!A6:FR1000"),IF(AV$6="Participation 2023",MATCH("__Participation 2023",INDIRECT("'"&amp;$C59&amp;"'!1:1"),0),IF(AV$6="Participation",MATCH("_Total Plan Summary _Participation",INDIRECT("'"&amp;$C59&amp;"'!1:1"),0),MATCH(AV$4&amp;"_"&amp;AV$5&amp;"_"&amp;AV$6,INDIRECT("'"&amp;$C59&amp;"'!1:1"),0))),0)</f>
        <v>38.424838514277027</v>
      </c>
      <c r="AW59" s="652">
        <f t="shared" ca="1" si="21"/>
        <v>0</v>
      </c>
      <c r="AX59" s="652">
        <f t="shared" ca="1" si="21"/>
        <v>0</v>
      </c>
      <c r="AY59" s="652">
        <f t="shared" ca="1" si="21"/>
        <v>0</v>
      </c>
      <c r="AZ59" s="652">
        <f t="shared" ca="1" si="21"/>
        <v>0</v>
      </c>
      <c r="BA59" s="652">
        <f t="shared" ca="1" si="20"/>
        <v>0</v>
      </c>
      <c r="BB59" s="652">
        <f t="shared" ca="1" si="20"/>
        <v>0</v>
      </c>
      <c r="BC59" s="652">
        <f t="shared" ca="1" si="20"/>
        <v>0</v>
      </c>
      <c r="BD59" s="652">
        <f t="shared" ca="1" si="6"/>
        <v>3</v>
      </c>
      <c r="BE59" s="652">
        <f t="shared" ca="1" si="20"/>
        <v>24000</v>
      </c>
      <c r="BF59" s="652">
        <f t="shared" ca="1" si="20"/>
        <v>0</v>
      </c>
      <c r="BG59" s="652">
        <f t="shared" ca="1" si="20"/>
        <v>6000</v>
      </c>
      <c r="BH59" s="652">
        <f t="shared" ca="1" si="20"/>
        <v>0</v>
      </c>
      <c r="BI59" s="652">
        <f t="shared" ca="1" si="20"/>
        <v>196399.15460526317</v>
      </c>
      <c r="BJ59" s="652">
        <f t="shared" ca="1" si="20"/>
        <v>115.27451554283108</v>
      </c>
      <c r="BK59" s="652">
        <f t="shared" ca="1" si="20"/>
        <v>0</v>
      </c>
    </row>
    <row r="60" spans="1:63">
      <c r="A60" s="526"/>
      <c r="B60" s="662">
        <v>14</v>
      </c>
      <c r="C60" s="662" t="s">
        <v>63</v>
      </c>
      <c r="D60" s="660" t="str">
        <f t="shared" ca="1" si="26"/>
        <v>Motor - High Efficiency (1 HP - 250 HP)</v>
      </c>
      <c r="E60" s="660" t="str">
        <f t="shared" ca="1" si="26"/>
        <v>High Efficiency Motors - 1 HP to 250 HP (Open Drip Roof and Totally Enclosed Fan-Cooled)</v>
      </c>
      <c r="F60" s="660" t="str">
        <f t="shared" ca="1" si="26"/>
        <v>Per HP</v>
      </c>
      <c r="G60" s="652">
        <f t="shared" ca="1" si="27"/>
        <v>807</v>
      </c>
      <c r="H60" s="652">
        <f t="shared" ca="1" si="27"/>
        <v>807</v>
      </c>
      <c r="I60" s="652">
        <f t="shared" ca="1" si="27"/>
        <v>807</v>
      </c>
      <c r="J60" s="652">
        <f t="shared" ca="1" si="27"/>
        <v>807</v>
      </c>
      <c r="K60" s="652">
        <f t="shared" ca="1" si="27"/>
        <v>807</v>
      </c>
      <c r="L60" s="652">
        <f t="shared" ca="1" si="27"/>
        <v>807</v>
      </c>
      <c r="M60" s="652">
        <f t="shared" ca="1" si="27"/>
        <v>807</v>
      </c>
      <c r="N60" s="652">
        <f t="shared" ca="1" si="27"/>
        <v>69696.315002268952</v>
      </c>
      <c r="O60" s="652">
        <f t="shared" ca="1" si="27"/>
        <v>69696.315002268952</v>
      </c>
      <c r="P60" s="652">
        <f t="shared" ca="1" si="27"/>
        <v>69696.315002268952</v>
      </c>
      <c r="Q60" s="652">
        <f t="shared" ca="1" si="27"/>
        <v>69696.315002268952</v>
      </c>
      <c r="R60" s="652">
        <f t="shared" ca="1" si="27"/>
        <v>69696.315002268952</v>
      </c>
      <c r="S60" s="652">
        <f t="shared" ca="1" si="27"/>
        <v>69696.315002268952</v>
      </c>
      <c r="T60" s="652">
        <f t="shared" ca="1" si="27"/>
        <v>69696.315002268952</v>
      </c>
      <c r="U60" s="652">
        <f t="shared" ca="1" si="28"/>
        <v>0</v>
      </c>
      <c r="V60" s="652">
        <f t="shared" ca="1" si="28"/>
        <v>0</v>
      </c>
      <c r="W60" s="652">
        <f t="shared" ca="1" si="28"/>
        <v>0</v>
      </c>
      <c r="X60" s="652">
        <f t="shared" ca="1" si="28"/>
        <v>0</v>
      </c>
      <c r="Y60" s="652">
        <f t="shared" ca="1" si="28"/>
        <v>0</v>
      </c>
      <c r="Z60" s="652">
        <f t="shared" ca="1" si="28"/>
        <v>0</v>
      </c>
      <c r="AA60" s="652">
        <f t="shared" ca="1" si="28"/>
        <v>0</v>
      </c>
      <c r="AB60" s="652">
        <f t="shared" ca="1" si="28"/>
        <v>1614</v>
      </c>
      <c r="AC60" s="652">
        <f t="shared" ca="1" si="28"/>
        <v>1614</v>
      </c>
      <c r="AD60" s="652">
        <f t="shared" ca="1" si="28"/>
        <v>1614</v>
      </c>
      <c r="AE60" s="652">
        <f t="shared" ca="1" si="28"/>
        <v>1614</v>
      </c>
      <c r="AF60" s="652">
        <f t="shared" ca="1" si="28"/>
        <v>1614</v>
      </c>
      <c r="AG60" s="652">
        <f t="shared" ca="1" si="28"/>
        <v>1614</v>
      </c>
      <c r="AH60" s="652">
        <f t="shared" ca="1" si="28"/>
        <v>1614</v>
      </c>
      <c r="AI60" s="652">
        <f t="shared" ca="1" si="29"/>
        <v>24390.566250000003</v>
      </c>
      <c r="AJ60" s="652">
        <f t="shared" ca="1" si="29"/>
        <v>24390.566250000003</v>
      </c>
      <c r="AK60" s="652">
        <f t="shared" ca="1" si="29"/>
        <v>24390.566250000003</v>
      </c>
      <c r="AL60" s="652">
        <f t="shared" ca="1" si="29"/>
        <v>24390.566250000003</v>
      </c>
      <c r="AM60" s="652">
        <f t="shared" ca="1" si="29"/>
        <v>24390.566250000003</v>
      </c>
      <c r="AN60" s="652">
        <f t="shared" ca="1" si="29"/>
        <v>24390.566250000003</v>
      </c>
      <c r="AO60" s="652">
        <f t="shared" ca="1" si="29"/>
        <v>24390.566250000003</v>
      </c>
      <c r="AP60" s="652">
        <f t="shared" ca="1" si="29"/>
        <v>5.0870141666666662</v>
      </c>
      <c r="AQ60" s="652">
        <f t="shared" ca="1" si="29"/>
        <v>5.0870141666666662</v>
      </c>
      <c r="AR60" s="652">
        <f t="shared" ca="1" si="29"/>
        <v>5.0870141666666662</v>
      </c>
      <c r="AS60" s="652">
        <f t="shared" ca="1" si="29"/>
        <v>5.0870141666666662</v>
      </c>
      <c r="AT60" s="652">
        <f t="shared" ca="1" si="29"/>
        <v>5.0870141666666662</v>
      </c>
      <c r="AU60" s="652">
        <f t="shared" ca="1" si="29"/>
        <v>5.0870141666666662</v>
      </c>
      <c r="AV60" s="652">
        <f t="shared" ca="1" si="29"/>
        <v>5.0870141666666662</v>
      </c>
      <c r="AW60" s="652">
        <f t="shared" ca="1" si="21"/>
        <v>0</v>
      </c>
      <c r="AX60" s="652">
        <f t="shared" ca="1" si="21"/>
        <v>0</v>
      </c>
      <c r="AY60" s="652">
        <f t="shared" ca="1" si="21"/>
        <v>0</v>
      </c>
      <c r="AZ60" s="652">
        <f t="shared" ca="1" si="21"/>
        <v>0</v>
      </c>
      <c r="BA60" s="652">
        <f t="shared" ca="1" si="20"/>
        <v>0</v>
      </c>
      <c r="BB60" s="652">
        <f t="shared" ca="1" si="20"/>
        <v>0</v>
      </c>
      <c r="BC60" s="652">
        <f t="shared" ca="1" si="20"/>
        <v>0</v>
      </c>
      <c r="BD60" s="652">
        <f t="shared" ca="1" si="6"/>
        <v>5649</v>
      </c>
      <c r="BE60" s="652">
        <f t="shared" ca="1" si="20"/>
        <v>487874.20501588262</v>
      </c>
      <c r="BF60" s="652">
        <f t="shared" ca="1" si="20"/>
        <v>0</v>
      </c>
      <c r="BG60" s="652">
        <f t="shared" ca="1" si="20"/>
        <v>11298</v>
      </c>
      <c r="BH60" s="652">
        <f t="shared" ca="1" si="20"/>
        <v>0</v>
      </c>
      <c r="BI60" s="652">
        <f t="shared" ca="1" si="20"/>
        <v>170733.96375000002</v>
      </c>
      <c r="BJ60" s="652">
        <f t="shared" ca="1" si="20"/>
        <v>35.609099166666667</v>
      </c>
      <c r="BK60" s="652">
        <f t="shared" ca="1" si="20"/>
        <v>0</v>
      </c>
    </row>
    <row r="61" spans="1:63">
      <c r="A61" s="526"/>
      <c r="B61" s="662">
        <v>15</v>
      </c>
      <c r="C61" s="662" t="s">
        <v>63</v>
      </c>
      <c r="D61" s="660" t="str">
        <f t="shared" ca="1" si="26"/>
        <v>Pump - High Efficiency (7.5 HP)</v>
      </c>
      <c r="E61" s="660" t="str">
        <f t="shared" ca="1" si="26"/>
        <v xml:space="preserve">Efficiency of 73% or more for system </v>
      </c>
      <c r="F61" s="660" t="str">
        <f t="shared" ca="1" si="26"/>
        <v>Per Pump</v>
      </c>
      <c r="G61" s="652">
        <f t="shared" ca="1" si="27"/>
        <v>3.0714285714285712</v>
      </c>
      <c r="H61" s="652">
        <f t="shared" ca="1" si="27"/>
        <v>3.0714285714285712</v>
      </c>
      <c r="I61" s="652">
        <f t="shared" ca="1" si="27"/>
        <v>3.0714285714285712</v>
      </c>
      <c r="J61" s="652">
        <f t="shared" ca="1" si="27"/>
        <v>3.0714285714285712</v>
      </c>
      <c r="K61" s="652">
        <f t="shared" ca="1" si="27"/>
        <v>3.0714285714285712</v>
      </c>
      <c r="L61" s="652">
        <f t="shared" ca="1" si="27"/>
        <v>3.0714285714285712</v>
      </c>
      <c r="M61" s="652">
        <f t="shared" ca="1" si="27"/>
        <v>3.0714285714285712</v>
      </c>
      <c r="N61" s="652">
        <f t="shared" ca="1" si="27"/>
        <v>2689.8271120711966</v>
      </c>
      <c r="O61" s="652">
        <f t="shared" ca="1" si="27"/>
        <v>2689.8271120711966</v>
      </c>
      <c r="P61" s="652">
        <f t="shared" ca="1" si="27"/>
        <v>2689.8271120711966</v>
      </c>
      <c r="Q61" s="652">
        <f t="shared" ca="1" si="27"/>
        <v>2689.8271120711966</v>
      </c>
      <c r="R61" s="652">
        <f t="shared" ca="1" si="27"/>
        <v>2689.8271120711966</v>
      </c>
      <c r="S61" s="652">
        <f t="shared" ca="1" si="27"/>
        <v>2689.8271120711966</v>
      </c>
      <c r="T61" s="652">
        <f t="shared" ca="1" si="27"/>
        <v>2689.8271120711966</v>
      </c>
      <c r="U61" s="652">
        <f t="shared" ca="1" si="28"/>
        <v>0</v>
      </c>
      <c r="V61" s="652">
        <f t="shared" ca="1" si="28"/>
        <v>0</v>
      </c>
      <c r="W61" s="652">
        <f t="shared" ca="1" si="28"/>
        <v>0</v>
      </c>
      <c r="X61" s="652">
        <f t="shared" ca="1" si="28"/>
        <v>0</v>
      </c>
      <c r="Y61" s="652">
        <f t="shared" ca="1" si="28"/>
        <v>0</v>
      </c>
      <c r="Z61" s="652">
        <f t="shared" ca="1" si="28"/>
        <v>0</v>
      </c>
      <c r="AA61" s="652">
        <f t="shared" ca="1" si="28"/>
        <v>0</v>
      </c>
      <c r="AB61" s="652">
        <f t="shared" ca="1" si="28"/>
        <v>153.57142857142856</v>
      </c>
      <c r="AC61" s="652">
        <f t="shared" ca="1" si="28"/>
        <v>153.57142857142856</v>
      </c>
      <c r="AD61" s="652">
        <f t="shared" ca="1" si="28"/>
        <v>153.57142857142856</v>
      </c>
      <c r="AE61" s="652">
        <f t="shared" ca="1" si="28"/>
        <v>153.57142857142856</v>
      </c>
      <c r="AF61" s="652">
        <f t="shared" ca="1" si="28"/>
        <v>153.57142857142856</v>
      </c>
      <c r="AG61" s="652">
        <f t="shared" ca="1" si="28"/>
        <v>153.57142857142856</v>
      </c>
      <c r="AH61" s="652">
        <f t="shared" ca="1" si="28"/>
        <v>153.57142857142856</v>
      </c>
      <c r="AI61" s="652">
        <f t="shared" ca="1" si="29"/>
        <v>5170.9419642857138</v>
      </c>
      <c r="AJ61" s="652">
        <f t="shared" ca="1" si="29"/>
        <v>5170.9419642857138</v>
      </c>
      <c r="AK61" s="652">
        <f t="shared" ca="1" si="29"/>
        <v>5170.9419642857138</v>
      </c>
      <c r="AL61" s="652">
        <f t="shared" ca="1" si="29"/>
        <v>5170.9419642857138</v>
      </c>
      <c r="AM61" s="652">
        <f t="shared" ca="1" si="29"/>
        <v>5170.9419642857138</v>
      </c>
      <c r="AN61" s="652">
        <f t="shared" ca="1" si="29"/>
        <v>5170.9419642857138</v>
      </c>
      <c r="AO61" s="652">
        <f t="shared" ca="1" si="29"/>
        <v>5170.9419642857138</v>
      </c>
      <c r="AP61" s="652">
        <f t="shared" ca="1" si="29"/>
        <v>1.7334374999999997</v>
      </c>
      <c r="AQ61" s="652">
        <f t="shared" ca="1" si="29"/>
        <v>1.7334374999999997</v>
      </c>
      <c r="AR61" s="652">
        <f t="shared" ca="1" si="29"/>
        <v>1.7334374999999997</v>
      </c>
      <c r="AS61" s="652">
        <f t="shared" ca="1" si="29"/>
        <v>1.7334374999999997</v>
      </c>
      <c r="AT61" s="652">
        <f t="shared" ca="1" si="29"/>
        <v>1.7334374999999997</v>
      </c>
      <c r="AU61" s="652">
        <f t="shared" ca="1" si="29"/>
        <v>1.7334374999999997</v>
      </c>
      <c r="AV61" s="652">
        <f t="shared" ca="1" si="29"/>
        <v>1.7334374999999997</v>
      </c>
      <c r="AW61" s="652">
        <f t="shared" ca="1" si="21"/>
        <v>0</v>
      </c>
      <c r="AX61" s="652">
        <f t="shared" ca="1" si="21"/>
        <v>0</v>
      </c>
      <c r="AY61" s="652">
        <f t="shared" ca="1" si="21"/>
        <v>0</v>
      </c>
      <c r="AZ61" s="652">
        <f t="shared" ca="1" si="21"/>
        <v>0</v>
      </c>
      <c r="BA61" s="652">
        <f t="shared" ca="1" si="20"/>
        <v>0</v>
      </c>
      <c r="BB61" s="652">
        <f t="shared" ca="1" si="20"/>
        <v>0</v>
      </c>
      <c r="BC61" s="652">
        <f t="shared" ca="1" si="20"/>
        <v>0</v>
      </c>
      <c r="BD61" s="652">
        <f t="shared" ca="1" si="6"/>
        <v>21.5</v>
      </c>
      <c r="BE61" s="652">
        <f t="shared" ca="1" si="20"/>
        <v>18828.789784498375</v>
      </c>
      <c r="BF61" s="652">
        <f t="shared" ca="1" si="20"/>
        <v>0</v>
      </c>
      <c r="BG61" s="652">
        <f t="shared" ca="1" si="20"/>
        <v>1075</v>
      </c>
      <c r="BH61" s="652">
        <f t="shared" ca="1" si="20"/>
        <v>0</v>
      </c>
      <c r="BI61" s="652">
        <f t="shared" ca="1" si="20"/>
        <v>36196.59375</v>
      </c>
      <c r="BJ61" s="652">
        <f t="shared" ca="1" si="20"/>
        <v>12.134062499999997</v>
      </c>
      <c r="BK61" s="652">
        <f t="shared" ca="1" si="20"/>
        <v>0</v>
      </c>
    </row>
    <row r="62" spans="1:63">
      <c r="A62" s="526"/>
      <c r="B62" s="662">
        <v>16</v>
      </c>
      <c r="C62" s="662" t="s">
        <v>63</v>
      </c>
      <c r="D62" s="660" t="str">
        <f t="shared" ca="1" si="26"/>
        <v>Pump - High Efficiency (10 HP)</v>
      </c>
      <c r="E62" s="660" t="str">
        <f t="shared" ca="1" si="26"/>
        <v xml:space="preserve">Efficiency of 75% or more for system </v>
      </c>
      <c r="F62" s="660" t="str">
        <f t="shared" ca="1" si="26"/>
        <v>Per Pump</v>
      </c>
      <c r="G62" s="652">
        <f t="shared" ca="1" si="27"/>
        <v>5.1428571428571423</v>
      </c>
      <c r="H62" s="652">
        <f t="shared" ca="1" si="27"/>
        <v>5.1428571428571423</v>
      </c>
      <c r="I62" s="652">
        <f t="shared" ca="1" si="27"/>
        <v>5.1428571428571423</v>
      </c>
      <c r="J62" s="652">
        <f t="shared" ca="1" si="27"/>
        <v>5.1428571428571423</v>
      </c>
      <c r="K62" s="652">
        <f t="shared" ca="1" si="27"/>
        <v>5.1428571428571423</v>
      </c>
      <c r="L62" s="652">
        <f t="shared" ca="1" si="27"/>
        <v>5.1428571428571423</v>
      </c>
      <c r="M62" s="652">
        <f t="shared" ca="1" si="27"/>
        <v>5.1428571428571423</v>
      </c>
      <c r="N62" s="652">
        <f t="shared" ca="1" si="27"/>
        <v>4865.8581716543276</v>
      </c>
      <c r="O62" s="652">
        <f t="shared" ca="1" si="27"/>
        <v>4865.8581716543276</v>
      </c>
      <c r="P62" s="652">
        <f t="shared" ca="1" si="27"/>
        <v>4865.8581716543276</v>
      </c>
      <c r="Q62" s="652">
        <f t="shared" ca="1" si="27"/>
        <v>4865.8581716543276</v>
      </c>
      <c r="R62" s="652">
        <f t="shared" ca="1" si="27"/>
        <v>4865.8581716543276</v>
      </c>
      <c r="S62" s="652">
        <f t="shared" ca="1" si="27"/>
        <v>4865.8581716543276</v>
      </c>
      <c r="T62" s="652">
        <f t="shared" ca="1" si="27"/>
        <v>4865.8581716543276</v>
      </c>
      <c r="U62" s="652">
        <f t="shared" ca="1" si="28"/>
        <v>0</v>
      </c>
      <c r="V62" s="652">
        <f t="shared" ca="1" si="28"/>
        <v>0</v>
      </c>
      <c r="W62" s="652">
        <f t="shared" ca="1" si="28"/>
        <v>0</v>
      </c>
      <c r="X62" s="652">
        <f t="shared" ca="1" si="28"/>
        <v>0</v>
      </c>
      <c r="Y62" s="652">
        <f t="shared" ca="1" si="28"/>
        <v>0</v>
      </c>
      <c r="Z62" s="652">
        <f t="shared" ca="1" si="28"/>
        <v>0</v>
      </c>
      <c r="AA62" s="652">
        <f t="shared" ca="1" si="28"/>
        <v>0</v>
      </c>
      <c r="AB62" s="652">
        <f t="shared" ca="1" si="28"/>
        <v>308.57142857142856</v>
      </c>
      <c r="AC62" s="652">
        <f t="shared" ca="1" si="28"/>
        <v>308.57142857142856</v>
      </c>
      <c r="AD62" s="652">
        <f t="shared" ca="1" si="28"/>
        <v>308.57142857142856</v>
      </c>
      <c r="AE62" s="652">
        <f t="shared" ca="1" si="28"/>
        <v>308.57142857142856</v>
      </c>
      <c r="AF62" s="652">
        <f t="shared" ca="1" si="28"/>
        <v>308.57142857142856</v>
      </c>
      <c r="AG62" s="652">
        <f t="shared" ca="1" si="28"/>
        <v>308.57142857142856</v>
      </c>
      <c r="AH62" s="652">
        <f t="shared" ca="1" si="28"/>
        <v>308.57142857142856</v>
      </c>
      <c r="AI62" s="652">
        <f t="shared" ca="1" si="29"/>
        <v>11544.428571428571</v>
      </c>
      <c r="AJ62" s="652">
        <f t="shared" ca="1" si="29"/>
        <v>11544.428571428571</v>
      </c>
      <c r="AK62" s="652">
        <f t="shared" ca="1" si="29"/>
        <v>11544.428571428571</v>
      </c>
      <c r="AL62" s="652">
        <f t="shared" ca="1" si="29"/>
        <v>11544.428571428571</v>
      </c>
      <c r="AM62" s="652">
        <f t="shared" ca="1" si="29"/>
        <v>11544.428571428571</v>
      </c>
      <c r="AN62" s="652">
        <f t="shared" ca="1" si="29"/>
        <v>11544.428571428571</v>
      </c>
      <c r="AO62" s="652">
        <f t="shared" ca="1" si="29"/>
        <v>11544.428571428571</v>
      </c>
      <c r="AP62" s="652">
        <f t="shared" ca="1" si="29"/>
        <v>3.8699999999999992</v>
      </c>
      <c r="AQ62" s="652">
        <f t="shared" ca="1" si="29"/>
        <v>3.8699999999999992</v>
      </c>
      <c r="AR62" s="652">
        <f t="shared" ca="1" si="29"/>
        <v>3.8699999999999992</v>
      </c>
      <c r="AS62" s="652">
        <f t="shared" ca="1" si="29"/>
        <v>3.8699999999999992</v>
      </c>
      <c r="AT62" s="652">
        <f t="shared" ca="1" si="29"/>
        <v>3.8699999999999992</v>
      </c>
      <c r="AU62" s="652">
        <f t="shared" ca="1" si="29"/>
        <v>3.8699999999999992</v>
      </c>
      <c r="AV62" s="652">
        <f t="shared" ca="1" si="29"/>
        <v>3.8699999999999992</v>
      </c>
      <c r="AW62" s="652">
        <f t="shared" ca="1" si="21"/>
        <v>0</v>
      </c>
      <c r="AX62" s="652">
        <f t="shared" ca="1" si="21"/>
        <v>0</v>
      </c>
      <c r="AY62" s="652">
        <f t="shared" ca="1" si="21"/>
        <v>0</v>
      </c>
      <c r="AZ62" s="652">
        <f t="shared" ca="1" si="21"/>
        <v>0</v>
      </c>
      <c r="BA62" s="652">
        <f t="shared" ca="1" si="20"/>
        <v>0</v>
      </c>
      <c r="BB62" s="652">
        <f t="shared" ca="1" si="20"/>
        <v>0</v>
      </c>
      <c r="BC62" s="652">
        <f t="shared" ca="1" si="20"/>
        <v>0</v>
      </c>
      <c r="BD62" s="652">
        <f t="shared" ca="1" si="6"/>
        <v>36</v>
      </c>
      <c r="BE62" s="652">
        <f t="shared" ca="1" si="20"/>
        <v>34061.007201580294</v>
      </c>
      <c r="BF62" s="652">
        <f t="shared" ca="1" si="20"/>
        <v>0</v>
      </c>
      <c r="BG62" s="652">
        <f t="shared" ca="1" si="20"/>
        <v>2159.9999999999995</v>
      </c>
      <c r="BH62" s="652">
        <f t="shared" ca="1" si="20"/>
        <v>0</v>
      </c>
      <c r="BI62" s="652">
        <f t="shared" ca="1" si="20"/>
        <v>80810.999999999985</v>
      </c>
      <c r="BJ62" s="652">
        <f t="shared" ca="1" si="20"/>
        <v>27.089999999999989</v>
      </c>
      <c r="BK62" s="652">
        <f t="shared" ca="1" si="20"/>
        <v>0</v>
      </c>
    </row>
    <row r="63" spans="1:63">
      <c r="A63" s="526"/>
      <c r="B63" s="662">
        <v>17</v>
      </c>
      <c r="C63" s="662" t="s">
        <v>63</v>
      </c>
      <c r="D63" s="660" t="str">
        <f t="shared" ca="1" si="26"/>
        <v>Pump - High Efficiency (15 HP)</v>
      </c>
      <c r="E63" s="660" t="str">
        <f t="shared" ca="1" si="26"/>
        <v xml:space="preserve">Efficiency of 77% or more for system </v>
      </c>
      <c r="F63" s="660" t="str">
        <f t="shared" ca="1" si="26"/>
        <v>Per Pump</v>
      </c>
      <c r="G63" s="652">
        <f t="shared" ca="1" si="27"/>
        <v>0.5</v>
      </c>
      <c r="H63" s="652">
        <f t="shared" ca="1" si="27"/>
        <v>0.5</v>
      </c>
      <c r="I63" s="652">
        <f t="shared" ca="1" si="27"/>
        <v>0.5</v>
      </c>
      <c r="J63" s="652">
        <f t="shared" ca="1" si="27"/>
        <v>0.5</v>
      </c>
      <c r="K63" s="652">
        <f t="shared" ca="1" si="27"/>
        <v>0.5</v>
      </c>
      <c r="L63" s="652">
        <f t="shared" ca="1" si="27"/>
        <v>0.5</v>
      </c>
      <c r="M63" s="652">
        <f t="shared" ca="1" si="27"/>
        <v>0.5</v>
      </c>
      <c r="N63" s="652">
        <f t="shared" ca="1" si="27"/>
        <v>527.52216356426948</v>
      </c>
      <c r="O63" s="652">
        <f t="shared" ca="1" si="27"/>
        <v>527.52216356426948</v>
      </c>
      <c r="P63" s="652">
        <f t="shared" ca="1" si="27"/>
        <v>527.52216356426948</v>
      </c>
      <c r="Q63" s="652">
        <f t="shared" ca="1" si="27"/>
        <v>527.52216356426948</v>
      </c>
      <c r="R63" s="652">
        <f t="shared" ca="1" si="27"/>
        <v>527.52216356426948</v>
      </c>
      <c r="S63" s="652">
        <f t="shared" ca="1" si="27"/>
        <v>527.52216356426948</v>
      </c>
      <c r="T63" s="652">
        <f t="shared" ca="1" si="27"/>
        <v>527.52216356426948</v>
      </c>
      <c r="U63" s="652">
        <f t="shared" ca="1" si="28"/>
        <v>0</v>
      </c>
      <c r="V63" s="652">
        <f t="shared" ca="1" si="28"/>
        <v>0</v>
      </c>
      <c r="W63" s="652">
        <f t="shared" ca="1" si="28"/>
        <v>0</v>
      </c>
      <c r="X63" s="652">
        <f t="shared" ca="1" si="28"/>
        <v>0</v>
      </c>
      <c r="Y63" s="652">
        <f t="shared" ca="1" si="28"/>
        <v>0</v>
      </c>
      <c r="Z63" s="652">
        <f t="shared" ca="1" si="28"/>
        <v>0</v>
      </c>
      <c r="AA63" s="652">
        <f t="shared" ca="1" si="28"/>
        <v>0</v>
      </c>
      <c r="AB63" s="652">
        <f t="shared" ca="1" si="28"/>
        <v>50</v>
      </c>
      <c r="AC63" s="652">
        <f t="shared" ca="1" si="28"/>
        <v>50</v>
      </c>
      <c r="AD63" s="652">
        <f t="shared" ca="1" si="28"/>
        <v>50</v>
      </c>
      <c r="AE63" s="652">
        <f t="shared" ca="1" si="28"/>
        <v>50</v>
      </c>
      <c r="AF63" s="652">
        <f t="shared" ca="1" si="28"/>
        <v>50</v>
      </c>
      <c r="AG63" s="652">
        <f t="shared" ca="1" si="28"/>
        <v>50</v>
      </c>
      <c r="AH63" s="652">
        <f t="shared" ca="1" si="28"/>
        <v>50</v>
      </c>
      <c r="AI63" s="652">
        <f t="shared" ca="1" si="29"/>
        <v>1683.5625</v>
      </c>
      <c r="AJ63" s="652">
        <f t="shared" ca="1" si="29"/>
        <v>1683.5625</v>
      </c>
      <c r="AK63" s="652">
        <f t="shared" ca="1" si="29"/>
        <v>1683.5625</v>
      </c>
      <c r="AL63" s="652">
        <f t="shared" ca="1" si="29"/>
        <v>1683.5625</v>
      </c>
      <c r="AM63" s="652">
        <f t="shared" ca="1" si="29"/>
        <v>1683.5625</v>
      </c>
      <c r="AN63" s="652">
        <f t="shared" ca="1" si="29"/>
        <v>1683.5625</v>
      </c>
      <c r="AO63" s="652">
        <f t="shared" ca="1" si="29"/>
        <v>1683.5625</v>
      </c>
      <c r="AP63" s="652">
        <f t="shared" ca="1" si="29"/>
        <v>0.56437499999999996</v>
      </c>
      <c r="AQ63" s="652">
        <f t="shared" ca="1" si="29"/>
        <v>0.56437499999999996</v>
      </c>
      <c r="AR63" s="652">
        <f t="shared" ca="1" si="29"/>
        <v>0.56437499999999996</v>
      </c>
      <c r="AS63" s="652">
        <f t="shared" ca="1" si="29"/>
        <v>0.56437499999999996</v>
      </c>
      <c r="AT63" s="652">
        <f t="shared" ca="1" si="29"/>
        <v>0.56437499999999996</v>
      </c>
      <c r="AU63" s="652">
        <f t="shared" ca="1" si="29"/>
        <v>0.56437499999999996</v>
      </c>
      <c r="AV63" s="652">
        <f t="shared" ca="1" si="29"/>
        <v>0.56437499999999996</v>
      </c>
      <c r="AW63" s="652">
        <f t="shared" ca="1" si="21"/>
        <v>0</v>
      </c>
      <c r="AX63" s="652">
        <f t="shared" ca="1" si="21"/>
        <v>0</v>
      </c>
      <c r="AY63" s="652">
        <f t="shared" ca="1" si="21"/>
        <v>0</v>
      </c>
      <c r="AZ63" s="652">
        <f t="shared" ca="1" si="21"/>
        <v>0</v>
      </c>
      <c r="BA63" s="652">
        <f t="shared" ca="1" si="20"/>
        <v>0</v>
      </c>
      <c r="BB63" s="652">
        <f t="shared" ca="1" si="20"/>
        <v>0</v>
      </c>
      <c r="BC63" s="652">
        <f t="shared" ca="1" si="20"/>
        <v>0</v>
      </c>
      <c r="BD63" s="652">
        <f t="shared" ca="1" si="6"/>
        <v>3.5</v>
      </c>
      <c r="BE63" s="652">
        <f t="shared" ca="1" si="20"/>
        <v>3692.6551449498857</v>
      </c>
      <c r="BF63" s="652">
        <f t="shared" ca="1" si="20"/>
        <v>0</v>
      </c>
      <c r="BG63" s="652">
        <f t="shared" ca="1" si="20"/>
        <v>350</v>
      </c>
      <c r="BH63" s="652">
        <f t="shared" ca="1" si="20"/>
        <v>0</v>
      </c>
      <c r="BI63" s="652">
        <f t="shared" ca="1" si="20"/>
        <v>11784.9375</v>
      </c>
      <c r="BJ63" s="652">
        <f t="shared" ca="1" si="20"/>
        <v>3.9506250000000001</v>
      </c>
      <c r="BK63" s="652">
        <f t="shared" ca="1" si="20"/>
        <v>0</v>
      </c>
    </row>
    <row r="64" spans="1:63">
      <c r="A64" s="526"/>
      <c r="B64" s="662">
        <v>18</v>
      </c>
      <c r="C64" s="662" t="s">
        <v>63</v>
      </c>
      <c r="D64" s="660" t="str">
        <f t="shared" ca="1" si="26"/>
        <v>Pump - High Efficiency (20 HP)</v>
      </c>
      <c r="E64" s="660" t="str">
        <f t="shared" ca="1" si="26"/>
        <v xml:space="preserve">Efficiency of 77% or more for system </v>
      </c>
      <c r="F64" s="660" t="str">
        <f t="shared" ca="1" si="26"/>
        <v>Per Pump</v>
      </c>
      <c r="G64" s="652">
        <f t="shared" ca="1" si="27"/>
        <v>6.0714285714285712</v>
      </c>
      <c r="H64" s="652">
        <f t="shared" ca="1" si="27"/>
        <v>6.0714285714285712</v>
      </c>
      <c r="I64" s="652">
        <f t="shared" ca="1" si="27"/>
        <v>6.0714285714285712</v>
      </c>
      <c r="J64" s="652">
        <f t="shared" ca="1" si="27"/>
        <v>6.0714285714285712</v>
      </c>
      <c r="K64" s="652">
        <f t="shared" ca="1" si="27"/>
        <v>6.0714285714285712</v>
      </c>
      <c r="L64" s="652">
        <f t="shared" ca="1" si="27"/>
        <v>6.0714285714285712</v>
      </c>
      <c r="M64" s="652">
        <f t="shared" ca="1" si="27"/>
        <v>6.0714285714285712</v>
      </c>
      <c r="N64" s="652">
        <f t="shared" ca="1" si="27"/>
        <v>6920.4229106904631</v>
      </c>
      <c r="O64" s="652">
        <f t="shared" ca="1" si="27"/>
        <v>6920.4229106904631</v>
      </c>
      <c r="P64" s="652">
        <f t="shared" ca="1" si="27"/>
        <v>6920.4229106904631</v>
      </c>
      <c r="Q64" s="652">
        <f t="shared" ca="1" si="27"/>
        <v>6920.4229106904631</v>
      </c>
      <c r="R64" s="652">
        <f t="shared" ca="1" si="27"/>
        <v>6920.4229106904631</v>
      </c>
      <c r="S64" s="652">
        <f t="shared" ca="1" si="27"/>
        <v>6920.4229106904631</v>
      </c>
      <c r="T64" s="652">
        <f t="shared" ca="1" si="27"/>
        <v>6920.4229106904631</v>
      </c>
      <c r="U64" s="652">
        <f t="shared" ca="1" si="28"/>
        <v>0</v>
      </c>
      <c r="V64" s="652">
        <f t="shared" ca="1" si="28"/>
        <v>0</v>
      </c>
      <c r="W64" s="652">
        <f t="shared" ca="1" si="28"/>
        <v>0</v>
      </c>
      <c r="X64" s="652">
        <f t="shared" ca="1" si="28"/>
        <v>0</v>
      </c>
      <c r="Y64" s="652">
        <f t="shared" ca="1" si="28"/>
        <v>0</v>
      </c>
      <c r="Z64" s="652">
        <f t="shared" ca="1" si="28"/>
        <v>0</v>
      </c>
      <c r="AA64" s="652">
        <f t="shared" ca="1" si="28"/>
        <v>0</v>
      </c>
      <c r="AB64" s="652">
        <f t="shared" ca="1" si="28"/>
        <v>910.71428571428567</v>
      </c>
      <c r="AC64" s="652">
        <f t="shared" ca="1" si="28"/>
        <v>910.71428571428567</v>
      </c>
      <c r="AD64" s="652">
        <f t="shared" ca="1" si="28"/>
        <v>910.71428571428567</v>
      </c>
      <c r="AE64" s="652">
        <f t="shared" ca="1" si="28"/>
        <v>910.71428571428567</v>
      </c>
      <c r="AF64" s="652">
        <f t="shared" ca="1" si="28"/>
        <v>910.71428571428567</v>
      </c>
      <c r="AG64" s="652">
        <f t="shared" ca="1" si="28"/>
        <v>910.71428571428567</v>
      </c>
      <c r="AH64" s="652">
        <f t="shared" ca="1" si="28"/>
        <v>910.71428571428567</v>
      </c>
      <c r="AI64" s="652">
        <f t="shared" ca="1" si="29"/>
        <v>27257.678571428569</v>
      </c>
      <c r="AJ64" s="652">
        <f t="shared" ca="1" si="29"/>
        <v>27257.678571428569</v>
      </c>
      <c r="AK64" s="652">
        <f t="shared" ca="1" si="29"/>
        <v>27257.678571428569</v>
      </c>
      <c r="AL64" s="652">
        <f t="shared" ca="1" si="29"/>
        <v>27257.678571428569</v>
      </c>
      <c r="AM64" s="652">
        <f t="shared" ca="1" si="29"/>
        <v>27257.678571428569</v>
      </c>
      <c r="AN64" s="652">
        <f t="shared" ca="1" si="29"/>
        <v>27257.678571428569</v>
      </c>
      <c r="AO64" s="652">
        <f t="shared" ca="1" si="29"/>
        <v>27257.678571428569</v>
      </c>
      <c r="AP64" s="652">
        <f t="shared" ca="1" si="29"/>
        <v>9.1374999999999993</v>
      </c>
      <c r="AQ64" s="652">
        <f t="shared" ca="1" si="29"/>
        <v>9.1374999999999993</v>
      </c>
      <c r="AR64" s="652">
        <f t="shared" ca="1" si="29"/>
        <v>9.1374999999999993</v>
      </c>
      <c r="AS64" s="652">
        <f t="shared" ca="1" si="29"/>
        <v>9.1374999999999993</v>
      </c>
      <c r="AT64" s="652">
        <f t="shared" ca="1" si="29"/>
        <v>9.1374999999999993</v>
      </c>
      <c r="AU64" s="652">
        <f t="shared" ca="1" si="29"/>
        <v>9.1374999999999993</v>
      </c>
      <c r="AV64" s="652">
        <f t="shared" ca="1" si="29"/>
        <v>9.1374999999999993</v>
      </c>
      <c r="AW64" s="652">
        <f t="shared" ca="1" si="21"/>
        <v>0</v>
      </c>
      <c r="AX64" s="652">
        <f t="shared" ca="1" si="21"/>
        <v>0</v>
      </c>
      <c r="AY64" s="652">
        <f t="shared" ca="1" si="21"/>
        <v>0</v>
      </c>
      <c r="AZ64" s="652">
        <f t="shared" ca="1" si="21"/>
        <v>0</v>
      </c>
      <c r="BA64" s="652">
        <f t="shared" ca="1" si="20"/>
        <v>0</v>
      </c>
      <c r="BB64" s="652">
        <f t="shared" ca="1" si="20"/>
        <v>0</v>
      </c>
      <c r="BC64" s="652">
        <f t="shared" ca="1" si="20"/>
        <v>0</v>
      </c>
      <c r="BD64" s="652">
        <f t="shared" ca="1" si="6"/>
        <v>42.499999999999993</v>
      </c>
      <c r="BE64" s="652">
        <f t="shared" ca="1" si="20"/>
        <v>48442.960374833237</v>
      </c>
      <c r="BF64" s="652">
        <f t="shared" ca="1" si="20"/>
        <v>0</v>
      </c>
      <c r="BG64" s="652">
        <f t="shared" ca="1" si="20"/>
        <v>6374.9999999999991</v>
      </c>
      <c r="BH64" s="652">
        <f t="shared" ca="1" si="20"/>
        <v>0</v>
      </c>
      <c r="BI64" s="652">
        <f t="shared" ca="1" si="20"/>
        <v>190803.75</v>
      </c>
      <c r="BJ64" s="652">
        <f t="shared" ca="1" si="20"/>
        <v>63.962500000000006</v>
      </c>
      <c r="BK64" s="652">
        <f t="shared" ca="1" si="20"/>
        <v>0</v>
      </c>
    </row>
    <row r="65" spans="1:63">
      <c r="A65" s="526"/>
      <c r="B65" s="662">
        <v>19</v>
      </c>
      <c r="C65" s="662" t="s">
        <v>63</v>
      </c>
      <c r="D65" s="660" t="str">
        <f t="shared" ref="D65:F77" ca="1" si="30">VLOOKUP($B65,INDIRECT("'"&amp;$C65&amp;"'!A6:FC1000"),IF(D$6="Participation 2023",MATCH("__Participation 2023",INDIRECT("'"&amp;$C65&amp;"'!1:1"),0),IF(D$6="Participation",MATCH("_Total Plan Summary _Participation",INDIRECT("'"&amp;$C65&amp;"'!1:1"),0),MATCH(D$4&amp;"_"&amp;D$5&amp;"_"&amp;D$6,INDIRECT("'"&amp;$C65&amp;"'!1:1"),0))),0)</f>
        <v>Pump - High Efficiency (30 HP)</v>
      </c>
      <c r="E65" s="660" t="str">
        <f t="shared" ca="1" si="30"/>
        <v xml:space="preserve">Efficiency of 77% or more for system </v>
      </c>
      <c r="F65" s="660" t="str">
        <f t="shared" ca="1" si="30"/>
        <v>Per Pump</v>
      </c>
      <c r="G65" s="652">
        <f t="shared" ca="1" si="27"/>
        <v>1.5</v>
      </c>
      <c r="H65" s="652">
        <f t="shared" ca="1" si="27"/>
        <v>1.5</v>
      </c>
      <c r="I65" s="652">
        <f t="shared" ca="1" si="27"/>
        <v>1.5</v>
      </c>
      <c r="J65" s="652">
        <f t="shared" ca="1" si="27"/>
        <v>1.5</v>
      </c>
      <c r="K65" s="652">
        <f t="shared" ca="1" si="27"/>
        <v>1.5</v>
      </c>
      <c r="L65" s="652">
        <f t="shared" ca="1" si="27"/>
        <v>1.5</v>
      </c>
      <c r="M65" s="652">
        <f t="shared" ca="1" si="27"/>
        <v>1.5</v>
      </c>
      <c r="N65" s="652">
        <f t="shared" ca="1" si="27"/>
        <v>1906.5523102924938</v>
      </c>
      <c r="O65" s="652">
        <f t="shared" ca="1" si="27"/>
        <v>1906.5523102924938</v>
      </c>
      <c r="P65" s="652">
        <f t="shared" ca="1" si="27"/>
        <v>1906.5523102924938</v>
      </c>
      <c r="Q65" s="652">
        <f t="shared" ca="1" si="27"/>
        <v>1906.5523102924938</v>
      </c>
      <c r="R65" s="652">
        <f t="shared" ca="1" si="27"/>
        <v>1906.5523102924938</v>
      </c>
      <c r="S65" s="652">
        <f t="shared" ca="1" si="27"/>
        <v>1906.5523102924938</v>
      </c>
      <c r="T65" s="652">
        <f t="shared" ca="1" si="27"/>
        <v>1906.5523102924938</v>
      </c>
      <c r="U65" s="652">
        <f t="shared" ca="1" si="28"/>
        <v>0</v>
      </c>
      <c r="V65" s="652">
        <f t="shared" ca="1" si="28"/>
        <v>0</v>
      </c>
      <c r="W65" s="652">
        <f t="shared" ca="1" si="28"/>
        <v>0</v>
      </c>
      <c r="X65" s="652">
        <f t="shared" ca="1" si="28"/>
        <v>0</v>
      </c>
      <c r="Y65" s="652">
        <f t="shared" ca="1" si="28"/>
        <v>0</v>
      </c>
      <c r="Z65" s="652">
        <f t="shared" ca="1" si="28"/>
        <v>0</v>
      </c>
      <c r="AA65" s="652">
        <f t="shared" ca="1" si="28"/>
        <v>0</v>
      </c>
      <c r="AB65" s="652">
        <f t="shared" ca="1" si="28"/>
        <v>300</v>
      </c>
      <c r="AC65" s="652">
        <f t="shared" ca="1" si="28"/>
        <v>300</v>
      </c>
      <c r="AD65" s="652">
        <f t="shared" ca="1" si="28"/>
        <v>300</v>
      </c>
      <c r="AE65" s="652">
        <f t="shared" ca="1" si="28"/>
        <v>300</v>
      </c>
      <c r="AF65" s="652">
        <f t="shared" ca="1" si="28"/>
        <v>300</v>
      </c>
      <c r="AG65" s="652">
        <f t="shared" ca="1" si="28"/>
        <v>300</v>
      </c>
      <c r="AH65" s="652">
        <f t="shared" ca="1" si="28"/>
        <v>300</v>
      </c>
      <c r="AI65" s="652">
        <f t="shared" ca="1" si="29"/>
        <v>10101.375</v>
      </c>
      <c r="AJ65" s="652">
        <f t="shared" ca="1" si="29"/>
        <v>10101.375</v>
      </c>
      <c r="AK65" s="652">
        <f t="shared" ca="1" si="29"/>
        <v>10101.375</v>
      </c>
      <c r="AL65" s="652">
        <f t="shared" ca="1" si="29"/>
        <v>10101.375</v>
      </c>
      <c r="AM65" s="652">
        <f t="shared" ca="1" si="29"/>
        <v>10101.375</v>
      </c>
      <c r="AN65" s="652">
        <f t="shared" ca="1" si="29"/>
        <v>10101.375</v>
      </c>
      <c r="AO65" s="652">
        <f t="shared" ca="1" si="29"/>
        <v>10101.375</v>
      </c>
      <c r="AP65" s="652">
        <f t="shared" ca="1" si="29"/>
        <v>3.3862499999999995</v>
      </c>
      <c r="AQ65" s="652">
        <f t="shared" ca="1" si="29"/>
        <v>3.3862499999999995</v>
      </c>
      <c r="AR65" s="652">
        <f t="shared" ca="1" si="29"/>
        <v>3.3862499999999995</v>
      </c>
      <c r="AS65" s="652">
        <f t="shared" ca="1" si="29"/>
        <v>3.3862499999999995</v>
      </c>
      <c r="AT65" s="652">
        <f t="shared" ca="1" si="29"/>
        <v>3.3862499999999995</v>
      </c>
      <c r="AU65" s="652">
        <f t="shared" ca="1" si="29"/>
        <v>3.3862499999999995</v>
      </c>
      <c r="AV65" s="652">
        <f t="shared" ca="1" si="29"/>
        <v>3.3862499999999995</v>
      </c>
      <c r="AW65" s="652">
        <f t="shared" ca="1" si="21"/>
        <v>0</v>
      </c>
      <c r="AX65" s="652">
        <f t="shared" ca="1" si="21"/>
        <v>0</v>
      </c>
      <c r="AY65" s="652">
        <f t="shared" ca="1" si="21"/>
        <v>0</v>
      </c>
      <c r="AZ65" s="652">
        <f t="shared" ca="1" si="21"/>
        <v>0</v>
      </c>
      <c r="BA65" s="652">
        <f t="shared" ca="1" si="20"/>
        <v>0</v>
      </c>
      <c r="BB65" s="652">
        <f t="shared" ca="1" si="20"/>
        <v>0</v>
      </c>
      <c r="BC65" s="652">
        <f t="shared" ca="1" si="20"/>
        <v>0</v>
      </c>
      <c r="BD65" s="652">
        <f t="shared" ca="1" si="6"/>
        <v>10.5</v>
      </c>
      <c r="BE65" s="652">
        <f t="shared" ca="1" si="20"/>
        <v>13345.866172047457</v>
      </c>
      <c r="BF65" s="652">
        <f t="shared" ca="1" si="20"/>
        <v>0</v>
      </c>
      <c r="BG65" s="652">
        <f t="shared" ca="1" si="20"/>
        <v>2100</v>
      </c>
      <c r="BH65" s="652">
        <f t="shared" ca="1" si="20"/>
        <v>0</v>
      </c>
      <c r="BI65" s="652">
        <f t="shared" ca="1" si="20"/>
        <v>70709.625</v>
      </c>
      <c r="BJ65" s="652">
        <f t="shared" ca="1" si="20"/>
        <v>23.703749999999999</v>
      </c>
      <c r="BK65" s="652">
        <f t="shared" ca="1" si="20"/>
        <v>0</v>
      </c>
    </row>
    <row r="66" spans="1:63">
      <c r="A66" s="526"/>
      <c r="B66" s="662">
        <v>20</v>
      </c>
      <c r="C66" s="662" t="s">
        <v>63</v>
      </c>
      <c r="D66" s="660" t="str">
        <f t="shared" ref="D66:F66" ca="1" si="31">VLOOKUP($B66,INDIRECT("'"&amp;$C66&amp;"'!A6:FC1000"),IF(D$6="Participation 2023",MATCH("__Participation 2023",INDIRECT("'"&amp;$C66&amp;"'!1:1"),0),IF(D$6="Participation",MATCH("_Total Plan Summary _Participation",INDIRECT("'"&amp;$C66&amp;"'!1:1"),0),MATCH(D$4&amp;"_"&amp;D$5&amp;"_"&amp;D$6,INDIRECT("'"&amp;$C66&amp;"'!1:1"),0))),0)</f>
        <v>Pump - High Efficiency (40 HP)</v>
      </c>
      <c r="E66" s="660" t="str">
        <f t="shared" ca="1" si="31"/>
        <v xml:space="preserve">Efficiency of 77% or more for system </v>
      </c>
      <c r="F66" s="660" t="str">
        <f t="shared" ca="1" si="31"/>
        <v>Per Pump</v>
      </c>
      <c r="G66" s="652">
        <f t="shared" ca="1" si="27"/>
        <v>2.5714285714285712</v>
      </c>
      <c r="H66" s="652">
        <f t="shared" ca="1" si="27"/>
        <v>2.5714285714285712</v>
      </c>
      <c r="I66" s="652">
        <f t="shared" ca="1" si="27"/>
        <v>2.5714285714285712</v>
      </c>
      <c r="J66" s="652">
        <f t="shared" ca="1" si="27"/>
        <v>2.5714285714285712</v>
      </c>
      <c r="K66" s="652">
        <f t="shared" ca="1" si="27"/>
        <v>2.5714285714285712</v>
      </c>
      <c r="L66" s="652">
        <f t="shared" ca="1" si="27"/>
        <v>2.5714285714285712</v>
      </c>
      <c r="M66" s="652">
        <f t="shared" ca="1" si="27"/>
        <v>2.5714285714285712</v>
      </c>
      <c r="N66" s="652">
        <f t="shared" ca="1" si="27"/>
        <v>3531.0427057958304</v>
      </c>
      <c r="O66" s="652">
        <f t="shared" ca="1" si="27"/>
        <v>3531.0427057958304</v>
      </c>
      <c r="P66" s="652">
        <f t="shared" ca="1" si="27"/>
        <v>3531.0427057958304</v>
      </c>
      <c r="Q66" s="652">
        <f t="shared" ca="1" si="27"/>
        <v>3531.0427057958304</v>
      </c>
      <c r="R66" s="652">
        <f t="shared" ca="1" si="27"/>
        <v>3531.0427057958304</v>
      </c>
      <c r="S66" s="652">
        <f t="shared" ca="1" si="27"/>
        <v>3531.0427057958304</v>
      </c>
      <c r="T66" s="652">
        <f t="shared" ca="1" si="27"/>
        <v>3531.0427057958304</v>
      </c>
      <c r="U66" s="652">
        <f t="shared" ca="1" si="28"/>
        <v>0</v>
      </c>
      <c r="V66" s="652">
        <f t="shared" ca="1" si="28"/>
        <v>0</v>
      </c>
      <c r="W66" s="652">
        <f t="shared" ca="1" si="28"/>
        <v>0</v>
      </c>
      <c r="X66" s="652">
        <f t="shared" ca="1" si="28"/>
        <v>0</v>
      </c>
      <c r="Y66" s="652">
        <f t="shared" ca="1" si="28"/>
        <v>0</v>
      </c>
      <c r="Z66" s="652">
        <f t="shared" ca="1" si="28"/>
        <v>0</v>
      </c>
      <c r="AA66" s="652">
        <f t="shared" ca="1" si="28"/>
        <v>0</v>
      </c>
      <c r="AB66" s="652">
        <f t="shared" ca="1" si="28"/>
        <v>642.85714285714278</v>
      </c>
      <c r="AC66" s="652">
        <f t="shared" ca="1" si="28"/>
        <v>642.85714285714278</v>
      </c>
      <c r="AD66" s="652">
        <f t="shared" ca="1" si="28"/>
        <v>642.85714285714278</v>
      </c>
      <c r="AE66" s="652">
        <f t="shared" ca="1" si="28"/>
        <v>642.85714285714278</v>
      </c>
      <c r="AF66" s="652">
        <f t="shared" ca="1" si="28"/>
        <v>642.85714285714278</v>
      </c>
      <c r="AG66" s="652">
        <f t="shared" ca="1" si="28"/>
        <v>642.85714285714278</v>
      </c>
      <c r="AH66" s="652">
        <f t="shared" ca="1" si="28"/>
        <v>642.85714285714278</v>
      </c>
      <c r="AI66" s="652">
        <f t="shared" ca="1" si="29"/>
        <v>23088.857142857141</v>
      </c>
      <c r="AJ66" s="652">
        <f t="shared" ca="1" si="29"/>
        <v>23088.857142857141</v>
      </c>
      <c r="AK66" s="652">
        <f t="shared" ca="1" si="29"/>
        <v>23088.857142857141</v>
      </c>
      <c r="AL66" s="652">
        <f t="shared" ca="1" si="29"/>
        <v>23088.857142857141</v>
      </c>
      <c r="AM66" s="652">
        <f t="shared" ca="1" si="29"/>
        <v>23088.857142857141</v>
      </c>
      <c r="AN66" s="652">
        <f t="shared" ca="1" si="29"/>
        <v>23088.857142857141</v>
      </c>
      <c r="AO66" s="652">
        <f t="shared" ca="1" si="29"/>
        <v>23088.857142857141</v>
      </c>
      <c r="AP66" s="652">
        <f t="shared" ca="1" si="29"/>
        <v>7.7399999999999984</v>
      </c>
      <c r="AQ66" s="652">
        <f t="shared" ca="1" si="29"/>
        <v>7.7399999999999984</v>
      </c>
      <c r="AR66" s="652">
        <f t="shared" ca="1" si="29"/>
        <v>7.7399999999999984</v>
      </c>
      <c r="AS66" s="652">
        <f t="shared" ca="1" si="29"/>
        <v>7.7399999999999984</v>
      </c>
      <c r="AT66" s="652">
        <f t="shared" ca="1" si="29"/>
        <v>7.7399999999999984</v>
      </c>
      <c r="AU66" s="652">
        <f t="shared" ca="1" si="29"/>
        <v>7.7399999999999984</v>
      </c>
      <c r="AV66" s="652">
        <f t="shared" ca="1" si="29"/>
        <v>7.7399999999999984</v>
      </c>
      <c r="AW66" s="652">
        <f t="shared" ca="1" si="21"/>
        <v>0</v>
      </c>
      <c r="AX66" s="652">
        <f t="shared" ca="1" si="21"/>
        <v>0</v>
      </c>
      <c r="AY66" s="652">
        <f t="shared" ca="1" si="21"/>
        <v>0</v>
      </c>
      <c r="AZ66" s="652">
        <f t="shared" ca="1" si="21"/>
        <v>0</v>
      </c>
      <c r="BA66" s="652">
        <f t="shared" ca="1" si="20"/>
        <v>0</v>
      </c>
      <c r="BB66" s="652">
        <f t="shared" ca="1" si="20"/>
        <v>0</v>
      </c>
      <c r="BC66" s="652">
        <f t="shared" ca="1" si="20"/>
        <v>0</v>
      </c>
      <c r="BD66" s="652">
        <f t="shared" ca="1" si="6"/>
        <v>18</v>
      </c>
      <c r="BE66" s="652">
        <f t="shared" ca="1" si="20"/>
        <v>24717.29894057081</v>
      </c>
      <c r="BF66" s="652">
        <f t="shared" ca="1" si="20"/>
        <v>0</v>
      </c>
      <c r="BG66" s="652">
        <f t="shared" ca="1" si="20"/>
        <v>4499.9999999999991</v>
      </c>
      <c r="BH66" s="652">
        <f t="shared" ca="1" si="20"/>
        <v>0</v>
      </c>
      <c r="BI66" s="652">
        <f t="shared" ca="1" si="20"/>
        <v>161621.99999999997</v>
      </c>
      <c r="BJ66" s="652">
        <f t="shared" ca="1" si="20"/>
        <v>54.179999999999978</v>
      </c>
      <c r="BK66" s="652">
        <f t="shared" ca="1" si="20"/>
        <v>0</v>
      </c>
    </row>
    <row r="67" spans="1:63">
      <c r="A67" s="526"/>
      <c r="B67" s="662">
        <v>21</v>
      </c>
      <c r="C67" s="662" t="s">
        <v>63</v>
      </c>
      <c r="D67" s="660" t="str">
        <f t="shared" ca="1" si="30"/>
        <v>Pump - High Efficiency (50 HP)</v>
      </c>
      <c r="E67" s="660" t="str">
        <f t="shared" ca="1" si="30"/>
        <v xml:space="preserve">Efficiency of 77% or more for system </v>
      </c>
      <c r="F67" s="660" t="str">
        <f t="shared" ca="1" si="30"/>
        <v>Per Pump</v>
      </c>
      <c r="G67" s="652">
        <f t="shared" ca="1" si="27"/>
        <v>2</v>
      </c>
      <c r="H67" s="652">
        <f t="shared" ca="1" si="27"/>
        <v>2</v>
      </c>
      <c r="I67" s="652">
        <f t="shared" ca="1" si="27"/>
        <v>2</v>
      </c>
      <c r="J67" s="652">
        <f t="shared" ca="1" si="27"/>
        <v>2</v>
      </c>
      <c r="K67" s="652">
        <f t="shared" ca="1" si="27"/>
        <v>2</v>
      </c>
      <c r="L67" s="652">
        <f t="shared" ca="1" si="27"/>
        <v>2</v>
      </c>
      <c r="M67" s="652">
        <f t="shared" ca="1" si="27"/>
        <v>2</v>
      </c>
      <c r="N67" s="652">
        <f t="shared" ca="1" si="27"/>
        <v>2916.0718546736734</v>
      </c>
      <c r="O67" s="652">
        <f t="shared" ca="1" si="27"/>
        <v>2916.0718546736734</v>
      </c>
      <c r="P67" s="652">
        <f t="shared" ca="1" si="27"/>
        <v>2916.0718546736734</v>
      </c>
      <c r="Q67" s="652">
        <f t="shared" ca="1" si="27"/>
        <v>2916.0718546736734</v>
      </c>
      <c r="R67" s="652">
        <f t="shared" ca="1" si="27"/>
        <v>2916.0718546736734</v>
      </c>
      <c r="S67" s="652">
        <f t="shared" ca="1" si="27"/>
        <v>2916.0718546736734</v>
      </c>
      <c r="T67" s="652">
        <f t="shared" ca="1" si="27"/>
        <v>2916.0718546736734</v>
      </c>
      <c r="U67" s="652">
        <f t="shared" ca="1" si="28"/>
        <v>0</v>
      </c>
      <c r="V67" s="652">
        <f t="shared" ca="1" si="28"/>
        <v>0</v>
      </c>
      <c r="W67" s="652">
        <f t="shared" ca="1" si="28"/>
        <v>0</v>
      </c>
      <c r="X67" s="652">
        <f t="shared" ca="1" si="28"/>
        <v>0</v>
      </c>
      <c r="Y67" s="652">
        <f t="shared" ca="1" si="28"/>
        <v>0</v>
      </c>
      <c r="Z67" s="652">
        <f t="shared" ca="1" si="28"/>
        <v>0</v>
      </c>
      <c r="AA67" s="652">
        <f t="shared" ca="1" si="28"/>
        <v>0</v>
      </c>
      <c r="AB67" s="652">
        <f t="shared" ca="1" si="28"/>
        <v>600</v>
      </c>
      <c r="AC67" s="652">
        <f t="shared" ca="1" si="28"/>
        <v>600</v>
      </c>
      <c r="AD67" s="652">
        <f t="shared" ca="1" si="28"/>
        <v>600</v>
      </c>
      <c r="AE67" s="652">
        <f t="shared" ca="1" si="28"/>
        <v>600</v>
      </c>
      <c r="AF67" s="652">
        <f t="shared" ca="1" si="28"/>
        <v>600</v>
      </c>
      <c r="AG67" s="652">
        <f t="shared" ca="1" si="28"/>
        <v>600</v>
      </c>
      <c r="AH67" s="652">
        <f t="shared" ca="1" si="28"/>
        <v>600</v>
      </c>
      <c r="AI67" s="652">
        <f t="shared" ca="1" si="29"/>
        <v>22447.5</v>
      </c>
      <c r="AJ67" s="652">
        <f t="shared" ca="1" si="29"/>
        <v>22447.5</v>
      </c>
      <c r="AK67" s="652">
        <f t="shared" ca="1" si="29"/>
        <v>22447.5</v>
      </c>
      <c r="AL67" s="652">
        <f t="shared" ca="1" si="29"/>
        <v>22447.5</v>
      </c>
      <c r="AM67" s="652">
        <f t="shared" ca="1" si="29"/>
        <v>22447.5</v>
      </c>
      <c r="AN67" s="652">
        <f t="shared" ca="1" si="29"/>
        <v>22447.5</v>
      </c>
      <c r="AO67" s="652">
        <f t="shared" ca="1" si="29"/>
        <v>22447.5</v>
      </c>
      <c r="AP67" s="652">
        <f t="shared" ca="1" si="29"/>
        <v>7.5249999999999995</v>
      </c>
      <c r="AQ67" s="652">
        <f t="shared" ca="1" si="29"/>
        <v>7.5249999999999995</v>
      </c>
      <c r="AR67" s="652">
        <f t="shared" ca="1" si="29"/>
        <v>7.5249999999999995</v>
      </c>
      <c r="AS67" s="652">
        <f t="shared" ca="1" si="29"/>
        <v>7.5249999999999995</v>
      </c>
      <c r="AT67" s="652">
        <f t="shared" ca="1" si="29"/>
        <v>7.5249999999999995</v>
      </c>
      <c r="AU67" s="652">
        <f t="shared" ca="1" si="29"/>
        <v>7.5249999999999995</v>
      </c>
      <c r="AV67" s="652">
        <f t="shared" ca="1" si="29"/>
        <v>7.5249999999999995</v>
      </c>
      <c r="AW67" s="652">
        <f t="shared" ca="1" si="21"/>
        <v>0</v>
      </c>
      <c r="AX67" s="652">
        <f t="shared" ca="1" si="21"/>
        <v>0</v>
      </c>
      <c r="AY67" s="652">
        <f t="shared" ca="1" si="21"/>
        <v>0</v>
      </c>
      <c r="AZ67" s="652">
        <f t="shared" ca="1" si="21"/>
        <v>0</v>
      </c>
      <c r="BA67" s="652">
        <f t="shared" ca="1" si="20"/>
        <v>0</v>
      </c>
      <c r="BB67" s="652">
        <f t="shared" ca="1" si="20"/>
        <v>0</v>
      </c>
      <c r="BC67" s="652">
        <f t="shared" ca="1" si="20"/>
        <v>0</v>
      </c>
      <c r="BD67" s="652">
        <f t="shared" ca="1" si="6"/>
        <v>14</v>
      </c>
      <c r="BE67" s="652">
        <f t="shared" ca="1" si="20"/>
        <v>20412.502982715712</v>
      </c>
      <c r="BF67" s="652">
        <f t="shared" ca="1" si="20"/>
        <v>0</v>
      </c>
      <c r="BG67" s="652">
        <f t="shared" ca="1" si="20"/>
        <v>4200</v>
      </c>
      <c r="BH67" s="652">
        <f t="shared" ca="1" si="20"/>
        <v>0</v>
      </c>
      <c r="BI67" s="652">
        <f t="shared" ca="1" si="20"/>
        <v>157132.5</v>
      </c>
      <c r="BJ67" s="652">
        <f t="shared" ca="1" si="20"/>
        <v>52.674999999999997</v>
      </c>
      <c r="BK67" s="652">
        <f t="shared" ca="1" si="20"/>
        <v>0</v>
      </c>
    </row>
    <row r="68" spans="1:63">
      <c r="A68" s="526"/>
      <c r="B68" s="662">
        <v>22</v>
      </c>
      <c r="C68" s="662" t="s">
        <v>63</v>
      </c>
      <c r="D68" s="660" t="str">
        <f t="shared" ca="1" si="30"/>
        <v>Variable Frequency Drives</v>
      </c>
      <c r="E68" s="660" t="str">
        <f t="shared" ca="1" si="30"/>
        <v>Variable Frequency Drives (VFDs) - All Sizes</v>
      </c>
      <c r="F68" s="660" t="str">
        <f t="shared" ca="1" si="30"/>
        <v>Per HP</v>
      </c>
      <c r="G68" s="652">
        <f t="shared" ca="1" si="27"/>
        <v>3095.2142857142853</v>
      </c>
      <c r="H68" s="652">
        <f t="shared" ca="1" si="27"/>
        <v>3095.2142857142853</v>
      </c>
      <c r="I68" s="652">
        <f t="shared" ca="1" si="27"/>
        <v>3095.2142857142853</v>
      </c>
      <c r="J68" s="652">
        <f t="shared" ca="1" si="27"/>
        <v>3095.2142857142853</v>
      </c>
      <c r="K68" s="652">
        <f t="shared" ca="1" si="27"/>
        <v>3095.2142857142853</v>
      </c>
      <c r="L68" s="652">
        <f t="shared" ca="1" si="27"/>
        <v>3095.2142857142853</v>
      </c>
      <c r="M68" s="652">
        <f t="shared" ca="1" si="27"/>
        <v>3095.2142857142853</v>
      </c>
      <c r="N68" s="652">
        <f t="shared" ca="1" si="27"/>
        <v>515353.17857142852</v>
      </c>
      <c r="O68" s="652">
        <f t="shared" ca="1" si="27"/>
        <v>515353.17857142852</v>
      </c>
      <c r="P68" s="652">
        <f t="shared" ca="1" si="27"/>
        <v>515353.17857142852</v>
      </c>
      <c r="Q68" s="652">
        <f t="shared" ca="1" si="27"/>
        <v>515353.17857142852</v>
      </c>
      <c r="R68" s="652">
        <f t="shared" ca="1" si="27"/>
        <v>515353.17857142852</v>
      </c>
      <c r="S68" s="652">
        <f t="shared" ca="1" si="27"/>
        <v>515353.17857142852</v>
      </c>
      <c r="T68" s="652">
        <f t="shared" ca="1" si="27"/>
        <v>515353.17857142852</v>
      </c>
      <c r="U68" s="652">
        <f t="shared" ca="1" si="28"/>
        <v>0</v>
      </c>
      <c r="V68" s="652">
        <f t="shared" ca="1" si="28"/>
        <v>0</v>
      </c>
      <c r="W68" s="652">
        <f t="shared" ca="1" si="28"/>
        <v>0</v>
      </c>
      <c r="X68" s="652">
        <f t="shared" ca="1" si="28"/>
        <v>0</v>
      </c>
      <c r="Y68" s="652">
        <f t="shared" ca="1" si="28"/>
        <v>0</v>
      </c>
      <c r="Z68" s="652">
        <f t="shared" ca="1" si="28"/>
        <v>0</v>
      </c>
      <c r="AA68" s="652">
        <f t="shared" ca="1" si="28"/>
        <v>0</v>
      </c>
      <c r="AB68" s="652">
        <f t="shared" ca="1" si="28"/>
        <v>49523.428571428565</v>
      </c>
      <c r="AC68" s="652">
        <f t="shared" ca="1" si="28"/>
        <v>49523.428571428565</v>
      </c>
      <c r="AD68" s="652">
        <f t="shared" ca="1" si="28"/>
        <v>49523.428571428565</v>
      </c>
      <c r="AE68" s="652">
        <f t="shared" ca="1" si="28"/>
        <v>49523.428571428565</v>
      </c>
      <c r="AF68" s="652">
        <f t="shared" ca="1" si="28"/>
        <v>49523.428571428565</v>
      </c>
      <c r="AG68" s="652">
        <f t="shared" ca="1" si="28"/>
        <v>49523.428571428565</v>
      </c>
      <c r="AH68" s="652">
        <f t="shared" ca="1" si="28"/>
        <v>49523.428571428565</v>
      </c>
      <c r="AI68" s="652">
        <f t="shared" ca="1" si="29"/>
        <v>1566249.3301409965</v>
      </c>
      <c r="AJ68" s="652">
        <f t="shared" ca="1" si="29"/>
        <v>1566249.3301409965</v>
      </c>
      <c r="AK68" s="652">
        <f t="shared" ca="1" si="29"/>
        <v>1566249.3301409965</v>
      </c>
      <c r="AL68" s="652">
        <f t="shared" ca="1" si="29"/>
        <v>1566249.3301409965</v>
      </c>
      <c r="AM68" s="652">
        <f t="shared" ca="1" si="29"/>
        <v>1566249.3301409965</v>
      </c>
      <c r="AN68" s="652">
        <f t="shared" ca="1" si="29"/>
        <v>1566249.3301409965</v>
      </c>
      <c r="AO68" s="652">
        <f t="shared" ca="1" si="29"/>
        <v>1566249.3301409965</v>
      </c>
      <c r="AP68" s="652">
        <f t="shared" ca="1" si="29"/>
        <v>344.68282393686894</v>
      </c>
      <c r="AQ68" s="652">
        <f t="shared" ca="1" si="29"/>
        <v>344.68282393686894</v>
      </c>
      <c r="AR68" s="652">
        <f t="shared" ca="1" si="29"/>
        <v>344.68282393686894</v>
      </c>
      <c r="AS68" s="652">
        <f t="shared" ca="1" si="29"/>
        <v>344.68282393686894</v>
      </c>
      <c r="AT68" s="652">
        <f t="shared" ca="1" si="29"/>
        <v>344.68282393686894</v>
      </c>
      <c r="AU68" s="652">
        <f t="shared" ca="1" si="29"/>
        <v>344.68282393686894</v>
      </c>
      <c r="AV68" s="652">
        <f t="shared" ca="1" si="29"/>
        <v>344.68282393686894</v>
      </c>
      <c r="AW68" s="652">
        <f t="shared" ca="1" si="21"/>
        <v>0</v>
      </c>
      <c r="AX68" s="652">
        <f t="shared" ca="1" si="21"/>
        <v>0</v>
      </c>
      <c r="AY68" s="652">
        <f t="shared" ca="1" si="21"/>
        <v>0</v>
      </c>
      <c r="AZ68" s="652">
        <f t="shared" ca="1" si="21"/>
        <v>0</v>
      </c>
      <c r="BA68" s="652">
        <f t="shared" ca="1" si="20"/>
        <v>0</v>
      </c>
      <c r="BB68" s="652">
        <f t="shared" ca="1" si="20"/>
        <v>0</v>
      </c>
      <c r="BC68" s="652">
        <f t="shared" ca="1" si="20"/>
        <v>0</v>
      </c>
      <c r="BD68" s="652">
        <f t="shared" ca="1" si="6"/>
        <v>21666.5</v>
      </c>
      <c r="BE68" s="652">
        <f t="shared" ca="1" si="20"/>
        <v>3607472.25</v>
      </c>
      <c r="BF68" s="652">
        <f t="shared" ca="1" si="20"/>
        <v>0</v>
      </c>
      <c r="BG68" s="652">
        <f t="shared" ca="1" si="20"/>
        <v>346664</v>
      </c>
      <c r="BH68" s="652">
        <f t="shared" ca="1" si="20"/>
        <v>0</v>
      </c>
      <c r="BI68" s="652">
        <f t="shared" ca="1" si="20"/>
        <v>10963745.310986975</v>
      </c>
      <c r="BJ68" s="652">
        <f t="shared" ca="1" si="20"/>
        <v>2412.7797675580823</v>
      </c>
      <c r="BK68" s="652">
        <f t="shared" ca="1" si="20"/>
        <v>0</v>
      </c>
    </row>
    <row r="69" spans="1:63">
      <c r="A69" s="526"/>
      <c r="B69" s="662">
        <v>23</v>
      </c>
      <c r="C69" s="662" t="s">
        <v>63</v>
      </c>
      <c r="D69" s="660" t="str">
        <f t="shared" ca="1" si="30"/>
        <v>LED Refrigerated Display Light</v>
      </c>
      <c r="E69" s="660" t="str">
        <f t="shared" ca="1" si="30"/>
        <v>LED Refrigerated Display Light</v>
      </c>
      <c r="F69" s="660" t="str">
        <f t="shared" ca="1" si="30"/>
        <v>Per Unit</v>
      </c>
      <c r="G69" s="652">
        <f t="shared" ca="1" si="27"/>
        <v>635.35714285714289</v>
      </c>
      <c r="H69" s="652">
        <f t="shared" ca="1" si="27"/>
        <v>635.35714285714289</v>
      </c>
      <c r="I69" s="652">
        <f t="shared" ca="1" si="27"/>
        <v>635.35714285714289</v>
      </c>
      <c r="J69" s="652">
        <f t="shared" ca="1" si="27"/>
        <v>635.35714285714289</v>
      </c>
      <c r="K69" s="652">
        <f t="shared" ca="1" si="27"/>
        <v>635.35714285714289</v>
      </c>
      <c r="L69" s="652">
        <f t="shared" ca="1" si="27"/>
        <v>635.35714285714289</v>
      </c>
      <c r="M69" s="652">
        <f t="shared" ca="1" si="27"/>
        <v>635.35714285714289</v>
      </c>
      <c r="N69" s="652">
        <f t="shared" ca="1" si="27"/>
        <v>73066.071428571435</v>
      </c>
      <c r="O69" s="652">
        <f t="shared" ca="1" si="27"/>
        <v>73066.071428571435</v>
      </c>
      <c r="P69" s="652">
        <f t="shared" ca="1" si="27"/>
        <v>73066.071428571435</v>
      </c>
      <c r="Q69" s="652">
        <f t="shared" ca="1" si="27"/>
        <v>73066.071428571435</v>
      </c>
      <c r="R69" s="652">
        <f t="shared" ca="1" si="27"/>
        <v>73066.071428571435</v>
      </c>
      <c r="S69" s="652">
        <f t="shared" ca="1" si="27"/>
        <v>73066.071428571435</v>
      </c>
      <c r="T69" s="652">
        <f t="shared" ca="1" si="27"/>
        <v>73066.071428571435</v>
      </c>
      <c r="U69" s="652">
        <f t="shared" ca="1" si="28"/>
        <v>-459.57499999999999</v>
      </c>
      <c r="V69" s="652">
        <f t="shared" ca="1" si="28"/>
        <v>-459.57499999999999</v>
      </c>
      <c r="W69" s="652">
        <f t="shared" ca="1" si="28"/>
        <v>-459.57499999999999</v>
      </c>
      <c r="X69" s="652">
        <f t="shared" ca="1" si="28"/>
        <v>-459.57499999999999</v>
      </c>
      <c r="Y69" s="652">
        <f t="shared" ca="1" si="28"/>
        <v>-459.57499999999999</v>
      </c>
      <c r="Z69" s="652">
        <f t="shared" ca="1" si="28"/>
        <v>-459.57499999999999</v>
      </c>
      <c r="AA69" s="652">
        <f t="shared" ca="1" si="28"/>
        <v>-459.57499999999999</v>
      </c>
      <c r="AB69" s="652">
        <f t="shared" ca="1" si="28"/>
        <v>5718.2142857142862</v>
      </c>
      <c r="AC69" s="652">
        <f t="shared" ca="1" si="28"/>
        <v>5718.2142857142862</v>
      </c>
      <c r="AD69" s="652">
        <f t="shared" ca="1" si="28"/>
        <v>5718.2142857142862</v>
      </c>
      <c r="AE69" s="652">
        <f t="shared" ca="1" si="28"/>
        <v>5718.2142857142862</v>
      </c>
      <c r="AF69" s="652">
        <f t="shared" ca="1" si="28"/>
        <v>5718.2142857142862</v>
      </c>
      <c r="AG69" s="652">
        <f t="shared" ca="1" si="28"/>
        <v>5718.2142857142862</v>
      </c>
      <c r="AH69" s="652">
        <f t="shared" ca="1" si="28"/>
        <v>5718.2142857142862</v>
      </c>
      <c r="AI69" s="652">
        <f t="shared" ca="1" si="29"/>
        <v>219472.91094642857</v>
      </c>
      <c r="AJ69" s="652">
        <f t="shared" ca="1" si="29"/>
        <v>219472.91094642857</v>
      </c>
      <c r="AK69" s="652">
        <f t="shared" ca="1" si="29"/>
        <v>219472.91094642857</v>
      </c>
      <c r="AL69" s="652">
        <f t="shared" ca="1" si="29"/>
        <v>219472.91094642857</v>
      </c>
      <c r="AM69" s="652">
        <f t="shared" ca="1" si="29"/>
        <v>219472.91094642857</v>
      </c>
      <c r="AN69" s="652">
        <f t="shared" ca="1" si="29"/>
        <v>219472.91094642857</v>
      </c>
      <c r="AO69" s="652">
        <f t="shared" ca="1" si="29"/>
        <v>219472.91094642857</v>
      </c>
      <c r="AP69" s="652">
        <f t="shared" ca="1" si="29"/>
        <v>33.723740571428571</v>
      </c>
      <c r="AQ69" s="652">
        <f t="shared" ca="1" si="29"/>
        <v>33.723740571428571</v>
      </c>
      <c r="AR69" s="652">
        <f t="shared" ca="1" si="29"/>
        <v>33.723740571428571</v>
      </c>
      <c r="AS69" s="652">
        <f t="shared" ca="1" si="29"/>
        <v>33.723740571428571</v>
      </c>
      <c r="AT69" s="652">
        <f t="shared" ca="1" si="29"/>
        <v>33.723740571428571</v>
      </c>
      <c r="AU69" s="652">
        <f t="shared" ca="1" si="29"/>
        <v>33.723740571428571</v>
      </c>
      <c r="AV69" s="652">
        <f t="shared" ca="1" si="29"/>
        <v>33.723740571428571</v>
      </c>
      <c r="AW69" s="652">
        <f t="shared" ca="1" si="21"/>
        <v>0</v>
      </c>
      <c r="AX69" s="652">
        <f t="shared" ca="1" si="21"/>
        <v>0</v>
      </c>
      <c r="AY69" s="652">
        <f t="shared" ca="1" si="21"/>
        <v>0</v>
      </c>
      <c r="AZ69" s="652">
        <f t="shared" ca="1" si="21"/>
        <v>0</v>
      </c>
      <c r="BA69" s="652">
        <f t="shared" ca="1" si="20"/>
        <v>0</v>
      </c>
      <c r="BB69" s="652">
        <f t="shared" ca="1" si="20"/>
        <v>0</v>
      </c>
      <c r="BC69" s="652">
        <f t="shared" ca="1" si="20"/>
        <v>0</v>
      </c>
      <c r="BD69" s="652">
        <f t="shared" ca="1" si="6"/>
        <v>4447.5000000000009</v>
      </c>
      <c r="BE69" s="652">
        <f t="shared" ca="1" si="20"/>
        <v>511462.5</v>
      </c>
      <c r="BF69" s="652">
        <f t="shared" ca="1" si="20"/>
        <v>-3217.0249999999996</v>
      </c>
      <c r="BG69" s="652">
        <f t="shared" ca="1" si="20"/>
        <v>40027.5</v>
      </c>
      <c r="BH69" s="652">
        <f t="shared" ca="1" si="20"/>
        <v>0</v>
      </c>
      <c r="BI69" s="652">
        <f t="shared" ca="1" si="20"/>
        <v>1536310.376625</v>
      </c>
      <c r="BJ69" s="652">
        <f t="shared" ca="1" si="20"/>
        <v>236.06618400000002</v>
      </c>
      <c r="BK69" s="652">
        <f t="shared" ca="1" si="20"/>
        <v>0</v>
      </c>
    </row>
    <row r="70" spans="1:63">
      <c r="A70" s="526"/>
      <c r="B70" s="662">
        <v>24</v>
      </c>
      <c r="C70" s="662" t="s">
        <v>63</v>
      </c>
      <c r="D70" s="660" t="str">
        <f t="shared" ca="1" si="30"/>
        <v>LED Exit Signs (replacement)</v>
      </c>
      <c r="E70" s="660" t="str">
        <f t="shared" ca="1" si="30"/>
        <v>LED Exit Signs (replacement)</v>
      </c>
      <c r="F70" s="660" t="str">
        <f t="shared" ca="1" si="30"/>
        <v>Per Unit</v>
      </c>
      <c r="G70" s="652">
        <f t="shared" ca="1" si="27"/>
        <v>1375.5</v>
      </c>
      <c r="H70" s="652">
        <f t="shared" ca="1" si="27"/>
        <v>1375.5</v>
      </c>
      <c r="I70" s="652">
        <f t="shared" ca="1" si="27"/>
        <v>1375.5</v>
      </c>
      <c r="J70" s="652">
        <f t="shared" ca="1" si="27"/>
        <v>1375.5</v>
      </c>
      <c r="K70" s="652">
        <f t="shared" ca="1" si="27"/>
        <v>1375.5</v>
      </c>
      <c r="L70" s="652">
        <f t="shared" ca="1" si="27"/>
        <v>1375.5</v>
      </c>
      <c r="M70" s="652">
        <f t="shared" ca="1" si="27"/>
        <v>1375.5</v>
      </c>
      <c r="N70" s="652">
        <f t="shared" ca="1" si="27"/>
        <v>48142.5</v>
      </c>
      <c r="O70" s="652">
        <f t="shared" ca="1" si="27"/>
        <v>48142.5</v>
      </c>
      <c r="P70" s="652">
        <f t="shared" ca="1" si="27"/>
        <v>48142.5</v>
      </c>
      <c r="Q70" s="652">
        <f t="shared" ca="1" si="27"/>
        <v>48142.5</v>
      </c>
      <c r="R70" s="652">
        <f t="shared" ca="1" si="27"/>
        <v>48142.5</v>
      </c>
      <c r="S70" s="652">
        <f t="shared" ca="1" si="27"/>
        <v>48142.5</v>
      </c>
      <c r="T70" s="652">
        <f t="shared" ca="1" si="27"/>
        <v>48142.5</v>
      </c>
      <c r="U70" s="652">
        <f t="shared" ca="1" si="28"/>
        <v>0</v>
      </c>
      <c r="V70" s="652">
        <f t="shared" ca="1" si="28"/>
        <v>0</v>
      </c>
      <c r="W70" s="652">
        <f t="shared" ca="1" si="28"/>
        <v>0</v>
      </c>
      <c r="X70" s="652">
        <f t="shared" ca="1" si="28"/>
        <v>0</v>
      </c>
      <c r="Y70" s="652">
        <f t="shared" ca="1" si="28"/>
        <v>0</v>
      </c>
      <c r="Z70" s="652">
        <f t="shared" ca="1" si="28"/>
        <v>0</v>
      </c>
      <c r="AA70" s="652">
        <f t="shared" ca="1" si="28"/>
        <v>0</v>
      </c>
      <c r="AB70" s="652">
        <f t="shared" ca="1" si="28"/>
        <v>13755</v>
      </c>
      <c r="AC70" s="652">
        <f t="shared" ca="1" si="28"/>
        <v>13755</v>
      </c>
      <c r="AD70" s="652">
        <f t="shared" ca="1" si="28"/>
        <v>13755</v>
      </c>
      <c r="AE70" s="652">
        <f t="shared" ca="1" si="28"/>
        <v>13755</v>
      </c>
      <c r="AF70" s="652">
        <f t="shared" ca="1" si="28"/>
        <v>13755</v>
      </c>
      <c r="AG70" s="652">
        <f t="shared" ca="1" si="28"/>
        <v>13755</v>
      </c>
      <c r="AH70" s="652">
        <f t="shared" ca="1" si="28"/>
        <v>13755</v>
      </c>
      <c r="AI70" s="652">
        <f t="shared" ca="1" si="29"/>
        <v>418625.57939560432</v>
      </c>
      <c r="AJ70" s="652">
        <f t="shared" ca="1" si="29"/>
        <v>418625.57939560432</v>
      </c>
      <c r="AK70" s="652">
        <f t="shared" ca="1" si="29"/>
        <v>418625.57939560432</v>
      </c>
      <c r="AL70" s="652">
        <f t="shared" ca="1" si="29"/>
        <v>418625.57939560432</v>
      </c>
      <c r="AM70" s="652">
        <f t="shared" ca="1" si="29"/>
        <v>418625.57939560432</v>
      </c>
      <c r="AN70" s="652">
        <f t="shared" ca="1" si="29"/>
        <v>418625.57939560432</v>
      </c>
      <c r="AO70" s="652">
        <f t="shared" ca="1" si="29"/>
        <v>418625.57939560432</v>
      </c>
      <c r="AP70" s="652">
        <f t="shared" ca="1" si="29"/>
        <v>64.764744505494491</v>
      </c>
      <c r="AQ70" s="652">
        <f t="shared" ca="1" si="29"/>
        <v>64.764744505494491</v>
      </c>
      <c r="AR70" s="652">
        <f t="shared" ca="1" si="29"/>
        <v>64.764744505494491</v>
      </c>
      <c r="AS70" s="652">
        <f t="shared" ca="1" si="29"/>
        <v>64.764744505494491</v>
      </c>
      <c r="AT70" s="652">
        <f t="shared" ca="1" si="29"/>
        <v>64.764744505494491</v>
      </c>
      <c r="AU70" s="652">
        <f t="shared" ca="1" si="29"/>
        <v>64.764744505494491</v>
      </c>
      <c r="AV70" s="652">
        <f t="shared" ca="1" si="29"/>
        <v>64.764744505494491</v>
      </c>
      <c r="AW70" s="652">
        <f t="shared" ca="1" si="21"/>
        <v>0</v>
      </c>
      <c r="AX70" s="652">
        <f t="shared" ca="1" si="21"/>
        <v>0</v>
      </c>
      <c r="AY70" s="652">
        <f t="shared" ca="1" si="21"/>
        <v>0</v>
      </c>
      <c r="AZ70" s="652">
        <f t="shared" ca="1" si="21"/>
        <v>0</v>
      </c>
      <c r="BA70" s="652">
        <f t="shared" ca="1" si="20"/>
        <v>0</v>
      </c>
      <c r="BB70" s="652">
        <f t="shared" ca="1" si="20"/>
        <v>0</v>
      </c>
      <c r="BC70" s="652">
        <f t="shared" ca="1" si="20"/>
        <v>0</v>
      </c>
      <c r="BD70" s="652">
        <f t="shared" ca="1" si="6"/>
        <v>9628.5</v>
      </c>
      <c r="BE70" s="652">
        <f t="shared" ca="1" si="20"/>
        <v>336997.5</v>
      </c>
      <c r="BF70" s="652">
        <f t="shared" ca="1" si="20"/>
        <v>0</v>
      </c>
      <c r="BG70" s="652">
        <f t="shared" ca="1" si="20"/>
        <v>96285</v>
      </c>
      <c r="BH70" s="652">
        <f t="shared" ca="1" si="20"/>
        <v>0</v>
      </c>
      <c r="BI70" s="652">
        <f t="shared" ca="1" si="20"/>
        <v>2930379.0557692302</v>
      </c>
      <c r="BJ70" s="652">
        <f t="shared" ca="1" si="20"/>
        <v>453.35321153846144</v>
      </c>
      <c r="BK70" s="652">
        <f t="shared" ca="1" si="20"/>
        <v>0</v>
      </c>
    </row>
    <row r="71" spans="1:63">
      <c r="A71" s="526"/>
      <c r="B71" s="662">
        <v>25</v>
      </c>
      <c r="C71" s="662" t="s">
        <v>63</v>
      </c>
      <c r="D71" s="660" t="str">
        <f t="shared" ca="1" si="30"/>
        <v>Efficient Lighting Controls - Occupancy Sensor</v>
      </c>
      <c r="E71" s="660" t="str">
        <f t="shared" ca="1" si="30"/>
        <v>Occupancy Sensor ($0.03 per Controlled Watt)</v>
      </c>
      <c r="F71" s="660" t="str">
        <f t="shared" ca="1" si="30"/>
        <v>Per Controlled Watt</v>
      </c>
      <c r="G71" s="652">
        <f t="shared" ca="1" si="27"/>
        <v>376632.07142857142</v>
      </c>
      <c r="H71" s="652">
        <f t="shared" ca="1" si="27"/>
        <v>376632.07142857142</v>
      </c>
      <c r="I71" s="652">
        <f t="shared" ca="1" si="27"/>
        <v>376632.07142857142</v>
      </c>
      <c r="J71" s="652">
        <f t="shared" ca="1" si="27"/>
        <v>376632.07142857142</v>
      </c>
      <c r="K71" s="652">
        <f t="shared" ca="1" si="27"/>
        <v>376632.07142857142</v>
      </c>
      <c r="L71" s="652">
        <f t="shared" ca="1" si="27"/>
        <v>376632.07142857142</v>
      </c>
      <c r="M71" s="652">
        <f t="shared" ca="1" si="27"/>
        <v>376632.07142857142</v>
      </c>
      <c r="N71" s="652">
        <f t="shared" ca="1" si="27"/>
        <v>278364.92783086043</v>
      </c>
      <c r="O71" s="652">
        <f t="shared" ca="1" si="27"/>
        <v>278364.92783086043</v>
      </c>
      <c r="P71" s="652">
        <f t="shared" ca="1" si="27"/>
        <v>278364.92783086043</v>
      </c>
      <c r="Q71" s="652">
        <f t="shared" ca="1" si="27"/>
        <v>278364.92783086043</v>
      </c>
      <c r="R71" s="652">
        <f t="shared" ca="1" si="27"/>
        <v>278364.92783086043</v>
      </c>
      <c r="S71" s="652">
        <f t="shared" ca="1" si="27"/>
        <v>278364.92783086043</v>
      </c>
      <c r="T71" s="652">
        <f t="shared" ca="1" si="27"/>
        <v>278364.92783086043</v>
      </c>
      <c r="U71" s="652">
        <f t="shared" ca="1" si="28"/>
        <v>0</v>
      </c>
      <c r="V71" s="652">
        <f t="shared" ca="1" si="28"/>
        <v>0</v>
      </c>
      <c r="W71" s="652">
        <f t="shared" ca="1" si="28"/>
        <v>0</v>
      </c>
      <c r="X71" s="652">
        <f t="shared" ca="1" si="28"/>
        <v>0</v>
      </c>
      <c r="Y71" s="652">
        <f t="shared" ca="1" si="28"/>
        <v>0</v>
      </c>
      <c r="Z71" s="652">
        <f t="shared" ca="1" si="28"/>
        <v>0</v>
      </c>
      <c r="AA71" s="652">
        <f t="shared" ca="1" si="28"/>
        <v>0</v>
      </c>
      <c r="AB71" s="652">
        <f t="shared" ca="1" si="28"/>
        <v>11298.962142857143</v>
      </c>
      <c r="AC71" s="652">
        <f t="shared" ca="1" si="28"/>
        <v>11298.962142857143</v>
      </c>
      <c r="AD71" s="652">
        <f t="shared" ca="1" si="28"/>
        <v>11298.962142857143</v>
      </c>
      <c r="AE71" s="652">
        <f t="shared" ca="1" si="28"/>
        <v>11298.962142857143</v>
      </c>
      <c r="AF71" s="652">
        <f t="shared" ca="1" si="28"/>
        <v>11298.962142857143</v>
      </c>
      <c r="AG71" s="652">
        <f t="shared" ca="1" si="28"/>
        <v>11298.962142857143</v>
      </c>
      <c r="AH71" s="652">
        <f t="shared" ca="1" si="28"/>
        <v>11298.962142857143</v>
      </c>
      <c r="AI71" s="652">
        <f t="shared" ref="AI71:AV75" ca="1" si="32">VLOOKUP($B71,INDIRECT("'"&amp;$C71&amp;"'!A6:FR1000"),IF(AI$6="Participation 2023",MATCH("__Participation 2023",INDIRECT("'"&amp;$C71&amp;"'!1:1"),0),IF(AI$6="Participation",MATCH("_Total Plan Summary _Participation",INDIRECT("'"&amp;$C71&amp;"'!1:1"),0),MATCH(AI$4&amp;"_"&amp;AI$5&amp;"_"&amp;AI$6,INDIRECT("'"&amp;$C71&amp;"'!1:1"),0))),0)</f>
        <v>433137.65713806858</v>
      </c>
      <c r="AJ71" s="652">
        <f t="shared" ca="1" si="32"/>
        <v>433137.65713806858</v>
      </c>
      <c r="AK71" s="652">
        <f t="shared" ca="1" si="32"/>
        <v>433137.65713806858</v>
      </c>
      <c r="AL71" s="652">
        <f t="shared" ca="1" si="32"/>
        <v>433137.65713806858</v>
      </c>
      <c r="AM71" s="652">
        <f t="shared" ca="1" si="32"/>
        <v>433137.65713806858</v>
      </c>
      <c r="AN71" s="652">
        <f t="shared" ca="1" si="32"/>
        <v>433137.65713806858</v>
      </c>
      <c r="AO71" s="652">
        <f t="shared" ca="1" si="32"/>
        <v>433137.65713806858</v>
      </c>
      <c r="AP71" s="652">
        <f t="shared" ca="1" si="32"/>
        <v>49.250764992625328</v>
      </c>
      <c r="AQ71" s="652">
        <f t="shared" ca="1" si="32"/>
        <v>49.250764992625328</v>
      </c>
      <c r="AR71" s="652">
        <f t="shared" ca="1" si="32"/>
        <v>49.250764992625328</v>
      </c>
      <c r="AS71" s="652">
        <f t="shared" ca="1" si="32"/>
        <v>49.250764992625328</v>
      </c>
      <c r="AT71" s="652">
        <f t="shared" ca="1" si="32"/>
        <v>49.250764992625328</v>
      </c>
      <c r="AU71" s="652">
        <f t="shared" ca="1" si="32"/>
        <v>49.250764992625328</v>
      </c>
      <c r="AV71" s="652">
        <f t="shared" ca="1" si="32"/>
        <v>49.250764992625328</v>
      </c>
      <c r="AW71" s="652">
        <f t="shared" ca="1" si="21"/>
        <v>0</v>
      </c>
      <c r="AX71" s="652">
        <f t="shared" ca="1" si="21"/>
        <v>0</v>
      </c>
      <c r="AY71" s="652">
        <f t="shared" ca="1" si="21"/>
        <v>0</v>
      </c>
      <c r="AZ71" s="652">
        <f t="shared" ca="1" si="21"/>
        <v>0</v>
      </c>
      <c r="BA71" s="652">
        <f t="shared" ca="1" si="20"/>
        <v>0</v>
      </c>
      <c r="BB71" s="652">
        <f t="shared" ca="1" si="20"/>
        <v>0</v>
      </c>
      <c r="BC71" s="652">
        <f t="shared" ca="1" si="20"/>
        <v>0</v>
      </c>
      <c r="BD71" s="652">
        <f t="shared" ca="1" si="6"/>
        <v>2636424.5</v>
      </c>
      <c r="BE71" s="652">
        <f t="shared" ca="1" si="20"/>
        <v>1948554.4948160232</v>
      </c>
      <c r="BF71" s="652">
        <f t="shared" ca="1" si="20"/>
        <v>0</v>
      </c>
      <c r="BG71" s="652">
        <f t="shared" ca="1" si="20"/>
        <v>79092.735000000001</v>
      </c>
      <c r="BH71" s="652">
        <f t="shared" ca="1" si="20"/>
        <v>0</v>
      </c>
      <c r="BI71" s="652">
        <f t="shared" ca="1" si="20"/>
        <v>3031963.5999664804</v>
      </c>
      <c r="BJ71" s="652">
        <f t="shared" ca="1" si="20"/>
        <v>344.75535494837726</v>
      </c>
      <c r="BK71" s="652">
        <f t="shared" ca="1" si="20"/>
        <v>0</v>
      </c>
    </row>
    <row r="72" spans="1:63">
      <c r="A72" s="526"/>
      <c r="B72" s="662">
        <v>26</v>
      </c>
      <c r="C72" s="662" t="s">
        <v>63</v>
      </c>
      <c r="D72" s="660" t="str">
        <f t="shared" ca="1" si="30"/>
        <v>Efficient Lighting Controls - Daylight Dimming-Continuous Fixtures</v>
      </c>
      <c r="E72" s="660" t="str">
        <f t="shared" ca="1" si="30"/>
        <v>Daylight Dimming-Continuous Fixtures ($0.03 per Controlled Watt)</v>
      </c>
      <c r="F72" s="660" t="str">
        <f t="shared" ca="1" si="30"/>
        <v>Per Controlled Watt</v>
      </c>
      <c r="G72" s="652">
        <f t="shared" ca="1" si="27"/>
        <v>0</v>
      </c>
      <c r="H72" s="652">
        <f t="shared" ca="1" si="27"/>
        <v>1</v>
      </c>
      <c r="I72" s="652">
        <f t="shared" ca="1" si="27"/>
        <v>0</v>
      </c>
      <c r="J72" s="652">
        <f t="shared" ca="1" si="27"/>
        <v>0</v>
      </c>
      <c r="K72" s="652">
        <f t="shared" ca="1" si="27"/>
        <v>1</v>
      </c>
      <c r="L72" s="652">
        <f t="shared" ca="1" si="27"/>
        <v>0</v>
      </c>
      <c r="M72" s="652">
        <f t="shared" ca="1" si="27"/>
        <v>0</v>
      </c>
      <c r="N72" s="652">
        <f t="shared" ca="1" si="27"/>
        <v>0</v>
      </c>
      <c r="O72" s="652">
        <f t="shared" ca="1" si="27"/>
        <v>2518.1815679365777</v>
      </c>
      <c r="P72" s="652">
        <f t="shared" ca="1" si="27"/>
        <v>0</v>
      </c>
      <c r="Q72" s="652">
        <f t="shared" ca="1" si="27"/>
        <v>0</v>
      </c>
      <c r="R72" s="652">
        <f t="shared" ca="1" si="27"/>
        <v>2518.1815679365777</v>
      </c>
      <c r="S72" s="652">
        <f t="shared" ca="1" si="27"/>
        <v>0</v>
      </c>
      <c r="T72" s="652">
        <f t="shared" ca="1" si="27"/>
        <v>0</v>
      </c>
      <c r="U72" s="652">
        <f t="shared" ca="1" si="28"/>
        <v>0</v>
      </c>
      <c r="V72" s="652">
        <f t="shared" ca="1" si="28"/>
        <v>0</v>
      </c>
      <c r="W72" s="652">
        <f t="shared" ca="1" si="28"/>
        <v>0</v>
      </c>
      <c r="X72" s="652">
        <f t="shared" ca="1" si="28"/>
        <v>0</v>
      </c>
      <c r="Y72" s="652">
        <f t="shared" ca="1" si="28"/>
        <v>0</v>
      </c>
      <c r="Z72" s="652">
        <f t="shared" ca="1" si="28"/>
        <v>0</v>
      </c>
      <c r="AA72" s="652">
        <f t="shared" ca="1" si="28"/>
        <v>0</v>
      </c>
      <c r="AB72" s="652">
        <f t="shared" ca="1" si="28"/>
        <v>0</v>
      </c>
      <c r="AC72" s="652">
        <f t="shared" ca="1" si="28"/>
        <v>189.26999999999998</v>
      </c>
      <c r="AD72" s="652">
        <f t="shared" ca="1" si="28"/>
        <v>0</v>
      </c>
      <c r="AE72" s="652">
        <f t="shared" ca="1" si="28"/>
        <v>0</v>
      </c>
      <c r="AF72" s="652">
        <f t="shared" ca="1" si="28"/>
        <v>189.26999999999998</v>
      </c>
      <c r="AG72" s="652">
        <f t="shared" ca="1" si="28"/>
        <v>0</v>
      </c>
      <c r="AH72" s="652">
        <f t="shared" ca="1" si="28"/>
        <v>0</v>
      </c>
      <c r="AI72" s="652">
        <f t="shared" ca="1" si="32"/>
        <v>0</v>
      </c>
      <c r="AJ72" s="652">
        <f t="shared" ca="1" si="32"/>
        <v>6669.814233600001</v>
      </c>
      <c r="AK72" s="652">
        <f t="shared" ca="1" si="32"/>
        <v>0</v>
      </c>
      <c r="AL72" s="652">
        <f t="shared" ca="1" si="32"/>
        <v>0</v>
      </c>
      <c r="AM72" s="652">
        <f t="shared" ca="1" si="32"/>
        <v>6669.814233600001</v>
      </c>
      <c r="AN72" s="652">
        <f t="shared" ca="1" si="32"/>
        <v>0</v>
      </c>
      <c r="AO72" s="652">
        <f t="shared" ca="1" si="32"/>
        <v>0</v>
      </c>
      <c r="AP72" s="652">
        <f t="shared" ca="1" si="32"/>
        <v>0</v>
      </c>
      <c r="AQ72" s="652">
        <f t="shared" ca="1" si="32"/>
        <v>4.1828670000000008</v>
      </c>
      <c r="AR72" s="652">
        <f t="shared" ca="1" si="32"/>
        <v>0</v>
      </c>
      <c r="AS72" s="652">
        <f t="shared" ca="1" si="32"/>
        <v>0</v>
      </c>
      <c r="AT72" s="652">
        <f t="shared" ca="1" si="32"/>
        <v>4.1828670000000008</v>
      </c>
      <c r="AU72" s="652">
        <f t="shared" ca="1" si="32"/>
        <v>0</v>
      </c>
      <c r="AV72" s="652">
        <f t="shared" ca="1" si="32"/>
        <v>0</v>
      </c>
      <c r="AW72" s="652">
        <f t="shared" ca="1" si="21"/>
        <v>0</v>
      </c>
      <c r="AX72" s="652">
        <f t="shared" ca="1" si="21"/>
        <v>0</v>
      </c>
      <c r="AY72" s="652">
        <f t="shared" ca="1" si="21"/>
        <v>0</v>
      </c>
      <c r="AZ72" s="652">
        <f t="shared" ca="1" si="21"/>
        <v>0</v>
      </c>
      <c r="BA72" s="652">
        <f t="shared" ca="1" si="20"/>
        <v>0</v>
      </c>
      <c r="BB72" s="652">
        <f t="shared" ca="1" si="19"/>
        <v>0</v>
      </c>
      <c r="BC72" s="652">
        <f t="shared" ca="1" si="19"/>
        <v>0</v>
      </c>
      <c r="BD72" s="652">
        <f t="shared" ca="1" si="6"/>
        <v>2</v>
      </c>
      <c r="BE72" s="652">
        <f t="shared" ca="1" si="19"/>
        <v>5036.3631358731554</v>
      </c>
      <c r="BF72" s="652">
        <f t="shared" ca="1" si="19"/>
        <v>0</v>
      </c>
      <c r="BG72" s="652">
        <f t="shared" ca="1" si="19"/>
        <v>378.53999999999996</v>
      </c>
      <c r="BH72" s="652">
        <f t="shared" ca="1" si="20"/>
        <v>0</v>
      </c>
      <c r="BI72" s="652">
        <f t="shared" ca="1" si="19"/>
        <v>13339.628467200002</v>
      </c>
      <c r="BJ72" s="652">
        <f t="shared" ca="1" si="19"/>
        <v>8.3657340000000016</v>
      </c>
      <c r="BK72" s="652">
        <f t="shared" ca="1" si="19"/>
        <v>0</v>
      </c>
    </row>
    <row r="73" spans="1:63">
      <c r="A73" s="526"/>
      <c r="B73" s="662">
        <v>27</v>
      </c>
      <c r="C73" s="662" t="s">
        <v>63</v>
      </c>
      <c r="D73" s="660" t="str">
        <f t="shared" ca="1" si="30"/>
        <v>Efficient Lighting Controls - Occupancy/Daylight Dual Control</v>
      </c>
      <c r="E73" s="660" t="str">
        <f t="shared" ca="1" si="30"/>
        <v>Occupancy/Daylight Dual Control ($0.03 per Controlled Watt)</v>
      </c>
      <c r="F73" s="660" t="str">
        <f t="shared" ca="1" si="30"/>
        <v>Per Controlled Watt</v>
      </c>
      <c r="G73" s="652">
        <f t="shared" ca="1" si="27"/>
        <v>0</v>
      </c>
      <c r="H73" s="652">
        <f t="shared" ca="1" si="27"/>
        <v>0</v>
      </c>
      <c r="I73" s="652">
        <f t="shared" ca="1" si="27"/>
        <v>1</v>
      </c>
      <c r="J73" s="652">
        <f t="shared" ca="1" si="27"/>
        <v>0</v>
      </c>
      <c r="K73" s="652">
        <f t="shared" ca="1" si="27"/>
        <v>0</v>
      </c>
      <c r="L73" s="652">
        <f t="shared" ca="1" si="27"/>
        <v>1</v>
      </c>
      <c r="M73" s="652">
        <f t="shared" ca="1" si="27"/>
        <v>0</v>
      </c>
      <c r="N73" s="652">
        <f t="shared" ca="1" si="27"/>
        <v>0</v>
      </c>
      <c r="O73" s="652">
        <f t="shared" ca="1" si="27"/>
        <v>0</v>
      </c>
      <c r="P73" s="652">
        <f t="shared" ca="1" si="27"/>
        <v>9636.8336522690006</v>
      </c>
      <c r="Q73" s="652">
        <f t="shared" ca="1" si="27"/>
        <v>0</v>
      </c>
      <c r="R73" s="652">
        <f t="shared" ca="1" si="27"/>
        <v>0</v>
      </c>
      <c r="S73" s="652">
        <f t="shared" ca="1" si="27"/>
        <v>9636.8336522690006</v>
      </c>
      <c r="T73" s="652">
        <f t="shared" ca="1" si="27"/>
        <v>0</v>
      </c>
      <c r="U73" s="652">
        <f t="shared" ca="1" si="28"/>
        <v>0</v>
      </c>
      <c r="V73" s="652">
        <f t="shared" ca="1" si="28"/>
        <v>0</v>
      </c>
      <c r="W73" s="652">
        <f t="shared" ca="1" si="28"/>
        <v>0</v>
      </c>
      <c r="X73" s="652">
        <f t="shared" ca="1" si="28"/>
        <v>0</v>
      </c>
      <c r="Y73" s="652">
        <f t="shared" ca="1" si="28"/>
        <v>0</v>
      </c>
      <c r="Z73" s="652">
        <f t="shared" ca="1" si="28"/>
        <v>0</v>
      </c>
      <c r="AA73" s="652">
        <f t="shared" ca="1" si="28"/>
        <v>0</v>
      </c>
      <c r="AB73" s="652">
        <f t="shared" ca="1" si="28"/>
        <v>0</v>
      </c>
      <c r="AC73" s="652">
        <f t="shared" ca="1" si="28"/>
        <v>0</v>
      </c>
      <c r="AD73" s="652">
        <f t="shared" ca="1" si="28"/>
        <v>189.26999999999998</v>
      </c>
      <c r="AE73" s="652">
        <f t="shared" ca="1" si="28"/>
        <v>0</v>
      </c>
      <c r="AF73" s="652">
        <f t="shared" ca="1" si="28"/>
        <v>0</v>
      </c>
      <c r="AG73" s="652">
        <f t="shared" ca="1" si="28"/>
        <v>189.26999999999998</v>
      </c>
      <c r="AH73" s="652">
        <f t="shared" ca="1" si="28"/>
        <v>0</v>
      </c>
      <c r="AI73" s="652">
        <f t="shared" ca="1" si="32"/>
        <v>0</v>
      </c>
      <c r="AJ73" s="652">
        <f t="shared" ca="1" si="32"/>
        <v>0</v>
      </c>
      <c r="AK73" s="652">
        <f t="shared" ca="1" si="32"/>
        <v>9051.8907456000015</v>
      </c>
      <c r="AL73" s="652">
        <f t="shared" ca="1" si="32"/>
        <v>0</v>
      </c>
      <c r="AM73" s="652">
        <f t="shared" ca="1" si="32"/>
        <v>0</v>
      </c>
      <c r="AN73" s="652">
        <f t="shared" ca="1" si="32"/>
        <v>9051.8907456000015</v>
      </c>
      <c r="AO73" s="652">
        <f t="shared" ca="1" si="32"/>
        <v>0</v>
      </c>
      <c r="AP73" s="652">
        <f t="shared" ca="1" si="32"/>
        <v>0</v>
      </c>
      <c r="AQ73" s="652">
        <f t="shared" ca="1" si="32"/>
        <v>0</v>
      </c>
      <c r="AR73" s="652">
        <f t="shared" ca="1" si="32"/>
        <v>4.1828670000000008</v>
      </c>
      <c r="AS73" s="652">
        <f t="shared" ca="1" si="32"/>
        <v>0</v>
      </c>
      <c r="AT73" s="652">
        <f t="shared" ca="1" si="32"/>
        <v>0</v>
      </c>
      <c r="AU73" s="652">
        <f t="shared" ca="1" si="32"/>
        <v>4.1828670000000008</v>
      </c>
      <c r="AV73" s="652">
        <f t="shared" ca="1" si="32"/>
        <v>0</v>
      </c>
      <c r="AW73" s="652">
        <f t="shared" ca="1" si="21"/>
        <v>0</v>
      </c>
      <c r="AX73" s="652">
        <f t="shared" ca="1" si="21"/>
        <v>0</v>
      </c>
      <c r="AY73" s="652">
        <f t="shared" ca="1" si="21"/>
        <v>0</v>
      </c>
      <c r="AZ73" s="652">
        <f t="shared" ca="1" si="21"/>
        <v>0</v>
      </c>
      <c r="BA73" s="652">
        <f t="shared" ca="1" si="20"/>
        <v>0</v>
      </c>
      <c r="BB73" s="652">
        <f t="shared" ca="1" si="19"/>
        <v>0</v>
      </c>
      <c r="BC73" s="652">
        <f t="shared" ca="1" si="19"/>
        <v>0</v>
      </c>
      <c r="BD73" s="652">
        <f t="shared" ref="BD73:BD129" ca="1" si="33">SUM(G73:M73)</f>
        <v>2</v>
      </c>
      <c r="BE73" s="652">
        <f t="shared" ca="1" si="19"/>
        <v>19273.667304538001</v>
      </c>
      <c r="BF73" s="652">
        <f t="shared" ca="1" si="19"/>
        <v>0</v>
      </c>
      <c r="BG73" s="652">
        <f t="shared" ca="1" si="19"/>
        <v>378.53999999999996</v>
      </c>
      <c r="BH73" s="652">
        <f t="shared" ca="1" si="19"/>
        <v>0</v>
      </c>
      <c r="BI73" s="652">
        <f t="shared" ca="1" si="19"/>
        <v>18103.781491200003</v>
      </c>
      <c r="BJ73" s="652">
        <f t="shared" ca="1" si="19"/>
        <v>8.3657340000000016</v>
      </c>
      <c r="BK73" s="652">
        <f t="shared" ca="1" si="19"/>
        <v>0</v>
      </c>
    </row>
    <row r="74" spans="1:63">
      <c r="A74" s="526"/>
      <c r="B74" s="662">
        <v>28</v>
      </c>
      <c r="C74" s="662" t="s">
        <v>63</v>
      </c>
      <c r="D74" s="660" t="str">
        <f t="shared" ca="1" si="30"/>
        <v>Custom Projects</v>
      </c>
      <c r="E74" s="660" t="str">
        <f t="shared" ca="1" si="30"/>
        <v>Custom Projects - Saves 1 kW of Demand or More</v>
      </c>
      <c r="F74" s="660" t="str">
        <f t="shared" ca="1" si="30"/>
        <v>Per Saved kWh (first year savings only)</v>
      </c>
      <c r="G74" s="652">
        <f t="shared" ca="1" si="27"/>
        <v>10000000</v>
      </c>
      <c r="H74" s="652">
        <f t="shared" ca="1" si="27"/>
        <v>16000000</v>
      </c>
      <c r="I74" s="652">
        <f t="shared" ca="1" si="27"/>
        <v>24000000</v>
      </c>
      <c r="J74" s="652">
        <f t="shared" ca="1" si="27"/>
        <v>24000000</v>
      </c>
      <c r="K74" s="652">
        <f t="shared" ca="1" si="27"/>
        <v>24000000</v>
      </c>
      <c r="L74" s="652">
        <f t="shared" ca="1" si="27"/>
        <v>24000000</v>
      </c>
      <c r="M74" s="652">
        <f t="shared" ca="1" si="27"/>
        <v>24000000</v>
      </c>
      <c r="N74" s="652">
        <f t="shared" ca="1" si="27"/>
        <v>2211787.5297672004</v>
      </c>
      <c r="O74" s="652">
        <f t="shared" ca="1" si="27"/>
        <v>3538860.0476275203</v>
      </c>
      <c r="P74" s="652">
        <f t="shared" ca="1" si="27"/>
        <v>5308290.0714412807</v>
      </c>
      <c r="Q74" s="652">
        <f t="shared" ca="1" si="27"/>
        <v>5308290.0714412807</v>
      </c>
      <c r="R74" s="652">
        <f t="shared" ca="1" si="27"/>
        <v>5308290.0714412807</v>
      </c>
      <c r="S74" s="652">
        <f t="shared" ca="1" si="27"/>
        <v>5308290.0714412807</v>
      </c>
      <c r="T74" s="652">
        <f t="shared" ca="1" si="27"/>
        <v>5308290.0714412807</v>
      </c>
      <c r="U74" s="652">
        <f t="shared" ca="1" si="28"/>
        <v>0</v>
      </c>
      <c r="V74" s="652">
        <f t="shared" ca="1" si="28"/>
        <v>0</v>
      </c>
      <c r="W74" s="652">
        <f t="shared" ca="1" si="28"/>
        <v>0</v>
      </c>
      <c r="X74" s="652">
        <f t="shared" ca="1" si="28"/>
        <v>0</v>
      </c>
      <c r="Y74" s="652">
        <f t="shared" ca="1" si="28"/>
        <v>0</v>
      </c>
      <c r="Z74" s="652">
        <f t="shared" ca="1" si="28"/>
        <v>0</v>
      </c>
      <c r="AA74" s="652">
        <f t="shared" ca="1" si="28"/>
        <v>0</v>
      </c>
      <c r="AB74" s="652">
        <f t="shared" ca="1" si="28"/>
        <v>841404.89623261383</v>
      </c>
      <c r="AC74" s="652">
        <f t="shared" ca="1" si="28"/>
        <v>1346247.8339721821</v>
      </c>
      <c r="AD74" s="652">
        <f t="shared" ca="1" si="28"/>
        <v>2019371.7509582732</v>
      </c>
      <c r="AE74" s="652">
        <f t="shared" ca="1" si="28"/>
        <v>2019371.7509582732</v>
      </c>
      <c r="AF74" s="652">
        <f t="shared" ca="1" si="28"/>
        <v>2019371.7509582732</v>
      </c>
      <c r="AG74" s="652">
        <f t="shared" ca="1" si="28"/>
        <v>2019371.7509582732</v>
      </c>
      <c r="AH74" s="652">
        <f t="shared" ca="1" si="28"/>
        <v>2019371.7509582732</v>
      </c>
      <c r="AI74" s="652">
        <f t="shared" ca="1" si="32"/>
        <v>10000000</v>
      </c>
      <c r="AJ74" s="652">
        <f t="shared" ca="1" si="32"/>
        <v>16000000</v>
      </c>
      <c r="AK74" s="652">
        <f t="shared" ca="1" si="32"/>
        <v>24000000</v>
      </c>
      <c r="AL74" s="652">
        <f t="shared" ca="1" si="32"/>
        <v>24000000</v>
      </c>
      <c r="AM74" s="652">
        <f t="shared" ca="1" si="32"/>
        <v>24000000</v>
      </c>
      <c r="AN74" s="652">
        <f t="shared" ca="1" si="32"/>
        <v>24000000</v>
      </c>
      <c r="AO74" s="652">
        <f t="shared" ca="1" si="32"/>
        <v>24000000</v>
      </c>
      <c r="AP74" s="652">
        <f t="shared" ca="1" si="32"/>
        <v>2731.2391698609108</v>
      </c>
      <c r="AQ74" s="652">
        <f t="shared" ca="1" si="32"/>
        <v>4369.9826717774567</v>
      </c>
      <c r="AR74" s="652">
        <f t="shared" ca="1" si="32"/>
        <v>6554.9740076661856</v>
      </c>
      <c r="AS74" s="652">
        <f t="shared" ca="1" si="32"/>
        <v>6554.9740076661856</v>
      </c>
      <c r="AT74" s="652">
        <f t="shared" ca="1" si="32"/>
        <v>6554.9740076661856</v>
      </c>
      <c r="AU74" s="652">
        <f t="shared" ca="1" si="32"/>
        <v>6554.9740076661856</v>
      </c>
      <c r="AV74" s="652">
        <f t="shared" ca="1" si="32"/>
        <v>6554.9740076661856</v>
      </c>
      <c r="AW74" s="652">
        <f t="shared" ca="1" si="21"/>
        <v>0</v>
      </c>
      <c r="AX74" s="652">
        <f t="shared" ca="1" si="21"/>
        <v>0</v>
      </c>
      <c r="AY74" s="652">
        <f t="shared" ca="1" si="21"/>
        <v>0</v>
      </c>
      <c r="AZ74" s="652">
        <f t="shared" ca="1" si="21"/>
        <v>0</v>
      </c>
      <c r="BA74" s="652">
        <f t="shared" ca="1" si="20"/>
        <v>0</v>
      </c>
      <c r="BB74" s="652">
        <f t="shared" ca="1" si="19"/>
        <v>0</v>
      </c>
      <c r="BC74" s="652">
        <f t="shared" ca="1" si="19"/>
        <v>0</v>
      </c>
      <c r="BD74" s="652">
        <f t="shared" ca="1" si="33"/>
        <v>146000000</v>
      </c>
      <c r="BE74" s="652">
        <f t="shared" ca="1" si="19"/>
        <v>32292097.934601128</v>
      </c>
      <c r="BF74" s="652">
        <f t="shared" ca="1" si="19"/>
        <v>0</v>
      </c>
      <c r="BG74" s="652">
        <f t="shared" ca="1" si="19"/>
        <v>12284511.484996162</v>
      </c>
      <c r="BH74" s="652">
        <f t="shared" ca="1" si="19"/>
        <v>0</v>
      </c>
      <c r="BI74" s="652">
        <f t="shared" ca="1" si="19"/>
        <v>146000000</v>
      </c>
      <c r="BJ74" s="652">
        <f t="shared" ca="1" si="19"/>
        <v>39876.091879969288</v>
      </c>
      <c r="BK74" s="652">
        <f t="shared" ca="1" si="19"/>
        <v>0</v>
      </c>
    </row>
    <row r="75" spans="1:63">
      <c r="A75" s="526"/>
      <c r="B75" s="662">
        <v>29</v>
      </c>
      <c r="C75" s="662" t="s">
        <v>63</v>
      </c>
      <c r="D75" s="660" t="str">
        <f t="shared" ref="D75:F75" ca="1" si="34">VLOOKUP($B75,INDIRECT("'"&amp;$C75&amp;"'!A6:FC1000"),IF(D$6="Participation 2023",MATCH("__Participation 2023",INDIRECT("'"&amp;$C75&amp;"'!1:1"),0),IF(D$6="Participation",MATCH("_Total Plan Summary _Participation",INDIRECT("'"&amp;$C75&amp;"'!1:1"),0),MATCH(D$4&amp;"_"&amp;D$5&amp;"_"&amp;D$6,INDIRECT("'"&amp;$C75&amp;"'!1:1"),0))),0)</f>
        <v>Commercial New Construction Tier 1 &lt;25,000 sqft</v>
      </c>
      <c r="E75" s="660" t="str">
        <f t="shared" ca="1" si="34"/>
        <v>Commercial New Construction Tier 1 - 10% Over Code</v>
      </c>
      <c r="F75" s="660" t="str">
        <f t="shared" ca="1" si="34"/>
        <v>Per Project</v>
      </c>
      <c r="G75" s="652">
        <f t="shared" ca="1" si="27"/>
        <v>0</v>
      </c>
      <c r="H75" s="652">
        <f t="shared" ca="1" si="27"/>
        <v>1</v>
      </c>
      <c r="I75" s="652">
        <f t="shared" ca="1" si="27"/>
        <v>0</v>
      </c>
      <c r="J75" s="652">
        <f t="shared" ca="1" si="27"/>
        <v>0</v>
      </c>
      <c r="K75" s="652">
        <f t="shared" ca="1" si="27"/>
        <v>1</v>
      </c>
      <c r="L75" s="652">
        <f t="shared" ca="1" si="27"/>
        <v>0</v>
      </c>
      <c r="M75" s="652">
        <f t="shared" ca="1" si="27"/>
        <v>0</v>
      </c>
      <c r="N75" s="652">
        <f t="shared" ca="1" si="27"/>
        <v>0</v>
      </c>
      <c r="O75" s="652">
        <f t="shared" ca="1" si="27"/>
        <v>10980.198012776291</v>
      </c>
      <c r="P75" s="652">
        <f t="shared" ca="1" si="27"/>
        <v>0</v>
      </c>
      <c r="Q75" s="652">
        <f t="shared" ca="1" si="27"/>
        <v>0</v>
      </c>
      <c r="R75" s="652">
        <f t="shared" ca="1" si="27"/>
        <v>10980.198012776291</v>
      </c>
      <c r="S75" s="652">
        <f t="shared" ref="S75:AF75" ca="1" si="35">VLOOKUP($B75,INDIRECT("'"&amp;$C75&amp;"'!A6:FR1000"),IF(S$6="Participation 2023",MATCH("__Participation 2023",INDIRECT("'"&amp;$C75&amp;"'!1:1"),0),IF(S$6="Participation",MATCH("_Total Plan Summary _Participation",INDIRECT("'"&amp;$C75&amp;"'!1:1"),0),MATCH(S$4&amp;"_"&amp;S$5&amp;"_"&amp;S$6,INDIRECT("'"&amp;$C75&amp;"'!1:1"),0))),0)</f>
        <v>0</v>
      </c>
      <c r="T75" s="652">
        <f t="shared" ca="1" si="35"/>
        <v>0</v>
      </c>
      <c r="U75" s="652">
        <f t="shared" ca="1" si="35"/>
        <v>0</v>
      </c>
      <c r="V75" s="652">
        <f t="shared" ca="1" si="35"/>
        <v>0</v>
      </c>
      <c r="W75" s="652">
        <f t="shared" ca="1" si="35"/>
        <v>0</v>
      </c>
      <c r="X75" s="652">
        <f t="shared" ca="1" si="35"/>
        <v>0</v>
      </c>
      <c r="Y75" s="652">
        <f t="shared" ca="1" si="35"/>
        <v>0</v>
      </c>
      <c r="Z75" s="652">
        <f t="shared" ca="1" si="35"/>
        <v>0</v>
      </c>
      <c r="AA75" s="652">
        <f t="shared" ca="1" si="35"/>
        <v>0</v>
      </c>
      <c r="AB75" s="652">
        <f t="shared" ca="1" si="35"/>
        <v>0</v>
      </c>
      <c r="AC75" s="652">
        <f t="shared" ca="1" si="35"/>
        <v>1500</v>
      </c>
      <c r="AD75" s="652">
        <f t="shared" ca="1" si="35"/>
        <v>0</v>
      </c>
      <c r="AE75" s="652">
        <f t="shared" ca="1" si="35"/>
        <v>0</v>
      </c>
      <c r="AF75" s="652">
        <f t="shared" ca="1" si="35"/>
        <v>1500</v>
      </c>
      <c r="AG75" s="652">
        <f t="shared" ca="1" si="28"/>
        <v>0</v>
      </c>
      <c r="AH75" s="652">
        <f t="shared" ca="1" si="28"/>
        <v>0</v>
      </c>
      <c r="AI75" s="652">
        <f t="shared" ca="1" si="32"/>
        <v>0</v>
      </c>
      <c r="AJ75" s="652">
        <f t="shared" ca="1" si="32"/>
        <v>49644.000000000007</v>
      </c>
      <c r="AK75" s="652">
        <f t="shared" ca="1" si="32"/>
        <v>0</v>
      </c>
      <c r="AL75" s="652">
        <f t="shared" ca="1" si="32"/>
        <v>0</v>
      </c>
      <c r="AM75" s="652">
        <f t="shared" ca="1" si="32"/>
        <v>49644.000000000007</v>
      </c>
      <c r="AN75" s="652">
        <f t="shared" ca="1" si="32"/>
        <v>0</v>
      </c>
      <c r="AO75" s="652">
        <f t="shared" ca="1" si="32"/>
        <v>0</v>
      </c>
      <c r="AP75" s="652">
        <f t="shared" ca="1" si="32"/>
        <v>0</v>
      </c>
      <c r="AQ75" s="652">
        <f t="shared" ca="1" si="32"/>
        <v>7.7428571428571429</v>
      </c>
      <c r="AR75" s="652">
        <f t="shared" ca="1" si="32"/>
        <v>0</v>
      </c>
      <c r="AS75" s="652">
        <f t="shared" ca="1" si="32"/>
        <v>0</v>
      </c>
      <c r="AT75" s="652">
        <f t="shared" ca="1" si="32"/>
        <v>7.7428571428571429</v>
      </c>
      <c r="AU75" s="652">
        <f t="shared" ca="1" si="32"/>
        <v>0</v>
      </c>
      <c r="AV75" s="652">
        <f t="shared" ca="1" si="32"/>
        <v>0</v>
      </c>
      <c r="AW75" s="652">
        <f t="shared" ca="1" si="21"/>
        <v>0</v>
      </c>
      <c r="AX75" s="652">
        <f t="shared" ca="1" si="21"/>
        <v>397.40571428571434</v>
      </c>
      <c r="AY75" s="652">
        <f t="shared" ca="1" si="21"/>
        <v>0</v>
      </c>
      <c r="AZ75" s="652">
        <f t="shared" ca="1" si="21"/>
        <v>0</v>
      </c>
      <c r="BA75" s="652">
        <f t="shared" ca="1" si="20"/>
        <v>397.40571428571434</v>
      </c>
      <c r="BB75" s="652">
        <f t="shared" ca="1" si="19"/>
        <v>0</v>
      </c>
      <c r="BC75" s="652">
        <f t="shared" ca="1" si="19"/>
        <v>0</v>
      </c>
      <c r="BD75" s="652">
        <f t="shared" ca="1" si="33"/>
        <v>2</v>
      </c>
      <c r="BE75" s="652">
        <f t="shared" ca="1" si="19"/>
        <v>21960.396025552582</v>
      </c>
      <c r="BF75" s="652">
        <f t="shared" ca="1" si="19"/>
        <v>0</v>
      </c>
      <c r="BG75" s="652">
        <f t="shared" ca="1" si="19"/>
        <v>3000</v>
      </c>
      <c r="BH75" s="652">
        <f t="shared" ca="1" si="19"/>
        <v>0</v>
      </c>
      <c r="BI75" s="652">
        <f t="shared" ca="1" si="19"/>
        <v>99288.000000000015</v>
      </c>
      <c r="BJ75" s="652">
        <f t="shared" ca="1" si="19"/>
        <v>15.485714285714286</v>
      </c>
      <c r="BK75" s="652">
        <f t="shared" ca="1" si="19"/>
        <v>794.81142857142868</v>
      </c>
    </row>
    <row r="76" spans="1:63">
      <c r="A76" s="526"/>
      <c r="B76" s="662">
        <v>30</v>
      </c>
      <c r="C76" s="662" t="s">
        <v>63</v>
      </c>
      <c r="D76" s="660" t="str">
        <f t="shared" ca="1" si="30"/>
        <v>Commercial New Construction Tier 2 &lt;25,000 sqft</v>
      </c>
      <c r="E76" s="660" t="str">
        <f t="shared" ca="1" si="30"/>
        <v>Commercial New Construction Tier 2 - 15% Over Code</v>
      </c>
      <c r="F76" s="660" t="str">
        <f t="shared" ca="1" si="30"/>
        <v>Per Project</v>
      </c>
      <c r="G76" s="652">
        <f t="shared" ref="G76:AZ80" ca="1" si="36">VLOOKUP($B76,INDIRECT("'"&amp;$C76&amp;"'!A6:FR1000"),IF(G$6="Participation 2023",MATCH("__Participation 2023",INDIRECT("'"&amp;$C76&amp;"'!1:1"),0),IF(G$6="Participation",MATCH("_Total Plan Summary _Participation",INDIRECT("'"&amp;$C76&amp;"'!1:1"),0),MATCH(G$4&amp;"_"&amp;G$5&amp;"_"&amp;G$6,INDIRECT("'"&amp;$C76&amp;"'!1:1"),0))),0)</f>
        <v>1</v>
      </c>
      <c r="H76" s="652">
        <f t="shared" ca="1" si="36"/>
        <v>0</v>
      </c>
      <c r="I76" s="652">
        <f t="shared" ca="1" si="36"/>
        <v>1</v>
      </c>
      <c r="J76" s="652">
        <f t="shared" ca="1" si="36"/>
        <v>0</v>
      </c>
      <c r="K76" s="652">
        <f t="shared" ca="1" si="36"/>
        <v>1</v>
      </c>
      <c r="L76" s="652">
        <f t="shared" ca="1" si="36"/>
        <v>0</v>
      </c>
      <c r="M76" s="652">
        <f t="shared" ca="1" si="36"/>
        <v>1</v>
      </c>
      <c r="N76" s="652">
        <f t="shared" ca="1" si="36"/>
        <v>16470.297019164434</v>
      </c>
      <c r="O76" s="652">
        <f t="shared" ca="1" si="36"/>
        <v>0</v>
      </c>
      <c r="P76" s="652">
        <f t="shared" ca="1" si="36"/>
        <v>16470.297019164434</v>
      </c>
      <c r="Q76" s="652">
        <f t="shared" ca="1" si="36"/>
        <v>0</v>
      </c>
      <c r="R76" s="652">
        <f t="shared" ca="1" si="36"/>
        <v>16470.297019164434</v>
      </c>
      <c r="S76" s="652">
        <f t="shared" ca="1" si="36"/>
        <v>0</v>
      </c>
      <c r="T76" s="652">
        <f t="shared" ca="1" si="36"/>
        <v>16470.297019164434</v>
      </c>
      <c r="U76" s="652">
        <f t="shared" ca="1" si="36"/>
        <v>0</v>
      </c>
      <c r="V76" s="652">
        <f t="shared" ca="1" si="36"/>
        <v>0</v>
      </c>
      <c r="W76" s="652">
        <f t="shared" ca="1" si="36"/>
        <v>0</v>
      </c>
      <c r="X76" s="652">
        <f t="shared" ca="1" si="36"/>
        <v>0</v>
      </c>
      <c r="Y76" s="652">
        <f t="shared" ca="1" si="36"/>
        <v>0</v>
      </c>
      <c r="Z76" s="652">
        <f t="shared" ca="1" si="36"/>
        <v>0</v>
      </c>
      <c r="AA76" s="652">
        <f t="shared" ca="1" si="36"/>
        <v>0</v>
      </c>
      <c r="AB76" s="652">
        <f t="shared" ca="1" si="36"/>
        <v>2300</v>
      </c>
      <c r="AC76" s="652">
        <f t="shared" ca="1" si="36"/>
        <v>0</v>
      </c>
      <c r="AD76" s="652">
        <f t="shared" ca="1" si="36"/>
        <v>2300</v>
      </c>
      <c r="AE76" s="652">
        <f t="shared" ca="1" si="36"/>
        <v>0</v>
      </c>
      <c r="AF76" s="652">
        <f t="shared" ca="1" si="36"/>
        <v>2300</v>
      </c>
      <c r="AG76" s="652">
        <f t="shared" ca="1" si="36"/>
        <v>0</v>
      </c>
      <c r="AH76" s="652">
        <f t="shared" ca="1" si="36"/>
        <v>2300</v>
      </c>
      <c r="AI76" s="652">
        <f t="shared" ca="1" si="36"/>
        <v>74466</v>
      </c>
      <c r="AJ76" s="652">
        <f t="shared" ca="1" si="36"/>
        <v>0</v>
      </c>
      <c r="AK76" s="652">
        <f t="shared" ca="1" si="36"/>
        <v>74466</v>
      </c>
      <c r="AL76" s="652">
        <f t="shared" ca="1" si="36"/>
        <v>0</v>
      </c>
      <c r="AM76" s="652">
        <f t="shared" ca="1" si="36"/>
        <v>74466</v>
      </c>
      <c r="AN76" s="652">
        <f t="shared" ca="1" si="36"/>
        <v>0</v>
      </c>
      <c r="AO76" s="652">
        <f t="shared" ca="1" si="36"/>
        <v>74466</v>
      </c>
      <c r="AP76" s="652">
        <f t="shared" ca="1" si="36"/>
        <v>11.614285714285714</v>
      </c>
      <c r="AQ76" s="652">
        <f t="shared" ca="1" si="36"/>
        <v>0</v>
      </c>
      <c r="AR76" s="652">
        <f t="shared" ca="1" si="36"/>
        <v>11.614285714285714</v>
      </c>
      <c r="AS76" s="652">
        <f t="shared" ca="1" si="36"/>
        <v>0</v>
      </c>
      <c r="AT76" s="652">
        <f t="shared" ca="1" si="36"/>
        <v>11.614285714285714</v>
      </c>
      <c r="AU76" s="652">
        <f t="shared" ca="1" si="36"/>
        <v>0</v>
      </c>
      <c r="AV76" s="652">
        <f t="shared" ca="1" si="36"/>
        <v>11.614285714285714</v>
      </c>
      <c r="AW76" s="652">
        <f t="shared" ca="1" si="36"/>
        <v>596.10857142857151</v>
      </c>
      <c r="AX76" s="652">
        <f t="shared" ca="1" si="36"/>
        <v>0</v>
      </c>
      <c r="AY76" s="652">
        <f t="shared" ca="1" si="36"/>
        <v>596.10857142857151</v>
      </c>
      <c r="AZ76" s="652">
        <f t="shared" ca="1" si="36"/>
        <v>0</v>
      </c>
      <c r="BA76" s="652">
        <f t="shared" ca="1" si="20"/>
        <v>596.10857142857151</v>
      </c>
      <c r="BB76" s="652">
        <f t="shared" ca="1" si="19"/>
        <v>0</v>
      </c>
      <c r="BC76" s="652">
        <f t="shared" ca="1" si="19"/>
        <v>596.10857142857151</v>
      </c>
      <c r="BD76" s="652">
        <f t="shared" ca="1" si="33"/>
        <v>4</v>
      </c>
      <c r="BE76" s="652">
        <f t="shared" ca="1" si="19"/>
        <v>65881.188076657738</v>
      </c>
      <c r="BF76" s="652">
        <f t="shared" ca="1" si="19"/>
        <v>0</v>
      </c>
      <c r="BG76" s="652">
        <f t="shared" ca="1" si="19"/>
        <v>9200</v>
      </c>
      <c r="BH76" s="652">
        <f t="shared" ca="1" si="19"/>
        <v>0</v>
      </c>
      <c r="BI76" s="652">
        <f t="shared" ca="1" si="19"/>
        <v>297864</v>
      </c>
      <c r="BJ76" s="652">
        <f t="shared" ca="1" si="19"/>
        <v>46.457142857142856</v>
      </c>
      <c r="BK76" s="652">
        <f t="shared" ca="1" si="19"/>
        <v>2384.434285714286</v>
      </c>
    </row>
    <row r="77" spans="1:63">
      <c r="A77" s="526"/>
      <c r="B77" s="662">
        <v>31</v>
      </c>
      <c r="C77" s="662" t="s">
        <v>63</v>
      </c>
      <c r="D77" s="660" t="str">
        <f t="shared" ca="1" si="30"/>
        <v>Commercial New Construction Tier 3 &lt;25,000 sqft</v>
      </c>
      <c r="E77" s="660" t="str">
        <f t="shared" ca="1" si="30"/>
        <v>Commercial New Construction Tier 3 - 20% Over Code</v>
      </c>
      <c r="F77" s="660" t="str">
        <f t="shared" ca="1" si="30"/>
        <v>Per Project</v>
      </c>
      <c r="G77" s="652">
        <f t="shared" ca="1" si="36"/>
        <v>0</v>
      </c>
      <c r="H77" s="652">
        <f t="shared" ca="1" si="36"/>
        <v>0</v>
      </c>
      <c r="I77" s="652">
        <f t="shared" ca="1" si="36"/>
        <v>1</v>
      </c>
      <c r="J77" s="652">
        <f ca="1">VLOOKUP($B77,INDIRECT("'"&amp;$C77&amp;"'!A6:FR1000"),IF(J$6="Participation 2023",MATCH("__Participation 2023",INDIRECT("'"&amp;$C77&amp;"'!1:1"),0),IF(J$6="Participation",MATCH("_Total Plan Summary _Participation",INDIRECT("'"&amp;$C77&amp;"'!1:1"),0),MATCH(J$4&amp;"_"&amp;J$5&amp;"_"&amp;J$6,INDIRECT("'"&amp;$C77&amp;"'!1:1"),0))),0)</f>
        <v>0</v>
      </c>
      <c r="K77" s="652">
        <f t="shared" ca="1" si="36"/>
        <v>0</v>
      </c>
      <c r="L77" s="652">
        <f t="shared" ca="1" si="36"/>
        <v>1</v>
      </c>
      <c r="M77" s="652">
        <f t="shared" ca="1" si="36"/>
        <v>0</v>
      </c>
      <c r="N77" s="652">
        <f t="shared" ca="1" si="36"/>
        <v>0</v>
      </c>
      <c r="O77" s="652">
        <f t="shared" ca="1" si="36"/>
        <v>0</v>
      </c>
      <c r="P77" s="652">
        <f t="shared" ca="1" si="36"/>
        <v>21960.396025552582</v>
      </c>
      <c r="Q77" s="652">
        <f t="shared" ca="1" si="36"/>
        <v>0</v>
      </c>
      <c r="R77" s="652">
        <f t="shared" ca="1" si="36"/>
        <v>0</v>
      </c>
      <c r="S77" s="652">
        <f t="shared" ca="1" si="36"/>
        <v>21960.396025552582</v>
      </c>
      <c r="T77" s="652">
        <f t="shared" ca="1" si="36"/>
        <v>0</v>
      </c>
      <c r="U77" s="652">
        <f t="shared" ca="1" si="36"/>
        <v>0</v>
      </c>
      <c r="V77" s="652">
        <f t="shared" ca="1" si="36"/>
        <v>0</v>
      </c>
      <c r="W77" s="652">
        <f t="shared" ca="1" si="36"/>
        <v>0</v>
      </c>
      <c r="X77" s="652">
        <f t="shared" ca="1" si="36"/>
        <v>0</v>
      </c>
      <c r="Y77" s="652">
        <f t="shared" ca="1" si="36"/>
        <v>0</v>
      </c>
      <c r="Z77" s="652">
        <f t="shared" ca="1" si="36"/>
        <v>0</v>
      </c>
      <c r="AA77" s="652">
        <f t="shared" ca="1" si="36"/>
        <v>0</v>
      </c>
      <c r="AB77" s="652">
        <f t="shared" ca="1" si="36"/>
        <v>0</v>
      </c>
      <c r="AC77" s="652">
        <f t="shared" ca="1" si="36"/>
        <v>0</v>
      </c>
      <c r="AD77" s="652">
        <f t="shared" ca="1" si="36"/>
        <v>3000</v>
      </c>
      <c r="AE77" s="652">
        <f t="shared" ca="1" si="36"/>
        <v>0</v>
      </c>
      <c r="AF77" s="652">
        <f t="shared" ca="1" si="36"/>
        <v>0</v>
      </c>
      <c r="AG77" s="652">
        <f t="shared" ca="1" si="36"/>
        <v>3000</v>
      </c>
      <c r="AH77" s="652">
        <f t="shared" ca="1" si="36"/>
        <v>0</v>
      </c>
      <c r="AI77" s="652">
        <f t="shared" ca="1" si="36"/>
        <v>0</v>
      </c>
      <c r="AJ77" s="652">
        <f t="shared" ca="1" si="36"/>
        <v>0</v>
      </c>
      <c r="AK77" s="652">
        <f t="shared" ca="1" si="36"/>
        <v>99288.000000000015</v>
      </c>
      <c r="AL77" s="652">
        <f t="shared" ca="1" si="36"/>
        <v>0</v>
      </c>
      <c r="AM77" s="652">
        <f t="shared" ca="1" si="36"/>
        <v>0</v>
      </c>
      <c r="AN77" s="652">
        <f t="shared" ca="1" si="36"/>
        <v>99288.000000000015</v>
      </c>
      <c r="AO77" s="652">
        <f t="shared" ca="1" si="36"/>
        <v>0</v>
      </c>
      <c r="AP77" s="652">
        <f t="shared" ca="1" si="36"/>
        <v>0</v>
      </c>
      <c r="AQ77" s="652">
        <f t="shared" ca="1" si="36"/>
        <v>0</v>
      </c>
      <c r="AR77" s="652">
        <f t="shared" ca="1" si="36"/>
        <v>15.485714285714286</v>
      </c>
      <c r="AS77" s="652">
        <f t="shared" ca="1" si="36"/>
        <v>0</v>
      </c>
      <c r="AT77" s="652">
        <f t="shared" ca="1" si="36"/>
        <v>0</v>
      </c>
      <c r="AU77" s="652">
        <f t="shared" ca="1" si="36"/>
        <v>15.485714285714286</v>
      </c>
      <c r="AV77" s="652">
        <f t="shared" ca="1" si="36"/>
        <v>0</v>
      </c>
      <c r="AW77" s="652">
        <f t="shared" ca="1" si="36"/>
        <v>0</v>
      </c>
      <c r="AX77" s="652">
        <f t="shared" ca="1" si="36"/>
        <v>0</v>
      </c>
      <c r="AY77" s="652">
        <f t="shared" ca="1" si="36"/>
        <v>794.81142857142868</v>
      </c>
      <c r="AZ77" s="652">
        <f t="shared" ca="1" si="36"/>
        <v>0</v>
      </c>
      <c r="BA77" s="652">
        <f ca="1">VLOOKUP($B77,INDIRECT("'"&amp;$C77&amp;"'!A6:FR1000"),IF(BA$6="Participation 2023",MATCH("__Participation 2023",INDIRECT("'"&amp;$C77&amp;"'!1:1"),0),IF(BA$6="Participation",MATCH("_Total Plan Summary _Participation",INDIRECT("'"&amp;$C77&amp;"'!1:1"),0),MATCH(BA$4&amp;"_"&amp;BA$5&amp;"_"&amp;BA$6,INDIRECT("'"&amp;$C77&amp;"'!1:1"),0))),0)</f>
        <v>0</v>
      </c>
      <c r="BB77" s="652">
        <f t="shared" ref="BB77:BC92" ca="1" si="37">VLOOKUP($B77,INDIRECT("'"&amp;$C77&amp;"'!A6:FR1000"),IF(BB$6="Participation 2023",MATCH("__Participation 2023",INDIRECT("'"&amp;$C77&amp;"'!1:1"),0),IF(BB$6="Participation",MATCH("_Total Plan Summary _Participation",INDIRECT("'"&amp;$C77&amp;"'!1:1"),0),MATCH(BB$4&amp;"_"&amp;BB$5&amp;"_"&amp;BB$6,INDIRECT("'"&amp;$C77&amp;"'!1:1"),0))),0)</f>
        <v>794.81142857142868</v>
      </c>
      <c r="BC77" s="652">
        <f t="shared" ca="1" si="37"/>
        <v>0</v>
      </c>
      <c r="BD77" s="652">
        <f t="shared" ca="1" si="33"/>
        <v>2</v>
      </c>
      <c r="BE77" s="652">
        <f t="shared" ref="BE77:BK92" ca="1" si="38">VLOOKUP($B77,INDIRECT("'"&amp;$C77&amp;"'!A6:FR1000"),IF(BE$6="Participation 2023",MATCH("__Participation 2023",INDIRECT("'"&amp;$C77&amp;"'!1:1"),0),IF(BE$6="Participation",MATCH("_Total Plan Summary _Participation",INDIRECT("'"&amp;$C77&amp;"'!1:1"),0),MATCH(BE$4&amp;"_"&amp;BE$5&amp;"_"&amp;BE$6,INDIRECT("'"&amp;$C77&amp;"'!1:1"),0))),0)</f>
        <v>43920.792051105163</v>
      </c>
      <c r="BF77" s="652">
        <f t="shared" ca="1" si="38"/>
        <v>0</v>
      </c>
      <c r="BG77" s="652">
        <f t="shared" ca="1" si="38"/>
        <v>6000</v>
      </c>
      <c r="BH77" s="652">
        <f ca="1">VLOOKUP($B77,INDIRECT("'"&amp;$C77&amp;"'!A6:FR1000"),IF(BH$6="Participation 2023",MATCH("__Participation 2023",INDIRECT("'"&amp;$C77&amp;"'!1:1"),0),IF(BH$6="Participation",MATCH("_Total Plan Summary _Participation",INDIRECT("'"&amp;$C77&amp;"'!1:1"),0),MATCH(BH$4&amp;"_"&amp;BH$5&amp;"_"&amp;BH$6,INDIRECT("'"&amp;$C77&amp;"'!1:1"),0))),0)</f>
        <v>0</v>
      </c>
      <c r="BI77" s="652">
        <f t="shared" ca="1" si="38"/>
        <v>198576.00000000003</v>
      </c>
      <c r="BJ77" s="652">
        <f t="shared" ca="1" si="38"/>
        <v>30.971428571428572</v>
      </c>
      <c r="BK77" s="652">
        <f t="shared" ca="1" si="38"/>
        <v>1589.6228571428574</v>
      </c>
    </row>
    <row r="78" spans="1:63">
      <c r="A78" s="526"/>
      <c r="B78" s="662">
        <v>32</v>
      </c>
      <c r="C78" s="662" t="s">
        <v>63</v>
      </c>
      <c r="D78" s="660" t="str">
        <f t="shared" ref="D78:F94" ca="1" si="39">VLOOKUP($B78,INDIRECT("'"&amp;$C78&amp;"'!A6:FC1000"),IF(D$6="Participation 2023",MATCH("__Participation 2023",INDIRECT("'"&amp;$C78&amp;"'!1:1"),0),IF(D$6="Participation",MATCH("_Total Plan Summary _Participation",INDIRECT("'"&amp;$C78&amp;"'!1:1"),0),MATCH(D$4&amp;"_"&amp;D$5&amp;"_"&amp;D$6,INDIRECT("'"&amp;$C78&amp;"'!1:1"),0))),0)</f>
        <v>Commercial New Construction Tier 4 &lt;25,000 sqft</v>
      </c>
      <c r="E78" s="660" t="str">
        <f t="shared" ca="1" si="39"/>
        <v>Commercial New Construction Tier 4 - 25% Over Code</v>
      </c>
      <c r="F78" s="660" t="str">
        <f t="shared" ca="1" si="39"/>
        <v>Per Project</v>
      </c>
      <c r="G78" s="652">
        <f t="shared" ca="1" si="36"/>
        <v>1</v>
      </c>
      <c r="H78" s="652">
        <f t="shared" ca="1" si="36"/>
        <v>1</v>
      </c>
      <c r="I78" s="652">
        <f t="shared" ca="1" si="36"/>
        <v>1</v>
      </c>
      <c r="J78" s="652">
        <f t="shared" ca="1" si="36"/>
        <v>1</v>
      </c>
      <c r="K78" s="652">
        <f t="shared" ca="1" si="36"/>
        <v>1</v>
      </c>
      <c r="L78" s="652">
        <f t="shared" ca="1" si="36"/>
        <v>1</v>
      </c>
      <c r="M78" s="652">
        <f t="shared" ca="1" si="36"/>
        <v>1</v>
      </c>
      <c r="N78" s="652">
        <f t="shared" ca="1" si="36"/>
        <v>27450.495031940722</v>
      </c>
      <c r="O78" s="652">
        <f t="shared" ca="1" si="36"/>
        <v>27450.495031940722</v>
      </c>
      <c r="P78" s="652">
        <f t="shared" ca="1" si="36"/>
        <v>27450.495031940722</v>
      </c>
      <c r="Q78" s="652">
        <f t="shared" ca="1" si="36"/>
        <v>27450.495031940722</v>
      </c>
      <c r="R78" s="652">
        <f t="shared" ca="1" si="36"/>
        <v>27450.495031940722</v>
      </c>
      <c r="S78" s="652">
        <f t="shared" ca="1" si="36"/>
        <v>27450.495031940722</v>
      </c>
      <c r="T78" s="652">
        <f t="shared" ca="1" si="36"/>
        <v>27450.495031940722</v>
      </c>
      <c r="U78" s="652">
        <f t="shared" ca="1" si="36"/>
        <v>0</v>
      </c>
      <c r="V78" s="652">
        <f t="shared" ca="1" si="36"/>
        <v>0</v>
      </c>
      <c r="W78" s="652">
        <f t="shared" ca="1" si="36"/>
        <v>0</v>
      </c>
      <c r="X78" s="652">
        <f t="shared" ca="1" si="36"/>
        <v>0</v>
      </c>
      <c r="Y78" s="652">
        <f t="shared" ca="1" si="36"/>
        <v>0</v>
      </c>
      <c r="Z78" s="652">
        <f t="shared" ca="1" si="36"/>
        <v>0</v>
      </c>
      <c r="AA78" s="652">
        <f t="shared" ca="1" si="36"/>
        <v>0</v>
      </c>
      <c r="AB78" s="652">
        <f t="shared" ca="1" si="36"/>
        <v>3800</v>
      </c>
      <c r="AC78" s="652">
        <f t="shared" ca="1" si="36"/>
        <v>3800</v>
      </c>
      <c r="AD78" s="652">
        <f t="shared" ca="1" si="36"/>
        <v>3800</v>
      </c>
      <c r="AE78" s="652">
        <f t="shared" ca="1" si="36"/>
        <v>3800</v>
      </c>
      <c r="AF78" s="652">
        <f t="shared" ca="1" si="36"/>
        <v>3800</v>
      </c>
      <c r="AG78" s="652">
        <f t="shared" ca="1" si="36"/>
        <v>3800</v>
      </c>
      <c r="AH78" s="652">
        <f t="shared" ca="1" si="36"/>
        <v>3800</v>
      </c>
      <c r="AI78" s="652">
        <f t="shared" ca="1" si="36"/>
        <v>124110</v>
      </c>
      <c r="AJ78" s="652">
        <f t="shared" ca="1" si="36"/>
        <v>124110</v>
      </c>
      <c r="AK78" s="652">
        <f t="shared" ca="1" si="36"/>
        <v>124110</v>
      </c>
      <c r="AL78" s="652">
        <f t="shared" ca="1" si="36"/>
        <v>124110</v>
      </c>
      <c r="AM78" s="652">
        <f t="shared" ca="1" si="36"/>
        <v>124110</v>
      </c>
      <c r="AN78" s="652">
        <f t="shared" ca="1" si="36"/>
        <v>124110</v>
      </c>
      <c r="AO78" s="652">
        <f t="shared" ca="1" si="36"/>
        <v>124110</v>
      </c>
      <c r="AP78" s="652">
        <f t="shared" ca="1" si="36"/>
        <v>19.357142857142858</v>
      </c>
      <c r="AQ78" s="652">
        <f t="shared" ca="1" si="36"/>
        <v>19.357142857142858</v>
      </c>
      <c r="AR78" s="652">
        <f t="shared" ca="1" si="36"/>
        <v>19.357142857142858</v>
      </c>
      <c r="AS78" s="652">
        <f t="shared" ca="1" si="36"/>
        <v>19.357142857142858</v>
      </c>
      <c r="AT78" s="652">
        <f t="shared" ca="1" si="36"/>
        <v>19.357142857142858</v>
      </c>
      <c r="AU78" s="652">
        <f t="shared" ca="1" si="36"/>
        <v>19.357142857142858</v>
      </c>
      <c r="AV78" s="652">
        <f t="shared" ca="1" si="36"/>
        <v>19.357142857142858</v>
      </c>
      <c r="AW78" s="652">
        <f t="shared" ca="1" si="36"/>
        <v>993.51428571428573</v>
      </c>
      <c r="AX78" s="652">
        <f t="shared" ca="1" si="36"/>
        <v>993.51428571428573</v>
      </c>
      <c r="AY78" s="652">
        <f t="shared" ca="1" si="36"/>
        <v>993.51428571428573</v>
      </c>
      <c r="AZ78" s="652">
        <f t="shared" ca="1" si="36"/>
        <v>993.51428571428573</v>
      </c>
      <c r="BA78" s="652">
        <f t="shared" ref="BA78:BK94" ca="1" si="40">VLOOKUP($B78,INDIRECT("'"&amp;$C78&amp;"'!A6:FR1000"),IF(BA$6="Participation 2023",MATCH("__Participation 2023",INDIRECT("'"&amp;$C78&amp;"'!1:1"),0),IF(BA$6="Participation",MATCH("_Total Plan Summary _Participation",INDIRECT("'"&amp;$C78&amp;"'!1:1"),0),MATCH(BA$4&amp;"_"&amp;BA$5&amp;"_"&amp;BA$6,INDIRECT("'"&amp;$C78&amp;"'!1:1"),0))),0)</f>
        <v>993.51428571428573</v>
      </c>
      <c r="BB78" s="652">
        <f t="shared" ca="1" si="37"/>
        <v>993.51428571428573</v>
      </c>
      <c r="BC78" s="652">
        <f t="shared" ca="1" si="37"/>
        <v>993.51428571428573</v>
      </c>
      <c r="BD78" s="652">
        <f t="shared" ca="1" si="33"/>
        <v>7</v>
      </c>
      <c r="BE78" s="652">
        <f t="shared" ca="1" si="38"/>
        <v>192153.46522358505</v>
      </c>
      <c r="BF78" s="652">
        <f t="shared" ca="1" si="38"/>
        <v>0</v>
      </c>
      <c r="BG78" s="652">
        <f t="shared" ca="1" si="38"/>
        <v>26600</v>
      </c>
      <c r="BH78" s="652">
        <f t="shared" ca="1" si="38"/>
        <v>0</v>
      </c>
      <c r="BI78" s="652">
        <f t="shared" ca="1" si="38"/>
        <v>868770</v>
      </c>
      <c r="BJ78" s="652">
        <f t="shared" ca="1" si="38"/>
        <v>135.5</v>
      </c>
      <c r="BK78" s="652">
        <f t="shared" ca="1" si="38"/>
        <v>6954.5999999999995</v>
      </c>
    </row>
    <row r="79" spans="1:63">
      <c r="A79" s="526"/>
      <c r="B79" s="662">
        <v>33</v>
      </c>
      <c r="C79" s="662" t="s">
        <v>63</v>
      </c>
      <c r="D79" s="660" t="str">
        <f t="shared" ca="1" si="39"/>
        <v>Commercial New Construction Tier 1 ≥25,000 sqft</v>
      </c>
      <c r="E79" s="660" t="str">
        <f t="shared" ca="1" si="39"/>
        <v>Commercial New Construction Tier 1 - 10% Over Code</v>
      </c>
      <c r="F79" s="660" t="str">
        <f t="shared" ca="1" si="39"/>
        <v>Per Project</v>
      </c>
      <c r="G79" s="652">
        <f t="shared" ca="1" si="36"/>
        <v>1</v>
      </c>
      <c r="H79" s="652">
        <f t="shared" ca="1" si="36"/>
        <v>0</v>
      </c>
      <c r="I79" s="652">
        <f t="shared" ca="1" si="36"/>
        <v>0</v>
      </c>
      <c r="J79" s="652">
        <f t="shared" ca="1" si="36"/>
        <v>1</v>
      </c>
      <c r="K79" s="652">
        <f t="shared" ca="1" si="36"/>
        <v>0</v>
      </c>
      <c r="L79" s="652">
        <f t="shared" ca="1" si="36"/>
        <v>0</v>
      </c>
      <c r="M79" s="652">
        <f t="shared" ca="1" si="36"/>
        <v>1</v>
      </c>
      <c r="N79" s="652">
        <f t="shared" ca="1" si="36"/>
        <v>32940.594038328869</v>
      </c>
      <c r="O79" s="652">
        <f t="shared" ca="1" si="36"/>
        <v>0</v>
      </c>
      <c r="P79" s="652">
        <f t="shared" ca="1" si="36"/>
        <v>0</v>
      </c>
      <c r="Q79" s="652">
        <f t="shared" ca="1" si="36"/>
        <v>32940.594038328869</v>
      </c>
      <c r="R79" s="652">
        <f t="shared" ca="1" si="36"/>
        <v>0</v>
      </c>
      <c r="S79" s="652">
        <f t="shared" ca="1" si="36"/>
        <v>0</v>
      </c>
      <c r="T79" s="652">
        <f t="shared" ca="1" si="36"/>
        <v>32940.594038328869</v>
      </c>
      <c r="U79" s="652">
        <f t="shared" ca="1" si="36"/>
        <v>0</v>
      </c>
      <c r="V79" s="652">
        <f t="shared" ca="1" si="36"/>
        <v>0</v>
      </c>
      <c r="W79" s="652">
        <f t="shared" ca="1" si="36"/>
        <v>0</v>
      </c>
      <c r="X79" s="652">
        <f t="shared" ca="1" si="36"/>
        <v>0</v>
      </c>
      <c r="Y79" s="652">
        <f t="shared" ca="1" si="36"/>
        <v>0</v>
      </c>
      <c r="Z79" s="652">
        <f t="shared" ca="1" si="36"/>
        <v>0</v>
      </c>
      <c r="AA79" s="652">
        <f t="shared" ca="1" si="36"/>
        <v>0</v>
      </c>
      <c r="AB79" s="652">
        <f t="shared" ca="1" si="36"/>
        <v>4500</v>
      </c>
      <c r="AC79" s="652">
        <f t="shared" ca="1" si="36"/>
        <v>0</v>
      </c>
      <c r="AD79" s="652">
        <f t="shared" ca="1" si="36"/>
        <v>0</v>
      </c>
      <c r="AE79" s="652">
        <f t="shared" ca="1" si="36"/>
        <v>4500</v>
      </c>
      <c r="AF79" s="652">
        <f t="shared" ca="1" si="36"/>
        <v>0</v>
      </c>
      <c r="AG79" s="652">
        <f t="shared" ca="1" si="36"/>
        <v>0</v>
      </c>
      <c r="AH79" s="652">
        <f t="shared" ca="1" si="36"/>
        <v>4500</v>
      </c>
      <c r="AI79" s="652">
        <f t="shared" ca="1" si="36"/>
        <v>148932</v>
      </c>
      <c r="AJ79" s="652">
        <f t="shared" ca="1" si="36"/>
        <v>0</v>
      </c>
      <c r="AK79" s="652">
        <f t="shared" ca="1" si="36"/>
        <v>0</v>
      </c>
      <c r="AL79" s="652">
        <f t="shared" ca="1" si="36"/>
        <v>148932</v>
      </c>
      <c r="AM79" s="652">
        <f t="shared" ca="1" si="36"/>
        <v>0</v>
      </c>
      <c r="AN79" s="652">
        <f t="shared" ca="1" si="36"/>
        <v>0</v>
      </c>
      <c r="AO79" s="652">
        <f t="shared" ca="1" si="36"/>
        <v>148932</v>
      </c>
      <c r="AP79" s="652">
        <f t="shared" ca="1" si="36"/>
        <v>23.228571428571428</v>
      </c>
      <c r="AQ79" s="652">
        <f t="shared" ca="1" si="36"/>
        <v>0</v>
      </c>
      <c r="AR79" s="652">
        <f t="shared" ca="1" si="36"/>
        <v>0</v>
      </c>
      <c r="AS79" s="652">
        <f t="shared" ca="1" si="36"/>
        <v>23.228571428571428</v>
      </c>
      <c r="AT79" s="652">
        <f t="shared" ca="1" si="36"/>
        <v>0</v>
      </c>
      <c r="AU79" s="652">
        <f t="shared" ca="1" si="36"/>
        <v>0</v>
      </c>
      <c r="AV79" s="652">
        <f t="shared" ca="1" si="36"/>
        <v>23.228571428571428</v>
      </c>
      <c r="AW79" s="652">
        <f t="shared" ca="1" si="36"/>
        <v>1192.217142857143</v>
      </c>
      <c r="AX79" s="652">
        <f t="shared" ca="1" si="36"/>
        <v>0</v>
      </c>
      <c r="AY79" s="652">
        <f t="shared" ca="1" si="36"/>
        <v>0</v>
      </c>
      <c r="AZ79" s="652">
        <f t="shared" ca="1" si="36"/>
        <v>1192.217142857143</v>
      </c>
      <c r="BA79" s="652">
        <f t="shared" ca="1" si="40"/>
        <v>0</v>
      </c>
      <c r="BB79" s="652">
        <f t="shared" ca="1" si="37"/>
        <v>0</v>
      </c>
      <c r="BC79" s="652">
        <f t="shared" ca="1" si="37"/>
        <v>1192.217142857143</v>
      </c>
      <c r="BD79" s="652">
        <f t="shared" ca="1" si="33"/>
        <v>3</v>
      </c>
      <c r="BE79" s="652">
        <f t="shared" ca="1" si="38"/>
        <v>98821.782114986607</v>
      </c>
      <c r="BF79" s="652">
        <f t="shared" ca="1" si="38"/>
        <v>0</v>
      </c>
      <c r="BG79" s="652">
        <f t="shared" ca="1" si="38"/>
        <v>13500</v>
      </c>
      <c r="BH79" s="652">
        <f t="shared" ca="1" si="38"/>
        <v>0</v>
      </c>
      <c r="BI79" s="652">
        <f t="shared" ca="1" si="38"/>
        <v>446796</v>
      </c>
      <c r="BJ79" s="652">
        <f t="shared" ca="1" si="38"/>
        <v>69.685714285714283</v>
      </c>
      <c r="BK79" s="652">
        <f t="shared" ca="1" si="38"/>
        <v>3576.6514285714293</v>
      </c>
    </row>
    <row r="80" spans="1:63">
      <c r="A80" s="526"/>
      <c r="B80" s="662">
        <v>34</v>
      </c>
      <c r="C80" s="662" t="s">
        <v>63</v>
      </c>
      <c r="D80" s="660" t="str">
        <f t="shared" ca="1" si="39"/>
        <v>Commercial New Construction Tier 2 ≥25,000 sqft</v>
      </c>
      <c r="E80" s="660" t="str">
        <f t="shared" ca="1" si="39"/>
        <v>Commercial New Construction Tier 2 - 15% Over Code</v>
      </c>
      <c r="F80" s="660" t="str">
        <f t="shared" ca="1" si="39"/>
        <v>Per Project</v>
      </c>
      <c r="G80" s="652">
        <f t="shared" ca="1" si="36"/>
        <v>0</v>
      </c>
      <c r="H80" s="652">
        <f t="shared" ca="1" si="36"/>
        <v>1</v>
      </c>
      <c r="I80" s="652">
        <f t="shared" ca="1" si="36"/>
        <v>0</v>
      </c>
      <c r="J80" s="652">
        <f t="shared" ca="1" si="36"/>
        <v>0</v>
      </c>
      <c r="K80" s="652">
        <f t="shared" ca="1" si="36"/>
        <v>1</v>
      </c>
      <c r="L80" s="652">
        <f t="shared" ca="1" si="36"/>
        <v>0</v>
      </c>
      <c r="M80" s="652">
        <f t="shared" ca="1" si="36"/>
        <v>0</v>
      </c>
      <c r="N80" s="652">
        <f t="shared" ca="1" si="36"/>
        <v>0</v>
      </c>
      <c r="O80" s="652">
        <f t="shared" ca="1" si="36"/>
        <v>49410.891057493303</v>
      </c>
      <c r="P80" s="652">
        <f t="shared" ca="1" si="36"/>
        <v>0</v>
      </c>
      <c r="Q80" s="652">
        <f t="shared" ca="1" si="36"/>
        <v>0</v>
      </c>
      <c r="R80" s="652">
        <f t="shared" ca="1" si="36"/>
        <v>49410.891057493303</v>
      </c>
      <c r="S80" s="652">
        <f t="shared" ca="1" si="36"/>
        <v>0</v>
      </c>
      <c r="T80" s="652">
        <f t="shared" ca="1" si="36"/>
        <v>0</v>
      </c>
      <c r="U80" s="652">
        <f t="shared" ca="1" si="36"/>
        <v>0</v>
      </c>
      <c r="V80" s="652">
        <f t="shared" ca="1" si="36"/>
        <v>0</v>
      </c>
      <c r="W80" s="652">
        <f t="shared" ca="1" si="36"/>
        <v>0</v>
      </c>
      <c r="X80" s="652">
        <f t="shared" ca="1" si="36"/>
        <v>0</v>
      </c>
      <c r="Y80" s="652">
        <f t="shared" ca="1" si="36"/>
        <v>0</v>
      </c>
      <c r="Z80" s="652">
        <f t="shared" ca="1" si="36"/>
        <v>0</v>
      </c>
      <c r="AA80" s="652">
        <f t="shared" ca="1" si="36"/>
        <v>0</v>
      </c>
      <c r="AB80" s="652">
        <f t="shared" ca="1" si="36"/>
        <v>0</v>
      </c>
      <c r="AC80" s="652">
        <f t="shared" ca="1" si="36"/>
        <v>6800</v>
      </c>
      <c r="AD80" s="652">
        <f t="shared" ca="1" si="36"/>
        <v>0</v>
      </c>
      <c r="AE80" s="652">
        <f t="shared" ca="1" si="36"/>
        <v>0</v>
      </c>
      <c r="AF80" s="652">
        <f t="shared" ca="1" si="36"/>
        <v>6800</v>
      </c>
      <c r="AG80" s="652">
        <f t="shared" ca="1" si="36"/>
        <v>0</v>
      </c>
      <c r="AH80" s="652">
        <f t="shared" ca="1" si="36"/>
        <v>0</v>
      </c>
      <c r="AI80" s="652">
        <f t="shared" ca="1" si="36"/>
        <v>0</v>
      </c>
      <c r="AJ80" s="652">
        <f t="shared" ca="1" si="36"/>
        <v>223398.00000000003</v>
      </c>
      <c r="AK80" s="652">
        <f t="shared" ca="1" si="36"/>
        <v>0</v>
      </c>
      <c r="AL80" s="652">
        <f t="shared" ca="1" si="36"/>
        <v>0</v>
      </c>
      <c r="AM80" s="652">
        <f t="shared" ca="1" si="36"/>
        <v>223398.00000000003</v>
      </c>
      <c r="AN80" s="652">
        <f t="shared" ca="1" si="36"/>
        <v>0</v>
      </c>
      <c r="AO80" s="652">
        <f t="shared" ca="1" si="36"/>
        <v>0</v>
      </c>
      <c r="AP80" s="652">
        <f t="shared" ca="1" si="36"/>
        <v>0</v>
      </c>
      <c r="AQ80" s="652">
        <f t="shared" ca="1" si="36"/>
        <v>34.842857142857142</v>
      </c>
      <c r="AR80" s="652">
        <f t="shared" ca="1" si="36"/>
        <v>0</v>
      </c>
      <c r="AS80" s="652">
        <f t="shared" ca="1" si="36"/>
        <v>0</v>
      </c>
      <c r="AT80" s="652">
        <f t="shared" ca="1" si="36"/>
        <v>34.842857142857142</v>
      </c>
      <c r="AU80" s="652">
        <f t="shared" ca="1" si="36"/>
        <v>0</v>
      </c>
      <c r="AV80" s="652">
        <f t="shared" ca="1" si="36"/>
        <v>0</v>
      </c>
      <c r="AW80" s="652">
        <f t="shared" ref="AW80:AZ80" ca="1" si="41">VLOOKUP($B80,INDIRECT("'"&amp;$C80&amp;"'!A6:FR1000"),IF(AW$6="Participation 2023",MATCH("__Participation 2023",INDIRECT("'"&amp;$C80&amp;"'!1:1"),0),IF(AW$6="Participation",MATCH("_Total Plan Summary _Participation",INDIRECT("'"&amp;$C80&amp;"'!1:1"),0),MATCH(AW$4&amp;"_"&amp;AW$5&amp;"_"&amp;AW$6,INDIRECT("'"&amp;$C80&amp;"'!1:1"),0))),0)</f>
        <v>0</v>
      </c>
      <c r="AX80" s="652">
        <f t="shared" ca="1" si="41"/>
        <v>1788.3257142857144</v>
      </c>
      <c r="AY80" s="652">
        <f t="shared" ca="1" si="41"/>
        <v>0</v>
      </c>
      <c r="AZ80" s="652">
        <f t="shared" ca="1" si="41"/>
        <v>0</v>
      </c>
      <c r="BA80" s="652">
        <f t="shared" ca="1" si="40"/>
        <v>1788.3257142857144</v>
      </c>
      <c r="BB80" s="652">
        <f t="shared" ca="1" si="37"/>
        <v>0</v>
      </c>
      <c r="BC80" s="652">
        <f t="shared" ca="1" si="37"/>
        <v>0</v>
      </c>
      <c r="BD80" s="652">
        <f t="shared" ca="1" si="33"/>
        <v>2</v>
      </c>
      <c r="BE80" s="652">
        <f t="shared" ca="1" si="38"/>
        <v>98821.782114986607</v>
      </c>
      <c r="BF80" s="652">
        <f t="shared" ca="1" si="38"/>
        <v>0</v>
      </c>
      <c r="BG80" s="652">
        <f t="shared" ca="1" si="38"/>
        <v>13600</v>
      </c>
      <c r="BH80" s="652">
        <f t="shared" ca="1" si="38"/>
        <v>0</v>
      </c>
      <c r="BI80" s="652">
        <f t="shared" ca="1" si="38"/>
        <v>446796.00000000006</v>
      </c>
      <c r="BJ80" s="652">
        <f t="shared" ca="1" si="38"/>
        <v>69.685714285714283</v>
      </c>
      <c r="BK80" s="652">
        <f t="shared" ca="1" si="38"/>
        <v>3576.6514285714288</v>
      </c>
    </row>
    <row r="81" spans="1:63">
      <c r="A81" s="526"/>
      <c r="B81" s="662">
        <v>35</v>
      </c>
      <c r="C81" s="662" t="s">
        <v>63</v>
      </c>
      <c r="D81" s="660" t="str">
        <f t="shared" ca="1" si="39"/>
        <v>Commercial New Construction Tier 3 ≥25,000 sqft</v>
      </c>
      <c r="E81" s="660" t="str">
        <f t="shared" ca="1" si="39"/>
        <v>Commercial New Construction Tier 3 - 20% Over Code</v>
      </c>
      <c r="F81" s="660" t="str">
        <f t="shared" ca="1" si="39"/>
        <v>Per Project</v>
      </c>
      <c r="G81" s="652">
        <f t="shared" ref="G81:T94" ca="1" si="42">VLOOKUP($B81,INDIRECT("'"&amp;$C81&amp;"'!A6:FR1000"),IF(G$6="Participation 2023",MATCH("__Participation 2023",INDIRECT("'"&amp;$C81&amp;"'!1:1"),0),IF(G$6="Participation",MATCH("_Total Plan Summary _Participation",INDIRECT("'"&amp;$C81&amp;"'!1:1"),0),MATCH(G$4&amp;"_"&amp;G$5&amp;"_"&amp;G$6,INDIRECT("'"&amp;$C81&amp;"'!1:1"),0))),0)</f>
        <v>0</v>
      </c>
      <c r="H81" s="652">
        <f t="shared" ca="1" si="42"/>
        <v>0</v>
      </c>
      <c r="I81" s="652">
        <f t="shared" ca="1" si="42"/>
        <v>1</v>
      </c>
      <c r="J81" s="652">
        <f t="shared" ca="1" si="42"/>
        <v>0</v>
      </c>
      <c r="K81" s="652">
        <f t="shared" ca="1" si="42"/>
        <v>0</v>
      </c>
      <c r="L81" s="652">
        <f t="shared" ca="1" si="42"/>
        <v>1</v>
      </c>
      <c r="M81" s="652">
        <f t="shared" ca="1" si="42"/>
        <v>0</v>
      </c>
      <c r="N81" s="652">
        <f t="shared" ca="1" si="42"/>
        <v>0</v>
      </c>
      <c r="O81" s="652">
        <f t="shared" ca="1" si="42"/>
        <v>0</v>
      </c>
      <c r="P81" s="652">
        <f t="shared" ca="1" si="42"/>
        <v>65881.188076657738</v>
      </c>
      <c r="Q81" s="652">
        <f t="shared" ca="1" si="42"/>
        <v>0</v>
      </c>
      <c r="R81" s="652">
        <f t="shared" ca="1" si="42"/>
        <v>0</v>
      </c>
      <c r="S81" s="652">
        <f t="shared" ca="1" si="42"/>
        <v>65881.188076657738</v>
      </c>
      <c r="T81" s="652">
        <f t="shared" ca="1" si="42"/>
        <v>0</v>
      </c>
      <c r="U81" s="652">
        <f t="shared" ref="U81:AZ87" ca="1" si="43">VLOOKUP($B81,INDIRECT("'"&amp;$C81&amp;"'!A6:FR1000"),IF(U$6="Participation 2023",MATCH("__Participation 2023",INDIRECT("'"&amp;$C81&amp;"'!1:1"),0),IF(U$6="Participation",MATCH("_Total Plan Summary _Participation",INDIRECT("'"&amp;$C81&amp;"'!1:1"),0),MATCH(U$4&amp;"_"&amp;U$5&amp;"_"&amp;U$6,INDIRECT("'"&amp;$C81&amp;"'!1:1"),0))),0)</f>
        <v>0</v>
      </c>
      <c r="V81" s="652">
        <f t="shared" ca="1" si="43"/>
        <v>0</v>
      </c>
      <c r="W81" s="652">
        <f t="shared" ca="1" si="43"/>
        <v>0</v>
      </c>
      <c r="X81" s="652">
        <f t="shared" ca="1" si="43"/>
        <v>0</v>
      </c>
      <c r="Y81" s="652">
        <f t="shared" ca="1" si="43"/>
        <v>0</v>
      </c>
      <c r="Z81" s="652">
        <f t="shared" ca="1" si="43"/>
        <v>0</v>
      </c>
      <c r="AA81" s="652">
        <f t="shared" ca="1" si="43"/>
        <v>0</v>
      </c>
      <c r="AB81" s="652">
        <f t="shared" ca="1" si="43"/>
        <v>0</v>
      </c>
      <c r="AC81" s="652">
        <f t="shared" ca="1" si="43"/>
        <v>0</v>
      </c>
      <c r="AD81" s="652">
        <f t="shared" ca="1" si="43"/>
        <v>9000</v>
      </c>
      <c r="AE81" s="652">
        <f t="shared" ca="1" si="43"/>
        <v>0</v>
      </c>
      <c r="AF81" s="652">
        <f t="shared" ca="1" si="43"/>
        <v>0</v>
      </c>
      <c r="AG81" s="652">
        <f t="shared" ca="1" si="43"/>
        <v>9000</v>
      </c>
      <c r="AH81" s="652">
        <f t="shared" ca="1" si="43"/>
        <v>0</v>
      </c>
      <c r="AI81" s="652">
        <f t="shared" ca="1" si="43"/>
        <v>0</v>
      </c>
      <c r="AJ81" s="652">
        <f t="shared" ca="1" si="43"/>
        <v>0</v>
      </c>
      <c r="AK81" s="652">
        <f t="shared" ca="1" si="43"/>
        <v>297864</v>
      </c>
      <c r="AL81" s="652">
        <f t="shared" ca="1" si="43"/>
        <v>0</v>
      </c>
      <c r="AM81" s="652">
        <f t="shared" ca="1" si="43"/>
        <v>0</v>
      </c>
      <c r="AN81" s="652">
        <f t="shared" ca="1" si="43"/>
        <v>297864</v>
      </c>
      <c r="AO81" s="652">
        <f t="shared" ca="1" si="43"/>
        <v>0</v>
      </c>
      <c r="AP81" s="652">
        <f t="shared" ca="1" si="43"/>
        <v>0</v>
      </c>
      <c r="AQ81" s="652">
        <f t="shared" ca="1" si="43"/>
        <v>0</v>
      </c>
      <c r="AR81" s="652">
        <f t="shared" ca="1" si="43"/>
        <v>46.457142857142856</v>
      </c>
      <c r="AS81" s="652">
        <f t="shared" ca="1" si="43"/>
        <v>0</v>
      </c>
      <c r="AT81" s="652">
        <f t="shared" ca="1" si="43"/>
        <v>0</v>
      </c>
      <c r="AU81" s="652">
        <f t="shared" ca="1" si="43"/>
        <v>46.457142857142856</v>
      </c>
      <c r="AV81" s="652">
        <f t="shared" ca="1" si="43"/>
        <v>0</v>
      </c>
      <c r="AW81" s="652">
        <f t="shared" ca="1" si="43"/>
        <v>0</v>
      </c>
      <c r="AX81" s="652">
        <f t="shared" ca="1" si="43"/>
        <v>0</v>
      </c>
      <c r="AY81" s="652">
        <f t="shared" ca="1" si="43"/>
        <v>2384.434285714286</v>
      </c>
      <c r="AZ81" s="652">
        <f t="shared" ca="1" si="43"/>
        <v>0</v>
      </c>
      <c r="BA81" s="652">
        <f t="shared" ca="1" si="40"/>
        <v>0</v>
      </c>
      <c r="BB81" s="652">
        <f t="shared" ca="1" si="37"/>
        <v>2384.434285714286</v>
      </c>
      <c r="BC81" s="652">
        <f t="shared" ca="1" si="37"/>
        <v>0</v>
      </c>
      <c r="BD81" s="652">
        <f t="shared" ca="1" si="33"/>
        <v>2</v>
      </c>
      <c r="BE81" s="652">
        <f t="shared" ca="1" si="38"/>
        <v>131762.37615331548</v>
      </c>
      <c r="BF81" s="652">
        <f t="shared" ca="1" si="38"/>
        <v>0</v>
      </c>
      <c r="BG81" s="652">
        <f t="shared" ca="1" si="38"/>
        <v>18000</v>
      </c>
      <c r="BH81" s="652">
        <f t="shared" ca="1" si="38"/>
        <v>0</v>
      </c>
      <c r="BI81" s="652">
        <f t="shared" ca="1" si="38"/>
        <v>595728</v>
      </c>
      <c r="BJ81" s="652">
        <f t="shared" ca="1" si="38"/>
        <v>92.914285714285711</v>
      </c>
      <c r="BK81" s="652">
        <f t="shared" ca="1" si="38"/>
        <v>4768.8685714285721</v>
      </c>
    </row>
    <row r="82" spans="1:63">
      <c r="A82" s="526"/>
      <c r="B82" s="662">
        <v>36</v>
      </c>
      <c r="C82" s="662" t="s">
        <v>63</v>
      </c>
      <c r="D82" s="660" t="str">
        <f t="shared" ca="1" si="39"/>
        <v>Commercial New Construction Tier 4 ≥25,000 sqft</v>
      </c>
      <c r="E82" s="660" t="str">
        <f t="shared" ca="1" si="39"/>
        <v>Commercial New Construction Tier 4 - 25% Over Code</v>
      </c>
      <c r="F82" s="660" t="str">
        <f t="shared" ca="1" si="39"/>
        <v>Per Project</v>
      </c>
      <c r="G82" s="652">
        <f t="shared" ca="1" si="42"/>
        <v>0</v>
      </c>
      <c r="H82" s="652">
        <f t="shared" ca="1" si="42"/>
        <v>0</v>
      </c>
      <c r="I82" s="652">
        <f t="shared" ca="1" si="42"/>
        <v>0</v>
      </c>
      <c r="J82" s="652">
        <f t="shared" ca="1" si="42"/>
        <v>0</v>
      </c>
      <c r="K82" s="652">
        <f t="shared" ca="1" si="42"/>
        <v>0</v>
      </c>
      <c r="L82" s="652">
        <f t="shared" ca="1" si="42"/>
        <v>0</v>
      </c>
      <c r="M82" s="652">
        <f t="shared" ca="1" si="42"/>
        <v>0</v>
      </c>
      <c r="N82" s="652">
        <f t="shared" ca="1" si="42"/>
        <v>0</v>
      </c>
      <c r="O82" s="652">
        <f t="shared" ca="1" si="42"/>
        <v>0</v>
      </c>
      <c r="P82" s="652">
        <f t="shared" ca="1" si="42"/>
        <v>0</v>
      </c>
      <c r="Q82" s="652">
        <f t="shared" ca="1" si="42"/>
        <v>0</v>
      </c>
      <c r="R82" s="652">
        <f t="shared" ca="1" si="42"/>
        <v>0</v>
      </c>
      <c r="S82" s="652">
        <f t="shared" ca="1" si="42"/>
        <v>0</v>
      </c>
      <c r="T82" s="652">
        <f t="shared" ca="1" si="42"/>
        <v>0</v>
      </c>
      <c r="U82" s="652">
        <f t="shared" ca="1" si="43"/>
        <v>0</v>
      </c>
      <c r="V82" s="652">
        <f t="shared" ca="1" si="43"/>
        <v>0</v>
      </c>
      <c r="W82" s="652">
        <f t="shared" ca="1" si="43"/>
        <v>0</v>
      </c>
      <c r="X82" s="652">
        <f t="shared" ca="1" si="43"/>
        <v>0</v>
      </c>
      <c r="Y82" s="652">
        <f t="shared" ca="1" si="43"/>
        <v>0</v>
      </c>
      <c r="Z82" s="652">
        <f t="shared" ca="1" si="43"/>
        <v>0</v>
      </c>
      <c r="AA82" s="652">
        <f t="shared" ca="1" si="43"/>
        <v>0</v>
      </c>
      <c r="AB82" s="652">
        <f t="shared" ca="1" si="43"/>
        <v>0</v>
      </c>
      <c r="AC82" s="652">
        <f t="shared" ca="1" si="43"/>
        <v>0</v>
      </c>
      <c r="AD82" s="652">
        <f t="shared" ca="1" si="43"/>
        <v>0</v>
      </c>
      <c r="AE82" s="652">
        <f t="shared" ca="1" si="43"/>
        <v>0</v>
      </c>
      <c r="AF82" s="652">
        <f t="shared" ca="1" si="43"/>
        <v>0</v>
      </c>
      <c r="AG82" s="652">
        <f t="shared" ca="1" si="43"/>
        <v>0</v>
      </c>
      <c r="AH82" s="652">
        <f t="shared" ca="1" si="43"/>
        <v>0</v>
      </c>
      <c r="AI82" s="652">
        <f t="shared" ca="1" si="43"/>
        <v>0</v>
      </c>
      <c r="AJ82" s="652">
        <f t="shared" ca="1" si="43"/>
        <v>0</v>
      </c>
      <c r="AK82" s="652">
        <f t="shared" ca="1" si="43"/>
        <v>0</v>
      </c>
      <c r="AL82" s="652">
        <f t="shared" ca="1" si="43"/>
        <v>0</v>
      </c>
      <c r="AM82" s="652">
        <f t="shared" ca="1" si="43"/>
        <v>0</v>
      </c>
      <c r="AN82" s="652">
        <f t="shared" ca="1" si="43"/>
        <v>0</v>
      </c>
      <c r="AO82" s="652">
        <f t="shared" ca="1" si="43"/>
        <v>0</v>
      </c>
      <c r="AP82" s="652">
        <f t="shared" ca="1" si="43"/>
        <v>0</v>
      </c>
      <c r="AQ82" s="652">
        <f t="shared" ca="1" si="43"/>
        <v>0</v>
      </c>
      <c r="AR82" s="652">
        <f t="shared" ca="1" si="43"/>
        <v>0</v>
      </c>
      <c r="AS82" s="652">
        <f t="shared" ca="1" si="43"/>
        <v>0</v>
      </c>
      <c r="AT82" s="652">
        <f t="shared" ca="1" si="43"/>
        <v>0</v>
      </c>
      <c r="AU82" s="652">
        <f t="shared" ca="1" si="43"/>
        <v>0</v>
      </c>
      <c r="AV82" s="652">
        <f t="shared" ca="1" si="43"/>
        <v>0</v>
      </c>
      <c r="AW82" s="652">
        <f t="shared" ca="1" si="43"/>
        <v>0</v>
      </c>
      <c r="AX82" s="652">
        <f t="shared" ca="1" si="43"/>
        <v>0</v>
      </c>
      <c r="AY82" s="652">
        <f t="shared" ca="1" si="43"/>
        <v>0</v>
      </c>
      <c r="AZ82" s="652">
        <f t="shared" ca="1" si="43"/>
        <v>0</v>
      </c>
      <c r="BA82" s="652">
        <f t="shared" ca="1" si="40"/>
        <v>0</v>
      </c>
      <c r="BB82" s="652">
        <f t="shared" ca="1" si="37"/>
        <v>0</v>
      </c>
      <c r="BC82" s="652">
        <f t="shared" ca="1" si="37"/>
        <v>0</v>
      </c>
      <c r="BD82" s="652">
        <f t="shared" ca="1" si="33"/>
        <v>0</v>
      </c>
      <c r="BE82" s="652">
        <f t="shared" ca="1" si="38"/>
        <v>0</v>
      </c>
      <c r="BF82" s="652">
        <f t="shared" ca="1" si="38"/>
        <v>0</v>
      </c>
      <c r="BG82" s="652">
        <f t="shared" ca="1" si="38"/>
        <v>0</v>
      </c>
      <c r="BH82" s="652">
        <f t="shared" ca="1" si="38"/>
        <v>0</v>
      </c>
      <c r="BI82" s="652">
        <f t="shared" ca="1" si="38"/>
        <v>0</v>
      </c>
      <c r="BJ82" s="652">
        <f t="shared" ca="1" si="38"/>
        <v>0</v>
      </c>
      <c r="BK82" s="652">
        <f t="shared" ca="1" si="38"/>
        <v>0</v>
      </c>
    </row>
    <row r="83" spans="1:63">
      <c r="A83" s="526"/>
      <c r="B83" s="662">
        <v>37</v>
      </c>
      <c r="C83" s="662" t="s">
        <v>63</v>
      </c>
      <c r="D83" s="660" t="str">
        <f t="shared" ca="1" si="39"/>
        <v>Commercial New Construction LEED 1 to 5 Points &lt;25,000 sqft</v>
      </c>
      <c r="E83" s="660" t="str">
        <f t="shared" ca="1" si="39"/>
        <v>Commercial New Construction LEED 1 to 5 Points - LEED Energy &amp; Atmosphere, Credit 1 Category Optimize Energy Efficiency Performance</v>
      </c>
      <c r="F83" s="660" t="str">
        <f t="shared" ca="1" si="39"/>
        <v>Per Project</v>
      </c>
      <c r="G83" s="652">
        <f t="shared" ca="1" si="42"/>
        <v>1</v>
      </c>
      <c r="H83" s="652">
        <f t="shared" ca="1" si="42"/>
        <v>0</v>
      </c>
      <c r="I83" s="652">
        <f t="shared" ca="1" si="42"/>
        <v>0</v>
      </c>
      <c r="J83" s="652">
        <f t="shared" ca="1" si="42"/>
        <v>1</v>
      </c>
      <c r="K83" s="652">
        <f t="shared" ca="1" si="42"/>
        <v>0</v>
      </c>
      <c r="L83" s="652">
        <f t="shared" ca="1" si="42"/>
        <v>0</v>
      </c>
      <c r="M83" s="652">
        <f t="shared" ca="1" si="42"/>
        <v>1</v>
      </c>
      <c r="N83" s="652">
        <f t="shared" ca="1" si="42"/>
        <v>37200</v>
      </c>
      <c r="O83" s="652">
        <f t="shared" ca="1" si="42"/>
        <v>0</v>
      </c>
      <c r="P83" s="652">
        <f t="shared" ca="1" si="42"/>
        <v>0</v>
      </c>
      <c r="Q83" s="652">
        <f t="shared" ca="1" si="42"/>
        <v>37200</v>
      </c>
      <c r="R83" s="652">
        <f t="shared" ca="1" si="42"/>
        <v>0</v>
      </c>
      <c r="S83" s="652">
        <f t="shared" ca="1" si="42"/>
        <v>0</v>
      </c>
      <c r="T83" s="652">
        <f t="shared" ca="1" si="42"/>
        <v>37200</v>
      </c>
      <c r="U83" s="652">
        <f t="shared" ca="1" si="43"/>
        <v>0</v>
      </c>
      <c r="V83" s="652">
        <f t="shared" ca="1" si="43"/>
        <v>0</v>
      </c>
      <c r="W83" s="652">
        <f t="shared" ca="1" si="43"/>
        <v>0</v>
      </c>
      <c r="X83" s="652">
        <f t="shared" ca="1" si="43"/>
        <v>0</v>
      </c>
      <c r="Y83" s="652">
        <f t="shared" ca="1" si="43"/>
        <v>0</v>
      </c>
      <c r="Z83" s="652">
        <f t="shared" ca="1" si="43"/>
        <v>0</v>
      </c>
      <c r="AA83" s="652">
        <f t="shared" ca="1" si="43"/>
        <v>0</v>
      </c>
      <c r="AB83" s="652">
        <f t="shared" ca="1" si="43"/>
        <v>2000</v>
      </c>
      <c r="AC83" s="652">
        <f t="shared" ca="1" si="43"/>
        <v>0</v>
      </c>
      <c r="AD83" s="652">
        <f t="shared" ca="1" si="43"/>
        <v>0</v>
      </c>
      <c r="AE83" s="652">
        <f t="shared" ca="1" si="43"/>
        <v>2000</v>
      </c>
      <c r="AF83" s="652">
        <f t="shared" ca="1" si="43"/>
        <v>0</v>
      </c>
      <c r="AG83" s="652">
        <f t="shared" ca="1" si="43"/>
        <v>0</v>
      </c>
      <c r="AH83" s="652">
        <f t="shared" ca="1" si="43"/>
        <v>2000</v>
      </c>
      <c r="AI83" s="652">
        <f t="shared" ca="1" si="43"/>
        <v>0</v>
      </c>
      <c r="AJ83" s="652">
        <f t="shared" ca="1" si="43"/>
        <v>0</v>
      </c>
      <c r="AK83" s="652">
        <f t="shared" ca="1" si="43"/>
        <v>0</v>
      </c>
      <c r="AL83" s="652">
        <f t="shared" ca="1" si="43"/>
        <v>0</v>
      </c>
      <c r="AM83" s="652">
        <f t="shared" ca="1" si="43"/>
        <v>0</v>
      </c>
      <c r="AN83" s="652">
        <f t="shared" ca="1" si="43"/>
        <v>0</v>
      </c>
      <c r="AO83" s="652">
        <f t="shared" ca="1" si="43"/>
        <v>0</v>
      </c>
      <c r="AP83" s="652">
        <f t="shared" ca="1" si="43"/>
        <v>0</v>
      </c>
      <c r="AQ83" s="652">
        <f t="shared" ca="1" si="43"/>
        <v>0</v>
      </c>
      <c r="AR83" s="652">
        <f t="shared" ca="1" si="43"/>
        <v>0</v>
      </c>
      <c r="AS83" s="652">
        <f t="shared" ca="1" si="43"/>
        <v>0</v>
      </c>
      <c r="AT83" s="652">
        <f t="shared" ca="1" si="43"/>
        <v>0</v>
      </c>
      <c r="AU83" s="652">
        <f t="shared" ca="1" si="43"/>
        <v>0</v>
      </c>
      <c r="AV83" s="652">
        <f t="shared" ca="1" si="43"/>
        <v>0</v>
      </c>
      <c r="AW83" s="652">
        <f t="shared" ca="1" si="43"/>
        <v>0</v>
      </c>
      <c r="AX83" s="652">
        <f t="shared" ca="1" si="43"/>
        <v>0</v>
      </c>
      <c r="AY83" s="652">
        <f t="shared" ca="1" si="43"/>
        <v>0</v>
      </c>
      <c r="AZ83" s="652">
        <f t="shared" ca="1" si="43"/>
        <v>0</v>
      </c>
      <c r="BA83" s="652">
        <f t="shared" ca="1" si="40"/>
        <v>0</v>
      </c>
      <c r="BB83" s="652">
        <f t="shared" ca="1" si="37"/>
        <v>0</v>
      </c>
      <c r="BC83" s="652">
        <f t="shared" ca="1" si="37"/>
        <v>0</v>
      </c>
      <c r="BD83" s="652">
        <f t="shared" ca="1" si="33"/>
        <v>3</v>
      </c>
      <c r="BE83" s="652">
        <f t="shared" ca="1" si="38"/>
        <v>111600</v>
      </c>
      <c r="BF83" s="652">
        <f t="shared" ca="1" si="38"/>
        <v>0</v>
      </c>
      <c r="BG83" s="652">
        <f t="shared" ca="1" si="38"/>
        <v>6000</v>
      </c>
      <c r="BH83" s="652">
        <f t="shared" ca="1" si="38"/>
        <v>0</v>
      </c>
      <c r="BI83" s="652">
        <f t="shared" ca="1" si="38"/>
        <v>0</v>
      </c>
      <c r="BJ83" s="652">
        <f t="shared" ca="1" si="38"/>
        <v>0</v>
      </c>
      <c r="BK83" s="652">
        <f t="shared" ca="1" si="38"/>
        <v>0</v>
      </c>
    </row>
    <row r="84" spans="1:63">
      <c r="A84" s="526"/>
      <c r="B84" s="662">
        <v>38</v>
      </c>
      <c r="C84" s="662" t="s">
        <v>63</v>
      </c>
      <c r="D84" s="660" t="str">
        <f t="shared" ca="1" si="39"/>
        <v>Commercial New Construction LEED 6 to 10 Points &lt;25,000 sqft</v>
      </c>
      <c r="E84" s="660" t="str">
        <f t="shared" ca="1" si="39"/>
        <v>Commercial New Construction LEED 6 to 10 Points - LEED Energy &amp; Atmosphere, Credit 1 Category Optimize Energy Efficiency Performance</v>
      </c>
      <c r="F84" s="660" t="str">
        <f t="shared" ca="1" si="39"/>
        <v>Per Project</v>
      </c>
      <c r="G84" s="652">
        <f t="shared" ca="1" si="42"/>
        <v>0</v>
      </c>
      <c r="H84" s="652">
        <f t="shared" ca="1" si="42"/>
        <v>1</v>
      </c>
      <c r="I84" s="652">
        <f t="shared" ca="1" si="42"/>
        <v>0</v>
      </c>
      <c r="J84" s="652">
        <f t="shared" ca="1" si="42"/>
        <v>0</v>
      </c>
      <c r="K84" s="652">
        <f t="shared" ca="1" si="42"/>
        <v>1</v>
      </c>
      <c r="L84" s="652">
        <f t="shared" ca="1" si="42"/>
        <v>0</v>
      </c>
      <c r="M84" s="652">
        <f t="shared" ca="1" si="42"/>
        <v>0</v>
      </c>
      <c r="N84" s="652">
        <f t="shared" ca="1" si="42"/>
        <v>0</v>
      </c>
      <c r="O84" s="652">
        <f t="shared" ca="1" si="42"/>
        <v>37200</v>
      </c>
      <c r="P84" s="652">
        <f t="shared" ca="1" si="42"/>
        <v>0</v>
      </c>
      <c r="Q84" s="652">
        <f t="shared" ca="1" si="42"/>
        <v>0</v>
      </c>
      <c r="R84" s="652">
        <f t="shared" ca="1" si="42"/>
        <v>37200</v>
      </c>
      <c r="S84" s="652">
        <f t="shared" ca="1" si="42"/>
        <v>0</v>
      </c>
      <c r="T84" s="652">
        <f t="shared" ca="1" si="42"/>
        <v>0</v>
      </c>
      <c r="U84" s="652">
        <f t="shared" ca="1" si="43"/>
        <v>0</v>
      </c>
      <c r="V84" s="652">
        <f t="shared" ca="1" si="43"/>
        <v>0</v>
      </c>
      <c r="W84" s="652">
        <f t="shared" ca="1" si="43"/>
        <v>0</v>
      </c>
      <c r="X84" s="652">
        <f t="shared" ca="1" si="43"/>
        <v>0</v>
      </c>
      <c r="Y84" s="652">
        <f t="shared" ca="1" si="43"/>
        <v>0</v>
      </c>
      <c r="Z84" s="652">
        <f t="shared" ca="1" si="43"/>
        <v>0</v>
      </c>
      <c r="AA84" s="652">
        <f t="shared" ca="1" si="43"/>
        <v>0</v>
      </c>
      <c r="AB84" s="652">
        <f t="shared" ca="1" si="43"/>
        <v>0</v>
      </c>
      <c r="AC84" s="652">
        <f t="shared" ca="1" si="43"/>
        <v>2500</v>
      </c>
      <c r="AD84" s="652">
        <f t="shared" ca="1" si="43"/>
        <v>0</v>
      </c>
      <c r="AE84" s="652">
        <f t="shared" ca="1" si="43"/>
        <v>0</v>
      </c>
      <c r="AF84" s="652">
        <f t="shared" ca="1" si="43"/>
        <v>2500</v>
      </c>
      <c r="AG84" s="652">
        <f t="shared" ca="1" si="43"/>
        <v>0</v>
      </c>
      <c r="AH84" s="652">
        <f t="shared" ca="1" si="43"/>
        <v>0</v>
      </c>
      <c r="AI84" s="652">
        <f t="shared" ca="1" si="43"/>
        <v>0</v>
      </c>
      <c r="AJ84" s="652">
        <f t="shared" ca="1" si="43"/>
        <v>0</v>
      </c>
      <c r="AK84" s="652">
        <f t="shared" ca="1" si="43"/>
        <v>0</v>
      </c>
      <c r="AL84" s="652">
        <f t="shared" ca="1" si="43"/>
        <v>0</v>
      </c>
      <c r="AM84" s="652">
        <f t="shared" ca="1" si="43"/>
        <v>0</v>
      </c>
      <c r="AN84" s="652">
        <f t="shared" ca="1" si="43"/>
        <v>0</v>
      </c>
      <c r="AO84" s="652">
        <f t="shared" ca="1" si="43"/>
        <v>0</v>
      </c>
      <c r="AP84" s="652">
        <f t="shared" ca="1" si="43"/>
        <v>0</v>
      </c>
      <c r="AQ84" s="652">
        <f t="shared" ca="1" si="43"/>
        <v>0</v>
      </c>
      <c r="AR84" s="652">
        <f t="shared" ca="1" si="43"/>
        <v>0</v>
      </c>
      <c r="AS84" s="652">
        <f t="shared" ca="1" si="43"/>
        <v>0</v>
      </c>
      <c r="AT84" s="652">
        <f t="shared" ca="1" si="43"/>
        <v>0</v>
      </c>
      <c r="AU84" s="652">
        <f t="shared" ca="1" si="43"/>
        <v>0</v>
      </c>
      <c r="AV84" s="652">
        <f t="shared" ca="1" si="43"/>
        <v>0</v>
      </c>
      <c r="AW84" s="652">
        <f t="shared" ca="1" si="43"/>
        <v>0</v>
      </c>
      <c r="AX84" s="652">
        <f t="shared" ca="1" si="43"/>
        <v>0</v>
      </c>
      <c r="AY84" s="652">
        <f t="shared" ca="1" si="43"/>
        <v>0</v>
      </c>
      <c r="AZ84" s="652">
        <f t="shared" ca="1" si="43"/>
        <v>0</v>
      </c>
      <c r="BA84" s="652">
        <f t="shared" ca="1" si="40"/>
        <v>0</v>
      </c>
      <c r="BB84" s="652">
        <f t="shared" ca="1" si="37"/>
        <v>0</v>
      </c>
      <c r="BC84" s="652">
        <f t="shared" ca="1" si="37"/>
        <v>0</v>
      </c>
      <c r="BD84" s="652">
        <f t="shared" ca="1" si="33"/>
        <v>2</v>
      </c>
      <c r="BE84" s="652">
        <f t="shared" ca="1" si="38"/>
        <v>74400</v>
      </c>
      <c r="BF84" s="652">
        <f t="shared" ca="1" si="38"/>
        <v>0</v>
      </c>
      <c r="BG84" s="652">
        <f t="shared" ca="1" si="38"/>
        <v>5000</v>
      </c>
      <c r="BH84" s="652">
        <f t="shared" ca="1" si="38"/>
        <v>0</v>
      </c>
      <c r="BI84" s="652">
        <f t="shared" ca="1" si="38"/>
        <v>0</v>
      </c>
      <c r="BJ84" s="652">
        <f t="shared" ca="1" si="38"/>
        <v>0</v>
      </c>
      <c r="BK84" s="652">
        <f t="shared" ca="1" si="38"/>
        <v>0</v>
      </c>
    </row>
    <row r="85" spans="1:63">
      <c r="A85" s="526"/>
      <c r="B85" s="662">
        <v>39</v>
      </c>
      <c r="C85" s="662" t="s">
        <v>63</v>
      </c>
      <c r="D85" s="660" t="str">
        <f t="shared" ca="1" si="39"/>
        <v>Commercial New Construction LEED 11 to 15 Points &lt;25,000 sqft</v>
      </c>
      <c r="E85" s="660" t="str">
        <f t="shared" ca="1" si="39"/>
        <v>Commercial New Construction LEED 11 to 15 Points - LEED Energy &amp; Atmosphere, Credit 1 Category Optimize Energy Efficiency Performance</v>
      </c>
      <c r="F85" s="660" t="str">
        <f t="shared" ca="1" si="39"/>
        <v>Per Project</v>
      </c>
      <c r="G85" s="652">
        <f t="shared" ca="1" si="42"/>
        <v>0</v>
      </c>
      <c r="H85" s="652">
        <f t="shared" ca="1" si="42"/>
        <v>0</v>
      </c>
      <c r="I85" s="652">
        <f t="shared" ca="1" si="42"/>
        <v>1</v>
      </c>
      <c r="J85" s="652">
        <f t="shared" ca="1" si="42"/>
        <v>0</v>
      </c>
      <c r="K85" s="652">
        <f t="shared" ca="1" si="42"/>
        <v>0</v>
      </c>
      <c r="L85" s="652">
        <f t="shared" ca="1" si="42"/>
        <v>1</v>
      </c>
      <c r="M85" s="652">
        <f t="shared" ca="1" si="42"/>
        <v>0</v>
      </c>
      <c r="N85" s="652">
        <f t="shared" ca="1" si="42"/>
        <v>0</v>
      </c>
      <c r="O85" s="652">
        <f t="shared" ca="1" si="42"/>
        <v>0</v>
      </c>
      <c r="P85" s="652">
        <f t="shared" ca="1" si="42"/>
        <v>37200</v>
      </c>
      <c r="Q85" s="652">
        <f t="shared" ca="1" si="42"/>
        <v>0</v>
      </c>
      <c r="R85" s="652">
        <f t="shared" ca="1" si="42"/>
        <v>0</v>
      </c>
      <c r="S85" s="652">
        <f t="shared" ca="1" si="42"/>
        <v>37200</v>
      </c>
      <c r="T85" s="652">
        <f t="shared" ca="1" si="42"/>
        <v>0</v>
      </c>
      <c r="U85" s="652">
        <f t="shared" ca="1" si="43"/>
        <v>0</v>
      </c>
      <c r="V85" s="652">
        <f t="shared" ca="1" si="43"/>
        <v>0</v>
      </c>
      <c r="W85" s="652">
        <f t="shared" ca="1" si="43"/>
        <v>0</v>
      </c>
      <c r="X85" s="652">
        <f t="shared" ca="1" si="43"/>
        <v>0</v>
      </c>
      <c r="Y85" s="652">
        <f t="shared" ca="1" si="43"/>
        <v>0</v>
      </c>
      <c r="Z85" s="652">
        <f t="shared" ca="1" si="43"/>
        <v>0</v>
      </c>
      <c r="AA85" s="652">
        <f t="shared" ca="1" si="43"/>
        <v>0</v>
      </c>
      <c r="AB85" s="652">
        <f t="shared" ca="1" si="43"/>
        <v>0</v>
      </c>
      <c r="AC85" s="652">
        <f t="shared" ca="1" si="43"/>
        <v>0</v>
      </c>
      <c r="AD85" s="652">
        <f t="shared" ca="1" si="43"/>
        <v>3000</v>
      </c>
      <c r="AE85" s="652">
        <f t="shared" ca="1" si="43"/>
        <v>0</v>
      </c>
      <c r="AF85" s="652">
        <f t="shared" ca="1" si="43"/>
        <v>0</v>
      </c>
      <c r="AG85" s="652">
        <f t="shared" ca="1" si="43"/>
        <v>3000</v>
      </c>
      <c r="AH85" s="652">
        <f t="shared" ca="1" si="43"/>
        <v>0</v>
      </c>
      <c r="AI85" s="652">
        <f t="shared" ca="1" si="43"/>
        <v>0</v>
      </c>
      <c r="AJ85" s="652">
        <f t="shared" ca="1" si="43"/>
        <v>0</v>
      </c>
      <c r="AK85" s="652">
        <f t="shared" ca="1" si="43"/>
        <v>0</v>
      </c>
      <c r="AL85" s="652">
        <f t="shared" ca="1" si="43"/>
        <v>0</v>
      </c>
      <c r="AM85" s="652">
        <f t="shared" ca="1" si="43"/>
        <v>0</v>
      </c>
      <c r="AN85" s="652">
        <f t="shared" ca="1" si="43"/>
        <v>0</v>
      </c>
      <c r="AO85" s="652">
        <f t="shared" ca="1" si="43"/>
        <v>0</v>
      </c>
      <c r="AP85" s="652">
        <f t="shared" ca="1" si="43"/>
        <v>0</v>
      </c>
      <c r="AQ85" s="652">
        <f t="shared" ca="1" si="43"/>
        <v>0</v>
      </c>
      <c r="AR85" s="652">
        <f t="shared" ca="1" si="43"/>
        <v>0</v>
      </c>
      <c r="AS85" s="652">
        <f t="shared" ca="1" si="43"/>
        <v>0</v>
      </c>
      <c r="AT85" s="652">
        <f t="shared" ca="1" si="43"/>
        <v>0</v>
      </c>
      <c r="AU85" s="652">
        <f t="shared" ca="1" si="43"/>
        <v>0</v>
      </c>
      <c r="AV85" s="652">
        <f t="shared" ca="1" si="43"/>
        <v>0</v>
      </c>
      <c r="AW85" s="652">
        <f t="shared" ca="1" si="43"/>
        <v>0</v>
      </c>
      <c r="AX85" s="652">
        <f t="shared" ca="1" si="43"/>
        <v>0</v>
      </c>
      <c r="AY85" s="652">
        <f t="shared" ca="1" si="43"/>
        <v>0</v>
      </c>
      <c r="AZ85" s="652">
        <f t="shared" ca="1" si="43"/>
        <v>0</v>
      </c>
      <c r="BA85" s="652">
        <f t="shared" ca="1" si="40"/>
        <v>0</v>
      </c>
      <c r="BB85" s="652">
        <f t="shared" ca="1" si="37"/>
        <v>0</v>
      </c>
      <c r="BC85" s="652">
        <f t="shared" ca="1" si="37"/>
        <v>0</v>
      </c>
      <c r="BD85" s="652">
        <f t="shared" ca="1" si="33"/>
        <v>2</v>
      </c>
      <c r="BE85" s="652">
        <f t="shared" ca="1" si="38"/>
        <v>74400</v>
      </c>
      <c r="BF85" s="652">
        <f t="shared" ca="1" si="38"/>
        <v>0</v>
      </c>
      <c r="BG85" s="652">
        <f t="shared" ca="1" si="38"/>
        <v>6000</v>
      </c>
      <c r="BH85" s="652">
        <f t="shared" ca="1" si="38"/>
        <v>0</v>
      </c>
      <c r="BI85" s="652">
        <f t="shared" ca="1" si="38"/>
        <v>0</v>
      </c>
      <c r="BJ85" s="652">
        <f t="shared" ca="1" si="38"/>
        <v>0</v>
      </c>
      <c r="BK85" s="652">
        <f t="shared" ca="1" si="38"/>
        <v>0</v>
      </c>
    </row>
    <row r="86" spans="1:63">
      <c r="A86" s="526"/>
      <c r="B86" s="662">
        <v>40</v>
      </c>
      <c r="C86" s="662" t="s">
        <v>63</v>
      </c>
      <c r="D86" s="660" t="str">
        <f t="shared" ca="1" si="39"/>
        <v>Commercial New Construction LEED 16+ Points &lt;25,000 sqft</v>
      </c>
      <c r="E86" s="660" t="str">
        <f t="shared" ca="1" si="39"/>
        <v>Commercial New Construction LEED 16+ Points - LEED Energy &amp; Atmosphere, Credit 1 Category Optimize Energy Efficiency Performance</v>
      </c>
      <c r="F86" s="660" t="str">
        <f t="shared" ca="1" si="39"/>
        <v>Per Project</v>
      </c>
      <c r="G86" s="652">
        <f t="shared" ca="1" si="42"/>
        <v>1</v>
      </c>
      <c r="H86" s="652">
        <f t="shared" ca="1" si="42"/>
        <v>0</v>
      </c>
      <c r="I86" s="652">
        <f t="shared" ca="1" si="42"/>
        <v>0</v>
      </c>
      <c r="J86" s="652">
        <f t="shared" ca="1" si="42"/>
        <v>1</v>
      </c>
      <c r="K86" s="652">
        <f t="shared" ca="1" si="42"/>
        <v>0</v>
      </c>
      <c r="L86" s="652">
        <f t="shared" ca="1" si="42"/>
        <v>0</v>
      </c>
      <c r="M86" s="652">
        <f t="shared" ca="1" si="42"/>
        <v>1</v>
      </c>
      <c r="N86" s="652">
        <f t="shared" ca="1" si="42"/>
        <v>37200</v>
      </c>
      <c r="O86" s="652">
        <f t="shared" ca="1" si="42"/>
        <v>0</v>
      </c>
      <c r="P86" s="652">
        <f t="shared" ca="1" si="42"/>
        <v>0</v>
      </c>
      <c r="Q86" s="652">
        <f t="shared" ca="1" si="42"/>
        <v>37200</v>
      </c>
      <c r="R86" s="652">
        <f t="shared" ca="1" si="42"/>
        <v>0</v>
      </c>
      <c r="S86" s="652">
        <f t="shared" ca="1" si="42"/>
        <v>0</v>
      </c>
      <c r="T86" s="652">
        <f t="shared" ca="1" si="42"/>
        <v>37200</v>
      </c>
      <c r="U86" s="652">
        <f t="shared" ca="1" si="43"/>
        <v>0</v>
      </c>
      <c r="V86" s="652">
        <f t="shared" ca="1" si="43"/>
        <v>0</v>
      </c>
      <c r="W86" s="652">
        <f t="shared" ca="1" si="43"/>
        <v>0</v>
      </c>
      <c r="X86" s="652">
        <f t="shared" ca="1" si="43"/>
        <v>0</v>
      </c>
      <c r="Y86" s="652">
        <f t="shared" ca="1" si="43"/>
        <v>0</v>
      </c>
      <c r="Z86" s="652">
        <f t="shared" ca="1" si="43"/>
        <v>0</v>
      </c>
      <c r="AA86" s="652">
        <f t="shared" ca="1" si="43"/>
        <v>0</v>
      </c>
      <c r="AB86" s="652">
        <f t="shared" ca="1" si="43"/>
        <v>3500</v>
      </c>
      <c r="AC86" s="652">
        <f t="shared" ca="1" si="43"/>
        <v>0</v>
      </c>
      <c r="AD86" s="652">
        <f t="shared" ca="1" si="43"/>
        <v>0</v>
      </c>
      <c r="AE86" s="652">
        <f t="shared" ca="1" si="43"/>
        <v>3500</v>
      </c>
      <c r="AF86" s="652">
        <f t="shared" ca="1" si="43"/>
        <v>0</v>
      </c>
      <c r="AG86" s="652">
        <f t="shared" ca="1" si="43"/>
        <v>0</v>
      </c>
      <c r="AH86" s="652">
        <f t="shared" ca="1" si="43"/>
        <v>3500</v>
      </c>
      <c r="AI86" s="652">
        <f t="shared" ca="1" si="43"/>
        <v>0</v>
      </c>
      <c r="AJ86" s="652">
        <f t="shared" ca="1" si="43"/>
        <v>0</v>
      </c>
      <c r="AK86" s="652">
        <f t="shared" ca="1" si="43"/>
        <v>0</v>
      </c>
      <c r="AL86" s="652">
        <f t="shared" ca="1" si="43"/>
        <v>0</v>
      </c>
      <c r="AM86" s="652">
        <f t="shared" ca="1" si="43"/>
        <v>0</v>
      </c>
      <c r="AN86" s="652">
        <f t="shared" ca="1" si="43"/>
        <v>0</v>
      </c>
      <c r="AO86" s="652">
        <f t="shared" ca="1" si="43"/>
        <v>0</v>
      </c>
      <c r="AP86" s="652">
        <f t="shared" ca="1" si="43"/>
        <v>0</v>
      </c>
      <c r="AQ86" s="652">
        <f t="shared" ca="1" si="43"/>
        <v>0</v>
      </c>
      <c r="AR86" s="652">
        <f t="shared" ca="1" si="43"/>
        <v>0</v>
      </c>
      <c r="AS86" s="652">
        <f t="shared" ca="1" si="43"/>
        <v>0</v>
      </c>
      <c r="AT86" s="652">
        <f t="shared" ca="1" si="43"/>
        <v>0</v>
      </c>
      <c r="AU86" s="652">
        <f t="shared" ca="1" si="43"/>
        <v>0</v>
      </c>
      <c r="AV86" s="652">
        <f t="shared" ca="1" si="43"/>
        <v>0</v>
      </c>
      <c r="AW86" s="652">
        <f t="shared" ca="1" si="43"/>
        <v>0</v>
      </c>
      <c r="AX86" s="652">
        <f t="shared" ca="1" si="43"/>
        <v>0</v>
      </c>
      <c r="AY86" s="652">
        <f t="shared" ca="1" si="43"/>
        <v>0</v>
      </c>
      <c r="AZ86" s="652">
        <f t="shared" ca="1" si="43"/>
        <v>0</v>
      </c>
      <c r="BA86" s="652">
        <f t="shared" ca="1" si="40"/>
        <v>0</v>
      </c>
      <c r="BB86" s="652">
        <f t="shared" ca="1" si="37"/>
        <v>0</v>
      </c>
      <c r="BC86" s="652">
        <f t="shared" ca="1" si="37"/>
        <v>0</v>
      </c>
      <c r="BD86" s="652">
        <f t="shared" ca="1" si="33"/>
        <v>3</v>
      </c>
      <c r="BE86" s="652">
        <f t="shared" ca="1" si="38"/>
        <v>111600</v>
      </c>
      <c r="BF86" s="652">
        <f t="shared" ca="1" si="38"/>
        <v>0</v>
      </c>
      <c r="BG86" s="652">
        <f t="shared" ca="1" si="38"/>
        <v>10500</v>
      </c>
      <c r="BH86" s="652">
        <f t="shared" ca="1" si="38"/>
        <v>0</v>
      </c>
      <c r="BI86" s="652">
        <f t="shared" ca="1" si="38"/>
        <v>0</v>
      </c>
      <c r="BJ86" s="652">
        <f t="shared" ca="1" si="38"/>
        <v>0</v>
      </c>
      <c r="BK86" s="652">
        <f t="shared" ca="1" si="38"/>
        <v>0</v>
      </c>
    </row>
    <row r="87" spans="1:63">
      <c r="A87" s="526"/>
      <c r="B87" s="662">
        <v>41</v>
      </c>
      <c r="C87" s="662" t="s">
        <v>63</v>
      </c>
      <c r="D87" s="660" t="str">
        <f t="shared" ca="1" si="39"/>
        <v>Commercial New Construction LEED 1 to 5 Points ≥25,000 sqft</v>
      </c>
      <c r="E87" s="660" t="str">
        <f t="shared" ca="1" si="39"/>
        <v>Commercial New Construction LEED 1 to 5 Points - LEED Energy &amp; Atmosphere, Credit 1 Category Optimize Energy Efficiency Performance</v>
      </c>
      <c r="F87" s="660" t="str">
        <f t="shared" ca="1" si="39"/>
        <v>Per Project</v>
      </c>
      <c r="G87" s="652">
        <f t="shared" ca="1" si="42"/>
        <v>0</v>
      </c>
      <c r="H87" s="652">
        <f t="shared" ca="1" si="42"/>
        <v>1</v>
      </c>
      <c r="I87" s="652">
        <f t="shared" ca="1" si="42"/>
        <v>0</v>
      </c>
      <c r="J87" s="652">
        <f t="shared" ca="1" si="42"/>
        <v>0</v>
      </c>
      <c r="K87" s="652">
        <f t="shared" ca="1" si="42"/>
        <v>1</v>
      </c>
      <c r="L87" s="652">
        <f t="shared" ca="1" si="42"/>
        <v>0</v>
      </c>
      <c r="M87" s="652">
        <f t="shared" ca="1" si="42"/>
        <v>0</v>
      </c>
      <c r="N87" s="652">
        <f t="shared" ca="1" si="42"/>
        <v>0</v>
      </c>
      <c r="O87" s="652">
        <f t="shared" ca="1" si="42"/>
        <v>37200</v>
      </c>
      <c r="P87" s="652">
        <f t="shared" ca="1" si="42"/>
        <v>0</v>
      </c>
      <c r="Q87" s="652">
        <f t="shared" ca="1" si="42"/>
        <v>0</v>
      </c>
      <c r="R87" s="652">
        <f t="shared" ca="1" si="42"/>
        <v>37200</v>
      </c>
      <c r="S87" s="652">
        <f t="shared" ca="1" si="42"/>
        <v>0</v>
      </c>
      <c r="T87" s="652">
        <f t="shared" ca="1" si="42"/>
        <v>0</v>
      </c>
      <c r="U87" s="652">
        <f t="shared" ca="1" si="43"/>
        <v>0</v>
      </c>
      <c r="V87" s="652">
        <f t="shared" ca="1" si="43"/>
        <v>0</v>
      </c>
      <c r="W87" s="652">
        <f t="shared" ca="1" si="43"/>
        <v>0</v>
      </c>
      <c r="X87" s="652">
        <f t="shared" ca="1" si="43"/>
        <v>0</v>
      </c>
      <c r="Y87" s="652">
        <f t="shared" ca="1" si="43"/>
        <v>0</v>
      </c>
      <c r="Z87" s="652">
        <f t="shared" ca="1" si="43"/>
        <v>0</v>
      </c>
      <c r="AA87" s="652">
        <f t="shared" ca="1" si="43"/>
        <v>0</v>
      </c>
      <c r="AB87" s="652">
        <f t="shared" ca="1" si="43"/>
        <v>0</v>
      </c>
      <c r="AC87" s="652">
        <f t="shared" ca="1" si="43"/>
        <v>4000</v>
      </c>
      <c r="AD87" s="652">
        <f t="shared" ca="1" si="43"/>
        <v>0</v>
      </c>
      <c r="AE87" s="652">
        <f t="shared" ca="1" si="43"/>
        <v>0</v>
      </c>
      <c r="AF87" s="652">
        <f t="shared" ca="1" si="43"/>
        <v>4000</v>
      </c>
      <c r="AG87" s="652">
        <f t="shared" ca="1" si="43"/>
        <v>0</v>
      </c>
      <c r="AH87" s="652">
        <f t="shared" ca="1" si="43"/>
        <v>0</v>
      </c>
      <c r="AI87" s="652">
        <f t="shared" ca="1" si="43"/>
        <v>0</v>
      </c>
      <c r="AJ87" s="652">
        <f t="shared" ca="1" si="43"/>
        <v>0</v>
      </c>
      <c r="AK87" s="652">
        <f t="shared" ca="1" si="43"/>
        <v>0</v>
      </c>
      <c r="AL87" s="652">
        <f t="shared" ca="1" si="43"/>
        <v>0</v>
      </c>
      <c r="AM87" s="652">
        <f t="shared" ca="1" si="43"/>
        <v>0</v>
      </c>
      <c r="AN87" s="652">
        <f t="shared" ca="1" si="43"/>
        <v>0</v>
      </c>
      <c r="AO87" s="652">
        <f t="shared" ca="1" si="43"/>
        <v>0</v>
      </c>
      <c r="AP87" s="652">
        <f t="shared" ca="1" si="43"/>
        <v>0</v>
      </c>
      <c r="AQ87" s="652">
        <f t="shared" ca="1" si="43"/>
        <v>0</v>
      </c>
      <c r="AR87" s="652">
        <f t="shared" ca="1" si="43"/>
        <v>0</v>
      </c>
      <c r="AS87" s="652">
        <f t="shared" ca="1" si="43"/>
        <v>0</v>
      </c>
      <c r="AT87" s="652">
        <f t="shared" ca="1" si="43"/>
        <v>0</v>
      </c>
      <c r="AU87" s="652">
        <f t="shared" ca="1" si="43"/>
        <v>0</v>
      </c>
      <c r="AV87" s="652">
        <f t="shared" ca="1" si="43"/>
        <v>0</v>
      </c>
      <c r="AW87" s="652">
        <f t="shared" ref="AW87:BK102" ca="1" si="44">VLOOKUP($B87,INDIRECT("'"&amp;$C87&amp;"'!A6:FR1000"),IF(AW$6="Participation 2023",MATCH("__Participation 2023",INDIRECT("'"&amp;$C87&amp;"'!1:1"),0),IF(AW$6="Participation",MATCH("_Total Plan Summary _Participation",INDIRECT("'"&amp;$C87&amp;"'!1:1"),0),MATCH(AW$4&amp;"_"&amp;AW$5&amp;"_"&amp;AW$6,INDIRECT("'"&amp;$C87&amp;"'!1:1"),0))),0)</f>
        <v>0</v>
      </c>
      <c r="AX87" s="652">
        <f t="shared" ca="1" si="44"/>
        <v>0</v>
      </c>
      <c r="AY87" s="652">
        <f t="shared" ca="1" si="44"/>
        <v>0</v>
      </c>
      <c r="AZ87" s="652">
        <f t="shared" ca="1" si="44"/>
        <v>0</v>
      </c>
      <c r="BA87" s="652">
        <f t="shared" ca="1" si="40"/>
        <v>0</v>
      </c>
      <c r="BB87" s="652">
        <f t="shared" ca="1" si="37"/>
        <v>0</v>
      </c>
      <c r="BC87" s="652">
        <f t="shared" ca="1" si="37"/>
        <v>0</v>
      </c>
      <c r="BD87" s="652">
        <f t="shared" ca="1" si="33"/>
        <v>2</v>
      </c>
      <c r="BE87" s="652">
        <f t="shared" ca="1" si="38"/>
        <v>74400</v>
      </c>
      <c r="BF87" s="652">
        <f t="shared" ca="1" si="38"/>
        <v>0</v>
      </c>
      <c r="BG87" s="652">
        <f t="shared" ca="1" si="38"/>
        <v>8000</v>
      </c>
      <c r="BH87" s="652">
        <f t="shared" ca="1" si="38"/>
        <v>0</v>
      </c>
      <c r="BI87" s="652">
        <f t="shared" ca="1" si="38"/>
        <v>0</v>
      </c>
      <c r="BJ87" s="652">
        <f t="shared" ca="1" si="38"/>
        <v>0</v>
      </c>
      <c r="BK87" s="652">
        <f t="shared" ca="1" si="38"/>
        <v>0</v>
      </c>
    </row>
    <row r="88" spans="1:63">
      <c r="A88" s="526"/>
      <c r="B88" s="662">
        <v>42</v>
      </c>
      <c r="C88" s="662" t="s">
        <v>63</v>
      </c>
      <c r="D88" s="660" t="str">
        <f t="shared" ca="1" si="39"/>
        <v>Commercial New Construction LEED 6 to 10 Points ≥25,000 sqft</v>
      </c>
      <c r="E88" s="660" t="str">
        <f t="shared" ca="1" si="39"/>
        <v>Commercial New Construction LEED 6 to 10 Points - LEED Energy &amp; Atmosphere, Credit 1 Category Optimize Energy Efficiency Performance</v>
      </c>
      <c r="F88" s="660" t="str">
        <f t="shared" ca="1" si="39"/>
        <v>Per Project</v>
      </c>
      <c r="G88" s="652">
        <f t="shared" ca="1" si="42"/>
        <v>0</v>
      </c>
      <c r="H88" s="652">
        <f t="shared" ca="1" si="42"/>
        <v>1</v>
      </c>
      <c r="I88" s="652">
        <f t="shared" ca="1" si="42"/>
        <v>0</v>
      </c>
      <c r="J88" s="652">
        <f t="shared" ca="1" si="42"/>
        <v>1</v>
      </c>
      <c r="K88" s="652">
        <f t="shared" ca="1" si="42"/>
        <v>0</v>
      </c>
      <c r="L88" s="652">
        <f t="shared" ca="1" si="42"/>
        <v>1</v>
      </c>
      <c r="M88" s="652">
        <f t="shared" ca="1" si="42"/>
        <v>0</v>
      </c>
      <c r="N88" s="652">
        <f t="shared" ca="1" si="42"/>
        <v>0</v>
      </c>
      <c r="O88" s="652">
        <f t="shared" ca="1" si="42"/>
        <v>37200</v>
      </c>
      <c r="P88" s="652">
        <f t="shared" ca="1" si="42"/>
        <v>0</v>
      </c>
      <c r="Q88" s="652">
        <f t="shared" ca="1" si="42"/>
        <v>37200</v>
      </c>
      <c r="R88" s="652">
        <f t="shared" ca="1" si="42"/>
        <v>0</v>
      </c>
      <c r="S88" s="652">
        <f t="shared" ca="1" si="42"/>
        <v>37200</v>
      </c>
      <c r="T88" s="652">
        <f t="shared" ca="1" si="42"/>
        <v>0</v>
      </c>
      <c r="U88" s="652">
        <f t="shared" ref="U88:AH103" ca="1" si="45">VLOOKUP($B88,INDIRECT("'"&amp;$C88&amp;"'!A6:FR1000"),IF(U$6="Participation 2023",MATCH("__Participation 2023",INDIRECT("'"&amp;$C88&amp;"'!1:1"),0),IF(U$6="Participation",MATCH("_Total Plan Summary _Participation",INDIRECT("'"&amp;$C88&amp;"'!1:1"),0),MATCH(U$4&amp;"_"&amp;U$5&amp;"_"&amp;U$6,INDIRECT("'"&amp;$C88&amp;"'!1:1"),0))),0)</f>
        <v>0</v>
      </c>
      <c r="V88" s="652">
        <f t="shared" ca="1" si="45"/>
        <v>0</v>
      </c>
      <c r="W88" s="652">
        <f t="shared" ca="1" si="45"/>
        <v>0</v>
      </c>
      <c r="X88" s="652">
        <f t="shared" ca="1" si="45"/>
        <v>0</v>
      </c>
      <c r="Y88" s="652">
        <f t="shared" ca="1" si="45"/>
        <v>0</v>
      </c>
      <c r="Z88" s="652">
        <f t="shared" ca="1" si="45"/>
        <v>0</v>
      </c>
      <c r="AA88" s="652">
        <f t="shared" ca="1" si="45"/>
        <v>0</v>
      </c>
      <c r="AB88" s="652">
        <f t="shared" ca="1" si="45"/>
        <v>0</v>
      </c>
      <c r="AC88" s="652">
        <f t="shared" ca="1" si="45"/>
        <v>6000</v>
      </c>
      <c r="AD88" s="652">
        <f t="shared" ca="1" si="45"/>
        <v>0</v>
      </c>
      <c r="AE88" s="652">
        <f t="shared" ca="1" si="45"/>
        <v>6000</v>
      </c>
      <c r="AF88" s="652">
        <f t="shared" ca="1" si="45"/>
        <v>0</v>
      </c>
      <c r="AG88" s="652">
        <f t="shared" ca="1" si="45"/>
        <v>6000</v>
      </c>
      <c r="AH88" s="652">
        <f t="shared" ca="1" si="45"/>
        <v>0</v>
      </c>
      <c r="AI88" s="652">
        <f t="shared" ref="AI88:AV103" ca="1" si="46">VLOOKUP($B88,INDIRECT("'"&amp;$C88&amp;"'!A6:FR1000"),IF(AI$6="Participation 2023",MATCH("__Participation 2023",INDIRECT("'"&amp;$C88&amp;"'!1:1"),0),IF(AI$6="Participation",MATCH("_Total Plan Summary _Participation",INDIRECT("'"&amp;$C88&amp;"'!1:1"),0),MATCH(AI$4&amp;"_"&amp;AI$5&amp;"_"&amp;AI$6,INDIRECT("'"&amp;$C88&amp;"'!1:1"),0))),0)</f>
        <v>0</v>
      </c>
      <c r="AJ88" s="652">
        <f t="shared" ca="1" si="46"/>
        <v>0</v>
      </c>
      <c r="AK88" s="652">
        <f t="shared" ca="1" si="46"/>
        <v>0</v>
      </c>
      <c r="AL88" s="652">
        <f t="shared" ca="1" si="46"/>
        <v>0</v>
      </c>
      <c r="AM88" s="652">
        <f t="shared" ca="1" si="46"/>
        <v>0</v>
      </c>
      <c r="AN88" s="652">
        <f t="shared" ca="1" si="46"/>
        <v>0</v>
      </c>
      <c r="AO88" s="652">
        <f t="shared" ca="1" si="46"/>
        <v>0</v>
      </c>
      <c r="AP88" s="652">
        <f t="shared" ca="1" si="46"/>
        <v>0</v>
      </c>
      <c r="AQ88" s="652">
        <f t="shared" ca="1" si="46"/>
        <v>0</v>
      </c>
      <c r="AR88" s="652">
        <f t="shared" ca="1" si="46"/>
        <v>0</v>
      </c>
      <c r="AS88" s="652">
        <f t="shared" ca="1" si="46"/>
        <v>0</v>
      </c>
      <c r="AT88" s="652">
        <f t="shared" ca="1" si="46"/>
        <v>0</v>
      </c>
      <c r="AU88" s="652">
        <f t="shared" ca="1" si="46"/>
        <v>0</v>
      </c>
      <c r="AV88" s="652">
        <f t="shared" ca="1" si="46"/>
        <v>0</v>
      </c>
      <c r="AW88" s="652">
        <f t="shared" ca="1" si="44"/>
        <v>0</v>
      </c>
      <c r="AX88" s="652">
        <f t="shared" ca="1" si="44"/>
        <v>0</v>
      </c>
      <c r="AY88" s="652">
        <f t="shared" ca="1" si="44"/>
        <v>0</v>
      </c>
      <c r="AZ88" s="652">
        <f t="shared" ca="1" si="44"/>
        <v>0</v>
      </c>
      <c r="BA88" s="652">
        <f t="shared" ca="1" si="40"/>
        <v>0</v>
      </c>
      <c r="BB88" s="652">
        <f t="shared" ca="1" si="37"/>
        <v>0</v>
      </c>
      <c r="BC88" s="652">
        <f t="shared" ca="1" si="37"/>
        <v>0</v>
      </c>
      <c r="BD88" s="652">
        <f t="shared" ca="1" si="33"/>
        <v>3</v>
      </c>
      <c r="BE88" s="652">
        <f t="shared" ca="1" si="38"/>
        <v>111600</v>
      </c>
      <c r="BF88" s="652">
        <f t="shared" ca="1" si="38"/>
        <v>0</v>
      </c>
      <c r="BG88" s="652">
        <f t="shared" ca="1" si="38"/>
        <v>18000</v>
      </c>
      <c r="BH88" s="652">
        <f t="shared" ca="1" si="38"/>
        <v>0</v>
      </c>
      <c r="BI88" s="652">
        <f t="shared" ca="1" si="38"/>
        <v>0</v>
      </c>
      <c r="BJ88" s="652">
        <f t="shared" ca="1" si="38"/>
        <v>0</v>
      </c>
      <c r="BK88" s="652">
        <f t="shared" ca="1" si="38"/>
        <v>0</v>
      </c>
    </row>
    <row r="89" spans="1:63">
      <c r="A89" s="526"/>
      <c r="B89" s="662">
        <v>43</v>
      </c>
      <c r="C89" s="662" t="s">
        <v>63</v>
      </c>
      <c r="D89" s="660" t="str">
        <f t="shared" ca="1" si="39"/>
        <v>Commercial New Construction LEED 11 to 15 Points ≥25,000 sqft</v>
      </c>
      <c r="E89" s="660" t="str">
        <f t="shared" ca="1" si="39"/>
        <v>Commercial New Construction LEED 11 to 15 Points - LEED Energy &amp; Atmosphere, Credit 1 Category Optimize Energy Efficiency Performance</v>
      </c>
      <c r="F89" s="660" t="str">
        <f t="shared" ca="1" si="39"/>
        <v>Per Project</v>
      </c>
      <c r="G89" s="652">
        <f t="shared" ca="1" si="42"/>
        <v>1</v>
      </c>
      <c r="H89" s="652">
        <f t="shared" ca="1" si="42"/>
        <v>0</v>
      </c>
      <c r="I89" s="652">
        <f t="shared" ca="1" si="42"/>
        <v>1</v>
      </c>
      <c r="J89" s="652">
        <f t="shared" ca="1" si="42"/>
        <v>0</v>
      </c>
      <c r="K89" s="652">
        <f t="shared" ca="1" si="42"/>
        <v>1</v>
      </c>
      <c r="L89" s="652">
        <f t="shared" ca="1" si="42"/>
        <v>0</v>
      </c>
      <c r="M89" s="652">
        <f t="shared" ca="1" si="42"/>
        <v>1</v>
      </c>
      <c r="N89" s="652">
        <f t="shared" ca="1" si="42"/>
        <v>37200</v>
      </c>
      <c r="O89" s="652">
        <f t="shared" ca="1" si="42"/>
        <v>0</v>
      </c>
      <c r="P89" s="652">
        <f t="shared" ca="1" si="42"/>
        <v>37200</v>
      </c>
      <c r="Q89" s="652">
        <f t="shared" ca="1" si="42"/>
        <v>0</v>
      </c>
      <c r="R89" s="652">
        <f t="shared" ca="1" si="42"/>
        <v>37200</v>
      </c>
      <c r="S89" s="652">
        <f t="shared" ca="1" si="42"/>
        <v>0</v>
      </c>
      <c r="T89" s="652">
        <f t="shared" ca="1" si="42"/>
        <v>37200</v>
      </c>
      <c r="U89" s="652">
        <f t="shared" ca="1" si="45"/>
        <v>0</v>
      </c>
      <c r="V89" s="652">
        <f t="shared" ca="1" si="45"/>
        <v>0</v>
      </c>
      <c r="W89" s="652">
        <f t="shared" ca="1" si="45"/>
        <v>0</v>
      </c>
      <c r="X89" s="652">
        <f t="shared" ca="1" si="45"/>
        <v>0</v>
      </c>
      <c r="Y89" s="652">
        <f t="shared" ca="1" si="45"/>
        <v>0</v>
      </c>
      <c r="Z89" s="652">
        <f t="shared" ca="1" si="45"/>
        <v>0</v>
      </c>
      <c r="AA89" s="652">
        <f t="shared" ca="1" si="45"/>
        <v>0</v>
      </c>
      <c r="AB89" s="652">
        <f t="shared" ca="1" si="45"/>
        <v>8000</v>
      </c>
      <c r="AC89" s="652">
        <f t="shared" ca="1" si="45"/>
        <v>0</v>
      </c>
      <c r="AD89" s="652">
        <f t="shared" ca="1" si="45"/>
        <v>8000</v>
      </c>
      <c r="AE89" s="652">
        <f t="shared" ca="1" si="45"/>
        <v>0</v>
      </c>
      <c r="AF89" s="652">
        <f t="shared" ca="1" si="45"/>
        <v>8000</v>
      </c>
      <c r="AG89" s="652">
        <f t="shared" ca="1" si="45"/>
        <v>0</v>
      </c>
      <c r="AH89" s="652">
        <f t="shared" ca="1" si="45"/>
        <v>8000</v>
      </c>
      <c r="AI89" s="652">
        <f t="shared" ca="1" si="46"/>
        <v>0</v>
      </c>
      <c r="AJ89" s="652">
        <f t="shared" ca="1" si="46"/>
        <v>0</v>
      </c>
      <c r="AK89" s="652">
        <f t="shared" ca="1" si="46"/>
        <v>0</v>
      </c>
      <c r="AL89" s="652">
        <f t="shared" ca="1" si="46"/>
        <v>0</v>
      </c>
      <c r="AM89" s="652">
        <f t="shared" ca="1" si="46"/>
        <v>0</v>
      </c>
      <c r="AN89" s="652">
        <f t="shared" ca="1" si="46"/>
        <v>0</v>
      </c>
      <c r="AO89" s="652">
        <f t="shared" ca="1" si="46"/>
        <v>0</v>
      </c>
      <c r="AP89" s="652">
        <f t="shared" ca="1" si="46"/>
        <v>0</v>
      </c>
      <c r="AQ89" s="652">
        <f t="shared" ca="1" si="46"/>
        <v>0</v>
      </c>
      <c r="AR89" s="652">
        <f t="shared" ca="1" si="46"/>
        <v>0</v>
      </c>
      <c r="AS89" s="652">
        <f t="shared" ca="1" si="46"/>
        <v>0</v>
      </c>
      <c r="AT89" s="652">
        <f t="shared" ca="1" si="46"/>
        <v>0</v>
      </c>
      <c r="AU89" s="652">
        <f t="shared" ca="1" si="46"/>
        <v>0</v>
      </c>
      <c r="AV89" s="652">
        <f t="shared" ca="1" si="46"/>
        <v>0</v>
      </c>
      <c r="AW89" s="652">
        <f t="shared" ca="1" si="44"/>
        <v>0</v>
      </c>
      <c r="AX89" s="652">
        <f t="shared" ca="1" si="44"/>
        <v>0</v>
      </c>
      <c r="AY89" s="652">
        <f t="shared" ca="1" si="44"/>
        <v>0</v>
      </c>
      <c r="AZ89" s="652">
        <f t="shared" ca="1" si="44"/>
        <v>0</v>
      </c>
      <c r="BA89" s="652">
        <f t="shared" ca="1" si="40"/>
        <v>0</v>
      </c>
      <c r="BB89" s="652">
        <f t="shared" ca="1" si="37"/>
        <v>0</v>
      </c>
      <c r="BC89" s="652">
        <f t="shared" ca="1" si="37"/>
        <v>0</v>
      </c>
      <c r="BD89" s="652">
        <f t="shared" ca="1" si="33"/>
        <v>4</v>
      </c>
      <c r="BE89" s="652">
        <f t="shared" ca="1" si="38"/>
        <v>148800</v>
      </c>
      <c r="BF89" s="652">
        <f t="shared" ca="1" si="38"/>
        <v>0</v>
      </c>
      <c r="BG89" s="652">
        <f t="shared" ca="1" si="38"/>
        <v>32000</v>
      </c>
      <c r="BH89" s="652">
        <f t="shared" ca="1" si="38"/>
        <v>0</v>
      </c>
      <c r="BI89" s="652">
        <f t="shared" ca="1" si="38"/>
        <v>0</v>
      </c>
      <c r="BJ89" s="652">
        <f t="shared" ca="1" si="38"/>
        <v>0</v>
      </c>
      <c r="BK89" s="652">
        <f t="shared" ca="1" si="38"/>
        <v>0</v>
      </c>
    </row>
    <row r="90" spans="1:63">
      <c r="A90" s="526"/>
      <c r="B90" s="662">
        <v>44</v>
      </c>
      <c r="C90" s="662" t="s">
        <v>63</v>
      </c>
      <c r="D90" s="660" t="str">
        <f t="shared" ca="1" si="39"/>
        <v>Commercial New Construction LEED 16+ Points ≥25,000 sqft</v>
      </c>
      <c r="E90" s="660" t="str">
        <f t="shared" ca="1" si="39"/>
        <v>Commercial New Construction LEED 16+ Points - LEED Energy &amp; Atmosphere, Credit 1 Category Optimize Energy Efficiency Performance</v>
      </c>
      <c r="F90" s="660" t="str">
        <f t="shared" ca="1" si="39"/>
        <v>Per Project</v>
      </c>
      <c r="G90" s="652">
        <f t="shared" ca="1" si="42"/>
        <v>0</v>
      </c>
      <c r="H90" s="652">
        <f t="shared" ca="1" si="42"/>
        <v>0</v>
      </c>
      <c r="I90" s="652">
        <f t="shared" ca="1" si="42"/>
        <v>1</v>
      </c>
      <c r="J90" s="652">
        <f t="shared" ca="1" si="42"/>
        <v>0</v>
      </c>
      <c r="K90" s="652">
        <f t="shared" ca="1" si="42"/>
        <v>0</v>
      </c>
      <c r="L90" s="652">
        <f t="shared" ca="1" si="42"/>
        <v>1</v>
      </c>
      <c r="M90" s="652">
        <f t="shared" ca="1" si="42"/>
        <v>0</v>
      </c>
      <c r="N90" s="652">
        <f t="shared" ca="1" si="42"/>
        <v>0</v>
      </c>
      <c r="O90" s="652">
        <f t="shared" ca="1" si="42"/>
        <v>0</v>
      </c>
      <c r="P90" s="652">
        <f t="shared" ca="1" si="42"/>
        <v>37200</v>
      </c>
      <c r="Q90" s="652">
        <f t="shared" ca="1" si="42"/>
        <v>0</v>
      </c>
      <c r="R90" s="652">
        <f t="shared" ca="1" si="42"/>
        <v>0</v>
      </c>
      <c r="S90" s="652">
        <f t="shared" ca="1" si="42"/>
        <v>37200</v>
      </c>
      <c r="T90" s="652">
        <f t="shared" ca="1" si="42"/>
        <v>0</v>
      </c>
      <c r="U90" s="652">
        <f t="shared" ca="1" si="45"/>
        <v>0</v>
      </c>
      <c r="V90" s="652">
        <f t="shared" ca="1" si="45"/>
        <v>0</v>
      </c>
      <c r="W90" s="652">
        <f t="shared" ca="1" si="45"/>
        <v>0</v>
      </c>
      <c r="X90" s="652">
        <f t="shared" ca="1" si="45"/>
        <v>0</v>
      </c>
      <c r="Y90" s="652">
        <f t="shared" ca="1" si="45"/>
        <v>0</v>
      </c>
      <c r="Z90" s="652">
        <f t="shared" ca="1" si="45"/>
        <v>0</v>
      </c>
      <c r="AA90" s="652">
        <f t="shared" ca="1" si="45"/>
        <v>0</v>
      </c>
      <c r="AB90" s="652">
        <f t="shared" ca="1" si="45"/>
        <v>0</v>
      </c>
      <c r="AC90" s="652">
        <f t="shared" ca="1" si="45"/>
        <v>0</v>
      </c>
      <c r="AD90" s="652">
        <f t="shared" ca="1" si="45"/>
        <v>10000</v>
      </c>
      <c r="AE90" s="652">
        <f t="shared" ca="1" si="45"/>
        <v>0</v>
      </c>
      <c r="AF90" s="652">
        <f t="shared" ca="1" si="45"/>
        <v>0</v>
      </c>
      <c r="AG90" s="652">
        <f t="shared" ca="1" si="45"/>
        <v>10000</v>
      </c>
      <c r="AH90" s="652">
        <f t="shared" ca="1" si="45"/>
        <v>0</v>
      </c>
      <c r="AI90" s="652">
        <f t="shared" ca="1" si="46"/>
        <v>0</v>
      </c>
      <c r="AJ90" s="652">
        <f t="shared" ca="1" si="46"/>
        <v>0</v>
      </c>
      <c r="AK90" s="652">
        <f t="shared" ca="1" si="46"/>
        <v>0</v>
      </c>
      <c r="AL90" s="652">
        <f t="shared" ca="1" si="46"/>
        <v>0</v>
      </c>
      <c r="AM90" s="652">
        <f t="shared" ca="1" si="46"/>
        <v>0</v>
      </c>
      <c r="AN90" s="652">
        <f t="shared" ca="1" si="46"/>
        <v>0</v>
      </c>
      <c r="AO90" s="652">
        <f t="shared" ca="1" si="46"/>
        <v>0</v>
      </c>
      <c r="AP90" s="652">
        <f t="shared" ca="1" si="46"/>
        <v>0</v>
      </c>
      <c r="AQ90" s="652">
        <f t="shared" ca="1" si="46"/>
        <v>0</v>
      </c>
      <c r="AR90" s="652">
        <f t="shared" ca="1" si="46"/>
        <v>0</v>
      </c>
      <c r="AS90" s="652">
        <f t="shared" ca="1" si="46"/>
        <v>0</v>
      </c>
      <c r="AT90" s="652">
        <f t="shared" ca="1" si="46"/>
        <v>0</v>
      </c>
      <c r="AU90" s="652">
        <f t="shared" ca="1" si="46"/>
        <v>0</v>
      </c>
      <c r="AV90" s="652">
        <f t="shared" ca="1" si="46"/>
        <v>0</v>
      </c>
      <c r="AW90" s="652">
        <f t="shared" ca="1" si="44"/>
        <v>0</v>
      </c>
      <c r="AX90" s="652">
        <f t="shared" ca="1" si="44"/>
        <v>0</v>
      </c>
      <c r="AY90" s="652">
        <f t="shared" ca="1" si="44"/>
        <v>0</v>
      </c>
      <c r="AZ90" s="652">
        <f t="shared" ca="1" si="44"/>
        <v>0</v>
      </c>
      <c r="BA90" s="652">
        <f t="shared" ca="1" si="40"/>
        <v>0</v>
      </c>
      <c r="BB90" s="652">
        <f t="shared" ca="1" si="37"/>
        <v>0</v>
      </c>
      <c r="BC90" s="652">
        <f t="shared" ca="1" si="37"/>
        <v>0</v>
      </c>
      <c r="BD90" s="652">
        <f t="shared" ca="1" si="33"/>
        <v>2</v>
      </c>
      <c r="BE90" s="652">
        <f t="shared" ca="1" si="38"/>
        <v>74400</v>
      </c>
      <c r="BF90" s="652">
        <f t="shared" ca="1" si="38"/>
        <v>0</v>
      </c>
      <c r="BG90" s="652">
        <f t="shared" ca="1" si="38"/>
        <v>20000</v>
      </c>
      <c r="BH90" s="652">
        <f t="shared" ca="1" si="38"/>
        <v>0</v>
      </c>
      <c r="BI90" s="652">
        <f t="shared" ca="1" si="38"/>
        <v>0</v>
      </c>
      <c r="BJ90" s="652">
        <f t="shared" ca="1" si="38"/>
        <v>0</v>
      </c>
      <c r="BK90" s="652">
        <f t="shared" ca="1" si="38"/>
        <v>0</v>
      </c>
    </row>
    <row r="91" spans="1:63">
      <c r="A91" s="526"/>
      <c r="B91" s="662">
        <v>45</v>
      </c>
      <c r="C91" s="662" t="s">
        <v>63</v>
      </c>
      <c r="D91" s="660" t="str">
        <f t="shared" ca="1" si="39"/>
        <v>LED Troffer</v>
      </c>
      <c r="E91" s="660" t="str">
        <f t="shared" ca="1" si="39"/>
        <v>Any LED lamps or ballasts must also be ENERGY STAR® certified or listed on the Design Lights Consortium (DLC) qualified list.</v>
      </c>
      <c r="F91" s="660" t="str">
        <f t="shared" ca="1" si="39"/>
        <v>Per Unit</v>
      </c>
      <c r="G91" s="652">
        <f t="shared" ca="1" si="42"/>
        <v>1</v>
      </c>
      <c r="H91" s="652">
        <f t="shared" ca="1" si="42"/>
        <v>1</v>
      </c>
      <c r="I91" s="652">
        <f t="shared" ca="1" si="42"/>
        <v>0.2</v>
      </c>
      <c r="J91" s="652">
        <f t="shared" ca="1" si="42"/>
        <v>0</v>
      </c>
      <c r="K91" s="652">
        <f t="shared" ca="1" si="42"/>
        <v>0</v>
      </c>
      <c r="L91" s="652">
        <f t="shared" ca="1" si="42"/>
        <v>0</v>
      </c>
      <c r="M91" s="652">
        <f t="shared" ca="1" si="42"/>
        <v>0</v>
      </c>
      <c r="N91" s="652">
        <f t="shared" ca="1" si="42"/>
        <v>67.125</v>
      </c>
      <c r="O91" s="652">
        <f t="shared" ca="1" si="42"/>
        <v>67.125</v>
      </c>
      <c r="P91" s="652">
        <f t="shared" ca="1" si="42"/>
        <v>13.425000000000001</v>
      </c>
      <c r="Q91" s="652">
        <f t="shared" ca="1" si="42"/>
        <v>0</v>
      </c>
      <c r="R91" s="652">
        <f t="shared" ca="1" si="42"/>
        <v>0</v>
      </c>
      <c r="S91" s="652">
        <f t="shared" ca="1" si="42"/>
        <v>0</v>
      </c>
      <c r="T91" s="652">
        <f t="shared" ca="1" si="42"/>
        <v>0</v>
      </c>
      <c r="U91" s="652">
        <f t="shared" ca="1" si="45"/>
        <v>0</v>
      </c>
      <c r="V91" s="652">
        <f t="shared" ca="1" si="45"/>
        <v>0</v>
      </c>
      <c r="W91" s="652">
        <f t="shared" ca="1" si="45"/>
        <v>0</v>
      </c>
      <c r="X91" s="652">
        <f t="shared" ca="1" si="45"/>
        <v>0</v>
      </c>
      <c r="Y91" s="652">
        <f t="shared" ca="1" si="45"/>
        <v>0</v>
      </c>
      <c r="Z91" s="652">
        <f t="shared" ca="1" si="45"/>
        <v>0</v>
      </c>
      <c r="AA91" s="652">
        <f t="shared" ca="1" si="45"/>
        <v>0</v>
      </c>
      <c r="AB91" s="652">
        <f t="shared" ca="1" si="45"/>
        <v>10</v>
      </c>
      <c r="AC91" s="652">
        <f t="shared" ca="1" si="45"/>
        <v>10</v>
      </c>
      <c r="AD91" s="652">
        <f t="shared" ca="1" si="45"/>
        <v>2</v>
      </c>
      <c r="AE91" s="652">
        <f t="shared" ca="1" si="45"/>
        <v>0</v>
      </c>
      <c r="AF91" s="652">
        <f t="shared" ca="1" si="45"/>
        <v>0</v>
      </c>
      <c r="AG91" s="652">
        <f t="shared" ca="1" si="45"/>
        <v>0</v>
      </c>
      <c r="AH91" s="652">
        <f t="shared" ca="1" si="45"/>
        <v>0</v>
      </c>
      <c r="AI91" s="652">
        <f t="shared" ca="1" si="46"/>
        <v>114.589377864</v>
      </c>
      <c r="AJ91" s="652">
        <f t="shared" ca="1" si="46"/>
        <v>114.589377864</v>
      </c>
      <c r="AK91" s="652">
        <f t="shared" ca="1" si="46"/>
        <v>22.9178755728</v>
      </c>
      <c r="AL91" s="652">
        <f t="shared" ca="1" si="46"/>
        <v>0</v>
      </c>
      <c r="AM91" s="652">
        <f t="shared" ca="1" si="46"/>
        <v>0</v>
      </c>
      <c r="AN91" s="652">
        <f t="shared" ca="1" si="46"/>
        <v>0</v>
      </c>
      <c r="AO91" s="652">
        <f t="shared" ca="1" si="46"/>
        <v>0</v>
      </c>
      <c r="AP91" s="652">
        <f t="shared" ca="1" si="46"/>
        <v>2.7349574200000001E-2</v>
      </c>
      <c r="AQ91" s="652">
        <f t="shared" ca="1" si="46"/>
        <v>2.7349574200000001E-2</v>
      </c>
      <c r="AR91" s="652">
        <f t="shared" ca="1" si="46"/>
        <v>5.4699148400000003E-3</v>
      </c>
      <c r="AS91" s="652">
        <f t="shared" ca="1" si="46"/>
        <v>0</v>
      </c>
      <c r="AT91" s="652">
        <f t="shared" ca="1" si="46"/>
        <v>0</v>
      </c>
      <c r="AU91" s="652">
        <f t="shared" ca="1" si="46"/>
        <v>0</v>
      </c>
      <c r="AV91" s="652">
        <f t="shared" ca="1" si="46"/>
        <v>0</v>
      </c>
      <c r="AW91" s="652">
        <f t="shared" ca="1" si="44"/>
        <v>0</v>
      </c>
      <c r="AX91" s="652">
        <f t="shared" ca="1" si="44"/>
        <v>0</v>
      </c>
      <c r="AY91" s="652">
        <f t="shared" ca="1" si="44"/>
        <v>0</v>
      </c>
      <c r="AZ91" s="652">
        <f t="shared" ca="1" si="44"/>
        <v>0</v>
      </c>
      <c r="BA91" s="652">
        <f t="shared" ca="1" si="40"/>
        <v>0</v>
      </c>
      <c r="BB91" s="652">
        <f t="shared" ca="1" si="37"/>
        <v>0</v>
      </c>
      <c r="BC91" s="652">
        <f t="shared" ca="1" si="37"/>
        <v>0</v>
      </c>
      <c r="BD91" s="652">
        <f t="shared" ca="1" si="33"/>
        <v>2.2000000000000002</v>
      </c>
      <c r="BE91" s="652">
        <f t="shared" ca="1" si="38"/>
        <v>147.67500000000001</v>
      </c>
      <c r="BF91" s="652">
        <f t="shared" ca="1" si="38"/>
        <v>0</v>
      </c>
      <c r="BG91" s="652">
        <f t="shared" ca="1" si="38"/>
        <v>22</v>
      </c>
      <c r="BH91" s="652">
        <f t="shared" ca="1" si="38"/>
        <v>0</v>
      </c>
      <c r="BI91" s="652">
        <f t="shared" ca="1" si="38"/>
        <v>252.0966313008</v>
      </c>
      <c r="BJ91" s="652">
        <f t="shared" ca="1" si="38"/>
        <v>6.0169063240000001E-2</v>
      </c>
      <c r="BK91" s="652">
        <f t="shared" ca="1" si="38"/>
        <v>0</v>
      </c>
    </row>
    <row r="92" spans="1:63">
      <c r="A92" s="526"/>
      <c r="B92" s="662">
        <v>46</v>
      </c>
      <c r="C92" s="662" t="s">
        <v>63</v>
      </c>
      <c r="D92" s="660" t="str">
        <f t="shared" ca="1" si="39"/>
        <v>LED High Bay</v>
      </c>
      <c r="E92" s="660" t="str">
        <f t="shared" ca="1" si="39"/>
        <v>Any LED lamps or ballasts must also be ENERGY STAR® certified or listed on the Design Lights Consortium (DLC) qualified list.</v>
      </c>
      <c r="F92" s="660" t="str">
        <f t="shared" ca="1" si="39"/>
        <v>Per Unit</v>
      </c>
      <c r="G92" s="652">
        <f t="shared" ca="1" si="42"/>
        <v>0</v>
      </c>
      <c r="H92" s="652">
        <f t="shared" ca="1" si="42"/>
        <v>0</v>
      </c>
      <c r="I92" s="652">
        <f t="shared" ca="1" si="42"/>
        <v>0</v>
      </c>
      <c r="J92" s="652">
        <f t="shared" ca="1" si="42"/>
        <v>0</v>
      </c>
      <c r="K92" s="652">
        <f t="shared" ca="1" si="42"/>
        <v>0</v>
      </c>
      <c r="L92" s="652">
        <f t="shared" ca="1" si="42"/>
        <v>0</v>
      </c>
      <c r="M92" s="652">
        <f t="shared" ca="1" si="42"/>
        <v>0</v>
      </c>
      <c r="N92" s="652">
        <f t="shared" ca="1" si="42"/>
        <v>0</v>
      </c>
      <c r="O92" s="652">
        <f t="shared" ca="1" si="42"/>
        <v>0</v>
      </c>
      <c r="P92" s="652">
        <f t="shared" ca="1" si="42"/>
        <v>0</v>
      </c>
      <c r="Q92" s="652">
        <f t="shared" ca="1" si="42"/>
        <v>0</v>
      </c>
      <c r="R92" s="652">
        <f t="shared" ca="1" si="42"/>
        <v>0</v>
      </c>
      <c r="S92" s="652">
        <f t="shared" ca="1" si="42"/>
        <v>0</v>
      </c>
      <c r="T92" s="652">
        <f t="shared" ca="1" si="42"/>
        <v>0</v>
      </c>
      <c r="U92" s="652">
        <f t="shared" ca="1" si="45"/>
        <v>0</v>
      </c>
      <c r="V92" s="652">
        <f t="shared" ca="1" si="45"/>
        <v>0</v>
      </c>
      <c r="W92" s="652">
        <f t="shared" ca="1" si="45"/>
        <v>0</v>
      </c>
      <c r="X92" s="652">
        <f t="shared" ca="1" si="45"/>
        <v>0</v>
      </c>
      <c r="Y92" s="652">
        <f t="shared" ca="1" si="45"/>
        <v>0</v>
      </c>
      <c r="Z92" s="652">
        <f t="shared" ca="1" si="45"/>
        <v>0</v>
      </c>
      <c r="AA92" s="652">
        <f t="shared" ca="1" si="45"/>
        <v>0</v>
      </c>
      <c r="AB92" s="652">
        <f t="shared" ca="1" si="45"/>
        <v>0</v>
      </c>
      <c r="AC92" s="652">
        <f t="shared" ca="1" si="45"/>
        <v>0</v>
      </c>
      <c r="AD92" s="652">
        <f t="shared" ca="1" si="45"/>
        <v>0</v>
      </c>
      <c r="AE92" s="652">
        <f t="shared" ca="1" si="45"/>
        <v>0</v>
      </c>
      <c r="AF92" s="652">
        <f t="shared" ca="1" si="45"/>
        <v>0</v>
      </c>
      <c r="AG92" s="652">
        <f t="shared" ca="1" si="45"/>
        <v>0</v>
      </c>
      <c r="AH92" s="652">
        <f t="shared" ca="1" si="45"/>
        <v>0</v>
      </c>
      <c r="AI92" s="652">
        <f t="shared" ca="1" si="46"/>
        <v>0</v>
      </c>
      <c r="AJ92" s="652">
        <f t="shared" ca="1" si="46"/>
        <v>0</v>
      </c>
      <c r="AK92" s="652">
        <f t="shared" ca="1" si="46"/>
        <v>0</v>
      </c>
      <c r="AL92" s="652">
        <f t="shared" ca="1" si="46"/>
        <v>0</v>
      </c>
      <c r="AM92" s="652">
        <f t="shared" ca="1" si="46"/>
        <v>0</v>
      </c>
      <c r="AN92" s="652">
        <f t="shared" ca="1" si="46"/>
        <v>0</v>
      </c>
      <c r="AO92" s="652">
        <f t="shared" ca="1" si="46"/>
        <v>0</v>
      </c>
      <c r="AP92" s="652">
        <f t="shared" ca="1" si="46"/>
        <v>0</v>
      </c>
      <c r="AQ92" s="652">
        <f t="shared" ca="1" si="46"/>
        <v>0</v>
      </c>
      <c r="AR92" s="652">
        <f t="shared" ca="1" si="46"/>
        <v>0</v>
      </c>
      <c r="AS92" s="652">
        <f t="shared" ca="1" si="46"/>
        <v>0</v>
      </c>
      <c r="AT92" s="652">
        <f t="shared" ca="1" si="46"/>
        <v>0</v>
      </c>
      <c r="AU92" s="652">
        <f t="shared" ca="1" si="46"/>
        <v>0</v>
      </c>
      <c r="AV92" s="652">
        <f t="shared" ca="1" si="46"/>
        <v>0</v>
      </c>
      <c r="AW92" s="652">
        <f t="shared" ca="1" si="44"/>
        <v>0</v>
      </c>
      <c r="AX92" s="652">
        <f t="shared" ca="1" si="44"/>
        <v>0</v>
      </c>
      <c r="AY92" s="652">
        <f t="shared" ca="1" si="44"/>
        <v>0</v>
      </c>
      <c r="AZ92" s="652">
        <f t="shared" ca="1" si="44"/>
        <v>0</v>
      </c>
      <c r="BA92" s="652">
        <f t="shared" ca="1" si="40"/>
        <v>0</v>
      </c>
      <c r="BB92" s="652">
        <f t="shared" ca="1" si="37"/>
        <v>0</v>
      </c>
      <c r="BC92" s="652">
        <f t="shared" ca="1" si="37"/>
        <v>0</v>
      </c>
      <c r="BD92" s="652">
        <f t="shared" ca="1" si="33"/>
        <v>0</v>
      </c>
      <c r="BE92" s="652">
        <f t="shared" ca="1" si="38"/>
        <v>0</v>
      </c>
      <c r="BF92" s="652">
        <f t="shared" ca="1" si="38"/>
        <v>0</v>
      </c>
      <c r="BG92" s="652">
        <f t="shared" ca="1" si="38"/>
        <v>0</v>
      </c>
      <c r="BH92" s="652">
        <f t="shared" ca="1" si="38"/>
        <v>0</v>
      </c>
      <c r="BI92" s="652">
        <f t="shared" ca="1" si="38"/>
        <v>0</v>
      </c>
      <c r="BJ92" s="652">
        <f t="shared" ca="1" si="38"/>
        <v>0</v>
      </c>
      <c r="BK92" s="652">
        <f t="shared" ca="1" si="38"/>
        <v>0</v>
      </c>
    </row>
    <row r="93" spans="1:63">
      <c r="A93" s="526"/>
      <c r="B93" s="662">
        <v>47</v>
      </c>
      <c r="C93" s="662" t="s">
        <v>63</v>
      </c>
      <c r="D93" s="660" t="str">
        <f t="shared" ca="1" si="39"/>
        <v>LED Tube</v>
      </c>
      <c r="E93" s="660" t="str">
        <f t="shared" ca="1" si="39"/>
        <v>Any LED lamps or ballasts must also be ENERGY STAR® certified or listed on the Design Lights Consortium (DLC) qualified list.</v>
      </c>
      <c r="F93" s="660" t="str">
        <f t="shared" ca="1" si="39"/>
        <v>Per Unit</v>
      </c>
      <c r="G93" s="652">
        <f t="shared" ca="1" si="42"/>
        <v>6071</v>
      </c>
      <c r="H93" s="652">
        <f t="shared" ca="1" si="42"/>
        <v>6071</v>
      </c>
      <c r="I93" s="652">
        <f t="shared" ca="1" si="42"/>
        <v>1457.04</v>
      </c>
      <c r="J93" s="652">
        <f t="shared" ca="1" si="42"/>
        <v>0</v>
      </c>
      <c r="K93" s="652">
        <f t="shared" ca="1" si="42"/>
        <v>0</v>
      </c>
      <c r="L93" s="652">
        <f t="shared" ca="1" si="42"/>
        <v>0</v>
      </c>
      <c r="M93" s="652">
        <f t="shared" ca="1" si="42"/>
        <v>0</v>
      </c>
      <c r="N93" s="652">
        <f t="shared" ca="1" si="42"/>
        <v>183374.55500000002</v>
      </c>
      <c r="O93" s="652">
        <f t="shared" ca="1" si="42"/>
        <v>183374.55500000002</v>
      </c>
      <c r="P93" s="652">
        <f t="shared" ca="1" si="42"/>
        <v>44009.893199999999</v>
      </c>
      <c r="Q93" s="652">
        <f t="shared" ca="1" si="42"/>
        <v>0</v>
      </c>
      <c r="R93" s="652">
        <f t="shared" ca="1" si="42"/>
        <v>0</v>
      </c>
      <c r="S93" s="652">
        <f t="shared" ca="1" si="42"/>
        <v>0</v>
      </c>
      <c r="T93" s="652">
        <f t="shared" ca="1" si="42"/>
        <v>0</v>
      </c>
      <c r="U93" s="652">
        <f t="shared" ca="1" si="45"/>
        <v>0</v>
      </c>
      <c r="V93" s="652">
        <f t="shared" ca="1" si="45"/>
        <v>0</v>
      </c>
      <c r="W93" s="652">
        <f t="shared" ca="1" si="45"/>
        <v>0</v>
      </c>
      <c r="X93" s="652">
        <f t="shared" ca="1" si="45"/>
        <v>0</v>
      </c>
      <c r="Y93" s="652">
        <f t="shared" ca="1" si="45"/>
        <v>0</v>
      </c>
      <c r="Z93" s="652">
        <f t="shared" ca="1" si="45"/>
        <v>0</v>
      </c>
      <c r="AA93" s="652">
        <f t="shared" ca="1" si="45"/>
        <v>0</v>
      </c>
      <c r="AB93" s="652">
        <f t="shared" ca="1" si="45"/>
        <v>18213</v>
      </c>
      <c r="AC93" s="652">
        <f t="shared" ca="1" si="45"/>
        <v>18213</v>
      </c>
      <c r="AD93" s="652">
        <f t="shared" ca="1" si="45"/>
        <v>4371.12</v>
      </c>
      <c r="AE93" s="652">
        <f t="shared" ca="1" si="45"/>
        <v>0</v>
      </c>
      <c r="AF93" s="652">
        <f t="shared" ca="1" si="45"/>
        <v>0</v>
      </c>
      <c r="AG93" s="652">
        <f t="shared" ca="1" si="45"/>
        <v>0</v>
      </c>
      <c r="AH93" s="652">
        <f t="shared" ca="1" si="45"/>
        <v>0</v>
      </c>
      <c r="AI93" s="652">
        <f t="shared" ca="1" si="46"/>
        <v>239728.61249999999</v>
      </c>
      <c r="AJ93" s="652">
        <f t="shared" ca="1" si="46"/>
        <v>239728.61249999999</v>
      </c>
      <c r="AK93" s="652">
        <f t="shared" ca="1" si="46"/>
        <v>57534.866999999991</v>
      </c>
      <c r="AL93" s="652">
        <f t="shared" ca="1" si="46"/>
        <v>0</v>
      </c>
      <c r="AM93" s="652">
        <f t="shared" ca="1" si="46"/>
        <v>0</v>
      </c>
      <c r="AN93" s="652">
        <f t="shared" ca="1" si="46"/>
        <v>0</v>
      </c>
      <c r="AO93" s="652">
        <f t="shared" ca="1" si="46"/>
        <v>0</v>
      </c>
      <c r="AP93" s="652">
        <f t="shared" ca="1" si="46"/>
        <v>36.995156250000001</v>
      </c>
      <c r="AQ93" s="652">
        <f t="shared" ca="1" si="46"/>
        <v>36.995156250000001</v>
      </c>
      <c r="AR93" s="652">
        <f t="shared" ca="1" si="46"/>
        <v>8.8788374999999995</v>
      </c>
      <c r="AS93" s="652">
        <f t="shared" ca="1" si="46"/>
        <v>0</v>
      </c>
      <c r="AT93" s="652">
        <f t="shared" ca="1" si="46"/>
        <v>0</v>
      </c>
      <c r="AU93" s="652">
        <f t="shared" ca="1" si="46"/>
        <v>0</v>
      </c>
      <c r="AV93" s="652">
        <f t="shared" ca="1" si="46"/>
        <v>0</v>
      </c>
      <c r="AW93" s="652">
        <f t="shared" ca="1" si="44"/>
        <v>0</v>
      </c>
      <c r="AX93" s="652">
        <f t="shared" ca="1" si="44"/>
        <v>0</v>
      </c>
      <c r="AY93" s="652">
        <f t="shared" ca="1" si="44"/>
        <v>0</v>
      </c>
      <c r="AZ93" s="652">
        <f t="shared" ca="1" si="44"/>
        <v>0</v>
      </c>
      <c r="BA93" s="652">
        <f t="shared" ca="1" si="40"/>
        <v>0</v>
      </c>
      <c r="BB93" s="652">
        <f t="shared" ca="1" si="40"/>
        <v>0</v>
      </c>
      <c r="BC93" s="652">
        <f t="shared" ca="1" si="40"/>
        <v>0</v>
      </c>
      <c r="BD93" s="652">
        <f t="shared" ca="1" si="33"/>
        <v>13599.04</v>
      </c>
      <c r="BE93" s="652">
        <f t="shared" ca="1" si="40"/>
        <v>410759.00320000004</v>
      </c>
      <c r="BF93" s="652">
        <f t="shared" ca="1" si="40"/>
        <v>0</v>
      </c>
      <c r="BG93" s="652">
        <f t="shared" ca="1" si="40"/>
        <v>40797.120000000003</v>
      </c>
      <c r="BH93" s="652">
        <f t="shared" ca="1" si="40"/>
        <v>0</v>
      </c>
      <c r="BI93" s="652">
        <f t="shared" ca="1" si="40"/>
        <v>536992.09199999995</v>
      </c>
      <c r="BJ93" s="652">
        <f t="shared" ca="1" si="40"/>
        <v>82.869150000000005</v>
      </c>
      <c r="BK93" s="652">
        <f t="shared" ca="1" si="40"/>
        <v>0</v>
      </c>
    </row>
    <row r="94" spans="1:63">
      <c r="B94" s="662">
        <v>48</v>
      </c>
      <c r="C94" s="662" t="s">
        <v>63</v>
      </c>
      <c r="D94" s="660" t="str">
        <f t="shared" ca="1" si="39"/>
        <v>Interior ≤ 10W</v>
      </c>
      <c r="E94" s="660" t="str">
        <f t="shared" ca="1" si="39"/>
        <v>Any LED lamps or ballasts must also be ENERGY STAR® certified or listed on the Design Lights Consortium (DLC) qualified list.</v>
      </c>
      <c r="F94" s="660" t="str">
        <f t="shared" ca="1" si="39"/>
        <v>Per Unit</v>
      </c>
      <c r="G94" s="652">
        <f t="shared" ca="1" si="42"/>
        <v>14731</v>
      </c>
      <c r="H94" s="652">
        <f t="shared" ca="1" si="42"/>
        <v>14731</v>
      </c>
      <c r="I94" s="652">
        <f t="shared" ca="1" si="42"/>
        <v>3535.4400000000005</v>
      </c>
      <c r="J94" s="652">
        <f t="shared" ca="1" si="42"/>
        <v>0</v>
      </c>
      <c r="K94" s="652">
        <f t="shared" ca="1" si="42"/>
        <v>0</v>
      </c>
      <c r="L94" s="652">
        <f t="shared" ca="1" si="42"/>
        <v>0</v>
      </c>
      <c r="M94" s="652">
        <f t="shared" ca="1" si="42"/>
        <v>0</v>
      </c>
      <c r="N94" s="652">
        <f t="shared" ca="1" si="42"/>
        <v>530316</v>
      </c>
      <c r="O94" s="652">
        <f t="shared" ca="1" si="42"/>
        <v>530316</v>
      </c>
      <c r="P94" s="652">
        <f t="shared" ca="1" si="42"/>
        <v>127275.84000000003</v>
      </c>
      <c r="Q94" s="652">
        <f t="shared" ca="1" si="42"/>
        <v>0</v>
      </c>
      <c r="R94" s="652">
        <f t="shared" ca="1" si="42"/>
        <v>0</v>
      </c>
      <c r="S94" s="652">
        <f t="shared" ca="1" si="42"/>
        <v>0</v>
      </c>
      <c r="T94" s="652">
        <f t="shared" ca="1" si="42"/>
        <v>0</v>
      </c>
      <c r="U94" s="652">
        <f t="shared" ca="1" si="45"/>
        <v>0</v>
      </c>
      <c r="V94" s="652">
        <f t="shared" ca="1" si="45"/>
        <v>0</v>
      </c>
      <c r="W94" s="652">
        <f t="shared" ca="1" si="45"/>
        <v>0</v>
      </c>
      <c r="X94" s="652">
        <f t="shared" ca="1" si="45"/>
        <v>0</v>
      </c>
      <c r="Y94" s="652">
        <f t="shared" ca="1" si="45"/>
        <v>0</v>
      </c>
      <c r="Z94" s="652">
        <f t="shared" ca="1" si="45"/>
        <v>0</v>
      </c>
      <c r="AA94" s="652">
        <f t="shared" ca="1" si="45"/>
        <v>0</v>
      </c>
      <c r="AB94" s="652">
        <f t="shared" ca="1" si="45"/>
        <v>73655</v>
      </c>
      <c r="AC94" s="652">
        <f t="shared" ca="1" si="45"/>
        <v>73655</v>
      </c>
      <c r="AD94" s="652">
        <f t="shared" ca="1" si="45"/>
        <v>17677.200000000004</v>
      </c>
      <c r="AE94" s="652">
        <f t="shared" ca="1" si="45"/>
        <v>0</v>
      </c>
      <c r="AF94" s="652">
        <f t="shared" ca="1" si="45"/>
        <v>0</v>
      </c>
      <c r="AG94" s="652">
        <f t="shared" ca="1" si="45"/>
        <v>0</v>
      </c>
      <c r="AH94" s="652">
        <f t="shared" ca="1" si="45"/>
        <v>0</v>
      </c>
      <c r="AI94" s="652">
        <f t="shared" ca="1" si="46"/>
        <v>2461953.9397574309</v>
      </c>
      <c r="AJ94" s="652">
        <f t="shared" ca="1" si="46"/>
        <v>2461953.9397574309</v>
      </c>
      <c r="AK94" s="652">
        <f t="shared" ca="1" si="46"/>
        <v>590868.94554178347</v>
      </c>
      <c r="AL94" s="652">
        <f t="shared" ca="1" si="46"/>
        <v>0</v>
      </c>
      <c r="AM94" s="652">
        <f t="shared" ca="1" si="46"/>
        <v>0</v>
      </c>
      <c r="AN94" s="652">
        <f t="shared" ca="1" si="46"/>
        <v>0</v>
      </c>
      <c r="AO94" s="652">
        <f t="shared" ca="1" si="46"/>
        <v>0</v>
      </c>
      <c r="AP94" s="652">
        <f t="shared" ca="1" si="46"/>
        <v>567.84367743363964</v>
      </c>
      <c r="AQ94" s="652">
        <f t="shared" ca="1" si="46"/>
        <v>567.84367743363964</v>
      </c>
      <c r="AR94" s="652">
        <f t="shared" ca="1" si="46"/>
        <v>136.28248258407353</v>
      </c>
      <c r="AS94" s="652">
        <f t="shared" ca="1" si="46"/>
        <v>0</v>
      </c>
      <c r="AT94" s="652">
        <f t="shared" ca="1" si="46"/>
        <v>0</v>
      </c>
      <c r="AU94" s="652">
        <f t="shared" ca="1" si="46"/>
        <v>0</v>
      </c>
      <c r="AV94" s="652">
        <f t="shared" ca="1" si="46"/>
        <v>0</v>
      </c>
      <c r="AW94" s="652">
        <f t="shared" ca="1" si="44"/>
        <v>0</v>
      </c>
      <c r="AX94" s="652">
        <f t="shared" ca="1" si="44"/>
        <v>0</v>
      </c>
      <c r="AY94" s="652">
        <f t="shared" ca="1" si="44"/>
        <v>0</v>
      </c>
      <c r="AZ94" s="652">
        <f t="shared" ca="1" si="44"/>
        <v>0</v>
      </c>
      <c r="BA94" s="652">
        <f t="shared" ca="1" si="40"/>
        <v>0</v>
      </c>
      <c r="BB94" s="652">
        <f t="shared" ca="1" si="40"/>
        <v>0</v>
      </c>
      <c r="BC94" s="652">
        <f t="shared" ca="1" si="40"/>
        <v>0</v>
      </c>
      <c r="BD94" s="652">
        <f t="shared" ca="1" si="33"/>
        <v>32997.440000000002</v>
      </c>
      <c r="BE94" s="652">
        <f t="shared" ca="1" si="40"/>
        <v>1187907.8400000001</v>
      </c>
      <c r="BF94" s="652">
        <f t="shared" ca="1" si="40"/>
        <v>0</v>
      </c>
      <c r="BG94" s="652">
        <f t="shared" ca="1" si="40"/>
        <v>164987.20000000001</v>
      </c>
      <c r="BH94" s="652">
        <f t="shared" ca="1" si="40"/>
        <v>0</v>
      </c>
      <c r="BI94" s="652">
        <f t="shared" ca="1" si="40"/>
        <v>5514776.8250566451</v>
      </c>
      <c r="BJ94" s="652">
        <f t="shared" ca="1" si="40"/>
        <v>1271.9698374513528</v>
      </c>
      <c r="BK94" s="652">
        <f t="shared" ca="1" si="40"/>
        <v>0</v>
      </c>
    </row>
    <row r="95" spans="1:63">
      <c r="B95" s="662">
        <v>49</v>
      </c>
      <c r="C95" s="662" t="s">
        <v>63</v>
      </c>
      <c r="D95" s="660" t="str">
        <f t="shared" ref="D95:F127" ca="1" si="47">VLOOKUP($B95,INDIRECT("'"&amp;$C95&amp;"'!A6:FC1000"),IF(D$6="Participation 2023",MATCH("__Participation 2023",INDIRECT("'"&amp;$C95&amp;"'!1:1"),0),IF(D$6="Participation",MATCH("_Total Plan Summary _Participation",INDIRECT("'"&amp;$C95&amp;"'!1:1"),0),MATCH(D$4&amp;"_"&amp;D$5&amp;"_"&amp;D$6,INDIRECT("'"&amp;$C95&amp;"'!1:1"),0))),0)</f>
        <v>Interior &gt; 10W and &lt; 50W</v>
      </c>
      <c r="E95" s="660" t="str">
        <f t="shared" ca="1" si="47"/>
        <v>Any LED lamps or ballasts must also be ENERGY STAR® certified or listed on the Design Lights Consortium (DLC) qualified list.</v>
      </c>
      <c r="F95" s="660" t="str">
        <f t="shared" ca="1" si="47"/>
        <v>Per Unit</v>
      </c>
      <c r="G95" s="652">
        <f t="shared" ref="G95:T108" ca="1" si="48">VLOOKUP($B95,INDIRECT("'"&amp;$C95&amp;"'!A6:FR1000"),IF(G$6="Participation 2023",MATCH("__Participation 2023",INDIRECT("'"&amp;$C95&amp;"'!1:1"),0),IF(G$6="Participation",MATCH("_Total Plan Summary _Participation",INDIRECT("'"&amp;$C95&amp;"'!1:1"),0),MATCH(G$4&amp;"_"&amp;G$5&amp;"_"&amp;G$6,INDIRECT("'"&amp;$C95&amp;"'!1:1"),0))),0)</f>
        <v>196464</v>
      </c>
      <c r="H95" s="652">
        <f t="shared" ca="1" si="48"/>
        <v>196464</v>
      </c>
      <c r="I95" s="652">
        <f t="shared" ca="1" si="48"/>
        <v>47151.360000000001</v>
      </c>
      <c r="J95" s="652">
        <f t="shared" ca="1" si="48"/>
        <v>0</v>
      </c>
      <c r="K95" s="652">
        <f t="shared" ca="1" si="48"/>
        <v>0</v>
      </c>
      <c r="L95" s="652">
        <f t="shared" ca="1" si="48"/>
        <v>0</v>
      </c>
      <c r="M95" s="652">
        <f t="shared" ca="1" si="48"/>
        <v>0</v>
      </c>
      <c r="N95" s="652">
        <f t="shared" ca="1" si="48"/>
        <v>7128836.5714285709</v>
      </c>
      <c r="O95" s="652">
        <f t="shared" ca="1" si="48"/>
        <v>7128836.5714285709</v>
      </c>
      <c r="P95" s="652">
        <f t="shared" ca="1" si="48"/>
        <v>1710920.7771428572</v>
      </c>
      <c r="Q95" s="652">
        <f t="shared" ca="1" si="48"/>
        <v>0</v>
      </c>
      <c r="R95" s="652">
        <f t="shared" ca="1" si="48"/>
        <v>0</v>
      </c>
      <c r="S95" s="652">
        <f t="shared" ca="1" si="48"/>
        <v>0</v>
      </c>
      <c r="T95" s="652">
        <f t="shared" ca="1" si="48"/>
        <v>0</v>
      </c>
      <c r="U95" s="652">
        <f t="shared" ca="1" si="45"/>
        <v>0</v>
      </c>
      <c r="V95" s="652">
        <f t="shared" ca="1" si="45"/>
        <v>0</v>
      </c>
      <c r="W95" s="652">
        <f t="shared" ca="1" si="45"/>
        <v>0</v>
      </c>
      <c r="X95" s="652">
        <f t="shared" ca="1" si="45"/>
        <v>0</v>
      </c>
      <c r="Y95" s="652">
        <f t="shared" ca="1" si="45"/>
        <v>0</v>
      </c>
      <c r="Z95" s="652">
        <f t="shared" ca="1" si="45"/>
        <v>0</v>
      </c>
      <c r="AA95" s="652">
        <f t="shared" ca="1" si="45"/>
        <v>0</v>
      </c>
      <c r="AB95" s="652">
        <f t="shared" ca="1" si="45"/>
        <v>982320</v>
      </c>
      <c r="AC95" s="652">
        <f t="shared" ca="1" si="45"/>
        <v>982320</v>
      </c>
      <c r="AD95" s="652">
        <f t="shared" ca="1" si="45"/>
        <v>235756.79999999999</v>
      </c>
      <c r="AE95" s="652">
        <f t="shared" ca="1" si="45"/>
        <v>0</v>
      </c>
      <c r="AF95" s="652">
        <f t="shared" ca="1" si="45"/>
        <v>0</v>
      </c>
      <c r="AG95" s="652">
        <f t="shared" ca="1" si="45"/>
        <v>0</v>
      </c>
      <c r="AH95" s="652">
        <f t="shared" ca="1" si="45"/>
        <v>0</v>
      </c>
      <c r="AI95" s="652">
        <f t="shared" ca="1" si="46"/>
        <v>25367448.557525426</v>
      </c>
      <c r="AJ95" s="652">
        <f t="shared" ca="1" si="46"/>
        <v>25367448.557525426</v>
      </c>
      <c r="AK95" s="652">
        <f t="shared" ca="1" si="46"/>
        <v>6088187.6538061025</v>
      </c>
      <c r="AL95" s="652">
        <f t="shared" ca="1" si="46"/>
        <v>0</v>
      </c>
      <c r="AM95" s="652">
        <f t="shared" ca="1" si="46"/>
        <v>0</v>
      </c>
      <c r="AN95" s="652">
        <f t="shared" ca="1" si="46"/>
        <v>0</v>
      </c>
      <c r="AO95" s="652">
        <f t="shared" ca="1" si="46"/>
        <v>0</v>
      </c>
      <c r="AP95" s="652">
        <f t="shared" ca="1" si="46"/>
        <v>12268.645524948814</v>
      </c>
      <c r="AQ95" s="652">
        <f t="shared" ca="1" si="46"/>
        <v>12268.645524948814</v>
      </c>
      <c r="AR95" s="652">
        <f t="shared" ca="1" si="46"/>
        <v>2944.4749259877153</v>
      </c>
      <c r="AS95" s="652">
        <f t="shared" ca="1" si="46"/>
        <v>0</v>
      </c>
      <c r="AT95" s="652">
        <f t="shared" ca="1" si="46"/>
        <v>0</v>
      </c>
      <c r="AU95" s="652">
        <f t="shared" ca="1" si="46"/>
        <v>0</v>
      </c>
      <c r="AV95" s="652">
        <f t="shared" ca="1" si="46"/>
        <v>0</v>
      </c>
      <c r="AW95" s="652">
        <f t="shared" ca="1" si="44"/>
        <v>0</v>
      </c>
      <c r="AX95" s="652">
        <f t="shared" ca="1" si="44"/>
        <v>0</v>
      </c>
      <c r="AY95" s="652">
        <f t="shared" ca="1" si="44"/>
        <v>0</v>
      </c>
      <c r="AZ95" s="652">
        <f t="shared" ca="1" si="44"/>
        <v>0</v>
      </c>
      <c r="BA95" s="652">
        <f t="shared" ca="1" si="44"/>
        <v>0</v>
      </c>
      <c r="BB95" s="652">
        <f t="shared" ca="1" si="44"/>
        <v>0</v>
      </c>
      <c r="BC95" s="652">
        <f t="shared" ca="1" si="44"/>
        <v>0</v>
      </c>
      <c r="BD95" s="652">
        <f t="shared" ca="1" si="33"/>
        <v>440079.35999999999</v>
      </c>
      <c r="BE95" s="652">
        <f t="shared" ca="1" si="44"/>
        <v>15968593.919999998</v>
      </c>
      <c r="BF95" s="652">
        <f t="shared" ca="1" si="44"/>
        <v>0</v>
      </c>
      <c r="BG95" s="652">
        <f t="shared" ca="1" si="44"/>
        <v>2200396.7999999998</v>
      </c>
      <c r="BH95" s="652">
        <f t="shared" ca="1" si="44"/>
        <v>0</v>
      </c>
      <c r="BI95" s="652">
        <f t="shared" ca="1" si="44"/>
        <v>56823084.768856958</v>
      </c>
      <c r="BJ95" s="652">
        <f t="shared" ca="1" si="44"/>
        <v>27481.765975885341</v>
      </c>
      <c r="BK95" s="652">
        <f t="shared" ca="1" si="44"/>
        <v>0</v>
      </c>
    </row>
    <row r="96" spans="1:63" s="318" customFormat="1">
      <c r="B96" s="662">
        <v>50</v>
      </c>
      <c r="C96" s="662" t="s">
        <v>63</v>
      </c>
      <c r="D96" s="660" t="str">
        <f t="shared" ca="1" si="47"/>
        <v>Interior ≥ 50W</v>
      </c>
      <c r="E96" s="660" t="str">
        <f t="shared" ca="1" si="47"/>
        <v>Any LED lamps or ballasts must also be ENERGY STAR® certified or listed on the Design Lights Consortium (DLC) qualified list.</v>
      </c>
      <c r="F96" s="660" t="str">
        <f t="shared" ca="1" si="47"/>
        <v>Per Unit</v>
      </c>
      <c r="G96" s="652">
        <f t="shared" ca="1" si="48"/>
        <v>24370</v>
      </c>
      <c r="H96" s="652">
        <f t="shared" ca="1" si="48"/>
        <v>24370</v>
      </c>
      <c r="I96" s="652">
        <f t="shared" ca="1" si="48"/>
        <v>5848.8</v>
      </c>
      <c r="J96" s="652">
        <f t="shared" ca="1" si="48"/>
        <v>0</v>
      </c>
      <c r="K96" s="652">
        <f t="shared" ca="1" si="48"/>
        <v>0</v>
      </c>
      <c r="L96" s="652">
        <f t="shared" ca="1" si="48"/>
        <v>0</v>
      </c>
      <c r="M96" s="652">
        <f t="shared" ca="1" si="48"/>
        <v>0</v>
      </c>
      <c r="N96" s="652">
        <f t="shared" ca="1" si="48"/>
        <v>3704240</v>
      </c>
      <c r="O96" s="652">
        <f t="shared" ca="1" si="48"/>
        <v>3704240</v>
      </c>
      <c r="P96" s="652">
        <f t="shared" ca="1" si="48"/>
        <v>889017.6</v>
      </c>
      <c r="Q96" s="652">
        <f t="shared" ca="1" si="48"/>
        <v>0</v>
      </c>
      <c r="R96" s="652">
        <f t="shared" ca="1" si="48"/>
        <v>0</v>
      </c>
      <c r="S96" s="652">
        <f t="shared" ca="1" si="48"/>
        <v>0</v>
      </c>
      <c r="T96" s="652">
        <f t="shared" ca="1" si="48"/>
        <v>0</v>
      </c>
      <c r="U96" s="652">
        <f t="shared" ca="1" si="45"/>
        <v>0</v>
      </c>
      <c r="V96" s="652">
        <f t="shared" ca="1" si="45"/>
        <v>0</v>
      </c>
      <c r="W96" s="652">
        <f t="shared" ca="1" si="45"/>
        <v>0</v>
      </c>
      <c r="X96" s="652">
        <f t="shared" ca="1" si="45"/>
        <v>0</v>
      </c>
      <c r="Y96" s="652">
        <f t="shared" ca="1" si="45"/>
        <v>0</v>
      </c>
      <c r="Z96" s="652">
        <f t="shared" ca="1" si="45"/>
        <v>0</v>
      </c>
      <c r="AA96" s="652">
        <f t="shared" ca="1" si="45"/>
        <v>0</v>
      </c>
      <c r="AB96" s="652">
        <f t="shared" ca="1" si="45"/>
        <v>146220</v>
      </c>
      <c r="AC96" s="652">
        <f t="shared" ca="1" si="45"/>
        <v>146220</v>
      </c>
      <c r="AD96" s="652">
        <f t="shared" ca="1" si="45"/>
        <v>35092.800000000003</v>
      </c>
      <c r="AE96" s="652">
        <f t="shared" ca="1" si="45"/>
        <v>0</v>
      </c>
      <c r="AF96" s="652">
        <f t="shared" ca="1" si="45"/>
        <v>0</v>
      </c>
      <c r="AG96" s="652">
        <f t="shared" ca="1" si="45"/>
        <v>0</v>
      </c>
      <c r="AH96" s="652">
        <f t="shared" ca="1" si="45"/>
        <v>0</v>
      </c>
      <c r="AI96" s="652">
        <f t="shared" ca="1" si="46"/>
        <v>5077520.0901707066</v>
      </c>
      <c r="AJ96" s="652">
        <f t="shared" ca="1" si="46"/>
        <v>5077520.0901707066</v>
      </c>
      <c r="AK96" s="652">
        <f t="shared" ca="1" si="46"/>
        <v>1218604.8216409697</v>
      </c>
      <c r="AL96" s="652">
        <f t="shared" ca="1" si="46"/>
        <v>0</v>
      </c>
      <c r="AM96" s="652">
        <f t="shared" ca="1" si="46"/>
        <v>0</v>
      </c>
      <c r="AN96" s="652">
        <f t="shared" ca="1" si="46"/>
        <v>0</v>
      </c>
      <c r="AO96" s="652">
        <f t="shared" ca="1" si="46"/>
        <v>0</v>
      </c>
      <c r="AP96" s="652">
        <f t="shared" ca="1" si="46"/>
        <v>1081.749541170575</v>
      </c>
      <c r="AQ96" s="652">
        <f t="shared" ca="1" si="46"/>
        <v>1081.749541170575</v>
      </c>
      <c r="AR96" s="652">
        <f t="shared" ca="1" si="46"/>
        <v>259.61988988093805</v>
      </c>
      <c r="AS96" s="652">
        <f t="shared" ca="1" si="46"/>
        <v>0</v>
      </c>
      <c r="AT96" s="652">
        <f t="shared" ca="1" si="46"/>
        <v>0</v>
      </c>
      <c r="AU96" s="652">
        <f t="shared" ca="1" si="46"/>
        <v>0</v>
      </c>
      <c r="AV96" s="652">
        <f t="shared" ca="1" si="46"/>
        <v>0</v>
      </c>
      <c r="AW96" s="652">
        <f t="shared" ca="1" si="44"/>
        <v>0</v>
      </c>
      <c r="AX96" s="652">
        <f t="shared" ca="1" si="44"/>
        <v>0</v>
      </c>
      <c r="AY96" s="652">
        <f t="shared" ca="1" si="44"/>
        <v>0</v>
      </c>
      <c r="AZ96" s="652">
        <f t="shared" ca="1" si="44"/>
        <v>0</v>
      </c>
      <c r="BA96" s="652">
        <f t="shared" ca="1" si="44"/>
        <v>0</v>
      </c>
      <c r="BB96" s="652">
        <f t="shared" ca="1" si="44"/>
        <v>0</v>
      </c>
      <c r="BC96" s="652">
        <f t="shared" ca="1" si="44"/>
        <v>0</v>
      </c>
      <c r="BD96" s="652">
        <f t="shared" ca="1" si="33"/>
        <v>54588.800000000003</v>
      </c>
      <c r="BE96" s="652">
        <f t="shared" ca="1" si="44"/>
        <v>8297497.5999999996</v>
      </c>
      <c r="BF96" s="652">
        <f t="shared" ca="1" si="44"/>
        <v>0</v>
      </c>
      <c r="BG96" s="652">
        <f t="shared" ca="1" si="44"/>
        <v>327532.79999999999</v>
      </c>
      <c r="BH96" s="652">
        <f t="shared" ca="1" si="44"/>
        <v>0</v>
      </c>
      <c r="BI96" s="652">
        <f t="shared" ca="1" si="44"/>
        <v>11373645.001982383</v>
      </c>
      <c r="BJ96" s="652">
        <f t="shared" ca="1" si="44"/>
        <v>2423.1189722220879</v>
      </c>
      <c r="BK96" s="652">
        <f t="shared" ca="1" si="44"/>
        <v>0</v>
      </c>
    </row>
    <row r="97" spans="2:63">
      <c r="B97" s="662">
        <v>51</v>
      </c>
      <c r="C97" s="662" t="s">
        <v>63</v>
      </c>
      <c r="D97" s="660" t="str">
        <f t="shared" ca="1" si="47"/>
        <v>Exterior: LED Other</v>
      </c>
      <c r="E97" s="660" t="str">
        <f t="shared" ca="1" si="47"/>
        <v>Any LED lamps or ballasts must also be ENERGY STAR® certified or listed on the Design Lights Consortium (DLC) qualified list.</v>
      </c>
      <c r="F97" s="660" t="str">
        <f t="shared" ca="1" si="47"/>
        <v>Per Unit</v>
      </c>
      <c r="G97" s="652">
        <f t="shared" ca="1" si="48"/>
        <v>56894</v>
      </c>
      <c r="H97" s="652">
        <f t="shared" ca="1" si="48"/>
        <v>56894</v>
      </c>
      <c r="I97" s="652">
        <f t="shared" ca="1" si="48"/>
        <v>13654.560000000001</v>
      </c>
      <c r="J97" s="652">
        <f t="shared" ca="1" si="48"/>
        <v>0</v>
      </c>
      <c r="K97" s="652">
        <f t="shared" ca="1" si="48"/>
        <v>0</v>
      </c>
      <c r="L97" s="652">
        <f t="shared" ca="1" si="48"/>
        <v>0</v>
      </c>
      <c r="M97" s="652">
        <f t="shared" ca="1" si="48"/>
        <v>0</v>
      </c>
      <c r="N97" s="652">
        <f t="shared" ca="1" si="48"/>
        <v>1052539</v>
      </c>
      <c r="O97" s="652">
        <f t="shared" ca="1" si="48"/>
        <v>1052539</v>
      </c>
      <c r="P97" s="652">
        <f t="shared" ca="1" si="48"/>
        <v>252609.36000000002</v>
      </c>
      <c r="Q97" s="652">
        <f t="shared" ca="1" si="48"/>
        <v>0</v>
      </c>
      <c r="R97" s="652">
        <f t="shared" ca="1" si="48"/>
        <v>0</v>
      </c>
      <c r="S97" s="652">
        <f t="shared" ca="1" si="48"/>
        <v>0</v>
      </c>
      <c r="T97" s="652">
        <f t="shared" ca="1" si="48"/>
        <v>0</v>
      </c>
      <c r="U97" s="652">
        <f t="shared" ca="1" si="45"/>
        <v>0</v>
      </c>
      <c r="V97" s="652">
        <f t="shared" ca="1" si="45"/>
        <v>0</v>
      </c>
      <c r="W97" s="652">
        <f t="shared" ca="1" si="45"/>
        <v>0</v>
      </c>
      <c r="X97" s="652">
        <f t="shared" ca="1" si="45"/>
        <v>0</v>
      </c>
      <c r="Y97" s="652">
        <f t="shared" ca="1" si="45"/>
        <v>0</v>
      </c>
      <c r="Z97" s="652">
        <f t="shared" ca="1" si="45"/>
        <v>0</v>
      </c>
      <c r="AA97" s="652">
        <f t="shared" ca="1" si="45"/>
        <v>0</v>
      </c>
      <c r="AB97" s="652">
        <f t="shared" ca="1" si="45"/>
        <v>739622</v>
      </c>
      <c r="AC97" s="652">
        <f t="shared" ca="1" si="45"/>
        <v>739622</v>
      </c>
      <c r="AD97" s="652">
        <f t="shared" ca="1" si="45"/>
        <v>177509.28000000003</v>
      </c>
      <c r="AE97" s="652">
        <f t="shared" ca="1" si="45"/>
        <v>0</v>
      </c>
      <c r="AF97" s="652">
        <f t="shared" ca="1" si="45"/>
        <v>0</v>
      </c>
      <c r="AG97" s="652">
        <f t="shared" ca="1" si="45"/>
        <v>0</v>
      </c>
      <c r="AH97" s="652">
        <f t="shared" ca="1" si="45"/>
        <v>0</v>
      </c>
      <c r="AI97" s="652">
        <f t="shared" ca="1" si="46"/>
        <v>36099512.126365066</v>
      </c>
      <c r="AJ97" s="652">
        <f t="shared" ca="1" si="46"/>
        <v>36099512.126365066</v>
      </c>
      <c r="AK97" s="652">
        <f t="shared" ca="1" si="46"/>
        <v>8663882.9103276171</v>
      </c>
      <c r="AL97" s="652">
        <f t="shared" ca="1" si="46"/>
        <v>0</v>
      </c>
      <c r="AM97" s="652">
        <f t="shared" ca="1" si="46"/>
        <v>0</v>
      </c>
      <c r="AN97" s="652">
        <f t="shared" ca="1" si="46"/>
        <v>0</v>
      </c>
      <c r="AO97" s="652">
        <f t="shared" ca="1" si="46"/>
        <v>0</v>
      </c>
      <c r="AP97" s="652">
        <f t="shared" ca="1" si="46"/>
        <v>0</v>
      </c>
      <c r="AQ97" s="652">
        <f t="shared" ca="1" si="46"/>
        <v>0</v>
      </c>
      <c r="AR97" s="652">
        <f t="shared" ca="1" si="46"/>
        <v>0</v>
      </c>
      <c r="AS97" s="652">
        <f t="shared" ca="1" si="46"/>
        <v>0</v>
      </c>
      <c r="AT97" s="652">
        <f t="shared" ca="1" si="46"/>
        <v>0</v>
      </c>
      <c r="AU97" s="652">
        <f t="shared" ca="1" si="46"/>
        <v>0</v>
      </c>
      <c r="AV97" s="652">
        <f t="shared" ca="1" si="46"/>
        <v>0</v>
      </c>
      <c r="AW97" s="652">
        <f t="shared" ca="1" si="44"/>
        <v>0</v>
      </c>
      <c r="AX97" s="652">
        <f t="shared" ca="1" si="44"/>
        <v>0</v>
      </c>
      <c r="AY97" s="652">
        <f t="shared" ca="1" si="44"/>
        <v>0</v>
      </c>
      <c r="AZ97" s="652">
        <f t="shared" ca="1" si="44"/>
        <v>0</v>
      </c>
      <c r="BA97" s="652">
        <f t="shared" ca="1" si="44"/>
        <v>0</v>
      </c>
      <c r="BB97" s="652">
        <f t="shared" ca="1" si="44"/>
        <v>0</v>
      </c>
      <c r="BC97" s="652">
        <f t="shared" ca="1" si="44"/>
        <v>0</v>
      </c>
      <c r="BD97" s="652">
        <f t="shared" ca="1" si="33"/>
        <v>127442.56</v>
      </c>
      <c r="BE97" s="652">
        <f t="shared" ca="1" si="44"/>
        <v>2357687.36</v>
      </c>
      <c r="BF97" s="652">
        <f t="shared" ca="1" si="44"/>
        <v>0</v>
      </c>
      <c r="BG97" s="652">
        <f t="shared" ca="1" si="44"/>
        <v>1656753.28</v>
      </c>
      <c r="BH97" s="652">
        <f t="shared" ca="1" si="44"/>
        <v>0</v>
      </c>
      <c r="BI97" s="652">
        <f t="shared" ca="1" si="44"/>
        <v>80862907.163057745</v>
      </c>
      <c r="BJ97" s="652">
        <f t="shared" ca="1" si="44"/>
        <v>0</v>
      </c>
      <c r="BK97" s="652">
        <f t="shared" ca="1" si="44"/>
        <v>0</v>
      </c>
    </row>
    <row r="98" spans="2:63">
      <c r="B98" s="662">
        <v>52</v>
      </c>
      <c r="C98" s="662" t="s">
        <v>63</v>
      </c>
      <c r="D98" s="660" t="str">
        <f t="shared" ca="1" si="47"/>
        <v>Wall Pack &amp; Canopy Fixtures ≤ 150W</v>
      </c>
      <c r="E98" s="660" t="str">
        <f t="shared" ca="1" si="47"/>
        <v>Any LED lamps or ballasts must also be ENERGY STAR® certified or listed on the Design Lights Consortium (DLC) qualified list.</v>
      </c>
      <c r="F98" s="660" t="str">
        <f t="shared" ca="1" si="47"/>
        <v>Per Unit</v>
      </c>
      <c r="G98" s="652">
        <f t="shared" ca="1" si="48"/>
        <v>9058</v>
      </c>
      <c r="H98" s="652">
        <f t="shared" ca="1" si="48"/>
        <v>9058</v>
      </c>
      <c r="I98" s="652">
        <f t="shared" ca="1" si="48"/>
        <v>2173.92</v>
      </c>
      <c r="J98" s="652">
        <f t="shared" ca="1" si="48"/>
        <v>0</v>
      </c>
      <c r="K98" s="652">
        <f t="shared" ca="1" si="48"/>
        <v>0</v>
      </c>
      <c r="L98" s="652">
        <f t="shared" ca="1" si="48"/>
        <v>0</v>
      </c>
      <c r="M98" s="652">
        <f t="shared" ca="1" si="48"/>
        <v>0</v>
      </c>
      <c r="N98" s="652">
        <f t="shared" ca="1" si="48"/>
        <v>5715598</v>
      </c>
      <c r="O98" s="652">
        <f t="shared" ca="1" si="48"/>
        <v>5715598</v>
      </c>
      <c r="P98" s="652">
        <f t="shared" ca="1" si="48"/>
        <v>1371743.52</v>
      </c>
      <c r="Q98" s="652">
        <f t="shared" ca="1" si="48"/>
        <v>0</v>
      </c>
      <c r="R98" s="652">
        <f t="shared" ca="1" si="48"/>
        <v>0</v>
      </c>
      <c r="S98" s="652">
        <f t="shared" ca="1" si="48"/>
        <v>0</v>
      </c>
      <c r="T98" s="652">
        <f t="shared" ca="1" si="48"/>
        <v>0</v>
      </c>
      <c r="U98" s="652">
        <f t="shared" ca="1" si="45"/>
        <v>-25954.189333333332</v>
      </c>
      <c r="V98" s="652">
        <f t="shared" ca="1" si="45"/>
        <v>-25954.189333333332</v>
      </c>
      <c r="W98" s="652">
        <f t="shared" ca="1" si="45"/>
        <v>-6229.0054399999999</v>
      </c>
      <c r="X98" s="652">
        <f t="shared" ca="1" si="45"/>
        <v>0</v>
      </c>
      <c r="Y98" s="652">
        <f t="shared" ca="1" si="45"/>
        <v>0</v>
      </c>
      <c r="Z98" s="652">
        <f t="shared" ca="1" si="45"/>
        <v>0</v>
      </c>
      <c r="AA98" s="652">
        <f t="shared" ca="1" si="45"/>
        <v>0</v>
      </c>
      <c r="AB98" s="652">
        <f t="shared" ca="1" si="45"/>
        <v>181160</v>
      </c>
      <c r="AC98" s="652">
        <f t="shared" ca="1" si="45"/>
        <v>181160</v>
      </c>
      <c r="AD98" s="652">
        <f t="shared" ca="1" si="45"/>
        <v>43478.400000000001</v>
      </c>
      <c r="AE98" s="652">
        <f t="shared" ca="1" si="45"/>
        <v>0</v>
      </c>
      <c r="AF98" s="652">
        <f t="shared" ca="1" si="45"/>
        <v>0</v>
      </c>
      <c r="AG98" s="652">
        <f t="shared" ca="1" si="45"/>
        <v>0</v>
      </c>
      <c r="AH98" s="652">
        <f t="shared" ca="1" si="45"/>
        <v>0</v>
      </c>
      <c r="AI98" s="652">
        <f t="shared" ca="1" si="46"/>
        <v>4218971.8339999998</v>
      </c>
      <c r="AJ98" s="652">
        <f t="shared" ca="1" si="46"/>
        <v>4218971.8339999998</v>
      </c>
      <c r="AK98" s="652">
        <f t="shared" ca="1" si="46"/>
        <v>1012553.2401599999</v>
      </c>
      <c r="AL98" s="652">
        <f t="shared" ca="1" si="46"/>
        <v>0</v>
      </c>
      <c r="AM98" s="652">
        <f t="shared" ca="1" si="46"/>
        <v>0</v>
      </c>
      <c r="AN98" s="652">
        <f t="shared" ca="1" si="46"/>
        <v>0</v>
      </c>
      <c r="AO98" s="652">
        <f t="shared" ca="1" si="46"/>
        <v>0</v>
      </c>
      <c r="AP98" s="652">
        <f t="shared" ca="1" si="46"/>
        <v>348.733</v>
      </c>
      <c r="AQ98" s="652">
        <f t="shared" ca="1" si="46"/>
        <v>348.733</v>
      </c>
      <c r="AR98" s="652">
        <f t="shared" ca="1" si="46"/>
        <v>83.695920000000001</v>
      </c>
      <c r="AS98" s="652">
        <f t="shared" ca="1" si="46"/>
        <v>0</v>
      </c>
      <c r="AT98" s="652">
        <f t="shared" ca="1" si="46"/>
        <v>0</v>
      </c>
      <c r="AU98" s="652">
        <f t="shared" ca="1" si="46"/>
        <v>0</v>
      </c>
      <c r="AV98" s="652">
        <f t="shared" ca="1" si="46"/>
        <v>0</v>
      </c>
      <c r="AW98" s="652">
        <f t="shared" ca="1" si="44"/>
        <v>0</v>
      </c>
      <c r="AX98" s="652">
        <f t="shared" ca="1" si="44"/>
        <v>0</v>
      </c>
      <c r="AY98" s="652">
        <f t="shared" ca="1" si="44"/>
        <v>0</v>
      </c>
      <c r="AZ98" s="652">
        <f t="shared" ca="1" si="44"/>
        <v>0</v>
      </c>
      <c r="BA98" s="652">
        <f t="shared" ca="1" si="44"/>
        <v>0</v>
      </c>
      <c r="BB98" s="652">
        <f t="shared" ca="1" si="44"/>
        <v>0</v>
      </c>
      <c r="BC98" s="652">
        <f t="shared" ca="1" si="44"/>
        <v>0</v>
      </c>
      <c r="BD98" s="652">
        <f t="shared" ca="1" si="33"/>
        <v>20289.919999999998</v>
      </c>
      <c r="BE98" s="652">
        <f t="shared" ca="1" si="44"/>
        <v>12802939.52</v>
      </c>
      <c r="BF98" s="652">
        <f t="shared" ca="1" si="44"/>
        <v>-58137.384106666665</v>
      </c>
      <c r="BG98" s="652">
        <f t="shared" ca="1" si="44"/>
        <v>405798.40000000002</v>
      </c>
      <c r="BH98" s="652">
        <f t="shared" ca="1" si="44"/>
        <v>0</v>
      </c>
      <c r="BI98" s="652">
        <f t="shared" ca="1" si="44"/>
        <v>9450496.9081599992</v>
      </c>
      <c r="BJ98" s="652">
        <f t="shared" ca="1" si="44"/>
        <v>781.16192000000001</v>
      </c>
      <c r="BK98" s="652">
        <f t="shared" ca="1" si="44"/>
        <v>0</v>
      </c>
    </row>
    <row r="99" spans="2:63">
      <c r="B99" s="662">
        <v>53</v>
      </c>
      <c r="C99" s="662" t="s">
        <v>63</v>
      </c>
      <c r="D99" s="660" t="str">
        <f t="shared" ca="1" si="47"/>
        <v>Wall Pack &amp; Canopy Fixtures &gt; 150W</v>
      </c>
      <c r="E99" s="660" t="str">
        <f t="shared" ca="1" si="47"/>
        <v>Any LED lamps or ballasts must also be ENERGY STAR® certified or listed on the Design Lights Consortium (DLC) qualified list.</v>
      </c>
      <c r="F99" s="660" t="str">
        <f t="shared" ca="1" si="47"/>
        <v>Per Unit</v>
      </c>
      <c r="G99" s="652">
        <f t="shared" ca="1" si="48"/>
        <v>1</v>
      </c>
      <c r="H99" s="652">
        <f t="shared" ca="1" si="48"/>
        <v>1</v>
      </c>
      <c r="I99" s="652">
        <f t="shared" ca="1" si="48"/>
        <v>0.24</v>
      </c>
      <c r="J99" s="652">
        <f t="shared" ca="1" si="48"/>
        <v>0</v>
      </c>
      <c r="K99" s="652">
        <f t="shared" ca="1" si="48"/>
        <v>0</v>
      </c>
      <c r="L99" s="652">
        <f t="shared" ca="1" si="48"/>
        <v>0</v>
      </c>
      <c r="M99" s="652">
        <f t="shared" ca="1" si="48"/>
        <v>0</v>
      </c>
      <c r="N99" s="652">
        <f t="shared" ca="1" si="48"/>
        <v>1846</v>
      </c>
      <c r="O99" s="652">
        <f t="shared" ca="1" si="48"/>
        <v>1846</v>
      </c>
      <c r="P99" s="652">
        <f t="shared" ca="1" si="48"/>
        <v>443.03999999999996</v>
      </c>
      <c r="Q99" s="652">
        <f t="shared" ca="1" si="48"/>
        <v>0</v>
      </c>
      <c r="R99" s="652">
        <f t="shared" ca="1" si="48"/>
        <v>0</v>
      </c>
      <c r="S99" s="652">
        <f t="shared" ca="1" si="48"/>
        <v>0</v>
      </c>
      <c r="T99" s="652">
        <f t="shared" ca="1" si="48"/>
        <v>0</v>
      </c>
      <c r="U99" s="652">
        <f t="shared" ca="1" si="45"/>
        <v>-2.8653333333333331</v>
      </c>
      <c r="V99" s="652">
        <f t="shared" ca="1" si="45"/>
        <v>-2.8653333333333331</v>
      </c>
      <c r="W99" s="652">
        <f t="shared" ca="1" si="45"/>
        <v>-0.68767999999999996</v>
      </c>
      <c r="X99" s="652">
        <f t="shared" ca="1" si="45"/>
        <v>0</v>
      </c>
      <c r="Y99" s="652">
        <f t="shared" ca="1" si="45"/>
        <v>0</v>
      </c>
      <c r="Z99" s="652">
        <f t="shared" ca="1" si="45"/>
        <v>0</v>
      </c>
      <c r="AA99" s="652">
        <f t="shared" ca="1" si="45"/>
        <v>0</v>
      </c>
      <c r="AB99" s="652">
        <f t="shared" ca="1" si="45"/>
        <v>30</v>
      </c>
      <c r="AC99" s="652">
        <f t="shared" ca="1" si="45"/>
        <v>30</v>
      </c>
      <c r="AD99" s="652">
        <f t="shared" ca="1" si="45"/>
        <v>7.1999999999999993</v>
      </c>
      <c r="AE99" s="652">
        <f t="shared" ca="1" si="45"/>
        <v>0</v>
      </c>
      <c r="AF99" s="652">
        <f t="shared" ca="1" si="45"/>
        <v>0</v>
      </c>
      <c r="AG99" s="652">
        <f t="shared" ca="1" si="45"/>
        <v>0</v>
      </c>
      <c r="AH99" s="652">
        <f t="shared" ca="1" si="45"/>
        <v>0</v>
      </c>
      <c r="AI99" s="652">
        <f t="shared" ca="1" si="46"/>
        <v>998.08500000000004</v>
      </c>
      <c r="AJ99" s="652">
        <f t="shared" ca="1" si="46"/>
        <v>998.08500000000004</v>
      </c>
      <c r="AK99" s="652">
        <f t="shared" ca="1" si="46"/>
        <v>239.54040000000001</v>
      </c>
      <c r="AL99" s="652">
        <f t="shared" ca="1" si="46"/>
        <v>0</v>
      </c>
      <c r="AM99" s="652">
        <f t="shared" ca="1" si="46"/>
        <v>0</v>
      </c>
      <c r="AN99" s="652">
        <f t="shared" ca="1" si="46"/>
        <v>0</v>
      </c>
      <c r="AO99" s="652">
        <f t="shared" ca="1" si="46"/>
        <v>0</v>
      </c>
      <c r="AP99" s="652">
        <f t="shared" ca="1" si="46"/>
        <v>8.2500000000000004E-2</v>
      </c>
      <c r="AQ99" s="652">
        <f t="shared" ca="1" si="46"/>
        <v>8.2500000000000004E-2</v>
      </c>
      <c r="AR99" s="652">
        <f t="shared" ca="1" si="46"/>
        <v>1.9800000000000002E-2</v>
      </c>
      <c r="AS99" s="652">
        <f t="shared" ca="1" si="46"/>
        <v>0</v>
      </c>
      <c r="AT99" s="652">
        <f t="shared" ca="1" si="46"/>
        <v>0</v>
      </c>
      <c r="AU99" s="652">
        <f t="shared" ca="1" si="46"/>
        <v>0</v>
      </c>
      <c r="AV99" s="652">
        <f t="shared" ca="1" si="46"/>
        <v>0</v>
      </c>
      <c r="AW99" s="652">
        <f t="shared" ca="1" si="44"/>
        <v>0</v>
      </c>
      <c r="AX99" s="652">
        <f t="shared" ca="1" si="44"/>
        <v>0</v>
      </c>
      <c r="AY99" s="652">
        <f t="shared" ca="1" si="44"/>
        <v>0</v>
      </c>
      <c r="AZ99" s="652">
        <f t="shared" ca="1" si="44"/>
        <v>0</v>
      </c>
      <c r="BA99" s="652">
        <f t="shared" ca="1" si="44"/>
        <v>0</v>
      </c>
      <c r="BB99" s="652">
        <f t="shared" ca="1" si="44"/>
        <v>0</v>
      </c>
      <c r="BC99" s="652">
        <f t="shared" ca="1" si="44"/>
        <v>0</v>
      </c>
      <c r="BD99" s="652">
        <f t="shared" ca="1" si="33"/>
        <v>2.2400000000000002</v>
      </c>
      <c r="BE99" s="652">
        <f t="shared" ca="1" si="44"/>
        <v>4135.04</v>
      </c>
      <c r="BF99" s="652">
        <f t="shared" ca="1" si="44"/>
        <v>-6.4183466666666664</v>
      </c>
      <c r="BG99" s="652">
        <f t="shared" ca="1" si="44"/>
        <v>67.2</v>
      </c>
      <c r="BH99" s="652">
        <f t="shared" ca="1" si="44"/>
        <v>0</v>
      </c>
      <c r="BI99" s="652">
        <f t="shared" ca="1" si="44"/>
        <v>2235.7103999999999</v>
      </c>
      <c r="BJ99" s="652">
        <f t="shared" ca="1" si="44"/>
        <v>0.18480000000000002</v>
      </c>
      <c r="BK99" s="652">
        <f t="shared" ca="1" si="44"/>
        <v>0</v>
      </c>
    </row>
    <row r="100" spans="2:63">
      <c r="B100" s="662">
        <v>54</v>
      </c>
      <c r="C100" s="662" t="s">
        <v>63</v>
      </c>
      <c r="D100" s="660" t="str">
        <f t="shared" ca="1" si="47"/>
        <v>Small Business Kits</v>
      </c>
      <c r="E100" s="660" t="str">
        <f t="shared" ca="1" si="47"/>
        <v>Small Business Kits</v>
      </c>
      <c r="F100" s="660" t="str">
        <f t="shared" ca="1" si="47"/>
        <v>Per Unit</v>
      </c>
      <c r="G100" s="652">
        <f t="shared" ca="1" si="48"/>
        <v>0</v>
      </c>
      <c r="H100" s="652">
        <f t="shared" ca="1" si="48"/>
        <v>0</v>
      </c>
      <c r="I100" s="652">
        <f t="shared" ca="1" si="48"/>
        <v>0</v>
      </c>
      <c r="J100" s="652">
        <f t="shared" ca="1" si="48"/>
        <v>0</v>
      </c>
      <c r="K100" s="652">
        <f t="shared" ca="1" si="48"/>
        <v>0</v>
      </c>
      <c r="L100" s="652">
        <f t="shared" ca="1" si="48"/>
        <v>0</v>
      </c>
      <c r="M100" s="652">
        <f t="shared" ca="1" si="48"/>
        <v>0</v>
      </c>
      <c r="N100" s="652">
        <f t="shared" ca="1" si="48"/>
        <v>0</v>
      </c>
      <c r="O100" s="652">
        <f t="shared" ca="1" si="48"/>
        <v>0</v>
      </c>
      <c r="P100" s="652">
        <f t="shared" ca="1" si="48"/>
        <v>0</v>
      </c>
      <c r="Q100" s="652">
        <f t="shared" ca="1" si="48"/>
        <v>0</v>
      </c>
      <c r="R100" s="652">
        <f t="shared" ca="1" si="48"/>
        <v>0</v>
      </c>
      <c r="S100" s="652">
        <f t="shared" ca="1" si="48"/>
        <v>0</v>
      </c>
      <c r="T100" s="652">
        <f t="shared" ca="1" si="48"/>
        <v>0</v>
      </c>
      <c r="U100" s="652">
        <f t="shared" ca="1" si="45"/>
        <v>0</v>
      </c>
      <c r="V100" s="652">
        <f t="shared" ca="1" si="45"/>
        <v>0</v>
      </c>
      <c r="W100" s="652">
        <f t="shared" ca="1" si="45"/>
        <v>0</v>
      </c>
      <c r="X100" s="652">
        <f t="shared" ca="1" si="45"/>
        <v>0</v>
      </c>
      <c r="Y100" s="652">
        <f t="shared" ca="1" si="45"/>
        <v>0</v>
      </c>
      <c r="Z100" s="652">
        <f t="shared" ca="1" si="45"/>
        <v>0</v>
      </c>
      <c r="AA100" s="652">
        <f t="shared" ca="1" si="45"/>
        <v>0</v>
      </c>
      <c r="AB100" s="652">
        <f t="shared" ca="1" si="45"/>
        <v>0</v>
      </c>
      <c r="AC100" s="652">
        <f t="shared" ca="1" si="45"/>
        <v>0</v>
      </c>
      <c r="AD100" s="652">
        <f t="shared" ca="1" si="45"/>
        <v>0</v>
      </c>
      <c r="AE100" s="652">
        <f t="shared" ca="1" si="45"/>
        <v>0</v>
      </c>
      <c r="AF100" s="652">
        <f t="shared" ca="1" si="45"/>
        <v>0</v>
      </c>
      <c r="AG100" s="652">
        <f t="shared" ca="1" si="45"/>
        <v>0</v>
      </c>
      <c r="AH100" s="652">
        <f t="shared" ca="1" si="45"/>
        <v>0</v>
      </c>
      <c r="AI100" s="652">
        <f t="shared" ca="1" si="46"/>
        <v>0</v>
      </c>
      <c r="AJ100" s="652">
        <f t="shared" ca="1" si="46"/>
        <v>0</v>
      </c>
      <c r="AK100" s="652">
        <f t="shared" ca="1" si="46"/>
        <v>0</v>
      </c>
      <c r="AL100" s="652">
        <f t="shared" ca="1" si="46"/>
        <v>0</v>
      </c>
      <c r="AM100" s="652">
        <f t="shared" ca="1" si="46"/>
        <v>0</v>
      </c>
      <c r="AN100" s="652">
        <f t="shared" ca="1" si="46"/>
        <v>0</v>
      </c>
      <c r="AO100" s="652">
        <f t="shared" ca="1" si="46"/>
        <v>0</v>
      </c>
      <c r="AP100" s="652">
        <f t="shared" ca="1" si="46"/>
        <v>0</v>
      </c>
      <c r="AQ100" s="652">
        <f t="shared" ca="1" si="46"/>
        <v>0</v>
      </c>
      <c r="AR100" s="652">
        <f t="shared" ca="1" si="46"/>
        <v>0</v>
      </c>
      <c r="AS100" s="652">
        <f t="shared" ca="1" si="46"/>
        <v>0</v>
      </c>
      <c r="AT100" s="652">
        <f t="shared" ca="1" si="46"/>
        <v>0</v>
      </c>
      <c r="AU100" s="652">
        <f t="shared" ca="1" si="46"/>
        <v>0</v>
      </c>
      <c r="AV100" s="652">
        <f t="shared" ca="1" si="46"/>
        <v>0</v>
      </c>
      <c r="AW100" s="652">
        <f t="shared" ca="1" si="44"/>
        <v>0</v>
      </c>
      <c r="AX100" s="652">
        <f t="shared" ca="1" si="44"/>
        <v>0</v>
      </c>
      <c r="AY100" s="652">
        <f t="shared" ca="1" si="44"/>
        <v>0</v>
      </c>
      <c r="AZ100" s="652">
        <f t="shared" ca="1" si="44"/>
        <v>0</v>
      </c>
      <c r="BA100" s="652">
        <f t="shared" ca="1" si="44"/>
        <v>0</v>
      </c>
      <c r="BB100" s="652">
        <f t="shared" ca="1" si="44"/>
        <v>0</v>
      </c>
      <c r="BC100" s="652">
        <f t="shared" ca="1" si="44"/>
        <v>0</v>
      </c>
      <c r="BD100" s="652">
        <f t="shared" ca="1" si="33"/>
        <v>0</v>
      </c>
      <c r="BE100" s="652">
        <f t="shared" ca="1" si="44"/>
        <v>0</v>
      </c>
      <c r="BF100" s="652">
        <f t="shared" ca="1" si="44"/>
        <v>0</v>
      </c>
      <c r="BG100" s="652">
        <f t="shared" ca="1" si="44"/>
        <v>0</v>
      </c>
      <c r="BH100" s="652">
        <f t="shared" ca="1" si="44"/>
        <v>0</v>
      </c>
      <c r="BI100" s="652">
        <f t="shared" ca="1" si="44"/>
        <v>0</v>
      </c>
      <c r="BJ100" s="652">
        <f t="shared" ca="1" si="44"/>
        <v>0</v>
      </c>
      <c r="BK100" s="652">
        <f t="shared" ca="1" si="44"/>
        <v>0</v>
      </c>
    </row>
    <row r="101" spans="2:63">
      <c r="B101" s="662">
        <v>55</v>
      </c>
      <c r="C101" s="662" t="s">
        <v>63</v>
      </c>
      <c r="D101" s="660" t="str">
        <f t="shared" ca="1" si="47"/>
        <v>LED Pole Light ≤ 250W</v>
      </c>
      <c r="E101" s="660" t="str">
        <f t="shared" ca="1" si="47"/>
        <v>Any LED lamps or ballasts must also be ENERGY STAR® certified or listed on the Design Lights Consortium (DLC) qualified list.</v>
      </c>
      <c r="F101" s="660" t="str">
        <f t="shared" ca="1" si="47"/>
        <v>Per Unit</v>
      </c>
      <c r="G101" s="652">
        <f t="shared" ca="1" si="48"/>
        <v>0</v>
      </c>
      <c r="H101" s="652">
        <f t="shared" ca="1" si="48"/>
        <v>0</v>
      </c>
      <c r="I101" s="652">
        <f t="shared" ca="1" si="48"/>
        <v>0</v>
      </c>
      <c r="J101" s="652">
        <f t="shared" ca="1" si="48"/>
        <v>0</v>
      </c>
      <c r="K101" s="652">
        <f t="shared" ca="1" si="48"/>
        <v>0</v>
      </c>
      <c r="L101" s="652">
        <f t="shared" ca="1" si="48"/>
        <v>0</v>
      </c>
      <c r="M101" s="652">
        <f t="shared" ca="1" si="48"/>
        <v>0</v>
      </c>
      <c r="N101" s="652">
        <f t="shared" ca="1" si="48"/>
        <v>0</v>
      </c>
      <c r="O101" s="652">
        <f t="shared" ca="1" si="48"/>
        <v>0</v>
      </c>
      <c r="P101" s="652">
        <f t="shared" ca="1" si="48"/>
        <v>0</v>
      </c>
      <c r="Q101" s="652">
        <f t="shared" ca="1" si="48"/>
        <v>0</v>
      </c>
      <c r="R101" s="652">
        <f t="shared" ca="1" si="48"/>
        <v>0</v>
      </c>
      <c r="S101" s="652">
        <f t="shared" ca="1" si="48"/>
        <v>0</v>
      </c>
      <c r="T101" s="652">
        <f t="shared" ca="1" si="48"/>
        <v>0</v>
      </c>
      <c r="U101" s="652">
        <f t="shared" ca="1" si="45"/>
        <v>0</v>
      </c>
      <c r="V101" s="652">
        <f t="shared" ca="1" si="45"/>
        <v>0</v>
      </c>
      <c r="W101" s="652">
        <f t="shared" ca="1" si="45"/>
        <v>0</v>
      </c>
      <c r="X101" s="652">
        <f t="shared" ca="1" si="45"/>
        <v>0</v>
      </c>
      <c r="Y101" s="652">
        <f t="shared" ca="1" si="45"/>
        <v>0</v>
      </c>
      <c r="Z101" s="652">
        <f t="shared" ca="1" si="45"/>
        <v>0</v>
      </c>
      <c r="AA101" s="652">
        <f t="shared" ca="1" si="45"/>
        <v>0</v>
      </c>
      <c r="AB101" s="652">
        <f t="shared" ca="1" si="45"/>
        <v>0</v>
      </c>
      <c r="AC101" s="652">
        <f t="shared" ca="1" si="45"/>
        <v>0</v>
      </c>
      <c r="AD101" s="652">
        <f t="shared" ca="1" si="45"/>
        <v>0</v>
      </c>
      <c r="AE101" s="652">
        <f t="shared" ca="1" si="45"/>
        <v>0</v>
      </c>
      <c r="AF101" s="652">
        <f t="shared" ca="1" si="45"/>
        <v>0</v>
      </c>
      <c r="AG101" s="652">
        <f t="shared" ca="1" si="45"/>
        <v>0</v>
      </c>
      <c r="AH101" s="652">
        <f t="shared" ca="1" si="45"/>
        <v>0</v>
      </c>
      <c r="AI101" s="652">
        <f t="shared" ca="1" si="46"/>
        <v>0</v>
      </c>
      <c r="AJ101" s="652">
        <f t="shared" ca="1" si="46"/>
        <v>0</v>
      </c>
      <c r="AK101" s="652">
        <f t="shared" ca="1" si="46"/>
        <v>0</v>
      </c>
      <c r="AL101" s="652">
        <f t="shared" ca="1" si="46"/>
        <v>0</v>
      </c>
      <c r="AM101" s="652">
        <f t="shared" ca="1" si="46"/>
        <v>0</v>
      </c>
      <c r="AN101" s="652">
        <f t="shared" ca="1" si="46"/>
        <v>0</v>
      </c>
      <c r="AO101" s="652">
        <f t="shared" ca="1" si="46"/>
        <v>0</v>
      </c>
      <c r="AP101" s="652">
        <f t="shared" ca="1" si="46"/>
        <v>0</v>
      </c>
      <c r="AQ101" s="652">
        <f t="shared" ca="1" si="46"/>
        <v>0</v>
      </c>
      <c r="AR101" s="652">
        <f t="shared" ca="1" si="46"/>
        <v>0</v>
      </c>
      <c r="AS101" s="652">
        <f t="shared" ca="1" si="46"/>
        <v>0</v>
      </c>
      <c r="AT101" s="652">
        <f t="shared" ca="1" si="46"/>
        <v>0</v>
      </c>
      <c r="AU101" s="652">
        <f t="shared" ca="1" si="46"/>
        <v>0</v>
      </c>
      <c r="AV101" s="652">
        <f t="shared" ca="1" si="46"/>
        <v>0</v>
      </c>
      <c r="AW101" s="652">
        <f t="shared" ca="1" si="44"/>
        <v>0</v>
      </c>
      <c r="AX101" s="652">
        <f t="shared" ca="1" si="44"/>
        <v>0</v>
      </c>
      <c r="AY101" s="652">
        <f t="shared" ca="1" si="44"/>
        <v>0</v>
      </c>
      <c r="AZ101" s="652">
        <f t="shared" ca="1" si="44"/>
        <v>0</v>
      </c>
      <c r="BA101" s="652">
        <f t="shared" ca="1" si="44"/>
        <v>0</v>
      </c>
      <c r="BB101" s="652">
        <f t="shared" ca="1" si="44"/>
        <v>0</v>
      </c>
      <c r="BC101" s="652">
        <f t="shared" ca="1" si="44"/>
        <v>0</v>
      </c>
      <c r="BD101" s="652">
        <f t="shared" ca="1" si="33"/>
        <v>0</v>
      </c>
      <c r="BE101" s="652">
        <f t="shared" ca="1" si="44"/>
        <v>0</v>
      </c>
      <c r="BF101" s="652">
        <f t="shared" ca="1" si="44"/>
        <v>0</v>
      </c>
      <c r="BG101" s="652">
        <f t="shared" ca="1" si="44"/>
        <v>0</v>
      </c>
      <c r="BH101" s="652">
        <f t="shared" ca="1" si="44"/>
        <v>0</v>
      </c>
      <c r="BI101" s="652">
        <f t="shared" ca="1" si="44"/>
        <v>0</v>
      </c>
      <c r="BJ101" s="652">
        <f t="shared" ca="1" si="44"/>
        <v>0</v>
      </c>
      <c r="BK101" s="652">
        <f t="shared" ca="1" si="44"/>
        <v>0</v>
      </c>
    </row>
    <row r="102" spans="2:63">
      <c r="B102" s="662">
        <v>56</v>
      </c>
      <c r="C102" s="662" t="s">
        <v>63</v>
      </c>
      <c r="D102" s="660" t="str">
        <f t="shared" ca="1" si="47"/>
        <v>LED Pole Light &gt; 250W</v>
      </c>
      <c r="E102" s="660" t="str">
        <f t="shared" ca="1" si="47"/>
        <v>Any LED lamps or ballasts must also be ENERGY STAR® certified or listed on the Design Lights Consortium (DLC) qualified list.</v>
      </c>
      <c r="F102" s="660" t="str">
        <f t="shared" ca="1" si="47"/>
        <v>Per Unit</v>
      </c>
      <c r="G102" s="652">
        <f t="shared" ca="1" si="48"/>
        <v>751</v>
      </c>
      <c r="H102" s="652">
        <f t="shared" ca="1" si="48"/>
        <v>751</v>
      </c>
      <c r="I102" s="652">
        <f t="shared" ca="1" si="48"/>
        <v>751</v>
      </c>
      <c r="J102" s="652">
        <f t="shared" ca="1" si="48"/>
        <v>751</v>
      </c>
      <c r="K102" s="652">
        <f t="shared" ca="1" si="48"/>
        <v>751</v>
      </c>
      <c r="L102" s="652">
        <f t="shared" ca="1" si="48"/>
        <v>751</v>
      </c>
      <c r="M102" s="652">
        <f t="shared" ca="1" si="48"/>
        <v>751</v>
      </c>
      <c r="N102" s="652">
        <f t="shared" ca="1" si="48"/>
        <v>563250</v>
      </c>
      <c r="O102" s="652">
        <f t="shared" ca="1" si="48"/>
        <v>563250</v>
      </c>
      <c r="P102" s="652">
        <f t="shared" ca="1" si="48"/>
        <v>563250</v>
      </c>
      <c r="Q102" s="652">
        <f t="shared" ca="1" si="48"/>
        <v>563250</v>
      </c>
      <c r="R102" s="652">
        <f t="shared" ca="1" si="48"/>
        <v>563250</v>
      </c>
      <c r="S102" s="652">
        <f t="shared" ca="1" si="48"/>
        <v>563250</v>
      </c>
      <c r="T102" s="652">
        <f t="shared" ca="1" si="48"/>
        <v>563250</v>
      </c>
      <c r="U102" s="652">
        <f t="shared" ca="1" si="45"/>
        <v>-1524.5299999999997</v>
      </c>
      <c r="V102" s="652">
        <f t="shared" ca="1" si="45"/>
        <v>-1524.5299999999997</v>
      </c>
      <c r="W102" s="652">
        <f t="shared" ca="1" si="45"/>
        <v>-1524.5299999999997</v>
      </c>
      <c r="X102" s="652">
        <f t="shared" ca="1" si="45"/>
        <v>-1524.5299999999997</v>
      </c>
      <c r="Y102" s="652">
        <f t="shared" ca="1" si="45"/>
        <v>-1524.5299999999997</v>
      </c>
      <c r="Z102" s="652">
        <f t="shared" ca="1" si="45"/>
        <v>-1524.5299999999997</v>
      </c>
      <c r="AA102" s="652">
        <f t="shared" ca="1" si="45"/>
        <v>-1524.5299999999997</v>
      </c>
      <c r="AB102" s="652">
        <f t="shared" ca="1" si="45"/>
        <v>41305</v>
      </c>
      <c r="AC102" s="652">
        <f t="shared" ca="1" si="45"/>
        <v>41305</v>
      </c>
      <c r="AD102" s="652">
        <f t="shared" ca="1" si="45"/>
        <v>41305</v>
      </c>
      <c r="AE102" s="652">
        <f t="shared" ca="1" si="45"/>
        <v>41305</v>
      </c>
      <c r="AF102" s="652">
        <f t="shared" ca="1" si="45"/>
        <v>41305</v>
      </c>
      <c r="AG102" s="652">
        <f t="shared" ca="1" si="45"/>
        <v>41305</v>
      </c>
      <c r="AH102" s="652">
        <f t="shared" ca="1" si="45"/>
        <v>41305</v>
      </c>
      <c r="AI102" s="652">
        <f t="shared" ca="1" si="46"/>
        <v>715702.24899999995</v>
      </c>
      <c r="AJ102" s="652">
        <f t="shared" ca="1" si="46"/>
        <v>715702.24899999995</v>
      </c>
      <c r="AK102" s="652">
        <f t="shared" ca="1" si="46"/>
        <v>715702.24899999995</v>
      </c>
      <c r="AL102" s="652">
        <f t="shared" ca="1" si="46"/>
        <v>715702.24899999995</v>
      </c>
      <c r="AM102" s="652">
        <f t="shared" ca="1" si="46"/>
        <v>715702.24899999995</v>
      </c>
      <c r="AN102" s="652">
        <f t="shared" ca="1" si="46"/>
        <v>715702.24899999995</v>
      </c>
      <c r="AO102" s="652">
        <f t="shared" ca="1" si="46"/>
        <v>715702.24899999995</v>
      </c>
      <c r="AP102" s="652">
        <f t="shared" ca="1" si="46"/>
        <v>0</v>
      </c>
      <c r="AQ102" s="652">
        <f t="shared" ca="1" si="46"/>
        <v>0</v>
      </c>
      <c r="AR102" s="652">
        <f t="shared" ca="1" si="46"/>
        <v>0</v>
      </c>
      <c r="AS102" s="652">
        <f t="shared" ca="1" si="46"/>
        <v>0</v>
      </c>
      <c r="AT102" s="652">
        <f t="shared" ca="1" si="46"/>
        <v>0</v>
      </c>
      <c r="AU102" s="652">
        <f t="shared" ca="1" si="46"/>
        <v>0</v>
      </c>
      <c r="AV102" s="652">
        <f t="shared" ca="1" si="46"/>
        <v>0</v>
      </c>
      <c r="AW102" s="652">
        <f t="shared" ca="1" si="44"/>
        <v>0</v>
      </c>
      <c r="AX102" s="652">
        <f t="shared" ca="1" si="44"/>
        <v>0</v>
      </c>
      <c r="AY102" s="652">
        <f t="shared" ca="1" si="44"/>
        <v>0</v>
      </c>
      <c r="AZ102" s="652">
        <f t="shared" ca="1" si="44"/>
        <v>0</v>
      </c>
      <c r="BA102" s="652">
        <f t="shared" ca="1" si="44"/>
        <v>0</v>
      </c>
      <c r="BB102" s="652">
        <f t="shared" ca="1" si="44"/>
        <v>0</v>
      </c>
      <c r="BC102" s="652">
        <f t="shared" ca="1" si="44"/>
        <v>0</v>
      </c>
      <c r="BD102" s="652">
        <f t="shared" ca="1" si="33"/>
        <v>5257</v>
      </c>
      <c r="BE102" s="652">
        <f t="shared" ca="1" si="44"/>
        <v>3942750</v>
      </c>
      <c r="BF102" s="652">
        <f t="shared" ca="1" si="44"/>
        <v>-10671.71</v>
      </c>
      <c r="BG102" s="652">
        <f t="shared" ca="1" si="44"/>
        <v>289135</v>
      </c>
      <c r="BH102" s="652">
        <f t="shared" ca="1" si="44"/>
        <v>0</v>
      </c>
      <c r="BI102" s="652">
        <f t="shared" ca="1" si="44"/>
        <v>5009915.7429999998</v>
      </c>
      <c r="BJ102" s="652">
        <f t="shared" ca="1" si="44"/>
        <v>0</v>
      </c>
      <c r="BK102" s="652">
        <f t="shared" ca="1" si="44"/>
        <v>0</v>
      </c>
    </row>
    <row r="103" spans="2:63">
      <c r="B103" s="661">
        <v>1</v>
      </c>
      <c r="C103" s="662" t="s">
        <v>64</v>
      </c>
      <c r="D103" s="660" t="str">
        <f t="shared" ca="1" si="47"/>
        <v>Small Business Audit - On Site</v>
      </c>
      <c r="E103" s="660" t="str">
        <f t="shared" ca="1" si="47"/>
        <v>In person audit with no cost to customer</v>
      </c>
      <c r="F103" s="660" t="str">
        <f t="shared" ca="1" si="47"/>
        <v>Per Audit</v>
      </c>
      <c r="G103" s="652">
        <f t="shared" ca="1" si="48"/>
        <v>100</v>
      </c>
      <c r="H103" s="652">
        <f t="shared" ca="1" si="48"/>
        <v>200</v>
      </c>
      <c r="I103" s="652">
        <f t="shared" ca="1" si="48"/>
        <v>200</v>
      </c>
      <c r="J103" s="652">
        <f t="shared" ca="1" si="48"/>
        <v>200</v>
      </c>
      <c r="K103" s="652">
        <f t="shared" ca="1" si="48"/>
        <v>200</v>
      </c>
      <c r="L103" s="652">
        <f t="shared" ca="1" si="48"/>
        <v>200</v>
      </c>
      <c r="M103" s="652">
        <f t="shared" ca="1" si="48"/>
        <v>200</v>
      </c>
      <c r="N103" s="652">
        <f t="shared" ca="1" si="48"/>
        <v>0</v>
      </c>
      <c r="O103" s="652">
        <f t="shared" ca="1" si="48"/>
        <v>0</v>
      </c>
      <c r="P103" s="652">
        <f t="shared" ca="1" si="48"/>
        <v>0</v>
      </c>
      <c r="Q103" s="652">
        <f t="shared" ca="1" si="48"/>
        <v>0</v>
      </c>
      <c r="R103" s="652">
        <f t="shared" ca="1" si="48"/>
        <v>0</v>
      </c>
      <c r="S103" s="652">
        <f t="shared" ca="1" si="48"/>
        <v>0</v>
      </c>
      <c r="T103" s="652">
        <f t="shared" ca="1" si="48"/>
        <v>0</v>
      </c>
      <c r="U103" s="652">
        <f t="shared" ca="1" si="45"/>
        <v>0</v>
      </c>
      <c r="V103" s="652">
        <f t="shared" ca="1" si="45"/>
        <v>0</v>
      </c>
      <c r="W103" s="652">
        <f t="shared" ca="1" si="45"/>
        <v>0</v>
      </c>
      <c r="X103" s="652">
        <f t="shared" ca="1" si="45"/>
        <v>0</v>
      </c>
      <c r="Y103" s="652">
        <f t="shared" ca="1" si="45"/>
        <v>0</v>
      </c>
      <c r="Z103" s="652">
        <f t="shared" ca="1" si="45"/>
        <v>0</v>
      </c>
      <c r="AA103" s="652">
        <f t="shared" ca="1" si="45"/>
        <v>0</v>
      </c>
      <c r="AB103" s="652">
        <f t="shared" ca="1" si="45"/>
        <v>0</v>
      </c>
      <c r="AC103" s="652">
        <f t="shared" ca="1" si="45"/>
        <v>0</v>
      </c>
      <c r="AD103" s="652">
        <f t="shared" ca="1" si="45"/>
        <v>0</v>
      </c>
      <c r="AE103" s="652">
        <f t="shared" ca="1" si="45"/>
        <v>0</v>
      </c>
      <c r="AF103" s="652">
        <f t="shared" ca="1" si="45"/>
        <v>0</v>
      </c>
      <c r="AG103" s="652">
        <f t="shared" ca="1" si="45"/>
        <v>0</v>
      </c>
      <c r="AH103" s="652">
        <f t="shared" ref="U103:AH118" ca="1" si="49">VLOOKUP($B103,INDIRECT("'"&amp;$C103&amp;"'!A6:FR1000"),IF(AH$6="Participation 2023",MATCH("__Participation 2023",INDIRECT("'"&amp;$C103&amp;"'!1:1"),0),IF(AH$6="Participation",MATCH("_Total Plan Summary _Participation",INDIRECT("'"&amp;$C103&amp;"'!1:1"),0),MATCH(AH$4&amp;"_"&amp;AH$5&amp;"_"&amp;AH$6,INDIRECT("'"&amp;$C103&amp;"'!1:1"),0))),0)</f>
        <v>0</v>
      </c>
      <c r="AI103" s="652">
        <f t="shared" ca="1" si="46"/>
        <v>0</v>
      </c>
      <c r="AJ103" s="652">
        <f t="shared" ca="1" si="46"/>
        <v>0</v>
      </c>
      <c r="AK103" s="652">
        <f t="shared" ca="1" si="46"/>
        <v>0</v>
      </c>
      <c r="AL103" s="652">
        <f t="shared" ca="1" si="46"/>
        <v>0</v>
      </c>
      <c r="AM103" s="652">
        <f t="shared" ca="1" si="46"/>
        <v>0</v>
      </c>
      <c r="AN103" s="652">
        <f t="shared" ca="1" si="46"/>
        <v>0</v>
      </c>
      <c r="AO103" s="652">
        <f t="shared" ca="1" si="46"/>
        <v>0</v>
      </c>
      <c r="AP103" s="652">
        <f t="shared" ca="1" si="46"/>
        <v>0</v>
      </c>
      <c r="AQ103" s="652">
        <f t="shared" ca="1" si="46"/>
        <v>0</v>
      </c>
      <c r="AR103" s="652">
        <f t="shared" ca="1" si="46"/>
        <v>0</v>
      </c>
      <c r="AS103" s="652">
        <f t="shared" ca="1" si="46"/>
        <v>0</v>
      </c>
      <c r="AT103" s="652">
        <f t="shared" ca="1" si="46"/>
        <v>0</v>
      </c>
      <c r="AU103" s="652">
        <f t="shared" ca="1" si="46"/>
        <v>0</v>
      </c>
      <c r="AV103" s="652">
        <f t="shared" ref="AI103:AV118" ca="1" si="50">VLOOKUP($B103,INDIRECT("'"&amp;$C103&amp;"'!A6:FR1000"),IF(AV$6="Participation 2023",MATCH("__Participation 2023",INDIRECT("'"&amp;$C103&amp;"'!1:1"),0),IF(AV$6="Participation",MATCH("_Total Plan Summary _Participation",INDIRECT("'"&amp;$C103&amp;"'!1:1"),0),MATCH(AV$4&amp;"_"&amp;AV$5&amp;"_"&amp;AV$6,INDIRECT("'"&amp;$C103&amp;"'!1:1"),0))),0)</f>
        <v>0</v>
      </c>
      <c r="AW103" s="652">
        <f t="shared" ref="AW103:BK103" ca="1" si="51">VLOOKUP($B103,INDIRECT("'"&amp;$C103&amp;"'!A6:FR1000"),IF(AW$6="Participation 2023",MATCH("__Participation 2023",INDIRECT("'"&amp;$C103&amp;"'!1:1"),0),IF(AW$6="Participation",MATCH("_Total Plan Summary _Participation",INDIRECT("'"&amp;$C103&amp;"'!1:1"),0),MATCH(AW$4&amp;"_"&amp;AW$5&amp;"_"&amp;AW$6,INDIRECT("'"&amp;$C103&amp;"'!1:1"),0))),0)</f>
        <v>0</v>
      </c>
      <c r="AX103" s="652">
        <f t="shared" ca="1" si="51"/>
        <v>0</v>
      </c>
      <c r="AY103" s="652">
        <f t="shared" ca="1" si="51"/>
        <v>0</v>
      </c>
      <c r="AZ103" s="652">
        <f t="shared" ca="1" si="51"/>
        <v>0</v>
      </c>
      <c r="BA103" s="652">
        <f t="shared" ca="1" si="51"/>
        <v>0</v>
      </c>
      <c r="BB103" s="652">
        <f t="shared" ca="1" si="51"/>
        <v>0</v>
      </c>
      <c r="BC103" s="652">
        <f t="shared" ca="1" si="51"/>
        <v>0</v>
      </c>
      <c r="BD103" s="652">
        <f t="shared" ca="1" si="33"/>
        <v>1300</v>
      </c>
      <c r="BE103" s="652">
        <f t="shared" ca="1" si="51"/>
        <v>0</v>
      </c>
      <c r="BF103" s="652">
        <f t="shared" ca="1" si="51"/>
        <v>0</v>
      </c>
      <c r="BG103" s="652">
        <f t="shared" ca="1" si="51"/>
        <v>0</v>
      </c>
      <c r="BH103" s="652">
        <f t="shared" ca="1" si="51"/>
        <v>975000</v>
      </c>
      <c r="BI103" s="652">
        <f t="shared" ca="1" si="51"/>
        <v>0</v>
      </c>
      <c r="BJ103" s="652">
        <f t="shared" ca="1" si="51"/>
        <v>0</v>
      </c>
      <c r="BK103" s="652">
        <f t="shared" ca="1" si="51"/>
        <v>0</v>
      </c>
    </row>
    <row r="104" spans="2:63">
      <c r="B104" s="661">
        <v>2</v>
      </c>
      <c r="C104" s="662" t="s">
        <v>64</v>
      </c>
      <c r="D104" s="660" t="str">
        <f t="shared" ca="1" si="47"/>
        <v>Small Business Direct Install - LED Lighting Bulbs</v>
      </c>
      <c r="E104" s="660" t="str">
        <f t="shared" ca="1" si="47"/>
        <v>Linear LED Direct Install Bulbs</v>
      </c>
      <c r="F104" s="660" t="str">
        <f t="shared" ca="1" si="47"/>
        <v>Per Unit</v>
      </c>
      <c r="G104" s="652">
        <f t="shared" ca="1" si="48"/>
        <v>1875</v>
      </c>
      <c r="H104" s="652">
        <f t="shared" ca="1" si="48"/>
        <v>3750</v>
      </c>
      <c r="I104" s="652">
        <f t="shared" ca="1" si="48"/>
        <v>3750</v>
      </c>
      <c r="J104" s="652">
        <f t="shared" ca="1" si="48"/>
        <v>3750</v>
      </c>
      <c r="K104" s="652">
        <f t="shared" ca="1" si="48"/>
        <v>3750</v>
      </c>
      <c r="L104" s="652">
        <f t="shared" ca="1" si="48"/>
        <v>3750</v>
      </c>
      <c r="M104" s="652">
        <f t="shared" ca="1" si="48"/>
        <v>3750</v>
      </c>
      <c r="N104" s="652">
        <f t="shared" ca="1" si="48"/>
        <v>0</v>
      </c>
      <c r="O104" s="652">
        <f t="shared" ca="1" si="48"/>
        <v>0</v>
      </c>
      <c r="P104" s="652">
        <f t="shared" ca="1" si="48"/>
        <v>0</v>
      </c>
      <c r="Q104" s="652">
        <f t="shared" ca="1" si="48"/>
        <v>0</v>
      </c>
      <c r="R104" s="652">
        <f t="shared" ca="1" si="48"/>
        <v>0</v>
      </c>
      <c r="S104" s="652">
        <f t="shared" ca="1" si="48"/>
        <v>0</v>
      </c>
      <c r="T104" s="652">
        <f t="shared" ca="1" si="48"/>
        <v>0</v>
      </c>
      <c r="U104" s="652">
        <f t="shared" ca="1" si="49"/>
        <v>0</v>
      </c>
      <c r="V104" s="652">
        <f t="shared" ca="1" si="49"/>
        <v>0</v>
      </c>
      <c r="W104" s="652">
        <f t="shared" ca="1" si="49"/>
        <v>0</v>
      </c>
      <c r="X104" s="652">
        <f t="shared" ca="1" si="49"/>
        <v>0</v>
      </c>
      <c r="Y104" s="652">
        <f t="shared" ca="1" si="49"/>
        <v>0</v>
      </c>
      <c r="Z104" s="652">
        <f t="shared" ca="1" si="49"/>
        <v>0</v>
      </c>
      <c r="AA104" s="652">
        <f t="shared" ca="1" si="49"/>
        <v>0</v>
      </c>
      <c r="AB104" s="652">
        <f t="shared" ca="1" si="49"/>
        <v>0</v>
      </c>
      <c r="AC104" s="652">
        <f t="shared" ca="1" si="49"/>
        <v>0</v>
      </c>
      <c r="AD104" s="652">
        <f t="shared" ca="1" si="49"/>
        <v>0</v>
      </c>
      <c r="AE104" s="652">
        <f t="shared" ca="1" si="49"/>
        <v>0</v>
      </c>
      <c r="AF104" s="652">
        <f t="shared" ca="1" si="49"/>
        <v>0</v>
      </c>
      <c r="AG104" s="652">
        <f t="shared" ca="1" si="49"/>
        <v>0</v>
      </c>
      <c r="AH104" s="652">
        <f t="shared" ca="1" si="49"/>
        <v>0</v>
      </c>
      <c r="AI104" s="652">
        <f t="shared" ca="1" si="50"/>
        <v>74058.675499999998</v>
      </c>
      <c r="AJ104" s="652">
        <f t="shared" ca="1" si="50"/>
        <v>148117.351</v>
      </c>
      <c r="AK104" s="652">
        <f t="shared" ca="1" si="50"/>
        <v>148117.351</v>
      </c>
      <c r="AL104" s="652">
        <f t="shared" ca="1" si="50"/>
        <v>148117.351</v>
      </c>
      <c r="AM104" s="652">
        <f t="shared" ca="1" si="50"/>
        <v>148117.351</v>
      </c>
      <c r="AN104" s="652">
        <f t="shared" ca="1" si="50"/>
        <v>148117.351</v>
      </c>
      <c r="AO104" s="652">
        <f t="shared" ca="1" si="50"/>
        <v>148117.351</v>
      </c>
      <c r="AP104" s="652">
        <f t="shared" ca="1" si="50"/>
        <v>20.152968319999999</v>
      </c>
      <c r="AQ104" s="652">
        <f t="shared" ca="1" si="50"/>
        <v>40.305936639999999</v>
      </c>
      <c r="AR104" s="652">
        <f t="shared" ca="1" si="50"/>
        <v>40.305936639999999</v>
      </c>
      <c r="AS104" s="652">
        <f t="shared" ca="1" si="50"/>
        <v>40.305936639999999</v>
      </c>
      <c r="AT104" s="652">
        <f t="shared" ca="1" si="50"/>
        <v>40.305936639999999</v>
      </c>
      <c r="AU104" s="652">
        <f t="shared" ca="1" si="50"/>
        <v>40.305936639999999</v>
      </c>
      <c r="AV104" s="652">
        <f t="shared" ca="1" si="50"/>
        <v>40.305936639999999</v>
      </c>
      <c r="AW104" s="652">
        <f t="shared" ref="AW104:BK119" ca="1" si="52">VLOOKUP($B104,INDIRECT("'"&amp;$C104&amp;"'!A6:FR1000"),IF(AW$6="Participation 2023",MATCH("__Participation 2023",INDIRECT("'"&amp;$C104&amp;"'!1:1"),0),IF(AW$6="Participation",MATCH("_Total Plan Summary _Participation",INDIRECT("'"&amp;$C104&amp;"'!1:1"),0),MATCH(AW$4&amp;"_"&amp;AW$5&amp;"_"&amp;AW$6,INDIRECT("'"&amp;$C104&amp;"'!1:1"),0))),0)</f>
        <v>0</v>
      </c>
      <c r="AX104" s="652">
        <f t="shared" ca="1" si="52"/>
        <v>0</v>
      </c>
      <c r="AY104" s="652">
        <f t="shared" ca="1" si="52"/>
        <v>0</v>
      </c>
      <c r="AZ104" s="652">
        <f t="shared" ca="1" si="52"/>
        <v>0</v>
      </c>
      <c r="BA104" s="652">
        <f t="shared" ca="1" si="52"/>
        <v>0</v>
      </c>
      <c r="BB104" s="652">
        <f t="shared" ca="1" si="52"/>
        <v>0</v>
      </c>
      <c r="BC104" s="652">
        <f t="shared" ca="1" si="52"/>
        <v>0</v>
      </c>
      <c r="BD104" s="652">
        <f t="shared" ca="1" si="33"/>
        <v>24375</v>
      </c>
      <c r="BE104" s="652">
        <f t="shared" ca="1" si="52"/>
        <v>0</v>
      </c>
      <c r="BF104" s="652">
        <f t="shared" ca="1" si="52"/>
        <v>0</v>
      </c>
      <c r="BG104" s="652">
        <f t="shared" ca="1" si="52"/>
        <v>0</v>
      </c>
      <c r="BH104" s="652">
        <f t="shared" ca="1" si="52"/>
        <v>154375</v>
      </c>
      <c r="BI104" s="652">
        <f t="shared" ca="1" si="52"/>
        <v>962762.78150000004</v>
      </c>
      <c r="BJ104" s="652">
        <f t="shared" ca="1" si="52"/>
        <v>261.98858815999995</v>
      </c>
      <c r="BK104" s="652">
        <f t="shared" ca="1" si="52"/>
        <v>0</v>
      </c>
    </row>
    <row r="105" spans="2:63">
      <c r="B105" s="661">
        <v>3</v>
      </c>
      <c r="C105" s="662" t="s">
        <v>64</v>
      </c>
      <c r="D105" s="660" t="str">
        <f t="shared" ca="1" si="47"/>
        <v>Small Business Direct Install - LED Lighting Retrofit Fixtures</v>
      </c>
      <c r="E105" s="660" t="str">
        <f t="shared" ca="1" si="47"/>
        <v>Linear LED Direct Install Retrofits</v>
      </c>
      <c r="F105" s="660" t="str">
        <f t="shared" ca="1" si="47"/>
        <v>Per Unit</v>
      </c>
      <c r="G105" s="652">
        <f t="shared" ca="1" si="48"/>
        <v>937.5</v>
      </c>
      <c r="H105" s="652">
        <f t="shared" ca="1" si="48"/>
        <v>1875</v>
      </c>
      <c r="I105" s="652">
        <f t="shared" ca="1" si="48"/>
        <v>1875</v>
      </c>
      <c r="J105" s="652">
        <f t="shared" ca="1" si="48"/>
        <v>1875</v>
      </c>
      <c r="K105" s="652">
        <f t="shared" ca="1" si="48"/>
        <v>1875</v>
      </c>
      <c r="L105" s="652">
        <f t="shared" ca="1" si="48"/>
        <v>1875</v>
      </c>
      <c r="M105" s="652">
        <f t="shared" ca="1" si="48"/>
        <v>1875</v>
      </c>
      <c r="N105" s="652">
        <f t="shared" ca="1" si="48"/>
        <v>0</v>
      </c>
      <c r="O105" s="652">
        <f t="shared" ca="1" si="48"/>
        <v>0</v>
      </c>
      <c r="P105" s="652">
        <f t="shared" ca="1" si="48"/>
        <v>0</v>
      </c>
      <c r="Q105" s="652">
        <f t="shared" ca="1" si="48"/>
        <v>0</v>
      </c>
      <c r="R105" s="652">
        <f t="shared" ca="1" si="48"/>
        <v>0</v>
      </c>
      <c r="S105" s="652">
        <f t="shared" ca="1" si="48"/>
        <v>0</v>
      </c>
      <c r="T105" s="652">
        <f t="shared" ca="1" si="48"/>
        <v>0</v>
      </c>
      <c r="U105" s="652">
        <f t="shared" ca="1" si="49"/>
        <v>0</v>
      </c>
      <c r="V105" s="652">
        <f t="shared" ca="1" si="49"/>
        <v>0</v>
      </c>
      <c r="W105" s="652">
        <f t="shared" ca="1" si="49"/>
        <v>0</v>
      </c>
      <c r="X105" s="652">
        <f t="shared" ca="1" si="49"/>
        <v>0</v>
      </c>
      <c r="Y105" s="652">
        <f t="shared" ca="1" si="49"/>
        <v>0</v>
      </c>
      <c r="Z105" s="652">
        <f t="shared" ca="1" si="49"/>
        <v>0</v>
      </c>
      <c r="AA105" s="652">
        <f t="shared" ca="1" si="49"/>
        <v>0</v>
      </c>
      <c r="AB105" s="652">
        <f t="shared" ca="1" si="49"/>
        <v>0</v>
      </c>
      <c r="AC105" s="652">
        <f t="shared" ca="1" si="49"/>
        <v>0</v>
      </c>
      <c r="AD105" s="652">
        <f t="shared" ca="1" si="49"/>
        <v>0</v>
      </c>
      <c r="AE105" s="652">
        <f t="shared" ca="1" si="49"/>
        <v>0</v>
      </c>
      <c r="AF105" s="652">
        <f t="shared" ca="1" si="49"/>
        <v>0</v>
      </c>
      <c r="AG105" s="652">
        <f t="shared" ca="1" si="49"/>
        <v>0</v>
      </c>
      <c r="AH105" s="652">
        <f t="shared" ca="1" si="49"/>
        <v>0</v>
      </c>
      <c r="AI105" s="652">
        <f t="shared" ca="1" si="50"/>
        <v>139769.99284125</v>
      </c>
      <c r="AJ105" s="652">
        <f t="shared" ca="1" si="50"/>
        <v>279539.9856825</v>
      </c>
      <c r="AK105" s="652">
        <f t="shared" ca="1" si="50"/>
        <v>279539.9856825</v>
      </c>
      <c r="AL105" s="652">
        <f t="shared" ca="1" si="50"/>
        <v>279539.9856825</v>
      </c>
      <c r="AM105" s="652">
        <f t="shared" ca="1" si="50"/>
        <v>279539.9856825</v>
      </c>
      <c r="AN105" s="652">
        <f t="shared" ca="1" si="50"/>
        <v>279539.9856825</v>
      </c>
      <c r="AO105" s="652">
        <f t="shared" ca="1" si="50"/>
        <v>279539.9856825</v>
      </c>
      <c r="AP105" s="652">
        <f t="shared" ca="1" si="50"/>
        <v>38.034439838400004</v>
      </c>
      <c r="AQ105" s="652">
        <f t="shared" ca="1" si="50"/>
        <v>76.068879676800009</v>
      </c>
      <c r="AR105" s="652">
        <f t="shared" ca="1" si="50"/>
        <v>76.068879676800009</v>
      </c>
      <c r="AS105" s="652">
        <f t="shared" ca="1" si="50"/>
        <v>76.068879676800009</v>
      </c>
      <c r="AT105" s="652">
        <f t="shared" ca="1" si="50"/>
        <v>76.068879676800009</v>
      </c>
      <c r="AU105" s="652">
        <f t="shared" ca="1" si="50"/>
        <v>76.068879676800009</v>
      </c>
      <c r="AV105" s="652">
        <f t="shared" ca="1" si="50"/>
        <v>76.068879676800009</v>
      </c>
      <c r="AW105" s="652">
        <f t="shared" ca="1" si="52"/>
        <v>0</v>
      </c>
      <c r="AX105" s="652">
        <f t="shared" ca="1" si="52"/>
        <v>0</v>
      </c>
      <c r="AY105" s="652">
        <f t="shared" ca="1" si="52"/>
        <v>0</v>
      </c>
      <c r="AZ105" s="652">
        <f t="shared" ca="1" si="52"/>
        <v>0</v>
      </c>
      <c r="BA105" s="652">
        <f t="shared" ca="1" si="52"/>
        <v>0</v>
      </c>
      <c r="BB105" s="652">
        <f t="shared" ca="1" si="52"/>
        <v>0</v>
      </c>
      <c r="BC105" s="652">
        <f t="shared" ca="1" si="52"/>
        <v>0</v>
      </c>
      <c r="BD105" s="652">
        <f t="shared" ca="1" si="33"/>
        <v>12187.5</v>
      </c>
      <c r="BE105" s="652">
        <f t="shared" ca="1" si="52"/>
        <v>0</v>
      </c>
      <c r="BF105" s="652">
        <f t="shared" ca="1" si="52"/>
        <v>0</v>
      </c>
      <c r="BG105" s="652">
        <f t="shared" ca="1" si="52"/>
        <v>0</v>
      </c>
      <c r="BH105" s="652">
        <f t="shared" ca="1" si="52"/>
        <v>731250</v>
      </c>
      <c r="BI105" s="652">
        <f t="shared" ca="1" si="52"/>
        <v>1817009.9069362502</v>
      </c>
      <c r="BJ105" s="652">
        <f t="shared" ca="1" si="52"/>
        <v>494.44771789920009</v>
      </c>
      <c r="BK105" s="652">
        <f t="shared" ca="1" si="52"/>
        <v>0</v>
      </c>
    </row>
    <row r="106" spans="2:63">
      <c r="B106" s="661">
        <v>4</v>
      </c>
      <c r="C106" s="662" t="s">
        <v>64</v>
      </c>
      <c r="D106" s="660" t="str">
        <f t="shared" ca="1" si="47"/>
        <v>Small Business Direct Install - Water Conservation Aerators</v>
      </c>
      <c r="E106" s="660" t="str">
        <f t="shared" ca="1" si="47"/>
        <v>Aerators 0.5 GPM</v>
      </c>
      <c r="F106" s="660" t="str">
        <f t="shared" ca="1" si="47"/>
        <v>Per Unit</v>
      </c>
      <c r="G106" s="652">
        <f t="shared" ca="1" si="48"/>
        <v>10</v>
      </c>
      <c r="H106" s="652">
        <f t="shared" ca="1" si="48"/>
        <v>20</v>
      </c>
      <c r="I106" s="652">
        <f t="shared" ca="1" si="48"/>
        <v>20</v>
      </c>
      <c r="J106" s="652">
        <f t="shared" ca="1" si="48"/>
        <v>20</v>
      </c>
      <c r="K106" s="652">
        <f t="shared" ca="1" si="48"/>
        <v>20</v>
      </c>
      <c r="L106" s="652">
        <f t="shared" ca="1" si="48"/>
        <v>20</v>
      </c>
      <c r="M106" s="652">
        <f t="shared" ca="1" si="48"/>
        <v>20</v>
      </c>
      <c r="N106" s="652">
        <f t="shared" ca="1" si="48"/>
        <v>0</v>
      </c>
      <c r="O106" s="652">
        <f t="shared" ca="1" si="48"/>
        <v>0</v>
      </c>
      <c r="P106" s="652">
        <f t="shared" ca="1" si="48"/>
        <v>0</v>
      </c>
      <c r="Q106" s="652">
        <f t="shared" ca="1" si="48"/>
        <v>0</v>
      </c>
      <c r="R106" s="652">
        <f t="shared" ca="1" si="48"/>
        <v>0</v>
      </c>
      <c r="S106" s="652">
        <f t="shared" ca="1" si="48"/>
        <v>0</v>
      </c>
      <c r="T106" s="652">
        <f t="shared" ca="1" si="48"/>
        <v>0</v>
      </c>
      <c r="U106" s="652">
        <f t="shared" ca="1" si="49"/>
        <v>0</v>
      </c>
      <c r="V106" s="652">
        <f t="shared" ca="1" si="49"/>
        <v>0</v>
      </c>
      <c r="W106" s="652">
        <f t="shared" ca="1" si="49"/>
        <v>0</v>
      </c>
      <c r="X106" s="652">
        <f t="shared" ca="1" si="49"/>
        <v>0</v>
      </c>
      <c r="Y106" s="652">
        <f t="shared" ca="1" si="49"/>
        <v>0</v>
      </c>
      <c r="Z106" s="652">
        <f t="shared" ca="1" si="49"/>
        <v>0</v>
      </c>
      <c r="AA106" s="652">
        <f t="shared" ca="1" si="49"/>
        <v>0</v>
      </c>
      <c r="AB106" s="652">
        <f t="shared" ca="1" si="49"/>
        <v>0</v>
      </c>
      <c r="AC106" s="652">
        <f t="shared" ca="1" si="49"/>
        <v>0</v>
      </c>
      <c r="AD106" s="652">
        <f t="shared" ca="1" si="49"/>
        <v>0</v>
      </c>
      <c r="AE106" s="652">
        <f t="shared" ca="1" si="49"/>
        <v>0</v>
      </c>
      <c r="AF106" s="652">
        <f t="shared" ca="1" si="49"/>
        <v>0</v>
      </c>
      <c r="AG106" s="652">
        <f t="shared" ca="1" si="49"/>
        <v>0</v>
      </c>
      <c r="AH106" s="652">
        <f t="shared" ca="1" si="49"/>
        <v>0</v>
      </c>
      <c r="AI106" s="652">
        <f t="shared" ca="1" si="50"/>
        <v>316.62236044613138</v>
      </c>
      <c r="AJ106" s="652">
        <f t="shared" ca="1" si="50"/>
        <v>633.24472089226276</v>
      </c>
      <c r="AK106" s="652">
        <f t="shared" ca="1" si="50"/>
        <v>633.24472089226276</v>
      </c>
      <c r="AL106" s="652">
        <f t="shared" ca="1" si="50"/>
        <v>633.24472089226276</v>
      </c>
      <c r="AM106" s="652">
        <f t="shared" ca="1" si="50"/>
        <v>633.24472089226276</v>
      </c>
      <c r="AN106" s="652">
        <f t="shared" ca="1" si="50"/>
        <v>633.24472089226276</v>
      </c>
      <c r="AO106" s="652">
        <f t="shared" ca="1" si="50"/>
        <v>633.24472089226276</v>
      </c>
      <c r="AP106" s="652">
        <f t="shared" ca="1" si="50"/>
        <v>1.5727978776865971E-2</v>
      </c>
      <c r="AQ106" s="652">
        <f t="shared" ca="1" si="50"/>
        <v>3.1455957553731942E-2</v>
      </c>
      <c r="AR106" s="652">
        <f t="shared" ca="1" si="50"/>
        <v>3.1455957553731942E-2</v>
      </c>
      <c r="AS106" s="652">
        <f t="shared" ca="1" si="50"/>
        <v>3.1455957553731942E-2</v>
      </c>
      <c r="AT106" s="652">
        <f t="shared" ca="1" si="50"/>
        <v>3.1455957553731942E-2</v>
      </c>
      <c r="AU106" s="652">
        <f t="shared" ca="1" si="50"/>
        <v>3.1455957553731942E-2</v>
      </c>
      <c r="AV106" s="652">
        <f t="shared" ca="1" si="50"/>
        <v>3.1455957553731942E-2</v>
      </c>
      <c r="AW106" s="652">
        <f t="shared" ca="1" si="52"/>
        <v>11.343312685343101</v>
      </c>
      <c r="AX106" s="652">
        <f t="shared" ca="1" si="52"/>
        <v>22.686625370686201</v>
      </c>
      <c r="AY106" s="652">
        <f t="shared" ca="1" si="52"/>
        <v>22.686625370686201</v>
      </c>
      <c r="AZ106" s="652">
        <f t="shared" ca="1" si="52"/>
        <v>22.686625370686201</v>
      </c>
      <c r="BA106" s="652">
        <f t="shared" ca="1" si="52"/>
        <v>22.686625370686201</v>
      </c>
      <c r="BB106" s="652">
        <f t="shared" ca="1" si="52"/>
        <v>22.686625370686201</v>
      </c>
      <c r="BC106" s="652">
        <f t="shared" ca="1" si="52"/>
        <v>22.686625370686201</v>
      </c>
      <c r="BD106" s="652">
        <f t="shared" ca="1" si="33"/>
        <v>130</v>
      </c>
      <c r="BE106" s="652">
        <f t="shared" ca="1" si="52"/>
        <v>0</v>
      </c>
      <c r="BF106" s="652">
        <f t="shared" ca="1" si="52"/>
        <v>0</v>
      </c>
      <c r="BG106" s="652">
        <f t="shared" ca="1" si="52"/>
        <v>0</v>
      </c>
      <c r="BH106" s="652">
        <f t="shared" ca="1" si="52"/>
        <v>224.03333333333336</v>
      </c>
      <c r="BI106" s="652">
        <f t="shared" ca="1" si="52"/>
        <v>4116.0906857997079</v>
      </c>
      <c r="BJ106" s="652">
        <f t="shared" ca="1" si="52"/>
        <v>0.20446372409925762</v>
      </c>
      <c r="BK106" s="652">
        <f t="shared" ca="1" si="52"/>
        <v>147.46306490946029</v>
      </c>
    </row>
    <row r="107" spans="2:63">
      <c r="B107" s="661">
        <v>5</v>
      </c>
      <c r="C107" s="662" t="s">
        <v>64</v>
      </c>
      <c r="D107" s="660" t="str">
        <f t="shared" ca="1" si="47"/>
        <v>Small Business Direct Install - Water Conservation Showerheads</v>
      </c>
      <c r="E107" s="660" t="str">
        <f t="shared" ca="1" si="47"/>
        <v>Showerhead 1.5 GPM</v>
      </c>
      <c r="F107" s="660" t="str">
        <f t="shared" ca="1" si="47"/>
        <v>Per Unit</v>
      </c>
      <c r="G107" s="652">
        <f t="shared" ca="1" si="48"/>
        <v>4</v>
      </c>
      <c r="H107" s="652">
        <f t="shared" ca="1" si="48"/>
        <v>8</v>
      </c>
      <c r="I107" s="652">
        <f t="shared" ca="1" si="48"/>
        <v>8</v>
      </c>
      <c r="J107" s="652">
        <f t="shared" ca="1" si="48"/>
        <v>8</v>
      </c>
      <c r="K107" s="652">
        <f t="shared" ca="1" si="48"/>
        <v>8</v>
      </c>
      <c r="L107" s="652">
        <f t="shared" ca="1" si="48"/>
        <v>8</v>
      </c>
      <c r="M107" s="652">
        <f t="shared" ca="1" si="48"/>
        <v>8</v>
      </c>
      <c r="N107" s="652">
        <f t="shared" ca="1" si="48"/>
        <v>0</v>
      </c>
      <c r="O107" s="652">
        <f t="shared" ca="1" si="48"/>
        <v>0</v>
      </c>
      <c r="P107" s="652">
        <f t="shared" ca="1" si="48"/>
        <v>0</v>
      </c>
      <c r="Q107" s="652">
        <f t="shared" ca="1" si="48"/>
        <v>0</v>
      </c>
      <c r="R107" s="652">
        <f t="shared" ca="1" si="48"/>
        <v>0</v>
      </c>
      <c r="S107" s="652">
        <f t="shared" ca="1" si="48"/>
        <v>0</v>
      </c>
      <c r="T107" s="652">
        <f t="shared" ca="1" si="48"/>
        <v>0</v>
      </c>
      <c r="U107" s="652">
        <f t="shared" ca="1" si="49"/>
        <v>0</v>
      </c>
      <c r="V107" s="652">
        <f t="shared" ca="1" si="49"/>
        <v>0</v>
      </c>
      <c r="W107" s="652">
        <f t="shared" ca="1" si="49"/>
        <v>0</v>
      </c>
      <c r="X107" s="652">
        <f t="shared" ca="1" si="49"/>
        <v>0</v>
      </c>
      <c r="Y107" s="652">
        <f t="shared" ca="1" si="49"/>
        <v>0</v>
      </c>
      <c r="Z107" s="652">
        <f t="shared" ca="1" si="49"/>
        <v>0</v>
      </c>
      <c r="AA107" s="652">
        <f t="shared" ca="1" si="49"/>
        <v>0</v>
      </c>
      <c r="AB107" s="652">
        <f t="shared" ca="1" si="49"/>
        <v>0</v>
      </c>
      <c r="AC107" s="652">
        <f t="shared" ca="1" si="49"/>
        <v>0</v>
      </c>
      <c r="AD107" s="652">
        <f t="shared" ca="1" si="49"/>
        <v>0</v>
      </c>
      <c r="AE107" s="652">
        <f t="shared" ca="1" si="49"/>
        <v>0</v>
      </c>
      <c r="AF107" s="652">
        <f t="shared" ca="1" si="49"/>
        <v>0</v>
      </c>
      <c r="AG107" s="652">
        <f t="shared" ca="1" si="49"/>
        <v>0</v>
      </c>
      <c r="AH107" s="652">
        <f t="shared" ca="1" si="49"/>
        <v>0</v>
      </c>
      <c r="AI107" s="652">
        <f t="shared" ca="1" si="50"/>
        <v>430.14902249780198</v>
      </c>
      <c r="AJ107" s="652">
        <f t="shared" ca="1" si="50"/>
        <v>860.29804499560396</v>
      </c>
      <c r="AK107" s="652">
        <f t="shared" ca="1" si="50"/>
        <v>860.29804499560396</v>
      </c>
      <c r="AL107" s="652">
        <f t="shared" ca="1" si="50"/>
        <v>860.29804499560396</v>
      </c>
      <c r="AM107" s="652">
        <f t="shared" ca="1" si="50"/>
        <v>860.29804499560396</v>
      </c>
      <c r="AN107" s="652">
        <f t="shared" ca="1" si="50"/>
        <v>860.29804499560396</v>
      </c>
      <c r="AO107" s="652">
        <f t="shared" ca="1" si="50"/>
        <v>860.29804499560396</v>
      </c>
      <c r="AP107" s="652">
        <f t="shared" ca="1" si="50"/>
        <v>3.7525584407971879E-2</v>
      </c>
      <c r="AQ107" s="652">
        <f t="shared" ca="1" si="50"/>
        <v>7.5051168815943758E-2</v>
      </c>
      <c r="AR107" s="652">
        <f t="shared" ca="1" si="50"/>
        <v>7.5051168815943758E-2</v>
      </c>
      <c r="AS107" s="652">
        <f t="shared" ca="1" si="50"/>
        <v>7.5051168815943758E-2</v>
      </c>
      <c r="AT107" s="652">
        <f t="shared" ca="1" si="50"/>
        <v>7.5051168815943758E-2</v>
      </c>
      <c r="AU107" s="652">
        <f t="shared" ca="1" si="50"/>
        <v>7.5051168815943758E-2</v>
      </c>
      <c r="AV107" s="652">
        <f t="shared" ca="1" si="50"/>
        <v>7.5051168815943758E-2</v>
      </c>
      <c r="AW107" s="652">
        <f t="shared" ca="1" si="52"/>
        <v>15.410518880006249</v>
      </c>
      <c r="AX107" s="652">
        <f t="shared" ca="1" si="52"/>
        <v>30.821037760012498</v>
      </c>
      <c r="AY107" s="652">
        <f t="shared" ca="1" si="52"/>
        <v>30.821037760012498</v>
      </c>
      <c r="AZ107" s="652">
        <f t="shared" ca="1" si="52"/>
        <v>30.821037760012498</v>
      </c>
      <c r="BA107" s="652">
        <f t="shared" ca="1" si="52"/>
        <v>30.821037760012498</v>
      </c>
      <c r="BB107" s="652">
        <f t="shared" ca="1" si="52"/>
        <v>30.821037760012498</v>
      </c>
      <c r="BC107" s="652">
        <f t="shared" ca="1" si="52"/>
        <v>30.821037760012498</v>
      </c>
      <c r="BD107" s="652">
        <f t="shared" ca="1" si="33"/>
        <v>52</v>
      </c>
      <c r="BE107" s="652">
        <f t="shared" ca="1" si="52"/>
        <v>0</v>
      </c>
      <c r="BF107" s="652">
        <f t="shared" ca="1" si="52"/>
        <v>0</v>
      </c>
      <c r="BG107" s="652">
        <f t="shared" ca="1" si="52"/>
        <v>0</v>
      </c>
      <c r="BH107" s="652">
        <f t="shared" ca="1" si="52"/>
        <v>422.06666666666666</v>
      </c>
      <c r="BI107" s="652">
        <f t="shared" ca="1" si="52"/>
        <v>5591.9372924714253</v>
      </c>
      <c r="BJ107" s="652">
        <f t="shared" ca="1" si="52"/>
        <v>0.48783259730363443</v>
      </c>
      <c r="BK107" s="652">
        <f t="shared" ca="1" si="52"/>
        <v>200.33674544008124</v>
      </c>
    </row>
    <row r="108" spans="2:63">
      <c r="B108" s="661">
        <v>6</v>
      </c>
      <c r="C108" s="662" t="s">
        <v>64</v>
      </c>
      <c r="D108" s="660" t="str">
        <f t="shared" ca="1" si="47"/>
        <v>Small Business Direct Install - Water Conservation Sprayers</v>
      </c>
      <c r="E108" s="660" t="str">
        <f t="shared" ca="1" si="47"/>
        <v>Pre-rinse Spray Valves 1.15GPM</v>
      </c>
      <c r="F108" s="660" t="str">
        <f t="shared" ca="1" si="47"/>
        <v>Per Unit</v>
      </c>
      <c r="G108" s="652">
        <f t="shared" ca="1" si="48"/>
        <v>4</v>
      </c>
      <c r="H108" s="652">
        <f t="shared" ca="1" si="48"/>
        <v>8</v>
      </c>
      <c r="I108" s="652">
        <f t="shared" ca="1" si="48"/>
        <v>8</v>
      </c>
      <c r="J108" s="652">
        <f t="shared" ca="1" si="48"/>
        <v>8</v>
      </c>
      <c r="K108" s="652">
        <f t="shared" ca="1" si="48"/>
        <v>8</v>
      </c>
      <c r="L108" s="652">
        <f t="shared" ca="1" si="48"/>
        <v>8</v>
      </c>
      <c r="M108" s="652">
        <f t="shared" ca="1" si="48"/>
        <v>8</v>
      </c>
      <c r="N108" s="652">
        <f t="shared" ca="1" si="48"/>
        <v>0</v>
      </c>
      <c r="O108" s="652">
        <f t="shared" ca="1" si="48"/>
        <v>0</v>
      </c>
      <c r="P108" s="652">
        <f t="shared" ca="1" si="48"/>
        <v>0</v>
      </c>
      <c r="Q108" s="652">
        <f t="shared" ca="1" si="48"/>
        <v>0</v>
      </c>
      <c r="R108" s="652">
        <f t="shared" ca="1" si="48"/>
        <v>0</v>
      </c>
      <c r="S108" s="652">
        <f t="shared" ca="1" si="48"/>
        <v>0</v>
      </c>
      <c r="T108" s="652">
        <f t="shared" ca="1" si="48"/>
        <v>0</v>
      </c>
      <c r="U108" s="652">
        <f t="shared" ca="1" si="49"/>
        <v>0</v>
      </c>
      <c r="V108" s="652">
        <f t="shared" ca="1" si="49"/>
        <v>0</v>
      </c>
      <c r="W108" s="652">
        <f t="shared" ca="1" si="49"/>
        <v>0</v>
      </c>
      <c r="X108" s="652">
        <f t="shared" ca="1" si="49"/>
        <v>0</v>
      </c>
      <c r="Y108" s="652">
        <f t="shared" ca="1" si="49"/>
        <v>0</v>
      </c>
      <c r="Z108" s="652">
        <f t="shared" ca="1" si="49"/>
        <v>0</v>
      </c>
      <c r="AA108" s="652">
        <f t="shared" ca="1" si="49"/>
        <v>0</v>
      </c>
      <c r="AB108" s="652">
        <f t="shared" ca="1" si="49"/>
        <v>0</v>
      </c>
      <c r="AC108" s="652">
        <f t="shared" ca="1" si="49"/>
        <v>0</v>
      </c>
      <c r="AD108" s="652">
        <f t="shared" ca="1" si="49"/>
        <v>0</v>
      </c>
      <c r="AE108" s="652">
        <f t="shared" ca="1" si="49"/>
        <v>0</v>
      </c>
      <c r="AF108" s="652">
        <f t="shared" ca="1" si="49"/>
        <v>0</v>
      </c>
      <c r="AG108" s="652">
        <f t="shared" ca="1" si="49"/>
        <v>0</v>
      </c>
      <c r="AH108" s="652">
        <f t="shared" ca="1" si="49"/>
        <v>0</v>
      </c>
      <c r="AI108" s="652">
        <f t="shared" ca="1" si="50"/>
        <v>3688.853897801313</v>
      </c>
      <c r="AJ108" s="652">
        <f t="shared" ca="1" si="50"/>
        <v>7377.707795602626</v>
      </c>
      <c r="AK108" s="652">
        <f t="shared" ca="1" si="50"/>
        <v>7377.707795602626</v>
      </c>
      <c r="AL108" s="652">
        <f t="shared" ca="1" si="50"/>
        <v>7377.707795602626</v>
      </c>
      <c r="AM108" s="652">
        <f t="shared" ca="1" si="50"/>
        <v>7377.707795602626</v>
      </c>
      <c r="AN108" s="652">
        <f t="shared" ca="1" si="50"/>
        <v>7377.707795602626</v>
      </c>
      <c r="AO108" s="652">
        <f t="shared" ca="1" si="50"/>
        <v>7377.707795602626</v>
      </c>
      <c r="AP108" s="652">
        <f t="shared" ca="1" si="50"/>
        <v>0</v>
      </c>
      <c r="AQ108" s="652">
        <f t="shared" ca="1" si="50"/>
        <v>0</v>
      </c>
      <c r="AR108" s="652">
        <f t="shared" ca="1" si="50"/>
        <v>0</v>
      </c>
      <c r="AS108" s="652">
        <f t="shared" ca="1" si="50"/>
        <v>0</v>
      </c>
      <c r="AT108" s="652">
        <f t="shared" ca="1" si="50"/>
        <v>0</v>
      </c>
      <c r="AU108" s="652">
        <f t="shared" ca="1" si="50"/>
        <v>0</v>
      </c>
      <c r="AV108" s="652">
        <f t="shared" ca="1" si="50"/>
        <v>0</v>
      </c>
      <c r="AW108" s="652">
        <f t="shared" ca="1" si="52"/>
        <v>139.56978974400002</v>
      </c>
      <c r="AX108" s="652">
        <f t="shared" ca="1" si="52"/>
        <v>279.13957948800004</v>
      </c>
      <c r="AY108" s="652">
        <f t="shared" ca="1" si="52"/>
        <v>279.13957948800004</v>
      </c>
      <c r="AZ108" s="652">
        <f t="shared" ca="1" si="52"/>
        <v>279.13957948800004</v>
      </c>
      <c r="BA108" s="652">
        <f t="shared" ca="1" si="52"/>
        <v>279.13957948800004</v>
      </c>
      <c r="BB108" s="652">
        <f t="shared" ca="1" si="52"/>
        <v>279.13957948800004</v>
      </c>
      <c r="BC108" s="652">
        <f t="shared" ca="1" si="52"/>
        <v>279.13957948800004</v>
      </c>
      <c r="BD108" s="652">
        <f t="shared" ca="1" si="33"/>
        <v>52</v>
      </c>
      <c r="BE108" s="652">
        <f t="shared" ca="1" si="52"/>
        <v>0</v>
      </c>
      <c r="BF108" s="652">
        <f t="shared" ca="1" si="52"/>
        <v>0</v>
      </c>
      <c r="BG108" s="652">
        <f t="shared" ca="1" si="52"/>
        <v>0</v>
      </c>
      <c r="BH108" s="652">
        <f t="shared" ca="1" si="52"/>
        <v>2261.48</v>
      </c>
      <c r="BI108" s="652">
        <f t="shared" ca="1" si="52"/>
        <v>47955.100671417065</v>
      </c>
      <c r="BJ108" s="652">
        <f t="shared" ca="1" si="52"/>
        <v>0</v>
      </c>
      <c r="BK108" s="652">
        <f t="shared" ca="1" si="52"/>
        <v>1814.4072666720001</v>
      </c>
    </row>
    <row r="109" spans="2:63">
      <c r="B109" s="661">
        <v>1</v>
      </c>
      <c r="C109" s="662" t="s">
        <v>4</v>
      </c>
      <c r="D109" s="660" t="str">
        <f t="shared" ca="1" si="47"/>
        <v>Single Family - AC and ASHP Demand Conservation</v>
      </c>
      <c r="E109" s="660" t="str">
        <f t="shared" ca="1" si="47"/>
        <v>Summer for each central air conditioning unit and all year round for each heat pump on single-family homes</v>
      </c>
      <c r="F109" s="660" t="str">
        <f t="shared" ca="1" si="47"/>
        <v>Per Customer</v>
      </c>
      <c r="G109" s="652">
        <f t="shared" ref="G109:T125" ca="1" si="53">VLOOKUP($B109,INDIRECT("'"&amp;$C109&amp;"'!A6:FR1000"),IF(G$6="Participation 2023",MATCH("__Participation 2023",INDIRECT("'"&amp;$C109&amp;"'!1:1"),0),IF(G$6="Participation",MATCH("_Total Plan Summary _Participation",INDIRECT("'"&amp;$C109&amp;"'!1:1"),0),MATCH(G$4&amp;"_"&amp;G$5&amp;"_"&amp;G$6,INDIRECT("'"&amp;$C109&amp;"'!1:1"),0))),0)</f>
        <v>139200</v>
      </c>
      <c r="H109" s="652">
        <f t="shared" ca="1" si="53"/>
        <v>125200</v>
      </c>
      <c r="I109" s="652">
        <f t="shared" ca="1" si="53"/>
        <v>112600</v>
      </c>
      <c r="J109" s="652">
        <f t="shared" ca="1" si="53"/>
        <v>101300</v>
      </c>
      <c r="K109" s="652">
        <f t="shared" ca="1" si="53"/>
        <v>91100</v>
      </c>
      <c r="L109" s="652">
        <f t="shared" ca="1" si="53"/>
        <v>81900</v>
      </c>
      <c r="M109" s="652">
        <f t="shared" ca="1" si="53"/>
        <v>73700</v>
      </c>
      <c r="N109" s="652">
        <f t="shared" ca="1" si="53"/>
        <v>0</v>
      </c>
      <c r="O109" s="652">
        <f t="shared" ca="1" si="53"/>
        <v>0</v>
      </c>
      <c r="P109" s="652">
        <f t="shared" ca="1" si="53"/>
        <v>0</v>
      </c>
      <c r="Q109" s="652">
        <f t="shared" ca="1" si="53"/>
        <v>0</v>
      </c>
      <c r="R109" s="652">
        <f t="shared" ca="1" si="53"/>
        <v>0</v>
      </c>
      <c r="S109" s="652">
        <f t="shared" ca="1" si="53"/>
        <v>0</v>
      </c>
      <c r="T109" s="652">
        <f t="shared" ca="1" si="53"/>
        <v>0</v>
      </c>
      <c r="U109" s="652">
        <f t="shared" ca="1" si="49"/>
        <v>0</v>
      </c>
      <c r="V109" s="652">
        <f t="shared" ca="1" si="49"/>
        <v>0</v>
      </c>
      <c r="W109" s="652">
        <f t="shared" ca="1" si="49"/>
        <v>0</v>
      </c>
      <c r="X109" s="652">
        <f t="shared" ca="1" si="49"/>
        <v>0</v>
      </c>
      <c r="Y109" s="652">
        <f t="shared" ca="1" si="49"/>
        <v>0</v>
      </c>
      <c r="Z109" s="652">
        <f t="shared" ca="1" si="49"/>
        <v>0</v>
      </c>
      <c r="AA109" s="652">
        <f t="shared" ca="1" si="49"/>
        <v>0</v>
      </c>
      <c r="AB109" s="652">
        <f t="shared" ca="1" si="49"/>
        <v>1392000</v>
      </c>
      <c r="AC109" s="652">
        <f t="shared" ca="1" si="49"/>
        <v>1252000</v>
      </c>
      <c r="AD109" s="652">
        <f t="shared" ca="1" si="49"/>
        <v>1126000</v>
      </c>
      <c r="AE109" s="652">
        <f t="shared" ca="1" si="49"/>
        <v>2532500</v>
      </c>
      <c r="AF109" s="652">
        <f t="shared" ca="1" si="49"/>
        <v>9110000</v>
      </c>
      <c r="AG109" s="652">
        <f t="shared" ca="1" si="49"/>
        <v>8190000</v>
      </c>
      <c r="AH109" s="652">
        <f t="shared" ca="1" si="49"/>
        <v>7370000</v>
      </c>
      <c r="AI109" s="652">
        <f t="shared" ca="1" si="50"/>
        <v>0</v>
      </c>
      <c r="AJ109" s="652">
        <f t="shared" ca="1" si="50"/>
        <v>0</v>
      </c>
      <c r="AK109" s="652">
        <f t="shared" ca="1" si="50"/>
        <v>0</v>
      </c>
      <c r="AL109" s="652">
        <f t="shared" ca="1" si="50"/>
        <v>0</v>
      </c>
      <c r="AM109" s="652">
        <f t="shared" ca="1" si="50"/>
        <v>0</v>
      </c>
      <c r="AN109" s="652">
        <f t="shared" ca="1" si="50"/>
        <v>0</v>
      </c>
      <c r="AO109" s="652">
        <f t="shared" ca="1" si="50"/>
        <v>0</v>
      </c>
      <c r="AP109" s="652">
        <f t="shared" ca="1" si="50"/>
        <v>97440</v>
      </c>
      <c r="AQ109" s="652">
        <f t="shared" ca="1" si="50"/>
        <v>87640</v>
      </c>
      <c r="AR109" s="652">
        <f t="shared" ca="1" si="50"/>
        <v>78820</v>
      </c>
      <c r="AS109" s="652">
        <f t="shared" ca="1" si="50"/>
        <v>70910</v>
      </c>
      <c r="AT109" s="652">
        <f t="shared" ca="1" si="50"/>
        <v>63769.999999999993</v>
      </c>
      <c r="AU109" s="652">
        <f t="shared" ca="1" si="50"/>
        <v>57330</v>
      </c>
      <c r="AV109" s="652">
        <f t="shared" ca="1" si="50"/>
        <v>51590</v>
      </c>
      <c r="AW109" s="652">
        <f t="shared" ca="1" si="52"/>
        <v>0</v>
      </c>
      <c r="AX109" s="652">
        <f t="shared" ca="1" si="52"/>
        <v>0</v>
      </c>
      <c r="AY109" s="652">
        <f t="shared" ca="1" si="52"/>
        <v>0</v>
      </c>
      <c r="AZ109" s="652">
        <f t="shared" ca="1" si="52"/>
        <v>0</v>
      </c>
      <c r="BA109" s="652">
        <f t="shared" ca="1" si="52"/>
        <v>0</v>
      </c>
      <c r="BB109" s="652">
        <f t="shared" ca="1" si="52"/>
        <v>0</v>
      </c>
      <c r="BC109" s="652">
        <f t="shared" ca="1" si="52"/>
        <v>0</v>
      </c>
      <c r="BD109" s="652">
        <f t="shared" ca="1" si="33"/>
        <v>725000</v>
      </c>
      <c r="BE109" s="652">
        <f t="shared" ca="1" si="52"/>
        <v>0</v>
      </c>
      <c r="BF109" s="652">
        <f t="shared" ca="1" si="52"/>
        <v>0</v>
      </c>
      <c r="BG109" s="652">
        <f t="shared" ca="1" si="52"/>
        <v>30972500</v>
      </c>
      <c r="BH109" s="652">
        <f t="shared" ca="1" si="52"/>
        <v>0</v>
      </c>
      <c r="BI109" s="652">
        <f t="shared" ca="1" si="52"/>
        <v>0</v>
      </c>
      <c r="BJ109" s="652">
        <f t="shared" ca="1" si="52"/>
        <v>97440</v>
      </c>
      <c r="BK109" s="652">
        <f t="shared" ca="1" si="52"/>
        <v>0</v>
      </c>
    </row>
    <row r="110" spans="2:63">
      <c r="B110" s="661">
        <v>2</v>
      </c>
      <c r="C110" s="662" t="s">
        <v>4</v>
      </c>
      <c r="D110" s="660" t="str">
        <f t="shared" ca="1" si="47"/>
        <v>Single Family - Water Heater Demand Conservation</v>
      </c>
      <c r="E110" s="660" t="str">
        <f t="shared" ca="1" si="47"/>
        <v>All year round for each electric water heater on single-family homes</v>
      </c>
      <c r="F110" s="660" t="str">
        <f t="shared" ca="1" si="47"/>
        <v>Per Customer</v>
      </c>
      <c r="G110" s="652">
        <f t="shared" ca="1" si="53"/>
        <v>7600</v>
      </c>
      <c r="H110" s="652">
        <f t="shared" ca="1" si="53"/>
        <v>6800</v>
      </c>
      <c r="I110" s="652">
        <f t="shared" ca="1" si="53"/>
        <v>6100</v>
      </c>
      <c r="J110" s="652">
        <f t="shared" ca="1" si="53"/>
        <v>5400</v>
      </c>
      <c r="K110" s="652">
        <f t="shared" ca="1" si="53"/>
        <v>4800</v>
      </c>
      <c r="L110" s="652">
        <f t="shared" ca="1" si="53"/>
        <v>4300</v>
      </c>
      <c r="M110" s="652">
        <f t="shared" ca="1" si="53"/>
        <v>3800</v>
      </c>
      <c r="N110" s="652">
        <f t="shared" ca="1" si="53"/>
        <v>0</v>
      </c>
      <c r="O110" s="652">
        <f t="shared" ca="1" si="53"/>
        <v>0</v>
      </c>
      <c r="P110" s="652">
        <f t="shared" ca="1" si="53"/>
        <v>0</v>
      </c>
      <c r="Q110" s="652">
        <f t="shared" ca="1" si="53"/>
        <v>0</v>
      </c>
      <c r="R110" s="652">
        <f t="shared" ca="1" si="53"/>
        <v>0</v>
      </c>
      <c r="S110" s="652">
        <f t="shared" ca="1" si="53"/>
        <v>0</v>
      </c>
      <c r="T110" s="652">
        <f t="shared" ca="1" si="53"/>
        <v>0</v>
      </c>
      <c r="U110" s="652">
        <f t="shared" ca="1" si="49"/>
        <v>0</v>
      </c>
      <c r="V110" s="652">
        <f t="shared" ca="1" si="49"/>
        <v>0</v>
      </c>
      <c r="W110" s="652">
        <f t="shared" ca="1" si="49"/>
        <v>0</v>
      </c>
      <c r="X110" s="652">
        <f t="shared" ca="1" si="49"/>
        <v>0</v>
      </c>
      <c r="Y110" s="652">
        <f t="shared" ca="1" si="49"/>
        <v>0</v>
      </c>
      <c r="Z110" s="652">
        <f t="shared" ca="1" si="49"/>
        <v>0</v>
      </c>
      <c r="AA110" s="652">
        <f t="shared" ca="1" si="49"/>
        <v>0</v>
      </c>
      <c r="AB110" s="652">
        <f t="shared" ca="1" si="49"/>
        <v>608000</v>
      </c>
      <c r="AC110" s="652">
        <f t="shared" ca="1" si="49"/>
        <v>544000</v>
      </c>
      <c r="AD110" s="652">
        <f t="shared" ca="1" si="49"/>
        <v>488000</v>
      </c>
      <c r="AE110" s="652">
        <f t="shared" ca="1" si="49"/>
        <v>432000</v>
      </c>
      <c r="AF110" s="652">
        <f t="shared" ca="1" si="49"/>
        <v>384000</v>
      </c>
      <c r="AG110" s="652">
        <f t="shared" ca="1" si="49"/>
        <v>344000</v>
      </c>
      <c r="AH110" s="652">
        <f t="shared" ca="1" si="49"/>
        <v>304000</v>
      </c>
      <c r="AI110" s="652">
        <f t="shared" ca="1" si="50"/>
        <v>0</v>
      </c>
      <c r="AJ110" s="652">
        <f t="shared" ca="1" si="50"/>
        <v>0</v>
      </c>
      <c r="AK110" s="652">
        <f t="shared" ca="1" si="50"/>
        <v>0</v>
      </c>
      <c r="AL110" s="652">
        <f t="shared" ca="1" si="50"/>
        <v>0</v>
      </c>
      <c r="AM110" s="652">
        <f t="shared" ca="1" si="50"/>
        <v>0</v>
      </c>
      <c r="AN110" s="652">
        <f t="shared" ca="1" si="50"/>
        <v>0</v>
      </c>
      <c r="AO110" s="652">
        <f t="shared" ca="1" si="50"/>
        <v>0</v>
      </c>
      <c r="AP110" s="652">
        <f t="shared" ca="1" si="50"/>
        <v>3040</v>
      </c>
      <c r="AQ110" s="652">
        <f t="shared" ca="1" si="50"/>
        <v>2720</v>
      </c>
      <c r="AR110" s="652">
        <f t="shared" ca="1" si="50"/>
        <v>2440</v>
      </c>
      <c r="AS110" s="652">
        <f t="shared" ca="1" si="50"/>
        <v>2160</v>
      </c>
      <c r="AT110" s="652">
        <f t="shared" ca="1" si="50"/>
        <v>1920</v>
      </c>
      <c r="AU110" s="652">
        <f t="shared" ca="1" si="50"/>
        <v>1720</v>
      </c>
      <c r="AV110" s="652">
        <f t="shared" ca="1" si="50"/>
        <v>1520</v>
      </c>
      <c r="AW110" s="652">
        <f t="shared" ca="1" si="52"/>
        <v>0</v>
      </c>
      <c r="AX110" s="652">
        <f t="shared" ca="1" si="52"/>
        <v>0</v>
      </c>
      <c r="AY110" s="652">
        <f t="shared" ca="1" si="52"/>
        <v>0</v>
      </c>
      <c r="AZ110" s="652">
        <f t="shared" ca="1" si="52"/>
        <v>0</v>
      </c>
      <c r="BA110" s="652">
        <f t="shared" ca="1" si="52"/>
        <v>0</v>
      </c>
      <c r="BB110" s="652">
        <f t="shared" ca="1" si="52"/>
        <v>0</v>
      </c>
      <c r="BC110" s="652">
        <f t="shared" ca="1" si="52"/>
        <v>0</v>
      </c>
      <c r="BD110" s="652">
        <f t="shared" ca="1" si="33"/>
        <v>38800</v>
      </c>
      <c r="BE110" s="652">
        <f t="shared" ca="1" si="52"/>
        <v>0</v>
      </c>
      <c r="BF110" s="652">
        <f t="shared" ca="1" si="52"/>
        <v>0</v>
      </c>
      <c r="BG110" s="652">
        <f t="shared" ca="1" si="52"/>
        <v>3104000</v>
      </c>
      <c r="BH110" s="652">
        <f t="shared" ca="1" si="52"/>
        <v>0</v>
      </c>
      <c r="BI110" s="652">
        <f t="shared" ca="1" si="52"/>
        <v>0</v>
      </c>
      <c r="BJ110" s="652">
        <f t="shared" ca="1" si="52"/>
        <v>3040</v>
      </c>
      <c r="BK110" s="652">
        <f t="shared" ca="1" si="52"/>
        <v>0</v>
      </c>
    </row>
    <row r="111" spans="2:63">
      <c r="B111" s="661">
        <v>3</v>
      </c>
      <c r="C111" s="662" t="s">
        <v>4</v>
      </c>
      <c r="D111" s="660" t="str">
        <f t="shared" ca="1" si="47"/>
        <v>Single Family - Pool Pump Demand Conservation</v>
      </c>
      <c r="E111" s="660" t="str">
        <f t="shared" ca="1" si="47"/>
        <v>Summer for each electric in-ground swimming pool pump on single-family homes</v>
      </c>
      <c r="F111" s="660" t="str">
        <f t="shared" ca="1" si="47"/>
        <v>Per Customer</v>
      </c>
      <c r="G111" s="652">
        <f t="shared" ca="1" si="53"/>
        <v>20</v>
      </c>
      <c r="H111" s="652">
        <f t="shared" ca="1" si="53"/>
        <v>20</v>
      </c>
      <c r="I111" s="652">
        <f t="shared" ca="1" si="53"/>
        <v>0</v>
      </c>
      <c r="J111" s="652">
        <f t="shared" ca="1" si="53"/>
        <v>0</v>
      </c>
      <c r="K111" s="652">
        <f t="shared" ca="1" si="53"/>
        <v>0</v>
      </c>
      <c r="L111" s="652">
        <f t="shared" ca="1" si="53"/>
        <v>0</v>
      </c>
      <c r="M111" s="652">
        <f t="shared" ca="1" si="53"/>
        <v>0</v>
      </c>
      <c r="N111" s="652">
        <f t="shared" ca="1" si="53"/>
        <v>0</v>
      </c>
      <c r="O111" s="652">
        <f t="shared" ca="1" si="53"/>
        <v>0</v>
      </c>
      <c r="P111" s="652">
        <f t="shared" ca="1" si="53"/>
        <v>0</v>
      </c>
      <c r="Q111" s="652">
        <f t="shared" ca="1" si="53"/>
        <v>0</v>
      </c>
      <c r="R111" s="652">
        <f t="shared" ca="1" si="53"/>
        <v>0</v>
      </c>
      <c r="S111" s="652">
        <f t="shared" ca="1" si="53"/>
        <v>0</v>
      </c>
      <c r="T111" s="652">
        <f t="shared" ca="1" si="53"/>
        <v>0</v>
      </c>
      <c r="U111" s="652">
        <f t="shared" ca="1" si="49"/>
        <v>0</v>
      </c>
      <c r="V111" s="652">
        <f t="shared" ca="1" si="49"/>
        <v>0</v>
      </c>
      <c r="W111" s="652">
        <f t="shared" ca="1" si="49"/>
        <v>0</v>
      </c>
      <c r="X111" s="652">
        <f t="shared" ca="1" si="49"/>
        <v>0</v>
      </c>
      <c r="Y111" s="652">
        <f t="shared" ca="1" si="49"/>
        <v>0</v>
      </c>
      <c r="Z111" s="652">
        <f t="shared" ca="1" si="49"/>
        <v>0</v>
      </c>
      <c r="AA111" s="652">
        <f t="shared" ca="1" si="49"/>
        <v>0</v>
      </c>
      <c r="AB111" s="652">
        <f t="shared" ca="1" si="49"/>
        <v>1600</v>
      </c>
      <c r="AC111" s="652">
        <f t="shared" ca="1" si="49"/>
        <v>1600</v>
      </c>
      <c r="AD111" s="652">
        <f t="shared" ca="1" si="49"/>
        <v>0</v>
      </c>
      <c r="AE111" s="652">
        <f t="shared" ca="1" si="49"/>
        <v>0</v>
      </c>
      <c r="AF111" s="652">
        <f t="shared" ca="1" si="49"/>
        <v>0</v>
      </c>
      <c r="AG111" s="652">
        <f t="shared" ca="1" si="49"/>
        <v>0</v>
      </c>
      <c r="AH111" s="652">
        <f t="shared" ca="1" si="49"/>
        <v>0</v>
      </c>
      <c r="AI111" s="652">
        <f t="shared" ca="1" si="50"/>
        <v>0</v>
      </c>
      <c r="AJ111" s="652">
        <f t="shared" ca="1" si="50"/>
        <v>0</v>
      </c>
      <c r="AK111" s="652">
        <f t="shared" ca="1" si="50"/>
        <v>0</v>
      </c>
      <c r="AL111" s="652">
        <f t="shared" ca="1" si="50"/>
        <v>0</v>
      </c>
      <c r="AM111" s="652">
        <f t="shared" ca="1" si="50"/>
        <v>0</v>
      </c>
      <c r="AN111" s="652">
        <f t="shared" ca="1" si="50"/>
        <v>0</v>
      </c>
      <c r="AO111" s="652">
        <f t="shared" ca="1" si="50"/>
        <v>0</v>
      </c>
      <c r="AP111" s="652">
        <f t="shared" ca="1" si="50"/>
        <v>8</v>
      </c>
      <c r="AQ111" s="652">
        <f t="shared" ca="1" si="50"/>
        <v>8</v>
      </c>
      <c r="AR111" s="652">
        <f t="shared" ca="1" si="50"/>
        <v>0</v>
      </c>
      <c r="AS111" s="652">
        <f t="shared" ca="1" si="50"/>
        <v>0</v>
      </c>
      <c r="AT111" s="652">
        <f t="shared" ca="1" si="50"/>
        <v>0</v>
      </c>
      <c r="AU111" s="652">
        <f t="shared" ca="1" si="50"/>
        <v>0</v>
      </c>
      <c r="AV111" s="652">
        <f t="shared" ca="1" si="50"/>
        <v>0</v>
      </c>
      <c r="AW111" s="652">
        <f t="shared" ca="1" si="52"/>
        <v>0</v>
      </c>
      <c r="AX111" s="652">
        <f t="shared" ca="1" si="52"/>
        <v>0</v>
      </c>
      <c r="AY111" s="652">
        <f t="shared" ca="1" si="52"/>
        <v>0</v>
      </c>
      <c r="AZ111" s="652">
        <f t="shared" ca="1" si="52"/>
        <v>0</v>
      </c>
      <c r="BA111" s="652">
        <f t="shared" ca="1" si="52"/>
        <v>0</v>
      </c>
      <c r="BB111" s="652">
        <f t="shared" ca="1" si="52"/>
        <v>0</v>
      </c>
      <c r="BC111" s="652">
        <f t="shared" ca="1" si="52"/>
        <v>0</v>
      </c>
      <c r="BD111" s="652">
        <f t="shared" ca="1" si="33"/>
        <v>40</v>
      </c>
      <c r="BE111" s="652">
        <f t="shared" ca="1" si="52"/>
        <v>0</v>
      </c>
      <c r="BF111" s="652">
        <f t="shared" ca="1" si="52"/>
        <v>0</v>
      </c>
      <c r="BG111" s="652">
        <f t="shared" ca="1" si="52"/>
        <v>3200</v>
      </c>
      <c r="BH111" s="652">
        <f t="shared" ca="1" si="52"/>
        <v>0</v>
      </c>
      <c r="BI111" s="652">
        <f t="shared" ca="1" si="52"/>
        <v>0</v>
      </c>
      <c r="BJ111" s="652">
        <f t="shared" ca="1" si="52"/>
        <v>8</v>
      </c>
      <c r="BK111" s="652">
        <f t="shared" ca="1" si="52"/>
        <v>0</v>
      </c>
    </row>
    <row r="112" spans="2:63">
      <c r="B112" s="661">
        <v>4</v>
      </c>
      <c r="C112" s="662" t="s">
        <v>4</v>
      </c>
      <c r="D112" s="660" t="str">
        <f t="shared" ca="1" si="47"/>
        <v>Multi-Family - AC and ASHP Demand Conservation</v>
      </c>
      <c r="E112" s="660" t="str">
        <f t="shared" ca="1" si="47"/>
        <v>Summer for each central air conditioning unit and all year round for each heat pump on on multifamily homes</v>
      </c>
      <c r="F112" s="660" t="str">
        <f t="shared" ca="1" si="47"/>
        <v>Per Customer</v>
      </c>
      <c r="G112" s="652">
        <f t="shared" ca="1" si="53"/>
        <v>27000</v>
      </c>
      <c r="H112" s="652">
        <f t="shared" ca="1" si="53"/>
        <v>24300</v>
      </c>
      <c r="I112" s="652">
        <f t="shared" ca="1" si="53"/>
        <v>21800</v>
      </c>
      <c r="J112" s="652">
        <f t="shared" ca="1" si="53"/>
        <v>19600</v>
      </c>
      <c r="K112" s="652">
        <f t="shared" ca="1" si="53"/>
        <v>17600</v>
      </c>
      <c r="L112" s="652">
        <f t="shared" ca="1" si="53"/>
        <v>15800</v>
      </c>
      <c r="M112" s="652">
        <f t="shared" ca="1" si="53"/>
        <v>14200</v>
      </c>
      <c r="N112" s="652">
        <f t="shared" ca="1" si="53"/>
        <v>0</v>
      </c>
      <c r="O112" s="652">
        <f t="shared" ca="1" si="53"/>
        <v>0</v>
      </c>
      <c r="P112" s="652">
        <f t="shared" ca="1" si="53"/>
        <v>0</v>
      </c>
      <c r="Q112" s="652">
        <f t="shared" ca="1" si="53"/>
        <v>0</v>
      </c>
      <c r="R112" s="652">
        <f t="shared" ca="1" si="53"/>
        <v>0</v>
      </c>
      <c r="S112" s="652">
        <f t="shared" ca="1" si="53"/>
        <v>0</v>
      </c>
      <c r="T112" s="652">
        <f t="shared" ca="1" si="53"/>
        <v>0</v>
      </c>
      <c r="U112" s="652">
        <f t="shared" ca="1" si="49"/>
        <v>0</v>
      </c>
      <c r="V112" s="652">
        <f t="shared" ca="1" si="49"/>
        <v>0</v>
      </c>
      <c r="W112" s="652">
        <f t="shared" ca="1" si="49"/>
        <v>0</v>
      </c>
      <c r="X112" s="652">
        <f t="shared" ca="1" si="49"/>
        <v>0</v>
      </c>
      <c r="Y112" s="652">
        <f t="shared" ca="1" si="49"/>
        <v>0</v>
      </c>
      <c r="Z112" s="652">
        <f t="shared" ca="1" si="49"/>
        <v>0</v>
      </c>
      <c r="AA112" s="652">
        <f t="shared" ca="1" si="49"/>
        <v>0</v>
      </c>
      <c r="AB112" s="652">
        <f t="shared" ca="1" si="49"/>
        <v>216000</v>
      </c>
      <c r="AC112" s="652">
        <f t="shared" ca="1" si="49"/>
        <v>194400</v>
      </c>
      <c r="AD112" s="652">
        <f t="shared" ca="1" si="49"/>
        <v>174400</v>
      </c>
      <c r="AE112" s="652">
        <f t="shared" ca="1" si="49"/>
        <v>392000</v>
      </c>
      <c r="AF112" s="652">
        <f t="shared" ca="1" si="49"/>
        <v>1408000</v>
      </c>
      <c r="AG112" s="652">
        <f t="shared" ca="1" si="49"/>
        <v>1264000</v>
      </c>
      <c r="AH112" s="652">
        <f t="shared" ca="1" si="49"/>
        <v>1136000</v>
      </c>
      <c r="AI112" s="652">
        <f t="shared" ca="1" si="50"/>
        <v>0</v>
      </c>
      <c r="AJ112" s="652">
        <f t="shared" ca="1" si="50"/>
        <v>0</v>
      </c>
      <c r="AK112" s="652">
        <f t="shared" ca="1" si="50"/>
        <v>0</v>
      </c>
      <c r="AL112" s="652">
        <f t="shared" ca="1" si="50"/>
        <v>0</v>
      </c>
      <c r="AM112" s="652">
        <f t="shared" ca="1" si="50"/>
        <v>0</v>
      </c>
      <c r="AN112" s="652">
        <f t="shared" ca="1" si="50"/>
        <v>0</v>
      </c>
      <c r="AO112" s="652">
        <f t="shared" ca="1" si="50"/>
        <v>0</v>
      </c>
      <c r="AP112" s="652">
        <f t="shared" ca="1" si="50"/>
        <v>18900</v>
      </c>
      <c r="AQ112" s="652">
        <f t="shared" ca="1" si="50"/>
        <v>17010</v>
      </c>
      <c r="AR112" s="652">
        <f t="shared" ca="1" si="50"/>
        <v>15259.999999999998</v>
      </c>
      <c r="AS112" s="652">
        <f t="shared" ca="1" si="50"/>
        <v>13720</v>
      </c>
      <c r="AT112" s="652">
        <f t="shared" ca="1" si="50"/>
        <v>12320</v>
      </c>
      <c r="AU112" s="652">
        <f t="shared" ca="1" si="50"/>
        <v>11060</v>
      </c>
      <c r="AV112" s="652">
        <f t="shared" ca="1" si="50"/>
        <v>9940</v>
      </c>
      <c r="AW112" s="652">
        <f t="shared" ca="1" si="52"/>
        <v>0</v>
      </c>
      <c r="AX112" s="652">
        <f t="shared" ca="1" si="52"/>
        <v>0</v>
      </c>
      <c r="AY112" s="652">
        <f t="shared" ca="1" si="52"/>
        <v>0</v>
      </c>
      <c r="AZ112" s="652">
        <f t="shared" ca="1" si="52"/>
        <v>0</v>
      </c>
      <c r="BA112" s="652">
        <f t="shared" ca="1" si="52"/>
        <v>0</v>
      </c>
      <c r="BB112" s="652">
        <f t="shared" ca="1" si="52"/>
        <v>0</v>
      </c>
      <c r="BC112" s="652">
        <f t="shared" ca="1" si="52"/>
        <v>0</v>
      </c>
      <c r="BD112" s="652">
        <f t="shared" ca="1" si="33"/>
        <v>140300</v>
      </c>
      <c r="BE112" s="652">
        <f t="shared" ca="1" si="52"/>
        <v>0</v>
      </c>
      <c r="BF112" s="652">
        <f t="shared" ca="1" si="52"/>
        <v>0</v>
      </c>
      <c r="BG112" s="652">
        <f t="shared" ca="1" si="52"/>
        <v>4784800</v>
      </c>
      <c r="BH112" s="652">
        <f t="shared" ca="1" si="52"/>
        <v>0</v>
      </c>
      <c r="BI112" s="652">
        <f t="shared" ca="1" si="52"/>
        <v>0</v>
      </c>
      <c r="BJ112" s="652">
        <f t="shared" ca="1" si="52"/>
        <v>18900</v>
      </c>
      <c r="BK112" s="652">
        <f t="shared" ca="1" si="52"/>
        <v>0</v>
      </c>
    </row>
    <row r="113" spans="2:63">
      <c r="B113" s="661">
        <v>5</v>
      </c>
      <c r="C113" s="662" t="s">
        <v>4</v>
      </c>
      <c r="D113" s="660" t="str">
        <f t="shared" ca="1" si="47"/>
        <v>Multi-Family - Water Heater Demand Conservation</v>
      </c>
      <c r="E113" s="660" t="str">
        <f t="shared" ca="1" si="47"/>
        <v>All year round for each electric water heater on multifamily homes</v>
      </c>
      <c r="F113" s="660" t="str">
        <f t="shared" ca="1" si="47"/>
        <v>Per Customer</v>
      </c>
      <c r="G113" s="652">
        <f t="shared" ca="1" si="53"/>
        <v>40</v>
      </c>
      <c r="H113" s="652">
        <f t="shared" ca="1" si="53"/>
        <v>38</v>
      </c>
      <c r="I113" s="652">
        <f t="shared" ca="1" si="53"/>
        <v>0</v>
      </c>
      <c r="J113" s="652">
        <f t="shared" ca="1" si="53"/>
        <v>0</v>
      </c>
      <c r="K113" s="652">
        <f t="shared" ca="1" si="53"/>
        <v>0</v>
      </c>
      <c r="L113" s="652">
        <f t="shared" ca="1" si="53"/>
        <v>0</v>
      </c>
      <c r="M113" s="652">
        <f t="shared" ca="1" si="53"/>
        <v>0</v>
      </c>
      <c r="N113" s="652">
        <f t="shared" ca="1" si="53"/>
        <v>0</v>
      </c>
      <c r="O113" s="652">
        <f t="shared" ca="1" si="53"/>
        <v>0</v>
      </c>
      <c r="P113" s="652">
        <f t="shared" ca="1" si="53"/>
        <v>0</v>
      </c>
      <c r="Q113" s="652">
        <f t="shared" ca="1" si="53"/>
        <v>0</v>
      </c>
      <c r="R113" s="652">
        <f t="shared" ca="1" si="53"/>
        <v>0</v>
      </c>
      <c r="S113" s="652">
        <f t="shared" ca="1" si="53"/>
        <v>0</v>
      </c>
      <c r="T113" s="652">
        <f t="shared" ca="1" si="53"/>
        <v>0</v>
      </c>
      <c r="U113" s="652">
        <f t="shared" ca="1" si="49"/>
        <v>0</v>
      </c>
      <c r="V113" s="652">
        <f t="shared" ca="1" si="49"/>
        <v>0</v>
      </c>
      <c r="W113" s="652">
        <f t="shared" ca="1" si="49"/>
        <v>0</v>
      </c>
      <c r="X113" s="652">
        <f t="shared" ca="1" si="49"/>
        <v>0</v>
      </c>
      <c r="Y113" s="652">
        <f t="shared" ca="1" si="49"/>
        <v>0</v>
      </c>
      <c r="Z113" s="652">
        <f t="shared" ca="1" si="49"/>
        <v>0</v>
      </c>
      <c r="AA113" s="652">
        <f t="shared" ca="1" si="49"/>
        <v>0</v>
      </c>
      <c r="AB113" s="652">
        <f t="shared" ca="1" si="49"/>
        <v>6400</v>
      </c>
      <c r="AC113" s="652">
        <f t="shared" ca="1" si="49"/>
        <v>6080</v>
      </c>
      <c r="AD113" s="652">
        <f t="shared" ca="1" si="49"/>
        <v>0</v>
      </c>
      <c r="AE113" s="652">
        <f t="shared" ca="1" si="49"/>
        <v>0</v>
      </c>
      <c r="AF113" s="652">
        <f t="shared" ca="1" si="49"/>
        <v>0</v>
      </c>
      <c r="AG113" s="652">
        <f t="shared" ca="1" si="49"/>
        <v>0</v>
      </c>
      <c r="AH113" s="652">
        <f t="shared" ca="1" si="49"/>
        <v>0</v>
      </c>
      <c r="AI113" s="652">
        <f t="shared" ca="1" si="50"/>
        <v>0</v>
      </c>
      <c r="AJ113" s="652">
        <f t="shared" ca="1" si="50"/>
        <v>0</v>
      </c>
      <c r="AK113" s="652">
        <f t="shared" ca="1" si="50"/>
        <v>0</v>
      </c>
      <c r="AL113" s="652">
        <f t="shared" ca="1" si="50"/>
        <v>0</v>
      </c>
      <c r="AM113" s="652">
        <f t="shared" ca="1" si="50"/>
        <v>0</v>
      </c>
      <c r="AN113" s="652">
        <f t="shared" ca="1" si="50"/>
        <v>0</v>
      </c>
      <c r="AO113" s="652">
        <f t="shared" ca="1" si="50"/>
        <v>0</v>
      </c>
      <c r="AP113" s="652">
        <f t="shared" ca="1" si="50"/>
        <v>16</v>
      </c>
      <c r="AQ113" s="652">
        <f t="shared" ca="1" si="50"/>
        <v>15.200000000000001</v>
      </c>
      <c r="AR113" s="652">
        <f t="shared" ca="1" si="50"/>
        <v>0</v>
      </c>
      <c r="AS113" s="652">
        <f t="shared" ca="1" si="50"/>
        <v>0</v>
      </c>
      <c r="AT113" s="652">
        <f t="shared" ca="1" si="50"/>
        <v>0</v>
      </c>
      <c r="AU113" s="652">
        <f t="shared" ca="1" si="50"/>
        <v>0</v>
      </c>
      <c r="AV113" s="652">
        <f t="shared" ca="1" si="50"/>
        <v>0</v>
      </c>
      <c r="AW113" s="652">
        <f t="shared" ca="1" si="52"/>
        <v>0</v>
      </c>
      <c r="AX113" s="652">
        <f t="shared" ca="1" si="52"/>
        <v>0</v>
      </c>
      <c r="AY113" s="652">
        <f t="shared" ca="1" si="52"/>
        <v>0</v>
      </c>
      <c r="AZ113" s="652">
        <f t="shared" ca="1" si="52"/>
        <v>0</v>
      </c>
      <c r="BA113" s="652">
        <f t="shared" ca="1" si="52"/>
        <v>0</v>
      </c>
      <c r="BB113" s="652">
        <f t="shared" ca="1" si="52"/>
        <v>0</v>
      </c>
      <c r="BC113" s="652">
        <f t="shared" ca="1" si="52"/>
        <v>0</v>
      </c>
      <c r="BD113" s="652">
        <f t="shared" ca="1" si="33"/>
        <v>78</v>
      </c>
      <c r="BE113" s="652">
        <f t="shared" ca="1" si="52"/>
        <v>0</v>
      </c>
      <c r="BF113" s="652">
        <f t="shared" ca="1" si="52"/>
        <v>0</v>
      </c>
      <c r="BG113" s="652">
        <f t="shared" ca="1" si="52"/>
        <v>12480</v>
      </c>
      <c r="BH113" s="652">
        <f t="shared" ca="1" si="52"/>
        <v>0</v>
      </c>
      <c r="BI113" s="652">
        <f t="shared" ca="1" si="52"/>
        <v>0</v>
      </c>
      <c r="BJ113" s="652">
        <f t="shared" ca="1" si="52"/>
        <v>16</v>
      </c>
      <c r="BK113" s="652">
        <f t="shared" ca="1" si="52"/>
        <v>0</v>
      </c>
    </row>
    <row r="114" spans="2:63">
      <c r="B114" s="661">
        <v>6</v>
      </c>
      <c r="C114" s="662" t="s">
        <v>4</v>
      </c>
      <c r="D114" s="660" t="str">
        <f t="shared" ca="1" si="47"/>
        <v>Multi-Family - Pool Pump Demand Conservation</v>
      </c>
      <c r="E114" s="660" t="str">
        <f t="shared" ca="1" si="47"/>
        <v>Summer for each electric in-ground swimming pool pump on multifamily homes</v>
      </c>
      <c r="F114" s="660" t="str">
        <f t="shared" ca="1" si="47"/>
        <v>Per Customer</v>
      </c>
      <c r="G114" s="652">
        <f t="shared" ca="1" si="53"/>
        <v>0</v>
      </c>
      <c r="H114" s="652">
        <f t="shared" ca="1" si="53"/>
        <v>0</v>
      </c>
      <c r="I114" s="652">
        <f t="shared" ca="1" si="53"/>
        <v>0</v>
      </c>
      <c r="J114" s="652">
        <f t="shared" ca="1" si="53"/>
        <v>0</v>
      </c>
      <c r="K114" s="652">
        <f t="shared" ca="1" si="53"/>
        <v>0</v>
      </c>
      <c r="L114" s="652">
        <f t="shared" ca="1" si="53"/>
        <v>0</v>
      </c>
      <c r="M114" s="652">
        <f t="shared" ca="1" si="53"/>
        <v>0</v>
      </c>
      <c r="N114" s="652">
        <f t="shared" ca="1" si="53"/>
        <v>0</v>
      </c>
      <c r="O114" s="652">
        <f t="shared" ca="1" si="53"/>
        <v>0</v>
      </c>
      <c r="P114" s="652">
        <f t="shared" ca="1" si="53"/>
        <v>0</v>
      </c>
      <c r="Q114" s="652">
        <f t="shared" ca="1" si="53"/>
        <v>0</v>
      </c>
      <c r="R114" s="652">
        <f t="shared" ca="1" si="53"/>
        <v>0</v>
      </c>
      <c r="S114" s="652">
        <f t="shared" ca="1" si="53"/>
        <v>0</v>
      </c>
      <c r="T114" s="652">
        <f t="shared" ca="1" si="53"/>
        <v>0</v>
      </c>
      <c r="U114" s="652">
        <f t="shared" ca="1" si="49"/>
        <v>0</v>
      </c>
      <c r="V114" s="652">
        <f t="shared" ca="1" si="49"/>
        <v>0</v>
      </c>
      <c r="W114" s="652">
        <f t="shared" ca="1" si="49"/>
        <v>0</v>
      </c>
      <c r="X114" s="652">
        <f t="shared" ca="1" si="49"/>
        <v>0</v>
      </c>
      <c r="Y114" s="652">
        <f t="shared" ca="1" si="49"/>
        <v>0</v>
      </c>
      <c r="Z114" s="652">
        <f t="shared" ca="1" si="49"/>
        <v>0</v>
      </c>
      <c r="AA114" s="652">
        <f t="shared" ca="1" si="49"/>
        <v>0</v>
      </c>
      <c r="AB114" s="652">
        <f t="shared" ca="1" si="49"/>
        <v>0</v>
      </c>
      <c r="AC114" s="652">
        <f t="shared" ca="1" si="49"/>
        <v>0</v>
      </c>
      <c r="AD114" s="652">
        <f t="shared" ca="1" si="49"/>
        <v>0</v>
      </c>
      <c r="AE114" s="652">
        <f t="shared" ca="1" si="49"/>
        <v>0</v>
      </c>
      <c r="AF114" s="652">
        <f t="shared" ca="1" si="49"/>
        <v>0</v>
      </c>
      <c r="AG114" s="652">
        <f t="shared" ca="1" si="49"/>
        <v>0</v>
      </c>
      <c r="AH114" s="652">
        <f t="shared" ca="1" si="49"/>
        <v>0</v>
      </c>
      <c r="AI114" s="652">
        <f t="shared" ca="1" si="50"/>
        <v>0</v>
      </c>
      <c r="AJ114" s="652">
        <f t="shared" ca="1" si="50"/>
        <v>0</v>
      </c>
      <c r="AK114" s="652">
        <f t="shared" ca="1" si="50"/>
        <v>0</v>
      </c>
      <c r="AL114" s="652">
        <f t="shared" ca="1" si="50"/>
        <v>0</v>
      </c>
      <c r="AM114" s="652">
        <f t="shared" ca="1" si="50"/>
        <v>0</v>
      </c>
      <c r="AN114" s="652">
        <f t="shared" ca="1" si="50"/>
        <v>0</v>
      </c>
      <c r="AO114" s="652">
        <f t="shared" ca="1" si="50"/>
        <v>0</v>
      </c>
      <c r="AP114" s="652">
        <f t="shared" ca="1" si="50"/>
        <v>0</v>
      </c>
      <c r="AQ114" s="652">
        <f t="shared" ca="1" si="50"/>
        <v>0</v>
      </c>
      <c r="AR114" s="652">
        <f t="shared" ca="1" si="50"/>
        <v>0</v>
      </c>
      <c r="AS114" s="652">
        <f t="shared" ca="1" si="50"/>
        <v>0</v>
      </c>
      <c r="AT114" s="652">
        <f t="shared" ca="1" si="50"/>
        <v>0</v>
      </c>
      <c r="AU114" s="652">
        <f t="shared" ca="1" si="50"/>
        <v>0</v>
      </c>
      <c r="AV114" s="652">
        <f t="shared" ca="1" si="50"/>
        <v>0</v>
      </c>
      <c r="AW114" s="652">
        <f t="shared" ca="1" si="52"/>
        <v>0</v>
      </c>
      <c r="AX114" s="652">
        <f t="shared" ca="1" si="52"/>
        <v>0</v>
      </c>
      <c r="AY114" s="652">
        <f t="shared" ca="1" si="52"/>
        <v>0</v>
      </c>
      <c r="AZ114" s="652">
        <f t="shared" ca="1" si="52"/>
        <v>0</v>
      </c>
      <c r="BA114" s="652">
        <f t="shared" ca="1" si="52"/>
        <v>0</v>
      </c>
      <c r="BB114" s="652">
        <f t="shared" ca="1" si="52"/>
        <v>0</v>
      </c>
      <c r="BC114" s="652">
        <f t="shared" ca="1" si="52"/>
        <v>0</v>
      </c>
      <c r="BD114" s="652">
        <f t="shared" ca="1" si="33"/>
        <v>0</v>
      </c>
      <c r="BE114" s="652">
        <f t="shared" ca="1" si="52"/>
        <v>0</v>
      </c>
      <c r="BF114" s="652">
        <f t="shared" ca="1" si="52"/>
        <v>0</v>
      </c>
      <c r="BG114" s="652">
        <f t="shared" ca="1" si="52"/>
        <v>0</v>
      </c>
      <c r="BH114" s="652">
        <f t="shared" ca="1" si="52"/>
        <v>0</v>
      </c>
      <c r="BI114" s="652">
        <f t="shared" ca="1" si="52"/>
        <v>0</v>
      </c>
      <c r="BJ114" s="652">
        <f t="shared" ca="1" si="52"/>
        <v>0</v>
      </c>
      <c r="BK114" s="652">
        <f t="shared" ca="1" si="52"/>
        <v>0</v>
      </c>
    </row>
    <row r="115" spans="2:63">
      <c r="B115" s="661">
        <v>7</v>
      </c>
      <c r="C115" s="662" t="s">
        <v>4</v>
      </c>
      <c r="D115" s="660" t="str">
        <f t="shared" ca="1" si="47"/>
        <v>Small Commercial - AC Demand Conservation</v>
      </c>
      <c r="E115" s="660" t="str">
        <f t="shared" ca="1" si="47"/>
        <v>Summer for each air conditioning unit</v>
      </c>
      <c r="F115" s="660" t="str">
        <f t="shared" ca="1" si="47"/>
        <v>Per Customer</v>
      </c>
      <c r="G115" s="652">
        <f t="shared" ca="1" si="53"/>
        <v>2900</v>
      </c>
      <c r="H115" s="652">
        <f t="shared" ca="1" si="53"/>
        <v>2600</v>
      </c>
      <c r="I115" s="652">
        <f t="shared" ca="1" si="53"/>
        <v>2300</v>
      </c>
      <c r="J115" s="652">
        <f t="shared" ca="1" si="53"/>
        <v>2000</v>
      </c>
      <c r="K115" s="652">
        <f t="shared" ca="1" si="53"/>
        <v>1800</v>
      </c>
      <c r="L115" s="652">
        <f t="shared" ca="1" si="53"/>
        <v>1600</v>
      </c>
      <c r="M115" s="652">
        <f t="shared" ca="1" si="53"/>
        <v>1400</v>
      </c>
      <c r="N115" s="652">
        <f t="shared" ca="1" si="53"/>
        <v>0</v>
      </c>
      <c r="O115" s="652">
        <f t="shared" ca="1" si="53"/>
        <v>0</v>
      </c>
      <c r="P115" s="652">
        <f t="shared" ca="1" si="53"/>
        <v>0</v>
      </c>
      <c r="Q115" s="652">
        <f t="shared" ca="1" si="53"/>
        <v>0</v>
      </c>
      <c r="R115" s="652">
        <f t="shared" ca="1" si="53"/>
        <v>0</v>
      </c>
      <c r="S115" s="652">
        <f t="shared" ca="1" si="53"/>
        <v>0</v>
      </c>
      <c r="T115" s="652">
        <f t="shared" ca="1" si="53"/>
        <v>0</v>
      </c>
      <c r="U115" s="652">
        <f t="shared" ca="1" si="49"/>
        <v>0</v>
      </c>
      <c r="V115" s="652">
        <f t="shared" ca="1" si="49"/>
        <v>0</v>
      </c>
      <c r="W115" s="652">
        <f t="shared" ca="1" si="49"/>
        <v>0</v>
      </c>
      <c r="X115" s="652">
        <f t="shared" ca="1" si="49"/>
        <v>0</v>
      </c>
      <c r="Y115" s="652">
        <f t="shared" ca="1" si="49"/>
        <v>0</v>
      </c>
      <c r="Z115" s="652">
        <f t="shared" ca="1" si="49"/>
        <v>0</v>
      </c>
      <c r="AA115" s="652">
        <f t="shared" ca="1" si="49"/>
        <v>0</v>
      </c>
      <c r="AB115" s="652">
        <f t="shared" ca="1" si="49"/>
        <v>106685.09020305799</v>
      </c>
      <c r="AC115" s="652">
        <f t="shared" ca="1" si="49"/>
        <v>95648.701561362337</v>
      </c>
      <c r="AD115" s="652">
        <f t="shared" ca="1" si="49"/>
        <v>84612.312919666685</v>
      </c>
      <c r="AE115" s="652">
        <f t="shared" ca="1" si="49"/>
        <v>73575.924277971033</v>
      </c>
      <c r="AF115" s="652">
        <f t="shared" ca="1" si="49"/>
        <v>66218.331850173927</v>
      </c>
      <c r="AG115" s="652">
        <f t="shared" ca="1" si="49"/>
        <v>58860.739422376821</v>
      </c>
      <c r="AH115" s="652">
        <f t="shared" ca="1" si="49"/>
        <v>51503.146994579722</v>
      </c>
      <c r="AI115" s="652">
        <f t="shared" ca="1" si="50"/>
        <v>0</v>
      </c>
      <c r="AJ115" s="652">
        <f t="shared" ca="1" si="50"/>
        <v>0</v>
      </c>
      <c r="AK115" s="652">
        <f t="shared" ca="1" si="50"/>
        <v>0</v>
      </c>
      <c r="AL115" s="652">
        <f t="shared" ca="1" si="50"/>
        <v>0</v>
      </c>
      <c r="AM115" s="652">
        <f t="shared" ca="1" si="50"/>
        <v>0</v>
      </c>
      <c r="AN115" s="652">
        <f t="shared" ca="1" si="50"/>
        <v>0</v>
      </c>
      <c r="AO115" s="652">
        <f t="shared" ca="1" si="50"/>
        <v>0</v>
      </c>
      <c r="AP115" s="652">
        <f t="shared" ca="1" si="50"/>
        <v>4611</v>
      </c>
      <c r="AQ115" s="652">
        <f t="shared" ca="1" si="50"/>
        <v>4134</v>
      </c>
      <c r="AR115" s="652">
        <f t="shared" ca="1" si="50"/>
        <v>3657</v>
      </c>
      <c r="AS115" s="652">
        <f t="shared" ca="1" si="50"/>
        <v>3180</v>
      </c>
      <c r="AT115" s="652">
        <f t="shared" ca="1" si="50"/>
        <v>2862</v>
      </c>
      <c r="AU115" s="652">
        <f t="shared" ca="1" si="50"/>
        <v>2544</v>
      </c>
      <c r="AV115" s="652">
        <f t="shared" ca="1" si="50"/>
        <v>2226</v>
      </c>
      <c r="AW115" s="652">
        <f t="shared" ca="1" si="52"/>
        <v>0</v>
      </c>
      <c r="AX115" s="652">
        <f t="shared" ca="1" si="52"/>
        <v>0</v>
      </c>
      <c r="AY115" s="652">
        <f t="shared" ca="1" si="52"/>
        <v>0</v>
      </c>
      <c r="AZ115" s="652">
        <f t="shared" ca="1" si="52"/>
        <v>0</v>
      </c>
      <c r="BA115" s="652">
        <f t="shared" ca="1" si="52"/>
        <v>0</v>
      </c>
      <c r="BB115" s="652">
        <f t="shared" ca="1" si="52"/>
        <v>0</v>
      </c>
      <c r="BC115" s="652">
        <f t="shared" ca="1" si="52"/>
        <v>0</v>
      </c>
      <c r="BD115" s="652">
        <f t="shared" ca="1" si="33"/>
        <v>14600</v>
      </c>
      <c r="BE115" s="652">
        <f t="shared" ca="1" si="52"/>
        <v>0</v>
      </c>
      <c r="BF115" s="652">
        <f t="shared" ca="1" si="52"/>
        <v>0</v>
      </c>
      <c r="BG115" s="652">
        <f t="shared" ca="1" si="52"/>
        <v>537104.24722918856</v>
      </c>
      <c r="BH115" s="652">
        <f t="shared" ca="1" si="52"/>
        <v>0</v>
      </c>
      <c r="BI115" s="652">
        <f t="shared" ca="1" si="52"/>
        <v>0</v>
      </c>
      <c r="BJ115" s="652">
        <f t="shared" ca="1" si="52"/>
        <v>4611</v>
      </c>
      <c r="BK115" s="652">
        <f t="shared" ca="1" si="52"/>
        <v>0</v>
      </c>
    </row>
    <row r="116" spans="2:63">
      <c r="B116" s="661">
        <v>8</v>
      </c>
      <c r="C116" s="662" t="s">
        <v>4</v>
      </c>
      <c r="D116" s="660" t="str">
        <f t="shared" ca="1" si="47"/>
        <v>Small Commercial - Water Heater Demand Conservation</v>
      </c>
      <c r="E116" s="660" t="str">
        <f t="shared" ca="1" si="47"/>
        <v>All year round for each water heater unit</v>
      </c>
      <c r="F116" s="660" t="str">
        <f t="shared" ca="1" si="47"/>
        <v>Per Customer</v>
      </c>
      <c r="G116" s="652">
        <f t="shared" ca="1" si="53"/>
        <v>300</v>
      </c>
      <c r="H116" s="652">
        <f t="shared" ca="1" si="53"/>
        <v>270</v>
      </c>
      <c r="I116" s="652">
        <f t="shared" ca="1" si="53"/>
        <v>200</v>
      </c>
      <c r="J116" s="652">
        <f t="shared" ca="1" si="53"/>
        <v>100</v>
      </c>
      <c r="K116" s="652">
        <f t="shared" ca="1" si="53"/>
        <v>0</v>
      </c>
      <c r="L116" s="652">
        <f t="shared" ca="1" si="53"/>
        <v>0</v>
      </c>
      <c r="M116" s="652">
        <f t="shared" ca="1" si="53"/>
        <v>0</v>
      </c>
      <c r="N116" s="652">
        <f t="shared" ca="1" si="53"/>
        <v>0</v>
      </c>
      <c r="O116" s="652">
        <f t="shared" ca="1" si="53"/>
        <v>0</v>
      </c>
      <c r="P116" s="652">
        <f t="shared" ca="1" si="53"/>
        <v>0</v>
      </c>
      <c r="Q116" s="652">
        <f t="shared" ca="1" si="53"/>
        <v>0</v>
      </c>
      <c r="R116" s="652">
        <f t="shared" ca="1" si="53"/>
        <v>0</v>
      </c>
      <c r="S116" s="652">
        <f t="shared" ca="1" si="53"/>
        <v>0</v>
      </c>
      <c r="T116" s="652">
        <f t="shared" ca="1" si="53"/>
        <v>0</v>
      </c>
      <c r="U116" s="652">
        <f t="shared" ca="1" si="49"/>
        <v>0</v>
      </c>
      <c r="V116" s="652">
        <f t="shared" ca="1" si="49"/>
        <v>0</v>
      </c>
      <c r="W116" s="652">
        <f t="shared" ca="1" si="49"/>
        <v>0</v>
      </c>
      <c r="X116" s="652">
        <f t="shared" ca="1" si="49"/>
        <v>0</v>
      </c>
      <c r="Y116" s="652">
        <f t="shared" ca="1" si="49"/>
        <v>0</v>
      </c>
      <c r="Z116" s="652">
        <f t="shared" ca="1" si="49"/>
        <v>0</v>
      </c>
      <c r="AA116" s="652">
        <f t="shared" ca="1" si="49"/>
        <v>0</v>
      </c>
      <c r="AB116" s="652">
        <f t="shared" ca="1" si="49"/>
        <v>4800</v>
      </c>
      <c r="AC116" s="652">
        <f t="shared" ca="1" si="49"/>
        <v>4320</v>
      </c>
      <c r="AD116" s="652">
        <f t="shared" ca="1" si="49"/>
        <v>3200</v>
      </c>
      <c r="AE116" s="652">
        <f t="shared" ca="1" si="49"/>
        <v>1600</v>
      </c>
      <c r="AF116" s="652">
        <f t="shared" ca="1" si="49"/>
        <v>0</v>
      </c>
      <c r="AG116" s="652">
        <f t="shared" ca="1" si="49"/>
        <v>0</v>
      </c>
      <c r="AH116" s="652">
        <f t="shared" ca="1" si="49"/>
        <v>0</v>
      </c>
      <c r="AI116" s="652">
        <f t="shared" ca="1" si="50"/>
        <v>0</v>
      </c>
      <c r="AJ116" s="652">
        <f t="shared" ca="1" si="50"/>
        <v>0</v>
      </c>
      <c r="AK116" s="652">
        <f t="shared" ca="1" si="50"/>
        <v>0</v>
      </c>
      <c r="AL116" s="652">
        <f t="shared" ca="1" si="50"/>
        <v>0</v>
      </c>
      <c r="AM116" s="652">
        <f t="shared" ca="1" si="50"/>
        <v>0</v>
      </c>
      <c r="AN116" s="652">
        <f t="shared" ca="1" si="50"/>
        <v>0</v>
      </c>
      <c r="AO116" s="652">
        <f t="shared" ca="1" si="50"/>
        <v>0</v>
      </c>
      <c r="AP116" s="652">
        <f t="shared" ca="1" si="50"/>
        <v>120</v>
      </c>
      <c r="AQ116" s="652">
        <f t="shared" ca="1" si="50"/>
        <v>108</v>
      </c>
      <c r="AR116" s="652">
        <f t="shared" ca="1" si="50"/>
        <v>80</v>
      </c>
      <c r="AS116" s="652">
        <f t="shared" ca="1" si="50"/>
        <v>40</v>
      </c>
      <c r="AT116" s="652">
        <f t="shared" ca="1" si="50"/>
        <v>0</v>
      </c>
      <c r="AU116" s="652">
        <f t="shared" ca="1" si="50"/>
        <v>0</v>
      </c>
      <c r="AV116" s="652">
        <f t="shared" ca="1" si="50"/>
        <v>0</v>
      </c>
      <c r="AW116" s="652">
        <f t="shared" ca="1" si="52"/>
        <v>0</v>
      </c>
      <c r="AX116" s="652">
        <f t="shared" ca="1" si="52"/>
        <v>0</v>
      </c>
      <c r="AY116" s="652">
        <f t="shared" ca="1" si="52"/>
        <v>0</v>
      </c>
      <c r="AZ116" s="652">
        <f t="shared" ca="1" si="52"/>
        <v>0</v>
      </c>
      <c r="BA116" s="652">
        <f t="shared" ca="1" si="52"/>
        <v>0</v>
      </c>
      <c r="BB116" s="652">
        <f t="shared" ca="1" si="52"/>
        <v>0</v>
      </c>
      <c r="BC116" s="652">
        <f t="shared" ca="1" si="52"/>
        <v>0</v>
      </c>
      <c r="BD116" s="652">
        <f t="shared" ca="1" si="33"/>
        <v>870</v>
      </c>
      <c r="BE116" s="652">
        <f t="shared" ca="1" si="52"/>
        <v>0</v>
      </c>
      <c r="BF116" s="652">
        <f t="shared" ca="1" si="52"/>
        <v>0</v>
      </c>
      <c r="BG116" s="652">
        <f t="shared" ca="1" si="52"/>
        <v>13920</v>
      </c>
      <c r="BH116" s="652">
        <f t="shared" ca="1" si="52"/>
        <v>0</v>
      </c>
      <c r="BI116" s="652">
        <f t="shared" ca="1" si="52"/>
        <v>0</v>
      </c>
      <c r="BJ116" s="652">
        <f t="shared" ca="1" si="52"/>
        <v>120</v>
      </c>
      <c r="BK116" s="652">
        <f t="shared" ca="1" si="52"/>
        <v>0</v>
      </c>
    </row>
    <row r="117" spans="2:63">
      <c r="B117" s="661">
        <v>1</v>
      </c>
      <c r="C117" s="662" t="s">
        <v>65</v>
      </c>
      <c r="D117" s="660" t="str">
        <f t="shared" ca="1" si="47"/>
        <v>Large Nonresidential - Smart Demand Conservation</v>
      </c>
      <c r="E117" s="660" t="str">
        <f t="shared" ca="1" si="47"/>
        <v>all year round for nonresidential customers</v>
      </c>
      <c r="F117" s="660" t="str">
        <f t="shared" ca="1" si="47"/>
        <v>Per Customer</v>
      </c>
      <c r="G117" s="652">
        <f t="shared" ca="1" si="53"/>
        <v>208.6395357240435</v>
      </c>
      <c r="H117" s="652">
        <f t="shared" ca="1" si="53"/>
        <v>250.36270437890508</v>
      </c>
      <c r="I117" s="652">
        <f t="shared" ca="1" si="53"/>
        <v>295.04783051674445</v>
      </c>
      <c r="J117" s="652">
        <f t="shared" ca="1" si="53"/>
        <v>342.65150683639138</v>
      </c>
      <c r="K117" s="652">
        <f t="shared" ca="1" si="53"/>
        <v>393.14647888548654</v>
      </c>
      <c r="L117" s="652">
        <f t="shared" ca="1" si="53"/>
        <v>445.44192804033844</v>
      </c>
      <c r="M117" s="652">
        <f t="shared" ca="1" si="53"/>
        <v>445.44192804033844</v>
      </c>
      <c r="N117" s="652">
        <f t="shared" ca="1" si="53"/>
        <v>1596774.7723519837</v>
      </c>
      <c r="O117" s="652">
        <f t="shared" ca="1" si="53"/>
        <v>1916093.4618777698</v>
      </c>
      <c r="P117" s="652">
        <f t="shared" ca="1" si="53"/>
        <v>2258080.8127825465</v>
      </c>
      <c r="Q117" s="652">
        <f t="shared" ca="1" si="53"/>
        <v>2622404.6172553445</v>
      </c>
      <c r="R117" s="652">
        <f t="shared" ca="1" si="53"/>
        <v>3008856.2896040482</v>
      </c>
      <c r="S117" s="652">
        <f t="shared" ca="1" si="53"/>
        <v>3409087.5</v>
      </c>
      <c r="T117" s="652">
        <f t="shared" ca="1" si="53"/>
        <v>3409087.5</v>
      </c>
      <c r="U117" s="652">
        <f t="shared" ca="1" si="49"/>
        <v>0</v>
      </c>
      <c r="V117" s="652">
        <f t="shared" ca="1" si="49"/>
        <v>0</v>
      </c>
      <c r="W117" s="652">
        <f t="shared" ca="1" si="49"/>
        <v>0</v>
      </c>
      <c r="X117" s="652">
        <f t="shared" ca="1" si="49"/>
        <v>0</v>
      </c>
      <c r="Y117" s="652">
        <f t="shared" ca="1" si="49"/>
        <v>0</v>
      </c>
      <c r="Z117" s="652">
        <f t="shared" ca="1" si="49"/>
        <v>0</v>
      </c>
      <c r="AA117" s="652">
        <f t="shared" ca="1" si="49"/>
        <v>0</v>
      </c>
      <c r="AB117" s="652">
        <f t="shared" ca="1" si="49"/>
        <v>2129033.0298026451</v>
      </c>
      <c r="AC117" s="652">
        <f t="shared" ca="1" si="49"/>
        <v>2554791.2825036934</v>
      </c>
      <c r="AD117" s="652">
        <f t="shared" ca="1" si="49"/>
        <v>3010774.4170433953</v>
      </c>
      <c r="AE117" s="652">
        <f t="shared" ca="1" si="49"/>
        <v>3496539.4896737924</v>
      </c>
      <c r="AF117" s="652">
        <f t="shared" ca="1" si="49"/>
        <v>4011808.3861387307</v>
      </c>
      <c r="AG117" s="652">
        <f t="shared" ref="U117:AH129" ca="1" si="54">VLOOKUP($B117,INDIRECT("'"&amp;$C117&amp;"'!A6:FR1000"),IF(AG$6="Participation 2023",MATCH("__Participation 2023",INDIRECT("'"&amp;$C117&amp;"'!1:1"),0),IF(AG$6="Participation",MATCH("_Total Plan Summary _Participation",INDIRECT("'"&amp;$C117&amp;"'!1:1"),0),MATCH(AG$4&amp;"_"&amp;AG$5&amp;"_"&amp;AG$6,INDIRECT("'"&amp;$C117&amp;"'!1:1"),0))),0)</f>
        <v>4545450</v>
      </c>
      <c r="AH117" s="652">
        <f t="shared" ca="1" si="54"/>
        <v>4545450</v>
      </c>
      <c r="AI117" s="652">
        <f t="shared" ca="1" si="50"/>
        <v>282153.74669084244</v>
      </c>
      <c r="AJ117" s="652">
        <f t="shared" ca="1" si="50"/>
        <v>338578.08793052856</v>
      </c>
      <c r="AK117" s="652">
        <f t="shared" ca="1" si="50"/>
        <v>399008.03337394778</v>
      </c>
      <c r="AL117" s="652">
        <f t="shared" ca="1" si="50"/>
        <v>463384.88114268385</v>
      </c>
      <c r="AM117" s="652">
        <f t="shared" ca="1" si="50"/>
        <v>531671.77366887208</v>
      </c>
      <c r="AN117" s="652">
        <f t="shared" ca="1" si="50"/>
        <v>602393.54201788735</v>
      </c>
      <c r="AO117" s="652">
        <f t="shared" ca="1" si="50"/>
        <v>602393.54201788735</v>
      </c>
      <c r="AP117" s="652">
        <f t="shared" ca="1" si="50"/>
        <v>28387.107064035263</v>
      </c>
      <c r="AQ117" s="652">
        <f t="shared" ca="1" si="50"/>
        <v>34063.88376671591</v>
      </c>
      <c r="AR117" s="652">
        <f t="shared" ca="1" si="50"/>
        <v>40143.658893911939</v>
      </c>
      <c r="AS117" s="652">
        <f t="shared" ca="1" si="50"/>
        <v>46620.526528983894</v>
      </c>
      <c r="AT117" s="652">
        <f t="shared" ca="1" si="50"/>
        <v>53490.778481849738</v>
      </c>
      <c r="AU117" s="652">
        <f t="shared" ref="AI117:AV129" ca="1" si="55">VLOOKUP($B117,INDIRECT("'"&amp;$C117&amp;"'!A6:FR1000"),IF(AU$6="Participation 2023",MATCH("__Participation 2023",INDIRECT("'"&amp;$C117&amp;"'!1:1"),0),IF(AU$6="Participation",MATCH("_Total Plan Summary _Participation",INDIRECT("'"&amp;$C117&amp;"'!1:1"),0),MATCH(AU$4&amp;"_"&amp;AU$5&amp;"_"&amp;AU$6,INDIRECT("'"&amp;$C117&amp;"'!1:1"),0))),0)</f>
        <v>60605.999999999993</v>
      </c>
      <c r="AV117" s="652">
        <f t="shared" ca="1" si="55"/>
        <v>60605.999999999993</v>
      </c>
      <c r="AW117" s="652">
        <f t="shared" ca="1" si="52"/>
        <v>0</v>
      </c>
      <c r="AX117" s="652">
        <f t="shared" ca="1" si="52"/>
        <v>0</v>
      </c>
      <c r="AY117" s="652">
        <f t="shared" ca="1" si="52"/>
        <v>0</v>
      </c>
      <c r="AZ117" s="652">
        <f t="shared" ca="1" si="52"/>
        <v>0</v>
      </c>
      <c r="BA117" s="652">
        <f t="shared" ca="1" si="52"/>
        <v>0</v>
      </c>
      <c r="BB117" s="652">
        <f t="shared" ca="1" si="52"/>
        <v>0</v>
      </c>
      <c r="BC117" s="652">
        <f t="shared" ca="1" si="52"/>
        <v>0</v>
      </c>
      <c r="BD117" s="652">
        <f t="shared" ca="1" si="33"/>
        <v>2380.7319124222481</v>
      </c>
      <c r="BE117" s="652">
        <f t="shared" ca="1" si="52"/>
        <v>18220384.953871693</v>
      </c>
      <c r="BF117" s="652">
        <f t="shared" ca="1" si="52"/>
        <v>0</v>
      </c>
      <c r="BG117" s="652">
        <f t="shared" ca="1" si="52"/>
        <v>24293846.605162255</v>
      </c>
      <c r="BH117" s="652">
        <f t="shared" ca="1" si="52"/>
        <v>0</v>
      </c>
      <c r="BI117" s="652">
        <f t="shared" ca="1" si="52"/>
        <v>602393.54201788735</v>
      </c>
      <c r="BJ117" s="652">
        <f t="shared" ca="1" si="52"/>
        <v>60605.999999999993</v>
      </c>
      <c r="BK117" s="652">
        <f t="shared" ca="1" si="52"/>
        <v>0</v>
      </c>
    </row>
    <row r="118" spans="2:63">
      <c r="B118" s="661">
        <v>2</v>
      </c>
      <c r="C118" s="662" t="s">
        <v>65</v>
      </c>
      <c r="D118" s="660" t="str">
        <f t="shared" ca="1" si="47"/>
        <v>Large Industrial - Smart Demand Conservation</v>
      </c>
      <c r="E118" s="660" t="str">
        <f t="shared" ca="1" si="47"/>
        <v>all year round for large industiral customers</v>
      </c>
      <c r="F118" s="660" t="str">
        <f t="shared" ca="1" si="47"/>
        <v>Per Customer</v>
      </c>
      <c r="G118" s="652">
        <f t="shared" ca="1" si="53"/>
        <v>4.2256232815949817</v>
      </c>
      <c r="H118" s="652">
        <f t="shared" ca="1" si="53"/>
        <v>16.7809797635277</v>
      </c>
      <c r="I118" s="652">
        <f t="shared" ca="1" si="53"/>
        <v>33.553978485352019</v>
      </c>
      <c r="J118" s="652">
        <f t="shared" ca="1" si="53"/>
        <v>66.954719877517576</v>
      </c>
      <c r="K118" s="652">
        <f t="shared" ca="1" si="53"/>
        <v>100.23814318535545</v>
      </c>
      <c r="L118" s="652">
        <f t="shared" ca="1" si="53"/>
        <v>132.89732641148893</v>
      </c>
      <c r="M118" s="652">
        <f t="shared" ca="1" si="53"/>
        <v>132.89732641148893</v>
      </c>
      <c r="N118" s="652">
        <f t="shared" ca="1" si="53"/>
        <v>32339.837366387059</v>
      </c>
      <c r="O118" s="652">
        <f t="shared" ca="1" si="53"/>
        <v>128429.37484864378</v>
      </c>
      <c r="P118" s="652">
        <f t="shared" ca="1" si="53"/>
        <v>256797.66862746625</v>
      </c>
      <c r="Q118" s="652">
        <f t="shared" ca="1" si="53"/>
        <v>512422.57235330658</v>
      </c>
      <c r="R118" s="652">
        <f t="shared" ca="1" si="53"/>
        <v>767149.60906297946</v>
      </c>
      <c r="S118" s="652">
        <f t="shared" ca="1" si="53"/>
        <v>1017099.1676647883</v>
      </c>
      <c r="T118" s="652">
        <f t="shared" ca="1" si="53"/>
        <v>1017099.1676647883</v>
      </c>
      <c r="U118" s="652">
        <f t="shared" ca="1" si="49"/>
        <v>0</v>
      </c>
      <c r="V118" s="652">
        <f t="shared" ca="1" si="49"/>
        <v>0</v>
      </c>
      <c r="W118" s="652">
        <f t="shared" ca="1" si="49"/>
        <v>0</v>
      </c>
      <c r="X118" s="652">
        <f t="shared" ca="1" si="49"/>
        <v>0</v>
      </c>
      <c r="Y118" s="652">
        <f t="shared" ca="1" si="49"/>
        <v>0</v>
      </c>
      <c r="Z118" s="652">
        <f t="shared" ca="1" si="49"/>
        <v>0</v>
      </c>
      <c r="AA118" s="652">
        <f t="shared" ca="1" si="49"/>
        <v>0</v>
      </c>
      <c r="AB118" s="652">
        <f t="shared" ca="1" si="49"/>
        <v>43119.78315518274</v>
      </c>
      <c r="AC118" s="652">
        <f t="shared" ca="1" si="49"/>
        <v>171239.16646485837</v>
      </c>
      <c r="AD118" s="652">
        <f t="shared" ca="1" si="49"/>
        <v>342396.89150328835</v>
      </c>
      <c r="AE118" s="652">
        <f t="shared" ca="1" si="49"/>
        <v>683230.09647107543</v>
      </c>
      <c r="AF118" s="652">
        <f t="shared" ca="1" si="49"/>
        <v>1022866.1454173059</v>
      </c>
      <c r="AG118" s="652">
        <f t="shared" ca="1" si="54"/>
        <v>1356132.223553051</v>
      </c>
      <c r="AH118" s="652">
        <f t="shared" ca="1" si="54"/>
        <v>1356132.223553051</v>
      </c>
      <c r="AI118" s="652">
        <f t="shared" ca="1" si="50"/>
        <v>5714.5230738197033</v>
      </c>
      <c r="AJ118" s="652">
        <f t="shared" ca="1" si="50"/>
        <v>22693.763657934127</v>
      </c>
      <c r="AK118" s="652">
        <f t="shared" ca="1" si="50"/>
        <v>45376.734151421784</v>
      </c>
      <c r="AL118" s="652">
        <f t="shared" ca="1" si="50"/>
        <v>90546.238068053557</v>
      </c>
      <c r="AM118" s="652">
        <f t="shared" ca="1" si="50"/>
        <v>135557.08683367199</v>
      </c>
      <c r="AN118" s="652">
        <f t="shared" ca="1" si="50"/>
        <v>179723.74431370181</v>
      </c>
      <c r="AO118" s="652">
        <f t="shared" ca="1" si="50"/>
        <v>179723.74431370181</v>
      </c>
      <c r="AP118" s="652">
        <f t="shared" ca="1" si="50"/>
        <v>574.93044206910326</v>
      </c>
      <c r="AQ118" s="652">
        <f t="shared" ca="1" si="50"/>
        <v>2283.1888861981115</v>
      </c>
      <c r="AR118" s="652">
        <f t="shared" ca="1" si="50"/>
        <v>4565.2918867105109</v>
      </c>
      <c r="AS118" s="652">
        <f t="shared" ca="1" si="50"/>
        <v>9109.734619614339</v>
      </c>
      <c r="AT118" s="652">
        <f t="shared" ca="1" si="50"/>
        <v>13638.215272230746</v>
      </c>
      <c r="AU118" s="652">
        <f t="shared" ca="1" si="55"/>
        <v>18081.762980707346</v>
      </c>
      <c r="AV118" s="652">
        <f t="shared" ca="1" si="55"/>
        <v>18081.762980707346</v>
      </c>
      <c r="AW118" s="652">
        <f t="shared" ca="1" si="52"/>
        <v>0</v>
      </c>
      <c r="AX118" s="652">
        <f t="shared" ca="1" si="52"/>
        <v>0</v>
      </c>
      <c r="AY118" s="652">
        <f t="shared" ca="1" si="52"/>
        <v>0</v>
      </c>
      <c r="AZ118" s="652">
        <f t="shared" ca="1" si="52"/>
        <v>0</v>
      </c>
      <c r="BA118" s="652">
        <f t="shared" ca="1" si="52"/>
        <v>0</v>
      </c>
      <c r="BB118" s="652">
        <f t="shared" ca="1" si="52"/>
        <v>0</v>
      </c>
      <c r="BC118" s="652">
        <f t="shared" ca="1" si="52"/>
        <v>0</v>
      </c>
      <c r="BD118" s="652">
        <f t="shared" ca="1" si="33"/>
        <v>487.54809741632562</v>
      </c>
      <c r="BE118" s="652">
        <f t="shared" ca="1" si="52"/>
        <v>3731337.3975883597</v>
      </c>
      <c r="BF118" s="652">
        <f t="shared" ca="1" si="52"/>
        <v>0</v>
      </c>
      <c r="BG118" s="652">
        <f t="shared" ca="1" si="52"/>
        <v>4975116.5301178135</v>
      </c>
      <c r="BH118" s="652">
        <f t="shared" ca="1" si="52"/>
        <v>0</v>
      </c>
      <c r="BI118" s="652">
        <f t="shared" ca="1" si="52"/>
        <v>179723.74431370181</v>
      </c>
      <c r="BJ118" s="652">
        <f t="shared" ca="1" si="52"/>
        <v>18081.762980707346</v>
      </c>
      <c r="BK118" s="652">
        <f t="shared" ca="1" si="52"/>
        <v>0</v>
      </c>
    </row>
    <row r="119" spans="2:63">
      <c r="B119" s="661">
        <v>1</v>
      </c>
      <c r="C119" s="662" t="s">
        <v>66</v>
      </c>
      <c r="D119" s="660" t="str">
        <f t="shared" ca="1" si="47"/>
        <v>Residential - Peak Time Rebate</v>
      </c>
      <c r="E119" s="660" t="str">
        <f t="shared" ca="1" si="47"/>
        <v>Relies on customers to curtail their load during called events</v>
      </c>
      <c r="F119" s="660" t="str">
        <f t="shared" ca="1" si="47"/>
        <v>Per Customer</v>
      </c>
      <c r="G119" s="652">
        <f t="shared" ca="1" si="53"/>
        <v>0</v>
      </c>
      <c r="H119" s="652">
        <f t="shared" ca="1" si="53"/>
        <v>26000</v>
      </c>
      <c r="I119" s="652">
        <f t="shared" ca="1" si="53"/>
        <v>52000</v>
      </c>
      <c r="J119" s="652">
        <f t="shared" ca="1" si="53"/>
        <v>104000</v>
      </c>
      <c r="K119" s="652">
        <f t="shared" ca="1" si="53"/>
        <v>185000</v>
      </c>
      <c r="L119" s="652">
        <f t="shared" ca="1" si="53"/>
        <v>185000</v>
      </c>
      <c r="M119" s="652">
        <f t="shared" ca="1" si="53"/>
        <v>185000</v>
      </c>
      <c r="N119" s="652">
        <f t="shared" ca="1" si="53"/>
        <v>0</v>
      </c>
      <c r="O119" s="652">
        <f t="shared" ca="1" si="53"/>
        <v>0</v>
      </c>
      <c r="P119" s="652">
        <f t="shared" ca="1" si="53"/>
        <v>0</v>
      </c>
      <c r="Q119" s="652">
        <f t="shared" ca="1" si="53"/>
        <v>0</v>
      </c>
      <c r="R119" s="652">
        <f t="shared" ca="1" si="53"/>
        <v>0</v>
      </c>
      <c r="S119" s="652">
        <f t="shared" ca="1" si="53"/>
        <v>0</v>
      </c>
      <c r="T119" s="652">
        <f t="shared" ca="1" si="53"/>
        <v>0</v>
      </c>
      <c r="U119" s="652">
        <f t="shared" ca="1" si="54"/>
        <v>0</v>
      </c>
      <c r="V119" s="652">
        <f t="shared" ca="1" si="54"/>
        <v>0</v>
      </c>
      <c r="W119" s="652">
        <f t="shared" ca="1" si="54"/>
        <v>0</v>
      </c>
      <c r="X119" s="652">
        <f t="shared" ca="1" si="54"/>
        <v>0</v>
      </c>
      <c r="Y119" s="652">
        <f t="shared" ca="1" si="54"/>
        <v>0</v>
      </c>
      <c r="Z119" s="652">
        <f t="shared" ca="1" si="54"/>
        <v>0</v>
      </c>
      <c r="AA119" s="652">
        <f t="shared" ca="1" si="54"/>
        <v>0</v>
      </c>
      <c r="AB119" s="652">
        <f t="shared" ca="1" si="54"/>
        <v>0</v>
      </c>
      <c r="AC119" s="652">
        <f t="shared" ca="1" si="54"/>
        <v>1255762.0949882669</v>
      </c>
      <c r="AD119" s="652">
        <f t="shared" ca="1" si="54"/>
        <v>2511524.1899765339</v>
      </c>
      <c r="AE119" s="652">
        <f t="shared" ca="1" si="54"/>
        <v>5023048.3799530677</v>
      </c>
      <c r="AF119" s="652">
        <f t="shared" ca="1" si="54"/>
        <v>8935230.2912626695</v>
      </c>
      <c r="AG119" s="652">
        <f t="shared" ca="1" si="54"/>
        <v>8935230.2912626695</v>
      </c>
      <c r="AH119" s="652">
        <f t="shared" ca="1" si="54"/>
        <v>8935230.2912626695</v>
      </c>
      <c r="AI119" s="652">
        <f t="shared" ca="1" si="55"/>
        <v>0</v>
      </c>
      <c r="AJ119" s="652">
        <f t="shared" ca="1" si="55"/>
        <v>0</v>
      </c>
      <c r="AK119" s="652">
        <f t="shared" ca="1" si="55"/>
        <v>0</v>
      </c>
      <c r="AL119" s="652">
        <f t="shared" ca="1" si="55"/>
        <v>0</v>
      </c>
      <c r="AM119" s="652">
        <f t="shared" ca="1" si="55"/>
        <v>0</v>
      </c>
      <c r="AN119" s="652">
        <f t="shared" ca="1" si="55"/>
        <v>0</v>
      </c>
      <c r="AO119" s="652">
        <f t="shared" ca="1" si="55"/>
        <v>0</v>
      </c>
      <c r="AP119" s="652">
        <f t="shared" ca="1" si="55"/>
        <v>0</v>
      </c>
      <c r="AQ119" s="652">
        <f t="shared" ca="1" si="55"/>
        <v>4328.8104749413351</v>
      </c>
      <c r="AR119" s="652">
        <f t="shared" ca="1" si="55"/>
        <v>8657.6209498826702</v>
      </c>
      <c r="AS119" s="652">
        <f t="shared" ca="1" si="55"/>
        <v>17315.24189976534</v>
      </c>
      <c r="AT119" s="652">
        <f t="shared" ca="1" si="55"/>
        <v>30801.15145631335</v>
      </c>
      <c r="AU119" s="652">
        <f t="shared" ca="1" si="55"/>
        <v>30801.15145631335</v>
      </c>
      <c r="AV119" s="652">
        <f t="shared" ca="1" si="55"/>
        <v>30801.15145631335</v>
      </c>
      <c r="AW119" s="652">
        <f t="shared" ca="1" si="52"/>
        <v>0</v>
      </c>
      <c r="AX119" s="652">
        <f t="shared" ca="1" si="52"/>
        <v>0</v>
      </c>
      <c r="AY119" s="652">
        <f t="shared" ca="1" si="52"/>
        <v>0</v>
      </c>
      <c r="AZ119" s="652">
        <f t="shared" ca="1" si="52"/>
        <v>0</v>
      </c>
      <c r="BA119" s="652">
        <f t="shared" ca="1" si="52"/>
        <v>0</v>
      </c>
      <c r="BB119" s="652">
        <f t="shared" ca="1" si="52"/>
        <v>0</v>
      </c>
      <c r="BC119" s="652">
        <f t="shared" ca="1" si="52"/>
        <v>0</v>
      </c>
      <c r="BD119" s="652">
        <f t="shared" ca="1" si="33"/>
        <v>737000</v>
      </c>
      <c r="BE119" s="652">
        <f t="shared" ca="1" si="52"/>
        <v>0</v>
      </c>
      <c r="BF119" s="652">
        <f t="shared" ca="1" si="52"/>
        <v>0</v>
      </c>
      <c r="BG119" s="652">
        <f t="shared" ca="1" si="52"/>
        <v>35596025.538705878</v>
      </c>
      <c r="BH119" s="652">
        <f t="shared" ca="1" si="52"/>
        <v>2948000</v>
      </c>
      <c r="BI119" s="652">
        <f t="shared" ca="1" si="52"/>
        <v>0</v>
      </c>
      <c r="BJ119" s="652">
        <f t="shared" ca="1" si="52"/>
        <v>30801.15145631335</v>
      </c>
      <c r="BK119" s="652">
        <f t="shared" ca="1" si="52"/>
        <v>0</v>
      </c>
    </row>
    <row r="120" spans="2:63">
      <c r="B120" s="661">
        <v>1</v>
      </c>
      <c r="C120" s="662" t="s">
        <v>67</v>
      </c>
      <c r="D120" s="660" t="str">
        <f t="shared" ca="1" si="47"/>
        <v>Residential - EV Charger Demand Conservation</v>
      </c>
      <c r="E120" s="660" t="str">
        <f t="shared" ca="1" si="47"/>
        <v>This product targets customers with EV chargers and pays participants an incentive to curtail load all year round</v>
      </c>
      <c r="F120" s="660" t="str">
        <f t="shared" ca="1" si="47"/>
        <v>Per Customer</v>
      </c>
      <c r="G120" s="652">
        <f t="shared" ca="1" si="53"/>
        <v>750</v>
      </c>
      <c r="H120" s="652">
        <f t="shared" ca="1" si="53"/>
        <v>1500</v>
      </c>
      <c r="I120" s="652">
        <f t="shared" ca="1" si="53"/>
        <v>2250</v>
      </c>
      <c r="J120" s="652">
        <f t="shared" ca="1" si="53"/>
        <v>3000</v>
      </c>
      <c r="K120" s="652">
        <f t="shared" ca="1" si="53"/>
        <v>4500</v>
      </c>
      <c r="L120" s="652">
        <f t="shared" ca="1" si="53"/>
        <v>6000</v>
      </c>
      <c r="M120" s="652">
        <f t="shared" ca="1" si="53"/>
        <v>7500</v>
      </c>
      <c r="N120" s="652">
        <f t="shared" ca="1" si="53"/>
        <v>0</v>
      </c>
      <c r="O120" s="652">
        <f t="shared" ca="1" si="53"/>
        <v>0</v>
      </c>
      <c r="P120" s="652">
        <f t="shared" ca="1" si="53"/>
        <v>0</v>
      </c>
      <c r="Q120" s="652">
        <f t="shared" ca="1" si="53"/>
        <v>0</v>
      </c>
      <c r="R120" s="652">
        <f t="shared" ca="1" si="53"/>
        <v>0</v>
      </c>
      <c r="S120" s="652">
        <f t="shared" ca="1" si="53"/>
        <v>0</v>
      </c>
      <c r="T120" s="652">
        <f t="shared" ca="1" si="53"/>
        <v>0</v>
      </c>
      <c r="U120" s="652">
        <f t="shared" ca="1" si="54"/>
        <v>0</v>
      </c>
      <c r="V120" s="652">
        <f t="shared" ca="1" si="54"/>
        <v>0</v>
      </c>
      <c r="W120" s="652">
        <f t="shared" ca="1" si="54"/>
        <v>0</v>
      </c>
      <c r="X120" s="652">
        <f t="shared" ca="1" si="54"/>
        <v>0</v>
      </c>
      <c r="Y120" s="652">
        <f t="shared" ca="1" si="54"/>
        <v>0</v>
      </c>
      <c r="Z120" s="652">
        <f t="shared" ca="1" si="54"/>
        <v>0</v>
      </c>
      <c r="AA120" s="652">
        <f t="shared" ca="1" si="54"/>
        <v>0</v>
      </c>
      <c r="AB120" s="652">
        <f t="shared" ca="1" si="54"/>
        <v>82500</v>
      </c>
      <c r="AC120" s="652">
        <f t="shared" ca="1" si="54"/>
        <v>127500</v>
      </c>
      <c r="AD120" s="652">
        <f t="shared" ca="1" si="54"/>
        <v>172500</v>
      </c>
      <c r="AE120" s="652">
        <f t="shared" ca="1" si="54"/>
        <v>217500</v>
      </c>
      <c r="AF120" s="652">
        <f t="shared" ca="1" si="54"/>
        <v>345000</v>
      </c>
      <c r="AG120" s="652">
        <f t="shared" ca="1" si="54"/>
        <v>435000</v>
      </c>
      <c r="AH120" s="652">
        <f t="shared" ca="1" si="54"/>
        <v>525000</v>
      </c>
      <c r="AI120" s="652">
        <f t="shared" ca="1" si="55"/>
        <v>0</v>
      </c>
      <c r="AJ120" s="652">
        <f t="shared" ca="1" si="55"/>
        <v>0</v>
      </c>
      <c r="AK120" s="652">
        <f t="shared" ca="1" si="55"/>
        <v>0</v>
      </c>
      <c r="AL120" s="652">
        <f t="shared" ca="1" si="55"/>
        <v>0</v>
      </c>
      <c r="AM120" s="652">
        <f t="shared" ca="1" si="55"/>
        <v>0</v>
      </c>
      <c r="AN120" s="652">
        <f t="shared" ca="1" si="55"/>
        <v>0</v>
      </c>
      <c r="AO120" s="652">
        <f t="shared" ca="1" si="55"/>
        <v>0</v>
      </c>
      <c r="AP120" s="652">
        <f t="shared" ca="1" si="55"/>
        <v>300</v>
      </c>
      <c r="AQ120" s="652">
        <f t="shared" ca="1" si="55"/>
        <v>600</v>
      </c>
      <c r="AR120" s="652">
        <f t="shared" ca="1" si="55"/>
        <v>900</v>
      </c>
      <c r="AS120" s="652">
        <f t="shared" ca="1" si="55"/>
        <v>1200</v>
      </c>
      <c r="AT120" s="652">
        <f t="shared" ca="1" si="55"/>
        <v>1800</v>
      </c>
      <c r="AU120" s="652">
        <f t="shared" ca="1" si="55"/>
        <v>2400</v>
      </c>
      <c r="AV120" s="652">
        <f t="shared" ca="1" si="55"/>
        <v>3000</v>
      </c>
      <c r="AW120" s="652">
        <f t="shared" ref="AW120:BK129" ca="1" si="56">VLOOKUP($B120,INDIRECT("'"&amp;$C120&amp;"'!A6:FR1000"),IF(AW$6="Participation 2023",MATCH("__Participation 2023",INDIRECT("'"&amp;$C120&amp;"'!1:1"),0),IF(AW$6="Participation",MATCH("_Total Plan Summary _Participation",INDIRECT("'"&amp;$C120&amp;"'!1:1"),0),MATCH(AW$4&amp;"_"&amp;AW$5&amp;"_"&amp;AW$6,INDIRECT("'"&amp;$C120&amp;"'!1:1"),0))),0)</f>
        <v>0</v>
      </c>
      <c r="AX120" s="652">
        <f t="shared" ca="1" si="56"/>
        <v>0</v>
      </c>
      <c r="AY120" s="652">
        <f t="shared" ca="1" si="56"/>
        <v>0</v>
      </c>
      <c r="AZ120" s="652">
        <f t="shared" ca="1" si="56"/>
        <v>0</v>
      </c>
      <c r="BA120" s="652">
        <f t="shared" ca="1" si="56"/>
        <v>0</v>
      </c>
      <c r="BB120" s="652">
        <f t="shared" ca="1" si="56"/>
        <v>0</v>
      </c>
      <c r="BC120" s="652">
        <f t="shared" ca="1" si="56"/>
        <v>0</v>
      </c>
      <c r="BD120" s="652">
        <f t="shared" ca="1" si="33"/>
        <v>25500</v>
      </c>
      <c r="BE120" s="652">
        <f t="shared" ca="1" si="56"/>
        <v>0</v>
      </c>
      <c r="BF120" s="652">
        <f t="shared" ca="1" si="56"/>
        <v>0</v>
      </c>
      <c r="BG120" s="652">
        <f t="shared" ca="1" si="56"/>
        <v>1905000</v>
      </c>
      <c r="BH120" s="652">
        <f t="shared" ca="1" si="56"/>
        <v>3060000</v>
      </c>
      <c r="BI120" s="652">
        <f t="shared" ca="1" si="56"/>
        <v>0</v>
      </c>
      <c r="BJ120" s="652">
        <f t="shared" ca="1" si="56"/>
        <v>3000</v>
      </c>
      <c r="BK120" s="652">
        <f t="shared" ca="1" si="56"/>
        <v>0</v>
      </c>
    </row>
    <row r="121" spans="2:63">
      <c r="B121" s="661">
        <v>1</v>
      </c>
      <c r="C121" s="662" t="s">
        <v>68</v>
      </c>
      <c r="D121" s="660" t="str">
        <f t="shared" ca="1" si="47"/>
        <v>LED Troffer</v>
      </c>
      <c r="E121" s="660" t="str">
        <f t="shared" ca="1" si="47"/>
        <v>Any LED lamps or ballasts must also be ENERGY STAR® certified or listed on the Design Lights Consortium (DLC) qualified list.</v>
      </c>
      <c r="F121" s="660" t="str">
        <f t="shared" ca="1" si="47"/>
        <v>Per Unit</v>
      </c>
      <c r="G121" s="652">
        <f t="shared" ca="1" si="53"/>
        <v>0</v>
      </c>
      <c r="H121" s="652">
        <f t="shared" ca="1" si="53"/>
        <v>0</v>
      </c>
      <c r="I121" s="652">
        <f t="shared" ca="1" si="53"/>
        <v>0.96</v>
      </c>
      <c r="J121" s="652">
        <f t="shared" ca="1" si="53"/>
        <v>1.3919999999999999</v>
      </c>
      <c r="K121" s="652">
        <f t="shared" ca="1" si="53"/>
        <v>1.3919999999999999</v>
      </c>
      <c r="L121" s="652">
        <f t="shared" ca="1" si="53"/>
        <v>1.1135999999999999</v>
      </c>
      <c r="M121" s="652">
        <f t="shared" ca="1" si="53"/>
        <v>0.89088000000000001</v>
      </c>
      <c r="N121" s="652">
        <f t="shared" ca="1" si="53"/>
        <v>0</v>
      </c>
      <c r="O121" s="652">
        <f t="shared" ca="1" si="53"/>
        <v>0</v>
      </c>
      <c r="P121" s="652">
        <f t="shared" ca="1" si="53"/>
        <v>64.44</v>
      </c>
      <c r="Q121" s="652">
        <f t="shared" ca="1" si="53"/>
        <v>93.437999999999988</v>
      </c>
      <c r="R121" s="652">
        <f t="shared" ca="1" si="53"/>
        <v>93.437999999999988</v>
      </c>
      <c r="S121" s="652">
        <f t="shared" ca="1" si="53"/>
        <v>74.750399999999999</v>
      </c>
      <c r="T121" s="652">
        <f t="shared" ca="1" si="53"/>
        <v>59.800319999999999</v>
      </c>
      <c r="U121" s="652">
        <f t="shared" ca="1" si="54"/>
        <v>0</v>
      </c>
      <c r="V121" s="652">
        <f t="shared" ca="1" si="54"/>
        <v>0</v>
      </c>
      <c r="W121" s="652">
        <f t="shared" ca="1" si="54"/>
        <v>0</v>
      </c>
      <c r="X121" s="652">
        <f t="shared" ca="1" si="54"/>
        <v>0</v>
      </c>
      <c r="Y121" s="652">
        <f t="shared" ca="1" si="54"/>
        <v>0</v>
      </c>
      <c r="Z121" s="652">
        <f t="shared" ca="1" si="54"/>
        <v>0</v>
      </c>
      <c r="AA121" s="652">
        <f t="shared" ca="1" si="54"/>
        <v>0</v>
      </c>
      <c r="AB121" s="652">
        <f t="shared" ca="1" si="54"/>
        <v>0</v>
      </c>
      <c r="AC121" s="652">
        <f t="shared" ca="1" si="54"/>
        <v>0</v>
      </c>
      <c r="AD121" s="652">
        <f t="shared" ca="1" si="54"/>
        <v>9.6</v>
      </c>
      <c r="AE121" s="652">
        <f t="shared" ca="1" si="54"/>
        <v>13.919999999999998</v>
      </c>
      <c r="AF121" s="652">
        <f t="shared" ca="1" si="54"/>
        <v>13.919999999999998</v>
      </c>
      <c r="AG121" s="652">
        <f t="shared" ca="1" si="54"/>
        <v>11.135999999999999</v>
      </c>
      <c r="AH121" s="652">
        <f t="shared" ca="1" si="54"/>
        <v>8.9087999999999994</v>
      </c>
      <c r="AI121" s="652">
        <f t="shared" ca="1" si="55"/>
        <v>0</v>
      </c>
      <c r="AJ121" s="652">
        <f t="shared" ca="1" si="55"/>
        <v>0</v>
      </c>
      <c r="AK121" s="652">
        <f t="shared" ca="1" si="55"/>
        <v>110.00580274943999</v>
      </c>
      <c r="AL121" s="652">
        <f t="shared" ca="1" si="55"/>
        <v>159.508413986688</v>
      </c>
      <c r="AM121" s="652">
        <f t="shared" ca="1" si="55"/>
        <v>159.508413986688</v>
      </c>
      <c r="AN121" s="652">
        <f t="shared" ca="1" si="55"/>
        <v>127.60673118935038</v>
      </c>
      <c r="AO121" s="652">
        <f t="shared" ca="1" si="55"/>
        <v>102.08538495148032</v>
      </c>
      <c r="AP121" s="652">
        <f t="shared" ca="1" si="55"/>
        <v>0</v>
      </c>
      <c r="AQ121" s="652">
        <f t="shared" ca="1" si="55"/>
        <v>0</v>
      </c>
      <c r="AR121" s="652">
        <f t="shared" ca="1" si="55"/>
        <v>2.6255591232000001E-2</v>
      </c>
      <c r="AS121" s="652">
        <f t="shared" ca="1" si="55"/>
        <v>3.80706072864E-2</v>
      </c>
      <c r="AT121" s="652">
        <f t="shared" ca="1" si="55"/>
        <v>3.80706072864E-2</v>
      </c>
      <c r="AU121" s="652">
        <f t="shared" ca="1" si="55"/>
        <v>3.045648582912E-2</v>
      </c>
      <c r="AV121" s="652">
        <f t="shared" ca="1" si="55"/>
        <v>2.4365188663296001E-2</v>
      </c>
      <c r="AW121" s="652">
        <f t="shared" ca="1" si="56"/>
        <v>0</v>
      </c>
      <c r="AX121" s="652">
        <f t="shared" ca="1" si="56"/>
        <v>0</v>
      </c>
      <c r="AY121" s="652">
        <f t="shared" ca="1" si="56"/>
        <v>0</v>
      </c>
      <c r="AZ121" s="652">
        <f t="shared" ca="1" si="56"/>
        <v>0</v>
      </c>
      <c r="BA121" s="652">
        <f t="shared" ca="1" si="56"/>
        <v>0</v>
      </c>
      <c r="BB121" s="652">
        <f t="shared" ca="1" si="56"/>
        <v>0</v>
      </c>
      <c r="BC121" s="652">
        <f t="shared" ca="1" si="56"/>
        <v>0</v>
      </c>
      <c r="BD121" s="652">
        <f t="shared" ca="1" si="33"/>
        <v>5.7484799999999998</v>
      </c>
      <c r="BE121" s="652">
        <f t="shared" ca="1" si="56"/>
        <v>385.86671999999999</v>
      </c>
      <c r="BF121" s="652">
        <f t="shared" ca="1" si="56"/>
        <v>0</v>
      </c>
      <c r="BG121" s="652">
        <f t="shared" ca="1" si="56"/>
        <v>57.484799999999993</v>
      </c>
      <c r="BH121" s="652">
        <f t="shared" ca="1" si="56"/>
        <v>0</v>
      </c>
      <c r="BI121" s="652">
        <f t="shared" ca="1" si="56"/>
        <v>658.71474686364672</v>
      </c>
      <c r="BJ121" s="652">
        <f t="shared" ca="1" si="56"/>
        <v>0.15721848029721602</v>
      </c>
      <c r="BK121" s="652">
        <f t="shared" ca="1" si="56"/>
        <v>0</v>
      </c>
    </row>
    <row r="122" spans="2:63">
      <c r="B122" s="661">
        <v>2</v>
      </c>
      <c r="C122" s="662" t="s">
        <v>68</v>
      </c>
      <c r="D122" s="660" t="str">
        <f t="shared" ca="1" si="47"/>
        <v>LED High Bay</v>
      </c>
      <c r="E122" s="660" t="str">
        <f t="shared" ca="1" si="47"/>
        <v>Any LED lamps or ballasts must also be ENERGY STAR® certified or listed on the Design Lights Consortium (DLC) qualified list.</v>
      </c>
      <c r="F122" s="660" t="str">
        <f t="shared" ca="1" si="47"/>
        <v>Per Unit</v>
      </c>
      <c r="G122" s="652">
        <f t="shared" ca="1" si="53"/>
        <v>0</v>
      </c>
      <c r="H122" s="652">
        <f t="shared" ca="1" si="53"/>
        <v>0</v>
      </c>
      <c r="I122" s="652">
        <f t="shared" ca="1" si="53"/>
        <v>0</v>
      </c>
      <c r="J122" s="652">
        <f t="shared" ca="1" si="53"/>
        <v>0</v>
      </c>
      <c r="K122" s="652">
        <f t="shared" ca="1" si="53"/>
        <v>0</v>
      </c>
      <c r="L122" s="652">
        <f t="shared" ca="1" si="53"/>
        <v>0</v>
      </c>
      <c r="M122" s="652">
        <f t="shared" ca="1" si="53"/>
        <v>0</v>
      </c>
      <c r="N122" s="652">
        <f t="shared" ca="1" si="53"/>
        <v>0</v>
      </c>
      <c r="O122" s="652">
        <f t="shared" ca="1" si="53"/>
        <v>0</v>
      </c>
      <c r="P122" s="652">
        <f t="shared" ca="1" si="53"/>
        <v>0</v>
      </c>
      <c r="Q122" s="652">
        <f t="shared" ca="1" si="53"/>
        <v>0</v>
      </c>
      <c r="R122" s="652">
        <f t="shared" ca="1" si="53"/>
        <v>0</v>
      </c>
      <c r="S122" s="652">
        <f t="shared" ca="1" si="53"/>
        <v>0</v>
      </c>
      <c r="T122" s="652">
        <f t="shared" ca="1" si="53"/>
        <v>0</v>
      </c>
      <c r="U122" s="652">
        <f t="shared" ca="1" si="54"/>
        <v>0</v>
      </c>
      <c r="V122" s="652">
        <f t="shared" ca="1" si="54"/>
        <v>0</v>
      </c>
      <c r="W122" s="652">
        <f t="shared" ca="1" si="54"/>
        <v>0</v>
      </c>
      <c r="X122" s="652">
        <f t="shared" ca="1" si="54"/>
        <v>0</v>
      </c>
      <c r="Y122" s="652">
        <f t="shared" ca="1" si="54"/>
        <v>0</v>
      </c>
      <c r="Z122" s="652">
        <f t="shared" ca="1" si="54"/>
        <v>0</v>
      </c>
      <c r="AA122" s="652">
        <f t="shared" ca="1" si="54"/>
        <v>0</v>
      </c>
      <c r="AB122" s="652">
        <f t="shared" ca="1" si="54"/>
        <v>0</v>
      </c>
      <c r="AC122" s="652">
        <f t="shared" ca="1" si="54"/>
        <v>0</v>
      </c>
      <c r="AD122" s="652">
        <f t="shared" ca="1" si="54"/>
        <v>0</v>
      </c>
      <c r="AE122" s="652">
        <f t="shared" ca="1" si="54"/>
        <v>0</v>
      </c>
      <c r="AF122" s="652">
        <f t="shared" ca="1" si="54"/>
        <v>0</v>
      </c>
      <c r="AG122" s="652">
        <f t="shared" ca="1" si="54"/>
        <v>0</v>
      </c>
      <c r="AH122" s="652">
        <f t="shared" ca="1" si="54"/>
        <v>0</v>
      </c>
      <c r="AI122" s="652">
        <f t="shared" ca="1" si="55"/>
        <v>0</v>
      </c>
      <c r="AJ122" s="652">
        <f t="shared" ca="1" si="55"/>
        <v>0</v>
      </c>
      <c r="AK122" s="652">
        <f t="shared" ca="1" si="55"/>
        <v>0</v>
      </c>
      <c r="AL122" s="652">
        <f t="shared" ca="1" si="55"/>
        <v>0</v>
      </c>
      <c r="AM122" s="652">
        <f t="shared" ca="1" si="55"/>
        <v>0</v>
      </c>
      <c r="AN122" s="652">
        <f t="shared" ca="1" si="55"/>
        <v>0</v>
      </c>
      <c r="AO122" s="652">
        <f t="shared" ca="1" si="55"/>
        <v>0</v>
      </c>
      <c r="AP122" s="652">
        <f t="shared" ca="1" si="55"/>
        <v>0</v>
      </c>
      <c r="AQ122" s="652">
        <f t="shared" ca="1" si="55"/>
        <v>0</v>
      </c>
      <c r="AR122" s="652">
        <f t="shared" ca="1" si="55"/>
        <v>0</v>
      </c>
      <c r="AS122" s="652">
        <f t="shared" ca="1" si="55"/>
        <v>0</v>
      </c>
      <c r="AT122" s="652">
        <f t="shared" ca="1" si="55"/>
        <v>0</v>
      </c>
      <c r="AU122" s="652">
        <f t="shared" ca="1" si="55"/>
        <v>0</v>
      </c>
      <c r="AV122" s="652">
        <f t="shared" ca="1" si="55"/>
        <v>0</v>
      </c>
      <c r="AW122" s="652">
        <f t="shared" ca="1" si="56"/>
        <v>0</v>
      </c>
      <c r="AX122" s="652">
        <f t="shared" ca="1" si="56"/>
        <v>0</v>
      </c>
      <c r="AY122" s="652">
        <f t="shared" ca="1" si="56"/>
        <v>0</v>
      </c>
      <c r="AZ122" s="652">
        <f t="shared" ca="1" si="56"/>
        <v>0</v>
      </c>
      <c r="BA122" s="652">
        <f t="shared" ca="1" si="56"/>
        <v>0</v>
      </c>
      <c r="BB122" s="652">
        <f t="shared" ca="1" si="56"/>
        <v>0</v>
      </c>
      <c r="BC122" s="652">
        <f t="shared" ca="1" si="56"/>
        <v>0</v>
      </c>
      <c r="BD122" s="652">
        <f t="shared" ca="1" si="33"/>
        <v>0</v>
      </c>
      <c r="BE122" s="652">
        <f t="shared" ca="1" si="56"/>
        <v>0</v>
      </c>
      <c r="BF122" s="652">
        <f t="shared" ca="1" si="56"/>
        <v>0</v>
      </c>
      <c r="BG122" s="652">
        <f t="shared" ca="1" si="56"/>
        <v>0</v>
      </c>
      <c r="BH122" s="652">
        <f t="shared" ca="1" si="56"/>
        <v>0</v>
      </c>
      <c r="BI122" s="652">
        <f t="shared" ca="1" si="56"/>
        <v>0</v>
      </c>
      <c r="BJ122" s="652">
        <f t="shared" ca="1" si="56"/>
        <v>0</v>
      </c>
      <c r="BK122" s="652">
        <f t="shared" ca="1" si="56"/>
        <v>0</v>
      </c>
    </row>
    <row r="123" spans="2:63">
      <c r="B123" s="661">
        <v>3</v>
      </c>
      <c r="C123" s="662" t="s">
        <v>68</v>
      </c>
      <c r="D123" s="660" t="str">
        <f t="shared" ca="1" si="47"/>
        <v>LED Tube</v>
      </c>
      <c r="E123" s="660" t="str">
        <f t="shared" ca="1" si="47"/>
        <v>Any LED lamps or ballasts must also be ENERGY STAR® certified or listed on the Design Lights Consortium (DLC) qualified list.</v>
      </c>
      <c r="F123" s="660" t="str">
        <f t="shared" ca="1" si="47"/>
        <v>Per Unit</v>
      </c>
      <c r="G123" s="652">
        <f t="shared" ca="1" si="53"/>
        <v>0</v>
      </c>
      <c r="H123" s="652">
        <f t="shared" ca="1" si="53"/>
        <v>0</v>
      </c>
      <c r="I123" s="652">
        <f t="shared" ca="1" si="53"/>
        <v>5828.16</v>
      </c>
      <c r="J123" s="652">
        <f t="shared" ca="1" si="53"/>
        <v>8742.24</v>
      </c>
      <c r="K123" s="652">
        <f t="shared" ca="1" si="53"/>
        <v>8742.24</v>
      </c>
      <c r="L123" s="652">
        <f t="shared" ca="1" si="53"/>
        <v>6993.7920000000004</v>
      </c>
      <c r="M123" s="652">
        <f t="shared" ca="1" si="53"/>
        <v>5595.0336000000007</v>
      </c>
      <c r="N123" s="652">
        <f t="shared" ca="1" si="53"/>
        <v>0</v>
      </c>
      <c r="O123" s="652">
        <f t="shared" ca="1" si="53"/>
        <v>0</v>
      </c>
      <c r="P123" s="652">
        <f t="shared" ca="1" si="53"/>
        <v>176039.57279999999</v>
      </c>
      <c r="Q123" s="652">
        <f t="shared" ca="1" si="53"/>
        <v>264059.35920000001</v>
      </c>
      <c r="R123" s="652">
        <f t="shared" ca="1" si="53"/>
        <v>264059.35920000001</v>
      </c>
      <c r="S123" s="652">
        <f t="shared" ca="1" si="53"/>
        <v>211247.48736000003</v>
      </c>
      <c r="T123" s="652">
        <f t="shared" ca="1" si="53"/>
        <v>168997.98988800004</v>
      </c>
      <c r="U123" s="652">
        <f t="shared" ca="1" si="54"/>
        <v>0</v>
      </c>
      <c r="V123" s="652">
        <f t="shared" ca="1" si="54"/>
        <v>0</v>
      </c>
      <c r="W123" s="652">
        <f t="shared" ca="1" si="54"/>
        <v>0</v>
      </c>
      <c r="X123" s="652">
        <f t="shared" ca="1" si="54"/>
        <v>0</v>
      </c>
      <c r="Y123" s="652">
        <f t="shared" ca="1" si="54"/>
        <v>0</v>
      </c>
      <c r="Z123" s="652">
        <f t="shared" ca="1" si="54"/>
        <v>0</v>
      </c>
      <c r="AA123" s="652">
        <f t="shared" ca="1" si="54"/>
        <v>0</v>
      </c>
      <c r="AB123" s="652">
        <f t="shared" ca="1" si="54"/>
        <v>0</v>
      </c>
      <c r="AC123" s="652">
        <f t="shared" ca="1" si="54"/>
        <v>0</v>
      </c>
      <c r="AD123" s="652">
        <f t="shared" ca="1" si="54"/>
        <v>17484.48</v>
      </c>
      <c r="AE123" s="652">
        <f t="shared" ca="1" si="54"/>
        <v>26226.720000000001</v>
      </c>
      <c r="AF123" s="652">
        <f t="shared" ca="1" si="54"/>
        <v>26226.720000000001</v>
      </c>
      <c r="AG123" s="652">
        <f t="shared" ca="1" si="54"/>
        <v>20981.376</v>
      </c>
      <c r="AH123" s="652">
        <f t="shared" ca="1" si="54"/>
        <v>16785.1008</v>
      </c>
      <c r="AI123" s="652">
        <f t="shared" ca="1" si="55"/>
        <v>0</v>
      </c>
      <c r="AJ123" s="652">
        <f t="shared" ca="1" si="55"/>
        <v>0</v>
      </c>
      <c r="AK123" s="652">
        <f t="shared" ca="1" si="55"/>
        <v>230139.46799999996</v>
      </c>
      <c r="AL123" s="652">
        <f t="shared" ca="1" si="55"/>
        <v>345209.20199999999</v>
      </c>
      <c r="AM123" s="652">
        <f t="shared" ca="1" si="55"/>
        <v>345209.20199999999</v>
      </c>
      <c r="AN123" s="652">
        <f t="shared" ca="1" si="55"/>
        <v>276167.3616</v>
      </c>
      <c r="AO123" s="652">
        <f t="shared" ca="1" si="55"/>
        <v>220933.88928</v>
      </c>
      <c r="AP123" s="652">
        <f t="shared" ca="1" si="55"/>
        <v>0</v>
      </c>
      <c r="AQ123" s="652">
        <f t="shared" ca="1" si="55"/>
        <v>0</v>
      </c>
      <c r="AR123" s="652">
        <f t="shared" ca="1" si="55"/>
        <v>35.515349999999998</v>
      </c>
      <c r="AS123" s="652">
        <f t="shared" ca="1" si="55"/>
        <v>53.273024999999997</v>
      </c>
      <c r="AT123" s="652">
        <f t="shared" ca="1" si="55"/>
        <v>53.273024999999997</v>
      </c>
      <c r="AU123" s="652">
        <f t="shared" ca="1" si="55"/>
        <v>42.61842</v>
      </c>
      <c r="AV123" s="652">
        <f t="shared" ca="1" si="55"/>
        <v>34.094736000000005</v>
      </c>
      <c r="AW123" s="652">
        <f t="shared" ca="1" si="56"/>
        <v>0</v>
      </c>
      <c r="AX123" s="652">
        <f t="shared" ca="1" si="56"/>
        <v>0</v>
      </c>
      <c r="AY123" s="652">
        <f t="shared" ca="1" si="56"/>
        <v>0</v>
      </c>
      <c r="AZ123" s="652">
        <f t="shared" ca="1" si="56"/>
        <v>0</v>
      </c>
      <c r="BA123" s="652">
        <f t="shared" ca="1" si="56"/>
        <v>0</v>
      </c>
      <c r="BB123" s="652">
        <f t="shared" ca="1" si="56"/>
        <v>0</v>
      </c>
      <c r="BC123" s="652">
        <f t="shared" ca="1" si="56"/>
        <v>0</v>
      </c>
      <c r="BD123" s="652">
        <f t="shared" ca="1" si="33"/>
        <v>35901.465600000003</v>
      </c>
      <c r="BE123" s="652">
        <f t="shared" ca="1" si="56"/>
        <v>1084403.7684480001</v>
      </c>
      <c r="BF123" s="652">
        <f t="shared" ca="1" si="56"/>
        <v>0</v>
      </c>
      <c r="BG123" s="652">
        <f t="shared" ca="1" si="56"/>
        <v>107704.3968</v>
      </c>
      <c r="BH123" s="652">
        <f t="shared" ca="1" si="56"/>
        <v>0</v>
      </c>
      <c r="BI123" s="652">
        <f t="shared" ca="1" si="56"/>
        <v>1417659.1228799999</v>
      </c>
      <c r="BJ123" s="652">
        <f t="shared" ca="1" si="56"/>
        <v>218.77455600000002</v>
      </c>
      <c r="BK123" s="652">
        <f t="shared" ca="1" si="56"/>
        <v>0</v>
      </c>
    </row>
    <row r="124" spans="2:63">
      <c r="B124" s="661">
        <v>4</v>
      </c>
      <c r="C124" s="662" t="s">
        <v>68</v>
      </c>
      <c r="D124" s="660" t="str">
        <f t="shared" ca="1" si="47"/>
        <v>Interior ≤ 10W</v>
      </c>
      <c r="E124" s="660" t="str">
        <f t="shared" ca="1" si="47"/>
        <v>Any LED lamps or ballasts must also be ENERGY STAR® certified or listed on the Design Lights Consortium (DLC) qualified list.</v>
      </c>
      <c r="F124" s="660" t="str">
        <f t="shared" ca="1" si="47"/>
        <v>Per Unit</v>
      </c>
      <c r="G124" s="652">
        <f t="shared" ca="1" si="53"/>
        <v>0</v>
      </c>
      <c r="H124" s="652">
        <f t="shared" ca="1" si="53"/>
        <v>0</v>
      </c>
      <c r="I124" s="652">
        <f t="shared" ca="1" si="53"/>
        <v>14141.76</v>
      </c>
      <c r="J124" s="652">
        <f t="shared" ca="1" si="53"/>
        <v>21212.639999999999</v>
      </c>
      <c r="K124" s="652">
        <f t="shared" ca="1" si="53"/>
        <v>21212.639999999999</v>
      </c>
      <c r="L124" s="652">
        <f t="shared" ca="1" si="53"/>
        <v>16970.112000000001</v>
      </c>
      <c r="M124" s="652">
        <f t="shared" ca="1" si="53"/>
        <v>13576.089600000001</v>
      </c>
      <c r="N124" s="652">
        <f t="shared" ca="1" si="53"/>
        <v>0</v>
      </c>
      <c r="O124" s="652">
        <f t="shared" ca="1" si="53"/>
        <v>0</v>
      </c>
      <c r="P124" s="652">
        <f t="shared" ca="1" si="53"/>
        <v>509103.35999999999</v>
      </c>
      <c r="Q124" s="652">
        <f t="shared" ca="1" si="53"/>
        <v>763655.04</v>
      </c>
      <c r="R124" s="652">
        <f t="shared" ca="1" si="53"/>
        <v>763655.04</v>
      </c>
      <c r="S124" s="652">
        <f t="shared" ca="1" si="53"/>
        <v>610924.03200000001</v>
      </c>
      <c r="T124" s="652">
        <f t="shared" ca="1" si="53"/>
        <v>488739.22560000006</v>
      </c>
      <c r="U124" s="652">
        <f t="shared" ca="1" si="54"/>
        <v>0</v>
      </c>
      <c r="V124" s="652">
        <f t="shared" ca="1" si="54"/>
        <v>0</v>
      </c>
      <c r="W124" s="652">
        <f t="shared" ca="1" si="54"/>
        <v>0</v>
      </c>
      <c r="X124" s="652">
        <f t="shared" ca="1" si="54"/>
        <v>0</v>
      </c>
      <c r="Y124" s="652">
        <f t="shared" ca="1" si="54"/>
        <v>0</v>
      </c>
      <c r="Z124" s="652">
        <f t="shared" ca="1" si="54"/>
        <v>0</v>
      </c>
      <c r="AA124" s="652">
        <f t="shared" ca="1" si="54"/>
        <v>0</v>
      </c>
      <c r="AB124" s="652">
        <f t="shared" ca="1" si="54"/>
        <v>0</v>
      </c>
      <c r="AC124" s="652">
        <f t="shared" ca="1" si="54"/>
        <v>0</v>
      </c>
      <c r="AD124" s="652">
        <f t="shared" ca="1" si="54"/>
        <v>70708.800000000003</v>
      </c>
      <c r="AE124" s="652">
        <f t="shared" ca="1" si="54"/>
        <v>106063.2</v>
      </c>
      <c r="AF124" s="652">
        <f t="shared" ca="1" si="54"/>
        <v>106063.2</v>
      </c>
      <c r="AG124" s="652">
        <f t="shared" ca="1" si="54"/>
        <v>84850.559999999998</v>
      </c>
      <c r="AH124" s="652">
        <f t="shared" ca="1" si="54"/>
        <v>67880.448000000004</v>
      </c>
      <c r="AI124" s="652">
        <f t="shared" ca="1" si="55"/>
        <v>0</v>
      </c>
      <c r="AJ124" s="652">
        <f t="shared" ca="1" si="55"/>
        <v>0</v>
      </c>
      <c r="AK124" s="652">
        <f t="shared" ca="1" si="55"/>
        <v>2363475.7821671334</v>
      </c>
      <c r="AL124" s="652">
        <f t="shared" ca="1" si="55"/>
        <v>3545213.6732507003</v>
      </c>
      <c r="AM124" s="652">
        <f t="shared" ca="1" si="55"/>
        <v>3545213.6732507003</v>
      </c>
      <c r="AN124" s="652">
        <f t="shared" ca="1" si="55"/>
        <v>2836170.9386005607</v>
      </c>
      <c r="AO124" s="652">
        <f t="shared" ca="1" si="55"/>
        <v>2268936.7508804486</v>
      </c>
      <c r="AP124" s="652">
        <f t="shared" ca="1" si="55"/>
        <v>0</v>
      </c>
      <c r="AQ124" s="652">
        <f t="shared" ca="1" si="55"/>
        <v>0</v>
      </c>
      <c r="AR124" s="652">
        <f t="shared" ca="1" si="55"/>
        <v>545.12993033629402</v>
      </c>
      <c r="AS124" s="652">
        <f t="shared" ca="1" si="55"/>
        <v>817.69489550444098</v>
      </c>
      <c r="AT124" s="652">
        <f t="shared" ca="1" si="55"/>
        <v>817.69489550444098</v>
      </c>
      <c r="AU124" s="652">
        <f t="shared" ca="1" si="55"/>
        <v>654.15591640355285</v>
      </c>
      <c r="AV124" s="652">
        <f t="shared" ca="1" si="55"/>
        <v>523.3247331228423</v>
      </c>
      <c r="AW124" s="652">
        <f t="shared" ca="1" si="56"/>
        <v>0</v>
      </c>
      <c r="AX124" s="652">
        <f t="shared" ca="1" si="56"/>
        <v>0</v>
      </c>
      <c r="AY124" s="652">
        <f t="shared" ca="1" si="56"/>
        <v>0</v>
      </c>
      <c r="AZ124" s="652">
        <f t="shared" ca="1" si="56"/>
        <v>0</v>
      </c>
      <c r="BA124" s="652">
        <f t="shared" ca="1" si="56"/>
        <v>0</v>
      </c>
      <c r="BB124" s="652">
        <f t="shared" ca="1" si="56"/>
        <v>0</v>
      </c>
      <c r="BC124" s="652">
        <f t="shared" ca="1" si="56"/>
        <v>0</v>
      </c>
      <c r="BD124" s="652">
        <f t="shared" ca="1" si="33"/>
        <v>87113.241600000008</v>
      </c>
      <c r="BE124" s="652">
        <f t="shared" ca="1" si="56"/>
        <v>3136076.6976000001</v>
      </c>
      <c r="BF124" s="652">
        <f t="shared" ca="1" si="56"/>
        <v>0</v>
      </c>
      <c r="BG124" s="652">
        <f t="shared" ca="1" si="56"/>
        <v>435566.20799999998</v>
      </c>
      <c r="BH124" s="652">
        <f t="shared" ca="1" si="56"/>
        <v>0</v>
      </c>
      <c r="BI124" s="652">
        <f t="shared" ca="1" si="56"/>
        <v>14559010.818149544</v>
      </c>
      <c r="BJ124" s="652">
        <f t="shared" ca="1" si="56"/>
        <v>3358.0003708715712</v>
      </c>
      <c r="BK124" s="652">
        <f t="shared" ca="1" si="56"/>
        <v>0</v>
      </c>
    </row>
    <row r="125" spans="2:63">
      <c r="B125" s="661">
        <v>5</v>
      </c>
      <c r="C125" s="662" t="s">
        <v>68</v>
      </c>
      <c r="D125" s="660" t="str">
        <f t="shared" ca="1" si="47"/>
        <v>Interior &gt; 10W and &lt; 50W</v>
      </c>
      <c r="E125" s="660" t="str">
        <f t="shared" ca="1" si="47"/>
        <v>Any LED lamps or ballasts must also be ENERGY STAR® certified or listed on the Design Lights Consortium (DLC) qualified list.</v>
      </c>
      <c r="F125" s="660" t="str">
        <f t="shared" ca="1" si="47"/>
        <v>Per Unit</v>
      </c>
      <c r="G125" s="652">
        <f t="shared" ca="1" si="53"/>
        <v>0</v>
      </c>
      <c r="H125" s="652">
        <f t="shared" ca="1" si="53"/>
        <v>0</v>
      </c>
      <c r="I125" s="652">
        <f t="shared" ca="1" si="53"/>
        <v>188605.44</v>
      </c>
      <c r="J125" s="652">
        <f t="shared" ca="1" si="53"/>
        <v>282908.15999999997</v>
      </c>
      <c r="K125" s="652">
        <f t="shared" ca="1" si="53"/>
        <v>282908.15999999997</v>
      </c>
      <c r="L125" s="652">
        <f t="shared" ca="1" si="53"/>
        <v>226326.52799999999</v>
      </c>
      <c r="M125" s="652">
        <f t="shared" ca="1" si="53"/>
        <v>181061.2224</v>
      </c>
      <c r="N125" s="652">
        <f t="shared" ca="1" si="53"/>
        <v>0</v>
      </c>
      <c r="O125" s="652">
        <f t="shared" ca="1" si="53"/>
        <v>0</v>
      </c>
      <c r="P125" s="652">
        <f t="shared" ca="1" si="53"/>
        <v>6843683.1085714288</v>
      </c>
      <c r="Q125" s="652">
        <f t="shared" ca="1" si="53"/>
        <v>10265524.662857141</v>
      </c>
      <c r="R125" s="652">
        <f t="shared" ca="1" si="53"/>
        <v>10265524.662857141</v>
      </c>
      <c r="S125" s="652">
        <f t="shared" ref="G125:T129" ca="1" si="57">VLOOKUP($B125,INDIRECT("'"&amp;$C125&amp;"'!A6:FR1000"),IF(S$6="Participation 2023",MATCH("__Participation 2023",INDIRECT("'"&amp;$C125&amp;"'!1:1"),0),IF(S$6="Participation",MATCH("_Total Plan Summary _Participation",INDIRECT("'"&amp;$C125&amp;"'!1:1"),0),MATCH(S$4&amp;"_"&amp;S$5&amp;"_"&amp;S$6,INDIRECT("'"&amp;$C125&amp;"'!1:1"),0))),0)</f>
        <v>8212419.7302857134</v>
      </c>
      <c r="T125" s="652">
        <f t="shared" ca="1" si="57"/>
        <v>6569935.7842285708</v>
      </c>
      <c r="U125" s="652">
        <f t="shared" ca="1" si="54"/>
        <v>0</v>
      </c>
      <c r="V125" s="652">
        <f t="shared" ca="1" si="54"/>
        <v>0</v>
      </c>
      <c r="W125" s="652">
        <f t="shared" ca="1" si="54"/>
        <v>0</v>
      </c>
      <c r="X125" s="652">
        <f t="shared" ca="1" si="54"/>
        <v>0</v>
      </c>
      <c r="Y125" s="652">
        <f t="shared" ca="1" si="54"/>
        <v>0</v>
      </c>
      <c r="Z125" s="652">
        <f t="shared" ca="1" si="54"/>
        <v>0</v>
      </c>
      <c r="AA125" s="652">
        <f t="shared" ca="1" si="54"/>
        <v>0</v>
      </c>
      <c r="AB125" s="652">
        <f t="shared" ca="1" si="54"/>
        <v>0</v>
      </c>
      <c r="AC125" s="652">
        <f t="shared" ca="1" si="54"/>
        <v>0</v>
      </c>
      <c r="AD125" s="652">
        <f t="shared" ca="1" si="54"/>
        <v>943027.19999999995</v>
      </c>
      <c r="AE125" s="652">
        <f t="shared" ca="1" si="54"/>
        <v>1414540.7999999998</v>
      </c>
      <c r="AF125" s="652">
        <f t="shared" ca="1" si="54"/>
        <v>1414540.7999999998</v>
      </c>
      <c r="AG125" s="652">
        <f t="shared" ca="1" si="54"/>
        <v>1131632.6399999999</v>
      </c>
      <c r="AH125" s="652">
        <f t="shared" ca="1" si="54"/>
        <v>905306.11199999996</v>
      </c>
      <c r="AI125" s="652">
        <f t="shared" ca="1" si="55"/>
        <v>0</v>
      </c>
      <c r="AJ125" s="652">
        <f t="shared" ca="1" si="55"/>
        <v>0</v>
      </c>
      <c r="AK125" s="652">
        <f t="shared" ca="1" si="55"/>
        <v>24352750.61522441</v>
      </c>
      <c r="AL125" s="652">
        <f t="shared" ca="1" si="55"/>
        <v>36529125.922836609</v>
      </c>
      <c r="AM125" s="652">
        <f t="shared" ca="1" si="55"/>
        <v>36529125.922836609</v>
      </c>
      <c r="AN125" s="652">
        <f t="shared" ca="1" si="55"/>
        <v>29223300.738269292</v>
      </c>
      <c r="AO125" s="652">
        <f t="shared" ca="1" si="55"/>
        <v>23378640.590615433</v>
      </c>
      <c r="AP125" s="652">
        <f t="shared" ca="1" si="55"/>
        <v>0</v>
      </c>
      <c r="AQ125" s="652">
        <f t="shared" ca="1" si="55"/>
        <v>0</v>
      </c>
      <c r="AR125" s="652">
        <f t="shared" ca="1" si="55"/>
        <v>11777.899703950861</v>
      </c>
      <c r="AS125" s="652">
        <f t="shared" ca="1" si="55"/>
        <v>17666.849555926288</v>
      </c>
      <c r="AT125" s="652">
        <f t="shared" ca="1" si="55"/>
        <v>17666.849555926288</v>
      </c>
      <c r="AU125" s="652">
        <f t="shared" ca="1" si="55"/>
        <v>14133.479644741032</v>
      </c>
      <c r="AV125" s="652">
        <f t="shared" ca="1" si="55"/>
        <v>11306.783715792826</v>
      </c>
      <c r="AW125" s="652">
        <f t="shared" ca="1" si="56"/>
        <v>0</v>
      </c>
      <c r="AX125" s="652">
        <f t="shared" ca="1" si="56"/>
        <v>0</v>
      </c>
      <c r="AY125" s="652">
        <f t="shared" ca="1" si="56"/>
        <v>0</v>
      </c>
      <c r="AZ125" s="652">
        <f t="shared" ca="1" si="56"/>
        <v>0</v>
      </c>
      <c r="BA125" s="652">
        <f t="shared" ca="1" si="56"/>
        <v>0</v>
      </c>
      <c r="BB125" s="652">
        <f t="shared" ca="1" si="56"/>
        <v>0</v>
      </c>
      <c r="BC125" s="652">
        <f t="shared" ca="1" si="56"/>
        <v>0</v>
      </c>
      <c r="BD125" s="652">
        <f t="shared" ca="1" si="33"/>
        <v>1161809.5104</v>
      </c>
      <c r="BE125" s="652">
        <f t="shared" ca="1" si="56"/>
        <v>42157087.948799998</v>
      </c>
      <c r="BF125" s="652">
        <f t="shared" ca="1" si="56"/>
        <v>0</v>
      </c>
      <c r="BG125" s="652">
        <f t="shared" ca="1" si="56"/>
        <v>5809047.5519999992</v>
      </c>
      <c r="BH125" s="652">
        <f t="shared" ca="1" si="56"/>
        <v>0</v>
      </c>
      <c r="BI125" s="652">
        <f t="shared" ca="1" si="56"/>
        <v>150012943.78978235</v>
      </c>
      <c r="BJ125" s="652">
        <f t="shared" ca="1" si="56"/>
        <v>72551.862176337294</v>
      </c>
      <c r="BK125" s="652">
        <f t="shared" ca="1" si="56"/>
        <v>0</v>
      </c>
    </row>
    <row r="126" spans="2:63">
      <c r="B126" s="661">
        <v>6</v>
      </c>
      <c r="C126" s="662" t="s">
        <v>68</v>
      </c>
      <c r="D126" s="660" t="str">
        <f t="shared" ca="1" si="47"/>
        <v>Interior ≥ 50W</v>
      </c>
      <c r="E126" s="660" t="str">
        <f t="shared" ca="1" si="47"/>
        <v>Any LED lamps or ballasts must also be ENERGY STAR® certified or listed on the Design Lights Consortium (DLC) qualified list.</v>
      </c>
      <c r="F126" s="660" t="str">
        <f t="shared" ca="1" si="47"/>
        <v>Per Unit</v>
      </c>
      <c r="G126" s="652">
        <f t="shared" ca="1" si="57"/>
        <v>0</v>
      </c>
      <c r="H126" s="652">
        <f t="shared" ca="1" si="57"/>
        <v>0</v>
      </c>
      <c r="I126" s="652">
        <f t="shared" ca="1" si="57"/>
        <v>23395.200000000001</v>
      </c>
      <c r="J126" s="652">
        <f t="shared" ca="1" si="57"/>
        <v>35092.799999999996</v>
      </c>
      <c r="K126" s="652">
        <f t="shared" ca="1" si="57"/>
        <v>35092.799999999996</v>
      </c>
      <c r="L126" s="652">
        <f t="shared" ca="1" si="57"/>
        <v>28074.239999999998</v>
      </c>
      <c r="M126" s="652">
        <f t="shared" ca="1" si="57"/>
        <v>22459.392</v>
      </c>
      <c r="N126" s="652">
        <f t="shared" ca="1" si="57"/>
        <v>0</v>
      </c>
      <c r="O126" s="652">
        <f t="shared" ca="1" si="57"/>
        <v>0</v>
      </c>
      <c r="P126" s="652">
        <f t="shared" ca="1" si="57"/>
        <v>3556070.4</v>
      </c>
      <c r="Q126" s="652">
        <f t="shared" ca="1" si="57"/>
        <v>5334105.5999999996</v>
      </c>
      <c r="R126" s="652">
        <f t="shared" ca="1" si="57"/>
        <v>5334105.5999999996</v>
      </c>
      <c r="S126" s="652">
        <f t="shared" ca="1" si="57"/>
        <v>4267284.4799999995</v>
      </c>
      <c r="T126" s="652">
        <f t="shared" ca="1" si="57"/>
        <v>3413827.5839999998</v>
      </c>
      <c r="U126" s="652">
        <f t="shared" ca="1" si="54"/>
        <v>0</v>
      </c>
      <c r="V126" s="652">
        <f t="shared" ca="1" si="54"/>
        <v>0</v>
      </c>
      <c r="W126" s="652">
        <f t="shared" ca="1" si="54"/>
        <v>0</v>
      </c>
      <c r="X126" s="652">
        <f t="shared" ca="1" si="54"/>
        <v>0</v>
      </c>
      <c r="Y126" s="652">
        <f t="shared" ca="1" si="54"/>
        <v>0</v>
      </c>
      <c r="Z126" s="652">
        <f t="shared" ca="1" si="54"/>
        <v>0</v>
      </c>
      <c r="AA126" s="652">
        <f t="shared" ca="1" si="54"/>
        <v>0</v>
      </c>
      <c r="AB126" s="652">
        <f t="shared" ca="1" si="54"/>
        <v>0</v>
      </c>
      <c r="AC126" s="652">
        <f t="shared" ca="1" si="54"/>
        <v>0</v>
      </c>
      <c r="AD126" s="652">
        <f t="shared" ca="1" si="54"/>
        <v>140371.20000000001</v>
      </c>
      <c r="AE126" s="652">
        <f t="shared" ca="1" si="54"/>
        <v>210556.79999999999</v>
      </c>
      <c r="AF126" s="652">
        <f t="shared" ca="1" si="54"/>
        <v>210556.79999999999</v>
      </c>
      <c r="AG126" s="652">
        <f t="shared" ca="1" si="54"/>
        <v>168445.44</v>
      </c>
      <c r="AH126" s="652">
        <f t="shared" ca="1" si="54"/>
        <v>134756.35200000001</v>
      </c>
      <c r="AI126" s="652">
        <f t="shared" ca="1" si="55"/>
        <v>0</v>
      </c>
      <c r="AJ126" s="652">
        <f t="shared" ca="1" si="55"/>
        <v>0</v>
      </c>
      <c r="AK126" s="652">
        <f t="shared" ca="1" si="55"/>
        <v>4874419.2865638789</v>
      </c>
      <c r="AL126" s="652">
        <f t="shared" ca="1" si="55"/>
        <v>7311628.9298458165</v>
      </c>
      <c r="AM126" s="652">
        <f t="shared" ca="1" si="55"/>
        <v>7311628.9298458165</v>
      </c>
      <c r="AN126" s="652">
        <f t="shared" ca="1" si="55"/>
        <v>5849303.1438766541</v>
      </c>
      <c r="AO126" s="652">
        <f t="shared" ca="1" si="55"/>
        <v>4679442.5151013229</v>
      </c>
      <c r="AP126" s="652">
        <f t="shared" ca="1" si="55"/>
        <v>0</v>
      </c>
      <c r="AQ126" s="652">
        <f t="shared" ca="1" si="55"/>
        <v>0</v>
      </c>
      <c r="AR126" s="652">
        <f t="shared" ca="1" si="55"/>
        <v>1038.4795595237522</v>
      </c>
      <c r="AS126" s="652">
        <f t="shared" ca="1" si="55"/>
        <v>1557.7193392856279</v>
      </c>
      <c r="AT126" s="652">
        <f t="shared" ca="1" si="55"/>
        <v>1557.7193392856279</v>
      </c>
      <c r="AU126" s="652">
        <f t="shared" ca="1" si="55"/>
        <v>1246.1754714285023</v>
      </c>
      <c r="AV126" s="652">
        <f t="shared" ca="1" si="55"/>
        <v>996.94037714280194</v>
      </c>
      <c r="AW126" s="652">
        <f t="shared" ca="1" si="56"/>
        <v>0</v>
      </c>
      <c r="AX126" s="652">
        <f t="shared" ca="1" si="56"/>
        <v>0</v>
      </c>
      <c r="AY126" s="652">
        <f t="shared" ca="1" si="56"/>
        <v>0</v>
      </c>
      <c r="AZ126" s="652">
        <f t="shared" ca="1" si="56"/>
        <v>0</v>
      </c>
      <c r="BA126" s="652">
        <f t="shared" ca="1" si="56"/>
        <v>0</v>
      </c>
      <c r="BB126" s="652">
        <f t="shared" ca="1" si="56"/>
        <v>0</v>
      </c>
      <c r="BC126" s="652">
        <f t="shared" ca="1" si="56"/>
        <v>0</v>
      </c>
      <c r="BD126" s="652">
        <f t="shared" ca="1" si="33"/>
        <v>144114.43199999997</v>
      </c>
      <c r="BE126" s="652">
        <f t="shared" ca="1" si="56"/>
        <v>21905393.663999997</v>
      </c>
      <c r="BF126" s="652">
        <f t="shared" ca="1" si="56"/>
        <v>0</v>
      </c>
      <c r="BG126" s="652">
        <f t="shared" ca="1" si="56"/>
        <v>864686.59199999995</v>
      </c>
      <c r="BH126" s="652">
        <f t="shared" ca="1" si="56"/>
        <v>0</v>
      </c>
      <c r="BI126" s="652">
        <f t="shared" ca="1" si="56"/>
        <v>30026422.805233486</v>
      </c>
      <c r="BJ126" s="652">
        <f t="shared" ca="1" si="56"/>
        <v>6397.0340866663119</v>
      </c>
      <c r="BK126" s="652">
        <f t="shared" ca="1" si="56"/>
        <v>0</v>
      </c>
    </row>
    <row r="127" spans="2:63">
      <c r="B127" s="661">
        <v>7</v>
      </c>
      <c r="C127" s="662" t="s">
        <v>68</v>
      </c>
      <c r="D127" s="660" t="str">
        <f t="shared" ca="1" si="47"/>
        <v>Exterior: LED Other</v>
      </c>
      <c r="E127" s="660" t="str">
        <f t="shared" ca="1" si="47"/>
        <v>Any LED lamps or ballasts must also be ENERGY STAR® certified or listed on the Design Lights Consortium (DLC) qualified list.</v>
      </c>
      <c r="F127" s="660" t="str">
        <f t="shared" ca="1" si="47"/>
        <v>Per Unit</v>
      </c>
      <c r="G127" s="652">
        <f t="shared" ca="1" si="57"/>
        <v>0</v>
      </c>
      <c r="H127" s="652">
        <f t="shared" ca="1" si="57"/>
        <v>0</v>
      </c>
      <c r="I127" s="652">
        <f t="shared" ca="1" si="57"/>
        <v>54618.240000000005</v>
      </c>
      <c r="J127" s="652">
        <f t="shared" ca="1" si="57"/>
        <v>81927.360000000001</v>
      </c>
      <c r="K127" s="652">
        <f t="shared" ca="1" si="57"/>
        <v>81927.360000000001</v>
      </c>
      <c r="L127" s="652">
        <f t="shared" ca="1" si="57"/>
        <v>65541.888000000006</v>
      </c>
      <c r="M127" s="652">
        <f t="shared" ca="1" si="57"/>
        <v>52433.510400000006</v>
      </c>
      <c r="N127" s="652">
        <f t="shared" ca="1" si="57"/>
        <v>0</v>
      </c>
      <c r="O127" s="652">
        <f t="shared" ca="1" si="57"/>
        <v>0</v>
      </c>
      <c r="P127" s="652">
        <f t="shared" ca="1" si="57"/>
        <v>1010437.4400000001</v>
      </c>
      <c r="Q127" s="652">
        <f t="shared" ca="1" si="57"/>
        <v>1515656.16</v>
      </c>
      <c r="R127" s="652">
        <f t="shared" ca="1" si="57"/>
        <v>1515656.16</v>
      </c>
      <c r="S127" s="652">
        <f t="shared" ca="1" si="57"/>
        <v>1212524.9280000001</v>
      </c>
      <c r="T127" s="652">
        <f t="shared" ca="1" si="57"/>
        <v>970019.94240000017</v>
      </c>
      <c r="U127" s="652">
        <f t="shared" ca="1" si="54"/>
        <v>0</v>
      </c>
      <c r="V127" s="652">
        <f t="shared" ca="1" si="54"/>
        <v>0</v>
      </c>
      <c r="W127" s="652">
        <f t="shared" ca="1" si="54"/>
        <v>0</v>
      </c>
      <c r="X127" s="652">
        <f t="shared" ca="1" si="54"/>
        <v>0</v>
      </c>
      <c r="Y127" s="652">
        <f t="shared" ca="1" si="54"/>
        <v>0</v>
      </c>
      <c r="Z127" s="652">
        <f t="shared" ca="1" si="54"/>
        <v>0</v>
      </c>
      <c r="AA127" s="652">
        <f t="shared" ca="1" si="54"/>
        <v>0</v>
      </c>
      <c r="AB127" s="652">
        <f t="shared" ca="1" si="54"/>
        <v>0</v>
      </c>
      <c r="AC127" s="652">
        <f t="shared" ca="1" si="54"/>
        <v>0</v>
      </c>
      <c r="AD127" s="652">
        <f t="shared" ca="1" si="54"/>
        <v>710037.12000000011</v>
      </c>
      <c r="AE127" s="652">
        <f t="shared" ca="1" si="54"/>
        <v>1065055.68</v>
      </c>
      <c r="AF127" s="652">
        <f t="shared" ca="1" si="54"/>
        <v>1065055.68</v>
      </c>
      <c r="AG127" s="652">
        <f t="shared" ca="1" si="54"/>
        <v>852044.54400000011</v>
      </c>
      <c r="AH127" s="652">
        <f t="shared" ca="1" si="54"/>
        <v>681635.63520000014</v>
      </c>
      <c r="AI127" s="652">
        <f t="shared" ca="1" si="55"/>
        <v>0</v>
      </c>
      <c r="AJ127" s="652">
        <f t="shared" ca="1" si="55"/>
        <v>0</v>
      </c>
      <c r="AK127" s="652">
        <f t="shared" ca="1" si="55"/>
        <v>34655531.641310468</v>
      </c>
      <c r="AL127" s="652">
        <f t="shared" ca="1" si="55"/>
        <v>51983297.461965695</v>
      </c>
      <c r="AM127" s="652">
        <f t="shared" ca="1" si="55"/>
        <v>51983297.461965695</v>
      </c>
      <c r="AN127" s="652">
        <f t="shared" ca="1" si="55"/>
        <v>41586637.969572559</v>
      </c>
      <c r="AO127" s="652">
        <f t="shared" ca="1" si="55"/>
        <v>33269310.37565805</v>
      </c>
      <c r="AP127" s="652">
        <f t="shared" ca="1" si="55"/>
        <v>0</v>
      </c>
      <c r="AQ127" s="652">
        <f t="shared" ca="1" si="55"/>
        <v>0</v>
      </c>
      <c r="AR127" s="652">
        <f t="shared" ca="1" si="55"/>
        <v>0</v>
      </c>
      <c r="AS127" s="652">
        <f t="shared" ca="1" si="55"/>
        <v>0</v>
      </c>
      <c r="AT127" s="652">
        <f t="shared" ca="1" si="55"/>
        <v>0</v>
      </c>
      <c r="AU127" s="652">
        <f t="shared" ca="1" si="55"/>
        <v>0</v>
      </c>
      <c r="AV127" s="652">
        <f t="shared" ca="1" si="55"/>
        <v>0</v>
      </c>
      <c r="AW127" s="652">
        <f t="shared" ca="1" si="56"/>
        <v>0</v>
      </c>
      <c r="AX127" s="652">
        <f t="shared" ca="1" si="56"/>
        <v>0</v>
      </c>
      <c r="AY127" s="652">
        <f t="shared" ca="1" si="56"/>
        <v>0</v>
      </c>
      <c r="AZ127" s="652">
        <f t="shared" ca="1" si="56"/>
        <v>0</v>
      </c>
      <c r="BA127" s="652">
        <f t="shared" ca="1" si="56"/>
        <v>0</v>
      </c>
      <c r="BB127" s="652">
        <f t="shared" ca="1" si="56"/>
        <v>0</v>
      </c>
      <c r="BC127" s="652">
        <f t="shared" ca="1" si="56"/>
        <v>0</v>
      </c>
      <c r="BD127" s="652">
        <f t="shared" ca="1" si="33"/>
        <v>336448.35840000003</v>
      </c>
      <c r="BE127" s="652">
        <f t="shared" ca="1" si="56"/>
        <v>6224294.6304000001</v>
      </c>
      <c r="BF127" s="652">
        <f t="shared" ca="1" si="56"/>
        <v>0</v>
      </c>
      <c r="BG127" s="652">
        <f t="shared" ca="1" si="56"/>
        <v>4373828.6592000006</v>
      </c>
      <c r="BH127" s="652">
        <f t="shared" ca="1" si="56"/>
        <v>0</v>
      </c>
      <c r="BI127" s="652">
        <f t="shared" ca="1" si="56"/>
        <v>213478074.91047245</v>
      </c>
      <c r="BJ127" s="652">
        <f t="shared" ca="1" si="56"/>
        <v>0</v>
      </c>
      <c r="BK127" s="652">
        <f t="shared" ca="1" si="56"/>
        <v>0</v>
      </c>
    </row>
    <row r="128" spans="2:63">
      <c r="B128" s="661">
        <v>8</v>
      </c>
      <c r="C128" s="662" t="s">
        <v>68</v>
      </c>
      <c r="D128" s="660" t="str">
        <f t="shared" ref="D128:F129" ca="1" si="58">VLOOKUP($B128,INDIRECT("'"&amp;$C128&amp;"'!A6:FC1000"),IF(D$6="Participation 2023",MATCH("__Participation 2023",INDIRECT("'"&amp;$C128&amp;"'!1:1"),0),IF(D$6="Participation",MATCH("_Total Plan Summary _Participation",INDIRECT("'"&amp;$C128&amp;"'!1:1"),0),MATCH(D$4&amp;"_"&amp;D$5&amp;"_"&amp;D$6,INDIRECT("'"&amp;$C128&amp;"'!1:1"),0))),0)</f>
        <v>Wall Pack &amp; Canopy Fixtures ≤ 150W</v>
      </c>
      <c r="E128" s="660" t="str">
        <f t="shared" ca="1" si="58"/>
        <v>Any LED lamps or ballasts must also be ENERGY STAR® certified or listed on the Design Lights Consortium (DLC) qualified list.</v>
      </c>
      <c r="F128" s="660" t="str">
        <f t="shared" ca="1" si="58"/>
        <v>Per Unit</v>
      </c>
      <c r="G128" s="652">
        <f t="shared" ca="1" si="57"/>
        <v>0</v>
      </c>
      <c r="H128" s="652">
        <f t="shared" ca="1" si="57"/>
        <v>0</v>
      </c>
      <c r="I128" s="652">
        <f t="shared" ca="1" si="57"/>
        <v>8695.68</v>
      </c>
      <c r="J128" s="652">
        <f t="shared" ca="1" si="57"/>
        <v>13043.52</v>
      </c>
      <c r="K128" s="652">
        <f t="shared" ca="1" si="57"/>
        <v>13043.52</v>
      </c>
      <c r="L128" s="652">
        <f t="shared" ca="1" si="57"/>
        <v>10434.816000000001</v>
      </c>
      <c r="M128" s="652">
        <f t="shared" ca="1" si="57"/>
        <v>8347.8528000000006</v>
      </c>
      <c r="N128" s="652">
        <f t="shared" ca="1" si="57"/>
        <v>0</v>
      </c>
      <c r="O128" s="652">
        <f t="shared" ca="1" si="57"/>
        <v>0</v>
      </c>
      <c r="P128" s="652">
        <f t="shared" ca="1" si="57"/>
        <v>5486974.0800000001</v>
      </c>
      <c r="Q128" s="652">
        <f t="shared" ca="1" si="57"/>
        <v>8230461.1200000001</v>
      </c>
      <c r="R128" s="652">
        <f t="shared" ca="1" si="57"/>
        <v>8230461.1200000001</v>
      </c>
      <c r="S128" s="652">
        <f t="shared" ca="1" si="57"/>
        <v>6584368.8960000006</v>
      </c>
      <c r="T128" s="652">
        <f t="shared" ca="1" si="57"/>
        <v>5267495.1168</v>
      </c>
      <c r="U128" s="652">
        <f t="shared" ca="1" si="54"/>
        <v>0</v>
      </c>
      <c r="V128" s="652">
        <f t="shared" ca="1" si="54"/>
        <v>0</v>
      </c>
      <c r="W128" s="652">
        <f t="shared" ca="1" si="54"/>
        <v>-24916.02176</v>
      </c>
      <c r="X128" s="652">
        <f t="shared" ca="1" si="54"/>
        <v>-37374.032639999998</v>
      </c>
      <c r="Y128" s="652">
        <f t="shared" ca="1" si="54"/>
        <v>-37374.032639999998</v>
      </c>
      <c r="Z128" s="652">
        <f t="shared" ca="1" si="54"/>
        <v>-29899.226112</v>
      </c>
      <c r="AA128" s="652">
        <f t="shared" ca="1" si="54"/>
        <v>-23919.380889600001</v>
      </c>
      <c r="AB128" s="652">
        <f t="shared" ca="1" si="54"/>
        <v>0</v>
      </c>
      <c r="AC128" s="652">
        <f t="shared" ca="1" si="54"/>
        <v>0</v>
      </c>
      <c r="AD128" s="652">
        <f t="shared" ca="1" si="54"/>
        <v>173913.60000000001</v>
      </c>
      <c r="AE128" s="652">
        <f t="shared" ca="1" si="54"/>
        <v>260870.40000000002</v>
      </c>
      <c r="AF128" s="652">
        <f t="shared" ca="1" si="54"/>
        <v>260870.40000000002</v>
      </c>
      <c r="AG128" s="652">
        <f t="shared" ca="1" si="54"/>
        <v>208696.32000000001</v>
      </c>
      <c r="AH128" s="652">
        <f t="shared" ca="1" si="54"/>
        <v>166957.05600000001</v>
      </c>
      <c r="AI128" s="652">
        <f t="shared" ca="1" si="55"/>
        <v>0</v>
      </c>
      <c r="AJ128" s="652">
        <f t="shared" ca="1" si="55"/>
        <v>0</v>
      </c>
      <c r="AK128" s="652">
        <f t="shared" ca="1" si="55"/>
        <v>4050212.9606399997</v>
      </c>
      <c r="AL128" s="652">
        <f t="shared" ca="1" si="55"/>
        <v>6075319.4409599993</v>
      </c>
      <c r="AM128" s="652">
        <f t="shared" ca="1" si="55"/>
        <v>6075319.4409599993</v>
      </c>
      <c r="AN128" s="652">
        <f t="shared" ca="1" si="55"/>
        <v>4860255.5527680004</v>
      </c>
      <c r="AO128" s="652">
        <f t="shared" ca="1" si="55"/>
        <v>3888204.4422144</v>
      </c>
      <c r="AP128" s="652">
        <f t="shared" ca="1" si="55"/>
        <v>0</v>
      </c>
      <c r="AQ128" s="652">
        <f t="shared" ca="1" si="55"/>
        <v>0</v>
      </c>
      <c r="AR128" s="652">
        <f t="shared" ca="1" si="55"/>
        <v>334.78368</v>
      </c>
      <c r="AS128" s="652">
        <f t="shared" ca="1" si="55"/>
        <v>502.17552000000001</v>
      </c>
      <c r="AT128" s="652">
        <f t="shared" ca="1" si="55"/>
        <v>502.17552000000001</v>
      </c>
      <c r="AU128" s="652">
        <f t="shared" ca="1" si="55"/>
        <v>401.74041600000004</v>
      </c>
      <c r="AV128" s="652">
        <f t="shared" ca="1" si="55"/>
        <v>321.39233280000002</v>
      </c>
      <c r="AW128" s="652">
        <f t="shared" ca="1" si="56"/>
        <v>0</v>
      </c>
      <c r="AX128" s="652">
        <f t="shared" ca="1" si="56"/>
        <v>0</v>
      </c>
      <c r="AY128" s="652">
        <f t="shared" ca="1" si="56"/>
        <v>0</v>
      </c>
      <c r="AZ128" s="652">
        <f t="shared" ca="1" si="56"/>
        <v>0</v>
      </c>
      <c r="BA128" s="652">
        <f t="shared" ca="1" si="56"/>
        <v>0</v>
      </c>
      <c r="BB128" s="652">
        <f t="shared" ca="1" si="56"/>
        <v>0</v>
      </c>
      <c r="BC128" s="652">
        <f t="shared" ca="1" si="56"/>
        <v>0</v>
      </c>
      <c r="BD128" s="652">
        <f t="shared" ca="1" si="33"/>
        <v>53565.388800000001</v>
      </c>
      <c r="BE128" s="652">
        <f t="shared" ca="1" si="56"/>
        <v>33799760.332800001</v>
      </c>
      <c r="BF128" s="652">
        <f t="shared" ca="1" si="56"/>
        <v>-153482.69404159999</v>
      </c>
      <c r="BG128" s="652">
        <f t="shared" ca="1" si="56"/>
        <v>1071307.7760000001</v>
      </c>
      <c r="BH128" s="652">
        <f t="shared" ca="1" si="56"/>
        <v>0</v>
      </c>
      <c r="BI128" s="652">
        <f t="shared" ca="1" si="56"/>
        <v>24949311.8375424</v>
      </c>
      <c r="BJ128" s="652">
        <f t="shared" ca="1" si="56"/>
        <v>2062.2674688000002</v>
      </c>
      <c r="BK128" s="652">
        <f t="shared" ca="1" si="56"/>
        <v>0</v>
      </c>
    </row>
    <row r="129" spans="2:72">
      <c r="B129" s="661">
        <v>9</v>
      </c>
      <c r="C129" s="662" t="s">
        <v>68</v>
      </c>
      <c r="D129" s="660" t="str">
        <f t="shared" ca="1" si="58"/>
        <v>Wall Pack &amp; Canopy Fixtures &gt; 150W</v>
      </c>
      <c r="E129" s="660" t="str">
        <f t="shared" ca="1" si="58"/>
        <v>Any LED lamps or ballasts must also be ENERGY STAR® certified or listed on the Design Lights Consortium (DLC) qualified list.</v>
      </c>
      <c r="F129" s="660" t="str">
        <f t="shared" ca="1" si="58"/>
        <v>Per Unit</v>
      </c>
      <c r="G129" s="652">
        <f t="shared" ca="1" si="57"/>
        <v>0</v>
      </c>
      <c r="H129" s="652">
        <f t="shared" ca="1" si="57"/>
        <v>0</v>
      </c>
      <c r="I129" s="652">
        <f t="shared" ca="1" si="57"/>
        <v>0.96</v>
      </c>
      <c r="J129" s="652">
        <f t="shared" ca="1" si="57"/>
        <v>1.44</v>
      </c>
      <c r="K129" s="652">
        <f t="shared" ca="1" si="57"/>
        <v>1.44</v>
      </c>
      <c r="L129" s="652">
        <f t="shared" ca="1" si="57"/>
        <v>1.1519999999999999</v>
      </c>
      <c r="M129" s="652">
        <f t="shared" ca="1" si="57"/>
        <v>0.92159999999999997</v>
      </c>
      <c r="N129" s="652">
        <f t="shared" ca="1" si="57"/>
        <v>0</v>
      </c>
      <c r="O129" s="652">
        <f t="shared" ca="1" si="57"/>
        <v>0</v>
      </c>
      <c r="P129" s="652">
        <f t="shared" ca="1" si="57"/>
        <v>1772.1599999999999</v>
      </c>
      <c r="Q129" s="652">
        <f t="shared" ca="1" si="57"/>
        <v>2658.24</v>
      </c>
      <c r="R129" s="652">
        <f t="shared" ca="1" si="57"/>
        <v>2658.24</v>
      </c>
      <c r="S129" s="652">
        <f t="shared" ca="1" si="57"/>
        <v>2126.5919999999996</v>
      </c>
      <c r="T129" s="652">
        <f t="shared" ca="1" si="57"/>
        <v>1701.2736</v>
      </c>
      <c r="U129" s="652">
        <f t="shared" ca="1" si="54"/>
        <v>0</v>
      </c>
      <c r="V129" s="652">
        <f t="shared" ca="1" si="54"/>
        <v>0</v>
      </c>
      <c r="W129" s="652">
        <f t="shared" ca="1" si="54"/>
        <v>-2.7507199999999998</v>
      </c>
      <c r="X129" s="652">
        <f t="shared" ca="1" si="54"/>
        <v>-4.1260799999999991</v>
      </c>
      <c r="Y129" s="652">
        <f t="shared" ca="1" si="54"/>
        <v>-4.1260799999999991</v>
      </c>
      <c r="Z129" s="652">
        <f t="shared" ca="1" si="54"/>
        <v>-3.3008639999999994</v>
      </c>
      <c r="AA129" s="652">
        <f t="shared" ca="1" si="54"/>
        <v>-2.6406911999999996</v>
      </c>
      <c r="AB129" s="652">
        <f t="shared" ca="1" si="54"/>
        <v>0</v>
      </c>
      <c r="AC129" s="652">
        <f t="shared" ca="1" si="54"/>
        <v>0</v>
      </c>
      <c r="AD129" s="652">
        <f t="shared" ca="1" si="54"/>
        <v>28.799999999999997</v>
      </c>
      <c r="AE129" s="652">
        <f t="shared" ca="1" si="54"/>
        <v>43.199999999999996</v>
      </c>
      <c r="AF129" s="652">
        <f t="shared" ca="1" si="54"/>
        <v>43.199999999999996</v>
      </c>
      <c r="AG129" s="652">
        <f t="shared" ca="1" si="54"/>
        <v>34.559999999999995</v>
      </c>
      <c r="AH129" s="652">
        <f t="shared" ca="1" si="54"/>
        <v>27.648</v>
      </c>
      <c r="AI129" s="652">
        <f t="shared" ca="1" si="55"/>
        <v>0</v>
      </c>
      <c r="AJ129" s="652">
        <f t="shared" ca="1" si="55"/>
        <v>0</v>
      </c>
      <c r="AK129" s="652">
        <f t="shared" ca="1" si="55"/>
        <v>958.16160000000002</v>
      </c>
      <c r="AL129" s="652">
        <f t="shared" ca="1" si="55"/>
        <v>1437.2424000000001</v>
      </c>
      <c r="AM129" s="652">
        <f t="shared" ca="1" si="55"/>
        <v>1437.2424000000001</v>
      </c>
      <c r="AN129" s="652">
        <f t="shared" ca="1" si="55"/>
        <v>1149.7939199999998</v>
      </c>
      <c r="AO129" s="652">
        <f t="shared" ca="1" si="55"/>
        <v>919.83513600000003</v>
      </c>
      <c r="AP129" s="652">
        <f t="shared" ca="1" si="55"/>
        <v>0</v>
      </c>
      <c r="AQ129" s="652">
        <f t="shared" ca="1" si="55"/>
        <v>0</v>
      </c>
      <c r="AR129" s="652">
        <f t="shared" ca="1" si="55"/>
        <v>7.9200000000000007E-2</v>
      </c>
      <c r="AS129" s="652">
        <f t="shared" ca="1" si="55"/>
        <v>0.1188</v>
      </c>
      <c r="AT129" s="652">
        <f t="shared" ca="1" si="55"/>
        <v>0.1188</v>
      </c>
      <c r="AU129" s="652">
        <f t="shared" ca="1" si="55"/>
        <v>9.5039999999999999E-2</v>
      </c>
      <c r="AV129" s="652">
        <f t="shared" ca="1" si="55"/>
        <v>7.6032000000000002E-2</v>
      </c>
      <c r="AW129" s="652">
        <f t="shared" ca="1" si="56"/>
        <v>0</v>
      </c>
      <c r="AX129" s="652">
        <f t="shared" ca="1" si="56"/>
        <v>0</v>
      </c>
      <c r="AY129" s="652">
        <f t="shared" ca="1" si="56"/>
        <v>0</v>
      </c>
      <c r="AZ129" s="652">
        <f t="shared" ca="1" si="56"/>
        <v>0</v>
      </c>
      <c r="BA129" s="652">
        <f t="shared" ca="1" si="56"/>
        <v>0</v>
      </c>
      <c r="BB129" s="652">
        <f t="shared" ca="1" si="56"/>
        <v>0</v>
      </c>
      <c r="BC129" s="652">
        <f t="shared" ca="1" si="56"/>
        <v>0</v>
      </c>
      <c r="BD129" s="652">
        <f t="shared" ca="1" si="33"/>
        <v>5.9135999999999997</v>
      </c>
      <c r="BE129" s="652">
        <f t="shared" ca="1" si="56"/>
        <v>10916.5056</v>
      </c>
      <c r="BF129" s="652">
        <f t="shared" ca="1" si="56"/>
        <v>-16.944435199999997</v>
      </c>
      <c r="BG129" s="652">
        <f t="shared" ca="1" si="56"/>
        <v>177.40799999999999</v>
      </c>
      <c r="BH129" s="652">
        <f t="shared" ca="1" si="56"/>
        <v>0</v>
      </c>
      <c r="BI129" s="652">
        <f t="shared" ca="1" si="56"/>
        <v>5902.2754559999994</v>
      </c>
      <c r="BJ129" s="652">
        <f t="shared" ca="1" si="56"/>
        <v>0.48787200000000003</v>
      </c>
      <c r="BK129" s="652">
        <f t="shared" ca="1" si="56"/>
        <v>0</v>
      </c>
    </row>
    <row r="130" spans="2:72" ht="14.5">
      <c r="C130"/>
    </row>
    <row r="131" spans="2:72" ht="14.5">
      <c r="C131"/>
    </row>
    <row r="132" spans="2:72" ht="14.5">
      <c r="C132"/>
      <c r="G132" s="103">
        <f ca="1">SUM(G48:M48)*1.18</f>
        <v>2337.58</v>
      </c>
      <c r="H132" s="84">
        <f ca="1">SUM(AP48:AV48)</f>
        <v>107.00134699853609</v>
      </c>
      <c r="I132" s="106">
        <f ca="1">H132/G132</f>
        <v>4.5774410714728951E-2</v>
      </c>
    </row>
    <row r="133" spans="2:72" ht="14.5">
      <c r="C133"/>
    </row>
    <row r="134" spans="2:72" ht="15" thickBot="1">
      <c r="C134"/>
      <c r="D134" s="575"/>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c r="AH134" s="318"/>
      <c r="AI134" s="318">
        <v>2024</v>
      </c>
      <c r="AJ134" s="318">
        <v>2025</v>
      </c>
      <c r="AK134" s="318">
        <v>2026</v>
      </c>
      <c r="AL134" s="318">
        <v>2027</v>
      </c>
      <c r="AM134" s="318">
        <v>2028</v>
      </c>
      <c r="AN134" s="318">
        <v>2029</v>
      </c>
      <c r="AO134" s="318">
        <v>2030</v>
      </c>
      <c r="AP134" s="318"/>
      <c r="AQ134" s="318"/>
      <c r="AR134" s="318"/>
      <c r="AS134" s="318"/>
      <c r="AT134" s="318"/>
      <c r="AU134" s="318"/>
      <c r="AV134" s="318"/>
      <c r="AW134" s="318"/>
      <c r="AX134" s="318"/>
      <c r="AY134" s="318"/>
      <c r="AZ134" s="318"/>
      <c r="BA134" s="318"/>
      <c r="BB134" s="318"/>
      <c r="BC134" s="318"/>
      <c r="BD134" s="318"/>
      <c r="BE134" s="318"/>
      <c r="BF134" s="318"/>
      <c r="BG134" s="318"/>
      <c r="BH134" s="318"/>
      <c r="BI134" s="318"/>
      <c r="BJ134" s="318"/>
      <c r="BK134" s="318"/>
    </row>
    <row r="135" spans="2:72" ht="26">
      <c r="C135"/>
      <c r="D135" s="319"/>
      <c r="E135" s="318"/>
      <c r="F135" s="318"/>
      <c r="G135" s="658" t="s">
        <v>15</v>
      </c>
      <c r="H135" s="658" t="s">
        <v>16</v>
      </c>
      <c r="I135" s="658" t="s">
        <v>17</v>
      </c>
      <c r="J135" s="658" t="s">
        <v>18</v>
      </c>
      <c r="K135" s="658" t="s">
        <v>19</v>
      </c>
      <c r="L135" s="658" t="s">
        <v>20</v>
      </c>
      <c r="M135" s="658" t="s">
        <v>21</v>
      </c>
      <c r="N135" s="479" t="s">
        <v>143</v>
      </c>
      <c r="O135" s="479">
        <v>2025</v>
      </c>
      <c r="P135" s="479">
        <v>2026</v>
      </c>
      <c r="Q135" s="479">
        <v>2027</v>
      </c>
      <c r="R135" s="479">
        <v>2028</v>
      </c>
      <c r="S135" s="479">
        <v>2029</v>
      </c>
      <c r="T135" s="479">
        <v>2030</v>
      </c>
      <c r="U135" s="479" t="s">
        <v>144</v>
      </c>
      <c r="V135" s="479">
        <v>2025</v>
      </c>
      <c r="W135" s="479">
        <v>2026</v>
      </c>
      <c r="X135" s="479">
        <v>2027</v>
      </c>
      <c r="Y135" s="479">
        <v>2028</v>
      </c>
      <c r="Z135" s="479">
        <v>2029</v>
      </c>
      <c r="AA135" s="479">
        <v>2030</v>
      </c>
      <c r="AB135" s="479" t="s">
        <v>29</v>
      </c>
      <c r="AC135" s="479">
        <v>2025</v>
      </c>
      <c r="AD135" s="479">
        <v>2026</v>
      </c>
      <c r="AE135" s="479">
        <v>2027</v>
      </c>
      <c r="AF135" s="479">
        <v>2028</v>
      </c>
      <c r="AG135" s="479">
        <v>2029</v>
      </c>
      <c r="AH135" s="479">
        <v>2030</v>
      </c>
      <c r="AI135" s="576" t="s">
        <v>36</v>
      </c>
      <c r="AJ135" s="577" t="s">
        <v>37</v>
      </c>
      <c r="AK135" s="577" t="s">
        <v>38</v>
      </c>
      <c r="AL135" s="577" t="s">
        <v>39</v>
      </c>
      <c r="AM135" s="577" t="s">
        <v>40</v>
      </c>
      <c r="AN135" s="577" t="s">
        <v>41</v>
      </c>
      <c r="AO135" s="578" t="s">
        <v>42</v>
      </c>
      <c r="AP135" s="576" t="s">
        <v>43</v>
      </c>
      <c r="AQ135" s="577" t="s">
        <v>44</v>
      </c>
      <c r="AR135" s="577" t="s">
        <v>45</v>
      </c>
      <c r="AS135" s="577" t="s">
        <v>46</v>
      </c>
      <c r="AT135" s="577" t="s">
        <v>47</v>
      </c>
      <c r="AU135" s="577" t="s">
        <v>48</v>
      </c>
      <c r="AV135" s="578" t="s">
        <v>49</v>
      </c>
      <c r="AW135" s="579" t="s">
        <v>50</v>
      </c>
      <c r="AX135" s="648" t="s">
        <v>51</v>
      </c>
      <c r="AY135" s="648" t="s">
        <v>52</v>
      </c>
      <c r="AZ135" s="648" t="s">
        <v>53</v>
      </c>
      <c r="BA135" s="648" t="s">
        <v>54</v>
      </c>
      <c r="BB135" s="648" t="s">
        <v>55</v>
      </c>
      <c r="BC135" s="648" t="s">
        <v>56</v>
      </c>
      <c r="BD135" s="647" t="s">
        <v>9</v>
      </c>
      <c r="BE135" s="647" t="s">
        <v>139</v>
      </c>
      <c r="BF135" s="647" t="s">
        <v>140</v>
      </c>
      <c r="BG135" s="647" t="s">
        <v>11</v>
      </c>
      <c r="BH135" s="647" t="s">
        <v>142</v>
      </c>
      <c r="BI135" s="647" t="s">
        <v>12</v>
      </c>
      <c r="BJ135" s="647" t="s">
        <v>13</v>
      </c>
      <c r="BK135" s="647" t="s">
        <v>14</v>
      </c>
    </row>
    <row r="136" spans="2:72" ht="14.5">
      <c r="C136" s="203"/>
      <c r="D136" s="663" t="s">
        <v>145</v>
      </c>
      <c r="E136" s="662" t="s">
        <v>57</v>
      </c>
      <c r="F136" s="663" t="s">
        <v>146</v>
      </c>
      <c r="G136" s="572">
        <f t="shared" ref="G136:P148" ca="1" si="59">SUMIF($C$8:$C$129,$E136,G$8:G$129)</f>
        <v>5112</v>
      </c>
      <c r="H136" s="572">
        <f t="shared" ca="1" si="59"/>
        <v>5112</v>
      </c>
      <c r="I136" s="572">
        <f t="shared" ca="1" si="59"/>
        <v>5112</v>
      </c>
      <c r="J136" s="572">
        <f t="shared" ca="1" si="59"/>
        <v>5112</v>
      </c>
      <c r="K136" s="572">
        <f t="shared" ca="1" si="59"/>
        <v>5112</v>
      </c>
      <c r="L136" s="572">
        <f t="shared" ca="1" si="59"/>
        <v>5112</v>
      </c>
      <c r="M136" s="572">
        <f t="shared" ca="1" si="59"/>
        <v>5112</v>
      </c>
      <c r="N136" s="572">
        <f t="shared" ca="1" si="59"/>
        <v>0</v>
      </c>
      <c r="O136" s="572">
        <f t="shared" ca="1" si="59"/>
        <v>0</v>
      </c>
      <c r="P136" s="572">
        <f t="shared" ca="1" si="59"/>
        <v>0</v>
      </c>
      <c r="Q136" s="572">
        <f t="shared" ref="Q136:Z148" ca="1" si="60">SUMIF($C$8:$C$129,$E136,Q$8:Q$129)</f>
        <v>0</v>
      </c>
      <c r="R136" s="572">
        <f t="shared" ca="1" si="60"/>
        <v>0</v>
      </c>
      <c r="S136" s="572">
        <f t="shared" ca="1" si="60"/>
        <v>0</v>
      </c>
      <c r="T136" s="572">
        <f t="shared" ca="1" si="60"/>
        <v>0</v>
      </c>
      <c r="U136" s="572">
        <f t="shared" ca="1" si="60"/>
        <v>0</v>
      </c>
      <c r="V136" s="572">
        <f t="shared" ca="1" si="60"/>
        <v>0</v>
      </c>
      <c r="W136" s="572">
        <f t="shared" ca="1" si="60"/>
        <v>0</v>
      </c>
      <c r="X136" s="572">
        <f t="shared" ca="1" si="60"/>
        <v>0</v>
      </c>
      <c r="Y136" s="572">
        <f t="shared" ca="1" si="60"/>
        <v>0</v>
      </c>
      <c r="Z136" s="572">
        <f t="shared" ca="1" si="60"/>
        <v>0</v>
      </c>
      <c r="AA136" s="572">
        <f t="shared" ref="AA136:AJ148" ca="1" si="61">SUMIF($C$8:$C$129,$E136,AA$8:AA$129)</f>
        <v>0</v>
      </c>
      <c r="AB136" s="572">
        <f t="shared" ca="1" si="61"/>
        <v>0</v>
      </c>
      <c r="AC136" s="572">
        <f t="shared" ca="1" si="61"/>
        <v>0</v>
      </c>
      <c r="AD136" s="572">
        <f t="shared" ca="1" si="61"/>
        <v>0</v>
      </c>
      <c r="AE136" s="572">
        <f t="shared" ca="1" si="61"/>
        <v>0</v>
      </c>
      <c r="AF136" s="572">
        <f t="shared" ca="1" si="61"/>
        <v>0</v>
      </c>
      <c r="AG136" s="572">
        <f t="shared" ca="1" si="61"/>
        <v>0</v>
      </c>
      <c r="AH136" s="571">
        <f t="shared" ca="1" si="61"/>
        <v>0</v>
      </c>
      <c r="AI136" s="664">
        <f t="shared" ca="1" si="61"/>
        <v>3803137.5589529192</v>
      </c>
      <c r="AJ136" s="572">
        <f t="shared" ca="1" si="61"/>
        <v>3803137.5589529192</v>
      </c>
      <c r="AK136" s="572">
        <f t="shared" ref="AK136:AT148" ca="1" si="62">SUMIF($C$8:$C$129,$E136,AK$8:AK$129)</f>
        <v>3803137.5589529192</v>
      </c>
      <c r="AL136" s="572">
        <f t="shared" ca="1" si="62"/>
        <v>3803137.5589529192</v>
      </c>
      <c r="AM136" s="572">
        <f t="shared" ca="1" si="62"/>
        <v>3803137.5589529192</v>
      </c>
      <c r="AN136" s="572">
        <f t="shared" ca="1" si="62"/>
        <v>3803137.5589529192</v>
      </c>
      <c r="AO136" s="665">
        <f t="shared" ca="1" si="62"/>
        <v>3803137.5589529192</v>
      </c>
      <c r="AP136" s="664">
        <f t="shared" ca="1" si="62"/>
        <v>311.26966633157275</v>
      </c>
      <c r="AQ136" s="572">
        <f t="shared" ca="1" si="62"/>
        <v>311.26966633157275</v>
      </c>
      <c r="AR136" s="572">
        <f t="shared" ca="1" si="62"/>
        <v>311.26966633157275</v>
      </c>
      <c r="AS136" s="572">
        <f t="shared" ca="1" si="62"/>
        <v>311.26966633157275</v>
      </c>
      <c r="AT136" s="572">
        <f t="shared" ca="1" si="62"/>
        <v>311.26966633157275</v>
      </c>
      <c r="AU136" s="572">
        <f t="shared" ref="AU136:BD148" ca="1" si="63">SUMIF($C$8:$C$129,$E136,AU$8:AU$129)</f>
        <v>311.26966633157275</v>
      </c>
      <c r="AV136" s="665">
        <f t="shared" ca="1" si="63"/>
        <v>311.26966633157275</v>
      </c>
      <c r="AW136" s="573">
        <f t="shared" ca="1" si="63"/>
        <v>130926.60719999998</v>
      </c>
      <c r="AX136" s="572">
        <f t="shared" ca="1" si="63"/>
        <v>130926.60719999998</v>
      </c>
      <c r="AY136" s="572">
        <f t="shared" ca="1" si="63"/>
        <v>130926.60719999998</v>
      </c>
      <c r="AZ136" s="572">
        <f t="shared" ca="1" si="63"/>
        <v>130926.60719999998</v>
      </c>
      <c r="BA136" s="572">
        <f t="shared" ca="1" si="63"/>
        <v>130926.60719999998</v>
      </c>
      <c r="BB136" s="572">
        <f t="shared" ca="1" si="63"/>
        <v>130926.60719999998</v>
      </c>
      <c r="BC136" s="572">
        <f t="shared" ca="1" si="63"/>
        <v>130926.60719999998</v>
      </c>
      <c r="BD136" s="572">
        <f t="shared" ca="1" si="63"/>
        <v>35784</v>
      </c>
      <c r="BE136" s="572">
        <f t="shared" ref="BE136:BK148" ca="1" si="64">SUMIF($C$8:$C$129,$E136,BE$8:BE$129)</f>
        <v>0</v>
      </c>
      <c r="BF136" s="572">
        <f t="shared" ca="1" si="64"/>
        <v>0</v>
      </c>
      <c r="BG136" s="572">
        <f t="shared" ca="1" si="64"/>
        <v>0</v>
      </c>
      <c r="BH136" s="572">
        <f t="shared" ca="1" si="64"/>
        <v>59061366</v>
      </c>
      <c r="BI136" s="572">
        <f t="shared" ca="1" si="64"/>
        <v>26621962.912670434</v>
      </c>
      <c r="BJ136" s="572">
        <f t="shared" ca="1" si="64"/>
        <v>2178.8876643210092</v>
      </c>
      <c r="BK136" s="572">
        <f t="shared" ca="1" si="64"/>
        <v>916486.25039999979</v>
      </c>
      <c r="BL136" s="1330">
        <f ca="1">AP136/AI136</f>
        <v>8.1845492440528919E-5</v>
      </c>
      <c r="BM136" s="1330">
        <f t="shared" ref="BM136:BT148" ca="1" si="65">AQ136/AJ136</f>
        <v>8.1845492440528919E-5</v>
      </c>
      <c r="BN136" s="1330">
        <f t="shared" ca="1" si="65"/>
        <v>8.1845492440528919E-5</v>
      </c>
      <c r="BO136" s="1330">
        <f t="shared" ca="1" si="65"/>
        <v>8.1845492440528919E-5</v>
      </c>
      <c r="BP136" s="1330">
        <f t="shared" ca="1" si="65"/>
        <v>8.1845492440528919E-5</v>
      </c>
      <c r="BQ136" s="1330">
        <f t="shared" ca="1" si="65"/>
        <v>8.1845492440528919E-5</v>
      </c>
      <c r="BR136" s="1330">
        <f t="shared" ca="1" si="65"/>
        <v>8.1845492440528919E-5</v>
      </c>
      <c r="BS136" s="1330">
        <f t="shared" ca="1" si="65"/>
        <v>420.62115702766062</v>
      </c>
      <c r="BT136" s="1330">
        <f t="shared" ca="1" si="65"/>
        <v>420.62115702766062</v>
      </c>
    </row>
    <row r="137" spans="2:72" ht="14.5">
      <c r="C137" s="203"/>
      <c r="D137" s="663" t="s">
        <v>145</v>
      </c>
      <c r="E137" s="662" t="s">
        <v>58</v>
      </c>
      <c r="F137" s="663" t="s">
        <v>146</v>
      </c>
      <c r="G137" s="572">
        <f t="shared" ca="1" si="59"/>
        <v>38300</v>
      </c>
      <c r="H137" s="572">
        <f t="shared" ca="1" si="59"/>
        <v>38300</v>
      </c>
      <c r="I137" s="572">
        <f t="shared" ca="1" si="59"/>
        <v>38300</v>
      </c>
      <c r="J137" s="572">
        <f t="shared" ca="1" si="59"/>
        <v>38300</v>
      </c>
      <c r="K137" s="572">
        <f t="shared" ca="1" si="59"/>
        <v>38300</v>
      </c>
      <c r="L137" s="572">
        <f t="shared" ca="1" si="59"/>
        <v>38300</v>
      </c>
      <c r="M137" s="572">
        <f t="shared" ca="1" si="59"/>
        <v>38300</v>
      </c>
      <c r="N137" s="572">
        <f t="shared" ca="1" si="59"/>
        <v>0</v>
      </c>
      <c r="O137" s="572">
        <f t="shared" ca="1" si="59"/>
        <v>0</v>
      </c>
      <c r="P137" s="572">
        <f t="shared" ca="1" si="59"/>
        <v>0</v>
      </c>
      <c r="Q137" s="572">
        <f t="shared" ca="1" si="60"/>
        <v>0</v>
      </c>
      <c r="R137" s="572">
        <f t="shared" ca="1" si="60"/>
        <v>0</v>
      </c>
      <c r="S137" s="572">
        <f t="shared" ca="1" si="60"/>
        <v>0</v>
      </c>
      <c r="T137" s="572">
        <f t="shared" ca="1" si="60"/>
        <v>0</v>
      </c>
      <c r="U137" s="572">
        <f t="shared" ca="1" si="60"/>
        <v>0</v>
      </c>
      <c r="V137" s="572">
        <f t="shared" ca="1" si="60"/>
        <v>0</v>
      </c>
      <c r="W137" s="572">
        <f t="shared" ca="1" si="60"/>
        <v>0</v>
      </c>
      <c r="X137" s="572">
        <f t="shared" ca="1" si="60"/>
        <v>0</v>
      </c>
      <c r="Y137" s="572">
        <f t="shared" ca="1" si="60"/>
        <v>0</v>
      </c>
      <c r="Z137" s="572">
        <f t="shared" ca="1" si="60"/>
        <v>0</v>
      </c>
      <c r="AA137" s="572">
        <f t="shared" ca="1" si="61"/>
        <v>0</v>
      </c>
      <c r="AB137" s="572">
        <f t="shared" ca="1" si="61"/>
        <v>0</v>
      </c>
      <c r="AC137" s="572">
        <f t="shared" ca="1" si="61"/>
        <v>0</v>
      </c>
      <c r="AD137" s="572">
        <f t="shared" ca="1" si="61"/>
        <v>0</v>
      </c>
      <c r="AE137" s="572">
        <f t="shared" ca="1" si="61"/>
        <v>0</v>
      </c>
      <c r="AF137" s="572">
        <f t="shared" ca="1" si="61"/>
        <v>0</v>
      </c>
      <c r="AG137" s="572">
        <f t="shared" ca="1" si="61"/>
        <v>0</v>
      </c>
      <c r="AH137" s="571">
        <f t="shared" ca="1" si="61"/>
        <v>0</v>
      </c>
      <c r="AI137" s="664">
        <f t="shared" ca="1" si="61"/>
        <v>601590.33513920265</v>
      </c>
      <c r="AJ137" s="572">
        <f t="shared" ca="1" si="61"/>
        <v>601590.33513920265</v>
      </c>
      <c r="AK137" s="572">
        <f t="shared" ca="1" si="62"/>
        <v>601590.33513920265</v>
      </c>
      <c r="AL137" s="572">
        <f t="shared" ca="1" si="62"/>
        <v>601590.33513920265</v>
      </c>
      <c r="AM137" s="572">
        <f t="shared" ca="1" si="62"/>
        <v>601590.33513920265</v>
      </c>
      <c r="AN137" s="572">
        <f t="shared" ca="1" si="62"/>
        <v>601590.33513920265</v>
      </c>
      <c r="AO137" s="665">
        <f t="shared" ca="1" si="62"/>
        <v>601590.33513920265</v>
      </c>
      <c r="AP137" s="664">
        <f t="shared" ca="1" si="62"/>
        <v>58.466087145338797</v>
      </c>
      <c r="AQ137" s="572">
        <f t="shared" ca="1" si="62"/>
        <v>58.466087145338797</v>
      </c>
      <c r="AR137" s="572">
        <f t="shared" ca="1" si="62"/>
        <v>58.466087145338797</v>
      </c>
      <c r="AS137" s="572">
        <f t="shared" ca="1" si="62"/>
        <v>58.466087145338797</v>
      </c>
      <c r="AT137" s="572">
        <f t="shared" ca="1" si="62"/>
        <v>58.466087145338797</v>
      </c>
      <c r="AU137" s="572">
        <f t="shared" ca="1" si="63"/>
        <v>58.466087145338797</v>
      </c>
      <c r="AV137" s="665">
        <f t="shared" ca="1" si="63"/>
        <v>58.466087145338797</v>
      </c>
      <c r="AW137" s="573">
        <f t="shared" ca="1" si="63"/>
        <v>6412.4071004607686</v>
      </c>
      <c r="AX137" s="572">
        <f t="shared" ca="1" si="63"/>
        <v>6412.4071004607686</v>
      </c>
      <c r="AY137" s="572">
        <f t="shared" ca="1" si="63"/>
        <v>6412.4071004607686</v>
      </c>
      <c r="AZ137" s="572">
        <f t="shared" ca="1" si="63"/>
        <v>6412.4071004607686</v>
      </c>
      <c r="BA137" s="572">
        <f t="shared" ca="1" si="63"/>
        <v>6412.4071004607686</v>
      </c>
      <c r="BB137" s="572">
        <f t="shared" ca="1" si="63"/>
        <v>6412.4071004607686</v>
      </c>
      <c r="BC137" s="572">
        <f t="shared" ca="1" si="63"/>
        <v>6412.4071004607686</v>
      </c>
      <c r="BD137" s="572">
        <f t="shared" ca="1" si="63"/>
        <v>268100</v>
      </c>
      <c r="BE137" s="572">
        <f t="shared" ca="1" si="64"/>
        <v>0</v>
      </c>
      <c r="BF137" s="572">
        <f t="shared" ca="1" si="64"/>
        <v>0</v>
      </c>
      <c r="BG137" s="572">
        <f t="shared" ca="1" si="64"/>
        <v>0</v>
      </c>
      <c r="BH137" s="572">
        <f t="shared" ca="1" si="64"/>
        <v>4765148.5566409715</v>
      </c>
      <c r="BI137" s="572">
        <f t="shared" ca="1" si="64"/>
        <v>4211132.3459744183</v>
      </c>
      <c r="BJ137" s="572">
        <f t="shared" ca="1" si="64"/>
        <v>409.26261001737151</v>
      </c>
      <c r="BK137" s="572">
        <f t="shared" ca="1" si="64"/>
        <v>44886.849703225373</v>
      </c>
      <c r="BL137" s="1330">
        <f t="shared" ref="BL137:BL148" ca="1" si="66">AP137/AI137</f>
        <v>9.7185881704383209E-5</v>
      </c>
      <c r="BM137" s="1330">
        <f t="shared" ca="1" si="65"/>
        <v>9.7185881704383209E-5</v>
      </c>
      <c r="BN137" s="1330">
        <f t="shared" ca="1" si="65"/>
        <v>9.7185881704383209E-5</v>
      </c>
      <c r="BO137" s="1330">
        <f t="shared" ca="1" si="65"/>
        <v>9.7185881704383209E-5</v>
      </c>
      <c r="BP137" s="1330">
        <f t="shared" ca="1" si="65"/>
        <v>9.7185881704383209E-5</v>
      </c>
      <c r="BQ137" s="1330">
        <f t="shared" ca="1" si="65"/>
        <v>9.7185881704383209E-5</v>
      </c>
      <c r="BR137" s="1330">
        <f t="shared" ca="1" si="65"/>
        <v>9.7185881704383209E-5</v>
      </c>
      <c r="BS137" s="1330">
        <f t="shared" ca="1" si="65"/>
        <v>109.67737732337706</v>
      </c>
      <c r="BT137" s="1330">
        <f t="shared" ca="1" si="65"/>
        <v>109.67737732337706</v>
      </c>
    </row>
    <row r="138" spans="2:72" ht="14.5">
      <c r="C138" s="203"/>
      <c r="D138" s="574" t="s">
        <v>145</v>
      </c>
      <c r="E138" s="662" t="s">
        <v>59</v>
      </c>
      <c r="F138" s="663" t="s">
        <v>146</v>
      </c>
      <c r="G138" s="572">
        <f t="shared" ca="1" si="59"/>
        <v>0</v>
      </c>
      <c r="H138" s="572">
        <f t="shared" ca="1" si="59"/>
        <v>0</v>
      </c>
      <c r="I138" s="572">
        <f t="shared" ca="1" si="59"/>
        <v>6090</v>
      </c>
      <c r="J138" s="572">
        <f t="shared" ca="1" si="59"/>
        <v>7105</v>
      </c>
      <c r="K138" s="572">
        <f t="shared" ca="1" si="59"/>
        <v>8120</v>
      </c>
      <c r="L138" s="572">
        <f t="shared" ca="1" si="59"/>
        <v>8120</v>
      </c>
      <c r="M138" s="572">
        <f t="shared" ca="1" si="59"/>
        <v>8120</v>
      </c>
      <c r="N138" s="572">
        <f t="shared" ca="1" si="59"/>
        <v>0</v>
      </c>
      <c r="O138" s="572">
        <f t="shared" ca="1" si="59"/>
        <v>0</v>
      </c>
      <c r="P138" s="572">
        <f t="shared" ca="1" si="59"/>
        <v>0</v>
      </c>
      <c r="Q138" s="572">
        <f t="shared" ca="1" si="60"/>
        <v>0</v>
      </c>
      <c r="R138" s="572">
        <f t="shared" ca="1" si="60"/>
        <v>0</v>
      </c>
      <c r="S138" s="572">
        <f t="shared" ca="1" si="60"/>
        <v>0</v>
      </c>
      <c r="T138" s="572">
        <f t="shared" ca="1" si="60"/>
        <v>0</v>
      </c>
      <c r="U138" s="572">
        <f t="shared" ca="1" si="60"/>
        <v>0</v>
      </c>
      <c r="V138" s="572">
        <f t="shared" ca="1" si="60"/>
        <v>0</v>
      </c>
      <c r="W138" s="572">
        <f t="shared" ca="1" si="60"/>
        <v>0</v>
      </c>
      <c r="X138" s="572">
        <f t="shared" ca="1" si="60"/>
        <v>0</v>
      </c>
      <c r="Y138" s="572">
        <f t="shared" ca="1" si="60"/>
        <v>0</v>
      </c>
      <c r="Z138" s="572">
        <f t="shared" ca="1" si="60"/>
        <v>0</v>
      </c>
      <c r="AA138" s="572">
        <f t="shared" ca="1" si="61"/>
        <v>0</v>
      </c>
      <c r="AB138" s="572">
        <f t="shared" ca="1" si="61"/>
        <v>0</v>
      </c>
      <c r="AC138" s="572">
        <f t="shared" ca="1" si="61"/>
        <v>0</v>
      </c>
      <c r="AD138" s="572">
        <f t="shared" ca="1" si="61"/>
        <v>300000</v>
      </c>
      <c r="AE138" s="572">
        <f t="shared" ca="1" si="61"/>
        <v>350000.00000000006</v>
      </c>
      <c r="AF138" s="572">
        <f t="shared" ca="1" si="61"/>
        <v>400000</v>
      </c>
      <c r="AG138" s="572">
        <f t="shared" ca="1" si="61"/>
        <v>400000</v>
      </c>
      <c r="AH138" s="571">
        <f t="shared" ca="1" si="61"/>
        <v>400000</v>
      </c>
      <c r="AI138" s="664">
        <f t="shared" ca="1" si="61"/>
        <v>0</v>
      </c>
      <c r="AJ138" s="572">
        <f t="shared" ca="1" si="61"/>
        <v>0</v>
      </c>
      <c r="AK138" s="572">
        <f t="shared" ca="1" si="62"/>
        <v>4542653.2653061226</v>
      </c>
      <c r="AL138" s="572">
        <f t="shared" ca="1" si="62"/>
        <v>5299762.1428571437</v>
      </c>
      <c r="AM138" s="572">
        <f t="shared" ca="1" si="62"/>
        <v>6056871.0204081628</v>
      </c>
      <c r="AN138" s="572">
        <f t="shared" ca="1" si="62"/>
        <v>6056871.0204081628</v>
      </c>
      <c r="AO138" s="665">
        <f t="shared" ca="1" si="62"/>
        <v>6056871.0204081628</v>
      </c>
      <c r="AP138" s="664">
        <f t="shared" ca="1" si="62"/>
        <v>0</v>
      </c>
      <c r="AQ138" s="572">
        <f t="shared" ca="1" si="62"/>
        <v>0</v>
      </c>
      <c r="AR138" s="572">
        <f t="shared" ca="1" si="62"/>
        <v>531.95265306122451</v>
      </c>
      <c r="AS138" s="572">
        <f t="shared" ca="1" si="62"/>
        <v>620.61142857142863</v>
      </c>
      <c r="AT138" s="572">
        <f t="shared" ca="1" si="62"/>
        <v>709.27020408163276</v>
      </c>
      <c r="AU138" s="572">
        <f t="shared" ca="1" si="63"/>
        <v>709.27020408163276</v>
      </c>
      <c r="AV138" s="665">
        <f t="shared" ca="1" si="63"/>
        <v>709.27020408163276</v>
      </c>
      <c r="AW138" s="573">
        <f t="shared" ca="1" si="63"/>
        <v>0</v>
      </c>
      <c r="AX138" s="572">
        <f t="shared" ca="1" si="63"/>
        <v>0</v>
      </c>
      <c r="AY138" s="572">
        <f t="shared" ca="1" si="63"/>
        <v>0</v>
      </c>
      <c r="AZ138" s="572">
        <f t="shared" ca="1" si="63"/>
        <v>0</v>
      </c>
      <c r="BA138" s="572">
        <f t="shared" ca="1" si="63"/>
        <v>0</v>
      </c>
      <c r="BB138" s="572">
        <f t="shared" ca="1" si="63"/>
        <v>0</v>
      </c>
      <c r="BC138" s="572">
        <f t="shared" ca="1" si="63"/>
        <v>0</v>
      </c>
      <c r="BD138" s="572">
        <f t="shared" ca="1" si="63"/>
        <v>37555.000000000007</v>
      </c>
      <c r="BE138" s="572">
        <f t="shared" ca="1" si="64"/>
        <v>0</v>
      </c>
      <c r="BF138" s="572">
        <f t="shared" ca="1" si="64"/>
        <v>0</v>
      </c>
      <c r="BG138" s="572">
        <f t="shared" ca="1" si="64"/>
        <v>1850000</v>
      </c>
      <c r="BH138" s="572">
        <f t="shared" ca="1" si="64"/>
        <v>0</v>
      </c>
      <c r="BI138" s="572">
        <f t="shared" ca="1" si="64"/>
        <v>28013028.469387755</v>
      </c>
      <c r="BJ138" s="572">
        <f t="shared" ca="1" si="64"/>
        <v>3280.3746938775512</v>
      </c>
      <c r="BK138" s="572">
        <f t="shared" ca="1" si="64"/>
        <v>0</v>
      </c>
      <c r="BL138" s="1330" t="e">
        <f t="shared" ca="1" si="66"/>
        <v>#DIV/0!</v>
      </c>
      <c r="BM138" s="1330" t="e">
        <f t="shared" ca="1" si="65"/>
        <v>#DIV/0!</v>
      </c>
      <c r="BN138" s="1330">
        <f t="shared" ca="1" si="65"/>
        <v>1.1710175133196679E-4</v>
      </c>
      <c r="BO138" s="1330">
        <f t="shared" ca="1" si="65"/>
        <v>1.1710175133196678E-4</v>
      </c>
      <c r="BP138" s="1330">
        <f t="shared" ca="1" si="65"/>
        <v>1.171017513319668E-4</v>
      </c>
      <c r="BQ138" s="1330">
        <f t="shared" ca="1" si="65"/>
        <v>1.171017513319668E-4</v>
      </c>
      <c r="BR138" s="1330">
        <f t="shared" ca="1" si="65"/>
        <v>1.171017513319668E-4</v>
      </c>
      <c r="BS138" s="1330" t="e">
        <f t="shared" ca="1" si="65"/>
        <v>#DIV/0!</v>
      </c>
      <c r="BT138" s="1330" t="e">
        <f t="shared" ca="1" si="65"/>
        <v>#DIV/0!</v>
      </c>
    </row>
    <row r="139" spans="2:72" ht="14.5">
      <c r="C139" s="203"/>
      <c r="D139" s="574" t="s">
        <v>145</v>
      </c>
      <c r="E139" s="662" t="s">
        <v>60</v>
      </c>
      <c r="F139" s="663" t="s">
        <v>146</v>
      </c>
      <c r="G139" s="572">
        <f t="shared" ca="1" si="59"/>
        <v>1070</v>
      </c>
      <c r="H139" s="572">
        <f t="shared" ca="1" si="59"/>
        <v>2116.1999999999998</v>
      </c>
      <c r="I139" s="572">
        <f t="shared" ca="1" si="59"/>
        <v>4217.46</v>
      </c>
      <c r="J139" s="572">
        <f t="shared" ca="1" si="59"/>
        <v>8403.7829999999994</v>
      </c>
      <c r="K139" s="572">
        <f t="shared" ca="1" si="59"/>
        <v>12052.67215</v>
      </c>
      <c r="L139" s="572">
        <f t="shared" ca="1" si="59"/>
        <v>12065.380757499999</v>
      </c>
      <c r="M139" s="572">
        <f t="shared" ca="1" si="59"/>
        <v>12083.787295374999</v>
      </c>
      <c r="N139" s="572">
        <f t="shared" ca="1" si="59"/>
        <v>161391.76</v>
      </c>
      <c r="O139" s="572">
        <f t="shared" ca="1" si="59"/>
        <v>322344.848</v>
      </c>
      <c r="P139" s="572">
        <f t="shared" ca="1" si="59"/>
        <v>644729.09039999999</v>
      </c>
      <c r="Q139" s="572">
        <f t="shared" ca="1" si="60"/>
        <v>1288724.54492</v>
      </c>
      <c r="R139" s="572">
        <f t="shared" ca="1" si="60"/>
        <v>1849686.272166</v>
      </c>
      <c r="S139" s="572">
        <f t="shared" ca="1" si="60"/>
        <v>1850276.8357742999</v>
      </c>
      <c r="T139" s="572">
        <f t="shared" ca="1" si="60"/>
        <v>1851150.0525630149</v>
      </c>
      <c r="U139" s="572">
        <f t="shared" ca="1" si="60"/>
        <v>0</v>
      </c>
      <c r="V139" s="572">
        <f t="shared" ca="1" si="60"/>
        <v>0</v>
      </c>
      <c r="W139" s="572">
        <f t="shared" ca="1" si="60"/>
        <v>0</v>
      </c>
      <c r="X139" s="572">
        <f t="shared" ca="1" si="60"/>
        <v>0</v>
      </c>
      <c r="Y139" s="572">
        <f t="shared" ca="1" si="60"/>
        <v>0</v>
      </c>
      <c r="Z139" s="572">
        <f t="shared" ca="1" si="60"/>
        <v>0</v>
      </c>
      <c r="AA139" s="572">
        <f t="shared" ca="1" si="61"/>
        <v>0</v>
      </c>
      <c r="AB139" s="572">
        <f t="shared" ca="1" si="61"/>
        <v>78615</v>
      </c>
      <c r="AC139" s="572">
        <f t="shared" ca="1" si="61"/>
        <v>157002</v>
      </c>
      <c r="AD139" s="572">
        <f t="shared" ca="1" si="61"/>
        <v>314264.59999999998</v>
      </c>
      <c r="AE139" s="572">
        <f t="shared" ca="1" si="61"/>
        <v>628027.82999999996</v>
      </c>
      <c r="AF139" s="572">
        <f t="shared" ca="1" si="61"/>
        <v>901416.72149999999</v>
      </c>
      <c r="AG139" s="572">
        <f t="shared" ca="1" si="61"/>
        <v>901993.80757499998</v>
      </c>
      <c r="AH139" s="571">
        <f t="shared" ca="1" si="61"/>
        <v>902852.87295374996</v>
      </c>
      <c r="AI139" s="664">
        <f t="shared" ca="1" si="61"/>
        <v>326074.69273141853</v>
      </c>
      <c r="AJ139" s="572">
        <f t="shared" ca="1" si="61"/>
        <v>650701.58546283701</v>
      </c>
      <c r="AK139" s="572">
        <f t="shared" ca="1" si="62"/>
        <v>1299882.9809256741</v>
      </c>
      <c r="AL139" s="572">
        <f t="shared" ca="1" si="62"/>
        <v>2598169.7623513481</v>
      </c>
      <c r="AM139" s="572">
        <f t="shared" ca="1" si="62"/>
        <v>3728750.338488658</v>
      </c>
      <c r="AN139" s="572">
        <f t="shared" ca="1" si="62"/>
        <v>3728842.960064908</v>
      </c>
      <c r="AO139" s="665">
        <f t="shared" ca="1" si="62"/>
        <v>3728940.2127199704</v>
      </c>
      <c r="AP139" s="664">
        <f t="shared" ca="1" si="62"/>
        <v>0</v>
      </c>
      <c r="AQ139" s="572">
        <f t="shared" ca="1" si="62"/>
        <v>0</v>
      </c>
      <c r="AR139" s="572">
        <f t="shared" ca="1" si="62"/>
        <v>0</v>
      </c>
      <c r="AS139" s="572">
        <f t="shared" ca="1" si="62"/>
        <v>0</v>
      </c>
      <c r="AT139" s="572">
        <f t="shared" ca="1" si="62"/>
        <v>0</v>
      </c>
      <c r="AU139" s="572">
        <f t="shared" ca="1" si="63"/>
        <v>0</v>
      </c>
      <c r="AV139" s="665">
        <f t="shared" ca="1" si="63"/>
        <v>0</v>
      </c>
      <c r="AW139" s="573">
        <f t="shared" ca="1" si="63"/>
        <v>14355.792000000001</v>
      </c>
      <c r="AX139" s="572">
        <f t="shared" ca="1" si="63"/>
        <v>28711.584000000003</v>
      </c>
      <c r="AY139" s="572">
        <f t="shared" ca="1" si="63"/>
        <v>57423.168000000005</v>
      </c>
      <c r="AZ139" s="572">
        <f t="shared" ca="1" si="63"/>
        <v>114846.33600000001</v>
      </c>
      <c r="BA139" s="572">
        <f t="shared" ca="1" si="63"/>
        <v>164851.20000000001</v>
      </c>
      <c r="BB139" s="572">
        <f t="shared" ca="1" si="63"/>
        <v>164851.20000000001</v>
      </c>
      <c r="BC139" s="572">
        <f t="shared" ca="1" si="63"/>
        <v>164851.20000000001</v>
      </c>
      <c r="BD139" s="572">
        <f t="shared" ca="1" si="63"/>
        <v>52009.283202874998</v>
      </c>
      <c r="BE139" s="572">
        <f t="shared" ca="1" si="64"/>
        <v>7968303.4038233152</v>
      </c>
      <c r="BF139" s="572">
        <f t="shared" ca="1" si="64"/>
        <v>0</v>
      </c>
      <c r="BG139" s="572">
        <f t="shared" ca="1" si="64"/>
        <v>3884172.8320287499</v>
      </c>
      <c r="BH139" s="572">
        <f t="shared" ca="1" si="64"/>
        <v>0</v>
      </c>
      <c r="BI139" s="572">
        <f t="shared" ca="1" si="64"/>
        <v>16061362.532744814</v>
      </c>
      <c r="BJ139" s="572">
        <f t="shared" ca="1" si="64"/>
        <v>0</v>
      </c>
      <c r="BK139" s="572">
        <f t="shared" ca="1" si="64"/>
        <v>709890.48</v>
      </c>
      <c r="BL139" s="1330">
        <f t="shared" ca="1" si="66"/>
        <v>0</v>
      </c>
      <c r="BM139" s="1330">
        <f t="shared" ca="1" si="65"/>
        <v>0</v>
      </c>
      <c r="BN139" s="1330">
        <f t="shared" ca="1" si="65"/>
        <v>0</v>
      </c>
      <c r="BO139" s="1330">
        <f t="shared" ca="1" si="65"/>
        <v>0</v>
      </c>
      <c r="BP139" s="1330">
        <f t="shared" ca="1" si="65"/>
        <v>0</v>
      </c>
      <c r="BQ139" s="1330">
        <f t="shared" ca="1" si="65"/>
        <v>0</v>
      </c>
      <c r="BR139" s="1330">
        <f t="shared" ca="1" si="65"/>
        <v>0</v>
      </c>
      <c r="BS139" s="1330" t="e">
        <f t="shared" ca="1" si="65"/>
        <v>#DIV/0!</v>
      </c>
      <c r="BT139" s="1330" t="e">
        <f t="shared" ca="1" si="65"/>
        <v>#DIV/0!</v>
      </c>
    </row>
    <row r="140" spans="2:72" ht="14.5">
      <c r="C140" s="203"/>
      <c r="D140" s="574" t="s">
        <v>145</v>
      </c>
      <c r="E140" s="662" t="s">
        <v>61</v>
      </c>
      <c r="F140" s="663" t="s">
        <v>146</v>
      </c>
      <c r="G140" s="572">
        <f t="shared" ca="1" si="59"/>
        <v>0</v>
      </c>
      <c r="H140" s="572">
        <f t="shared" ca="1" si="59"/>
        <v>4033.5</v>
      </c>
      <c r="I140" s="572">
        <f t="shared" ca="1" si="59"/>
        <v>4653.5</v>
      </c>
      <c r="J140" s="572">
        <f t="shared" ca="1" si="59"/>
        <v>5282.25</v>
      </c>
      <c r="K140" s="572">
        <f t="shared" ca="1" si="59"/>
        <v>6064.0625</v>
      </c>
      <c r="L140" s="572">
        <f t="shared" ca="1" si="59"/>
        <v>5864.0625</v>
      </c>
      <c r="M140" s="572">
        <f t="shared" ca="1" si="59"/>
        <v>5864.0625</v>
      </c>
      <c r="N140" s="572">
        <f t="shared" ca="1" si="59"/>
        <v>0</v>
      </c>
      <c r="O140" s="572">
        <f t="shared" ca="1" si="59"/>
        <v>945147</v>
      </c>
      <c r="P140" s="572">
        <f t="shared" ca="1" si="59"/>
        <v>1262638</v>
      </c>
      <c r="Q140" s="572">
        <f t="shared" ca="1" si="60"/>
        <v>1581999</v>
      </c>
      <c r="R140" s="572">
        <f t="shared" ca="1" si="60"/>
        <v>1989726</v>
      </c>
      <c r="S140" s="572">
        <f t="shared" ca="1" si="60"/>
        <v>1794354</v>
      </c>
      <c r="T140" s="572">
        <f t="shared" ca="1" si="60"/>
        <v>1794354</v>
      </c>
      <c r="U140" s="572">
        <f t="shared" ca="1" si="60"/>
        <v>0</v>
      </c>
      <c r="V140" s="572">
        <f t="shared" ca="1" si="60"/>
        <v>0</v>
      </c>
      <c r="W140" s="572">
        <f t="shared" ca="1" si="60"/>
        <v>0</v>
      </c>
      <c r="X140" s="572">
        <f t="shared" ca="1" si="60"/>
        <v>0</v>
      </c>
      <c r="Y140" s="572">
        <f t="shared" ca="1" si="60"/>
        <v>0</v>
      </c>
      <c r="Z140" s="572">
        <f t="shared" ca="1" si="60"/>
        <v>0</v>
      </c>
      <c r="AA140" s="572">
        <f t="shared" ca="1" si="61"/>
        <v>0</v>
      </c>
      <c r="AB140" s="572">
        <f t="shared" ca="1" si="61"/>
        <v>0</v>
      </c>
      <c r="AC140" s="572">
        <f t="shared" ca="1" si="61"/>
        <v>550400</v>
      </c>
      <c r="AD140" s="572">
        <f t="shared" ca="1" si="61"/>
        <v>724300</v>
      </c>
      <c r="AE140" s="572">
        <f t="shared" ca="1" si="61"/>
        <v>899000</v>
      </c>
      <c r="AF140" s="572">
        <f t="shared" ca="1" si="61"/>
        <v>1126900</v>
      </c>
      <c r="AG140" s="572">
        <f t="shared" ca="1" si="61"/>
        <v>1076900</v>
      </c>
      <c r="AH140" s="571">
        <f t="shared" ca="1" si="61"/>
        <v>1076900</v>
      </c>
      <c r="AI140" s="664">
        <f t="shared" ca="1" si="61"/>
        <v>0</v>
      </c>
      <c r="AJ140" s="572">
        <f t="shared" ca="1" si="61"/>
        <v>2407866.2325542364</v>
      </c>
      <c r="AK140" s="572">
        <f t="shared" ca="1" si="62"/>
        <v>3085558.083627129</v>
      </c>
      <c r="AL140" s="572">
        <f t="shared" ca="1" si="62"/>
        <v>3767318.7800723948</v>
      </c>
      <c r="AM140" s="572">
        <f t="shared" ca="1" si="62"/>
        <v>4669817.0220543351</v>
      </c>
      <c r="AN140" s="572">
        <f t="shared" ca="1" si="62"/>
        <v>4669817.0220543351</v>
      </c>
      <c r="AO140" s="665">
        <f t="shared" ca="1" si="62"/>
        <v>4669817.0220543351</v>
      </c>
      <c r="AP140" s="664">
        <f t="shared" ca="1" si="62"/>
        <v>0</v>
      </c>
      <c r="AQ140" s="572">
        <f t="shared" ca="1" si="62"/>
        <v>197.06342860175533</v>
      </c>
      <c r="AR140" s="572">
        <f t="shared" ca="1" si="62"/>
        <v>252.96809563301613</v>
      </c>
      <c r="AS140" s="572">
        <f t="shared" ca="1" si="62"/>
        <v>309.15908086492635</v>
      </c>
      <c r="AT140" s="572">
        <f t="shared" ca="1" si="62"/>
        <v>383.58770340715751</v>
      </c>
      <c r="AU140" s="572">
        <f t="shared" ca="1" si="63"/>
        <v>383.58770340715751</v>
      </c>
      <c r="AV140" s="665">
        <f t="shared" ca="1" si="63"/>
        <v>383.58770340715751</v>
      </c>
      <c r="AW140" s="573">
        <f t="shared" ca="1" si="63"/>
        <v>0</v>
      </c>
      <c r="AX140" s="572">
        <f t="shared" ca="1" si="63"/>
        <v>7967.580807328949</v>
      </c>
      <c r="AY140" s="572">
        <f t="shared" ca="1" si="63"/>
        <v>11944.491097695392</v>
      </c>
      <c r="AZ140" s="572">
        <f t="shared" ca="1" si="63"/>
        <v>15931.903152580158</v>
      </c>
      <c r="BA140" s="572">
        <f t="shared" ca="1" si="63"/>
        <v>19930.342060209161</v>
      </c>
      <c r="BB140" s="572">
        <f t="shared" ca="1" si="63"/>
        <v>4862.8420602091801</v>
      </c>
      <c r="BC140" s="572">
        <f t="shared" ca="1" si="63"/>
        <v>4862.8420602091801</v>
      </c>
      <c r="BD140" s="572">
        <f t="shared" ca="1" si="63"/>
        <v>31761.4375</v>
      </c>
      <c r="BE140" s="572">
        <f t="shared" ca="1" si="64"/>
        <v>9368218</v>
      </c>
      <c r="BF140" s="572">
        <f t="shared" ca="1" si="64"/>
        <v>0</v>
      </c>
      <c r="BG140" s="572">
        <f t="shared" ca="1" si="64"/>
        <v>5454400</v>
      </c>
      <c r="BH140" s="572">
        <f t="shared" ca="1" si="64"/>
        <v>276278.13750000001</v>
      </c>
      <c r="BI140" s="572">
        <f t="shared" ca="1" si="64"/>
        <v>23270194.162416771</v>
      </c>
      <c r="BJ140" s="572">
        <f t="shared" ca="1" si="64"/>
        <v>1909.95371532117</v>
      </c>
      <c r="BK140" s="572">
        <f t="shared" ca="1" si="64"/>
        <v>65500.00123823202</v>
      </c>
      <c r="BL140" s="1330" t="e">
        <f t="shared" ca="1" si="66"/>
        <v>#DIV/0!</v>
      </c>
      <c r="BM140" s="1330">
        <f t="shared" ca="1" si="65"/>
        <v>8.1841518410560849E-5</v>
      </c>
      <c r="BN140" s="1330">
        <f t="shared" ca="1" si="65"/>
        <v>8.1984551506367233E-5</v>
      </c>
      <c r="BO140" s="1330">
        <f t="shared" ca="1" si="65"/>
        <v>8.2063424656350791E-5</v>
      </c>
      <c r="BP140" s="1330">
        <f t="shared" ca="1" si="65"/>
        <v>8.2141912969088985E-5</v>
      </c>
      <c r="BQ140" s="1330">
        <f t="shared" ca="1" si="65"/>
        <v>8.2141912969088985E-5</v>
      </c>
      <c r="BR140" s="1330">
        <f t="shared" ca="1" si="65"/>
        <v>8.2141912969088985E-5</v>
      </c>
      <c r="BS140" s="1330" t="e">
        <f t="shared" ca="1" si="65"/>
        <v>#DIV/0!</v>
      </c>
      <c r="BT140" s="1330">
        <f t="shared" ca="1" si="65"/>
        <v>40.431554773314133</v>
      </c>
    </row>
    <row r="141" spans="2:72" ht="14.5">
      <c r="C141" s="203"/>
      <c r="D141" s="574" t="s">
        <v>145</v>
      </c>
      <c r="E141" s="662" t="s">
        <v>62</v>
      </c>
      <c r="F141" s="663" t="s">
        <v>146</v>
      </c>
      <c r="G141" s="572">
        <f t="shared" ca="1" si="59"/>
        <v>3500</v>
      </c>
      <c r="H141" s="572">
        <f t="shared" ca="1" si="59"/>
        <v>7200</v>
      </c>
      <c r="I141" s="572">
        <f t="shared" ca="1" si="59"/>
        <v>14320</v>
      </c>
      <c r="J141" s="572">
        <f t="shared" ca="1" si="59"/>
        <v>24988.400000000001</v>
      </c>
      <c r="K141" s="572">
        <f t="shared" ca="1" si="59"/>
        <v>40029.800000000003</v>
      </c>
      <c r="L141" s="572">
        <f t="shared" ca="1" si="59"/>
        <v>55078.7</v>
      </c>
      <c r="M141" s="572">
        <f t="shared" ca="1" si="59"/>
        <v>70138.850000000006</v>
      </c>
      <c r="N141" s="572">
        <f t="shared" ca="1" si="59"/>
        <v>0</v>
      </c>
      <c r="O141" s="572">
        <f t="shared" ca="1" si="59"/>
        <v>0</v>
      </c>
      <c r="P141" s="572">
        <f t="shared" ca="1" si="59"/>
        <v>0</v>
      </c>
      <c r="Q141" s="572">
        <f t="shared" ca="1" si="60"/>
        <v>0</v>
      </c>
      <c r="R141" s="572">
        <f t="shared" ca="1" si="60"/>
        <v>0</v>
      </c>
      <c r="S141" s="572">
        <f t="shared" ca="1" si="60"/>
        <v>0</v>
      </c>
      <c r="T141" s="572">
        <f t="shared" ca="1" si="60"/>
        <v>0</v>
      </c>
      <c r="U141" s="572">
        <f t="shared" ca="1" si="60"/>
        <v>0</v>
      </c>
      <c r="V141" s="572">
        <f t="shared" ca="1" si="60"/>
        <v>0</v>
      </c>
      <c r="W141" s="572">
        <f t="shared" ca="1" si="60"/>
        <v>0</v>
      </c>
      <c r="X141" s="572">
        <f t="shared" ca="1" si="60"/>
        <v>0</v>
      </c>
      <c r="Y141" s="572">
        <f t="shared" ca="1" si="60"/>
        <v>0</v>
      </c>
      <c r="Z141" s="572">
        <f t="shared" ca="1" si="60"/>
        <v>0</v>
      </c>
      <c r="AA141" s="572">
        <f t="shared" ca="1" si="61"/>
        <v>0</v>
      </c>
      <c r="AB141" s="572">
        <f t="shared" ca="1" si="61"/>
        <v>588000</v>
      </c>
      <c r="AC141" s="572">
        <f t="shared" ca="1" si="61"/>
        <v>1072000</v>
      </c>
      <c r="AD141" s="572">
        <f t="shared" ca="1" si="61"/>
        <v>2156750</v>
      </c>
      <c r="AE141" s="572">
        <f t="shared" ca="1" si="61"/>
        <v>3721053</v>
      </c>
      <c r="AF141" s="572">
        <f t="shared" ca="1" si="61"/>
        <v>5858503.5</v>
      </c>
      <c r="AG141" s="572">
        <f t="shared" ca="1" si="61"/>
        <v>7815485.25</v>
      </c>
      <c r="AH141" s="571">
        <f t="shared" ca="1" si="61"/>
        <v>9774763.875</v>
      </c>
      <c r="AI141" s="664">
        <f t="shared" ca="1" si="61"/>
        <v>0</v>
      </c>
      <c r="AJ141" s="572">
        <f t="shared" ca="1" si="61"/>
        <v>0</v>
      </c>
      <c r="AK141" s="572">
        <f t="shared" ca="1" si="62"/>
        <v>0</v>
      </c>
      <c r="AL141" s="572">
        <f t="shared" ca="1" si="62"/>
        <v>0</v>
      </c>
      <c r="AM141" s="572">
        <f t="shared" ca="1" si="62"/>
        <v>0</v>
      </c>
      <c r="AN141" s="572">
        <f t="shared" ca="1" si="62"/>
        <v>0</v>
      </c>
      <c r="AO141" s="665">
        <f t="shared" ca="1" si="62"/>
        <v>0</v>
      </c>
      <c r="AP141" s="664">
        <f t="shared" ca="1" si="62"/>
        <v>1763.0597014925377</v>
      </c>
      <c r="AQ141" s="572">
        <f t="shared" ca="1" si="62"/>
        <v>3622.0682302771856</v>
      </c>
      <c r="AR141" s="572">
        <f t="shared" ca="1" si="62"/>
        <v>7539.2388059701498</v>
      </c>
      <c r="AS141" s="572">
        <f t="shared" ca="1" si="62"/>
        <v>13203.674840085288</v>
      </c>
      <c r="AT141" s="572">
        <f t="shared" ca="1" si="62"/>
        <v>20942.421108742004</v>
      </c>
      <c r="AU141" s="572">
        <f t="shared" ca="1" si="63"/>
        <v>28684.917377398724</v>
      </c>
      <c r="AV141" s="665">
        <f t="shared" ca="1" si="63"/>
        <v>36433.038646055436</v>
      </c>
      <c r="AW141" s="573">
        <f t="shared" ca="1" si="63"/>
        <v>0</v>
      </c>
      <c r="AX141" s="572">
        <f t="shared" ca="1" si="63"/>
        <v>0</v>
      </c>
      <c r="AY141" s="572">
        <f t="shared" ca="1" si="63"/>
        <v>0</v>
      </c>
      <c r="AZ141" s="572">
        <f t="shared" ca="1" si="63"/>
        <v>0</v>
      </c>
      <c r="BA141" s="572">
        <f t="shared" ca="1" si="63"/>
        <v>0</v>
      </c>
      <c r="BB141" s="572">
        <f t="shared" ca="1" si="63"/>
        <v>0</v>
      </c>
      <c r="BC141" s="572">
        <f t="shared" ca="1" si="63"/>
        <v>0</v>
      </c>
      <c r="BD141" s="572">
        <f t="shared" ca="1" si="63"/>
        <v>215255.75</v>
      </c>
      <c r="BE141" s="572">
        <f t="shared" ca="1" si="64"/>
        <v>0</v>
      </c>
      <c r="BF141" s="572">
        <f t="shared" ca="1" si="64"/>
        <v>0</v>
      </c>
      <c r="BG141" s="572">
        <f t="shared" ca="1" si="64"/>
        <v>30986555.625</v>
      </c>
      <c r="BH141" s="572">
        <f t="shared" ca="1" si="64"/>
        <v>6372855</v>
      </c>
      <c r="BI141" s="572">
        <f t="shared" ca="1" si="64"/>
        <v>0</v>
      </c>
      <c r="BJ141" s="572">
        <f t="shared" ca="1" si="64"/>
        <v>36433.038646055436</v>
      </c>
      <c r="BK141" s="572">
        <f t="shared" ca="1" si="64"/>
        <v>0</v>
      </c>
      <c r="BL141" s="1330" t="e">
        <f t="shared" ca="1" si="66"/>
        <v>#DIV/0!</v>
      </c>
      <c r="BM141" s="1330" t="e">
        <f t="shared" ca="1" si="65"/>
        <v>#DIV/0!</v>
      </c>
      <c r="BN141" s="1330" t="e">
        <f t="shared" ca="1" si="65"/>
        <v>#DIV/0!</v>
      </c>
      <c r="BO141" s="1330" t="e">
        <f t="shared" ca="1" si="65"/>
        <v>#DIV/0!</v>
      </c>
      <c r="BP141" s="1330" t="e">
        <f t="shared" ca="1" si="65"/>
        <v>#DIV/0!</v>
      </c>
      <c r="BQ141" s="1330" t="e">
        <f t="shared" ca="1" si="65"/>
        <v>#DIV/0!</v>
      </c>
      <c r="BR141" s="1330" t="e">
        <f t="shared" ca="1" si="65"/>
        <v>#DIV/0!</v>
      </c>
      <c r="BS141" s="1330">
        <f t="shared" ca="1" si="65"/>
        <v>0</v>
      </c>
      <c r="BT141" s="1330">
        <f t="shared" ca="1" si="65"/>
        <v>0</v>
      </c>
    </row>
    <row r="142" spans="2:72" ht="14.5">
      <c r="C142" s="203"/>
      <c r="D142" s="574" t="s">
        <v>145</v>
      </c>
      <c r="E142" s="662" t="s">
        <v>63</v>
      </c>
      <c r="F142" s="663" t="s">
        <v>146</v>
      </c>
      <c r="G142" s="572">
        <f t="shared" ca="1" si="59"/>
        <v>10691212</v>
      </c>
      <c r="H142" s="572">
        <f t="shared" ca="1" si="59"/>
        <v>16691213</v>
      </c>
      <c r="I142" s="572">
        <f t="shared" ca="1" si="59"/>
        <v>24457445.559999999</v>
      </c>
      <c r="J142" s="572">
        <f t="shared" ca="1" si="59"/>
        <v>24383621</v>
      </c>
      <c r="K142" s="572">
        <f t="shared" ca="1" si="59"/>
        <v>24383624</v>
      </c>
      <c r="L142" s="572">
        <f t="shared" ca="1" si="59"/>
        <v>24383623</v>
      </c>
      <c r="M142" s="572">
        <f t="shared" ca="1" si="59"/>
        <v>24383622</v>
      </c>
      <c r="N142" s="572">
        <f t="shared" ca="1" si="59"/>
        <v>22471543.457347076</v>
      </c>
      <c r="O142" s="572">
        <f t="shared" ca="1" si="59"/>
        <v>23793446.35478811</v>
      </c>
      <c r="P142" s="572">
        <f t="shared" ca="1" si="59"/>
        <v>11701400.026651591</v>
      </c>
      <c r="Q142" s="572">
        <f t="shared" ca="1" si="60"/>
        <v>7232758.450573422</v>
      </c>
      <c r="R142" s="572">
        <f t="shared" ca="1" si="60"/>
        <v>7264529.424192464</v>
      </c>
      <c r="S142" s="572">
        <f t="shared" ca="1" si="60"/>
        <v>7286896.2742895726</v>
      </c>
      <c r="T142" s="572">
        <f t="shared" ca="1" si="60"/>
        <v>7251228.7475925861</v>
      </c>
      <c r="U142" s="572">
        <f t="shared" ca="1" si="60"/>
        <v>-27941.159666666666</v>
      </c>
      <c r="V142" s="572">
        <f t="shared" ca="1" si="60"/>
        <v>-27941.159666666666</v>
      </c>
      <c r="W142" s="572">
        <f t="shared" ca="1" si="60"/>
        <v>-8213.7981199999995</v>
      </c>
      <c r="X142" s="572">
        <f t="shared" ca="1" si="60"/>
        <v>-1984.1049999999998</v>
      </c>
      <c r="Y142" s="572">
        <f t="shared" ca="1" si="60"/>
        <v>-1984.1049999999998</v>
      </c>
      <c r="Z142" s="572">
        <f t="shared" ca="1" si="60"/>
        <v>-1984.1049999999998</v>
      </c>
      <c r="AA142" s="572">
        <f t="shared" ca="1" si="61"/>
        <v>-1984.1049999999998</v>
      </c>
      <c r="AB142" s="572">
        <f t="shared" ca="1" si="61"/>
        <v>3169130.2155183284</v>
      </c>
      <c r="AC142" s="572">
        <f t="shared" ca="1" si="61"/>
        <v>3673062.4232578967</v>
      </c>
      <c r="AD142" s="572">
        <f t="shared" ca="1" si="61"/>
        <v>2733351.1402439871</v>
      </c>
      <c r="AE142" s="572">
        <f t="shared" ca="1" si="61"/>
        <v>2201067.0702439873</v>
      </c>
      <c r="AF142" s="572">
        <f t="shared" ca="1" si="61"/>
        <v>2209756.3402439873</v>
      </c>
      <c r="AG142" s="572">
        <f t="shared" ca="1" si="61"/>
        <v>2214656.3402439873</v>
      </c>
      <c r="AH142" s="571">
        <f t="shared" ca="1" si="61"/>
        <v>2205867.0702439873</v>
      </c>
      <c r="AI142" s="664">
        <f t="shared" ca="1" si="61"/>
        <v>87497146.197729841</v>
      </c>
      <c r="AJ142" s="572">
        <f t="shared" ca="1" si="61"/>
        <v>93511245.43083182</v>
      </c>
      <c r="AK142" s="572">
        <f t="shared" ca="1" si="62"/>
        <v>45867765.984191194</v>
      </c>
      <c r="AL142" s="572">
        <f t="shared" ca="1" si="62"/>
        <v>27930617.671303935</v>
      </c>
      <c r="AM142" s="572">
        <f t="shared" ca="1" si="62"/>
        <v>28145278.287864756</v>
      </c>
      <c r="AN142" s="572">
        <f t="shared" ca="1" si="62"/>
        <v>28135590.395709727</v>
      </c>
      <c r="AO142" s="665">
        <f t="shared" ca="1" si="62"/>
        <v>28030898.363033358</v>
      </c>
      <c r="AP142" s="664">
        <f t="shared" ca="1" si="62"/>
        <v>17748.077885969953</v>
      </c>
      <c r="AQ142" s="572">
        <f t="shared" ca="1" si="62"/>
        <v>19359.27981712047</v>
      </c>
      <c r="AR142" s="572">
        <f t="shared" ca="1" si="62"/>
        <v>10711.021195494552</v>
      </c>
      <c r="AS142" s="572">
        <f t="shared" ca="1" si="62"/>
        <v>7240.9700140801378</v>
      </c>
      <c r="AT142" s="572">
        <f t="shared" ca="1" si="62"/>
        <v>7266.9603639498337</v>
      </c>
      <c r="AU142" s="572">
        <f t="shared" ca="1" si="63"/>
        <v>7251.2779093091203</v>
      </c>
      <c r="AV142" s="665">
        <f t="shared" ca="1" si="63"/>
        <v>7267.7359743980014</v>
      </c>
      <c r="AW142" s="573">
        <f t="shared" ca="1" si="63"/>
        <v>2781.84</v>
      </c>
      <c r="AX142" s="572">
        <f t="shared" ca="1" si="63"/>
        <v>3179.2457142857147</v>
      </c>
      <c r="AY142" s="572">
        <f t="shared" ca="1" si="63"/>
        <v>4768.8685714285712</v>
      </c>
      <c r="AZ142" s="572">
        <f t="shared" ca="1" si="63"/>
        <v>2185.7314285714288</v>
      </c>
      <c r="BA142" s="572">
        <f t="shared" ca="1" si="63"/>
        <v>3775.3542857142857</v>
      </c>
      <c r="BB142" s="572">
        <f t="shared" ca="1" si="63"/>
        <v>4172.76</v>
      </c>
      <c r="BC142" s="572">
        <f t="shared" ca="1" si="63"/>
        <v>2781.84</v>
      </c>
      <c r="BD142" s="572">
        <f t="shared" ca="1" si="63"/>
        <v>149374360.56</v>
      </c>
      <c r="BE142" s="572">
        <f t="shared" ca="1" si="64"/>
        <v>87001802.735434845</v>
      </c>
      <c r="BF142" s="572">
        <f t="shared" ca="1" si="64"/>
        <v>-72032.537453333323</v>
      </c>
      <c r="BG142" s="572">
        <f t="shared" ca="1" si="64"/>
        <v>18406890.599996161</v>
      </c>
      <c r="BH142" s="572">
        <f t="shared" ca="1" si="64"/>
        <v>0</v>
      </c>
      <c r="BI142" s="572">
        <f t="shared" ca="1" si="64"/>
        <v>339118542.33066458</v>
      </c>
      <c r="BJ142" s="572">
        <f t="shared" ca="1" si="64"/>
        <v>76845.323160322063</v>
      </c>
      <c r="BK142" s="572">
        <f t="shared" ca="1" si="64"/>
        <v>23645.64</v>
      </c>
      <c r="BL142" s="1330">
        <f t="shared" ca="1" si="66"/>
        <v>2.0284179150097169E-4</v>
      </c>
      <c r="BM142" s="1330">
        <f t="shared" ca="1" si="65"/>
        <v>2.0702622158358586E-4</v>
      </c>
      <c r="BN142" s="1330">
        <f t="shared" ca="1" si="65"/>
        <v>2.3351957449129344E-4</v>
      </c>
      <c r="BO142" s="1330">
        <f t="shared" ca="1" si="65"/>
        <v>2.5924847417604907E-4</v>
      </c>
      <c r="BP142" s="1330">
        <f t="shared" ca="1" si="65"/>
        <v>2.5819465310041327E-4</v>
      </c>
      <c r="BQ142" s="1330">
        <f t="shared" ca="1" si="65"/>
        <v>2.5772616843380104E-4</v>
      </c>
      <c r="BR142" s="1330">
        <f t="shared" ca="1" si="65"/>
        <v>2.5927588478514695E-4</v>
      </c>
      <c r="BS142" s="1330">
        <f t="shared" ca="1" si="65"/>
        <v>0.15674035339900524</v>
      </c>
      <c r="BT142" s="1330">
        <f t="shared" ca="1" si="65"/>
        <v>0.16422334633926483</v>
      </c>
    </row>
    <row r="143" spans="2:72" ht="14.5">
      <c r="C143" s="203"/>
      <c r="D143" s="574" t="s">
        <v>145</v>
      </c>
      <c r="E143" s="662" t="s">
        <v>64</v>
      </c>
      <c r="F143" s="663" t="s">
        <v>146</v>
      </c>
      <c r="G143" s="572">
        <f t="shared" ca="1" si="59"/>
        <v>2930.5</v>
      </c>
      <c r="H143" s="572">
        <f t="shared" ca="1" si="59"/>
        <v>5861</v>
      </c>
      <c r="I143" s="572">
        <f t="shared" ca="1" si="59"/>
        <v>5861</v>
      </c>
      <c r="J143" s="572">
        <f t="shared" ca="1" si="59"/>
        <v>5861</v>
      </c>
      <c r="K143" s="572">
        <f t="shared" ca="1" si="59"/>
        <v>5861</v>
      </c>
      <c r="L143" s="572">
        <f t="shared" ca="1" si="59"/>
        <v>5861</v>
      </c>
      <c r="M143" s="572">
        <f t="shared" ca="1" si="59"/>
        <v>5861</v>
      </c>
      <c r="N143" s="572">
        <f t="shared" ca="1" si="59"/>
        <v>0</v>
      </c>
      <c r="O143" s="572">
        <f t="shared" ca="1" si="59"/>
        <v>0</v>
      </c>
      <c r="P143" s="572">
        <f t="shared" ca="1" si="59"/>
        <v>0</v>
      </c>
      <c r="Q143" s="572">
        <f t="shared" ca="1" si="60"/>
        <v>0</v>
      </c>
      <c r="R143" s="572">
        <f t="shared" ca="1" si="60"/>
        <v>0</v>
      </c>
      <c r="S143" s="572">
        <f t="shared" ca="1" si="60"/>
        <v>0</v>
      </c>
      <c r="T143" s="572">
        <f t="shared" ca="1" si="60"/>
        <v>0</v>
      </c>
      <c r="U143" s="572">
        <f t="shared" ca="1" si="60"/>
        <v>0</v>
      </c>
      <c r="V143" s="572">
        <f t="shared" ca="1" si="60"/>
        <v>0</v>
      </c>
      <c r="W143" s="572">
        <f t="shared" ca="1" si="60"/>
        <v>0</v>
      </c>
      <c r="X143" s="572">
        <f t="shared" ca="1" si="60"/>
        <v>0</v>
      </c>
      <c r="Y143" s="572">
        <f t="shared" ca="1" si="60"/>
        <v>0</v>
      </c>
      <c r="Z143" s="572">
        <f t="shared" ca="1" si="60"/>
        <v>0</v>
      </c>
      <c r="AA143" s="572">
        <f t="shared" ca="1" si="61"/>
        <v>0</v>
      </c>
      <c r="AB143" s="572">
        <f t="shared" ca="1" si="61"/>
        <v>0</v>
      </c>
      <c r="AC143" s="572">
        <f t="shared" ca="1" si="61"/>
        <v>0</v>
      </c>
      <c r="AD143" s="572">
        <f t="shared" ca="1" si="61"/>
        <v>0</v>
      </c>
      <c r="AE143" s="572">
        <f t="shared" ca="1" si="61"/>
        <v>0</v>
      </c>
      <c r="AF143" s="572">
        <f t="shared" ca="1" si="61"/>
        <v>0</v>
      </c>
      <c r="AG143" s="572">
        <f t="shared" ca="1" si="61"/>
        <v>0</v>
      </c>
      <c r="AH143" s="571">
        <f t="shared" ca="1" si="61"/>
        <v>0</v>
      </c>
      <c r="AI143" s="664">
        <f t="shared" ca="1" si="61"/>
        <v>218264.29362199522</v>
      </c>
      <c r="AJ143" s="572">
        <f t="shared" ca="1" si="61"/>
        <v>436528.58724399045</v>
      </c>
      <c r="AK143" s="572">
        <f t="shared" ca="1" si="62"/>
        <v>436528.58724399045</v>
      </c>
      <c r="AL143" s="572">
        <f t="shared" ca="1" si="62"/>
        <v>436528.58724399045</v>
      </c>
      <c r="AM143" s="572">
        <f t="shared" ca="1" si="62"/>
        <v>436528.58724399045</v>
      </c>
      <c r="AN143" s="572">
        <f t="shared" ca="1" si="62"/>
        <v>436528.58724399045</v>
      </c>
      <c r="AO143" s="665">
        <f t="shared" ca="1" si="62"/>
        <v>436528.58724399045</v>
      </c>
      <c r="AP143" s="664">
        <f t="shared" ca="1" si="62"/>
        <v>58.240661721584843</v>
      </c>
      <c r="AQ143" s="572">
        <f t="shared" ca="1" si="62"/>
        <v>116.48132344316969</v>
      </c>
      <c r="AR143" s="572">
        <f t="shared" ca="1" si="62"/>
        <v>116.48132344316969</v>
      </c>
      <c r="AS143" s="572">
        <f t="shared" ca="1" si="62"/>
        <v>116.48132344316969</v>
      </c>
      <c r="AT143" s="572">
        <f t="shared" ca="1" si="62"/>
        <v>116.48132344316969</v>
      </c>
      <c r="AU143" s="572">
        <f t="shared" ca="1" si="63"/>
        <v>116.48132344316969</v>
      </c>
      <c r="AV143" s="665">
        <f t="shared" ca="1" si="63"/>
        <v>116.48132344316969</v>
      </c>
      <c r="AW143" s="573">
        <f t="shared" ca="1" si="63"/>
        <v>166.32362130934936</v>
      </c>
      <c r="AX143" s="572">
        <f t="shared" ca="1" si="63"/>
        <v>332.64724261869873</v>
      </c>
      <c r="AY143" s="572">
        <f t="shared" ca="1" si="63"/>
        <v>332.64724261869873</v>
      </c>
      <c r="AZ143" s="572">
        <f t="shared" ca="1" si="63"/>
        <v>332.64724261869873</v>
      </c>
      <c r="BA143" s="572">
        <f t="shared" ca="1" si="63"/>
        <v>332.64724261869873</v>
      </c>
      <c r="BB143" s="572">
        <f t="shared" ca="1" si="63"/>
        <v>332.64724261869873</v>
      </c>
      <c r="BC143" s="572">
        <f t="shared" ca="1" si="63"/>
        <v>332.64724261869873</v>
      </c>
      <c r="BD143" s="572">
        <f t="shared" ca="1" si="63"/>
        <v>38096.5</v>
      </c>
      <c r="BE143" s="572">
        <f t="shared" ca="1" si="64"/>
        <v>0</v>
      </c>
      <c r="BF143" s="572">
        <f t="shared" ca="1" si="64"/>
        <v>0</v>
      </c>
      <c r="BG143" s="572">
        <f t="shared" ca="1" si="64"/>
        <v>0</v>
      </c>
      <c r="BH143" s="572">
        <f t="shared" ca="1" si="64"/>
        <v>1863532.58</v>
      </c>
      <c r="BI143" s="572">
        <f t="shared" ca="1" si="64"/>
        <v>2837435.8170859385</v>
      </c>
      <c r="BJ143" s="572">
        <f t="shared" ca="1" si="64"/>
        <v>757.12860238060284</v>
      </c>
      <c r="BK143" s="572">
        <f t="shared" ca="1" si="64"/>
        <v>2162.2070770215414</v>
      </c>
      <c r="BL143" s="1330">
        <f t="shared" ca="1" si="66"/>
        <v>2.6683549908740426E-4</v>
      </c>
      <c r="BM143" s="1330">
        <f t="shared" ca="1" si="65"/>
        <v>2.6683549908740426E-4</v>
      </c>
      <c r="BN143" s="1330">
        <f t="shared" ca="1" si="65"/>
        <v>2.6683549908740426E-4</v>
      </c>
      <c r="BO143" s="1330">
        <f t="shared" ca="1" si="65"/>
        <v>2.6683549908740426E-4</v>
      </c>
      <c r="BP143" s="1330">
        <f t="shared" ca="1" si="65"/>
        <v>2.6683549908740426E-4</v>
      </c>
      <c r="BQ143" s="1330">
        <f t="shared" ca="1" si="65"/>
        <v>2.6683549908740426E-4</v>
      </c>
      <c r="BR143" s="1330">
        <f t="shared" ca="1" si="65"/>
        <v>2.6683549908740426E-4</v>
      </c>
      <c r="BS143" s="1330">
        <f t="shared" ca="1" si="65"/>
        <v>2.855798962320296</v>
      </c>
      <c r="BT143" s="1330">
        <f t="shared" ca="1" si="65"/>
        <v>2.855798962320296</v>
      </c>
    </row>
    <row r="144" spans="2:72" ht="14.5">
      <c r="C144" s="203"/>
      <c r="D144" s="574" t="s">
        <v>145</v>
      </c>
      <c r="E144" s="662" t="s">
        <v>4</v>
      </c>
      <c r="F144" s="663" t="s">
        <v>146</v>
      </c>
      <c r="G144" s="572">
        <f t="shared" ca="1" si="59"/>
        <v>177060</v>
      </c>
      <c r="H144" s="572">
        <f t="shared" ca="1" si="59"/>
        <v>159228</v>
      </c>
      <c r="I144" s="572">
        <f t="shared" ca="1" si="59"/>
        <v>143000</v>
      </c>
      <c r="J144" s="572">
        <f t="shared" ca="1" si="59"/>
        <v>128400</v>
      </c>
      <c r="K144" s="572">
        <f t="shared" ca="1" si="59"/>
        <v>115300</v>
      </c>
      <c r="L144" s="572">
        <f t="shared" ca="1" si="59"/>
        <v>103600</v>
      </c>
      <c r="M144" s="572">
        <f t="shared" ca="1" si="59"/>
        <v>93100</v>
      </c>
      <c r="N144" s="572">
        <f t="shared" ca="1" si="59"/>
        <v>0</v>
      </c>
      <c r="O144" s="572">
        <f t="shared" ca="1" si="59"/>
        <v>0</v>
      </c>
      <c r="P144" s="572">
        <f t="shared" ca="1" si="59"/>
        <v>0</v>
      </c>
      <c r="Q144" s="572">
        <f t="shared" ca="1" si="60"/>
        <v>0</v>
      </c>
      <c r="R144" s="572">
        <f t="shared" ca="1" si="60"/>
        <v>0</v>
      </c>
      <c r="S144" s="572">
        <f t="shared" ca="1" si="60"/>
        <v>0</v>
      </c>
      <c r="T144" s="572">
        <f t="shared" ca="1" si="60"/>
        <v>0</v>
      </c>
      <c r="U144" s="572">
        <f t="shared" ca="1" si="60"/>
        <v>0</v>
      </c>
      <c r="V144" s="572">
        <f t="shared" ca="1" si="60"/>
        <v>0</v>
      </c>
      <c r="W144" s="572">
        <f t="shared" ca="1" si="60"/>
        <v>0</v>
      </c>
      <c r="X144" s="572">
        <f t="shared" ca="1" si="60"/>
        <v>0</v>
      </c>
      <c r="Y144" s="572">
        <f t="shared" ca="1" si="60"/>
        <v>0</v>
      </c>
      <c r="Z144" s="572">
        <f t="shared" ca="1" si="60"/>
        <v>0</v>
      </c>
      <c r="AA144" s="572">
        <f t="shared" ca="1" si="61"/>
        <v>0</v>
      </c>
      <c r="AB144" s="572">
        <f t="shared" ca="1" si="61"/>
        <v>2335485.090203058</v>
      </c>
      <c r="AC144" s="572">
        <f t="shared" ca="1" si="61"/>
        <v>2098048.7015613625</v>
      </c>
      <c r="AD144" s="572">
        <f t="shared" ca="1" si="61"/>
        <v>1876212.3129196668</v>
      </c>
      <c r="AE144" s="572">
        <f t="shared" ca="1" si="61"/>
        <v>3431675.924277971</v>
      </c>
      <c r="AF144" s="572">
        <f t="shared" ca="1" si="61"/>
        <v>10968218.331850175</v>
      </c>
      <c r="AG144" s="572">
        <f t="shared" ca="1" si="61"/>
        <v>9856860.7394223772</v>
      </c>
      <c r="AH144" s="571">
        <f t="shared" ca="1" si="61"/>
        <v>8861503.1469945796</v>
      </c>
      <c r="AI144" s="664">
        <f t="shared" ca="1" si="61"/>
        <v>0</v>
      </c>
      <c r="AJ144" s="572">
        <f t="shared" ca="1" si="61"/>
        <v>0</v>
      </c>
      <c r="AK144" s="572">
        <f t="shared" ca="1" si="62"/>
        <v>0</v>
      </c>
      <c r="AL144" s="572">
        <f t="shared" ca="1" si="62"/>
        <v>0</v>
      </c>
      <c r="AM144" s="572">
        <f t="shared" ca="1" si="62"/>
        <v>0</v>
      </c>
      <c r="AN144" s="572">
        <f t="shared" ca="1" si="62"/>
        <v>0</v>
      </c>
      <c r="AO144" s="665">
        <f t="shared" ca="1" si="62"/>
        <v>0</v>
      </c>
      <c r="AP144" s="664">
        <f t="shared" ca="1" si="62"/>
        <v>124135</v>
      </c>
      <c r="AQ144" s="572">
        <f t="shared" ca="1" si="62"/>
        <v>111635.2</v>
      </c>
      <c r="AR144" s="572">
        <f t="shared" ca="1" si="62"/>
        <v>100257</v>
      </c>
      <c r="AS144" s="572">
        <f t="shared" ca="1" si="62"/>
        <v>90010</v>
      </c>
      <c r="AT144" s="572">
        <f t="shared" ca="1" si="62"/>
        <v>80872</v>
      </c>
      <c r="AU144" s="572">
        <f t="shared" ca="1" si="63"/>
        <v>72654</v>
      </c>
      <c r="AV144" s="665">
        <f t="shared" ca="1" si="63"/>
        <v>65276</v>
      </c>
      <c r="AW144" s="573">
        <f t="shared" ca="1" si="63"/>
        <v>0</v>
      </c>
      <c r="AX144" s="572">
        <f t="shared" ca="1" si="63"/>
        <v>0</v>
      </c>
      <c r="AY144" s="572">
        <f t="shared" ca="1" si="63"/>
        <v>0</v>
      </c>
      <c r="AZ144" s="572">
        <f t="shared" ca="1" si="63"/>
        <v>0</v>
      </c>
      <c r="BA144" s="572">
        <f t="shared" ca="1" si="63"/>
        <v>0</v>
      </c>
      <c r="BB144" s="572">
        <f t="shared" ca="1" si="63"/>
        <v>0</v>
      </c>
      <c r="BC144" s="572">
        <f t="shared" ca="1" si="63"/>
        <v>0</v>
      </c>
      <c r="BD144" s="572">
        <f t="shared" ca="1" si="63"/>
        <v>919688</v>
      </c>
      <c r="BE144" s="572">
        <f t="shared" ca="1" si="64"/>
        <v>0</v>
      </c>
      <c r="BF144" s="572">
        <f t="shared" ca="1" si="64"/>
        <v>0</v>
      </c>
      <c r="BG144" s="572">
        <f t="shared" ca="1" si="64"/>
        <v>39428004.247229189</v>
      </c>
      <c r="BH144" s="572">
        <f t="shared" ca="1" si="64"/>
        <v>0</v>
      </c>
      <c r="BI144" s="572">
        <f t="shared" ca="1" si="64"/>
        <v>0</v>
      </c>
      <c r="BJ144" s="572">
        <f t="shared" ca="1" si="64"/>
        <v>124135</v>
      </c>
      <c r="BK144" s="572">
        <f t="shared" ca="1" si="64"/>
        <v>0</v>
      </c>
      <c r="BL144" s="1330" t="e">
        <f t="shared" ca="1" si="66"/>
        <v>#DIV/0!</v>
      </c>
      <c r="BM144" s="1330" t="e">
        <f t="shared" ca="1" si="65"/>
        <v>#DIV/0!</v>
      </c>
      <c r="BN144" s="1330" t="e">
        <f t="shared" ca="1" si="65"/>
        <v>#DIV/0!</v>
      </c>
      <c r="BO144" s="1330" t="e">
        <f t="shared" ca="1" si="65"/>
        <v>#DIV/0!</v>
      </c>
      <c r="BP144" s="1330" t="e">
        <f t="shared" ca="1" si="65"/>
        <v>#DIV/0!</v>
      </c>
      <c r="BQ144" s="1330" t="e">
        <f t="shared" ca="1" si="65"/>
        <v>#DIV/0!</v>
      </c>
      <c r="BR144" s="1330" t="e">
        <f t="shared" ca="1" si="65"/>
        <v>#DIV/0!</v>
      </c>
      <c r="BS144" s="1330">
        <f t="shared" ca="1" si="65"/>
        <v>0</v>
      </c>
      <c r="BT144" s="1330">
        <f t="shared" ca="1" si="65"/>
        <v>0</v>
      </c>
    </row>
    <row r="145" spans="3:72" ht="14.5">
      <c r="C145" s="203"/>
      <c r="D145" s="574" t="s">
        <v>145</v>
      </c>
      <c r="E145" s="662" t="s">
        <v>65</v>
      </c>
      <c r="F145" s="663" t="s">
        <v>146</v>
      </c>
      <c r="G145" s="572">
        <f t="shared" ca="1" si="59"/>
        <v>212.86515900563847</v>
      </c>
      <c r="H145" s="572">
        <f t="shared" ca="1" si="59"/>
        <v>267.14368414243279</v>
      </c>
      <c r="I145" s="572">
        <f t="shared" ca="1" si="59"/>
        <v>328.6018090020965</v>
      </c>
      <c r="J145" s="572">
        <f t="shared" ca="1" si="59"/>
        <v>409.60622671390894</v>
      </c>
      <c r="K145" s="572">
        <f t="shared" ca="1" si="59"/>
        <v>493.384622070842</v>
      </c>
      <c r="L145" s="572">
        <f t="shared" ca="1" si="59"/>
        <v>578.3392544518274</v>
      </c>
      <c r="M145" s="572">
        <f t="shared" ca="1" si="59"/>
        <v>578.3392544518274</v>
      </c>
      <c r="N145" s="572">
        <f t="shared" ca="1" si="59"/>
        <v>1629114.6097183707</v>
      </c>
      <c r="O145" s="572">
        <f t="shared" ca="1" si="59"/>
        <v>2044522.8367264136</v>
      </c>
      <c r="P145" s="572">
        <f t="shared" ca="1" si="59"/>
        <v>2514878.4814100126</v>
      </c>
      <c r="Q145" s="572">
        <f t="shared" ca="1" si="60"/>
        <v>3134827.1896086512</v>
      </c>
      <c r="R145" s="572">
        <f t="shared" ca="1" si="60"/>
        <v>3776005.8986670277</v>
      </c>
      <c r="S145" s="572">
        <f t="shared" ca="1" si="60"/>
        <v>4426186.6676647887</v>
      </c>
      <c r="T145" s="572">
        <f t="shared" ca="1" si="60"/>
        <v>4426186.6676647887</v>
      </c>
      <c r="U145" s="572">
        <f t="shared" ca="1" si="60"/>
        <v>0</v>
      </c>
      <c r="V145" s="572">
        <f t="shared" ca="1" si="60"/>
        <v>0</v>
      </c>
      <c r="W145" s="572">
        <f t="shared" ca="1" si="60"/>
        <v>0</v>
      </c>
      <c r="X145" s="572">
        <f t="shared" ca="1" si="60"/>
        <v>0</v>
      </c>
      <c r="Y145" s="572">
        <f t="shared" ca="1" si="60"/>
        <v>0</v>
      </c>
      <c r="Z145" s="572">
        <f t="shared" ca="1" si="60"/>
        <v>0</v>
      </c>
      <c r="AA145" s="572">
        <f t="shared" ca="1" si="61"/>
        <v>0</v>
      </c>
      <c r="AB145" s="572">
        <f t="shared" ca="1" si="61"/>
        <v>2172152.8129578279</v>
      </c>
      <c r="AC145" s="572">
        <f t="shared" ca="1" si="61"/>
        <v>2726030.4489685516</v>
      </c>
      <c r="AD145" s="572">
        <f t="shared" ca="1" si="61"/>
        <v>3353171.3085466838</v>
      </c>
      <c r="AE145" s="572">
        <f t="shared" ca="1" si="61"/>
        <v>4179769.5861448678</v>
      </c>
      <c r="AF145" s="572">
        <f t="shared" ca="1" si="61"/>
        <v>5034674.5315560363</v>
      </c>
      <c r="AG145" s="572">
        <f t="shared" ca="1" si="61"/>
        <v>5901582.2235530512</v>
      </c>
      <c r="AH145" s="571">
        <f t="shared" ca="1" si="61"/>
        <v>5901582.2235530512</v>
      </c>
      <c r="AI145" s="664">
        <f t="shared" ca="1" si="61"/>
        <v>287868.26976466214</v>
      </c>
      <c r="AJ145" s="572">
        <f t="shared" ca="1" si="61"/>
        <v>361271.85158846271</v>
      </c>
      <c r="AK145" s="572">
        <f t="shared" ca="1" si="62"/>
        <v>444384.76752536953</v>
      </c>
      <c r="AL145" s="572">
        <f t="shared" ca="1" si="62"/>
        <v>553931.11921073741</v>
      </c>
      <c r="AM145" s="572">
        <f t="shared" ca="1" si="62"/>
        <v>667228.86050254409</v>
      </c>
      <c r="AN145" s="572">
        <f t="shared" ca="1" si="62"/>
        <v>782117.2863315891</v>
      </c>
      <c r="AO145" s="665">
        <f t="shared" ca="1" si="62"/>
        <v>782117.2863315891</v>
      </c>
      <c r="AP145" s="664">
        <f t="shared" ca="1" si="62"/>
        <v>28962.037506104367</v>
      </c>
      <c r="AQ145" s="572">
        <f t="shared" ca="1" si="62"/>
        <v>36347.072652914023</v>
      </c>
      <c r="AR145" s="572">
        <f t="shared" ca="1" si="62"/>
        <v>44708.95078062245</v>
      </c>
      <c r="AS145" s="572">
        <f t="shared" ca="1" si="62"/>
        <v>55730.261148598234</v>
      </c>
      <c r="AT145" s="572">
        <f t="shared" ca="1" si="62"/>
        <v>67128.993754080482</v>
      </c>
      <c r="AU145" s="572">
        <f t="shared" ca="1" si="63"/>
        <v>78687.762980707339</v>
      </c>
      <c r="AV145" s="665">
        <f t="shared" ca="1" si="63"/>
        <v>78687.762980707339</v>
      </c>
      <c r="AW145" s="573">
        <f t="shared" ca="1" si="63"/>
        <v>0</v>
      </c>
      <c r="AX145" s="572">
        <f t="shared" ca="1" si="63"/>
        <v>0</v>
      </c>
      <c r="AY145" s="572">
        <f t="shared" ca="1" si="63"/>
        <v>0</v>
      </c>
      <c r="AZ145" s="572">
        <f t="shared" ca="1" si="63"/>
        <v>0</v>
      </c>
      <c r="BA145" s="572">
        <f t="shared" ca="1" si="63"/>
        <v>0</v>
      </c>
      <c r="BB145" s="572">
        <f t="shared" ca="1" si="63"/>
        <v>0</v>
      </c>
      <c r="BC145" s="572">
        <f t="shared" ca="1" si="63"/>
        <v>0</v>
      </c>
      <c r="BD145" s="572">
        <f t="shared" ca="1" si="63"/>
        <v>2868.2800098385737</v>
      </c>
      <c r="BE145" s="572">
        <f t="shared" ca="1" si="64"/>
        <v>21951722.351460055</v>
      </c>
      <c r="BF145" s="572">
        <f t="shared" ca="1" si="64"/>
        <v>0</v>
      </c>
      <c r="BG145" s="572">
        <f t="shared" ca="1" si="64"/>
        <v>29268963.135280069</v>
      </c>
      <c r="BH145" s="572">
        <f t="shared" ca="1" si="64"/>
        <v>0</v>
      </c>
      <c r="BI145" s="572">
        <f t="shared" ca="1" si="64"/>
        <v>782117.2863315891</v>
      </c>
      <c r="BJ145" s="572">
        <f t="shared" ca="1" si="64"/>
        <v>78687.762980707339</v>
      </c>
      <c r="BK145" s="572">
        <f t="shared" ca="1" si="64"/>
        <v>0</v>
      </c>
      <c r="BL145" s="1330">
        <f t="shared" ca="1" si="66"/>
        <v>0.1006086482882653</v>
      </c>
      <c r="BM145" s="1330">
        <f t="shared" ca="1" si="65"/>
        <v>0.1006086482882653</v>
      </c>
      <c r="BN145" s="1330">
        <f t="shared" ca="1" si="65"/>
        <v>0.10060864828826531</v>
      </c>
      <c r="BO145" s="1330">
        <f t="shared" ca="1" si="65"/>
        <v>0.1006086482882653</v>
      </c>
      <c r="BP145" s="1330">
        <f t="shared" ca="1" si="65"/>
        <v>0.1006086482882653</v>
      </c>
      <c r="BQ145" s="1330">
        <f t="shared" ca="1" si="65"/>
        <v>0.10060864828826531</v>
      </c>
      <c r="BR145" s="1330">
        <f t="shared" ca="1" si="65"/>
        <v>0.10060864828826531</v>
      </c>
      <c r="BS145" s="1330">
        <f t="shared" ca="1" si="65"/>
        <v>0</v>
      </c>
      <c r="BT145" s="1330">
        <f t="shared" ca="1" si="65"/>
        <v>0</v>
      </c>
    </row>
    <row r="146" spans="3:72" ht="14.5">
      <c r="C146" s="203"/>
      <c r="D146" s="574" t="s">
        <v>145</v>
      </c>
      <c r="E146" s="662" t="s">
        <v>66</v>
      </c>
      <c r="F146" s="663" t="s">
        <v>146</v>
      </c>
      <c r="G146" s="572">
        <f t="shared" ca="1" si="59"/>
        <v>0</v>
      </c>
      <c r="H146" s="572">
        <f t="shared" ca="1" si="59"/>
        <v>26000</v>
      </c>
      <c r="I146" s="572">
        <f t="shared" ca="1" si="59"/>
        <v>52000</v>
      </c>
      <c r="J146" s="572">
        <f t="shared" ca="1" si="59"/>
        <v>104000</v>
      </c>
      <c r="K146" s="572">
        <f t="shared" ca="1" si="59"/>
        <v>185000</v>
      </c>
      <c r="L146" s="572">
        <f t="shared" ca="1" si="59"/>
        <v>185000</v>
      </c>
      <c r="M146" s="572">
        <f t="shared" ca="1" si="59"/>
        <v>185000</v>
      </c>
      <c r="N146" s="572">
        <f t="shared" ca="1" si="59"/>
        <v>0</v>
      </c>
      <c r="O146" s="572">
        <f t="shared" ca="1" si="59"/>
        <v>0</v>
      </c>
      <c r="P146" s="572">
        <f t="shared" ca="1" si="59"/>
        <v>0</v>
      </c>
      <c r="Q146" s="572">
        <f t="shared" ca="1" si="60"/>
        <v>0</v>
      </c>
      <c r="R146" s="572">
        <f t="shared" ca="1" si="60"/>
        <v>0</v>
      </c>
      <c r="S146" s="572">
        <f t="shared" ca="1" si="60"/>
        <v>0</v>
      </c>
      <c r="T146" s="572">
        <f t="shared" ca="1" si="60"/>
        <v>0</v>
      </c>
      <c r="U146" s="572">
        <f t="shared" ca="1" si="60"/>
        <v>0</v>
      </c>
      <c r="V146" s="572">
        <f t="shared" ca="1" si="60"/>
        <v>0</v>
      </c>
      <c r="W146" s="572">
        <f t="shared" ca="1" si="60"/>
        <v>0</v>
      </c>
      <c r="X146" s="572">
        <f t="shared" ca="1" si="60"/>
        <v>0</v>
      </c>
      <c r="Y146" s="572">
        <f t="shared" ca="1" si="60"/>
        <v>0</v>
      </c>
      <c r="Z146" s="572">
        <f t="shared" ca="1" si="60"/>
        <v>0</v>
      </c>
      <c r="AA146" s="572">
        <f t="shared" ca="1" si="61"/>
        <v>0</v>
      </c>
      <c r="AB146" s="572">
        <f t="shared" ca="1" si="61"/>
        <v>0</v>
      </c>
      <c r="AC146" s="572">
        <f t="shared" ca="1" si="61"/>
        <v>1255762.0949882669</v>
      </c>
      <c r="AD146" s="572">
        <f t="shared" ca="1" si="61"/>
        <v>2511524.1899765339</v>
      </c>
      <c r="AE146" s="572">
        <f t="shared" ca="1" si="61"/>
        <v>5023048.3799530677</v>
      </c>
      <c r="AF146" s="572">
        <f t="shared" ca="1" si="61"/>
        <v>8935230.2912626695</v>
      </c>
      <c r="AG146" s="572">
        <f t="shared" ca="1" si="61"/>
        <v>8935230.2912626695</v>
      </c>
      <c r="AH146" s="571">
        <f t="shared" ca="1" si="61"/>
        <v>8935230.2912626695</v>
      </c>
      <c r="AI146" s="664">
        <f t="shared" ca="1" si="61"/>
        <v>0</v>
      </c>
      <c r="AJ146" s="572">
        <f t="shared" ca="1" si="61"/>
        <v>0</v>
      </c>
      <c r="AK146" s="572">
        <f t="shared" ca="1" si="62"/>
        <v>0</v>
      </c>
      <c r="AL146" s="572">
        <f t="shared" ca="1" si="62"/>
        <v>0</v>
      </c>
      <c r="AM146" s="572">
        <f t="shared" ca="1" si="62"/>
        <v>0</v>
      </c>
      <c r="AN146" s="572">
        <f t="shared" ca="1" si="62"/>
        <v>0</v>
      </c>
      <c r="AO146" s="665">
        <f t="shared" ca="1" si="62"/>
        <v>0</v>
      </c>
      <c r="AP146" s="664">
        <f t="shared" ca="1" si="62"/>
        <v>0</v>
      </c>
      <c r="AQ146" s="572">
        <f t="shared" ca="1" si="62"/>
        <v>4328.8104749413351</v>
      </c>
      <c r="AR146" s="572">
        <f t="shared" ca="1" si="62"/>
        <v>8657.6209498826702</v>
      </c>
      <c r="AS146" s="572">
        <f t="shared" ca="1" si="62"/>
        <v>17315.24189976534</v>
      </c>
      <c r="AT146" s="572">
        <f t="shared" ca="1" si="62"/>
        <v>30801.15145631335</v>
      </c>
      <c r="AU146" s="572">
        <f t="shared" ca="1" si="63"/>
        <v>30801.15145631335</v>
      </c>
      <c r="AV146" s="665">
        <f t="shared" ca="1" si="63"/>
        <v>30801.15145631335</v>
      </c>
      <c r="AW146" s="573">
        <f t="shared" ca="1" si="63"/>
        <v>0</v>
      </c>
      <c r="AX146" s="572">
        <f t="shared" ca="1" si="63"/>
        <v>0</v>
      </c>
      <c r="AY146" s="572">
        <f t="shared" ca="1" si="63"/>
        <v>0</v>
      </c>
      <c r="AZ146" s="572">
        <f t="shared" ca="1" si="63"/>
        <v>0</v>
      </c>
      <c r="BA146" s="572">
        <f t="shared" ca="1" si="63"/>
        <v>0</v>
      </c>
      <c r="BB146" s="572">
        <f t="shared" ca="1" si="63"/>
        <v>0</v>
      </c>
      <c r="BC146" s="572">
        <f t="shared" ca="1" si="63"/>
        <v>0</v>
      </c>
      <c r="BD146" s="572">
        <f t="shared" ca="1" si="63"/>
        <v>737000</v>
      </c>
      <c r="BE146" s="572">
        <f t="shared" ca="1" si="64"/>
        <v>0</v>
      </c>
      <c r="BF146" s="572">
        <f t="shared" ca="1" si="64"/>
        <v>0</v>
      </c>
      <c r="BG146" s="572">
        <f t="shared" ca="1" si="64"/>
        <v>35596025.538705878</v>
      </c>
      <c r="BH146" s="572">
        <f t="shared" ca="1" si="64"/>
        <v>2948000</v>
      </c>
      <c r="BI146" s="572">
        <f t="shared" ca="1" si="64"/>
        <v>0</v>
      </c>
      <c r="BJ146" s="572">
        <f t="shared" ca="1" si="64"/>
        <v>30801.15145631335</v>
      </c>
      <c r="BK146" s="572">
        <f t="shared" ca="1" si="64"/>
        <v>0</v>
      </c>
      <c r="BL146" s="1330" t="e">
        <f t="shared" ca="1" si="66"/>
        <v>#DIV/0!</v>
      </c>
      <c r="BM146" s="1330" t="e">
        <f t="shared" ca="1" si="65"/>
        <v>#DIV/0!</v>
      </c>
      <c r="BN146" s="1330" t="e">
        <f t="shared" ca="1" si="65"/>
        <v>#DIV/0!</v>
      </c>
      <c r="BO146" s="1330" t="e">
        <f t="shared" ca="1" si="65"/>
        <v>#DIV/0!</v>
      </c>
      <c r="BP146" s="1330" t="e">
        <f t="shared" ca="1" si="65"/>
        <v>#DIV/0!</v>
      </c>
      <c r="BQ146" s="1330" t="e">
        <f t="shared" ca="1" si="65"/>
        <v>#DIV/0!</v>
      </c>
      <c r="BR146" s="1330" t="e">
        <f t="shared" ca="1" si="65"/>
        <v>#DIV/0!</v>
      </c>
      <c r="BS146" s="1330" t="e">
        <f t="shared" ca="1" si="65"/>
        <v>#DIV/0!</v>
      </c>
      <c r="BT146" s="1330">
        <f t="shared" ca="1" si="65"/>
        <v>0</v>
      </c>
    </row>
    <row r="147" spans="3:72" ht="14.5">
      <c r="C147" s="203"/>
      <c r="D147" s="574" t="s">
        <v>145</v>
      </c>
      <c r="E147" s="662" t="s">
        <v>67</v>
      </c>
      <c r="F147" s="663" t="s">
        <v>146</v>
      </c>
      <c r="G147" s="572">
        <f t="shared" ca="1" si="59"/>
        <v>750</v>
      </c>
      <c r="H147" s="572">
        <f t="shared" ca="1" si="59"/>
        <v>1500</v>
      </c>
      <c r="I147" s="572">
        <f t="shared" ca="1" si="59"/>
        <v>2250</v>
      </c>
      <c r="J147" s="572">
        <f t="shared" ca="1" si="59"/>
        <v>3000</v>
      </c>
      <c r="K147" s="572">
        <f t="shared" ca="1" si="59"/>
        <v>4500</v>
      </c>
      <c r="L147" s="572">
        <f t="shared" ca="1" si="59"/>
        <v>6000</v>
      </c>
      <c r="M147" s="572">
        <f t="shared" ca="1" si="59"/>
        <v>7500</v>
      </c>
      <c r="N147" s="572">
        <f t="shared" ca="1" si="59"/>
        <v>0</v>
      </c>
      <c r="O147" s="572">
        <f t="shared" ca="1" si="59"/>
        <v>0</v>
      </c>
      <c r="P147" s="572">
        <f t="shared" ca="1" si="59"/>
        <v>0</v>
      </c>
      <c r="Q147" s="572">
        <f t="shared" ca="1" si="60"/>
        <v>0</v>
      </c>
      <c r="R147" s="572">
        <f t="shared" ca="1" si="60"/>
        <v>0</v>
      </c>
      <c r="S147" s="572">
        <f t="shared" ca="1" si="60"/>
        <v>0</v>
      </c>
      <c r="T147" s="572">
        <f t="shared" ca="1" si="60"/>
        <v>0</v>
      </c>
      <c r="U147" s="572">
        <f t="shared" ca="1" si="60"/>
        <v>0</v>
      </c>
      <c r="V147" s="572">
        <f t="shared" ca="1" si="60"/>
        <v>0</v>
      </c>
      <c r="W147" s="572">
        <f t="shared" ca="1" si="60"/>
        <v>0</v>
      </c>
      <c r="X147" s="572">
        <f t="shared" ca="1" si="60"/>
        <v>0</v>
      </c>
      <c r="Y147" s="572">
        <f t="shared" ca="1" si="60"/>
        <v>0</v>
      </c>
      <c r="Z147" s="572">
        <f t="shared" ca="1" si="60"/>
        <v>0</v>
      </c>
      <c r="AA147" s="572">
        <f t="shared" ca="1" si="61"/>
        <v>0</v>
      </c>
      <c r="AB147" s="572">
        <f t="shared" ca="1" si="61"/>
        <v>82500</v>
      </c>
      <c r="AC147" s="572">
        <f t="shared" ca="1" si="61"/>
        <v>127500</v>
      </c>
      <c r="AD147" s="572">
        <f t="shared" ca="1" si="61"/>
        <v>172500</v>
      </c>
      <c r="AE147" s="572">
        <f t="shared" ca="1" si="61"/>
        <v>217500</v>
      </c>
      <c r="AF147" s="572">
        <f t="shared" ca="1" si="61"/>
        <v>345000</v>
      </c>
      <c r="AG147" s="572">
        <f t="shared" ca="1" si="61"/>
        <v>435000</v>
      </c>
      <c r="AH147" s="571">
        <f t="shared" ca="1" si="61"/>
        <v>525000</v>
      </c>
      <c r="AI147" s="664">
        <f t="shared" ca="1" si="61"/>
        <v>0</v>
      </c>
      <c r="AJ147" s="572">
        <f t="shared" ca="1" si="61"/>
        <v>0</v>
      </c>
      <c r="AK147" s="572">
        <f t="shared" ca="1" si="62"/>
        <v>0</v>
      </c>
      <c r="AL147" s="572">
        <f t="shared" ca="1" si="62"/>
        <v>0</v>
      </c>
      <c r="AM147" s="572">
        <f t="shared" ca="1" si="62"/>
        <v>0</v>
      </c>
      <c r="AN147" s="572">
        <f t="shared" ca="1" si="62"/>
        <v>0</v>
      </c>
      <c r="AO147" s="665">
        <f t="shared" ca="1" si="62"/>
        <v>0</v>
      </c>
      <c r="AP147" s="664">
        <f t="shared" ca="1" si="62"/>
        <v>300</v>
      </c>
      <c r="AQ147" s="572">
        <f t="shared" ca="1" si="62"/>
        <v>600</v>
      </c>
      <c r="AR147" s="572">
        <f t="shared" ca="1" si="62"/>
        <v>900</v>
      </c>
      <c r="AS147" s="572">
        <f t="shared" ca="1" si="62"/>
        <v>1200</v>
      </c>
      <c r="AT147" s="572">
        <f t="shared" ca="1" si="62"/>
        <v>1800</v>
      </c>
      <c r="AU147" s="572">
        <f t="shared" ca="1" si="63"/>
        <v>2400</v>
      </c>
      <c r="AV147" s="665">
        <f t="shared" ca="1" si="63"/>
        <v>3000</v>
      </c>
      <c r="AW147" s="573">
        <f t="shared" ca="1" si="63"/>
        <v>0</v>
      </c>
      <c r="AX147" s="572">
        <f t="shared" ca="1" si="63"/>
        <v>0</v>
      </c>
      <c r="AY147" s="572">
        <f t="shared" ca="1" si="63"/>
        <v>0</v>
      </c>
      <c r="AZ147" s="572">
        <f t="shared" ca="1" si="63"/>
        <v>0</v>
      </c>
      <c r="BA147" s="572">
        <f t="shared" ca="1" si="63"/>
        <v>0</v>
      </c>
      <c r="BB147" s="572">
        <f t="shared" ca="1" si="63"/>
        <v>0</v>
      </c>
      <c r="BC147" s="572">
        <f t="shared" ca="1" si="63"/>
        <v>0</v>
      </c>
      <c r="BD147" s="572">
        <f t="shared" ca="1" si="63"/>
        <v>25500</v>
      </c>
      <c r="BE147" s="572">
        <f t="shared" ca="1" si="64"/>
        <v>0</v>
      </c>
      <c r="BF147" s="572">
        <f t="shared" ca="1" si="64"/>
        <v>0</v>
      </c>
      <c r="BG147" s="572">
        <f t="shared" ca="1" si="64"/>
        <v>1905000</v>
      </c>
      <c r="BH147" s="572">
        <f t="shared" ca="1" si="64"/>
        <v>3060000</v>
      </c>
      <c r="BI147" s="572">
        <f t="shared" ca="1" si="64"/>
        <v>0</v>
      </c>
      <c r="BJ147" s="572">
        <f t="shared" ca="1" si="64"/>
        <v>3000</v>
      </c>
      <c r="BK147" s="572">
        <f t="shared" ca="1" si="64"/>
        <v>0</v>
      </c>
      <c r="BL147" s="1330" t="e">
        <f t="shared" ca="1" si="66"/>
        <v>#DIV/0!</v>
      </c>
      <c r="BM147" s="1330" t="e">
        <f t="shared" ca="1" si="65"/>
        <v>#DIV/0!</v>
      </c>
      <c r="BN147" s="1330" t="e">
        <f t="shared" ca="1" si="65"/>
        <v>#DIV/0!</v>
      </c>
      <c r="BO147" s="1330" t="e">
        <f t="shared" ca="1" si="65"/>
        <v>#DIV/0!</v>
      </c>
      <c r="BP147" s="1330" t="e">
        <f t="shared" ca="1" si="65"/>
        <v>#DIV/0!</v>
      </c>
      <c r="BQ147" s="1330" t="e">
        <f t="shared" ca="1" si="65"/>
        <v>#DIV/0!</v>
      </c>
      <c r="BR147" s="1330" t="e">
        <f t="shared" ca="1" si="65"/>
        <v>#DIV/0!</v>
      </c>
      <c r="BS147" s="1330">
        <f t="shared" ca="1" si="65"/>
        <v>0</v>
      </c>
      <c r="BT147" s="1330">
        <f t="shared" ca="1" si="65"/>
        <v>0</v>
      </c>
    </row>
    <row r="148" spans="3:72" ht="14.5">
      <c r="C148" s="203"/>
      <c r="D148" s="574" t="s">
        <v>145</v>
      </c>
      <c r="E148" s="662" t="s">
        <v>68</v>
      </c>
      <c r="F148" s="663" t="s">
        <v>146</v>
      </c>
      <c r="G148" s="572">
        <f t="shared" ca="1" si="59"/>
        <v>0</v>
      </c>
      <c r="H148" s="572">
        <f t="shared" ca="1" si="59"/>
        <v>0</v>
      </c>
      <c r="I148" s="572">
        <f t="shared" ca="1" si="59"/>
        <v>295286.40000000002</v>
      </c>
      <c r="J148" s="572">
        <f t="shared" ca="1" si="59"/>
        <v>442929.55199999997</v>
      </c>
      <c r="K148" s="572">
        <f t="shared" ca="1" si="59"/>
        <v>442929.55199999997</v>
      </c>
      <c r="L148" s="572">
        <f t="shared" ca="1" si="59"/>
        <v>354343.64159999997</v>
      </c>
      <c r="M148" s="572">
        <f t="shared" ca="1" si="59"/>
        <v>283474.91327999998</v>
      </c>
      <c r="N148" s="572">
        <f t="shared" ca="1" si="59"/>
        <v>0</v>
      </c>
      <c r="O148" s="572">
        <f t="shared" ca="1" si="59"/>
        <v>0</v>
      </c>
      <c r="P148" s="572">
        <f t="shared" ca="1" si="59"/>
        <v>17584144.561371427</v>
      </c>
      <c r="Q148" s="572">
        <f t="shared" ca="1" si="60"/>
        <v>26376213.62005714</v>
      </c>
      <c r="R148" s="572">
        <f t="shared" ca="1" si="60"/>
        <v>26376213.62005714</v>
      </c>
      <c r="S148" s="572">
        <f t="shared" ca="1" si="60"/>
        <v>21100970.896045715</v>
      </c>
      <c r="T148" s="572">
        <f t="shared" ca="1" si="60"/>
        <v>16880776.716836572</v>
      </c>
      <c r="U148" s="572">
        <f t="shared" ca="1" si="60"/>
        <v>0</v>
      </c>
      <c r="V148" s="572">
        <f t="shared" ca="1" si="60"/>
        <v>0</v>
      </c>
      <c r="W148" s="572">
        <f t="shared" ca="1" si="60"/>
        <v>-24918.77248</v>
      </c>
      <c r="X148" s="572">
        <f t="shared" ca="1" si="60"/>
        <v>-37378.158719999999</v>
      </c>
      <c r="Y148" s="572">
        <f t="shared" ca="1" si="60"/>
        <v>-37378.158719999999</v>
      </c>
      <c r="Z148" s="572">
        <f t="shared" ca="1" si="60"/>
        <v>-29902.526976000001</v>
      </c>
      <c r="AA148" s="572">
        <f t="shared" ca="1" si="61"/>
        <v>-23922.021580799999</v>
      </c>
      <c r="AB148" s="572">
        <f t="shared" ca="1" si="61"/>
        <v>0</v>
      </c>
      <c r="AC148" s="572">
        <f t="shared" ca="1" si="61"/>
        <v>0</v>
      </c>
      <c r="AD148" s="572">
        <f t="shared" ca="1" si="61"/>
        <v>2055580.8000000003</v>
      </c>
      <c r="AE148" s="572">
        <f t="shared" ca="1" si="61"/>
        <v>3083370.72</v>
      </c>
      <c r="AF148" s="572">
        <f t="shared" ca="1" si="61"/>
        <v>3083370.72</v>
      </c>
      <c r="AG148" s="572">
        <f t="shared" ca="1" si="61"/>
        <v>2466696.5759999999</v>
      </c>
      <c r="AH148" s="571">
        <f t="shared" ca="1" si="61"/>
        <v>1973357.2608000003</v>
      </c>
      <c r="AI148" s="664">
        <f t="shared" ca="1" si="61"/>
        <v>0</v>
      </c>
      <c r="AJ148" s="572">
        <f t="shared" ca="1" si="61"/>
        <v>0</v>
      </c>
      <c r="AK148" s="572">
        <f t="shared" ca="1" si="62"/>
        <v>70527597.921308637</v>
      </c>
      <c r="AL148" s="572">
        <f t="shared" ca="1" si="62"/>
        <v>105791391.38167283</v>
      </c>
      <c r="AM148" s="572">
        <f t="shared" ca="1" si="62"/>
        <v>105791391.38167283</v>
      </c>
      <c r="AN148" s="572">
        <f t="shared" ca="1" si="62"/>
        <v>84633113.105338261</v>
      </c>
      <c r="AO148" s="665">
        <f t="shared" ca="1" si="62"/>
        <v>67706490.484270602</v>
      </c>
      <c r="AP148" s="664">
        <f t="shared" ca="1" si="62"/>
        <v>0</v>
      </c>
      <c r="AQ148" s="572">
        <f t="shared" ca="1" si="62"/>
        <v>0</v>
      </c>
      <c r="AR148" s="572">
        <f t="shared" ca="1" si="62"/>
        <v>13731.91367940214</v>
      </c>
      <c r="AS148" s="572">
        <f t="shared" ca="1" si="62"/>
        <v>20597.869206323645</v>
      </c>
      <c r="AT148" s="572">
        <f t="shared" ca="1" si="62"/>
        <v>20597.869206323645</v>
      </c>
      <c r="AU148" s="572">
        <f t="shared" ca="1" si="63"/>
        <v>16478.295365058915</v>
      </c>
      <c r="AV148" s="665">
        <f t="shared" ca="1" si="63"/>
        <v>13182.636292047135</v>
      </c>
      <c r="AW148" s="573">
        <f t="shared" ca="1" si="63"/>
        <v>0</v>
      </c>
      <c r="AX148" s="572">
        <f t="shared" ca="1" si="63"/>
        <v>0</v>
      </c>
      <c r="AY148" s="572">
        <f t="shared" ca="1" si="63"/>
        <v>0</v>
      </c>
      <c r="AZ148" s="572">
        <f t="shared" ca="1" si="63"/>
        <v>0</v>
      </c>
      <c r="BA148" s="572">
        <f t="shared" ca="1" si="63"/>
        <v>0</v>
      </c>
      <c r="BB148" s="572">
        <f t="shared" ca="1" si="63"/>
        <v>0</v>
      </c>
      <c r="BC148" s="572">
        <f t="shared" ca="1" si="63"/>
        <v>0</v>
      </c>
      <c r="BD148" s="572">
        <f t="shared" ca="1" si="63"/>
        <v>1818964.0588800004</v>
      </c>
      <c r="BE148" s="572">
        <f t="shared" ca="1" si="64"/>
        <v>108318319.414368</v>
      </c>
      <c r="BF148" s="572">
        <f t="shared" ca="1" si="64"/>
        <v>-153499.6384768</v>
      </c>
      <c r="BG148" s="572">
        <f t="shared" ca="1" si="64"/>
        <v>12662376.0768</v>
      </c>
      <c r="BH148" s="572">
        <f t="shared" ca="1" si="64"/>
        <v>0</v>
      </c>
      <c r="BI148" s="572">
        <f t="shared" ca="1" si="64"/>
        <v>434449984.27426308</v>
      </c>
      <c r="BJ148" s="572">
        <f t="shared" ca="1" si="64"/>
        <v>84588.58374915547</v>
      </c>
      <c r="BK148" s="572">
        <f t="shared" ca="1" si="64"/>
        <v>0</v>
      </c>
      <c r="BL148" s="1330" t="e">
        <f t="shared" ca="1" si="66"/>
        <v>#DIV/0!</v>
      </c>
      <c r="BM148" s="1330" t="e">
        <f t="shared" ca="1" si="65"/>
        <v>#DIV/0!</v>
      </c>
      <c r="BN148" s="1330">
        <f t="shared" ca="1" si="65"/>
        <v>1.9470269914372471E-4</v>
      </c>
      <c r="BO148" s="1330">
        <f t="shared" ca="1" si="65"/>
        <v>1.9470269685754407E-4</v>
      </c>
      <c r="BP148" s="1330">
        <f t="shared" ca="1" si="65"/>
        <v>1.9470269685754407E-4</v>
      </c>
      <c r="BQ148" s="1330">
        <f t="shared" ca="1" si="65"/>
        <v>1.9470269685754407E-4</v>
      </c>
      <c r="BR148" s="1330">
        <f t="shared" ca="1" si="65"/>
        <v>1.9470269685754413E-4</v>
      </c>
      <c r="BS148" s="1330" t="e">
        <f t="shared" ca="1" si="65"/>
        <v>#DIV/0!</v>
      </c>
      <c r="BT148" s="1330" t="e">
        <f t="shared" ca="1" si="65"/>
        <v>#DIV/0!</v>
      </c>
    </row>
    <row r="149" spans="3:72" ht="15" thickBot="1">
      <c r="C149" s="203"/>
      <c r="D149" s="574" t="s">
        <v>147</v>
      </c>
      <c r="E149" s="663" t="s">
        <v>147</v>
      </c>
      <c r="F149" s="663" t="s">
        <v>148</v>
      </c>
      <c r="G149" s="572">
        <f t="shared" ref="G149:AL149" ca="1" si="67">SUM(G136:G148)</f>
        <v>10920147.365159005</v>
      </c>
      <c r="H149" s="572">
        <f t="shared" ca="1" si="67"/>
        <v>16940830.843684141</v>
      </c>
      <c r="I149" s="572">
        <f t="shared" ca="1" si="67"/>
        <v>25028864.521809001</v>
      </c>
      <c r="J149" s="572">
        <f t="shared" ca="1" si="67"/>
        <v>25157412.591226712</v>
      </c>
      <c r="K149" s="572">
        <f t="shared" ca="1" si="67"/>
        <v>25247386.471272074</v>
      </c>
      <c r="L149" s="572">
        <f t="shared" ca="1" si="67"/>
        <v>25163546.12411195</v>
      </c>
      <c r="M149" s="572">
        <f t="shared" ca="1" si="67"/>
        <v>25098754.952329826</v>
      </c>
      <c r="N149" s="572">
        <f t="shared" ca="1" si="67"/>
        <v>24262049.827065449</v>
      </c>
      <c r="O149" s="572">
        <f t="shared" ca="1" si="67"/>
        <v>27105461.039514523</v>
      </c>
      <c r="P149" s="572">
        <f t="shared" ca="1" si="67"/>
        <v>33707790.159833029</v>
      </c>
      <c r="Q149" s="572">
        <f t="shared" ca="1" si="67"/>
        <v>39614522.805159211</v>
      </c>
      <c r="R149" s="572">
        <f t="shared" ca="1" si="67"/>
        <v>41256161.215082631</v>
      </c>
      <c r="S149" s="572">
        <f t="shared" ca="1" si="67"/>
        <v>36458684.673774377</v>
      </c>
      <c r="T149" s="572">
        <f t="shared" ca="1" si="67"/>
        <v>32203696.184656963</v>
      </c>
      <c r="U149" s="572">
        <f t="shared" ca="1" si="67"/>
        <v>-27941.159666666666</v>
      </c>
      <c r="V149" s="572">
        <f t="shared" ca="1" si="67"/>
        <v>-27941.159666666666</v>
      </c>
      <c r="W149" s="572">
        <f t="shared" ca="1" si="67"/>
        <v>-33132.570599999999</v>
      </c>
      <c r="X149" s="572">
        <f t="shared" ca="1" si="67"/>
        <v>-39362.263720000003</v>
      </c>
      <c r="Y149" s="572">
        <f t="shared" ca="1" si="67"/>
        <v>-39362.263720000003</v>
      </c>
      <c r="Z149" s="572">
        <f t="shared" ca="1" si="67"/>
        <v>-31886.631976000001</v>
      </c>
      <c r="AA149" s="572">
        <f t="shared" ca="1" si="67"/>
        <v>-25906.126580799999</v>
      </c>
      <c r="AB149" s="572">
        <f t="shared" ca="1" si="67"/>
        <v>8425883.1186792143</v>
      </c>
      <c r="AC149" s="572">
        <f t="shared" ca="1" si="67"/>
        <v>11659805.668776076</v>
      </c>
      <c r="AD149" s="572">
        <f t="shared" ca="1" si="67"/>
        <v>16197654.351686873</v>
      </c>
      <c r="AE149" s="572">
        <f t="shared" ca="1" si="67"/>
        <v>23734512.510619894</v>
      </c>
      <c r="AF149" s="572">
        <f t="shared" ca="1" si="67"/>
        <v>38863070.436412863</v>
      </c>
      <c r="AG149" s="572">
        <f t="shared" ca="1" si="67"/>
        <v>40004405.228057079</v>
      </c>
      <c r="AH149" s="571">
        <f t="shared" ca="1" si="67"/>
        <v>40557056.74080804</v>
      </c>
      <c r="AI149" s="666">
        <f t="shared" ca="1" si="67"/>
        <v>92734081.347940043</v>
      </c>
      <c r="AJ149" s="667">
        <f t="shared" ca="1" si="67"/>
        <v>101772341.58177346</v>
      </c>
      <c r="AK149" s="667">
        <f t="shared" ca="1" si="67"/>
        <v>130609099.48422024</v>
      </c>
      <c r="AL149" s="667">
        <f t="shared" ca="1" si="67"/>
        <v>150782447.33880448</v>
      </c>
      <c r="AM149" s="667">
        <f t="shared" ref="AM149:BK149" ca="1" si="68">SUM(AM136:AM148)</f>
        <v>153900593.3923274</v>
      </c>
      <c r="AN149" s="667">
        <f t="shared" ca="1" si="68"/>
        <v>132847608.2712431</v>
      </c>
      <c r="AO149" s="668">
        <f t="shared" ca="1" si="68"/>
        <v>115816390.87015411</v>
      </c>
      <c r="AP149" s="666">
        <f t="shared" ca="1" si="68"/>
        <v>173336.15150876535</v>
      </c>
      <c r="AQ149" s="667">
        <f t="shared" ca="1" si="68"/>
        <v>176575.71168077487</v>
      </c>
      <c r="AR149" s="667">
        <f t="shared" ca="1" si="68"/>
        <v>187776.88323698629</v>
      </c>
      <c r="AS149" s="667">
        <f t="shared" ca="1" si="68"/>
        <v>206714.00469520906</v>
      </c>
      <c r="AT149" s="667">
        <f t="shared" ca="1" si="68"/>
        <v>230988.47087381818</v>
      </c>
      <c r="AU149" s="667">
        <f t="shared" ca="1" si="68"/>
        <v>238536.48007319632</v>
      </c>
      <c r="AV149" s="668">
        <f t="shared" ca="1" si="68"/>
        <v>236227.40033393013</v>
      </c>
      <c r="AW149" s="573">
        <f t="shared" ca="1" si="68"/>
        <v>154642.96992177013</v>
      </c>
      <c r="AX149" s="572">
        <f t="shared" ca="1" si="68"/>
        <v>177530.0720646941</v>
      </c>
      <c r="AY149" s="572">
        <f t="shared" ca="1" si="68"/>
        <v>211808.18921220343</v>
      </c>
      <c r="AZ149" s="572">
        <f t="shared" ca="1" si="68"/>
        <v>270635.63212423108</v>
      </c>
      <c r="BA149" s="572">
        <f t="shared" ca="1" si="68"/>
        <v>326228.5578890029</v>
      </c>
      <c r="BB149" s="572">
        <f t="shared" ca="1" si="68"/>
        <v>311558.46360328869</v>
      </c>
      <c r="BC149" s="572">
        <f t="shared" ca="1" si="68"/>
        <v>310167.54360328871</v>
      </c>
      <c r="BD149" s="572">
        <f t="shared" ca="1" si="68"/>
        <v>153556942.86959273</v>
      </c>
      <c r="BE149" s="572">
        <f t="shared" ca="1" si="68"/>
        <v>234608365.90508622</v>
      </c>
      <c r="BF149" s="572">
        <f t="shared" ca="1" si="68"/>
        <v>-225532.17593013332</v>
      </c>
      <c r="BG149" s="572">
        <f t="shared" ca="1" si="68"/>
        <v>179442388.05504003</v>
      </c>
      <c r="BH149" s="572">
        <f t="shared" ca="1" si="68"/>
        <v>78347180.274140969</v>
      </c>
      <c r="BI149" s="572">
        <f t="shared" ca="1" si="68"/>
        <v>875365760.13153934</v>
      </c>
      <c r="BJ149" s="572">
        <f t="shared" ca="1" si="68"/>
        <v>443026.46727847133</v>
      </c>
      <c r="BK149" s="572">
        <f t="shared" ca="1" si="68"/>
        <v>1762571.4284184785</v>
      </c>
    </row>
    <row r="150" spans="3:72">
      <c r="AI150" s="2" t="e">
        <f ca="1">AI142/AI140</f>
        <v>#DIV/0!</v>
      </c>
      <c r="AJ150" s="2">
        <f t="shared" ref="AJ150:AO150" ca="1" si="69">AJ142/AJ140</f>
        <v>38.835731057881972</v>
      </c>
      <c r="AK150" s="2">
        <f t="shared" ca="1" si="69"/>
        <v>14.865306288537862</v>
      </c>
      <c r="AL150" s="2">
        <f t="shared" ca="1" si="69"/>
        <v>7.4139246774246184</v>
      </c>
      <c r="AM150" s="2">
        <f t="shared" ca="1" si="69"/>
        <v>6.0270623356208395</v>
      </c>
      <c r="AN150" s="2">
        <f t="shared" ca="1" si="69"/>
        <v>6.02498775922753</v>
      </c>
      <c r="AO150" s="2">
        <f t="shared" ca="1" si="69"/>
        <v>6.0025688866717246</v>
      </c>
      <c r="AU150" s="84">
        <f ca="1">AV136</f>
        <v>311.26966633157275</v>
      </c>
      <c r="AV150" s="542">
        <f ca="1">AO136/8760</f>
        <v>434.14812316814147</v>
      </c>
    </row>
    <row r="151" spans="3:72">
      <c r="G151" s="3" t="s">
        <v>36</v>
      </c>
      <c r="H151" s="3" t="s">
        <v>37</v>
      </c>
      <c r="I151" s="3" t="s">
        <v>38</v>
      </c>
      <c r="J151" s="3" t="s">
        <v>39</v>
      </c>
      <c r="K151" s="3" t="s">
        <v>40</v>
      </c>
      <c r="L151" s="3" t="s">
        <v>41</v>
      </c>
      <c r="M151" s="3" t="s">
        <v>42</v>
      </c>
      <c r="AU151" s="84">
        <f t="shared" ref="AU151:AU154" ca="1" si="70">AV137</f>
        <v>58.466087145338797</v>
      </c>
      <c r="AV151" s="542">
        <f t="shared" ref="AV151:AV154" ca="1" si="71">AO137/8760</f>
        <v>68.674695792146423</v>
      </c>
    </row>
    <row r="152" spans="3:72">
      <c r="F152" s="2" t="s">
        <v>57</v>
      </c>
      <c r="G152" s="1329">
        <v>3803137.5589529192</v>
      </c>
      <c r="H152" s="1329">
        <v>3803137.5589529192</v>
      </c>
      <c r="I152" s="1329">
        <v>3803137.5589529192</v>
      </c>
      <c r="J152" s="1329">
        <v>3803137.5589529192</v>
      </c>
      <c r="K152" s="1329">
        <v>3803137.5589529192</v>
      </c>
      <c r="L152" s="1329">
        <v>3803137.5589529192</v>
      </c>
      <c r="M152" s="1329">
        <v>3803137.5589529192</v>
      </c>
      <c r="AH152" s="2" t="s">
        <v>2753</v>
      </c>
      <c r="AI152" s="84">
        <f ca="1">SUM(AI142,AI143,AI145)/1000</f>
        <v>88003.278761116511</v>
      </c>
      <c r="AJ152" s="84">
        <f t="shared" ref="AJ152:AO152" ca="1" si="72">SUM(AJ142,AJ143,AJ145)/1000</f>
        <v>94309.04586966426</v>
      </c>
      <c r="AK152" s="84">
        <f t="shared" ca="1" si="72"/>
        <v>46748.679338960552</v>
      </c>
      <c r="AL152" s="84">
        <f t="shared" ca="1" si="72"/>
        <v>28921.077377758662</v>
      </c>
      <c r="AM152" s="84">
        <f t="shared" ca="1" si="72"/>
        <v>29249.035735611291</v>
      </c>
      <c r="AN152" s="84">
        <f t="shared" ca="1" si="72"/>
        <v>29354.236269285306</v>
      </c>
      <c r="AO152" s="84">
        <f t="shared" ca="1" si="72"/>
        <v>29249.544236608937</v>
      </c>
      <c r="AU152" s="84">
        <f t="shared" ca="1" si="70"/>
        <v>709.27020408163276</v>
      </c>
      <c r="AV152" s="542">
        <f t="shared" ca="1" si="71"/>
        <v>691.42363246668526</v>
      </c>
    </row>
    <row r="153" spans="3:72">
      <c r="F153" s="2" t="s">
        <v>58</v>
      </c>
      <c r="G153" s="1329">
        <v>601590.33513920265</v>
      </c>
      <c r="H153" s="1329">
        <v>601590.33513920265</v>
      </c>
      <c r="I153" s="1329">
        <v>601590.33513920265</v>
      </c>
      <c r="J153" s="1329">
        <v>601590.33513920265</v>
      </c>
      <c r="K153" s="1329">
        <v>601590.33513920265</v>
      </c>
      <c r="L153" s="1329">
        <v>601590.33513920265</v>
      </c>
      <c r="M153" s="1329">
        <v>601590.33513920265</v>
      </c>
      <c r="AH153" s="2" t="s">
        <v>2754</v>
      </c>
      <c r="AI153" s="84">
        <f ca="1">SUM(AI136:AI140)/1000</f>
        <v>4730.8025868235409</v>
      </c>
      <c r="AJ153" s="84">
        <f t="shared" ref="AJ153:AO153" ca="1" si="73">SUM(AJ136:AJ140)/1000</f>
        <v>7463.2957121091949</v>
      </c>
      <c r="AK153" s="84">
        <f t="shared" ca="1" si="73"/>
        <v>13332.822223951047</v>
      </c>
      <c r="AL153" s="84">
        <f t="shared" ca="1" si="73"/>
        <v>16069.97857937301</v>
      </c>
      <c r="AM153" s="84">
        <f t="shared" ca="1" si="73"/>
        <v>18860.166275043281</v>
      </c>
      <c r="AN153" s="84">
        <f t="shared" ca="1" si="73"/>
        <v>18860.258896619529</v>
      </c>
      <c r="AO153" s="84">
        <f t="shared" ca="1" si="73"/>
        <v>18860.356149274587</v>
      </c>
      <c r="AU153" s="84">
        <f t="shared" ca="1" si="70"/>
        <v>0</v>
      </c>
      <c r="AV153" s="542">
        <f t="shared" ca="1" si="71"/>
        <v>425.67810647488244</v>
      </c>
    </row>
    <row r="154" spans="3:72">
      <c r="F154" s="2" t="s">
        <v>59</v>
      </c>
      <c r="G154" s="1329">
        <v>0</v>
      </c>
      <c r="H154" s="1329">
        <v>0</v>
      </c>
      <c r="I154" s="1329">
        <v>4542653.2653061226</v>
      </c>
      <c r="J154" s="1329">
        <v>5299762.1428571437</v>
      </c>
      <c r="K154" s="1329">
        <v>6056871.0204081628</v>
      </c>
      <c r="L154" s="1329">
        <v>6056871.0204081628</v>
      </c>
      <c r="M154" s="1329">
        <v>6056871.0204081628</v>
      </c>
      <c r="AI154" s="1310">
        <f ca="1">AI152/AI153</f>
        <v>18.602187926046096</v>
      </c>
      <c r="AJ154" s="1310">
        <f t="shared" ref="AJ154:AO154" ca="1" si="74">AJ152/AJ153</f>
        <v>12.636380696620108</v>
      </c>
      <c r="AK154" s="1310">
        <f t="shared" ca="1" si="74"/>
        <v>3.5062853575727835</v>
      </c>
      <c r="AL154" s="1310">
        <f t="shared" ca="1" si="74"/>
        <v>1.7996960751945852</v>
      </c>
      <c r="AM154" s="1310">
        <f t="shared" ca="1" si="74"/>
        <v>1.5508365784831433</v>
      </c>
      <c r="AN154" s="1310">
        <f t="shared" ca="1" si="74"/>
        <v>1.5564068568828975</v>
      </c>
      <c r="AO154" s="1310">
        <f t="shared" ca="1" si="74"/>
        <v>1.5508479270013118</v>
      </c>
      <c r="AU154" s="84">
        <f t="shared" ca="1" si="70"/>
        <v>383.58770340715751</v>
      </c>
      <c r="AV154" s="542">
        <f t="shared" ca="1" si="71"/>
        <v>533.08413493770945</v>
      </c>
    </row>
    <row r="155" spans="3:72">
      <c r="F155" s="2" t="s">
        <v>60</v>
      </c>
      <c r="G155" s="1329">
        <v>326074.69273141853</v>
      </c>
      <c r="H155" s="1329">
        <v>650701.58546283701</v>
      </c>
      <c r="I155" s="1329">
        <v>1299882.9809256741</v>
      </c>
      <c r="J155" s="1329">
        <v>2598169.7623513481</v>
      </c>
      <c r="K155" s="1329">
        <v>3728750.338488658</v>
      </c>
      <c r="L155" s="1329">
        <v>3728842.960064908</v>
      </c>
      <c r="M155" s="1329">
        <v>3728940.2127199704</v>
      </c>
      <c r="AI155" s="2">
        <f ca="1">SUM(AI152:AO152)/SUM(AI153:AO153)</f>
        <v>3.5225409288372544</v>
      </c>
      <c r="AU155" s="84">
        <f ca="1">AV142</f>
        <v>7267.7359743980014</v>
      </c>
      <c r="AV155" s="542">
        <f ca="1">AO142/8760</f>
        <v>3199.8742423554063</v>
      </c>
    </row>
    <row r="156" spans="3:72">
      <c r="F156" s="2" t="s">
        <v>61</v>
      </c>
      <c r="G156" s="1329">
        <v>0</v>
      </c>
      <c r="H156" s="1329">
        <v>2407866.2325542364</v>
      </c>
      <c r="I156" s="1329">
        <v>3085558.083627129</v>
      </c>
      <c r="J156" s="1329">
        <v>3767318.7800723948</v>
      </c>
      <c r="K156" s="1329">
        <v>4669817.0220543351</v>
      </c>
      <c r="L156" s="1329">
        <v>4669817.0220543351</v>
      </c>
      <c r="M156" s="1329">
        <v>4669817.0220543351</v>
      </c>
      <c r="AI156" s="2" t="e">
        <f ca="1">AI142/AI140</f>
        <v>#DIV/0!</v>
      </c>
      <c r="AJ156" s="2">
        <f t="shared" ref="AJ156:AO156" ca="1" si="75">AJ142/AJ140</f>
        <v>38.835731057881972</v>
      </c>
      <c r="AK156" s="2">
        <f t="shared" ca="1" si="75"/>
        <v>14.865306288537862</v>
      </c>
      <c r="AL156" s="2">
        <f t="shared" ca="1" si="75"/>
        <v>7.4139246774246184</v>
      </c>
      <c r="AM156" s="2">
        <f t="shared" ca="1" si="75"/>
        <v>6.0270623356208395</v>
      </c>
      <c r="AN156" s="2">
        <f t="shared" ca="1" si="75"/>
        <v>6.02498775922753</v>
      </c>
      <c r="AO156" s="2">
        <f t="shared" ca="1" si="75"/>
        <v>6.0025688866717246</v>
      </c>
      <c r="AU156" s="84">
        <f ca="1">AV143</f>
        <v>116.48132344316969</v>
      </c>
      <c r="AV156" s="542">
        <f ca="1">AO143/8760</f>
        <v>49.832030507304843</v>
      </c>
    </row>
    <row r="157" spans="3:72">
      <c r="F157" s="2" t="s">
        <v>63</v>
      </c>
      <c r="G157" s="1329">
        <v>87497146.197729841</v>
      </c>
      <c r="H157" s="1329">
        <v>93511245.43083182</v>
      </c>
      <c r="I157" s="1329">
        <v>45867765.984191194</v>
      </c>
      <c r="J157" s="1329">
        <v>27930617.671303935</v>
      </c>
      <c r="K157" s="1329">
        <v>28145278.287864756</v>
      </c>
      <c r="L157" s="1329">
        <v>28135590.395709727</v>
      </c>
      <c r="M157" s="1329">
        <v>28030898.363033358</v>
      </c>
      <c r="AH157" s="2" t="e" cm="1">
        <f t="array" ref="AH157">SU</f>
        <v>#NAME?</v>
      </c>
      <c r="AI157" s="2">
        <f ca="1">SUM(AI142:AO142)/SUM(AI140:AO140)</f>
        <v>14.5730860672563</v>
      </c>
      <c r="AU157" s="84">
        <f ca="1">AV145</f>
        <v>78687.762980707339</v>
      </c>
      <c r="AV157" s="542">
        <f ca="1">AO145/8760</f>
        <v>89.282795243332089</v>
      </c>
    </row>
    <row r="158" spans="3:72">
      <c r="F158" s="2" t="s">
        <v>64</v>
      </c>
      <c r="G158" s="1329">
        <v>218264.29362199522</v>
      </c>
      <c r="H158" s="1329">
        <v>436528.58724399045</v>
      </c>
      <c r="I158" s="1329">
        <v>436528.58724399045</v>
      </c>
      <c r="J158" s="1329">
        <v>436528.58724399045</v>
      </c>
      <c r="K158" s="1329">
        <v>436528.58724399045</v>
      </c>
      <c r="L158" s="1329">
        <v>436528.58724399045</v>
      </c>
      <c r="M158" s="1329">
        <v>436528.58724399045</v>
      </c>
    </row>
    <row r="159" spans="3:72">
      <c r="F159" s="2" t="s">
        <v>65</v>
      </c>
      <c r="G159" s="1329">
        <v>287868.26976466214</v>
      </c>
      <c r="H159" s="1329">
        <v>361271.85158846271</v>
      </c>
      <c r="I159" s="1329">
        <v>444384.76752536953</v>
      </c>
      <c r="J159" s="1329">
        <v>553931.11921073741</v>
      </c>
      <c r="K159" s="1329">
        <v>667228.86050254409</v>
      </c>
      <c r="L159" s="1329">
        <v>782117.2863315891</v>
      </c>
      <c r="M159" s="1329">
        <v>782117.2863315891</v>
      </c>
      <c r="AH159" s="2" t="s">
        <v>2757</v>
      </c>
    </row>
    <row r="160" spans="3:72">
      <c r="F160" s="2" t="s">
        <v>68</v>
      </c>
      <c r="G160" s="1329">
        <v>0</v>
      </c>
      <c r="H160" s="1329">
        <v>0</v>
      </c>
      <c r="I160" s="1329">
        <v>70527597.921308637</v>
      </c>
      <c r="J160" s="1329">
        <v>105791391.38167283</v>
      </c>
      <c r="K160" s="1329">
        <v>105791391.38167283</v>
      </c>
      <c r="L160" s="1329">
        <v>84633113.105338261</v>
      </c>
      <c r="M160" s="1329">
        <v>67706490.484270602</v>
      </c>
      <c r="AI160" s="2" t="s">
        <v>2758</v>
      </c>
      <c r="AJ160" s="2" t="s">
        <v>2759</v>
      </c>
      <c r="AK160" s="2" t="s">
        <v>2760</v>
      </c>
      <c r="AL160" s="2" t="s">
        <v>2758</v>
      </c>
      <c r="AM160" s="2" t="s">
        <v>2759</v>
      </c>
      <c r="AN160" s="2" t="s">
        <v>2760</v>
      </c>
      <c r="AU160" s="84"/>
      <c r="AV160" s="542"/>
    </row>
    <row r="161" spans="34:40">
      <c r="AH161" s="2" t="s">
        <v>2754</v>
      </c>
      <c r="AI161" s="2">
        <v>3699</v>
      </c>
      <c r="AJ161" s="2">
        <v>649</v>
      </c>
      <c r="AK161" s="2">
        <v>337</v>
      </c>
      <c r="AL161" s="101">
        <f t="shared" ref="AL161:AN164" si="76">AI161/AI$164</f>
        <v>0.49162679425837319</v>
      </c>
      <c r="AM161" s="101">
        <f t="shared" si="76"/>
        <v>0.24846860643185298</v>
      </c>
      <c r="AN161" s="101">
        <f t="shared" si="76"/>
        <v>0.22909585316111489</v>
      </c>
    </row>
    <row r="162" spans="34:40">
      <c r="AH162" s="2" t="s">
        <v>2755</v>
      </c>
      <c r="AI162" s="2">
        <v>2503</v>
      </c>
      <c r="AJ162" s="2">
        <v>779</v>
      </c>
      <c r="AK162" s="2">
        <v>542</v>
      </c>
      <c r="AL162" s="101">
        <f t="shared" si="76"/>
        <v>0.332668793195109</v>
      </c>
      <c r="AM162" s="101">
        <f t="shared" si="76"/>
        <v>0.29823889739663095</v>
      </c>
      <c r="AN162" s="101">
        <f t="shared" si="76"/>
        <v>0.36845683208701563</v>
      </c>
    </row>
    <row r="163" spans="34:40">
      <c r="AH163" s="2" t="s">
        <v>2756</v>
      </c>
      <c r="AI163" s="2">
        <v>1322</v>
      </c>
      <c r="AJ163" s="2">
        <v>1184</v>
      </c>
      <c r="AK163" s="2">
        <v>592</v>
      </c>
      <c r="AL163" s="101">
        <f t="shared" si="76"/>
        <v>0.17570441254651781</v>
      </c>
      <c r="AM163" s="101">
        <f t="shared" si="76"/>
        <v>0.45329249617151607</v>
      </c>
      <c r="AN163" s="101">
        <f t="shared" si="76"/>
        <v>0.40244731475186946</v>
      </c>
    </row>
    <row r="164" spans="34:40">
      <c r="AH164" s="2" t="s">
        <v>148</v>
      </c>
      <c r="AI164" s="2">
        <f>SUM(AI161:AI163)</f>
        <v>7524</v>
      </c>
      <c r="AJ164" s="2">
        <f t="shared" ref="AJ164:AK164" si="77">SUM(AJ161:AJ163)</f>
        <v>2612</v>
      </c>
      <c r="AK164" s="2">
        <f t="shared" si="77"/>
        <v>1471</v>
      </c>
      <c r="AL164" s="101">
        <f t="shared" si="76"/>
        <v>1</v>
      </c>
      <c r="AM164" s="101">
        <f t="shared" si="76"/>
        <v>1</v>
      </c>
      <c r="AN164" s="101">
        <f t="shared" si="76"/>
        <v>1</v>
      </c>
    </row>
    <row r="165" spans="34:40">
      <c r="AL165" s="1336">
        <f>SUM(AL162:AL163)</f>
        <v>0.50837320574162681</v>
      </c>
      <c r="AM165" s="1336">
        <f>SUM(AM162:AM163)</f>
        <v>0.75153139356814702</v>
      </c>
      <c r="AN165" s="1336">
        <f>SUM(AN162:AN163)</f>
        <v>0.77090414683888508</v>
      </c>
    </row>
    <row r="166" spans="34:40">
      <c r="AM166" s="2" t="s">
        <v>2762</v>
      </c>
      <c r="AN166" s="2" t="s">
        <v>2763</v>
      </c>
    </row>
    <row r="167" spans="34:40">
      <c r="AL167" s="2" t="s">
        <v>2754</v>
      </c>
      <c r="AM167" s="101">
        <f>AK161/AK164</f>
        <v>0.22909585316111489</v>
      </c>
      <c r="AN167" s="101">
        <f ca="1">SUM(AI153:AO153)/SUM($AI$152:$AO$153)</f>
        <v>0.221114637929236</v>
      </c>
    </row>
    <row r="168" spans="34:40">
      <c r="AL168" s="2" t="s">
        <v>2761</v>
      </c>
      <c r="AM168" s="1336">
        <f>1-AM167</f>
        <v>0.77090414683888508</v>
      </c>
      <c r="AN168" s="101">
        <f ca="1">SUM(AI152:AO152)/SUM($AI$152:$AO$153)</f>
        <v>0.77888536207076409</v>
      </c>
    </row>
    <row r="185" spans="35:36">
      <c r="AI185" s="2">
        <v>23270</v>
      </c>
    </row>
    <row r="186" spans="35:36">
      <c r="AI186" s="2">
        <v>776406</v>
      </c>
      <c r="AJ186" s="2">
        <f>AI186/AI185</f>
        <v>33.365105285775677</v>
      </c>
    </row>
  </sheetData>
  <autoFilter ref="B6:BK129" xr:uid="{00000000-0009-0000-0000-000005000000}"/>
  <mergeCells count="6">
    <mergeCell ref="BD5:BK5"/>
    <mergeCell ref="G5:L5"/>
    <mergeCell ref="N3:AG3"/>
    <mergeCell ref="AI3:AN3"/>
    <mergeCell ref="AW3:BB3"/>
    <mergeCell ref="AP3:AU3"/>
  </mergeCells>
  <phoneticPr fontId="78" type="noConversion"/>
  <pageMargins left="0.7" right="0.7" top="0.75" bottom="0.75" header="0.3" footer="0.3"/>
  <pageSetup orientation="portrait" r:id="rId1"/>
  <headerFooter>
    <oddFooter>&amp;L&amp;1#&amp;"Calibri"&amp;14&amp;K000000Business Use</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BY292"/>
  <sheetViews>
    <sheetView topLeftCell="A250" zoomScale="70" zoomScaleNormal="70" workbookViewId="0">
      <selection activeCell="D7" sqref="D7"/>
    </sheetView>
  </sheetViews>
  <sheetFormatPr defaultColWidth="9.1796875" defaultRowHeight="13" outlineLevelCol="1"/>
  <cols>
    <col min="1" max="1" width="2.453125" style="425" customWidth="1"/>
    <col min="2" max="2" width="3.453125" style="2" customWidth="1"/>
    <col min="3" max="3" width="8.453125" style="2" bestFit="1" customWidth="1"/>
    <col min="4" max="4" width="26.81640625" style="2" customWidth="1"/>
    <col min="5" max="5" width="46.1796875" style="2" customWidth="1"/>
    <col min="6" max="6" width="40.54296875" style="2" customWidth="1"/>
    <col min="7" max="7" width="20.26953125" style="2" customWidth="1"/>
    <col min="8" max="8" width="11.81640625" style="3" customWidth="1"/>
    <col min="9" max="9" width="11.26953125" style="3" customWidth="1"/>
    <col min="10" max="10" width="11.453125" style="3" customWidth="1" outlineLevel="1"/>
    <col min="11" max="11" width="12.26953125" style="3" customWidth="1" outlineLevel="1"/>
    <col min="12" max="12" width="14.1796875" style="3" customWidth="1" outlineLevel="1"/>
    <col min="13" max="13" width="11.81640625" style="3" customWidth="1" outlineLevel="1"/>
    <col min="14" max="14" width="13.54296875" style="3" customWidth="1" outlineLevel="1"/>
    <col min="15" max="16" width="15.54296875" style="2" customWidth="1"/>
    <col min="17" max="21" width="15.54296875" style="2" customWidth="1" outlineLevel="1"/>
    <col min="22" max="23" width="15.54296875" style="2" customWidth="1"/>
    <col min="24" max="28" width="15.54296875" style="2" customWidth="1" outlineLevel="1"/>
    <col min="29" max="30" width="15.54296875" style="2" customWidth="1"/>
    <col min="31" max="35" width="15.54296875" style="2" customWidth="1" outlineLevel="1"/>
    <col min="36" max="37" width="15.54296875" style="2" customWidth="1"/>
    <col min="38" max="42" width="15.54296875" style="2" customWidth="1" outlineLevel="1"/>
    <col min="43" max="44" width="15.54296875" style="2" customWidth="1"/>
    <col min="45" max="49" width="15.54296875" style="2" customWidth="1" outlineLevel="1"/>
    <col min="50" max="51" width="15.54296875" style="2" customWidth="1"/>
    <col min="52" max="56" width="15.54296875" style="2" customWidth="1" outlineLevel="1"/>
    <col min="57" max="62" width="15.54296875" style="2" hidden="1" customWidth="1" outlineLevel="1"/>
    <col min="63" max="69" width="15.54296875" style="2" customWidth="1" outlineLevel="1"/>
    <col min="70" max="77" width="15.54296875" style="2" customWidth="1"/>
    <col min="78" max="16384" width="9.1796875" style="2"/>
  </cols>
  <sheetData>
    <row r="1" spans="1:77" s="14" customFormat="1" ht="20.25" customHeight="1">
      <c r="A1" s="425"/>
      <c r="B1" s="2"/>
      <c r="D1" s="13"/>
      <c r="O1" s="417" t="str">
        <f>"UnitMeasureGrossCost"&amp;"2024Q1"</f>
        <v>UnitMeasureGrossCost2024Q1</v>
      </c>
      <c r="P1" s="417" t="str">
        <f>"UnitMeasureGrossCost"&amp;"2025Q1"</f>
        <v>UnitMeasureGrossCost2025Q1</v>
      </c>
      <c r="Q1" s="417" t="str">
        <f>"UnitMeasureGrossCost"&amp;"2026Q1"</f>
        <v>UnitMeasureGrossCost2026Q1</v>
      </c>
      <c r="R1" s="417" t="str">
        <f>"UnitMeasureGrossCost"&amp;"2027Q1"</f>
        <v>UnitMeasureGrossCost2027Q1</v>
      </c>
      <c r="S1" s="417" t="str">
        <f>"UnitMeasureGrossCost"&amp;"2028Q1"</f>
        <v>UnitMeasureGrossCost2028Q1</v>
      </c>
      <c r="T1" s="417" t="str">
        <f>"UnitMeasureGrossCost"&amp;"2029Q1"</f>
        <v>UnitMeasureGrossCost2029Q1</v>
      </c>
      <c r="U1" s="417" t="str">
        <f>"UnitMeasureGrossCost"&amp;"2030Q1"</f>
        <v>UnitMeasureGrossCost2030Q1</v>
      </c>
      <c r="V1" s="417" t="str">
        <f>"Ben_kWh"&amp;"2024Q1"</f>
        <v>Ben_kWh2024Q1</v>
      </c>
      <c r="W1" s="417" t="str">
        <f>"Ben_kWh"&amp;"2025Q1"</f>
        <v>Ben_kWh2025Q1</v>
      </c>
      <c r="X1" s="417" t="str">
        <f>"Ben_kWh"&amp;"2026Q1"</f>
        <v>Ben_kWh2026Q1</v>
      </c>
      <c r="Y1" s="417" t="str">
        <f>"Ben_kWh"&amp;"2027Q1"</f>
        <v>Ben_kWh2027Q1</v>
      </c>
      <c r="Z1" s="417" t="str">
        <f>"Ben_kWh"&amp;"2028Q1"</f>
        <v>Ben_kWh2028Q1</v>
      </c>
      <c r="AA1" s="417" t="str">
        <f>"Ben_kWh"&amp;"2029Q1"</f>
        <v>Ben_kWh2029Q1</v>
      </c>
      <c r="AB1" s="417" t="str">
        <f>"Ben_kWh"&amp;"2030Q1"</f>
        <v>Ben_kWh2030Q1</v>
      </c>
      <c r="AC1" s="417" t="str">
        <f>"EndUserRebate"&amp;"2024Q1"</f>
        <v>EndUserRebate2024Q1</v>
      </c>
      <c r="AD1" s="417" t="str">
        <f>"EndUserRebate"&amp;"2025Q1"</f>
        <v>EndUserRebate2025Q1</v>
      </c>
      <c r="AE1" s="417" t="str">
        <f>"EndUserRebate"&amp;"2026Q1"</f>
        <v>EndUserRebate2026Q1</v>
      </c>
      <c r="AF1" s="417" t="str">
        <f>"EndUserRebate"&amp;"2027Q1"</f>
        <v>EndUserRebate2027Q1</v>
      </c>
      <c r="AG1" s="417" t="str">
        <f>"EndUserRebate"&amp;"2028Q1"</f>
        <v>EndUserRebate2028Q1</v>
      </c>
      <c r="AH1" s="417" t="str">
        <f>"EndUserRebate"&amp;"2029Q1"</f>
        <v>EndUserRebate2029Q1</v>
      </c>
      <c r="AI1" s="417" t="str">
        <f>"EndUserRebate"&amp;"2030Q1"</f>
        <v>EndUserRebate2030Q1</v>
      </c>
      <c r="AJ1" s="417" t="str">
        <f>"UESkWh"&amp;"2024Q1"</f>
        <v>UESkWh2024Q1</v>
      </c>
      <c r="AK1" s="417" t="str">
        <f>"UESkWh"&amp;"2025Q1"</f>
        <v>UESkWh2025Q1</v>
      </c>
      <c r="AL1" s="417" t="str">
        <f>"UESkWh"&amp;"2026Q1"</f>
        <v>UESkWh2026Q1</v>
      </c>
      <c r="AM1" s="417" t="str">
        <f>"UESkWh"&amp;"2027Q1"</f>
        <v>UESkWh2027Q1</v>
      </c>
      <c r="AN1" s="417" t="str">
        <f>"UESkWh"&amp;"2028Q1"</f>
        <v>UESkWh2028Q1</v>
      </c>
      <c r="AO1" s="417" t="str">
        <f>"UESkWh"&amp;"2029Q1"</f>
        <v>UESkWh2029Q1</v>
      </c>
      <c r="AP1" s="417" t="str">
        <f>"UESkWh"&amp;"2030Q1"</f>
        <v>UESkWh2030Q1</v>
      </c>
      <c r="AQ1" s="417" t="str">
        <f>"UESkW"&amp;"2024Q1"</f>
        <v>UESkW2024Q1</v>
      </c>
      <c r="AR1" s="417" t="str">
        <f>"UESkW"&amp;"2025Q1"</f>
        <v>UESkW2025Q1</v>
      </c>
      <c r="AS1" s="417" t="str">
        <f>"UESkW"&amp;"2026Q1"</f>
        <v>UESkW2026Q1</v>
      </c>
      <c r="AT1" s="417" t="str">
        <f>"UESkW"&amp;"2027Q1"</f>
        <v>UESkW2027Q1</v>
      </c>
      <c r="AU1" s="417" t="str">
        <f>"UESkW"&amp;"2028Q1"</f>
        <v>UESkW2028Q1</v>
      </c>
      <c r="AV1" s="417" t="str">
        <f>"UESkW"&amp;"2029Q1"</f>
        <v>UESkW2029Q1</v>
      </c>
      <c r="AW1" s="417" t="str">
        <f>"UESkW"&amp;"2030Q1"</f>
        <v>UESkW2030Q1</v>
      </c>
      <c r="AX1" s="417" t="str">
        <f>"UESThm"&amp;"2024Q1"</f>
        <v>UESThm2024Q1</v>
      </c>
      <c r="AY1" s="417" t="str">
        <f>"UESThm"&amp;"2025Q1"</f>
        <v>UESThm2025Q1</v>
      </c>
      <c r="AZ1" s="417" t="str">
        <f>"UESThm"&amp;"2026Q1"</f>
        <v>UESThm2026Q1</v>
      </c>
      <c r="BA1" s="417" t="str">
        <f>"UESThm"&amp;"2027Q1"</f>
        <v>UESThm2027Q1</v>
      </c>
      <c r="BB1" s="417" t="str">
        <f>"UESThm"&amp;"2028Q1"</f>
        <v>UESThm2028Q1</v>
      </c>
      <c r="BC1" s="417" t="str">
        <f>"UESThm"&amp;"2029Q1"</f>
        <v>UESThm2029Q1</v>
      </c>
      <c r="BD1" s="417" t="str">
        <f>"UESThm"&amp;"2030Q1"</f>
        <v>UESThm2030Q1</v>
      </c>
      <c r="BE1" s="418" t="s">
        <v>149</v>
      </c>
      <c r="BF1" s="418" t="s">
        <v>150</v>
      </c>
      <c r="BG1" s="418" t="s">
        <v>151</v>
      </c>
      <c r="BH1" s="418" t="s">
        <v>152</v>
      </c>
      <c r="BI1" s="418" t="s">
        <v>153</v>
      </c>
      <c r="BJ1" s="418" t="s">
        <v>154</v>
      </c>
      <c r="BK1" s="418" t="s">
        <v>155</v>
      </c>
      <c r="BL1" s="418" t="s">
        <v>155</v>
      </c>
      <c r="BM1" s="418" t="s">
        <v>155</v>
      </c>
      <c r="BN1" s="418" t="s">
        <v>155</v>
      </c>
      <c r="BO1" s="418" t="s">
        <v>155</v>
      </c>
      <c r="BP1" s="418" t="s">
        <v>155</v>
      </c>
      <c r="BQ1" s="418" t="s">
        <v>155</v>
      </c>
      <c r="BR1" s="418"/>
      <c r="BS1" s="418" t="s">
        <v>154</v>
      </c>
    </row>
    <row r="2" spans="1:77" s="8" customFormat="1" ht="22.75" customHeight="1">
      <c r="D2" s="8" t="s">
        <v>0</v>
      </c>
      <c r="E2" s="8" t="s">
        <v>75</v>
      </c>
      <c r="G2" s="8" t="s">
        <v>76</v>
      </c>
      <c r="H2" s="203" t="s">
        <v>156</v>
      </c>
      <c r="I2" s="203" t="s">
        <v>157</v>
      </c>
      <c r="J2" s="203" t="s">
        <v>158</v>
      </c>
      <c r="K2" s="203" t="s">
        <v>159</v>
      </c>
      <c r="L2" s="203" t="s">
        <v>160</v>
      </c>
      <c r="M2" s="203" t="s">
        <v>161</v>
      </c>
      <c r="N2" s="203" t="s">
        <v>162</v>
      </c>
      <c r="O2" s="8" t="s">
        <v>84</v>
      </c>
      <c r="P2" s="8" t="s">
        <v>85</v>
      </c>
      <c r="Q2" s="8" t="s">
        <v>86</v>
      </c>
      <c r="R2" s="8" t="s">
        <v>87</v>
      </c>
      <c r="S2" s="8" t="s">
        <v>88</v>
      </c>
      <c r="T2" s="8" t="s">
        <v>89</v>
      </c>
      <c r="U2" s="8" t="s">
        <v>90</v>
      </c>
      <c r="V2" s="8" t="s">
        <v>91</v>
      </c>
      <c r="W2" s="8" t="s">
        <v>92</v>
      </c>
      <c r="X2" s="8" t="s">
        <v>93</v>
      </c>
      <c r="Y2" s="8" t="s">
        <v>94</v>
      </c>
      <c r="Z2" s="8" t="s">
        <v>95</v>
      </c>
      <c r="AA2" s="8" t="s">
        <v>96</v>
      </c>
      <c r="AB2" s="8" t="s">
        <v>97</v>
      </c>
      <c r="AC2" s="8" t="s">
        <v>98</v>
      </c>
      <c r="AD2" s="8" t="s">
        <v>99</v>
      </c>
      <c r="AE2" s="8" t="s">
        <v>100</v>
      </c>
      <c r="AF2" s="8" t="s">
        <v>101</v>
      </c>
      <c r="AG2" s="8" t="s">
        <v>102</v>
      </c>
      <c r="AH2" s="8" t="s">
        <v>103</v>
      </c>
      <c r="AI2" s="8" t="s">
        <v>104</v>
      </c>
      <c r="AJ2" s="8" t="s">
        <v>105</v>
      </c>
      <c r="AK2" s="8" t="s">
        <v>106</v>
      </c>
      <c r="AL2" s="8" t="s">
        <v>107</v>
      </c>
      <c r="AM2" s="8" t="s">
        <v>108</v>
      </c>
      <c r="AN2" s="8" t="s">
        <v>109</v>
      </c>
      <c r="AO2" s="8" t="s">
        <v>110</v>
      </c>
      <c r="AP2" s="8" t="s">
        <v>111</v>
      </c>
      <c r="AQ2" s="8" t="s">
        <v>112</v>
      </c>
      <c r="AR2" s="8" t="s">
        <v>113</v>
      </c>
      <c r="AS2" s="8" t="s">
        <v>114</v>
      </c>
      <c r="AT2" s="8" t="s">
        <v>115</v>
      </c>
      <c r="AU2" s="8" t="s">
        <v>116</v>
      </c>
      <c r="AV2" s="8" t="s">
        <v>117</v>
      </c>
      <c r="AW2" s="8" t="s">
        <v>118</v>
      </c>
      <c r="AX2" s="8" t="s">
        <v>119</v>
      </c>
      <c r="AY2" s="8" t="s">
        <v>120</v>
      </c>
      <c r="AZ2" s="8" t="s">
        <v>121</v>
      </c>
      <c r="BA2" s="8" t="s">
        <v>122</v>
      </c>
      <c r="BB2" s="8" t="s">
        <v>123</v>
      </c>
      <c r="BC2" s="8" t="s">
        <v>124</v>
      </c>
      <c r="BD2" s="8" t="s">
        <v>125</v>
      </c>
    </row>
    <row r="3" spans="1:77" s="5" customFormat="1" ht="16" thickBot="1">
      <c r="A3" s="426" t="s">
        <v>163</v>
      </c>
      <c r="B3" s="13" t="s">
        <v>164</v>
      </c>
      <c r="C3" s="1"/>
      <c r="D3" s="1"/>
      <c r="E3" s="4"/>
      <c r="F3" s="4"/>
      <c r="G3" s="4"/>
      <c r="H3" s="6"/>
      <c r="I3" s="6"/>
      <c r="J3" s="6"/>
      <c r="K3" s="6"/>
      <c r="L3" s="6"/>
      <c r="M3" s="6"/>
      <c r="N3" s="6"/>
      <c r="O3" s="1348"/>
      <c r="P3" s="1348"/>
      <c r="Q3" s="1348"/>
      <c r="R3" s="1348"/>
      <c r="S3" s="1348"/>
      <c r="T3" s="1348"/>
      <c r="U3" s="1348"/>
      <c r="V3" s="1348"/>
      <c r="W3" s="1348"/>
      <c r="X3" s="1348"/>
      <c r="Y3" s="1348"/>
      <c r="Z3" s="1348"/>
      <c r="AA3" s="1348"/>
      <c r="AB3" s="1348"/>
      <c r="AC3" s="1348"/>
      <c r="AD3" s="1348"/>
      <c r="AE3" s="1348"/>
      <c r="AF3" s="1348"/>
      <c r="AG3" s="1348"/>
      <c r="AH3" s="1349"/>
      <c r="AI3" s="441"/>
      <c r="AJ3" s="1350"/>
      <c r="AK3" s="1350"/>
      <c r="AL3" s="1350"/>
      <c r="AM3" s="1350"/>
      <c r="AN3" s="1350"/>
      <c r="AO3" s="1351"/>
      <c r="AP3" s="654"/>
      <c r="AQ3" s="1350"/>
      <c r="AR3" s="1350"/>
      <c r="AS3" s="1350"/>
      <c r="AT3" s="1350"/>
      <c r="AU3" s="1350"/>
      <c r="AV3" s="1351"/>
      <c r="AW3" s="655"/>
      <c r="AX3" s="1352"/>
      <c r="AY3" s="1352"/>
      <c r="AZ3" s="1352"/>
      <c r="BA3" s="1352"/>
      <c r="BB3" s="1352"/>
      <c r="BC3" s="1352"/>
      <c r="BD3" s="279"/>
      <c r="BE3" s="8"/>
      <c r="BF3" s="8"/>
      <c r="BG3" s="8"/>
      <c r="BH3" s="8"/>
      <c r="BI3" s="8"/>
      <c r="BJ3" s="8"/>
    </row>
    <row r="4" spans="1:77" s="14" customFormat="1">
      <c r="B4" s="1296"/>
      <c r="E4" s="565"/>
      <c r="F4" s="565"/>
      <c r="H4" s="3"/>
      <c r="I4" s="3"/>
      <c r="J4" s="3"/>
      <c r="K4" s="3"/>
      <c r="L4" s="3"/>
      <c r="M4" s="3"/>
      <c r="N4" s="3"/>
      <c r="O4" s="669" t="s">
        <v>0</v>
      </c>
      <c r="P4" s="669" t="s">
        <v>0</v>
      </c>
      <c r="Q4" s="669" t="s">
        <v>0</v>
      </c>
      <c r="R4" s="669" t="s">
        <v>0</v>
      </c>
      <c r="S4" s="669" t="s">
        <v>0</v>
      </c>
      <c r="T4" s="669" t="s">
        <v>0</v>
      </c>
      <c r="U4" s="669" t="s">
        <v>0</v>
      </c>
      <c r="V4" s="669" t="s">
        <v>0</v>
      </c>
      <c r="W4" s="669" t="s">
        <v>0</v>
      </c>
      <c r="X4" s="669" t="s">
        <v>0</v>
      </c>
      <c r="Y4" s="669" t="s">
        <v>0</v>
      </c>
      <c r="Z4" s="669" t="s">
        <v>0</v>
      </c>
      <c r="AA4" s="669" t="s">
        <v>0</v>
      </c>
      <c r="AB4" s="669" t="s">
        <v>0</v>
      </c>
      <c r="AC4" s="669" t="s">
        <v>0</v>
      </c>
      <c r="AD4" s="669" t="s">
        <v>0</v>
      </c>
      <c r="AE4" s="669" t="s">
        <v>0</v>
      </c>
      <c r="AF4" s="669" t="s">
        <v>0</v>
      </c>
      <c r="AG4" s="669" t="s">
        <v>0</v>
      </c>
      <c r="AH4" s="669" t="s">
        <v>0</v>
      </c>
      <c r="AI4" s="669" t="s">
        <v>0</v>
      </c>
      <c r="AJ4" s="670" t="s">
        <v>0</v>
      </c>
      <c r="AK4" s="670" t="s">
        <v>0</v>
      </c>
      <c r="AL4" s="670" t="s">
        <v>0</v>
      </c>
      <c r="AM4" s="670" t="s">
        <v>0</v>
      </c>
      <c r="AN4" s="670" t="s">
        <v>0</v>
      </c>
      <c r="AO4" s="670" t="s">
        <v>0</v>
      </c>
      <c r="AP4" s="670" t="s">
        <v>0</v>
      </c>
      <c r="AQ4" s="670" t="s">
        <v>0</v>
      </c>
      <c r="AR4" s="670" t="s">
        <v>0</v>
      </c>
      <c r="AS4" s="670" t="s">
        <v>0</v>
      </c>
      <c r="AT4" s="670" t="s">
        <v>0</v>
      </c>
      <c r="AU4" s="670" t="s">
        <v>0</v>
      </c>
      <c r="AV4" s="670" t="s">
        <v>0</v>
      </c>
      <c r="AW4" s="670" t="s">
        <v>0</v>
      </c>
      <c r="AX4" s="670" t="s">
        <v>0</v>
      </c>
      <c r="AY4" s="670" t="s">
        <v>0</v>
      </c>
      <c r="AZ4" s="670" t="s">
        <v>0</v>
      </c>
      <c r="BA4" s="670" t="s">
        <v>0</v>
      </c>
      <c r="BB4" s="670" t="s">
        <v>0</v>
      </c>
      <c r="BC4" s="670" t="s">
        <v>0</v>
      </c>
      <c r="BD4" s="670" t="s">
        <v>0</v>
      </c>
      <c r="BE4" s="565"/>
      <c r="BF4" s="565"/>
      <c r="BG4" s="565"/>
      <c r="BH4" s="565"/>
      <c r="BI4" s="565"/>
      <c r="BJ4" s="565"/>
      <c r="BK4" s="566" t="s">
        <v>0</v>
      </c>
      <c r="BL4" s="566" t="s">
        <v>0</v>
      </c>
      <c r="BM4" s="566" t="s">
        <v>0</v>
      </c>
      <c r="BN4" s="566" t="s">
        <v>0</v>
      </c>
      <c r="BO4" s="566" t="s">
        <v>0</v>
      </c>
      <c r="BP4" s="566" t="s">
        <v>0</v>
      </c>
      <c r="BQ4" s="567" t="s">
        <v>0</v>
      </c>
    </row>
    <row r="5" spans="1:77" ht="26">
      <c r="B5" s="1296"/>
      <c r="C5" s="656" t="s">
        <v>127</v>
      </c>
      <c r="D5" s="656"/>
      <c r="E5" s="656"/>
      <c r="F5" s="656"/>
      <c r="G5" s="656"/>
      <c r="H5" s="1353"/>
      <c r="I5" s="1346"/>
      <c r="J5" s="1346"/>
      <c r="K5" s="1346"/>
      <c r="L5" s="1346"/>
      <c r="M5" s="1346"/>
      <c r="N5" s="1347"/>
      <c r="O5" s="476" t="s">
        <v>128</v>
      </c>
      <c r="P5" s="476" t="s">
        <v>128</v>
      </c>
      <c r="Q5" s="476" t="s">
        <v>128</v>
      </c>
      <c r="R5" s="476" t="s">
        <v>128</v>
      </c>
      <c r="S5" s="476" t="s">
        <v>128</v>
      </c>
      <c r="T5" s="476" t="s">
        <v>128</v>
      </c>
      <c r="U5" s="476" t="s">
        <v>128</v>
      </c>
      <c r="V5" s="476" t="s">
        <v>129</v>
      </c>
      <c r="W5" s="476" t="s">
        <v>129</v>
      </c>
      <c r="X5" s="476" t="s">
        <v>129</v>
      </c>
      <c r="Y5" s="476" t="s">
        <v>129</v>
      </c>
      <c r="Z5" s="476" t="s">
        <v>129</v>
      </c>
      <c r="AA5" s="476" t="s">
        <v>129</v>
      </c>
      <c r="AB5" s="476" t="s">
        <v>129</v>
      </c>
      <c r="AC5" s="476" t="s">
        <v>130</v>
      </c>
      <c r="AD5" s="476" t="s">
        <v>130</v>
      </c>
      <c r="AE5" s="476" t="s">
        <v>130</v>
      </c>
      <c r="AF5" s="476" t="s">
        <v>130</v>
      </c>
      <c r="AG5" s="476" t="s">
        <v>130</v>
      </c>
      <c r="AH5" s="476" t="s">
        <v>130</v>
      </c>
      <c r="AI5" s="476" t="s">
        <v>130</v>
      </c>
      <c r="AJ5" s="477" t="s">
        <v>131</v>
      </c>
      <c r="AK5" s="477" t="s">
        <v>131</v>
      </c>
      <c r="AL5" s="477" t="s">
        <v>131</v>
      </c>
      <c r="AM5" s="477" t="s">
        <v>131</v>
      </c>
      <c r="AN5" s="477" t="s">
        <v>131</v>
      </c>
      <c r="AO5" s="477" t="s">
        <v>131</v>
      </c>
      <c r="AP5" s="477" t="s">
        <v>131</v>
      </c>
      <c r="AQ5" s="477" t="s">
        <v>132</v>
      </c>
      <c r="AR5" s="477" t="s">
        <v>132</v>
      </c>
      <c r="AS5" s="477" t="s">
        <v>132</v>
      </c>
      <c r="AT5" s="477" t="s">
        <v>132</v>
      </c>
      <c r="AU5" s="477" t="s">
        <v>132</v>
      </c>
      <c r="AV5" s="477" t="s">
        <v>132</v>
      </c>
      <c r="AW5" s="477" t="s">
        <v>132</v>
      </c>
      <c r="AX5" s="477" t="s">
        <v>133</v>
      </c>
      <c r="AY5" s="477" t="s">
        <v>133</v>
      </c>
      <c r="AZ5" s="477" t="s">
        <v>133</v>
      </c>
      <c r="BA5" s="477" t="s">
        <v>133</v>
      </c>
      <c r="BB5" s="477" t="s">
        <v>133</v>
      </c>
      <c r="BC5" s="477" t="s">
        <v>133</v>
      </c>
      <c r="BD5" s="477" t="s">
        <v>133</v>
      </c>
      <c r="BE5" s="316"/>
      <c r="BF5" s="316"/>
      <c r="BG5" s="316"/>
      <c r="BH5" s="316"/>
      <c r="BI5" s="316"/>
      <c r="BJ5" s="316"/>
      <c r="BK5" s="476" t="s">
        <v>165</v>
      </c>
      <c r="BL5" s="476" t="s">
        <v>165</v>
      </c>
      <c r="BM5" s="476" t="s">
        <v>165</v>
      </c>
      <c r="BN5" s="476" t="s">
        <v>165</v>
      </c>
      <c r="BO5" s="476" t="s">
        <v>165</v>
      </c>
      <c r="BP5" s="476" t="s">
        <v>165</v>
      </c>
      <c r="BQ5" s="502" t="s">
        <v>165</v>
      </c>
      <c r="BR5" s="1343" t="s">
        <v>134</v>
      </c>
      <c r="BS5" s="1344"/>
      <c r="BT5" s="1344"/>
      <c r="BU5" s="1344"/>
      <c r="BV5" s="1344"/>
      <c r="BW5" s="1344"/>
      <c r="BX5" s="1344"/>
      <c r="BY5" s="1345"/>
    </row>
    <row r="6" spans="1:77" ht="42" customHeight="1">
      <c r="B6" s="1296"/>
      <c r="C6" s="443" t="s">
        <v>135</v>
      </c>
      <c r="D6" s="443" t="s">
        <v>8</v>
      </c>
      <c r="E6" s="443" t="s">
        <v>136</v>
      </c>
      <c r="F6" s="443" t="s">
        <v>137</v>
      </c>
      <c r="G6" s="443" t="s">
        <v>138</v>
      </c>
      <c r="H6" s="658" t="s">
        <v>15</v>
      </c>
      <c r="I6" s="658" t="s">
        <v>16</v>
      </c>
      <c r="J6" s="658" t="s">
        <v>17</v>
      </c>
      <c r="K6" s="658" t="s">
        <v>18</v>
      </c>
      <c r="L6" s="658" t="s">
        <v>19</v>
      </c>
      <c r="M6" s="658" t="s">
        <v>20</v>
      </c>
      <c r="N6" s="658" t="s">
        <v>21</v>
      </c>
      <c r="O6" s="479">
        <v>2024</v>
      </c>
      <c r="P6" s="479">
        <v>2025</v>
      </c>
      <c r="Q6" s="479">
        <v>2026</v>
      </c>
      <c r="R6" s="479">
        <v>2027</v>
      </c>
      <c r="S6" s="479">
        <v>2028</v>
      </c>
      <c r="T6" s="479">
        <v>2029</v>
      </c>
      <c r="U6" s="479">
        <v>2030</v>
      </c>
      <c r="V6" s="479">
        <v>2024</v>
      </c>
      <c r="W6" s="479">
        <v>2025</v>
      </c>
      <c r="X6" s="479">
        <v>2026</v>
      </c>
      <c r="Y6" s="479">
        <v>2027</v>
      </c>
      <c r="Z6" s="479">
        <v>2028</v>
      </c>
      <c r="AA6" s="479">
        <v>2029</v>
      </c>
      <c r="AB6" s="479">
        <v>2030</v>
      </c>
      <c r="AC6" s="479">
        <v>2024</v>
      </c>
      <c r="AD6" s="479">
        <v>2025</v>
      </c>
      <c r="AE6" s="479">
        <v>2026</v>
      </c>
      <c r="AF6" s="479">
        <v>2027</v>
      </c>
      <c r="AG6" s="479">
        <v>2028</v>
      </c>
      <c r="AH6" s="479">
        <v>2029</v>
      </c>
      <c r="AI6" s="479">
        <v>2030</v>
      </c>
      <c r="AJ6" s="480">
        <v>2024</v>
      </c>
      <c r="AK6" s="480">
        <v>2025</v>
      </c>
      <c r="AL6" s="480">
        <v>2026</v>
      </c>
      <c r="AM6" s="480">
        <v>2027</v>
      </c>
      <c r="AN6" s="480">
        <v>2028</v>
      </c>
      <c r="AO6" s="480">
        <v>2029</v>
      </c>
      <c r="AP6" s="480">
        <v>2030</v>
      </c>
      <c r="AQ6" s="480">
        <v>2024</v>
      </c>
      <c r="AR6" s="480">
        <v>2025</v>
      </c>
      <c r="AS6" s="480">
        <v>2026</v>
      </c>
      <c r="AT6" s="480">
        <v>2027</v>
      </c>
      <c r="AU6" s="480">
        <v>2028</v>
      </c>
      <c r="AV6" s="480">
        <v>2029</v>
      </c>
      <c r="AW6" s="480">
        <v>2030</v>
      </c>
      <c r="AX6" s="480">
        <v>2024</v>
      </c>
      <c r="AY6" s="480">
        <v>2025</v>
      </c>
      <c r="AZ6" s="480">
        <v>2026</v>
      </c>
      <c r="BA6" s="480">
        <v>2027</v>
      </c>
      <c r="BB6" s="480">
        <v>2028</v>
      </c>
      <c r="BC6" s="480">
        <v>2029</v>
      </c>
      <c r="BD6" s="480">
        <v>2030</v>
      </c>
      <c r="BE6" s="8" t="s">
        <v>166</v>
      </c>
      <c r="BF6" s="8" t="s">
        <v>167</v>
      </c>
      <c r="BG6" s="8" t="s">
        <v>168</v>
      </c>
      <c r="BH6" s="8" t="s">
        <v>169</v>
      </c>
      <c r="BI6" s="8" t="s">
        <v>169</v>
      </c>
      <c r="BJ6" s="8" t="s">
        <v>170</v>
      </c>
      <c r="BK6" s="486">
        <v>2024</v>
      </c>
      <c r="BL6" s="486">
        <v>2025</v>
      </c>
      <c r="BM6" s="486">
        <v>2026</v>
      </c>
      <c r="BN6" s="486">
        <v>2027</v>
      </c>
      <c r="BO6" s="486">
        <v>2028</v>
      </c>
      <c r="BP6" s="486">
        <v>2029</v>
      </c>
      <c r="BQ6" s="479">
        <v>2030</v>
      </c>
      <c r="BR6" s="659" t="s">
        <v>9</v>
      </c>
      <c r="BS6" s="659" t="s">
        <v>139</v>
      </c>
      <c r="BT6" s="659" t="s">
        <v>140</v>
      </c>
      <c r="BU6" s="659" t="s">
        <v>141</v>
      </c>
      <c r="BV6" s="659" t="s">
        <v>142</v>
      </c>
      <c r="BW6" s="659" t="s">
        <v>12</v>
      </c>
      <c r="BX6" s="659" t="s">
        <v>13</v>
      </c>
      <c r="BY6" s="659" t="s">
        <v>14</v>
      </c>
    </row>
    <row r="7" spans="1:77">
      <c r="A7" s="425" t="str">
        <f t="shared" ref="A7:A70" ca="1" si="0">D7&amp;E7</f>
        <v>PDAKU-Program Development &amp; Administration (PDA)</v>
      </c>
      <c r="B7" s="1297" t="str">
        <f t="shared" ref="B7:B128" si="1">IF(ISNUMBER(SEARCH("KU",C7)),"KU"&amp;D7,"LG&amp;E"&amp;D7)</f>
        <v>KUPDA</v>
      </c>
      <c r="C7" s="661" t="s">
        <v>171</v>
      </c>
      <c r="D7" s="662" t="s">
        <v>69</v>
      </c>
      <c r="E7" s="652" t="str">
        <f ca="1">VLOOKUP($C7,INDIRECT("'"&amp;$D7&amp;"'!A6:FC1000"),IF(E$6="Participation 2023",MATCH("__Participation 2023",INDIRECT("'"&amp;$D7&amp;"'!1:1"),0),IF(E$6="Participation",MATCH("_Total Plan Summary _Participation",INDIRECT("'"&amp;$D7&amp;"'!1:1"),0),MATCH(E$4&amp;"_"&amp;E$5&amp;"_"&amp;E$6,INDIRECT("'"&amp;$D7&amp;"'!1:1"),0))),0)</f>
        <v>KU-Program Development &amp; Administration (PDA)</v>
      </c>
      <c r="F7" s="652" t="str">
        <f t="shared" ref="E7:G15" ca="1" si="2">VLOOKUP($C7,INDIRECT("'"&amp;$D7&amp;"'!A6:FC1000"),IF(F$6="Participation 2023",MATCH("__Participation 2023",INDIRECT("'"&amp;$D7&amp;"'!1:1"),0),IF(F$6="Participation",MATCH("_Total Plan Summary _Participation",INDIRECT("'"&amp;$D7&amp;"'!1:1"),0),MATCH(F$4&amp;"_"&amp;F$5&amp;"_"&amp;F$6,INDIRECT("'"&amp;$D7&amp;"'!1:1"),0))),0)</f>
        <v>PDA</v>
      </c>
      <c r="G7" s="652" t="str">
        <f t="shared" ca="1" si="2"/>
        <v>Per Program</v>
      </c>
      <c r="H7" s="652">
        <f t="shared" ref="H7:BY13" ca="1" si="3">VLOOKUP($C7,INDIRECT("'"&amp;$D7&amp;"'!A6:FR1000"),IF(H$6="Participation 2023",MATCH("__Participation 2023",INDIRECT("'"&amp;$D7&amp;"'!1:1"),0),IF(H$6="Participation",MATCH("_Total Plan Summary _Participation",INDIRECT("'"&amp;$D7&amp;"'!1:1"),0),MATCH(H$4&amp;"_"&amp;H$5&amp;"_"&amp;H$6,INDIRECT("'"&amp;$D7&amp;"'!1:1"),0))),0)</f>
        <v>0.5</v>
      </c>
      <c r="I7" s="652">
        <f t="shared" ca="1" si="3"/>
        <v>0.5</v>
      </c>
      <c r="J7" s="652">
        <f t="shared" ca="1" si="3"/>
        <v>0.5</v>
      </c>
      <c r="K7" s="652">
        <f t="shared" ca="1" si="3"/>
        <v>0.5</v>
      </c>
      <c r="L7" s="652">
        <f t="shared" ca="1" si="3"/>
        <v>0.5</v>
      </c>
      <c r="M7" s="652">
        <f t="shared" ca="1" si="3"/>
        <v>0.5</v>
      </c>
      <c r="N7" s="652">
        <f t="shared" ca="1" si="3"/>
        <v>0.5</v>
      </c>
      <c r="O7" s="652">
        <f t="shared" ca="1" si="3"/>
        <v>0</v>
      </c>
      <c r="P7" s="652">
        <f t="shared" ca="1" si="3"/>
        <v>0</v>
      </c>
      <c r="Q7" s="652">
        <f t="shared" ca="1" si="3"/>
        <v>0</v>
      </c>
      <c r="R7" s="652">
        <f t="shared" ca="1" si="3"/>
        <v>0</v>
      </c>
      <c r="S7" s="652">
        <f t="shared" ca="1" si="3"/>
        <v>0</v>
      </c>
      <c r="T7" s="652">
        <f t="shared" ca="1" si="3"/>
        <v>0</v>
      </c>
      <c r="U7" s="652">
        <f t="shared" ca="1" si="3"/>
        <v>0</v>
      </c>
      <c r="V7" s="652">
        <f t="shared" ca="1" si="3"/>
        <v>0</v>
      </c>
      <c r="W7" s="652">
        <f t="shared" ca="1" si="3"/>
        <v>0</v>
      </c>
      <c r="X7" s="652">
        <f t="shared" ca="1" si="3"/>
        <v>0</v>
      </c>
      <c r="Y7" s="652">
        <f t="shared" ca="1" si="3"/>
        <v>0</v>
      </c>
      <c r="Z7" s="652">
        <f t="shared" ca="1" si="3"/>
        <v>0</v>
      </c>
      <c r="AA7" s="652">
        <f t="shared" ca="1" si="3"/>
        <v>0</v>
      </c>
      <c r="AB7" s="652">
        <f t="shared" ca="1" si="3"/>
        <v>0</v>
      </c>
      <c r="AC7" s="652">
        <f t="shared" ca="1" si="3"/>
        <v>0</v>
      </c>
      <c r="AD7" s="652">
        <f t="shared" ca="1" si="3"/>
        <v>0</v>
      </c>
      <c r="AE7" s="652">
        <f t="shared" ca="1" si="3"/>
        <v>0</v>
      </c>
      <c r="AF7" s="652">
        <f t="shared" ca="1" si="3"/>
        <v>0</v>
      </c>
      <c r="AG7" s="652">
        <f t="shared" ca="1" si="3"/>
        <v>0</v>
      </c>
      <c r="AH7" s="652">
        <f t="shared" ca="1" si="3"/>
        <v>0</v>
      </c>
      <c r="AI7" s="652">
        <f t="shared" ca="1" si="3"/>
        <v>0</v>
      </c>
      <c r="AJ7" s="652">
        <f t="shared" ca="1" si="3"/>
        <v>0</v>
      </c>
      <c r="AK7" s="652">
        <f t="shared" ca="1" si="3"/>
        <v>0</v>
      </c>
      <c r="AL7" s="652">
        <f t="shared" ca="1" si="3"/>
        <v>0</v>
      </c>
      <c r="AM7" s="652">
        <f t="shared" ca="1" si="3"/>
        <v>0</v>
      </c>
      <c r="AN7" s="652">
        <f t="shared" ca="1" si="3"/>
        <v>0</v>
      </c>
      <c r="AO7" s="652">
        <f t="shared" ca="1" si="3"/>
        <v>0</v>
      </c>
      <c r="AP7" s="652">
        <f t="shared" ca="1" si="3"/>
        <v>0</v>
      </c>
      <c r="AQ7" s="652">
        <f t="shared" ca="1" si="3"/>
        <v>0</v>
      </c>
      <c r="AR7" s="652">
        <f t="shared" ca="1" si="3"/>
        <v>0</v>
      </c>
      <c r="AS7" s="652">
        <f t="shared" ca="1" si="3"/>
        <v>0</v>
      </c>
      <c r="AT7" s="652">
        <f t="shared" ca="1" si="3"/>
        <v>0</v>
      </c>
      <c r="AU7" s="652">
        <f t="shared" ca="1" si="3"/>
        <v>0</v>
      </c>
      <c r="AV7" s="652">
        <f t="shared" ca="1" si="3"/>
        <v>0</v>
      </c>
      <c r="AW7" s="652">
        <f t="shared" ca="1" si="3"/>
        <v>0</v>
      </c>
      <c r="AX7" s="652">
        <f t="shared" ca="1" si="3"/>
        <v>0</v>
      </c>
      <c r="AY7" s="652">
        <f t="shared" ca="1" si="3"/>
        <v>0</v>
      </c>
      <c r="AZ7" s="652">
        <f t="shared" ca="1" si="3"/>
        <v>0</v>
      </c>
      <c r="BA7" s="652">
        <f t="shared" ca="1" si="3"/>
        <v>0</v>
      </c>
      <c r="BB7" s="652">
        <f t="shared" ca="1" si="3"/>
        <v>0</v>
      </c>
      <c r="BC7" s="652">
        <f t="shared" ca="1" si="3"/>
        <v>0</v>
      </c>
      <c r="BD7" s="652">
        <f t="shared" ca="1" si="3"/>
        <v>0</v>
      </c>
      <c r="BE7" s="652" t="str">
        <f t="shared" ref="BE7:BK22" ca="1" si="4">VLOOKUP($C7,INDIRECT("'"&amp;$D7&amp;"'!A6:FR1000"),IF(BE$6="Participation 2023",MATCH("__Participation 2023",INDIRECT("'"&amp;$D7&amp;"'!1:1"),0),IF(BE$6="Participation",MATCH("_Total Plan Summary _Participation",INDIRECT("'"&amp;$D7&amp;"'!1:1"),0),MATCH(BE$4&amp;"_"&amp;BE$5&amp;"_"&amp;BE$6,INDIRECT("'"&amp;$D7&amp;"'!1:1"),0))),0)</f>
        <v>Residential</v>
      </c>
      <c r="BF7" s="652" t="str">
        <f t="shared" ca="1" si="4"/>
        <v>ResEleTotal - SF Wtd</v>
      </c>
      <c r="BG7" s="652" t="str">
        <f t="shared" ca="1" si="4"/>
        <v>ResSFGasTotal</v>
      </c>
      <c r="BH7" s="652" t="str">
        <f t="shared" ca="1" si="4"/>
        <v>KU Res</v>
      </c>
      <c r="BI7" s="652" t="str">
        <f t="shared" ca="1" si="4"/>
        <v>KU Res</v>
      </c>
      <c r="BJ7" s="652">
        <f t="shared" ca="1" si="4"/>
        <v>1</v>
      </c>
      <c r="BK7" s="652">
        <f ca="1">VLOOKUP($C7,INDIRECT("'"&amp;$D7&amp;"'!A6:FR1000"),IF(BK$6="Participation 2023",MATCH("__Participation 2023",INDIRECT("'"&amp;$D7&amp;"'!1:1"),0),IF(BK$6="Participation",MATCH("_Total Plan Summary _Participation",INDIRECT("'"&amp;$D7&amp;"'!1:1"),0),MATCH(BK$4&amp;"_"&amp;BK$5&amp;"_"&amp;BK$6,INDIRECT("'"&amp;$D7&amp;"'!1:1"),0))),0)</f>
        <v>0</v>
      </c>
      <c r="BL7" s="652">
        <f t="shared" ref="BL7:BQ22" ca="1" si="5">VLOOKUP($C7,INDIRECT("'"&amp;$D7&amp;"'!A6:FR1000"),IF(BL$6="Participation 2023",MATCH("__Participation 2023",INDIRECT("'"&amp;$D7&amp;"'!1:1"),0),IF(BL$6="Participation",MATCH("_Total Plan Summary _Participation",INDIRECT("'"&amp;$D7&amp;"'!1:1"),0),MATCH(BL$4&amp;"_"&amp;BL$5&amp;"_"&amp;BL$6,INDIRECT("'"&amp;$D7&amp;"'!1:1"),0))),0)</f>
        <v>0</v>
      </c>
      <c r="BM7" s="652">
        <f t="shared" ca="1" si="5"/>
        <v>0</v>
      </c>
      <c r="BN7" s="652">
        <f t="shared" ca="1" si="5"/>
        <v>0</v>
      </c>
      <c r="BO7" s="652">
        <f t="shared" ca="1" si="5"/>
        <v>0</v>
      </c>
      <c r="BP7" s="652">
        <f t="shared" ca="1" si="5"/>
        <v>0</v>
      </c>
      <c r="BQ7" s="652">
        <f t="shared" ca="1" si="5"/>
        <v>0</v>
      </c>
      <c r="BR7" s="652">
        <f ca="1">SUM(H7:N7)</f>
        <v>3.5</v>
      </c>
      <c r="BS7" s="652">
        <f t="shared" ca="1" si="3"/>
        <v>0</v>
      </c>
      <c r="BT7" s="652">
        <f t="shared" ca="1" si="3"/>
        <v>0</v>
      </c>
      <c r="BU7" s="652">
        <f t="shared" ca="1" si="3"/>
        <v>0</v>
      </c>
      <c r="BV7" s="652">
        <f t="shared" ca="1" si="3"/>
        <v>0</v>
      </c>
      <c r="BW7" s="652">
        <f t="shared" ca="1" si="3"/>
        <v>0</v>
      </c>
      <c r="BX7" s="652">
        <f t="shared" ca="1" si="3"/>
        <v>0</v>
      </c>
      <c r="BY7" s="652">
        <f t="shared" ca="1" si="3"/>
        <v>0</v>
      </c>
    </row>
    <row r="8" spans="1:77" s="123" customFormat="1">
      <c r="A8" s="531" t="str">
        <f t="shared" ca="1" si="0"/>
        <v>PDALG&amp;E-Program Development &amp; Administration (PDA)</v>
      </c>
      <c r="B8" s="1298" t="str">
        <f>IF(ISNUMBER(SEARCH("KU",C8)),"KU"&amp;D8,"LG&amp;E"&amp;D8)</f>
        <v>LG&amp;EPDA</v>
      </c>
      <c r="C8" s="661" t="s">
        <v>172</v>
      </c>
      <c r="D8" s="662" t="s">
        <v>69</v>
      </c>
      <c r="E8" s="652" t="str">
        <f ca="1">VLOOKUP($C8,INDIRECT("'"&amp;$D8&amp;"'!A6:FC1000"),IF(E$6="Participation 2023",MATCH("__Participation 2023",INDIRECT("'"&amp;$D8&amp;"'!1:1"),0),IF(E$6="Participation",MATCH("_Total Plan Summary _Participation",INDIRECT("'"&amp;$D8&amp;"'!1:1"),0),MATCH(E$4&amp;"_"&amp;E$5&amp;"_"&amp;E$6,INDIRECT("'"&amp;$D8&amp;"'!1:1"),0))),0)</f>
        <v>LG&amp;E-Program Development &amp; Administration (PDA)</v>
      </c>
      <c r="F8" s="652" t="str">
        <f t="shared" ref="F8:G10" ca="1" si="6">VLOOKUP($C8,INDIRECT("'"&amp;$D8&amp;"'!A6:FC1000"),IF(F$6="Participation 2023",MATCH("__Participation 2023",INDIRECT("'"&amp;$D8&amp;"'!1:1"),0),IF(F$6="Participation",MATCH("_Total Plan Summary _Participation",INDIRECT("'"&amp;$D8&amp;"'!1:1"),0),MATCH(F$4&amp;"_"&amp;F$5&amp;"_"&amp;F$6,INDIRECT("'"&amp;$D8&amp;"'!1:1"),0))),0)</f>
        <v>PDA</v>
      </c>
      <c r="G8" s="652" t="str">
        <f t="shared" ca="1" si="6"/>
        <v>Per Program</v>
      </c>
      <c r="H8" s="652">
        <f t="shared" ref="H8:Q8" ca="1" si="7">VLOOKUP($C8,INDIRECT("'"&amp;$D8&amp;"'!A6:FR1000"),IF(H$6="Participation 2023",MATCH("__Participation 2023",INDIRECT("'"&amp;$D8&amp;"'!1:1"),0),IF(H$6="Participation",MATCH("_Total Plan Summary _Participation",INDIRECT("'"&amp;$D8&amp;"'!1:1"),0),MATCH(H$4&amp;"_"&amp;H$5&amp;"_"&amp;H$6,INDIRECT("'"&amp;$D8&amp;"'!1:1"),0))),0)</f>
        <v>0.5</v>
      </c>
      <c r="I8" s="652">
        <f t="shared" ca="1" si="7"/>
        <v>0.5</v>
      </c>
      <c r="J8" s="652">
        <f t="shared" ca="1" si="7"/>
        <v>0.5</v>
      </c>
      <c r="K8" s="652">
        <f t="shared" ca="1" si="7"/>
        <v>0.5</v>
      </c>
      <c r="L8" s="652">
        <f t="shared" ca="1" si="7"/>
        <v>0.5</v>
      </c>
      <c r="M8" s="652">
        <f t="shared" ca="1" si="7"/>
        <v>0.5</v>
      </c>
      <c r="N8" s="652">
        <f t="shared" ca="1" si="7"/>
        <v>0.5</v>
      </c>
      <c r="O8" s="652">
        <f t="shared" ca="1" si="7"/>
        <v>0</v>
      </c>
      <c r="P8" s="652">
        <f t="shared" ca="1" si="7"/>
        <v>0</v>
      </c>
      <c r="Q8" s="652">
        <f t="shared" ca="1" si="7"/>
        <v>0</v>
      </c>
      <c r="R8" s="652">
        <f t="shared" ca="1" si="3"/>
        <v>0</v>
      </c>
      <c r="S8" s="652">
        <f t="shared" ca="1" si="3"/>
        <v>0</v>
      </c>
      <c r="T8" s="652">
        <f t="shared" ca="1" si="3"/>
        <v>0</v>
      </c>
      <c r="U8" s="652">
        <f t="shared" ca="1" si="3"/>
        <v>0</v>
      </c>
      <c r="V8" s="652">
        <f t="shared" ca="1" si="3"/>
        <v>0</v>
      </c>
      <c r="W8" s="652">
        <f t="shared" ca="1" si="3"/>
        <v>0</v>
      </c>
      <c r="X8" s="652">
        <f t="shared" ca="1" si="3"/>
        <v>0</v>
      </c>
      <c r="Y8" s="652">
        <f t="shared" ca="1" si="3"/>
        <v>0</v>
      </c>
      <c r="Z8" s="652">
        <f t="shared" ca="1" si="3"/>
        <v>0</v>
      </c>
      <c r="AA8" s="652">
        <f t="shared" ca="1" si="3"/>
        <v>0</v>
      </c>
      <c r="AB8" s="652">
        <f t="shared" ca="1" si="3"/>
        <v>0</v>
      </c>
      <c r="AC8" s="652">
        <f t="shared" ca="1" si="3"/>
        <v>0</v>
      </c>
      <c r="AD8" s="652">
        <f t="shared" ca="1" si="3"/>
        <v>0</v>
      </c>
      <c r="AE8" s="652">
        <f t="shared" ca="1" si="3"/>
        <v>0</v>
      </c>
      <c r="AF8" s="652">
        <f t="shared" ca="1" si="3"/>
        <v>0</v>
      </c>
      <c r="AG8" s="652">
        <f t="shared" ca="1" si="3"/>
        <v>0</v>
      </c>
      <c r="AH8" s="652">
        <f t="shared" ca="1" si="3"/>
        <v>0</v>
      </c>
      <c r="AI8" s="652">
        <f t="shared" ca="1" si="3"/>
        <v>0</v>
      </c>
      <c r="AJ8" s="652">
        <f t="shared" ca="1" si="3"/>
        <v>0</v>
      </c>
      <c r="AK8" s="652">
        <f t="shared" ca="1" si="3"/>
        <v>0</v>
      </c>
      <c r="AL8" s="652">
        <f t="shared" ca="1" si="3"/>
        <v>0</v>
      </c>
      <c r="AM8" s="652">
        <f t="shared" ca="1" si="3"/>
        <v>0</v>
      </c>
      <c r="AN8" s="652">
        <f t="shared" ca="1" si="3"/>
        <v>0</v>
      </c>
      <c r="AO8" s="652">
        <f t="shared" ca="1" si="3"/>
        <v>0</v>
      </c>
      <c r="AP8" s="652">
        <f t="shared" ca="1" si="3"/>
        <v>0</v>
      </c>
      <c r="AQ8" s="652">
        <f t="shared" ca="1" si="3"/>
        <v>0</v>
      </c>
      <c r="AR8" s="652">
        <f t="shared" ca="1" si="3"/>
        <v>0</v>
      </c>
      <c r="AS8" s="652">
        <f t="shared" ca="1" si="3"/>
        <v>0</v>
      </c>
      <c r="AT8" s="652">
        <f t="shared" ca="1" si="3"/>
        <v>0</v>
      </c>
      <c r="AU8" s="652">
        <f t="shared" ca="1" si="3"/>
        <v>0</v>
      </c>
      <c r="AV8" s="652">
        <f t="shared" ca="1" si="3"/>
        <v>0</v>
      </c>
      <c r="AW8" s="652">
        <f t="shared" ca="1" si="3"/>
        <v>0</v>
      </c>
      <c r="AX8" s="652">
        <f t="shared" ca="1" si="3"/>
        <v>0</v>
      </c>
      <c r="AY8" s="652">
        <f t="shared" ca="1" si="3"/>
        <v>0</v>
      </c>
      <c r="AZ8" s="652">
        <f t="shared" ca="1" si="3"/>
        <v>0</v>
      </c>
      <c r="BA8" s="652">
        <f t="shared" ca="1" si="3"/>
        <v>0</v>
      </c>
      <c r="BB8" s="652">
        <f t="shared" ca="1" si="3"/>
        <v>0</v>
      </c>
      <c r="BC8" s="652">
        <f t="shared" ca="1" si="3"/>
        <v>0</v>
      </c>
      <c r="BD8" s="652">
        <f t="shared" ca="1" si="3"/>
        <v>0</v>
      </c>
      <c r="BE8" s="652" t="str">
        <f t="shared" ca="1" si="4"/>
        <v>Residential</v>
      </c>
      <c r="BF8" s="652" t="str">
        <f t="shared" ca="1" si="4"/>
        <v>ResEleTotal - SF Wtd</v>
      </c>
      <c r="BG8" s="652" t="str">
        <f t="shared" ca="1" si="4"/>
        <v>ResSFGasTotal</v>
      </c>
      <c r="BH8" s="652" t="str">
        <f t="shared" ca="1" si="4"/>
        <v>LGE Res</v>
      </c>
      <c r="BI8" s="652" t="str">
        <f t="shared" ca="1" si="4"/>
        <v>LGE Res</v>
      </c>
      <c r="BJ8" s="652">
        <f t="shared" ca="1" si="4"/>
        <v>1</v>
      </c>
      <c r="BK8" s="652">
        <f t="shared" ca="1" si="4"/>
        <v>0</v>
      </c>
      <c r="BL8" s="652">
        <f t="shared" ca="1" si="5"/>
        <v>0</v>
      </c>
      <c r="BM8" s="652">
        <f t="shared" ca="1" si="5"/>
        <v>0</v>
      </c>
      <c r="BN8" s="652">
        <f t="shared" ca="1" si="5"/>
        <v>0</v>
      </c>
      <c r="BO8" s="652">
        <f t="shared" ca="1" si="5"/>
        <v>0</v>
      </c>
      <c r="BP8" s="652">
        <f t="shared" ca="1" si="5"/>
        <v>0</v>
      </c>
      <c r="BQ8" s="652">
        <f t="shared" ca="1" si="5"/>
        <v>0</v>
      </c>
      <c r="BR8" s="652">
        <f t="shared" ref="BR8:BR71" ca="1" si="8">SUM(H8:N8)</f>
        <v>3.5</v>
      </c>
      <c r="BS8" s="652">
        <f t="shared" ref="BS8:BY10" ca="1" si="9">VLOOKUP($C8,INDIRECT("'"&amp;$D8&amp;"'!A6:FR1000"),IF(BS$6="Participation 2023",MATCH("__Participation 2023",INDIRECT("'"&amp;$D8&amp;"'!1:1"),0),IF(BS$6="Participation",MATCH("_Total Plan Summary _Participation",INDIRECT("'"&amp;$D8&amp;"'!1:1"),0),MATCH(BS$4&amp;"_"&amp;BS$5&amp;"_"&amp;BS$6,INDIRECT("'"&amp;$D8&amp;"'!1:1"),0))),0)</f>
        <v>0</v>
      </c>
      <c r="BT8" s="652">
        <f t="shared" ca="1" si="9"/>
        <v>0</v>
      </c>
      <c r="BU8" s="652">
        <f t="shared" ca="1" si="9"/>
        <v>0</v>
      </c>
      <c r="BV8" s="652">
        <f t="shared" ca="1" si="9"/>
        <v>0</v>
      </c>
      <c r="BW8" s="652">
        <f t="shared" ca="1" si="9"/>
        <v>0</v>
      </c>
      <c r="BX8" s="652">
        <f t="shared" ca="1" si="9"/>
        <v>0</v>
      </c>
      <c r="BY8" s="652">
        <f t="shared" ca="1" si="9"/>
        <v>0</v>
      </c>
    </row>
    <row r="9" spans="1:77" s="123" customFormat="1">
      <c r="A9" s="531" t="str">
        <f t="shared" ca="1" si="0"/>
        <v>WeCare V2KU-WeCare Weatherization Project - Single Family - Complete Package</v>
      </c>
      <c r="B9" s="1298" t="str">
        <f>IF(ISNUMBER(SEARCH("KU",C9)),"KU"&amp;D9,"LG&amp;E"&amp;D9)</f>
        <v>KUWeCare V2</v>
      </c>
      <c r="C9" s="661" t="s">
        <v>171</v>
      </c>
      <c r="D9" s="662" t="s">
        <v>57</v>
      </c>
      <c r="E9" s="652" t="str">
        <f ca="1">VLOOKUP($C9,INDIRECT("'"&amp;$D9&amp;"'!A6:FC1000"),IF(E$6="Participation 2023",MATCH("__Participation 2023",INDIRECT("'"&amp;$D9&amp;"'!1:1"),0),IF(E$6="Participation",MATCH("_Total Plan Summary _Participation",INDIRECT("'"&amp;$D9&amp;"'!1:1"),0),MATCH(E$4&amp;"_"&amp;E$5&amp;"_"&amp;E$6,INDIRECT("'"&amp;$D9&amp;"'!1:1"),0))),0)</f>
        <v>KU-WeCare Weatherization Project - Single Family - Complete Package</v>
      </c>
      <c r="F9" s="652" t="str">
        <f t="shared" ca="1" si="6"/>
        <v>Low Income Heating Assistance Program (LIHEAP) at 300% FPL</v>
      </c>
      <c r="G9" s="652" t="str">
        <f t="shared" ca="1" si="6"/>
        <v>Per Home</v>
      </c>
      <c r="H9" s="652">
        <f t="shared" ca="1" si="3"/>
        <v>2295</v>
      </c>
      <c r="I9" s="652">
        <f t="shared" ca="1" si="3"/>
        <v>2295</v>
      </c>
      <c r="J9" s="652">
        <f t="shared" ca="1" si="3"/>
        <v>2295</v>
      </c>
      <c r="K9" s="652">
        <f t="shared" ca="1" si="3"/>
        <v>2295</v>
      </c>
      <c r="L9" s="652">
        <f t="shared" ca="1" si="3"/>
        <v>2295</v>
      </c>
      <c r="M9" s="652">
        <f t="shared" ca="1" si="3"/>
        <v>2295</v>
      </c>
      <c r="N9" s="652">
        <f t="shared" ca="1" si="3"/>
        <v>2295</v>
      </c>
      <c r="O9" s="652">
        <f t="shared" ca="1" si="3"/>
        <v>0</v>
      </c>
      <c r="P9" s="652">
        <f t="shared" ca="1" si="3"/>
        <v>0</v>
      </c>
      <c r="Q9" s="652">
        <f t="shared" ca="1" si="3"/>
        <v>0</v>
      </c>
      <c r="R9" s="652">
        <f t="shared" ca="1" si="3"/>
        <v>0</v>
      </c>
      <c r="S9" s="652">
        <f t="shared" ca="1" si="3"/>
        <v>0</v>
      </c>
      <c r="T9" s="652">
        <f t="shared" ca="1" si="3"/>
        <v>0</v>
      </c>
      <c r="U9" s="652">
        <f t="shared" ca="1" si="3"/>
        <v>0</v>
      </c>
      <c r="V9" s="652">
        <f t="shared" ca="1" si="3"/>
        <v>0</v>
      </c>
      <c r="W9" s="652">
        <f t="shared" ca="1" si="3"/>
        <v>0</v>
      </c>
      <c r="X9" s="652">
        <f t="shared" ca="1" si="3"/>
        <v>0</v>
      </c>
      <c r="Y9" s="652">
        <f t="shared" ca="1" si="3"/>
        <v>0</v>
      </c>
      <c r="Z9" s="652">
        <f t="shared" ca="1" si="3"/>
        <v>0</v>
      </c>
      <c r="AA9" s="652">
        <f t="shared" ca="1" si="3"/>
        <v>0</v>
      </c>
      <c r="AB9" s="652">
        <f t="shared" ca="1" si="3"/>
        <v>0</v>
      </c>
      <c r="AC9" s="652">
        <f t="shared" ca="1" si="3"/>
        <v>0</v>
      </c>
      <c r="AD9" s="652">
        <f t="shared" ca="1" si="3"/>
        <v>0</v>
      </c>
      <c r="AE9" s="652">
        <f t="shared" ca="1" si="3"/>
        <v>0</v>
      </c>
      <c r="AF9" s="652">
        <f t="shared" ca="1" si="3"/>
        <v>0</v>
      </c>
      <c r="AG9" s="652">
        <f t="shared" ca="1" si="3"/>
        <v>0</v>
      </c>
      <c r="AH9" s="652">
        <f t="shared" ca="1" si="3"/>
        <v>0</v>
      </c>
      <c r="AI9" s="652">
        <f t="shared" ca="1" si="3"/>
        <v>0</v>
      </c>
      <c r="AJ9" s="652">
        <f t="shared" ca="1" si="3"/>
        <v>2031075</v>
      </c>
      <c r="AK9" s="652">
        <f t="shared" ca="1" si="3"/>
        <v>2031075</v>
      </c>
      <c r="AL9" s="652">
        <f t="shared" ca="1" si="3"/>
        <v>2031075</v>
      </c>
      <c r="AM9" s="652">
        <f t="shared" ca="1" si="3"/>
        <v>2031075</v>
      </c>
      <c r="AN9" s="652">
        <f t="shared" ca="1" si="3"/>
        <v>2031075</v>
      </c>
      <c r="AO9" s="652">
        <f t="shared" ca="1" si="3"/>
        <v>2031075</v>
      </c>
      <c r="AP9" s="652">
        <f t="shared" ca="1" si="3"/>
        <v>2031075</v>
      </c>
      <c r="AQ9" s="652">
        <f t="shared" ca="1" si="3"/>
        <v>173.63608868795583</v>
      </c>
      <c r="AR9" s="652">
        <f t="shared" ca="1" si="3"/>
        <v>173.63608868795583</v>
      </c>
      <c r="AS9" s="652">
        <f t="shared" ca="1" si="3"/>
        <v>173.63608868795583</v>
      </c>
      <c r="AT9" s="652">
        <f t="shared" ca="1" si="3"/>
        <v>173.63608868795583</v>
      </c>
      <c r="AU9" s="652">
        <f t="shared" ca="1" si="3"/>
        <v>173.63608868795583</v>
      </c>
      <c r="AV9" s="652">
        <f t="shared" ca="1" si="3"/>
        <v>173.63608868795583</v>
      </c>
      <c r="AW9" s="652">
        <f t="shared" ca="1" si="3"/>
        <v>173.63608868795583</v>
      </c>
      <c r="AX9" s="652">
        <f t="shared" ca="1" si="3"/>
        <v>0</v>
      </c>
      <c r="AY9" s="652">
        <f t="shared" ca="1" si="3"/>
        <v>0</v>
      </c>
      <c r="AZ9" s="652">
        <f t="shared" ca="1" si="3"/>
        <v>0</v>
      </c>
      <c r="BA9" s="652">
        <f t="shared" ca="1" si="3"/>
        <v>0</v>
      </c>
      <c r="BB9" s="652">
        <f t="shared" ca="1" si="3"/>
        <v>0</v>
      </c>
      <c r="BC9" s="652">
        <f t="shared" ca="1" si="3"/>
        <v>0</v>
      </c>
      <c r="BD9" s="652">
        <f t="shared" ca="1" si="3"/>
        <v>0</v>
      </c>
      <c r="BE9" s="652" t="str">
        <f t="shared" ca="1" si="4"/>
        <v>Residential</v>
      </c>
      <c r="BF9" s="652" t="str">
        <f t="shared" ca="1" si="4"/>
        <v>ResEleTotal - SF Wtd</v>
      </c>
      <c r="BG9" s="652" t="str">
        <f t="shared" ca="1" si="4"/>
        <v>ResSFGasTotal</v>
      </c>
      <c r="BH9" s="652" t="str">
        <f t="shared" ca="1" si="4"/>
        <v>KU Res</v>
      </c>
      <c r="BI9" s="652" t="str">
        <f t="shared" ca="1" si="4"/>
        <v>KU Res</v>
      </c>
      <c r="BJ9" s="652">
        <f t="shared" ca="1" si="4"/>
        <v>20</v>
      </c>
      <c r="BK9" s="652">
        <f t="shared" ca="1" si="4"/>
        <v>4165425</v>
      </c>
      <c r="BL9" s="652">
        <f t="shared" ca="1" si="5"/>
        <v>4165425</v>
      </c>
      <c r="BM9" s="652">
        <f t="shared" ca="1" si="5"/>
        <v>4165425</v>
      </c>
      <c r="BN9" s="652">
        <f t="shared" ca="1" si="5"/>
        <v>4165425</v>
      </c>
      <c r="BO9" s="652">
        <f t="shared" ca="1" si="5"/>
        <v>4165425</v>
      </c>
      <c r="BP9" s="652">
        <f t="shared" ca="1" si="5"/>
        <v>4165425</v>
      </c>
      <c r="BQ9" s="652">
        <f t="shared" ca="1" si="5"/>
        <v>4165425</v>
      </c>
      <c r="BR9" s="652">
        <f t="shared" ca="1" si="8"/>
        <v>16065</v>
      </c>
      <c r="BS9" s="652">
        <f t="shared" ca="1" si="9"/>
        <v>0</v>
      </c>
      <c r="BT9" s="652">
        <f t="shared" ca="1" si="9"/>
        <v>0</v>
      </c>
      <c r="BU9" s="652">
        <f t="shared" ca="1" si="9"/>
        <v>0</v>
      </c>
      <c r="BV9" s="652">
        <f t="shared" ca="1" si="9"/>
        <v>29157975</v>
      </c>
      <c r="BW9" s="652">
        <f ca="1">VLOOKUP($C9,INDIRECT("'"&amp;$D9&amp;"'!A6:FR1000"),IF(BW$6="Participation 2023",MATCH("__Participation 2023",INDIRECT("'"&amp;$D9&amp;"'!1:1"),0),IF(BW$6="Participation",MATCH("_Total Plan Summary _Participation",INDIRECT("'"&amp;$D9&amp;"'!1:1"),0),MATCH(BW$4&amp;"_"&amp;BW$5&amp;"_"&amp;BW$6,INDIRECT("'"&amp;$D9&amp;"'!1:1"),0))),0)</f>
        <v>14217525</v>
      </c>
      <c r="BX9" s="652">
        <f t="shared" ca="1" si="9"/>
        <v>1215.4526208156908</v>
      </c>
      <c r="BY9" s="652">
        <f t="shared" ca="1" si="9"/>
        <v>0</v>
      </c>
    </row>
    <row r="10" spans="1:77">
      <c r="A10" s="425" t="str">
        <f t="shared" ca="1" si="0"/>
        <v>WeCare V2KU-WeCare V2 Smart Thermostat - Single Family (with direct enrollment to DR)</v>
      </c>
      <c r="B10" s="1298" t="str">
        <f>IF(ISNUMBER(SEARCH("KU",C10)),"KU"&amp;D10,"LG&amp;E"&amp;D10)</f>
        <v>KUWeCare V2</v>
      </c>
      <c r="C10" s="661" t="s">
        <v>173</v>
      </c>
      <c r="D10" s="662" t="s">
        <v>57</v>
      </c>
      <c r="E10" s="652" t="str">
        <f ca="1">VLOOKUP($C10,INDIRECT("'"&amp;$D10&amp;"'!A6:FC1000"),IF(E$6="Participation 2023",MATCH("__Participation 2023",INDIRECT("'"&amp;$D10&amp;"'!1:1"),0),IF(E$6="Participation",MATCH("_Total Plan Summary _Participation",INDIRECT("'"&amp;$D10&amp;"'!1:1"),0),MATCH(E$4&amp;"_"&amp;E$5&amp;"_"&amp;E$6,INDIRECT("'"&amp;$D10&amp;"'!1:1"),0))),0)</f>
        <v>KU-WeCare V2 Smart Thermostat - Single Family (with direct enrollment to DR)</v>
      </c>
      <c r="F10" s="652" t="str">
        <f t="shared" ca="1" si="6"/>
        <v>Smart thermostat rebate with direct enrollment to DR</v>
      </c>
      <c r="G10" s="652" t="str">
        <f t="shared" ca="1" si="6"/>
        <v>Per smart thermostat</v>
      </c>
      <c r="H10" s="652">
        <f t="shared" ca="1" si="3"/>
        <v>261</v>
      </c>
      <c r="I10" s="652">
        <f t="shared" ca="1" si="3"/>
        <v>261</v>
      </c>
      <c r="J10" s="652">
        <f t="shared" ca="1" si="3"/>
        <v>261</v>
      </c>
      <c r="K10" s="652">
        <f t="shared" ca="1" si="3"/>
        <v>261</v>
      </c>
      <c r="L10" s="652">
        <f t="shared" ca="1" si="3"/>
        <v>261</v>
      </c>
      <c r="M10" s="652">
        <f t="shared" ca="1" si="3"/>
        <v>261</v>
      </c>
      <c r="N10" s="652">
        <f t="shared" ca="1" si="3"/>
        <v>261</v>
      </c>
      <c r="O10" s="652">
        <f t="shared" ca="1" si="3"/>
        <v>0</v>
      </c>
      <c r="P10" s="652">
        <f t="shared" ca="1" si="3"/>
        <v>0</v>
      </c>
      <c r="Q10" s="652">
        <f t="shared" ca="1" si="3"/>
        <v>0</v>
      </c>
      <c r="R10" s="652">
        <f t="shared" ca="1" si="3"/>
        <v>0</v>
      </c>
      <c r="S10" s="652">
        <f t="shared" ca="1" si="3"/>
        <v>0</v>
      </c>
      <c r="T10" s="652">
        <f t="shared" ca="1" si="3"/>
        <v>0</v>
      </c>
      <c r="U10" s="652">
        <f t="shared" ca="1" si="3"/>
        <v>0</v>
      </c>
      <c r="V10" s="652">
        <f t="shared" ca="1" si="3"/>
        <v>0</v>
      </c>
      <c r="W10" s="652">
        <f t="shared" ca="1" si="3"/>
        <v>0</v>
      </c>
      <c r="X10" s="652">
        <f t="shared" ca="1" si="3"/>
        <v>0</v>
      </c>
      <c r="Y10" s="652">
        <f t="shared" ca="1" si="3"/>
        <v>0</v>
      </c>
      <c r="Z10" s="652">
        <f t="shared" ca="1" si="3"/>
        <v>0</v>
      </c>
      <c r="AA10" s="652">
        <f t="shared" ca="1" si="3"/>
        <v>0</v>
      </c>
      <c r="AB10" s="652">
        <f t="shared" ca="1" si="3"/>
        <v>0</v>
      </c>
      <c r="AC10" s="652">
        <f t="shared" ca="1" si="3"/>
        <v>0</v>
      </c>
      <c r="AD10" s="652">
        <f t="shared" ca="1" si="3"/>
        <v>0</v>
      </c>
      <c r="AE10" s="652">
        <f t="shared" ca="1" si="3"/>
        <v>0</v>
      </c>
      <c r="AF10" s="652">
        <f t="shared" ca="1" si="3"/>
        <v>0</v>
      </c>
      <c r="AG10" s="652">
        <f t="shared" ca="1" si="3"/>
        <v>0</v>
      </c>
      <c r="AH10" s="652">
        <f t="shared" ca="1" si="3"/>
        <v>0</v>
      </c>
      <c r="AI10" s="652">
        <f t="shared" ca="1" si="3"/>
        <v>0</v>
      </c>
      <c r="AJ10" s="652">
        <f t="shared" ca="1" si="3"/>
        <v>81060.02947645956</v>
      </c>
      <c r="AK10" s="652">
        <f t="shared" ca="1" si="3"/>
        <v>81060.02947645956</v>
      </c>
      <c r="AL10" s="652">
        <f t="shared" ca="1" si="3"/>
        <v>81060.02947645956</v>
      </c>
      <c r="AM10" s="652">
        <f t="shared" ca="1" si="3"/>
        <v>81060.02947645956</v>
      </c>
      <c r="AN10" s="652">
        <f t="shared" ca="1" si="3"/>
        <v>81060.02947645956</v>
      </c>
      <c r="AO10" s="652">
        <f t="shared" ca="1" si="3"/>
        <v>81060.02947645956</v>
      </c>
      <c r="AP10" s="652">
        <f t="shared" ca="1" si="3"/>
        <v>81060.02947645956</v>
      </c>
      <c r="AQ10" s="652">
        <f t="shared" ca="1" si="3"/>
        <v>0</v>
      </c>
      <c r="AR10" s="652">
        <f t="shared" ca="1" si="3"/>
        <v>0</v>
      </c>
      <c r="AS10" s="652">
        <f t="shared" ca="1" si="3"/>
        <v>0</v>
      </c>
      <c r="AT10" s="652">
        <f t="shared" ca="1" si="3"/>
        <v>0</v>
      </c>
      <c r="AU10" s="652">
        <f t="shared" ca="1" si="3"/>
        <v>0</v>
      </c>
      <c r="AV10" s="652">
        <f t="shared" ca="1" si="3"/>
        <v>0</v>
      </c>
      <c r="AW10" s="652">
        <f t="shared" ca="1" si="3"/>
        <v>0</v>
      </c>
      <c r="AX10" s="652">
        <f t="shared" ca="1" si="3"/>
        <v>0</v>
      </c>
      <c r="AY10" s="652">
        <f t="shared" ca="1" si="3"/>
        <v>0</v>
      </c>
      <c r="AZ10" s="652">
        <f t="shared" ca="1" si="3"/>
        <v>0</v>
      </c>
      <c r="BA10" s="652">
        <f t="shared" ca="1" si="3"/>
        <v>0</v>
      </c>
      <c r="BB10" s="652">
        <f t="shared" ca="1" si="3"/>
        <v>0</v>
      </c>
      <c r="BC10" s="652">
        <f t="shared" ca="1" si="3"/>
        <v>0</v>
      </c>
      <c r="BD10" s="652">
        <f t="shared" ca="1" si="3"/>
        <v>0</v>
      </c>
      <c r="BE10" s="652" t="str">
        <f t="shared" ca="1" si="4"/>
        <v>Residential</v>
      </c>
      <c r="BF10" s="652" t="str">
        <f t="shared" ca="1" si="4"/>
        <v>ResCooling - SF Wtd</v>
      </c>
      <c r="BG10" s="652" t="str">
        <f t="shared" ca="1" si="4"/>
        <v>ResSFGasHeat</v>
      </c>
      <c r="BH10" s="652" t="str">
        <f t="shared" ca="1" si="4"/>
        <v>KU Res</v>
      </c>
      <c r="BI10" s="652" t="str">
        <f t="shared" ca="1" si="4"/>
        <v>KU Res</v>
      </c>
      <c r="BJ10" s="652">
        <f t="shared" ca="1" si="4"/>
        <v>7.5</v>
      </c>
      <c r="BK10" s="652">
        <f t="shared" ca="1" si="4"/>
        <v>53244</v>
      </c>
      <c r="BL10" s="652">
        <f t="shared" ca="1" si="5"/>
        <v>53244</v>
      </c>
      <c r="BM10" s="652">
        <f t="shared" ca="1" si="5"/>
        <v>53244</v>
      </c>
      <c r="BN10" s="652">
        <f t="shared" ca="1" si="5"/>
        <v>53244</v>
      </c>
      <c r="BO10" s="652">
        <f t="shared" ca="1" si="5"/>
        <v>53244</v>
      </c>
      <c r="BP10" s="652">
        <f t="shared" ca="1" si="5"/>
        <v>53244</v>
      </c>
      <c r="BQ10" s="652">
        <f t="shared" ca="1" si="5"/>
        <v>53244</v>
      </c>
      <c r="BR10" s="652">
        <f t="shared" ca="1" si="8"/>
        <v>1827</v>
      </c>
      <c r="BS10" s="652">
        <f t="shared" ca="1" si="9"/>
        <v>0</v>
      </c>
      <c r="BT10" s="652">
        <f t="shared" ca="1" si="9"/>
        <v>0</v>
      </c>
      <c r="BU10" s="652">
        <f t="shared" ca="1" si="9"/>
        <v>0</v>
      </c>
      <c r="BV10" s="652">
        <f t="shared" ca="1" si="9"/>
        <v>372708</v>
      </c>
      <c r="BW10" s="652">
        <f t="shared" ca="1" si="9"/>
        <v>567420.20633521688</v>
      </c>
      <c r="BX10" s="652">
        <f t="shared" ca="1" si="9"/>
        <v>0</v>
      </c>
      <c r="BY10" s="652">
        <f t="shared" ca="1" si="9"/>
        <v>0</v>
      </c>
    </row>
    <row r="11" spans="1:77">
      <c r="A11" s="425" t="str">
        <f t="shared" ca="1" si="0"/>
        <v>WeCare V2LG&amp;E-WeCare Weatherization Project - Single Family - Complete Package</v>
      </c>
      <c r="B11" s="1297" t="str">
        <f t="shared" si="1"/>
        <v>LG&amp;EWeCare V2</v>
      </c>
      <c r="C11" s="661" t="s">
        <v>172</v>
      </c>
      <c r="D11" s="662" t="s">
        <v>57</v>
      </c>
      <c r="E11" s="652" t="str">
        <f t="shared" ca="1" si="2"/>
        <v>LG&amp;E-WeCare Weatherization Project - Single Family - Complete Package</v>
      </c>
      <c r="F11" s="652" t="str">
        <f t="shared" ca="1" si="2"/>
        <v>Low Income Heating Assistance Program (LIHEAP) at 300% FPL</v>
      </c>
      <c r="G11" s="652" t="str">
        <f t="shared" ca="1" si="2"/>
        <v>Per Home</v>
      </c>
      <c r="H11" s="652">
        <f t="shared" ca="1" si="3"/>
        <v>2295</v>
      </c>
      <c r="I11" s="652">
        <f t="shared" ca="1" si="3"/>
        <v>2295</v>
      </c>
      <c r="J11" s="652">
        <f t="shared" ca="1" si="3"/>
        <v>2295</v>
      </c>
      <c r="K11" s="652">
        <f t="shared" ca="1" si="3"/>
        <v>2295</v>
      </c>
      <c r="L11" s="652">
        <f t="shared" ca="1" si="3"/>
        <v>2295</v>
      </c>
      <c r="M11" s="652">
        <f t="shared" ca="1" si="3"/>
        <v>2295</v>
      </c>
      <c r="N11" s="652">
        <f t="shared" ca="1" si="3"/>
        <v>2295</v>
      </c>
      <c r="O11" s="652">
        <f t="shared" ca="1" si="3"/>
        <v>0</v>
      </c>
      <c r="P11" s="652">
        <f t="shared" ca="1" si="3"/>
        <v>0</v>
      </c>
      <c r="Q11" s="652">
        <f t="shared" ca="1" si="3"/>
        <v>0</v>
      </c>
      <c r="R11" s="652">
        <f t="shared" ca="1" si="3"/>
        <v>0</v>
      </c>
      <c r="S11" s="652">
        <f t="shared" ca="1" si="3"/>
        <v>0</v>
      </c>
      <c r="T11" s="652">
        <f t="shared" ca="1" si="3"/>
        <v>0</v>
      </c>
      <c r="U11" s="652">
        <f t="shared" ca="1" si="3"/>
        <v>0</v>
      </c>
      <c r="V11" s="652">
        <f t="shared" ca="1" si="3"/>
        <v>0</v>
      </c>
      <c r="W11" s="652">
        <f t="shared" ca="1" si="3"/>
        <v>0</v>
      </c>
      <c r="X11" s="652">
        <f t="shared" ca="1" si="3"/>
        <v>0</v>
      </c>
      <c r="Y11" s="652">
        <f t="shared" ca="1" si="3"/>
        <v>0</v>
      </c>
      <c r="Z11" s="652">
        <f t="shared" ca="1" si="3"/>
        <v>0</v>
      </c>
      <c r="AA11" s="652">
        <f t="shared" ca="1" si="3"/>
        <v>0</v>
      </c>
      <c r="AB11" s="652">
        <f t="shared" ca="1" si="3"/>
        <v>0</v>
      </c>
      <c r="AC11" s="652">
        <f t="shared" ca="1" si="3"/>
        <v>0</v>
      </c>
      <c r="AD11" s="652">
        <f t="shared" ca="1" si="3"/>
        <v>0</v>
      </c>
      <c r="AE11" s="652">
        <f t="shared" ca="1" si="3"/>
        <v>0</v>
      </c>
      <c r="AF11" s="652">
        <f t="shared" ca="1" si="3"/>
        <v>0</v>
      </c>
      <c r="AG11" s="652">
        <f t="shared" ca="1" si="3"/>
        <v>0</v>
      </c>
      <c r="AH11" s="652">
        <f t="shared" ca="1" si="3"/>
        <v>0</v>
      </c>
      <c r="AI11" s="652">
        <f t="shared" ca="1" si="3"/>
        <v>0</v>
      </c>
      <c r="AJ11" s="652">
        <f t="shared" ca="1" si="3"/>
        <v>1609942.5</v>
      </c>
      <c r="AK11" s="652">
        <f t="shared" ca="1" si="3"/>
        <v>1609942.5</v>
      </c>
      <c r="AL11" s="652">
        <f t="shared" ca="1" si="3"/>
        <v>1609942.5</v>
      </c>
      <c r="AM11" s="652">
        <f t="shared" ca="1" si="3"/>
        <v>1609942.5</v>
      </c>
      <c r="AN11" s="652">
        <f t="shared" ca="1" si="3"/>
        <v>1609942.5</v>
      </c>
      <c r="AO11" s="652">
        <f t="shared" ca="1" si="3"/>
        <v>1609942.5</v>
      </c>
      <c r="AP11" s="652">
        <f t="shared" ca="1" si="3"/>
        <v>1609942.5</v>
      </c>
      <c r="AQ11" s="652">
        <f t="shared" ca="1" si="3"/>
        <v>137.63357764361695</v>
      </c>
      <c r="AR11" s="652">
        <f t="shared" ca="1" si="3"/>
        <v>137.63357764361695</v>
      </c>
      <c r="AS11" s="652">
        <f t="shared" ca="1" si="3"/>
        <v>137.63357764361695</v>
      </c>
      <c r="AT11" s="652">
        <f t="shared" ca="1" si="3"/>
        <v>137.63357764361695</v>
      </c>
      <c r="AU11" s="652">
        <f t="shared" ca="1" si="3"/>
        <v>137.63357764361695</v>
      </c>
      <c r="AV11" s="652">
        <f t="shared" ca="1" si="3"/>
        <v>137.63357764361695</v>
      </c>
      <c r="AW11" s="652">
        <f t="shared" ca="1" si="3"/>
        <v>137.63357764361695</v>
      </c>
      <c r="AX11" s="652">
        <f t="shared" ca="1" si="3"/>
        <v>123755.57999999999</v>
      </c>
      <c r="AY11" s="652">
        <f t="shared" ca="1" si="3"/>
        <v>123755.57999999999</v>
      </c>
      <c r="AZ11" s="652">
        <f t="shared" ca="1" si="3"/>
        <v>123755.57999999999</v>
      </c>
      <c r="BA11" s="652">
        <f t="shared" ca="1" si="3"/>
        <v>123755.57999999999</v>
      </c>
      <c r="BB11" s="652">
        <f t="shared" ca="1" si="3"/>
        <v>123755.57999999999</v>
      </c>
      <c r="BC11" s="652">
        <f t="shared" ca="1" si="3"/>
        <v>123755.57999999999</v>
      </c>
      <c r="BD11" s="652">
        <f t="shared" ca="1" si="3"/>
        <v>123755.57999999999</v>
      </c>
      <c r="BE11" s="652" t="str">
        <f t="shared" ca="1" si="4"/>
        <v>Residential</v>
      </c>
      <c r="BF11" s="652" t="str">
        <f t="shared" ca="1" si="4"/>
        <v>ResEleTotal - SF Wtd</v>
      </c>
      <c r="BG11" s="652" t="str">
        <f t="shared" ca="1" si="4"/>
        <v>ResSFGasTotal</v>
      </c>
      <c r="BH11" s="652" t="str">
        <f t="shared" ca="1" si="4"/>
        <v>LGE Res</v>
      </c>
      <c r="BI11" s="652" t="str">
        <f t="shared" ca="1" si="4"/>
        <v>LGE Res</v>
      </c>
      <c r="BJ11" s="652">
        <f t="shared" ca="1" si="4"/>
        <v>20</v>
      </c>
      <c r="BK11" s="652">
        <f t="shared" ca="1" si="4"/>
        <v>4165425</v>
      </c>
      <c r="BL11" s="652">
        <f t="shared" ca="1" si="5"/>
        <v>4165425</v>
      </c>
      <c r="BM11" s="652">
        <f t="shared" ca="1" si="5"/>
        <v>4165425</v>
      </c>
      <c r="BN11" s="652">
        <f t="shared" ca="1" si="5"/>
        <v>4165425</v>
      </c>
      <c r="BO11" s="652">
        <f t="shared" ca="1" si="5"/>
        <v>4165425</v>
      </c>
      <c r="BP11" s="652">
        <f t="shared" ca="1" si="5"/>
        <v>4165425</v>
      </c>
      <c r="BQ11" s="652">
        <f t="shared" ca="1" si="5"/>
        <v>4165425</v>
      </c>
      <c r="BR11" s="652">
        <f t="shared" ca="1" si="8"/>
        <v>16065</v>
      </c>
      <c r="BS11" s="652">
        <f t="shared" ca="1" si="3"/>
        <v>0</v>
      </c>
      <c r="BT11" s="652">
        <f t="shared" ca="1" si="3"/>
        <v>0</v>
      </c>
      <c r="BU11" s="652">
        <f t="shared" ca="1" si="3"/>
        <v>0</v>
      </c>
      <c r="BV11" s="652">
        <f t="shared" ca="1" si="3"/>
        <v>29157975</v>
      </c>
      <c r="BW11" s="652">
        <f t="shared" ca="1" si="3"/>
        <v>11269597.5</v>
      </c>
      <c r="BX11" s="652">
        <f t="shared" ca="1" si="3"/>
        <v>963.43504350531862</v>
      </c>
      <c r="BY11" s="652">
        <f t="shared" ca="1" si="3"/>
        <v>866289.05999999982</v>
      </c>
    </row>
    <row r="12" spans="1:77">
      <c r="A12" s="425" t="str">
        <f t="shared" ca="1" si="0"/>
        <v>WeCare V2LG&amp;E-WeCare V2 Smart Thermostat - Single Family (with direct enrollment to DR)</v>
      </c>
      <c r="B12" s="1297" t="str">
        <f t="shared" ref="B12" si="10">IF(ISNUMBER(SEARCH("KU",C12)),"KU"&amp;D12,"LG&amp;E"&amp;D12)</f>
        <v>LG&amp;EWeCare V2</v>
      </c>
      <c r="C12" s="661" t="s">
        <v>174</v>
      </c>
      <c r="D12" s="662" t="s">
        <v>57</v>
      </c>
      <c r="E12" s="652" t="str">
        <f t="shared" ca="1" si="2"/>
        <v>LG&amp;E-WeCare V2 Smart Thermostat - Single Family (with direct enrollment to DR)</v>
      </c>
      <c r="F12" s="652" t="str">
        <f t="shared" ca="1" si="2"/>
        <v>Smart thermostat rebate with direct enrollment to DR</v>
      </c>
      <c r="G12" s="652" t="str">
        <f t="shared" ca="1" si="2"/>
        <v>Per smart thermostat</v>
      </c>
      <c r="H12" s="652">
        <f t="shared" ref="H12:BY12" ca="1" si="11">VLOOKUP($C12,INDIRECT("'"&amp;$D12&amp;"'!A6:FR1000"),IF(H$6="Participation 2023",MATCH("__Participation 2023",INDIRECT("'"&amp;$D12&amp;"'!1:1"),0),IF(H$6="Participation",MATCH("_Total Plan Summary _Participation",INDIRECT("'"&amp;$D12&amp;"'!1:1"),0),MATCH(H$4&amp;"_"&amp;H$5&amp;"_"&amp;H$6,INDIRECT("'"&amp;$D12&amp;"'!1:1"),0))),0)</f>
        <v>261</v>
      </c>
      <c r="I12" s="652">
        <f t="shared" ca="1" si="11"/>
        <v>261</v>
      </c>
      <c r="J12" s="652">
        <f t="shared" ca="1" si="11"/>
        <v>261</v>
      </c>
      <c r="K12" s="652">
        <f t="shared" ca="1" si="11"/>
        <v>261</v>
      </c>
      <c r="L12" s="652">
        <f t="shared" ca="1" si="11"/>
        <v>261</v>
      </c>
      <c r="M12" s="652">
        <f t="shared" ca="1" si="11"/>
        <v>261</v>
      </c>
      <c r="N12" s="652">
        <f t="shared" ca="1" si="11"/>
        <v>261</v>
      </c>
      <c r="O12" s="652">
        <f t="shared" ca="1" si="11"/>
        <v>0</v>
      </c>
      <c r="P12" s="652">
        <f t="shared" ca="1" si="11"/>
        <v>0</v>
      </c>
      <c r="Q12" s="652">
        <f t="shared" ca="1" si="11"/>
        <v>0</v>
      </c>
      <c r="R12" s="652">
        <f t="shared" ca="1" si="11"/>
        <v>0</v>
      </c>
      <c r="S12" s="652">
        <f t="shared" ca="1" si="11"/>
        <v>0</v>
      </c>
      <c r="T12" s="652">
        <f t="shared" ca="1" si="11"/>
        <v>0</v>
      </c>
      <c r="U12" s="652">
        <f t="shared" ca="1" si="11"/>
        <v>0</v>
      </c>
      <c r="V12" s="652">
        <f t="shared" ca="1" si="11"/>
        <v>0</v>
      </c>
      <c r="W12" s="652">
        <f t="shared" ca="1" si="11"/>
        <v>0</v>
      </c>
      <c r="X12" s="652">
        <f t="shared" ca="1" si="11"/>
        <v>0</v>
      </c>
      <c r="Y12" s="652">
        <f t="shared" ca="1" si="11"/>
        <v>0</v>
      </c>
      <c r="Z12" s="652">
        <f t="shared" ca="1" si="11"/>
        <v>0</v>
      </c>
      <c r="AA12" s="652">
        <f t="shared" ca="1" si="11"/>
        <v>0</v>
      </c>
      <c r="AB12" s="652">
        <f t="shared" ca="1" si="11"/>
        <v>0</v>
      </c>
      <c r="AC12" s="652">
        <f t="shared" ca="1" si="11"/>
        <v>0</v>
      </c>
      <c r="AD12" s="652">
        <f t="shared" ca="1" si="11"/>
        <v>0</v>
      </c>
      <c r="AE12" s="652">
        <f t="shared" ca="1" si="11"/>
        <v>0</v>
      </c>
      <c r="AF12" s="652">
        <f t="shared" ca="1" si="11"/>
        <v>0</v>
      </c>
      <c r="AG12" s="652">
        <f t="shared" ca="1" si="11"/>
        <v>0</v>
      </c>
      <c r="AH12" s="652">
        <f t="shared" ca="1" si="11"/>
        <v>0</v>
      </c>
      <c r="AI12" s="652">
        <f t="shared" ca="1" si="11"/>
        <v>0</v>
      </c>
      <c r="AJ12" s="652">
        <f t="shared" ca="1" si="11"/>
        <v>81060.02947645956</v>
      </c>
      <c r="AK12" s="652">
        <f t="shared" ca="1" si="11"/>
        <v>81060.02947645956</v>
      </c>
      <c r="AL12" s="652">
        <f t="shared" ca="1" si="11"/>
        <v>81060.02947645956</v>
      </c>
      <c r="AM12" s="652">
        <f t="shared" ca="1" si="11"/>
        <v>81060.02947645956</v>
      </c>
      <c r="AN12" s="652">
        <f t="shared" ca="1" si="11"/>
        <v>81060.02947645956</v>
      </c>
      <c r="AO12" s="652">
        <f t="shared" ca="1" si="11"/>
        <v>81060.02947645956</v>
      </c>
      <c r="AP12" s="652">
        <f t="shared" ca="1" si="11"/>
        <v>81060.02947645956</v>
      </c>
      <c r="AQ12" s="652">
        <f t="shared" ca="1" si="11"/>
        <v>0</v>
      </c>
      <c r="AR12" s="652">
        <f t="shared" ca="1" si="11"/>
        <v>0</v>
      </c>
      <c r="AS12" s="652">
        <f t="shared" ca="1" si="11"/>
        <v>0</v>
      </c>
      <c r="AT12" s="652">
        <f t="shared" ca="1" si="11"/>
        <v>0</v>
      </c>
      <c r="AU12" s="652">
        <f t="shared" ca="1" si="11"/>
        <v>0</v>
      </c>
      <c r="AV12" s="652">
        <f t="shared" ca="1" si="11"/>
        <v>0</v>
      </c>
      <c r="AW12" s="652">
        <f t="shared" ca="1" si="11"/>
        <v>0</v>
      </c>
      <c r="AX12" s="652">
        <f t="shared" ca="1" si="11"/>
        <v>7171.0272000000004</v>
      </c>
      <c r="AY12" s="652">
        <f t="shared" ca="1" si="11"/>
        <v>7171.0272000000004</v>
      </c>
      <c r="AZ12" s="652">
        <f t="shared" ca="1" si="11"/>
        <v>7171.0272000000004</v>
      </c>
      <c r="BA12" s="652">
        <f t="shared" ca="1" si="11"/>
        <v>7171.0272000000004</v>
      </c>
      <c r="BB12" s="652">
        <f t="shared" ca="1" si="11"/>
        <v>7171.0272000000004</v>
      </c>
      <c r="BC12" s="652">
        <f t="shared" ca="1" si="11"/>
        <v>7171.0272000000004</v>
      </c>
      <c r="BD12" s="652">
        <f t="shared" ca="1" si="11"/>
        <v>7171.0272000000004</v>
      </c>
      <c r="BE12" s="652" t="str">
        <f t="shared" ca="1" si="4"/>
        <v>Residential</v>
      </c>
      <c r="BF12" s="652" t="str">
        <f t="shared" ca="1" si="4"/>
        <v>ResCooling - SF Wtd</v>
      </c>
      <c r="BG12" s="652" t="str">
        <f t="shared" ca="1" si="4"/>
        <v>ResSFGasHeat</v>
      </c>
      <c r="BH12" s="652" t="str">
        <f t="shared" ca="1" si="4"/>
        <v>LGE Res</v>
      </c>
      <c r="BI12" s="652" t="str">
        <f t="shared" ca="1" si="4"/>
        <v>LGE Res</v>
      </c>
      <c r="BJ12" s="652">
        <f t="shared" ca="1" si="4"/>
        <v>7.5</v>
      </c>
      <c r="BK12" s="652">
        <f t="shared" ca="1" si="4"/>
        <v>53244</v>
      </c>
      <c r="BL12" s="652">
        <f t="shared" ca="1" si="5"/>
        <v>53244</v>
      </c>
      <c r="BM12" s="652">
        <f t="shared" ca="1" si="5"/>
        <v>53244</v>
      </c>
      <c r="BN12" s="652">
        <f t="shared" ca="1" si="5"/>
        <v>53244</v>
      </c>
      <c r="BO12" s="652">
        <f t="shared" ca="1" si="5"/>
        <v>53244</v>
      </c>
      <c r="BP12" s="652">
        <f t="shared" ca="1" si="5"/>
        <v>53244</v>
      </c>
      <c r="BQ12" s="652">
        <f t="shared" ca="1" si="5"/>
        <v>53244</v>
      </c>
      <c r="BR12" s="652">
        <f t="shared" ca="1" si="8"/>
        <v>1827</v>
      </c>
      <c r="BS12" s="652">
        <f t="shared" ca="1" si="11"/>
        <v>0</v>
      </c>
      <c r="BT12" s="652">
        <f t="shared" ca="1" si="11"/>
        <v>0</v>
      </c>
      <c r="BU12" s="652">
        <f t="shared" ca="1" si="11"/>
        <v>0</v>
      </c>
      <c r="BV12" s="652">
        <f t="shared" ca="1" si="11"/>
        <v>372708</v>
      </c>
      <c r="BW12" s="652">
        <f t="shared" ca="1" si="11"/>
        <v>567420.20633521688</v>
      </c>
      <c r="BX12" s="652">
        <f t="shared" ca="1" si="11"/>
        <v>0</v>
      </c>
      <c r="BY12" s="652">
        <f t="shared" ca="1" si="11"/>
        <v>50197.190399999992</v>
      </c>
    </row>
    <row r="13" spans="1:77">
      <c r="A13" s="425" t="str">
        <f t="shared" ca="1" si="0"/>
        <v>LI Multifamily - Whole BuildingKU-WeCare Weatherization Project - Multi Family - Complete Package (MF-GS Com)</v>
      </c>
      <c r="B13" s="1297" t="str">
        <f t="shared" ref="B13:B14" si="12">IF(ISNUMBER(SEARCH("KU",C13)),"KU"&amp;D13,"LG&amp;E"&amp;D13)</f>
        <v>KULI Multifamily - Whole Building</v>
      </c>
      <c r="C13" s="661" t="s">
        <v>171</v>
      </c>
      <c r="D13" s="662" t="s">
        <v>58</v>
      </c>
      <c r="E13" s="652" t="str">
        <f ca="1">VLOOKUP($C13,INDIRECT("'"&amp;$D13&amp;"'!A6:FC1000"),IF(E$6="Participation 2023",MATCH("__Participation 2023",INDIRECT("'"&amp;$D13&amp;"'!1:1"),0),IF(E$6="Participation",MATCH("_Total Plan Summary _Participation",INDIRECT("'"&amp;$D13&amp;"'!1:1"),0),MATCH(E$4&amp;"_"&amp;E$5&amp;"_"&amp;E$6,INDIRECT("'"&amp;$D13&amp;"'!1:1"),0))),0)</f>
        <v>KU-WeCare Weatherization Project - Multi Family - Complete Package (MF-GS Com)</v>
      </c>
      <c r="F13" s="652" t="str">
        <f t="shared" ca="1" si="2"/>
        <v>Low Income Heating Assistance Program (LIHEAP) at 200% poverty</v>
      </c>
      <c r="G13" s="652" t="str">
        <f t="shared" ca="1" si="2"/>
        <v>Per Home</v>
      </c>
      <c r="H13" s="652">
        <f t="shared" ca="1" si="3"/>
        <v>199.99999999999994</v>
      </c>
      <c r="I13" s="652">
        <f t="shared" ca="1" si="3"/>
        <v>199.99999999999994</v>
      </c>
      <c r="J13" s="652">
        <f t="shared" ca="1" si="3"/>
        <v>199.99999999999994</v>
      </c>
      <c r="K13" s="652">
        <f t="shared" ca="1" si="3"/>
        <v>199.99999999999994</v>
      </c>
      <c r="L13" s="652">
        <f t="shared" ca="1" si="3"/>
        <v>199.99999999999994</v>
      </c>
      <c r="M13" s="652">
        <f t="shared" ca="1" si="3"/>
        <v>199.99999999999994</v>
      </c>
      <c r="N13" s="652">
        <f t="shared" ref="H13:BY19" ca="1" si="13">VLOOKUP($C13,INDIRECT("'"&amp;$D13&amp;"'!A6:FR1000"),IF(N$6="Participation 2023",MATCH("__Participation 2023",INDIRECT("'"&amp;$D13&amp;"'!1:1"),0),IF(N$6="Participation",MATCH("_Total Plan Summary _Participation",INDIRECT("'"&amp;$D13&amp;"'!1:1"),0),MATCH(N$4&amp;"_"&amp;N$5&amp;"_"&amp;N$6,INDIRECT("'"&amp;$D13&amp;"'!1:1"),0))),0)</f>
        <v>199.99999999999994</v>
      </c>
      <c r="O13" s="652">
        <f t="shared" ca="1" si="13"/>
        <v>0</v>
      </c>
      <c r="P13" s="652">
        <f t="shared" ca="1" si="13"/>
        <v>0</v>
      </c>
      <c r="Q13" s="652">
        <f t="shared" ca="1" si="13"/>
        <v>0</v>
      </c>
      <c r="R13" s="652">
        <f t="shared" ca="1" si="13"/>
        <v>0</v>
      </c>
      <c r="S13" s="652">
        <f t="shared" ca="1" si="13"/>
        <v>0</v>
      </c>
      <c r="T13" s="652">
        <f t="shared" ca="1" si="13"/>
        <v>0</v>
      </c>
      <c r="U13" s="652">
        <f t="shared" ca="1" si="13"/>
        <v>0</v>
      </c>
      <c r="V13" s="652">
        <f t="shared" ca="1" si="13"/>
        <v>0</v>
      </c>
      <c r="W13" s="652">
        <f t="shared" ca="1" si="13"/>
        <v>0</v>
      </c>
      <c r="X13" s="652">
        <f t="shared" ca="1" si="13"/>
        <v>0</v>
      </c>
      <c r="Y13" s="652">
        <f t="shared" ca="1" si="13"/>
        <v>0</v>
      </c>
      <c r="Z13" s="652">
        <f t="shared" ca="1" si="13"/>
        <v>0</v>
      </c>
      <c r="AA13" s="652">
        <f t="shared" ca="1" si="13"/>
        <v>0</v>
      </c>
      <c r="AB13" s="652">
        <f t="shared" ca="1" si="13"/>
        <v>0</v>
      </c>
      <c r="AC13" s="652">
        <f t="shared" ca="1" si="13"/>
        <v>0</v>
      </c>
      <c r="AD13" s="652">
        <f t="shared" ca="1" si="13"/>
        <v>0</v>
      </c>
      <c r="AE13" s="652">
        <f t="shared" ca="1" si="13"/>
        <v>0</v>
      </c>
      <c r="AF13" s="652">
        <f t="shared" ca="1" si="13"/>
        <v>0</v>
      </c>
      <c r="AG13" s="652">
        <f t="shared" ca="1" si="13"/>
        <v>0</v>
      </c>
      <c r="AH13" s="652">
        <f t="shared" ca="1" si="13"/>
        <v>0</v>
      </c>
      <c r="AI13" s="652">
        <f t="shared" ca="1" si="13"/>
        <v>0</v>
      </c>
      <c r="AJ13" s="652">
        <f t="shared" ca="1" si="13"/>
        <v>121719.49274678095</v>
      </c>
      <c r="AK13" s="652">
        <f t="shared" ca="1" si="13"/>
        <v>121719.49274678095</v>
      </c>
      <c r="AL13" s="652">
        <f t="shared" ca="1" si="13"/>
        <v>121719.49274678095</v>
      </c>
      <c r="AM13" s="652">
        <f t="shared" ca="1" si="13"/>
        <v>121719.49274678095</v>
      </c>
      <c r="AN13" s="652">
        <f t="shared" ca="1" si="13"/>
        <v>121719.49274678095</v>
      </c>
      <c r="AO13" s="652">
        <f t="shared" ca="1" si="13"/>
        <v>121719.49274678095</v>
      </c>
      <c r="AP13" s="652">
        <f t="shared" ca="1" si="13"/>
        <v>121719.49274678095</v>
      </c>
      <c r="AQ13" s="652">
        <f t="shared" ca="1" si="13"/>
        <v>10.299175308573572</v>
      </c>
      <c r="AR13" s="652">
        <f t="shared" ca="1" si="13"/>
        <v>10.299175308573572</v>
      </c>
      <c r="AS13" s="652">
        <f t="shared" ca="1" si="13"/>
        <v>10.299175308573572</v>
      </c>
      <c r="AT13" s="652">
        <f t="shared" ca="1" si="13"/>
        <v>10.299175308573572</v>
      </c>
      <c r="AU13" s="652">
        <f t="shared" ca="1" si="13"/>
        <v>10.299175308573572</v>
      </c>
      <c r="AV13" s="652">
        <f t="shared" ca="1" si="13"/>
        <v>10.299175308573572</v>
      </c>
      <c r="AW13" s="652">
        <f t="shared" ca="1" si="13"/>
        <v>10.299175308573572</v>
      </c>
      <c r="AX13" s="652">
        <f t="shared" ca="1" si="13"/>
        <v>0</v>
      </c>
      <c r="AY13" s="652">
        <f t="shared" ca="1" si="13"/>
        <v>0</v>
      </c>
      <c r="AZ13" s="652">
        <f t="shared" ca="1" si="13"/>
        <v>0</v>
      </c>
      <c r="BA13" s="652">
        <f t="shared" ca="1" si="13"/>
        <v>0</v>
      </c>
      <c r="BB13" s="652">
        <f t="shared" ca="1" si="13"/>
        <v>0</v>
      </c>
      <c r="BC13" s="652">
        <f t="shared" ca="1" si="13"/>
        <v>0</v>
      </c>
      <c r="BD13" s="652">
        <f t="shared" ca="1" si="13"/>
        <v>0</v>
      </c>
      <c r="BE13" s="652" t="str">
        <f t="shared" ca="1" si="4"/>
        <v>Commercial</v>
      </c>
      <c r="BF13" s="652" t="str">
        <f t="shared" ca="1" si="4"/>
        <v>OFFLGElecTotl</v>
      </c>
      <c r="BG13" s="652" t="str">
        <f t="shared" ca="1" si="4"/>
        <v>OFFSMGasHeat</v>
      </c>
      <c r="BH13" s="652" t="str">
        <f t="shared" ca="1" si="4"/>
        <v>KU NonRes</v>
      </c>
      <c r="BI13" s="652" t="str">
        <f t="shared" ca="1" si="4"/>
        <v>KU NonRes</v>
      </c>
      <c r="BJ13" s="652">
        <f t="shared" ca="1" si="4"/>
        <v>20</v>
      </c>
      <c r="BK13" s="652">
        <f t="shared" ca="1" si="4"/>
        <v>164999.99999999994</v>
      </c>
      <c r="BL13" s="652">
        <f t="shared" ca="1" si="5"/>
        <v>164999.99999999994</v>
      </c>
      <c r="BM13" s="652">
        <f t="shared" ca="1" si="5"/>
        <v>164999.99999999994</v>
      </c>
      <c r="BN13" s="652">
        <f t="shared" ca="1" si="5"/>
        <v>164999.99999999994</v>
      </c>
      <c r="BO13" s="652">
        <f t="shared" ca="1" si="5"/>
        <v>164999.99999999994</v>
      </c>
      <c r="BP13" s="652">
        <f t="shared" ca="1" si="5"/>
        <v>164999.99999999994</v>
      </c>
      <c r="BQ13" s="652">
        <f t="shared" ca="1" si="5"/>
        <v>164999.99999999994</v>
      </c>
      <c r="BR13" s="652">
        <f t="shared" ca="1" si="8"/>
        <v>1399.9999999999998</v>
      </c>
      <c r="BS13" s="652">
        <f t="shared" ca="1" si="13"/>
        <v>0</v>
      </c>
      <c r="BT13" s="652">
        <f t="shared" ca="1" si="13"/>
        <v>0</v>
      </c>
      <c r="BU13" s="652">
        <f t="shared" ca="1" si="13"/>
        <v>0</v>
      </c>
      <c r="BV13" s="652">
        <f t="shared" ca="1" si="13"/>
        <v>1154999.9999999998</v>
      </c>
      <c r="BW13" s="652">
        <f t="shared" ca="1" si="13"/>
        <v>852036.44922746671</v>
      </c>
      <c r="BX13" s="652">
        <f t="shared" ca="1" si="13"/>
        <v>72.094227160015009</v>
      </c>
      <c r="BY13" s="652">
        <f t="shared" ca="1" si="13"/>
        <v>0</v>
      </c>
    </row>
    <row r="14" spans="1:77">
      <c r="A14" s="425" t="str">
        <f t="shared" ca="1" si="0"/>
        <v>LI Multifamily - Whole BuildingKU-WeCare Weatherization Project - Multi Family - Complete Package (MF-NonRes Com)</v>
      </c>
      <c r="B14" s="1297" t="str">
        <f t="shared" si="12"/>
        <v>KULI Multifamily - Whole Building</v>
      </c>
      <c r="C14" s="661" t="s">
        <v>173</v>
      </c>
      <c r="D14" s="662" t="s">
        <v>58</v>
      </c>
      <c r="E14" s="652" t="str">
        <f t="shared" ref="E14:G33" ca="1" si="14">VLOOKUP($C14,INDIRECT("'"&amp;$D14&amp;"'!A6:FC1000"),IF(E$6="Participation 2023",MATCH("__Participation 2023",INDIRECT("'"&amp;$D14&amp;"'!1:1"),0),IF(E$6="Participation",MATCH("_Total Plan Summary _Participation",INDIRECT("'"&amp;$D14&amp;"'!1:1"),0),MATCH(E$4&amp;"_"&amp;E$5&amp;"_"&amp;E$6,INDIRECT("'"&amp;$D14&amp;"'!1:1"),0))),0)</f>
        <v>KU-WeCare Weatherization Project - Multi Family - Complete Package (MF-NonRes Com)</v>
      </c>
      <c r="F14" s="652" t="str">
        <f t="shared" ca="1" si="14"/>
        <v>Low Income Heating Assistance Program (LIHEAP) at 200% poverty</v>
      </c>
      <c r="G14" s="652" t="str">
        <f t="shared" ca="1" si="14"/>
        <v>Per Home</v>
      </c>
      <c r="H14" s="652">
        <f t="shared" ca="1" si="13"/>
        <v>199.99999999999994</v>
      </c>
      <c r="I14" s="652">
        <f t="shared" ca="1" si="13"/>
        <v>199.99999999999994</v>
      </c>
      <c r="J14" s="652">
        <f t="shared" ca="1" si="13"/>
        <v>199.99999999999994</v>
      </c>
      <c r="K14" s="652">
        <f t="shared" ca="1" si="13"/>
        <v>199.99999999999994</v>
      </c>
      <c r="L14" s="652">
        <f t="shared" ca="1" si="13"/>
        <v>199.99999999999994</v>
      </c>
      <c r="M14" s="652">
        <f t="shared" ca="1" si="13"/>
        <v>199.99999999999994</v>
      </c>
      <c r="N14" s="652">
        <f t="shared" ca="1" si="13"/>
        <v>199.99999999999994</v>
      </c>
      <c r="O14" s="652">
        <f t="shared" ca="1" si="13"/>
        <v>0</v>
      </c>
      <c r="P14" s="652">
        <f t="shared" ca="1" si="13"/>
        <v>0</v>
      </c>
      <c r="Q14" s="652">
        <f t="shared" ca="1" si="13"/>
        <v>0</v>
      </c>
      <c r="R14" s="652">
        <f t="shared" ca="1" si="13"/>
        <v>0</v>
      </c>
      <c r="S14" s="652">
        <f t="shared" ca="1" si="13"/>
        <v>0</v>
      </c>
      <c r="T14" s="652">
        <f t="shared" ca="1" si="13"/>
        <v>0</v>
      </c>
      <c r="U14" s="652">
        <f t="shared" ca="1" si="13"/>
        <v>0</v>
      </c>
      <c r="V14" s="652">
        <f t="shared" ca="1" si="13"/>
        <v>0</v>
      </c>
      <c r="W14" s="652">
        <f t="shared" ca="1" si="13"/>
        <v>0</v>
      </c>
      <c r="X14" s="652">
        <f t="shared" ca="1" si="13"/>
        <v>0</v>
      </c>
      <c r="Y14" s="652">
        <f t="shared" ca="1" si="13"/>
        <v>0</v>
      </c>
      <c r="Z14" s="652">
        <f t="shared" ca="1" si="13"/>
        <v>0</v>
      </c>
      <c r="AA14" s="652">
        <f t="shared" ca="1" si="13"/>
        <v>0</v>
      </c>
      <c r="AB14" s="652">
        <f t="shared" ca="1" si="13"/>
        <v>0</v>
      </c>
      <c r="AC14" s="652">
        <f t="shared" ca="1" si="13"/>
        <v>0</v>
      </c>
      <c r="AD14" s="652">
        <f t="shared" ca="1" si="13"/>
        <v>0</v>
      </c>
      <c r="AE14" s="652">
        <f t="shared" ca="1" si="13"/>
        <v>0</v>
      </c>
      <c r="AF14" s="652">
        <f t="shared" ca="1" si="13"/>
        <v>0</v>
      </c>
      <c r="AG14" s="652">
        <f t="shared" ca="1" si="13"/>
        <v>0</v>
      </c>
      <c r="AH14" s="652">
        <f t="shared" ca="1" si="13"/>
        <v>0</v>
      </c>
      <c r="AI14" s="652">
        <f t="shared" ca="1" si="13"/>
        <v>0</v>
      </c>
      <c r="AJ14" s="652">
        <f t="shared" ca="1" si="13"/>
        <v>121719.49274678095</v>
      </c>
      <c r="AK14" s="652">
        <f t="shared" ca="1" si="13"/>
        <v>121719.49274678095</v>
      </c>
      <c r="AL14" s="652">
        <f t="shared" ca="1" si="13"/>
        <v>121719.49274678095</v>
      </c>
      <c r="AM14" s="652">
        <f t="shared" ca="1" si="13"/>
        <v>121719.49274678095</v>
      </c>
      <c r="AN14" s="652">
        <f t="shared" ca="1" si="13"/>
        <v>121719.49274678095</v>
      </c>
      <c r="AO14" s="652">
        <f t="shared" ca="1" si="13"/>
        <v>121719.49274678095</v>
      </c>
      <c r="AP14" s="652">
        <f t="shared" ca="1" si="13"/>
        <v>121719.49274678095</v>
      </c>
      <c r="AQ14" s="652">
        <f t="shared" ca="1" si="13"/>
        <v>10.299175308573572</v>
      </c>
      <c r="AR14" s="652">
        <f t="shared" ca="1" si="13"/>
        <v>10.299175308573572</v>
      </c>
      <c r="AS14" s="652">
        <f t="shared" ca="1" si="13"/>
        <v>10.299175308573572</v>
      </c>
      <c r="AT14" s="652">
        <f t="shared" ca="1" si="13"/>
        <v>10.299175308573572</v>
      </c>
      <c r="AU14" s="652">
        <f t="shared" ca="1" si="13"/>
        <v>10.299175308573572</v>
      </c>
      <c r="AV14" s="652">
        <f t="shared" ca="1" si="13"/>
        <v>10.299175308573572</v>
      </c>
      <c r="AW14" s="652">
        <f t="shared" ca="1" si="13"/>
        <v>10.299175308573572</v>
      </c>
      <c r="AX14" s="652">
        <f t="shared" ca="1" si="13"/>
        <v>0</v>
      </c>
      <c r="AY14" s="652">
        <f t="shared" ca="1" si="13"/>
        <v>0</v>
      </c>
      <c r="AZ14" s="652">
        <f t="shared" ca="1" si="13"/>
        <v>0</v>
      </c>
      <c r="BA14" s="652">
        <f t="shared" ca="1" si="13"/>
        <v>0</v>
      </c>
      <c r="BB14" s="652">
        <f t="shared" ca="1" si="13"/>
        <v>0</v>
      </c>
      <c r="BC14" s="652">
        <f t="shared" ca="1" si="13"/>
        <v>0</v>
      </c>
      <c r="BD14" s="652">
        <f t="shared" ca="1" si="13"/>
        <v>0</v>
      </c>
      <c r="BE14" s="652" t="str">
        <f t="shared" ca="1" si="4"/>
        <v>Commercial</v>
      </c>
      <c r="BF14" s="652" t="str">
        <f t="shared" ca="1" si="4"/>
        <v>OFFLGElecTotl</v>
      </c>
      <c r="BG14" s="652" t="str">
        <f t="shared" ca="1" si="4"/>
        <v>OFFSMGasHeat</v>
      </c>
      <c r="BH14" s="652" t="str">
        <f t="shared" ca="1" si="4"/>
        <v>KU NonRes</v>
      </c>
      <c r="BI14" s="652" t="str">
        <f t="shared" ca="1" si="4"/>
        <v>KU NonRes</v>
      </c>
      <c r="BJ14" s="652">
        <f t="shared" ca="1" si="4"/>
        <v>20</v>
      </c>
      <c r="BK14" s="652">
        <f t="shared" ca="1" si="4"/>
        <v>164999.99999999994</v>
      </c>
      <c r="BL14" s="652">
        <f t="shared" ca="1" si="5"/>
        <v>164999.99999999994</v>
      </c>
      <c r="BM14" s="652">
        <f t="shared" ca="1" si="5"/>
        <v>164999.99999999994</v>
      </c>
      <c r="BN14" s="652">
        <f t="shared" ca="1" si="5"/>
        <v>164999.99999999994</v>
      </c>
      <c r="BO14" s="652">
        <f t="shared" ca="1" si="5"/>
        <v>164999.99999999994</v>
      </c>
      <c r="BP14" s="652">
        <f t="shared" ca="1" si="5"/>
        <v>164999.99999999994</v>
      </c>
      <c r="BQ14" s="652">
        <f t="shared" ca="1" si="5"/>
        <v>164999.99999999994</v>
      </c>
      <c r="BR14" s="652">
        <f t="shared" ca="1" si="8"/>
        <v>1399.9999999999998</v>
      </c>
      <c r="BS14" s="652">
        <f t="shared" ca="1" si="13"/>
        <v>0</v>
      </c>
      <c r="BT14" s="652">
        <f t="shared" ca="1" si="13"/>
        <v>0</v>
      </c>
      <c r="BU14" s="652">
        <f t="shared" ca="1" si="13"/>
        <v>0</v>
      </c>
      <c r="BV14" s="652">
        <f t="shared" ca="1" si="13"/>
        <v>1154999.9999999998</v>
      </c>
      <c r="BW14" s="652">
        <f t="shared" ca="1" si="13"/>
        <v>852036.44922746671</v>
      </c>
      <c r="BX14" s="652">
        <f t="shared" ca="1" si="13"/>
        <v>72.094227160015009</v>
      </c>
      <c r="BY14" s="652">
        <f t="shared" ca="1" si="13"/>
        <v>0</v>
      </c>
    </row>
    <row r="15" spans="1:77">
      <c r="A15" s="425" t="str">
        <f t="shared" ca="1" si="0"/>
        <v>LI Multifamily - Whole BuildingKU-Direct Install - Water Conservation Bathroom Aerators</v>
      </c>
      <c r="B15" s="1297" t="str">
        <f t="shared" ref="B15:B16" si="15">IF(ISNUMBER(SEARCH("KU",C15)),"KU"&amp;D15,"LG&amp;E"&amp;D15)</f>
        <v>KULI Multifamily - Whole Building</v>
      </c>
      <c r="C15" s="661" t="s">
        <v>175</v>
      </c>
      <c r="D15" s="662" t="s">
        <v>58</v>
      </c>
      <c r="E15" s="652" t="str">
        <f ca="1">VLOOKUP($C15,INDIRECT("'"&amp;$D15&amp;"'!A6:FC1000"),IF(E$6="Participation 2023",MATCH("__Participation 2023",INDIRECT("'"&amp;$D15&amp;"'!1:1"),0),IF(E$6="Participation",MATCH("_Total Plan Summary _Participation",INDIRECT("'"&amp;$D15&amp;"'!1:1"),0),MATCH(E$4&amp;"_"&amp;E$5&amp;"_"&amp;E$6,INDIRECT("'"&amp;$D15&amp;"'!1:1"),0))),0)</f>
        <v>KU-Direct Install - Water Conservation Bathroom Aerators</v>
      </c>
      <c r="F15" s="652" t="str">
        <f t="shared" ca="1" si="2"/>
        <v>Aerators 0.5 GPM</v>
      </c>
      <c r="G15" s="652" t="str">
        <f t="shared" ca="1" si="2"/>
        <v>Per Unit</v>
      </c>
      <c r="H15" s="652">
        <f t="shared" ref="H15:BY17" ca="1" si="16">VLOOKUP($C15,INDIRECT("'"&amp;$D15&amp;"'!A6:FR1000"),IF(H$6="Participation 2023",MATCH("__Participation 2023",INDIRECT("'"&amp;$D15&amp;"'!1:1"),0),IF(H$6="Participation",MATCH("_Total Plan Summary _Participation",INDIRECT("'"&amp;$D15&amp;"'!1:1"),0),MATCH(H$4&amp;"_"&amp;H$5&amp;"_"&amp;H$6,INDIRECT("'"&amp;$D15&amp;"'!1:1"),0))),0)</f>
        <v>0</v>
      </c>
      <c r="I15" s="652">
        <f t="shared" ca="1" si="16"/>
        <v>0</v>
      </c>
      <c r="J15" s="652">
        <f t="shared" ca="1" si="16"/>
        <v>0</v>
      </c>
      <c r="K15" s="652">
        <f t="shared" ca="1" si="16"/>
        <v>0</v>
      </c>
      <c r="L15" s="652">
        <f t="shared" ca="1" si="16"/>
        <v>0</v>
      </c>
      <c r="M15" s="652">
        <f t="shared" ca="1" si="16"/>
        <v>0</v>
      </c>
      <c r="N15" s="652">
        <f t="shared" ca="1" si="16"/>
        <v>0</v>
      </c>
      <c r="O15" s="652">
        <f t="shared" ca="1" si="16"/>
        <v>0</v>
      </c>
      <c r="P15" s="652">
        <f t="shared" ca="1" si="16"/>
        <v>0</v>
      </c>
      <c r="Q15" s="652">
        <f t="shared" ca="1" si="16"/>
        <v>0</v>
      </c>
      <c r="R15" s="652">
        <f t="shared" ca="1" si="16"/>
        <v>0</v>
      </c>
      <c r="S15" s="652">
        <f t="shared" ca="1" si="16"/>
        <v>0</v>
      </c>
      <c r="T15" s="652">
        <f t="shared" ca="1" si="16"/>
        <v>0</v>
      </c>
      <c r="U15" s="652">
        <f t="shared" ca="1" si="16"/>
        <v>0</v>
      </c>
      <c r="V15" s="652">
        <f t="shared" ca="1" si="16"/>
        <v>0</v>
      </c>
      <c r="W15" s="652">
        <f t="shared" ca="1" si="16"/>
        <v>0</v>
      </c>
      <c r="X15" s="652">
        <f t="shared" ca="1" si="16"/>
        <v>0</v>
      </c>
      <c r="Y15" s="652">
        <f t="shared" ca="1" si="16"/>
        <v>0</v>
      </c>
      <c r="Z15" s="652">
        <f t="shared" ca="1" si="16"/>
        <v>0</v>
      </c>
      <c r="AA15" s="652">
        <f t="shared" ca="1" si="16"/>
        <v>0</v>
      </c>
      <c r="AB15" s="652">
        <f t="shared" ca="1" si="16"/>
        <v>0</v>
      </c>
      <c r="AC15" s="652">
        <f t="shared" ca="1" si="16"/>
        <v>0</v>
      </c>
      <c r="AD15" s="652">
        <f t="shared" ca="1" si="16"/>
        <v>0</v>
      </c>
      <c r="AE15" s="652">
        <f t="shared" ca="1" si="16"/>
        <v>0</v>
      </c>
      <c r="AF15" s="652">
        <f t="shared" ca="1" si="16"/>
        <v>0</v>
      </c>
      <c r="AG15" s="652">
        <f t="shared" ca="1" si="16"/>
        <v>0</v>
      </c>
      <c r="AH15" s="652">
        <f t="shared" ca="1" si="16"/>
        <v>0</v>
      </c>
      <c r="AI15" s="652">
        <f t="shared" ca="1" si="16"/>
        <v>0</v>
      </c>
      <c r="AJ15" s="652">
        <f ca="1">VLOOKUP($C15,INDIRECT("'"&amp;$D15&amp;"'!A6:FR1000"),IF(AJ$6="Participation 2023",MATCH("__Participation 2023",INDIRECT("'"&amp;$D15&amp;"'!1:1"),0),IF(AJ$6="Participation",MATCH("_Total Plan Summary _Participation",INDIRECT("'"&amp;$D15&amp;"'!1:1"),0),MATCH(AJ$4&amp;"_"&amp;AJ$5&amp;"_"&amp;AJ$6,INDIRECT("'"&amp;$D15&amp;"'!1:1"),0))),0)</f>
        <v>0</v>
      </c>
      <c r="AK15" s="652">
        <f t="shared" ca="1" si="16"/>
        <v>0</v>
      </c>
      <c r="AL15" s="652">
        <f t="shared" ca="1" si="16"/>
        <v>0</v>
      </c>
      <c r="AM15" s="652">
        <f t="shared" ca="1" si="16"/>
        <v>0</v>
      </c>
      <c r="AN15" s="652">
        <f t="shared" ca="1" si="16"/>
        <v>0</v>
      </c>
      <c r="AO15" s="652">
        <f t="shared" ca="1" si="16"/>
        <v>0</v>
      </c>
      <c r="AP15" s="652">
        <f t="shared" ca="1" si="16"/>
        <v>0</v>
      </c>
      <c r="AQ15" s="652">
        <f t="shared" ca="1" si="16"/>
        <v>0</v>
      </c>
      <c r="AR15" s="652">
        <f t="shared" ca="1" si="16"/>
        <v>0</v>
      </c>
      <c r="AS15" s="652">
        <f t="shared" ca="1" si="16"/>
        <v>0</v>
      </c>
      <c r="AT15" s="652">
        <f t="shared" ca="1" si="16"/>
        <v>0</v>
      </c>
      <c r="AU15" s="652">
        <f t="shared" ca="1" si="16"/>
        <v>0</v>
      </c>
      <c r="AV15" s="652">
        <f t="shared" ca="1" si="16"/>
        <v>0</v>
      </c>
      <c r="AW15" s="652">
        <f t="shared" ca="1" si="16"/>
        <v>0</v>
      </c>
      <c r="AX15" s="652">
        <f t="shared" ca="1" si="16"/>
        <v>0</v>
      </c>
      <c r="AY15" s="652">
        <f t="shared" ca="1" si="16"/>
        <v>0</v>
      </c>
      <c r="AZ15" s="652">
        <f t="shared" ca="1" si="16"/>
        <v>0</v>
      </c>
      <c r="BA15" s="652">
        <f t="shared" ca="1" si="16"/>
        <v>0</v>
      </c>
      <c r="BB15" s="652">
        <f t="shared" ca="1" si="16"/>
        <v>0</v>
      </c>
      <c r="BC15" s="652">
        <f t="shared" ca="1" si="16"/>
        <v>0</v>
      </c>
      <c r="BD15" s="652">
        <f t="shared" ca="1" si="16"/>
        <v>0</v>
      </c>
      <c r="BE15" s="652" t="str">
        <f t="shared" ca="1" si="4"/>
        <v>Residential</v>
      </c>
      <c r="BF15" s="652" t="str">
        <f t="shared" ca="1" si="4"/>
        <v>ResHotWater - MF Wtd</v>
      </c>
      <c r="BG15" s="652" t="str">
        <f t="shared" ca="1" si="4"/>
        <v>ResMFGasDHW</v>
      </c>
      <c r="BH15" s="652" t="str">
        <f t="shared" ca="1" si="4"/>
        <v>KU NonRes</v>
      </c>
      <c r="BI15" s="652" t="str">
        <f t="shared" ca="1" si="4"/>
        <v>KU NonRes</v>
      </c>
      <c r="BJ15" s="652">
        <f t="shared" ca="1" si="4"/>
        <v>10</v>
      </c>
      <c r="BK15" s="652">
        <f t="shared" ca="1" si="4"/>
        <v>0</v>
      </c>
      <c r="BL15" s="652">
        <f t="shared" ca="1" si="5"/>
        <v>0</v>
      </c>
      <c r="BM15" s="652">
        <f t="shared" ca="1" si="5"/>
        <v>0</v>
      </c>
      <c r="BN15" s="652">
        <f t="shared" ca="1" si="5"/>
        <v>0</v>
      </c>
      <c r="BO15" s="652">
        <f t="shared" ca="1" si="5"/>
        <v>0</v>
      </c>
      <c r="BP15" s="652">
        <f t="shared" ca="1" si="5"/>
        <v>0</v>
      </c>
      <c r="BQ15" s="652">
        <f t="shared" ca="1" si="5"/>
        <v>0</v>
      </c>
      <c r="BR15" s="652">
        <f t="shared" ca="1" si="8"/>
        <v>0</v>
      </c>
      <c r="BS15" s="652">
        <f t="shared" ca="1" si="16"/>
        <v>0</v>
      </c>
      <c r="BT15" s="652">
        <f t="shared" ca="1" si="16"/>
        <v>0</v>
      </c>
      <c r="BU15" s="652">
        <f t="shared" ca="1" si="16"/>
        <v>0</v>
      </c>
      <c r="BV15" s="652">
        <f t="shared" ca="1" si="16"/>
        <v>0</v>
      </c>
      <c r="BW15" s="652">
        <f t="shared" ca="1" si="16"/>
        <v>0</v>
      </c>
      <c r="BX15" s="652">
        <f t="shared" ca="1" si="16"/>
        <v>0</v>
      </c>
      <c r="BY15" s="652">
        <f t="shared" ca="1" si="16"/>
        <v>0</v>
      </c>
    </row>
    <row r="16" spans="1:77">
      <c r="A16" s="425" t="str">
        <f t="shared" ca="1" si="0"/>
        <v>LI Multifamily - Whole BuildingKU-Direct Install - Water Conservation Kitchen Aerators</v>
      </c>
      <c r="B16" s="1297" t="str">
        <f t="shared" si="15"/>
        <v>KULI Multifamily - Whole Building</v>
      </c>
      <c r="C16" s="661" t="s">
        <v>176</v>
      </c>
      <c r="D16" s="662" t="s">
        <v>58</v>
      </c>
      <c r="E16" s="652" t="str">
        <f t="shared" ca="1" si="14"/>
        <v>KU-Direct Install - Water Conservation Kitchen Aerators</v>
      </c>
      <c r="F16" s="652" t="str">
        <f t="shared" ca="1" si="14"/>
        <v>Aerators 1.5 GPM</v>
      </c>
      <c r="G16" s="652" t="str">
        <f t="shared" ca="1" si="14"/>
        <v>Per Unit</v>
      </c>
      <c r="H16" s="652">
        <f t="shared" ca="1" si="16"/>
        <v>0</v>
      </c>
      <c r="I16" s="652">
        <f t="shared" ca="1" si="16"/>
        <v>0</v>
      </c>
      <c r="J16" s="652">
        <f t="shared" ca="1" si="16"/>
        <v>0</v>
      </c>
      <c r="K16" s="652">
        <f t="shared" ca="1" si="16"/>
        <v>0</v>
      </c>
      <c r="L16" s="652">
        <f t="shared" ca="1" si="16"/>
        <v>0</v>
      </c>
      <c r="M16" s="652">
        <f t="shared" ca="1" si="16"/>
        <v>0</v>
      </c>
      <c r="N16" s="652">
        <f t="shared" ca="1" si="16"/>
        <v>0</v>
      </c>
      <c r="O16" s="652">
        <f t="shared" ca="1" si="16"/>
        <v>0</v>
      </c>
      <c r="P16" s="652">
        <f t="shared" ca="1" si="16"/>
        <v>0</v>
      </c>
      <c r="Q16" s="652">
        <f t="shared" ca="1" si="16"/>
        <v>0</v>
      </c>
      <c r="R16" s="652">
        <f t="shared" ca="1" si="16"/>
        <v>0</v>
      </c>
      <c r="S16" s="652">
        <f t="shared" ca="1" si="16"/>
        <v>0</v>
      </c>
      <c r="T16" s="652">
        <f t="shared" ca="1" si="16"/>
        <v>0</v>
      </c>
      <c r="U16" s="652">
        <f t="shared" ca="1" si="16"/>
        <v>0</v>
      </c>
      <c r="V16" s="652">
        <f t="shared" ca="1" si="16"/>
        <v>0</v>
      </c>
      <c r="W16" s="652">
        <f t="shared" ca="1" si="16"/>
        <v>0</v>
      </c>
      <c r="X16" s="652">
        <f t="shared" ca="1" si="16"/>
        <v>0</v>
      </c>
      <c r="Y16" s="652">
        <f t="shared" ca="1" si="16"/>
        <v>0</v>
      </c>
      <c r="Z16" s="652">
        <f t="shared" ca="1" si="16"/>
        <v>0</v>
      </c>
      <c r="AA16" s="652">
        <f t="shared" ca="1" si="16"/>
        <v>0</v>
      </c>
      <c r="AB16" s="652">
        <f t="shared" ca="1" si="16"/>
        <v>0</v>
      </c>
      <c r="AC16" s="652">
        <f t="shared" ca="1" si="16"/>
        <v>0</v>
      </c>
      <c r="AD16" s="652">
        <f t="shared" ca="1" si="16"/>
        <v>0</v>
      </c>
      <c r="AE16" s="652">
        <f t="shared" ca="1" si="16"/>
        <v>0</v>
      </c>
      <c r="AF16" s="652">
        <f t="shared" ca="1" si="16"/>
        <v>0</v>
      </c>
      <c r="AG16" s="652">
        <f t="shared" ca="1" si="16"/>
        <v>0</v>
      </c>
      <c r="AH16" s="652">
        <f t="shared" ca="1" si="16"/>
        <v>0</v>
      </c>
      <c r="AI16" s="652">
        <f t="shared" ca="1" si="16"/>
        <v>0</v>
      </c>
      <c r="AJ16" s="652">
        <f t="shared" ca="1" si="16"/>
        <v>0</v>
      </c>
      <c r="AK16" s="652">
        <f t="shared" ca="1" si="16"/>
        <v>0</v>
      </c>
      <c r="AL16" s="652">
        <f t="shared" ca="1" si="16"/>
        <v>0</v>
      </c>
      <c r="AM16" s="652">
        <f t="shared" ca="1" si="16"/>
        <v>0</v>
      </c>
      <c r="AN16" s="652">
        <f t="shared" ca="1" si="16"/>
        <v>0</v>
      </c>
      <c r="AO16" s="652">
        <f t="shared" ca="1" si="16"/>
        <v>0</v>
      </c>
      <c r="AP16" s="652">
        <f t="shared" ca="1" si="16"/>
        <v>0</v>
      </c>
      <c r="AQ16" s="652">
        <f t="shared" ca="1" si="16"/>
        <v>0</v>
      </c>
      <c r="AR16" s="652">
        <f t="shared" ca="1" si="16"/>
        <v>0</v>
      </c>
      <c r="AS16" s="652">
        <f t="shared" ca="1" si="16"/>
        <v>0</v>
      </c>
      <c r="AT16" s="652">
        <f t="shared" ca="1" si="16"/>
        <v>0</v>
      </c>
      <c r="AU16" s="652">
        <f t="shared" ca="1" si="16"/>
        <v>0</v>
      </c>
      <c r="AV16" s="652">
        <f t="shared" ca="1" si="16"/>
        <v>0</v>
      </c>
      <c r="AW16" s="652">
        <f t="shared" ca="1" si="16"/>
        <v>0</v>
      </c>
      <c r="AX16" s="652">
        <f t="shared" ca="1" si="16"/>
        <v>0</v>
      </c>
      <c r="AY16" s="652">
        <f t="shared" ca="1" si="16"/>
        <v>0</v>
      </c>
      <c r="AZ16" s="652">
        <f t="shared" ca="1" si="16"/>
        <v>0</v>
      </c>
      <c r="BA16" s="652">
        <f t="shared" ca="1" si="16"/>
        <v>0</v>
      </c>
      <c r="BB16" s="652">
        <f t="shared" ca="1" si="16"/>
        <v>0</v>
      </c>
      <c r="BC16" s="652">
        <f t="shared" ca="1" si="16"/>
        <v>0</v>
      </c>
      <c r="BD16" s="652">
        <f t="shared" ca="1" si="16"/>
        <v>0</v>
      </c>
      <c r="BE16" s="652" t="str">
        <f t="shared" ca="1" si="4"/>
        <v>Residential</v>
      </c>
      <c r="BF16" s="652" t="str">
        <f t="shared" ca="1" si="4"/>
        <v>ResHotWater - MF Wtd</v>
      </c>
      <c r="BG16" s="652" t="str">
        <f t="shared" ca="1" si="4"/>
        <v>ResMFGasDHW</v>
      </c>
      <c r="BH16" s="652" t="str">
        <f t="shared" ca="1" si="4"/>
        <v>KU NonRes</v>
      </c>
      <c r="BI16" s="652" t="str">
        <f t="shared" ca="1" si="4"/>
        <v>KU NonRes</v>
      </c>
      <c r="BJ16" s="652">
        <f t="shared" ca="1" si="4"/>
        <v>10</v>
      </c>
      <c r="BK16" s="652">
        <f t="shared" ca="1" si="4"/>
        <v>0</v>
      </c>
      <c r="BL16" s="652">
        <f t="shared" ca="1" si="5"/>
        <v>0</v>
      </c>
      <c r="BM16" s="652">
        <f t="shared" ca="1" si="5"/>
        <v>0</v>
      </c>
      <c r="BN16" s="652">
        <f t="shared" ca="1" si="5"/>
        <v>0</v>
      </c>
      <c r="BO16" s="652">
        <f t="shared" ca="1" si="5"/>
        <v>0</v>
      </c>
      <c r="BP16" s="652">
        <f t="shared" ca="1" si="5"/>
        <v>0</v>
      </c>
      <c r="BQ16" s="652">
        <f t="shared" ca="1" si="5"/>
        <v>0</v>
      </c>
      <c r="BR16" s="652">
        <f t="shared" ca="1" si="8"/>
        <v>0</v>
      </c>
      <c r="BS16" s="652">
        <f t="shared" ca="1" si="16"/>
        <v>0</v>
      </c>
      <c r="BT16" s="652">
        <f t="shared" ca="1" si="16"/>
        <v>0</v>
      </c>
      <c r="BU16" s="652">
        <f t="shared" ca="1" si="16"/>
        <v>0</v>
      </c>
      <c r="BV16" s="652">
        <f t="shared" ca="1" si="16"/>
        <v>0</v>
      </c>
      <c r="BW16" s="652">
        <f t="shared" ca="1" si="16"/>
        <v>0</v>
      </c>
      <c r="BX16" s="652">
        <f t="shared" ca="1" si="16"/>
        <v>0</v>
      </c>
      <c r="BY16" s="652">
        <f t="shared" ca="1" si="16"/>
        <v>0</v>
      </c>
    </row>
    <row r="17" spans="1:77">
      <c r="A17" s="425" t="str">
        <f t="shared" ca="1" si="0"/>
        <v>LI Multifamily - Whole BuildingKU-Direct Install - Water Conservation Showerheads</v>
      </c>
      <c r="B17" s="1297" t="str">
        <f t="shared" ref="B17" si="17">IF(ISNUMBER(SEARCH("KU",C17)),"KU"&amp;D17,"LG&amp;E"&amp;D17)</f>
        <v>KULI Multifamily - Whole Building</v>
      </c>
      <c r="C17" s="661" t="s">
        <v>177</v>
      </c>
      <c r="D17" s="662" t="s">
        <v>58</v>
      </c>
      <c r="E17" s="652" t="str">
        <f t="shared" ca="1" si="14"/>
        <v>KU-Direct Install - Water Conservation Showerheads</v>
      </c>
      <c r="F17" s="652" t="str">
        <f t="shared" ca="1" si="14"/>
        <v>Showerhead 1.5 GPM</v>
      </c>
      <c r="G17" s="652" t="str">
        <f t="shared" ca="1" si="14"/>
        <v>Per Unit</v>
      </c>
      <c r="H17" s="652">
        <f t="shared" ca="1" si="16"/>
        <v>0</v>
      </c>
      <c r="I17" s="652">
        <f t="shared" ca="1" si="16"/>
        <v>0</v>
      </c>
      <c r="J17" s="652">
        <f t="shared" ca="1" si="16"/>
        <v>0</v>
      </c>
      <c r="K17" s="652">
        <f t="shared" ca="1" si="16"/>
        <v>0</v>
      </c>
      <c r="L17" s="652">
        <f t="shared" ca="1" si="16"/>
        <v>0</v>
      </c>
      <c r="M17" s="652">
        <f t="shared" ca="1" si="16"/>
        <v>0</v>
      </c>
      <c r="N17" s="652">
        <f t="shared" ca="1" si="16"/>
        <v>0</v>
      </c>
      <c r="O17" s="652">
        <f t="shared" ca="1" si="16"/>
        <v>0</v>
      </c>
      <c r="P17" s="652">
        <f t="shared" ca="1" si="16"/>
        <v>0</v>
      </c>
      <c r="Q17" s="652">
        <f t="shared" ca="1" si="16"/>
        <v>0</v>
      </c>
      <c r="R17" s="652">
        <f t="shared" ca="1" si="16"/>
        <v>0</v>
      </c>
      <c r="S17" s="652">
        <f t="shared" ca="1" si="16"/>
        <v>0</v>
      </c>
      <c r="T17" s="652">
        <f t="shared" ca="1" si="16"/>
        <v>0</v>
      </c>
      <c r="U17" s="652">
        <f t="shared" ca="1" si="16"/>
        <v>0</v>
      </c>
      <c r="V17" s="652">
        <f t="shared" ca="1" si="16"/>
        <v>0</v>
      </c>
      <c r="W17" s="652">
        <f t="shared" ca="1" si="16"/>
        <v>0</v>
      </c>
      <c r="X17" s="652">
        <f t="shared" ca="1" si="16"/>
        <v>0</v>
      </c>
      <c r="Y17" s="652">
        <f t="shared" ca="1" si="16"/>
        <v>0</v>
      </c>
      <c r="Z17" s="652">
        <f t="shared" ca="1" si="16"/>
        <v>0</v>
      </c>
      <c r="AA17" s="652">
        <f t="shared" ca="1" si="16"/>
        <v>0</v>
      </c>
      <c r="AB17" s="652">
        <f t="shared" ca="1" si="16"/>
        <v>0</v>
      </c>
      <c r="AC17" s="652">
        <f t="shared" ca="1" si="16"/>
        <v>0</v>
      </c>
      <c r="AD17" s="652">
        <f t="shared" ca="1" si="16"/>
        <v>0</v>
      </c>
      <c r="AE17" s="652">
        <f t="shared" ca="1" si="16"/>
        <v>0</v>
      </c>
      <c r="AF17" s="652">
        <f t="shared" ca="1" si="16"/>
        <v>0</v>
      </c>
      <c r="AG17" s="652">
        <f t="shared" ca="1" si="16"/>
        <v>0</v>
      </c>
      <c r="AH17" s="652">
        <f t="shared" ca="1" si="16"/>
        <v>0</v>
      </c>
      <c r="AI17" s="652">
        <f t="shared" ca="1" si="16"/>
        <v>0</v>
      </c>
      <c r="AJ17" s="652">
        <f t="shared" ca="1" si="16"/>
        <v>0</v>
      </c>
      <c r="AK17" s="652">
        <f t="shared" ca="1" si="16"/>
        <v>0</v>
      </c>
      <c r="AL17" s="652">
        <f t="shared" ca="1" si="16"/>
        <v>0</v>
      </c>
      <c r="AM17" s="652">
        <f t="shared" ca="1" si="16"/>
        <v>0</v>
      </c>
      <c r="AN17" s="652">
        <f t="shared" ca="1" si="16"/>
        <v>0</v>
      </c>
      <c r="AO17" s="652">
        <f t="shared" ca="1" si="16"/>
        <v>0</v>
      </c>
      <c r="AP17" s="652">
        <f t="shared" ca="1" si="16"/>
        <v>0</v>
      </c>
      <c r="AQ17" s="652">
        <f t="shared" ca="1" si="16"/>
        <v>0</v>
      </c>
      <c r="AR17" s="652">
        <f t="shared" ca="1" si="16"/>
        <v>0</v>
      </c>
      <c r="AS17" s="652">
        <f t="shared" ca="1" si="16"/>
        <v>0</v>
      </c>
      <c r="AT17" s="652">
        <f t="shared" ca="1" si="16"/>
        <v>0</v>
      </c>
      <c r="AU17" s="652">
        <f t="shared" ca="1" si="16"/>
        <v>0</v>
      </c>
      <c r="AV17" s="652">
        <f t="shared" ca="1" si="16"/>
        <v>0</v>
      </c>
      <c r="AW17" s="652">
        <f t="shared" ca="1" si="16"/>
        <v>0</v>
      </c>
      <c r="AX17" s="652">
        <f t="shared" ca="1" si="16"/>
        <v>0</v>
      </c>
      <c r="AY17" s="652">
        <f t="shared" ca="1" si="16"/>
        <v>0</v>
      </c>
      <c r="AZ17" s="652">
        <f t="shared" ca="1" si="16"/>
        <v>0</v>
      </c>
      <c r="BA17" s="652">
        <f t="shared" ca="1" si="16"/>
        <v>0</v>
      </c>
      <c r="BB17" s="652">
        <f t="shared" ca="1" si="16"/>
        <v>0</v>
      </c>
      <c r="BC17" s="652">
        <f t="shared" ca="1" si="16"/>
        <v>0</v>
      </c>
      <c r="BD17" s="652">
        <f t="shared" ca="1" si="16"/>
        <v>0</v>
      </c>
      <c r="BE17" s="652" t="str">
        <f t="shared" ca="1" si="16"/>
        <v>Residential</v>
      </c>
      <c r="BF17" s="652" t="str">
        <f t="shared" ca="1" si="16"/>
        <v>ResHotWater - MF Wtd</v>
      </c>
      <c r="BG17" s="652" t="str">
        <f t="shared" ca="1" si="16"/>
        <v>ResMFGasDHW</v>
      </c>
      <c r="BH17" s="652" t="str">
        <f t="shared" ca="1" si="16"/>
        <v>KU NonRes</v>
      </c>
      <c r="BI17" s="652" t="str">
        <f t="shared" ca="1" si="16"/>
        <v>KU NonRes</v>
      </c>
      <c r="BJ17" s="652">
        <f t="shared" ca="1" si="4"/>
        <v>10</v>
      </c>
      <c r="BK17" s="652">
        <f t="shared" ca="1" si="4"/>
        <v>0</v>
      </c>
      <c r="BL17" s="652">
        <f t="shared" ca="1" si="5"/>
        <v>0</v>
      </c>
      <c r="BM17" s="652">
        <f t="shared" ca="1" si="5"/>
        <v>0</v>
      </c>
      <c r="BN17" s="652">
        <f t="shared" ca="1" si="5"/>
        <v>0</v>
      </c>
      <c r="BO17" s="652">
        <f t="shared" ca="1" si="5"/>
        <v>0</v>
      </c>
      <c r="BP17" s="652">
        <f t="shared" ca="1" si="5"/>
        <v>0</v>
      </c>
      <c r="BQ17" s="652">
        <f t="shared" ca="1" si="5"/>
        <v>0</v>
      </c>
      <c r="BR17" s="652">
        <f t="shared" ca="1" si="8"/>
        <v>0</v>
      </c>
      <c r="BS17" s="652">
        <f t="shared" ca="1" si="16"/>
        <v>0</v>
      </c>
      <c r="BT17" s="652">
        <f t="shared" ca="1" si="16"/>
        <v>0</v>
      </c>
      <c r="BU17" s="652">
        <f t="shared" ca="1" si="16"/>
        <v>0</v>
      </c>
      <c r="BV17" s="652">
        <f t="shared" ca="1" si="16"/>
        <v>0</v>
      </c>
      <c r="BW17" s="652">
        <f t="shared" ca="1" si="16"/>
        <v>0</v>
      </c>
      <c r="BX17" s="652">
        <f t="shared" ca="1" si="16"/>
        <v>0</v>
      </c>
      <c r="BY17" s="652">
        <f t="shared" ca="1" si="16"/>
        <v>0</v>
      </c>
    </row>
    <row r="18" spans="1:77">
      <c r="A18" s="425" t="str">
        <f t="shared" ca="1" si="0"/>
        <v>LI Multifamily - Whole BuildingKU-Custom MF Retrofit Common Area</v>
      </c>
      <c r="B18" s="1298" t="str">
        <f>IF(ISNUMBER(SEARCH("KU",C18)),"KU"&amp;D18,"LG&amp;E"&amp;D18)</f>
        <v>KULI Multifamily - Whole Building</v>
      </c>
      <c r="C18" s="661" t="s">
        <v>178</v>
      </c>
      <c r="D18" s="662" t="s">
        <v>58</v>
      </c>
      <c r="E18" s="652" t="str">
        <f ca="1">VLOOKUP($C18,INDIRECT("'"&amp;$D18&amp;"'!A6:FC1000"),IF(E$6="Participation 2023",MATCH("__Participation 2023",INDIRECT("'"&amp;$D18&amp;"'!1:1"),0),IF(E$6="Participation",MATCH("_Total Plan Summary _Participation",INDIRECT("'"&amp;$D18&amp;"'!1:1"),0),MATCH(E$4&amp;"_"&amp;E$5&amp;"_"&amp;E$6,INDIRECT("'"&amp;$D18&amp;"'!1:1"),0))),0)</f>
        <v>KU-Custom MF Retrofit Common Area</v>
      </c>
      <c r="F18" s="652" t="str">
        <f ca="1">VLOOKUP($C18,INDIRECT("'"&amp;$D18&amp;"'!A6:FC1000"),IF(F$6="Participation 2023",MATCH("__Participation 2023",INDIRECT("'"&amp;$D18&amp;"'!1:1"),0),IF(F$6="Participation",MATCH("_Total Plan Summary _Participation",INDIRECT("'"&amp;$D18&amp;"'!1:1"),0),MATCH(F$4&amp;"_"&amp;F$5&amp;"_"&amp;F$6,INDIRECT("'"&amp;$D18&amp;"'!1:1"),0))),0)</f>
        <v>Custom Projects - for common areas</v>
      </c>
      <c r="G18" s="652" t="str">
        <f ca="1">VLOOKUP($C18,INDIRECT("'"&amp;$D18&amp;"'!A6:FC1000"),IF(G$6="Participation 2023",MATCH("__Participation 2023",INDIRECT("'"&amp;$D18&amp;"'!1:1"),0),IF(G$6="Participation",MATCH("_Total Plan Summary _Participation",INDIRECT("'"&amp;$D18&amp;"'!1:1"),0),MATCH(G$4&amp;"_"&amp;G$5&amp;"_"&amp;G$6,INDIRECT("'"&amp;$D18&amp;"'!1:1"),0))),0)</f>
        <v>Per Saved kWh (first year savings only)</v>
      </c>
      <c r="H18" s="652">
        <f t="shared" ref="H18:AM18" ca="1" si="18">VLOOKUP($C18,INDIRECT("'"&amp;$D18&amp;"'!A6:FR1000"),IF(H$6="Participation 2023",MATCH("__Participation 2023",INDIRECT("'"&amp;$D18&amp;"'!1:1"),0),IF(H$6="Participation",MATCH("_Total Plan Summary _Participation",INDIRECT("'"&amp;$D18&amp;"'!1:1"),0),MATCH(H$4&amp;"_"&amp;H$5&amp;"_"&amp;H$6,INDIRECT("'"&amp;$D18&amp;"'!1:1"),0))),0)</f>
        <v>18750</v>
      </c>
      <c r="I18" s="652">
        <f t="shared" ca="1" si="18"/>
        <v>18750</v>
      </c>
      <c r="J18" s="652">
        <f t="shared" ca="1" si="18"/>
        <v>18750</v>
      </c>
      <c r="K18" s="652">
        <f t="shared" ca="1" si="18"/>
        <v>18750</v>
      </c>
      <c r="L18" s="652">
        <f t="shared" ca="1" si="18"/>
        <v>18750</v>
      </c>
      <c r="M18" s="652">
        <f t="shared" ca="1" si="18"/>
        <v>18750</v>
      </c>
      <c r="N18" s="652">
        <f t="shared" ca="1" si="18"/>
        <v>18750</v>
      </c>
      <c r="O18" s="652">
        <f t="shared" ca="1" si="18"/>
        <v>0</v>
      </c>
      <c r="P18" s="652">
        <f t="shared" ca="1" si="18"/>
        <v>0</v>
      </c>
      <c r="Q18" s="652">
        <f t="shared" ca="1" si="18"/>
        <v>0</v>
      </c>
      <c r="R18" s="652">
        <f t="shared" ca="1" si="18"/>
        <v>0</v>
      </c>
      <c r="S18" s="652">
        <f t="shared" ca="1" si="18"/>
        <v>0</v>
      </c>
      <c r="T18" s="652">
        <f t="shared" ca="1" si="18"/>
        <v>0</v>
      </c>
      <c r="U18" s="652">
        <f t="shared" ca="1" si="18"/>
        <v>0</v>
      </c>
      <c r="V18" s="652">
        <f t="shared" ca="1" si="18"/>
        <v>0</v>
      </c>
      <c r="W18" s="652">
        <f t="shared" ca="1" si="18"/>
        <v>0</v>
      </c>
      <c r="X18" s="652">
        <f t="shared" ca="1" si="18"/>
        <v>0</v>
      </c>
      <c r="Y18" s="652">
        <f t="shared" ca="1" si="18"/>
        <v>0</v>
      </c>
      <c r="Z18" s="652">
        <f t="shared" ca="1" si="18"/>
        <v>0</v>
      </c>
      <c r="AA18" s="652">
        <f t="shared" ca="1" si="18"/>
        <v>0</v>
      </c>
      <c r="AB18" s="652">
        <f t="shared" ca="1" si="18"/>
        <v>0</v>
      </c>
      <c r="AC18" s="652">
        <f t="shared" ca="1" si="18"/>
        <v>0</v>
      </c>
      <c r="AD18" s="652">
        <f t="shared" ca="1" si="18"/>
        <v>0</v>
      </c>
      <c r="AE18" s="652">
        <f t="shared" ca="1" si="18"/>
        <v>0</v>
      </c>
      <c r="AF18" s="652">
        <f t="shared" ca="1" si="18"/>
        <v>0</v>
      </c>
      <c r="AG18" s="652">
        <f t="shared" ca="1" si="18"/>
        <v>0</v>
      </c>
      <c r="AH18" s="652">
        <f t="shared" ca="1" si="18"/>
        <v>0</v>
      </c>
      <c r="AI18" s="652">
        <f t="shared" ca="1" si="18"/>
        <v>0</v>
      </c>
      <c r="AJ18" s="652">
        <f t="shared" ca="1" si="18"/>
        <v>18750</v>
      </c>
      <c r="AK18" s="652">
        <f t="shared" ca="1" si="18"/>
        <v>18750</v>
      </c>
      <c r="AL18" s="652">
        <f t="shared" ca="1" si="18"/>
        <v>18750</v>
      </c>
      <c r="AM18" s="652">
        <f t="shared" ca="1" si="18"/>
        <v>18750</v>
      </c>
      <c r="AN18" s="652">
        <f t="shared" ref="AN18:BD18" ca="1" si="19">VLOOKUP($C18,INDIRECT("'"&amp;$D18&amp;"'!A6:FR1000"),IF(AN$6="Participation 2023",MATCH("__Participation 2023",INDIRECT("'"&amp;$D18&amp;"'!1:1"),0),IF(AN$6="Participation",MATCH("_Total Plan Summary _Participation",INDIRECT("'"&amp;$D18&amp;"'!1:1"),0),MATCH(AN$4&amp;"_"&amp;AN$5&amp;"_"&amp;AN$6,INDIRECT("'"&amp;$D18&amp;"'!1:1"),0))),0)</f>
        <v>18750</v>
      </c>
      <c r="AO18" s="652">
        <f t="shared" ca="1" si="19"/>
        <v>18750</v>
      </c>
      <c r="AP18" s="652">
        <f t="shared" ca="1" si="19"/>
        <v>18750</v>
      </c>
      <c r="AQ18" s="652">
        <f t="shared" ca="1" si="19"/>
        <v>5.121073443489208</v>
      </c>
      <c r="AR18" s="652">
        <f t="shared" ca="1" si="19"/>
        <v>5.121073443489208</v>
      </c>
      <c r="AS18" s="652">
        <f t="shared" ca="1" si="19"/>
        <v>5.121073443489208</v>
      </c>
      <c r="AT18" s="652">
        <f t="shared" ca="1" si="19"/>
        <v>5.121073443489208</v>
      </c>
      <c r="AU18" s="652">
        <f t="shared" ca="1" si="19"/>
        <v>5.121073443489208</v>
      </c>
      <c r="AV18" s="652">
        <f t="shared" ca="1" si="19"/>
        <v>5.121073443489208</v>
      </c>
      <c r="AW18" s="652">
        <f t="shared" ca="1" si="19"/>
        <v>5.121073443489208</v>
      </c>
      <c r="AX18" s="652">
        <f t="shared" ca="1" si="19"/>
        <v>0</v>
      </c>
      <c r="AY18" s="652">
        <f t="shared" ca="1" si="19"/>
        <v>0</v>
      </c>
      <c r="AZ18" s="652">
        <f t="shared" ca="1" si="19"/>
        <v>0</v>
      </c>
      <c r="BA18" s="652">
        <f t="shared" ca="1" si="19"/>
        <v>0</v>
      </c>
      <c r="BB18" s="652">
        <f t="shared" ca="1" si="19"/>
        <v>0</v>
      </c>
      <c r="BC18" s="652">
        <f t="shared" ca="1" si="19"/>
        <v>0</v>
      </c>
      <c r="BD18" s="652">
        <f t="shared" ca="1" si="19"/>
        <v>0</v>
      </c>
      <c r="BE18" s="652" t="str">
        <f t="shared" ref="BE18:BQ33" ca="1" si="20">VLOOKUP($C18,INDIRECT("'"&amp;$D18&amp;"'!A6:FR1000"),IF(BE$6="Participation 2023",MATCH("__Participation 2023",INDIRECT("'"&amp;$D18&amp;"'!1:1"),0),IF(BE$6="Participation",MATCH("_Total Plan Summary _Participation",INDIRECT("'"&amp;$D18&amp;"'!1:1"),0),MATCH(BE$4&amp;"_"&amp;BE$5&amp;"_"&amp;BE$6,INDIRECT("'"&amp;$D18&amp;"'!1:1"),0))),0)</f>
        <v>Commercial</v>
      </c>
      <c r="BF18" s="652" t="str">
        <f t="shared" ca="1" si="20"/>
        <v>OFFLGElecTotl</v>
      </c>
      <c r="BG18" s="652" t="str">
        <f t="shared" ca="1" si="20"/>
        <v>OFFSMGasHeat</v>
      </c>
      <c r="BH18" s="652" t="str">
        <f t="shared" ca="1" si="20"/>
        <v>KU NonRes</v>
      </c>
      <c r="BI18" s="652" t="str">
        <f t="shared" ca="1" si="20"/>
        <v>KU NonRes</v>
      </c>
      <c r="BJ18" s="652">
        <f t="shared" ca="1" si="4"/>
        <v>15</v>
      </c>
      <c r="BK18" s="652">
        <f t="shared" ca="1" si="4"/>
        <v>10367.754045783749</v>
      </c>
      <c r="BL18" s="652">
        <f t="shared" ca="1" si="5"/>
        <v>10367.754045783749</v>
      </c>
      <c r="BM18" s="652">
        <f t="shared" ca="1" si="5"/>
        <v>10367.754045783749</v>
      </c>
      <c r="BN18" s="652">
        <f t="shared" ca="1" si="5"/>
        <v>10367.754045783749</v>
      </c>
      <c r="BO18" s="652">
        <f t="shared" ca="1" si="5"/>
        <v>10367.754045783749</v>
      </c>
      <c r="BP18" s="652">
        <f t="shared" ca="1" si="5"/>
        <v>10367.754045783749</v>
      </c>
      <c r="BQ18" s="652">
        <f t="shared" ca="1" si="5"/>
        <v>10367.754045783749</v>
      </c>
      <c r="BR18" s="652">
        <f t="shared" ca="1" si="8"/>
        <v>131250</v>
      </c>
      <c r="BS18" s="652">
        <f t="shared" ref="BS18:BY18" ca="1" si="21">VLOOKUP($C18,INDIRECT("'"&amp;$D18&amp;"'!A6:FR1000"),IF(BS$6="Participation 2023",MATCH("__Participation 2023",INDIRECT("'"&amp;$D18&amp;"'!1:1"),0),IF(BS$6="Participation",MATCH("_Total Plan Summary _Participation",INDIRECT("'"&amp;$D18&amp;"'!1:1"),0),MATCH(BS$4&amp;"_"&amp;BS$5&amp;"_"&amp;BS$6,INDIRECT("'"&amp;$D18&amp;"'!1:1"),0))),0)</f>
        <v>0</v>
      </c>
      <c r="BT18" s="652">
        <f t="shared" ca="1" si="21"/>
        <v>0</v>
      </c>
      <c r="BU18" s="652">
        <f t="shared" ca="1" si="21"/>
        <v>0</v>
      </c>
      <c r="BV18" s="652">
        <f t="shared" ca="1" si="21"/>
        <v>72574.278320486235</v>
      </c>
      <c r="BW18" s="652">
        <f t="shared" ca="1" si="21"/>
        <v>131250</v>
      </c>
      <c r="BX18" s="652">
        <f t="shared" ca="1" si="21"/>
        <v>35.847514104424455</v>
      </c>
      <c r="BY18" s="652">
        <f t="shared" ca="1" si="21"/>
        <v>0</v>
      </c>
    </row>
    <row r="19" spans="1:77">
      <c r="A19" s="425" t="str">
        <f t="shared" ca="1" si="0"/>
        <v>LI Multifamily - Whole BuildingLG&amp;E-WeCare Weatherization Project - Multi Family - Complete Package (MF-GS Com)</v>
      </c>
      <c r="B19" s="1297" t="str">
        <f>IF(ISNUMBER(SEARCH("KU",C19)),"KU"&amp;D19,"LG&amp;E"&amp;D19)</f>
        <v>LG&amp;ELI Multifamily - Whole Building</v>
      </c>
      <c r="C19" s="661" t="s">
        <v>172</v>
      </c>
      <c r="D19" s="662" t="s">
        <v>58</v>
      </c>
      <c r="E19" s="652" t="str">
        <f ca="1">VLOOKUP($C19,INDIRECT("'"&amp;$D19&amp;"'!A6:FC1000"),IF(E$6="Participation 2023",MATCH("__Participation 2023",INDIRECT("'"&amp;$D19&amp;"'!1:1"),0),IF(E$6="Participation",MATCH("_Total Plan Summary _Participation",INDIRECT("'"&amp;$D19&amp;"'!1:1"),0),MATCH(E$4&amp;"_"&amp;E$5&amp;"_"&amp;E$6,INDIRECT("'"&amp;$D19&amp;"'!1:1"),0))),0)</f>
        <v>LG&amp;E-WeCare Weatherization Project - Multi Family - Complete Package (MF-GS Com)</v>
      </c>
      <c r="F19" s="652" t="str">
        <f t="shared" ca="1" si="14"/>
        <v>Low Income Heating Assistance Program (LIHEAP) at 200% poverty</v>
      </c>
      <c r="G19" s="652" t="str">
        <f t="shared" ca="1" si="14"/>
        <v>Per Home</v>
      </c>
      <c r="H19" s="652">
        <f t="shared" ca="1" si="13"/>
        <v>159.99999999999997</v>
      </c>
      <c r="I19" s="652">
        <f t="shared" ca="1" si="13"/>
        <v>159.99999999999997</v>
      </c>
      <c r="J19" s="652">
        <f t="shared" ca="1" si="13"/>
        <v>159.99999999999997</v>
      </c>
      <c r="K19" s="652">
        <f t="shared" ref="K19:Z100" ca="1" si="22">VLOOKUP($C19,INDIRECT("'"&amp;$D19&amp;"'!A6:FR1000"),IF(K$6="Participation 2023",MATCH("__Participation 2023",INDIRECT("'"&amp;$D19&amp;"'!1:1"),0),IF(K$6="Participation",MATCH("_Total Plan Summary _Participation",INDIRECT("'"&amp;$D19&amp;"'!1:1"),0),MATCH(K$4&amp;"_"&amp;K$5&amp;"_"&amp;K$6,INDIRECT("'"&amp;$D19&amp;"'!1:1"),0))),0)</f>
        <v>159.99999999999997</v>
      </c>
      <c r="L19" s="652">
        <f t="shared" ca="1" si="22"/>
        <v>159.99999999999997</v>
      </c>
      <c r="M19" s="652">
        <f t="shared" ca="1" si="22"/>
        <v>159.99999999999997</v>
      </c>
      <c r="N19" s="652">
        <f t="shared" ca="1" si="22"/>
        <v>159.99999999999997</v>
      </c>
      <c r="O19" s="652">
        <f t="shared" ca="1" si="22"/>
        <v>0</v>
      </c>
      <c r="P19" s="652">
        <f t="shared" ca="1" si="22"/>
        <v>0</v>
      </c>
      <c r="Q19" s="652">
        <f t="shared" ca="1" si="22"/>
        <v>0</v>
      </c>
      <c r="R19" s="652">
        <f t="shared" ca="1" si="22"/>
        <v>0</v>
      </c>
      <c r="S19" s="652">
        <f t="shared" ca="1" si="22"/>
        <v>0</v>
      </c>
      <c r="T19" s="652">
        <f t="shared" ca="1" si="22"/>
        <v>0</v>
      </c>
      <c r="U19" s="652">
        <f t="shared" ca="1" si="22"/>
        <v>0</v>
      </c>
      <c r="V19" s="652">
        <f t="shared" ca="1" si="22"/>
        <v>0</v>
      </c>
      <c r="W19" s="652">
        <f t="shared" ca="1" si="22"/>
        <v>0</v>
      </c>
      <c r="X19" s="652">
        <f t="shared" ca="1" si="22"/>
        <v>0</v>
      </c>
      <c r="Y19" s="652">
        <f t="shared" ref="Y19:AL100" ca="1" si="23">VLOOKUP($C19,INDIRECT("'"&amp;$D19&amp;"'!A6:FR1000"),IF(Y$6="Participation 2023",MATCH("__Participation 2023",INDIRECT("'"&amp;$D19&amp;"'!1:1"),0),IF(Y$6="Participation",MATCH("_Total Plan Summary _Participation",INDIRECT("'"&amp;$D19&amp;"'!1:1"),0),MATCH(Y$4&amp;"_"&amp;Y$5&amp;"_"&amp;Y$6,INDIRECT("'"&amp;$D19&amp;"'!1:1"),0))),0)</f>
        <v>0</v>
      </c>
      <c r="Z19" s="652">
        <f t="shared" ca="1" si="23"/>
        <v>0</v>
      </c>
      <c r="AA19" s="652">
        <f t="shared" ca="1" si="23"/>
        <v>0</v>
      </c>
      <c r="AB19" s="652">
        <f t="shared" ca="1" si="23"/>
        <v>0</v>
      </c>
      <c r="AC19" s="652">
        <f t="shared" ca="1" si="23"/>
        <v>0</v>
      </c>
      <c r="AD19" s="652">
        <f t="shared" ca="1" si="23"/>
        <v>0</v>
      </c>
      <c r="AE19" s="652">
        <f t="shared" ca="1" si="23"/>
        <v>0</v>
      </c>
      <c r="AF19" s="652">
        <f t="shared" ca="1" si="23"/>
        <v>0</v>
      </c>
      <c r="AG19" s="652">
        <f t="shared" ca="1" si="23"/>
        <v>0</v>
      </c>
      <c r="AH19" s="652">
        <f t="shared" ca="1" si="23"/>
        <v>0</v>
      </c>
      <c r="AI19" s="652">
        <f t="shared" ca="1" si="23"/>
        <v>0</v>
      </c>
      <c r="AJ19" s="652">
        <f t="shared" ca="1" si="23"/>
        <v>128260.53985825631</v>
      </c>
      <c r="AK19" s="652">
        <f t="shared" ca="1" si="23"/>
        <v>128260.53985825631</v>
      </c>
      <c r="AL19" s="652">
        <f t="shared" ca="1" si="23"/>
        <v>128260.53985825631</v>
      </c>
      <c r="AM19" s="652">
        <f t="shared" ref="AM19:AZ114" ca="1" si="24">VLOOKUP($C19,INDIRECT("'"&amp;$D19&amp;"'!A6:FR1000"),IF(AM$6="Participation 2023",MATCH("__Participation 2023",INDIRECT("'"&amp;$D19&amp;"'!1:1"),0),IF(AM$6="Participation",MATCH("_Total Plan Summary _Participation",INDIRECT("'"&amp;$D19&amp;"'!1:1"),0),MATCH(AM$4&amp;"_"&amp;AM$5&amp;"_"&amp;AM$6,INDIRECT("'"&amp;$D19&amp;"'!1:1"),0))),0)</f>
        <v>128260.53985825631</v>
      </c>
      <c r="AN19" s="652">
        <f t="shared" ca="1" si="24"/>
        <v>128260.53985825631</v>
      </c>
      <c r="AO19" s="652">
        <f t="shared" ca="1" si="24"/>
        <v>128260.53985825631</v>
      </c>
      <c r="AP19" s="652">
        <f t="shared" ca="1" si="24"/>
        <v>128260.53985825631</v>
      </c>
      <c r="AQ19" s="652">
        <f t="shared" ca="1" si="24"/>
        <v>11.050235856485296</v>
      </c>
      <c r="AR19" s="652">
        <f t="shared" ca="1" si="24"/>
        <v>11.050235856485296</v>
      </c>
      <c r="AS19" s="652">
        <f t="shared" ca="1" si="24"/>
        <v>11.050235856485296</v>
      </c>
      <c r="AT19" s="652">
        <f t="shared" ca="1" si="24"/>
        <v>11.050235856485296</v>
      </c>
      <c r="AU19" s="652">
        <f t="shared" ca="1" si="24"/>
        <v>11.050235856485296</v>
      </c>
      <c r="AV19" s="652">
        <f t="shared" ca="1" si="24"/>
        <v>11.050235856485296</v>
      </c>
      <c r="AW19" s="652">
        <f t="shared" ca="1" si="24"/>
        <v>11.050235856485296</v>
      </c>
      <c r="AX19" s="652">
        <f t="shared" ca="1" si="24"/>
        <v>2542.0741536808164</v>
      </c>
      <c r="AY19" s="652">
        <f t="shared" ca="1" si="24"/>
        <v>2542.0741536808164</v>
      </c>
      <c r="AZ19" s="652">
        <f t="shared" ca="1" si="24"/>
        <v>2542.0741536808164</v>
      </c>
      <c r="BA19" s="652">
        <f t="shared" ref="BA19:BY106" ca="1" si="25">VLOOKUP($C19,INDIRECT("'"&amp;$D19&amp;"'!A6:FR1000"),IF(BA$6="Participation 2023",MATCH("__Participation 2023",INDIRECT("'"&amp;$D19&amp;"'!1:1"),0),IF(BA$6="Participation",MATCH("_Total Plan Summary _Participation",INDIRECT("'"&amp;$D19&amp;"'!1:1"),0),MATCH(BA$4&amp;"_"&amp;BA$5&amp;"_"&amp;BA$6,INDIRECT("'"&amp;$D19&amp;"'!1:1"),0))),0)</f>
        <v>2542.0741536808164</v>
      </c>
      <c r="BB19" s="652">
        <f t="shared" ca="1" si="25"/>
        <v>2542.0741536808164</v>
      </c>
      <c r="BC19" s="652">
        <f t="shared" ca="1" si="25"/>
        <v>2542.0741536808164</v>
      </c>
      <c r="BD19" s="652">
        <f t="shared" ca="1" si="25"/>
        <v>2542.0741536808164</v>
      </c>
      <c r="BE19" s="652" t="str">
        <f t="shared" ca="1" si="20"/>
        <v>Commercial</v>
      </c>
      <c r="BF19" s="652" t="str">
        <f t="shared" ca="1" si="20"/>
        <v>OFFLGElecTotl</v>
      </c>
      <c r="BG19" s="652" t="str">
        <f t="shared" ca="1" si="20"/>
        <v>OFFSMGasHeat</v>
      </c>
      <c r="BH19" s="652" t="str">
        <f t="shared" ca="1" si="20"/>
        <v>LGE NonRes</v>
      </c>
      <c r="BI19" s="652" t="str">
        <f t="shared" ca="1" si="20"/>
        <v>LGE NonRes</v>
      </c>
      <c r="BJ19" s="652">
        <f t="shared" ca="1" si="4"/>
        <v>20</v>
      </c>
      <c r="BK19" s="652">
        <f t="shared" ca="1" si="4"/>
        <v>131999.99999999997</v>
      </c>
      <c r="BL19" s="652">
        <f t="shared" ca="1" si="5"/>
        <v>131999.99999999997</v>
      </c>
      <c r="BM19" s="652">
        <f t="shared" ca="1" si="5"/>
        <v>131999.99999999997</v>
      </c>
      <c r="BN19" s="652">
        <f t="shared" ca="1" si="5"/>
        <v>131999.99999999997</v>
      </c>
      <c r="BO19" s="652">
        <f t="shared" ca="1" si="5"/>
        <v>131999.99999999997</v>
      </c>
      <c r="BP19" s="652">
        <f t="shared" ca="1" si="5"/>
        <v>131999.99999999997</v>
      </c>
      <c r="BQ19" s="652">
        <f t="shared" ca="1" si="5"/>
        <v>131999.99999999997</v>
      </c>
      <c r="BR19" s="652">
        <f t="shared" ca="1" si="8"/>
        <v>1119.9999999999998</v>
      </c>
      <c r="BS19" s="652">
        <f t="shared" ca="1" si="25"/>
        <v>0</v>
      </c>
      <c r="BT19" s="652">
        <f t="shared" ca="1" si="25"/>
        <v>0</v>
      </c>
      <c r="BU19" s="652">
        <f t="shared" ca="1" si="25"/>
        <v>0</v>
      </c>
      <c r="BV19" s="652">
        <f t="shared" ca="1" si="25"/>
        <v>923999.99999999988</v>
      </c>
      <c r="BW19" s="652">
        <f t="shared" ca="1" si="25"/>
        <v>897823.77900779422</v>
      </c>
      <c r="BX19" s="652">
        <f t="shared" ca="1" si="25"/>
        <v>77.35165099539708</v>
      </c>
      <c r="BY19" s="652">
        <f t="shared" ca="1" si="25"/>
        <v>17794.519075765715</v>
      </c>
    </row>
    <row r="20" spans="1:77">
      <c r="A20" s="425" t="str">
        <f t="shared" ca="1" si="0"/>
        <v>LI Multifamily - Whole BuildingLG&amp;E-WeCare Weatherization Project - Multi Family - Complete Package (MF-NonRes Com)</v>
      </c>
      <c r="B20" s="1297" t="str">
        <f t="shared" ref="B20" si="26">IF(ISNUMBER(SEARCH("KU",C20)),"KU"&amp;D20,"LG&amp;E"&amp;D20)</f>
        <v>LG&amp;ELI Multifamily - Whole Building</v>
      </c>
      <c r="C20" s="661" t="s">
        <v>174</v>
      </c>
      <c r="D20" s="662" t="s">
        <v>58</v>
      </c>
      <c r="E20" s="652" t="str">
        <f t="shared" ca="1" si="14"/>
        <v>LG&amp;E-WeCare Weatherization Project - Multi Family - Complete Package (MF-NonRes Com)</v>
      </c>
      <c r="F20" s="652" t="str">
        <f t="shared" ca="1" si="14"/>
        <v>Low Income Heating Assistance Program (LIHEAP) at 200% poverty</v>
      </c>
      <c r="G20" s="652" t="str">
        <f t="shared" ca="1" si="14"/>
        <v>Per Home</v>
      </c>
      <c r="H20" s="652">
        <f t="shared" ref="H20:U101" ca="1" si="27">VLOOKUP($C20,INDIRECT("'"&amp;$D20&amp;"'!A6:FR1000"),IF(H$6="Participation 2023",MATCH("__Participation 2023",INDIRECT("'"&amp;$D20&amp;"'!1:1"),0),IF(H$6="Participation",MATCH("_Total Plan Summary _Participation",INDIRECT("'"&amp;$D20&amp;"'!1:1"),0),MATCH(H$4&amp;"_"&amp;H$5&amp;"_"&amp;H$6,INDIRECT("'"&amp;$D20&amp;"'!1:1"),0))),0)</f>
        <v>239.99999999999991</v>
      </c>
      <c r="I20" s="652">
        <f t="shared" ca="1" si="27"/>
        <v>239.99999999999991</v>
      </c>
      <c r="J20" s="652">
        <f t="shared" ca="1" si="27"/>
        <v>239.99999999999991</v>
      </c>
      <c r="K20" s="652">
        <f t="shared" ca="1" si="27"/>
        <v>239.99999999999991</v>
      </c>
      <c r="L20" s="652">
        <f t="shared" ca="1" si="27"/>
        <v>239.99999999999991</v>
      </c>
      <c r="M20" s="652">
        <f t="shared" ca="1" si="27"/>
        <v>239.99999999999991</v>
      </c>
      <c r="N20" s="652">
        <f t="shared" ca="1" si="27"/>
        <v>239.99999999999991</v>
      </c>
      <c r="O20" s="652">
        <f t="shared" ca="1" si="27"/>
        <v>0</v>
      </c>
      <c r="P20" s="652">
        <f t="shared" ca="1" si="27"/>
        <v>0</v>
      </c>
      <c r="Q20" s="652">
        <f t="shared" ca="1" si="27"/>
        <v>0</v>
      </c>
      <c r="R20" s="652">
        <f t="shared" ca="1" si="27"/>
        <v>0</v>
      </c>
      <c r="S20" s="652">
        <f t="shared" ca="1" si="27"/>
        <v>0</v>
      </c>
      <c r="T20" s="652">
        <f t="shared" ca="1" si="27"/>
        <v>0</v>
      </c>
      <c r="U20" s="652">
        <f t="shared" ca="1" si="27"/>
        <v>0</v>
      </c>
      <c r="V20" s="652">
        <f t="shared" ca="1" si="22"/>
        <v>0</v>
      </c>
      <c r="W20" s="652">
        <f t="shared" ca="1" si="22"/>
        <v>0</v>
      </c>
      <c r="X20" s="652">
        <f t="shared" ca="1" si="22"/>
        <v>0</v>
      </c>
      <c r="Y20" s="652">
        <f t="shared" ca="1" si="23"/>
        <v>0</v>
      </c>
      <c r="Z20" s="652">
        <f t="shared" ca="1" si="23"/>
        <v>0</v>
      </c>
      <c r="AA20" s="652">
        <f t="shared" ca="1" si="23"/>
        <v>0</v>
      </c>
      <c r="AB20" s="652">
        <f t="shared" ca="1" si="23"/>
        <v>0</v>
      </c>
      <c r="AC20" s="652">
        <f t="shared" ca="1" si="23"/>
        <v>0</v>
      </c>
      <c r="AD20" s="652">
        <f t="shared" ca="1" si="23"/>
        <v>0</v>
      </c>
      <c r="AE20" s="652">
        <f t="shared" ca="1" si="23"/>
        <v>0</v>
      </c>
      <c r="AF20" s="652">
        <f t="shared" ca="1" si="23"/>
        <v>0</v>
      </c>
      <c r="AG20" s="652">
        <f t="shared" ca="1" si="23"/>
        <v>0</v>
      </c>
      <c r="AH20" s="652">
        <f t="shared" ca="1" si="23"/>
        <v>0</v>
      </c>
      <c r="AI20" s="652">
        <f t="shared" ca="1" si="23"/>
        <v>0</v>
      </c>
      <c r="AJ20" s="652">
        <f t="shared" ca="1" si="23"/>
        <v>192390.80978738441</v>
      </c>
      <c r="AK20" s="652">
        <f t="shared" ca="1" si="23"/>
        <v>192390.80978738441</v>
      </c>
      <c r="AL20" s="652">
        <f t="shared" ca="1" si="23"/>
        <v>192390.80978738441</v>
      </c>
      <c r="AM20" s="652">
        <f t="shared" ca="1" si="24"/>
        <v>192390.80978738441</v>
      </c>
      <c r="AN20" s="652">
        <f t="shared" ca="1" si="24"/>
        <v>192390.80978738441</v>
      </c>
      <c r="AO20" s="652">
        <f t="shared" ca="1" si="24"/>
        <v>192390.80978738441</v>
      </c>
      <c r="AP20" s="652">
        <f t="shared" ca="1" si="24"/>
        <v>192390.80978738441</v>
      </c>
      <c r="AQ20" s="652">
        <f t="shared" ca="1" si="24"/>
        <v>16.575353784727941</v>
      </c>
      <c r="AR20" s="652">
        <f t="shared" ca="1" si="24"/>
        <v>16.575353784727941</v>
      </c>
      <c r="AS20" s="652">
        <f t="shared" ca="1" si="24"/>
        <v>16.575353784727941</v>
      </c>
      <c r="AT20" s="652">
        <f t="shared" ca="1" si="24"/>
        <v>16.575353784727941</v>
      </c>
      <c r="AU20" s="652">
        <f t="shared" ca="1" si="24"/>
        <v>16.575353784727941</v>
      </c>
      <c r="AV20" s="652">
        <f t="shared" ca="1" si="24"/>
        <v>16.575353784727941</v>
      </c>
      <c r="AW20" s="652">
        <f t="shared" ca="1" si="24"/>
        <v>16.575353784727941</v>
      </c>
      <c r="AX20" s="652">
        <f t="shared" ca="1" si="24"/>
        <v>3813.1112305212241</v>
      </c>
      <c r="AY20" s="652">
        <f t="shared" ca="1" si="24"/>
        <v>3813.1112305212241</v>
      </c>
      <c r="AZ20" s="652">
        <f t="shared" ca="1" si="24"/>
        <v>3813.1112305212241</v>
      </c>
      <c r="BA20" s="652">
        <f t="shared" ca="1" si="25"/>
        <v>3813.1112305212241</v>
      </c>
      <c r="BB20" s="652">
        <f t="shared" ca="1" si="25"/>
        <v>3813.1112305212241</v>
      </c>
      <c r="BC20" s="652">
        <f t="shared" ca="1" si="25"/>
        <v>3813.1112305212241</v>
      </c>
      <c r="BD20" s="652">
        <f t="shared" ca="1" si="25"/>
        <v>3813.1112305212241</v>
      </c>
      <c r="BE20" s="652" t="str">
        <f t="shared" ca="1" si="20"/>
        <v>Commercial</v>
      </c>
      <c r="BF20" s="652" t="str">
        <f t="shared" ca="1" si="20"/>
        <v>OFFLGElecTotl</v>
      </c>
      <c r="BG20" s="652" t="str">
        <f t="shared" ca="1" si="20"/>
        <v>OFFSMGasHeat</v>
      </c>
      <c r="BH20" s="652" t="str">
        <f t="shared" ca="1" si="20"/>
        <v>LGE NonRes</v>
      </c>
      <c r="BI20" s="652" t="str">
        <f t="shared" ca="1" si="20"/>
        <v>LGE NonRes</v>
      </c>
      <c r="BJ20" s="652">
        <f t="shared" ca="1" si="4"/>
        <v>20</v>
      </c>
      <c r="BK20" s="652">
        <f t="shared" ca="1" si="4"/>
        <v>197999.99999999994</v>
      </c>
      <c r="BL20" s="652">
        <f t="shared" ca="1" si="5"/>
        <v>197999.99999999994</v>
      </c>
      <c r="BM20" s="652">
        <f t="shared" ca="1" si="5"/>
        <v>197999.99999999994</v>
      </c>
      <c r="BN20" s="652">
        <f t="shared" ca="1" si="5"/>
        <v>197999.99999999994</v>
      </c>
      <c r="BO20" s="652">
        <f t="shared" ca="1" si="5"/>
        <v>197999.99999999994</v>
      </c>
      <c r="BP20" s="652">
        <f t="shared" ca="1" si="5"/>
        <v>197999.99999999994</v>
      </c>
      <c r="BQ20" s="652">
        <f t="shared" ca="1" si="5"/>
        <v>197999.99999999994</v>
      </c>
      <c r="BR20" s="652">
        <f t="shared" ca="1" si="8"/>
        <v>1679.9999999999995</v>
      </c>
      <c r="BS20" s="652">
        <f t="shared" ca="1" si="25"/>
        <v>0</v>
      </c>
      <c r="BT20" s="652">
        <f t="shared" ca="1" si="25"/>
        <v>0</v>
      </c>
      <c r="BU20" s="652">
        <f t="shared" ca="1" si="25"/>
        <v>0</v>
      </c>
      <c r="BV20" s="652">
        <f t="shared" ca="1" si="25"/>
        <v>1385999.9999999998</v>
      </c>
      <c r="BW20" s="652">
        <f t="shared" ca="1" si="25"/>
        <v>1346735.668511691</v>
      </c>
      <c r="BX20" s="652">
        <f t="shared" ca="1" si="25"/>
        <v>116.02747649309558</v>
      </c>
      <c r="BY20" s="652">
        <f t="shared" ca="1" si="25"/>
        <v>26691.778613648567</v>
      </c>
    </row>
    <row r="21" spans="1:77">
      <c r="A21" s="425" t="str">
        <f t="shared" ca="1" si="0"/>
        <v>LI Multifamily - Whole BuildingLG&amp;E-Direct Install - Water Conservation Bathroom Aerators</v>
      </c>
      <c r="B21" s="1297" t="str">
        <f>IF(ISNUMBER(SEARCH("KU",C21)),"KU"&amp;D21,"LG&amp;E"&amp;D21)</f>
        <v>LG&amp;ELI Multifamily - Whole Building</v>
      </c>
      <c r="C21" s="661" t="s">
        <v>179</v>
      </c>
      <c r="D21" s="662" t="s">
        <v>58</v>
      </c>
      <c r="E21" s="652" t="str">
        <f ca="1">VLOOKUP($C21,INDIRECT("'"&amp;$D21&amp;"'!A6:FC1000"),IF(E$6="Participation 2023",MATCH("__Participation 2023",INDIRECT("'"&amp;$D21&amp;"'!1:1"),0),IF(E$6="Participation",MATCH("_Total Plan Summary _Participation",INDIRECT("'"&amp;$D21&amp;"'!1:1"),0),MATCH(E$4&amp;"_"&amp;E$5&amp;"_"&amp;E$6,INDIRECT("'"&amp;$D21&amp;"'!1:1"),0))),0)</f>
        <v>LG&amp;E-Direct Install - Water Conservation Bathroom Aerators</v>
      </c>
      <c r="F21" s="652" t="str">
        <f t="shared" ca="1" si="14"/>
        <v>Aerators 0.5 GPM</v>
      </c>
      <c r="G21" s="652" t="str">
        <f t="shared" ca="1" si="14"/>
        <v>Per Unit</v>
      </c>
      <c r="H21" s="652">
        <f t="shared" ref="H21:W37" ca="1" si="28">VLOOKUP($C21,INDIRECT("'"&amp;$D21&amp;"'!A6:FR1000"),IF(H$6="Participation 2023",MATCH("__Participation 2023",INDIRECT("'"&amp;$D21&amp;"'!1:1"),0),IF(H$6="Participation",MATCH("_Total Plan Summary _Participation",INDIRECT("'"&amp;$D21&amp;"'!1:1"),0),MATCH(H$4&amp;"_"&amp;H$5&amp;"_"&amp;H$6,INDIRECT("'"&amp;$D21&amp;"'!1:1"),0))),0)</f>
        <v>0</v>
      </c>
      <c r="I21" s="652">
        <f t="shared" ca="1" si="28"/>
        <v>0</v>
      </c>
      <c r="J21" s="652">
        <f t="shared" ca="1" si="28"/>
        <v>0</v>
      </c>
      <c r="K21" s="652">
        <f t="shared" ca="1" si="22"/>
        <v>0</v>
      </c>
      <c r="L21" s="652">
        <f t="shared" ca="1" si="22"/>
        <v>0</v>
      </c>
      <c r="M21" s="652">
        <f t="shared" ca="1" si="22"/>
        <v>0</v>
      </c>
      <c r="N21" s="652">
        <f t="shared" ca="1" si="22"/>
        <v>0</v>
      </c>
      <c r="O21" s="652">
        <f t="shared" ca="1" si="22"/>
        <v>0</v>
      </c>
      <c r="P21" s="652">
        <f t="shared" ca="1" si="22"/>
        <v>0</v>
      </c>
      <c r="Q21" s="652">
        <f t="shared" ca="1" si="22"/>
        <v>0</v>
      </c>
      <c r="R21" s="652">
        <f t="shared" ca="1" si="22"/>
        <v>0</v>
      </c>
      <c r="S21" s="652">
        <f t="shared" ca="1" si="22"/>
        <v>0</v>
      </c>
      <c r="T21" s="652">
        <f t="shared" ca="1" si="22"/>
        <v>0</v>
      </c>
      <c r="U21" s="652">
        <f t="shared" ca="1" si="22"/>
        <v>0</v>
      </c>
      <c r="V21" s="652">
        <f t="shared" ca="1" si="22"/>
        <v>0</v>
      </c>
      <c r="W21" s="652">
        <f t="shared" ca="1" si="22"/>
        <v>0</v>
      </c>
      <c r="X21" s="652">
        <f t="shared" ca="1" si="22"/>
        <v>0</v>
      </c>
      <c r="Y21" s="652">
        <f t="shared" ca="1" si="22"/>
        <v>0</v>
      </c>
      <c r="Z21" s="652">
        <f t="shared" ca="1" si="22"/>
        <v>0</v>
      </c>
      <c r="AA21" s="652">
        <f t="shared" ref="AA21:AP37" ca="1" si="29">VLOOKUP($C21,INDIRECT("'"&amp;$D21&amp;"'!A6:FR1000"),IF(AA$6="Participation 2023",MATCH("__Participation 2023",INDIRECT("'"&amp;$D21&amp;"'!1:1"),0),IF(AA$6="Participation",MATCH("_Total Plan Summary _Participation",INDIRECT("'"&amp;$D21&amp;"'!1:1"),0),MATCH(AA$4&amp;"_"&amp;AA$5&amp;"_"&amp;AA$6,INDIRECT("'"&amp;$D21&amp;"'!1:1"),0))),0)</f>
        <v>0</v>
      </c>
      <c r="AB21" s="652">
        <f t="shared" ca="1" si="29"/>
        <v>0</v>
      </c>
      <c r="AC21" s="652">
        <f t="shared" ca="1" si="29"/>
        <v>0</v>
      </c>
      <c r="AD21" s="652">
        <f t="shared" ca="1" si="29"/>
        <v>0</v>
      </c>
      <c r="AE21" s="652">
        <f t="shared" ca="1" si="29"/>
        <v>0</v>
      </c>
      <c r="AF21" s="652">
        <f t="shared" ca="1" si="29"/>
        <v>0</v>
      </c>
      <c r="AG21" s="652">
        <f t="shared" ca="1" si="29"/>
        <v>0</v>
      </c>
      <c r="AH21" s="652">
        <f t="shared" ca="1" si="29"/>
        <v>0</v>
      </c>
      <c r="AI21" s="652">
        <f t="shared" ca="1" si="29"/>
        <v>0</v>
      </c>
      <c r="AJ21" s="652">
        <f t="shared" ca="1" si="29"/>
        <v>0</v>
      </c>
      <c r="AK21" s="652">
        <f t="shared" ca="1" si="29"/>
        <v>0</v>
      </c>
      <c r="AL21" s="652">
        <f t="shared" ca="1" si="29"/>
        <v>0</v>
      </c>
      <c r="AM21" s="652">
        <f t="shared" ca="1" si="29"/>
        <v>0</v>
      </c>
      <c r="AN21" s="652">
        <f t="shared" ca="1" si="29"/>
        <v>0</v>
      </c>
      <c r="AO21" s="652">
        <f t="shared" ca="1" si="29"/>
        <v>0</v>
      </c>
      <c r="AP21" s="652">
        <f t="shared" ca="1" si="29"/>
        <v>0</v>
      </c>
      <c r="AQ21" s="652">
        <f t="shared" ref="AQ21:BS36" ca="1" si="30">VLOOKUP($C21,INDIRECT("'"&amp;$D21&amp;"'!A6:FR1000"),IF(AQ$6="Participation 2023",MATCH("__Participation 2023",INDIRECT("'"&amp;$D21&amp;"'!1:1"),0),IF(AQ$6="Participation",MATCH("_Total Plan Summary _Participation",INDIRECT("'"&amp;$D21&amp;"'!1:1"),0),MATCH(AQ$4&amp;"_"&amp;AQ$5&amp;"_"&amp;AQ$6,INDIRECT("'"&amp;$D21&amp;"'!1:1"),0))),0)</f>
        <v>0</v>
      </c>
      <c r="AR21" s="652">
        <f t="shared" ca="1" si="30"/>
        <v>0</v>
      </c>
      <c r="AS21" s="652">
        <f t="shared" ca="1" si="30"/>
        <v>0</v>
      </c>
      <c r="AT21" s="652">
        <f t="shared" ca="1" si="30"/>
        <v>0</v>
      </c>
      <c r="AU21" s="652">
        <f t="shared" ca="1" si="30"/>
        <v>0</v>
      </c>
      <c r="AV21" s="652">
        <f t="shared" ca="1" si="30"/>
        <v>0</v>
      </c>
      <c r="AW21" s="652">
        <f t="shared" ca="1" si="30"/>
        <v>0</v>
      </c>
      <c r="AX21" s="652">
        <f t="shared" ca="1" si="30"/>
        <v>0</v>
      </c>
      <c r="AY21" s="652">
        <f t="shared" ca="1" si="30"/>
        <v>0</v>
      </c>
      <c r="AZ21" s="652">
        <f t="shared" ca="1" si="30"/>
        <v>0</v>
      </c>
      <c r="BA21" s="652">
        <f t="shared" ca="1" si="25"/>
        <v>0</v>
      </c>
      <c r="BB21" s="652">
        <f t="shared" ca="1" si="25"/>
        <v>0</v>
      </c>
      <c r="BC21" s="652">
        <f t="shared" ca="1" si="25"/>
        <v>0</v>
      </c>
      <c r="BD21" s="652">
        <f t="shared" ca="1" si="25"/>
        <v>0</v>
      </c>
      <c r="BE21" s="652" t="str">
        <f t="shared" ca="1" si="20"/>
        <v>Residential</v>
      </c>
      <c r="BF21" s="652" t="str">
        <f t="shared" ca="1" si="20"/>
        <v>ResHotWater - MF Wtd</v>
      </c>
      <c r="BG21" s="652" t="str">
        <f t="shared" ca="1" si="20"/>
        <v>ResMFGasDHW</v>
      </c>
      <c r="BH21" s="652" t="str">
        <f t="shared" ca="1" si="20"/>
        <v>LGE NonRes</v>
      </c>
      <c r="BI21" s="652" t="str">
        <f t="shared" ca="1" si="20"/>
        <v>LGE NonRes</v>
      </c>
      <c r="BJ21" s="652">
        <f t="shared" ca="1" si="4"/>
        <v>10</v>
      </c>
      <c r="BK21" s="652">
        <f t="shared" ca="1" si="4"/>
        <v>0</v>
      </c>
      <c r="BL21" s="652">
        <f t="shared" ca="1" si="5"/>
        <v>0</v>
      </c>
      <c r="BM21" s="652">
        <f t="shared" ca="1" si="5"/>
        <v>0</v>
      </c>
      <c r="BN21" s="652">
        <f t="shared" ca="1" si="5"/>
        <v>0</v>
      </c>
      <c r="BO21" s="652">
        <f t="shared" ca="1" si="5"/>
        <v>0</v>
      </c>
      <c r="BP21" s="652">
        <f t="shared" ca="1" si="5"/>
        <v>0</v>
      </c>
      <c r="BQ21" s="652">
        <f t="shared" ca="1" si="5"/>
        <v>0</v>
      </c>
      <c r="BR21" s="652">
        <f t="shared" ca="1" si="8"/>
        <v>0</v>
      </c>
      <c r="BS21" s="652">
        <f t="shared" ca="1" si="25"/>
        <v>0</v>
      </c>
      <c r="BT21" s="652">
        <f t="shared" ca="1" si="25"/>
        <v>0</v>
      </c>
      <c r="BU21" s="652">
        <f t="shared" ca="1" si="25"/>
        <v>0</v>
      </c>
      <c r="BV21" s="652">
        <f t="shared" ca="1" si="25"/>
        <v>0</v>
      </c>
      <c r="BW21" s="652">
        <f t="shared" ca="1" si="25"/>
        <v>0</v>
      </c>
      <c r="BX21" s="652">
        <f t="shared" ca="1" si="25"/>
        <v>0</v>
      </c>
      <c r="BY21" s="652">
        <f t="shared" ca="1" si="25"/>
        <v>0</v>
      </c>
    </row>
    <row r="22" spans="1:77">
      <c r="A22" s="425" t="str">
        <f t="shared" ca="1" si="0"/>
        <v>LI Multifamily - Whole BuildingLG&amp;E-Direct Install - Water Conservation Kitchen Aerators</v>
      </c>
      <c r="B22" s="1297" t="str">
        <f t="shared" ref="B22" si="31">IF(ISNUMBER(SEARCH("KU",C22)),"KU"&amp;D22,"LG&amp;E"&amp;D22)</f>
        <v>LG&amp;ELI Multifamily - Whole Building</v>
      </c>
      <c r="C22" s="661" t="s">
        <v>180</v>
      </c>
      <c r="D22" s="662" t="s">
        <v>58</v>
      </c>
      <c r="E22" s="652" t="str">
        <f t="shared" ca="1" si="14"/>
        <v>LG&amp;E-Direct Install - Water Conservation Kitchen Aerators</v>
      </c>
      <c r="F22" s="652" t="str">
        <f t="shared" ca="1" si="14"/>
        <v>Aerators 1.5 GPM</v>
      </c>
      <c r="G22" s="652" t="str">
        <f t="shared" ca="1" si="14"/>
        <v>Per Unit</v>
      </c>
      <c r="H22" s="652">
        <f t="shared" ca="1" si="28"/>
        <v>0</v>
      </c>
      <c r="I22" s="652">
        <f t="shared" ca="1" si="28"/>
        <v>0</v>
      </c>
      <c r="J22" s="652">
        <f t="shared" ca="1" si="28"/>
        <v>0</v>
      </c>
      <c r="K22" s="652">
        <f t="shared" ca="1" si="28"/>
        <v>0</v>
      </c>
      <c r="L22" s="652">
        <f t="shared" ca="1" si="28"/>
        <v>0</v>
      </c>
      <c r="M22" s="652">
        <f t="shared" ca="1" si="28"/>
        <v>0</v>
      </c>
      <c r="N22" s="652">
        <f t="shared" ca="1" si="28"/>
        <v>0</v>
      </c>
      <c r="O22" s="652">
        <f t="shared" ca="1" si="28"/>
        <v>0</v>
      </c>
      <c r="P22" s="652">
        <f t="shared" ca="1" si="28"/>
        <v>0</v>
      </c>
      <c r="Q22" s="652">
        <f t="shared" ca="1" si="28"/>
        <v>0</v>
      </c>
      <c r="R22" s="652">
        <f t="shared" ca="1" si="28"/>
        <v>0</v>
      </c>
      <c r="S22" s="652">
        <f t="shared" ca="1" si="28"/>
        <v>0</v>
      </c>
      <c r="T22" s="652">
        <f t="shared" ca="1" si="28"/>
        <v>0</v>
      </c>
      <c r="U22" s="652">
        <f t="shared" ca="1" si="28"/>
        <v>0</v>
      </c>
      <c r="V22" s="652">
        <f t="shared" ca="1" si="22"/>
        <v>0</v>
      </c>
      <c r="W22" s="652">
        <f t="shared" ca="1" si="22"/>
        <v>0</v>
      </c>
      <c r="X22" s="652">
        <f t="shared" ca="1" si="22"/>
        <v>0</v>
      </c>
      <c r="Y22" s="652">
        <f t="shared" ca="1" si="22"/>
        <v>0</v>
      </c>
      <c r="Z22" s="652">
        <f t="shared" ca="1" si="22"/>
        <v>0</v>
      </c>
      <c r="AA22" s="652">
        <f t="shared" ca="1" si="29"/>
        <v>0</v>
      </c>
      <c r="AB22" s="652">
        <f t="shared" ca="1" si="29"/>
        <v>0</v>
      </c>
      <c r="AC22" s="652">
        <f t="shared" ca="1" si="29"/>
        <v>0</v>
      </c>
      <c r="AD22" s="652">
        <f t="shared" ca="1" si="29"/>
        <v>0</v>
      </c>
      <c r="AE22" s="652">
        <f t="shared" ca="1" si="29"/>
        <v>0</v>
      </c>
      <c r="AF22" s="652">
        <f t="shared" ca="1" si="29"/>
        <v>0</v>
      </c>
      <c r="AG22" s="652">
        <f t="shared" ca="1" si="29"/>
        <v>0</v>
      </c>
      <c r="AH22" s="652">
        <f t="shared" ca="1" si="29"/>
        <v>0</v>
      </c>
      <c r="AI22" s="652">
        <f t="shared" ca="1" si="29"/>
        <v>0</v>
      </c>
      <c r="AJ22" s="652">
        <f t="shared" ca="1" si="29"/>
        <v>0</v>
      </c>
      <c r="AK22" s="652">
        <f t="shared" ca="1" si="29"/>
        <v>0</v>
      </c>
      <c r="AL22" s="652">
        <f t="shared" ca="1" si="29"/>
        <v>0</v>
      </c>
      <c r="AM22" s="652">
        <f t="shared" ca="1" si="29"/>
        <v>0</v>
      </c>
      <c r="AN22" s="652">
        <f t="shared" ca="1" si="29"/>
        <v>0</v>
      </c>
      <c r="AO22" s="652">
        <f t="shared" ca="1" si="29"/>
        <v>0</v>
      </c>
      <c r="AP22" s="652">
        <f t="shared" ca="1" si="29"/>
        <v>0</v>
      </c>
      <c r="AQ22" s="652">
        <f t="shared" ca="1" si="30"/>
        <v>0</v>
      </c>
      <c r="AR22" s="652">
        <f t="shared" ca="1" si="30"/>
        <v>0</v>
      </c>
      <c r="AS22" s="652">
        <f t="shared" ca="1" si="30"/>
        <v>0</v>
      </c>
      <c r="AT22" s="652">
        <f t="shared" ca="1" si="30"/>
        <v>0</v>
      </c>
      <c r="AU22" s="652">
        <f t="shared" ca="1" si="30"/>
        <v>0</v>
      </c>
      <c r="AV22" s="652">
        <f t="shared" ca="1" si="30"/>
        <v>0</v>
      </c>
      <c r="AW22" s="652">
        <f t="shared" ca="1" si="30"/>
        <v>0</v>
      </c>
      <c r="AX22" s="652">
        <f t="shared" ca="1" si="30"/>
        <v>0</v>
      </c>
      <c r="AY22" s="652">
        <f t="shared" ca="1" si="30"/>
        <v>0</v>
      </c>
      <c r="AZ22" s="652">
        <f t="shared" ca="1" si="30"/>
        <v>0</v>
      </c>
      <c r="BA22" s="652">
        <f t="shared" ca="1" si="25"/>
        <v>0</v>
      </c>
      <c r="BB22" s="652">
        <f t="shared" ca="1" si="25"/>
        <v>0</v>
      </c>
      <c r="BC22" s="652">
        <f t="shared" ca="1" si="25"/>
        <v>0</v>
      </c>
      <c r="BD22" s="652">
        <f t="shared" ca="1" si="25"/>
        <v>0</v>
      </c>
      <c r="BE22" s="652" t="str">
        <f t="shared" ca="1" si="20"/>
        <v>Residential</v>
      </c>
      <c r="BF22" s="652" t="str">
        <f t="shared" ca="1" si="20"/>
        <v>ResHotWater - MF Wtd</v>
      </c>
      <c r="BG22" s="652" t="str">
        <f t="shared" ca="1" si="20"/>
        <v>ResMFGasDHW</v>
      </c>
      <c r="BH22" s="652" t="str">
        <f t="shared" ca="1" si="20"/>
        <v>LGE NonRes</v>
      </c>
      <c r="BI22" s="652" t="str">
        <f t="shared" ca="1" si="20"/>
        <v>LGE NonRes</v>
      </c>
      <c r="BJ22" s="652">
        <f t="shared" ca="1" si="4"/>
        <v>10</v>
      </c>
      <c r="BK22" s="652">
        <f t="shared" ca="1" si="4"/>
        <v>0</v>
      </c>
      <c r="BL22" s="652">
        <f t="shared" ca="1" si="5"/>
        <v>0</v>
      </c>
      <c r="BM22" s="652">
        <f t="shared" ca="1" si="5"/>
        <v>0</v>
      </c>
      <c r="BN22" s="652">
        <f t="shared" ca="1" si="5"/>
        <v>0</v>
      </c>
      <c r="BO22" s="652">
        <f t="shared" ca="1" si="5"/>
        <v>0</v>
      </c>
      <c r="BP22" s="652">
        <f t="shared" ca="1" si="5"/>
        <v>0</v>
      </c>
      <c r="BQ22" s="652">
        <f t="shared" ca="1" si="5"/>
        <v>0</v>
      </c>
      <c r="BR22" s="652">
        <f t="shared" ca="1" si="8"/>
        <v>0</v>
      </c>
      <c r="BS22" s="652">
        <f t="shared" ca="1" si="25"/>
        <v>0</v>
      </c>
      <c r="BT22" s="652">
        <f t="shared" ca="1" si="25"/>
        <v>0</v>
      </c>
      <c r="BU22" s="652">
        <f t="shared" ca="1" si="25"/>
        <v>0</v>
      </c>
      <c r="BV22" s="652">
        <f t="shared" ca="1" si="25"/>
        <v>0</v>
      </c>
      <c r="BW22" s="652">
        <f t="shared" ca="1" si="25"/>
        <v>0</v>
      </c>
      <c r="BX22" s="652">
        <f t="shared" ca="1" si="25"/>
        <v>0</v>
      </c>
      <c r="BY22" s="652">
        <f t="shared" ref="BY22:BY23" ca="1" si="32">VLOOKUP($C22,INDIRECT("'"&amp;$D22&amp;"'!A6:FR1000"),IF(BY$6="Participation 2023",MATCH("__Participation 2023",INDIRECT("'"&amp;$D22&amp;"'!1:1"),0),IF(BY$6="Participation",MATCH("_Total Plan Summary _Participation",INDIRECT("'"&amp;$D22&amp;"'!1:1"),0),MATCH(BY$4&amp;"_"&amp;BY$5&amp;"_"&amp;BY$6,INDIRECT("'"&amp;$D22&amp;"'!1:1"),0))),0)</f>
        <v>0</v>
      </c>
    </row>
    <row r="23" spans="1:77">
      <c r="A23" s="425" t="str">
        <f t="shared" ca="1" si="0"/>
        <v>LI Multifamily - Whole BuildingLG&amp;E-Direct Install - Water Conservation Showerheads</v>
      </c>
      <c r="B23" s="1297" t="str">
        <f t="shared" ref="B23:B28" si="33">IF(ISNUMBER(SEARCH("KU",C23)),"KU"&amp;D23,"LG&amp;E"&amp;D23)</f>
        <v>LG&amp;ELI Multifamily - Whole Building</v>
      </c>
      <c r="C23" s="661" t="s">
        <v>181</v>
      </c>
      <c r="D23" s="662" t="s">
        <v>58</v>
      </c>
      <c r="E23" s="652" t="str">
        <f t="shared" ca="1" si="14"/>
        <v>LG&amp;E-Direct Install - Water Conservation Showerheads</v>
      </c>
      <c r="F23" s="652" t="str">
        <f t="shared" ca="1" si="14"/>
        <v>Showerhead 1.5 GPM</v>
      </c>
      <c r="G23" s="652" t="str">
        <f t="shared" ca="1" si="14"/>
        <v>Per Unit</v>
      </c>
      <c r="H23" s="652">
        <f t="shared" ca="1" si="28"/>
        <v>0</v>
      </c>
      <c r="I23" s="652">
        <f t="shared" ca="1" si="28"/>
        <v>0</v>
      </c>
      <c r="J23" s="652">
        <f t="shared" ca="1" si="28"/>
        <v>0</v>
      </c>
      <c r="K23" s="652">
        <f t="shared" ca="1" si="28"/>
        <v>0</v>
      </c>
      <c r="L23" s="652">
        <f t="shared" ca="1" si="28"/>
        <v>0</v>
      </c>
      <c r="M23" s="652">
        <f t="shared" ca="1" si="28"/>
        <v>0</v>
      </c>
      <c r="N23" s="652">
        <f t="shared" ca="1" si="28"/>
        <v>0</v>
      </c>
      <c r="O23" s="652">
        <f t="shared" ca="1" si="28"/>
        <v>0</v>
      </c>
      <c r="P23" s="652">
        <f t="shared" ca="1" si="28"/>
        <v>0</v>
      </c>
      <c r="Q23" s="652">
        <f t="shared" ca="1" si="28"/>
        <v>0</v>
      </c>
      <c r="R23" s="652">
        <f t="shared" ca="1" si="28"/>
        <v>0</v>
      </c>
      <c r="S23" s="652">
        <f t="shared" ca="1" si="28"/>
        <v>0</v>
      </c>
      <c r="T23" s="652">
        <f t="shared" ca="1" si="28"/>
        <v>0</v>
      </c>
      <c r="U23" s="652">
        <f t="shared" ca="1" si="28"/>
        <v>0</v>
      </c>
      <c r="V23" s="652">
        <f t="shared" ca="1" si="22"/>
        <v>0</v>
      </c>
      <c r="W23" s="652">
        <f t="shared" ca="1" si="22"/>
        <v>0</v>
      </c>
      <c r="X23" s="652">
        <f t="shared" ca="1" si="22"/>
        <v>0</v>
      </c>
      <c r="Y23" s="652">
        <f t="shared" ca="1" si="22"/>
        <v>0</v>
      </c>
      <c r="Z23" s="652">
        <f t="shared" ca="1" si="22"/>
        <v>0</v>
      </c>
      <c r="AA23" s="652">
        <f t="shared" ca="1" si="29"/>
        <v>0</v>
      </c>
      <c r="AB23" s="652">
        <f t="shared" ca="1" si="29"/>
        <v>0</v>
      </c>
      <c r="AC23" s="652">
        <f t="shared" ca="1" si="29"/>
        <v>0</v>
      </c>
      <c r="AD23" s="652">
        <f t="shared" ca="1" si="29"/>
        <v>0</v>
      </c>
      <c r="AE23" s="652">
        <f t="shared" ca="1" si="29"/>
        <v>0</v>
      </c>
      <c r="AF23" s="652">
        <f t="shared" ca="1" si="29"/>
        <v>0</v>
      </c>
      <c r="AG23" s="652">
        <f t="shared" ca="1" si="29"/>
        <v>0</v>
      </c>
      <c r="AH23" s="652">
        <f t="shared" ca="1" si="29"/>
        <v>0</v>
      </c>
      <c r="AI23" s="652">
        <f t="shared" ca="1" si="29"/>
        <v>0</v>
      </c>
      <c r="AJ23" s="652">
        <f t="shared" ca="1" si="29"/>
        <v>0</v>
      </c>
      <c r="AK23" s="652">
        <f t="shared" ca="1" si="29"/>
        <v>0</v>
      </c>
      <c r="AL23" s="652">
        <f t="shared" ca="1" si="29"/>
        <v>0</v>
      </c>
      <c r="AM23" s="652">
        <f t="shared" ca="1" si="29"/>
        <v>0</v>
      </c>
      <c r="AN23" s="652">
        <f t="shared" ca="1" si="29"/>
        <v>0</v>
      </c>
      <c r="AO23" s="652">
        <f t="shared" ca="1" si="29"/>
        <v>0</v>
      </c>
      <c r="AP23" s="652">
        <f t="shared" ca="1" si="29"/>
        <v>0</v>
      </c>
      <c r="AQ23" s="652">
        <f t="shared" ca="1" si="30"/>
        <v>0</v>
      </c>
      <c r="AR23" s="652">
        <f t="shared" ca="1" si="30"/>
        <v>0</v>
      </c>
      <c r="AS23" s="652">
        <f t="shared" ca="1" si="30"/>
        <v>0</v>
      </c>
      <c r="AT23" s="652">
        <f t="shared" ca="1" si="30"/>
        <v>0</v>
      </c>
      <c r="AU23" s="652">
        <f t="shared" ca="1" si="30"/>
        <v>0</v>
      </c>
      <c r="AV23" s="652">
        <f t="shared" ca="1" si="30"/>
        <v>0</v>
      </c>
      <c r="AW23" s="652">
        <f t="shared" ca="1" si="30"/>
        <v>0</v>
      </c>
      <c r="AX23" s="652">
        <f t="shared" ca="1" si="30"/>
        <v>0</v>
      </c>
      <c r="AY23" s="652">
        <f t="shared" ca="1" si="30"/>
        <v>0</v>
      </c>
      <c r="AZ23" s="652">
        <f t="shared" ca="1" si="30"/>
        <v>0</v>
      </c>
      <c r="BA23" s="652">
        <f t="shared" ca="1" si="30"/>
        <v>0</v>
      </c>
      <c r="BB23" s="652">
        <f t="shared" ca="1" si="30"/>
        <v>0</v>
      </c>
      <c r="BC23" s="652">
        <f t="shared" ca="1" si="30"/>
        <v>0</v>
      </c>
      <c r="BD23" s="652">
        <f t="shared" ca="1" si="30"/>
        <v>0</v>
      </c>
      <c r="BE23" s="652" t="str">
        <f t="shared" ca="1" si="20"/>
        <v>Residential</v>
      </c>
      <c r="BF23" s="652" t="str">
        <f t="shared" ca="1" si="20"/>
        <v>ResHotWater - MF Wtd</v>
      </c>
      <c r="BG23" s="652" t="str">
        <f t="shared" ca="1" si="20"/>
        <v>ResMFGasDHW</v>
      </c>
      <c r="BH23" s="652" t="str">
        <f t="shared" ca="1" si="20"/>
        <v>LGE NonRes</v>
      </c>
      <c r="BI23" s="652" t="str">
        <f t="shared" ca="1" si="20"/>
        <v>LGE NonRes</v>
      </c>
      <c r="BJ23" s="652">
        <f t="shared" ca="1" si="20"/>
        <v>10</v>
      </c>
      <c r="BK23" s="652">
        <f t="shared" ca="1" si="20"/>
        <v>0</v>
      </c>
      <c r="BL23" s="652">
        <f t="shared" ca="1" si="20"/>
        <v>0</v>
      </c>
      <c r="BM23" s="652">
        <f t="shared" ca="1" si="20"/>
        <v>0</v>
      </c>
      <c r="BN23" s="652">
        <f t="shared" ca="1" si="20"/>
        <v>0</v>
      </c>
      <c r="BO23" s="652">
        <f t="shared" ca="1" si="20"/>
        <v>0</v>
      </c>
      <c r="BP23" s="652">
        <f t="shared" ca="1" si="20"/>
        <v>0</v>
      </c>
      <c r="BQ23" s="652">
        <f t="shared" ca="1" si="20"/>
        <v>0</v>
      </c>
      <c r="BR23" s="652">
        <f t="shared" ca="1" si="8"/>
        <v>0</v>
      </c>
      <c r="BS23" s="652">
        <f t="shared" ca="1" si="30"/>
        <v>0</v>
      </c>
      <c r="BT23" s="652">
        <f t="shared" ref="BA23:BY39" ca="1" si="34">VLOOKUP($C23,INDIRECT("'"&amp;$D23&amp;"'!A6:FR1000"),IF(BT$6="Participation 2023",MATCH("__Participation 2023",INDIRECT("'"&amp;$D23&amp;"'!1:1"),0),IF(BT$6="Participation",MATCH("_Total Plan Summary _Participation",INDIRECT("'"&amp;$D23&amp;"'!1:1"),0),MATCH(BT$4&amp;"_"&amp;BT$5&amp;"_"&amp;BT$6,INDIRECT("'"&amp;$D23&amp;"'!1:1"),0))),0)</f>
        <v>0</v>
      </c>
      <c r="BU23" s="652">
        <f t="shared" ca="1" si="34"/>
        <v>0</v>
      </c>
      <c r="BV23" s="652">
        <f t="shared" ca="1" si="34"/>
        <v>0</v>
      </c>
      <c r="BW23" s="652">
        <f t="shared" ca="1" si="34"/>
        <v>0</v>
      </c>
      <c r="BX23" s="652">
        <f t="shared" ca="1" si="34"/>
        <v>0</v>
      </c>
      <c r="BY23" s="652">
        <f t="shared" ca="1" si="32"/>
        <v>0</v>
      </c>
    </row>
    <row r="24" spans="1:77">
      <c r="A24" s="425" t="str">
        <f t="shared" ca="1" si="0"/>
        <v>LI Multifamily - Whole BuildingLG&amp;E-Custom MF Retrofit Common Area</v>
      </c>
      <c r="B24" s="1298" t="str">
        <f>IF(ISNUMBER(SEARCH("KU",C24)),"KU"&amp;D24,"LG&amp;E"&amp;D24)</f>
        <v>LG&amp;ELI Multifamily - Whole Building</v>
      </c>
      <c r="C24" s="661" t="s">
        <v>182</v>
      </c>
      <c r="D24" s="662" t="s">
        <v>58</v>
      </c>
      <c r="E24" s="652" t="str">
        <f ca="1">VLOOKUP($C24,INDIRECT("'"&amp;$D24&amp;"'!A6:FC1000"),IF(E$6="Participation 2023",MATCH("__Participation 2023",INDIRECT("'"&amp;$D24&amp;"'!1:1"),0),IF(E$6="Participation",MATCH("_Total Plan Summary _Participation",INDIRECT("'"&amp;$D24&amp;"'!1:1"),0),MATCH(E$4&amp;"_"&amp;E$5&amp;"_"&amp;E$6,INDIRECT("'"&amp;$D24&amp;"'!1:1"),0))),0)</f>
        <v>LG&amp;E-Custom MF Retrofit Common Area</v>
      </c>
      <c r="F24" s="652" t="str">
        <f ca="1">VLOOKUP($C24,INDIRECT("'"&amp;$D24&amp;"'!A6:FC1000"),IF(F$6="Participation 2023",MATCH("__Participation 2023",INDIRECT("'"&amp;$D24&amp;"'!1:1"),0),IF(F$6="Participation",MATCH("_Total Plan Summary _Participation",INDIRECT("'"&amp;$D24&amp;"'!1:1"),0),MATCH(F$4&amp;"_"&amp;F$5&amp;"_"&amp;F$6,INDIRECT("'"&amp;$D24&amp;"'!1:1"),0))),0)</f>
        <v>Custom Projects - for common areas</v>
      </c>
      <c r="G24" s="652" t="str">
        <f ca="1">VLOOKUP($C24,INDIRECT("'"&amp;$D24&amp;"'!A6:FC1000"),IF(G$6="Participation 2023",MATCH("__Participation 2023",INDIRECT("'"&amp;$D24&amp;"'!1:1"),0),IF(G$6="Participation",MATCH("_Total Plan Summary _Participation",INDIRECT("'"&amp;$D24&amp;"'!1:1"),0),MATCH(G$4&amp;"_"&amp;G$5&amp;"_"&amp;G$6,INDIRECT("'"&amp;$D24&amp;"'!1:1"),0))),0)</f>
        <v>Per Saved kWh (first year savings only)</v>
      </c>
      <c r="H24" s="652">
        <f t="shared" ref="H24:AM24" ca="1" si="35">VLOOKUP($C24,INDIRECT("'"&amp;$D24&amp;"'!A6:FR1000"),IF(H$6="Participation 2023",MATCH("__Participation 2023",INDIRECT("'"&amp;$D24&amp;"'!1:1"),0),IF(H$6="Participation",MATCH("_Total Plan Summary _Participation",INDIRECT("'"&amp;$D24&amp;"'!1:1"),0),MATCH(H$4&amp;"_"&amp;H$5&amp;"_"&amp;H$6,INDIRECT("'"&amp;$D24&amp;"'!1:1"),0))),0)</f>
        <v>18750</v>
      </c>
      <c r="I24" s="652">
        <f t="shared" ca="1" si="35"/>
        <v>18750</v>
      </c>
      <c r="J24" s="652">
        <f t="shared" ca="1" si="35"/>
        <v>18750</v>
      </c>
      <c r="K24" s="652">
        <f t="shared" ca="1" si="35"/>
        <v>18750</v>
      </c>
      <c r="L24" s="652">
        <f t="shared" ca="1" si="35"/>
        <v>18750</v>
      </c>
      <c r="M24" s="652">
        <f t="shared" ca="1" si="35"/>
        <v>18750</v>
      </c>
      <c r="N24" s="652">
        <f t="shared" ca="1" si="35"/>
        <v>18750</v>
      </c>
      <c r="O24" s="652">
        <f t="shared" ca="1" si="35"/>
        <v>0</v>
      </c>
      <c r="P24" s="652">
        <f t="shared" ca="1" si="35"/>
        <v>0</v>
      </c>
      <c r="Q24" s="652">
        <f t="shared" ca="1" si="35"/>
        <v>0</v>
      </c>
      <c r="R24" s="652">
        <f t="shared" ca="1" si="35"/>
        <v>0</v>
      </c>
      <c r="S24" s="652">
        <f t="shared" ca="1" si="35"/>
        <v>0</v>
      </c>
      <c r="T24" s="652">
        <f t="shared" ca="1" si="35"/>
        <v>0</v>
      </c>
      <c r="U24" s="652">
        <f t="shared" ca="1" si="35"/>
        <v>0</v>
      </c>
      <c r="V24" s="652">
        <f t="shared" ca="1" si="35"/>
        <v>0</v>
      </c>
      <c r="W24" s="652">
        <f t="shared" ca="1" si="35"/>
        <v>0</v>
      </c>
      <c r="X24" s="652">
        <f t="shared" ca="1" si="35"/>
        <v>0</v>
      </c>
      <c r="Y24" s="652">
        <f t="shared" ca="1" si="35"/>
        <v>0</v>
      </c>
      <c r="Z24" s="652">
        <f t="shared" ca="1" si="35"/>
        <v>0</v>
      </c>
      <c r="AA24" s="652">
        <f t="shared" ca="1" si="35"/>
        <v>0</v>
      </c>
      <c r="AB24" s="652">
        <f t="shared" ca="1" si="35"/>
        <v>0</v>
      </c>
      <c r="AC24" s="652">
        <f t="shared" ca="1" si="35"/>
        <v>0</v>
      </c>
      <c r="AD24" s="652">
        <f t="shared" ca="1" si="35"/>
        <v>0</v>
      </c>
      <c r="AE24" s="652">
        <f t="shared" ca="1" si="35"/>
        <v>0</v>
      </c>
      <c r="AF24" s="652">
        <f t="shared" ca="1" si="35"/>
        <v>0</v>
      </c>
      <c r="AG24" s="652">
        <f t="shared" ca="1" si="35"/>
        <v>0</v>
      </c>
      <c r="AH24" s="652">
        <f t="shared" ca="1" si="35"/>
        <v>0</v>
      </c>
      <c r="AI24" s="652">
        <f t="shared" ca="1" si="35"/>
        <v>0</v>
      </c>
      <c r="AJ24" s="652">
        <f t="shared" ca="1" si="35"/>
        <v>18750</v>
      </c>
      <c r="AK24" s="652">
        <f t="shared" ca="1" si="35"/>
        <v>18750</v>
      </c>
      <c r="AL24" s="652">
        <f t="shared" ca="1" si="35"/>
        <v>18750</v>
      </c>
      <c r="AM24" s="652">
        <f t="shared" ca="1" si="35"/>
        <v>18750</v>
      </c>
      <c r="AN24" s="652">
        <f t="shared" ref="AN24:BD24" ca="1" si="36">VLOOKUP($C24,INDIRECT("'"&amp;$D24&amp;"'!A6:FR1000"),IF(AN$6="Participation 2023",MATCH("__Participation 2023",INDIRECT("'"&amp;$D24&amp;"'!1:1"),0),IF(AN$6="Participation",MATCH("_Total Plan Summary _Participation",INDIRECT("'"&amp;$D24&amp;"'!1:1"),0),MATCH(AN$4&amp;"_"&amp;AN$5&amp;"_"&amp;AN$6,INDIRECT("'"&amp;$D24&amp;"'!1:1"),0))),0)</f>
        <v>18750</v>
      </c>
      <c r="AO24" s="652">
        <f t="shared" ca="1" si="36"/>
        <v>18750</v>
      </c>
      <c r="AP24" s="652">
        <f t="shared" ca="1" si="36"/>
        <v>18750</v>
      </c>
      <c r="AQ24" s="652">
        <f t="shared" ca="1" si="36"/>
        <v>5.121073443489208</v>
      </c>
      <c r="AR24" s="652">
        <f t="shared" ca="1" si="36"/>
        <v>5.121073443489208</v>
      </c>
      <c r="AS24" s="652">
        <f t="shared" ca="1" si="36"/>
        <v>5.121073443489208</v>
      </c>
      <c r="AT24" s="652">
        <f t="shared" ca="1" si="36"/>
        <v>5.121073443489208</v>
      </c>
      <c r="AU24" s="652">
        <f t="shared" ca="1" si="36"/>
        <v>5.121073443489208</v>
      </c>
      <c r="AV24" s="652">
        <f t="shared" ca="1" si="36"/>
        <v>5.121073443489208</v>
      </c>
      <c r="AW24" s="652">
        <f t="shared" ca="1" si="36"/>
        <v>5.121073443489208</v>
      </c>
      <c r="AX24" s="652">
        <f t="shared" ca="1" si="36"/>
        <v>57.221716258728364</v>
      </c>
      <c r="AY24" s="652">
        <f t="shared" ca="1" si="36"/>
        <v>57.221716258728364</v>
      </c>
      <c r="AZ24" s="652">
        <f t="shared" ca="1" si="36"/>
        <v>57.221716258728364</v>
      </c>
      <c r="BA24" s="652">
        <f t="shared" ca="1" si="36"/>
        <v>57.221716258728364</v>
      </c>
      <c r="BB24" s="652">
        <f t="shared" ca="1" si="36"/>
        <v>57.221716258728364</v>
      </c>
      <c r="BC24" s="652">
        <f t="shared" ca="1" si="36"/>
        <v>57.221716258728364</v>
      </c>
      <c r="BD24" s="652">
        <f t="shared" ca="1" si="36"/>
        <v>57.221716258728364</v>
      </c>
      <c r="BE24" s="652" t="str">
        <f t="shared" ca="1" si="20"/>
        <v>Commercial</v>
      </c>
      <c r="BF24" s="652" t="str">
        <f t="shared" ca="1" si="20"/>
        <v>OFFLGElecTotl</v>
      </c>
      <c r="BG24" s="652" t="str">
        <f t="shared" ca="1" si="20"/>
        <v>OFFSMGasHeat</v>
      </c>
      <c r="BH24" s="652" t="str">
        <f t="shared" ca="1" si="20"/>
        <v>LGE NonRes</v>
      </c>
      <c r="BI24" s="652" t="str">
        <f t="shared" ca="1" si="20"/>
        <v>LGE NonRes</v>
      </c>
      <c r="BJ24" s="652">
        <f t="shared" ca="1" si="20"/>
        <v>15</v>
      </c>
      <c r="BK24" s="652">
        <f t="shared" ca="1" si="20"/>
        <v>10367.754045783749</v>
      </c>
      <c r="BL24" s="652">
        <f t="shared" ca="1" si="20"/>
        <v>10367.754045783749</v>
      </c>
      <c r="BM24" s="652">
        <f t="shared" ca="1" si="20"/>
        <v>10367.754045783749</v>
      </c>
      <c r="BN24" s="652">
        <f t="shared" ca="1" si="20"/>
        <v>10367.754045783749</v>
      </c>
      <c r="BO24" s="652">
        <f t="shared" ca="1" si="20"/>
        <v>10367.754045783749</v>
      </c>
      <c r="BP24" s="652">
        <f t="shared" ca="1" si="20"/>
        <v>10367.754045783749</v>
      </c>
      <c r="BQ24" s="652">
        <f t="shared" ca="1" si="20"/>
        <v>10367.754045783749</v>
      </c>
      <c r="BR24" s="652">
        <f t="shared" ca="1" si="8"/>
        <v>131250</v>
      </c>
      <c r="BS24" s="652">
        <f t="shared" ref="BS24:BY24" ca="1" si="37">VLOOKUP($C24,INDIRECT("'"&amp;$D24&amp;"'!A6:FR1000"),IF(BS$6="Participation 2023",MATCH("__Participation 2023",INDIRECT("'"&amp;$D24&amp;"'!1:1"),0),IF(BS$6="Participation",MATCH("_Total Plan Summary _Participation",INDIRECT("'"&amp;$D24&amp;"'!1:1"),0),MATCH(BS$4&amp;"_"&amp;BS$5&amp;"_"&amp;BS$6,INDIRECT("'"&amp;$D24&amp;"'!1:1"),0))),0)</f>
        <v>0</v>
      </c>
      <c r="BT24" s="652">
        <f t="shared" ca="1" si="37"/>
        <v>0</v>
      </c>
      <c r="BU24" s="652">
        <f t="shared" ca="1" si="37"/>
        <v>0</v>
      </c>
      <c r="BV24" s="652">
        <f t="shared" ca="1" si="37"/>
        <v>72574.278320486235</v>
      </c>
      <c r="BW24" s="652">
        <f t="shared" ca="1" si="37"/>
        <v>131250</v>
      </c>
      <c r="BX24" s="652">
        <f t="shared" ca="1" si="37"/>
        <v>35.847514104424455</v>
      </c>
      <c r="BY24" s="652">
        <f t="shared" ca="1" si="37"/>
        <v>400.5520138110985</v>
      </c>
    </row>
    <row r="25" spans="1:77">
      <c r="A25" s="425" t="str">
        <f t="shared" ca="1" si="0"/>
        <v>Appliance RecyclingKU-Refrigerator - Removal of Secondary</v>
      </c>
      <c r="B25" s="1297" t="str">
        <f t="shared" si="33"/>
        <v>KUAppliance Recycling</v>
      </c>
      <c r="C25" s="661" t="s">
        <v>171</v>
      </c>
      <c r="D25" s="662" t="s">
        <v>59</v>
      </c>
      <c r="E25" s="652" t="str">
        <f ca="1">VLOOKUP($C25,INDIRECT("'"&amp;$D25&amp;"'!A6:FC1000"),IF(E$6="Participation 2023",MATCH("__Participation 2023",INDIRECT("'"&amp;$D25&amp;"'!1:1"),0),IF(E$6="Participation",MATCH("_Total Plan Summary _Participation",INDIRECT("'"&amp;$D25&amp;"'!1:1"),0),MATCH(E$4&amp;"_"&amp;E$5&amp;"_"&amp;E$6,INDIRECT("'"&amp;$D25&amp;"'!1:1"),0))),0)</f>
        <v>KU-Refrigerator - Removal of Secondary</v>
      </c>
      <c r="F25" s="652" t="str">
        <f t="shared" ca="1" si="14"/>
        <v>Proper Disposal of Refrigerator</v>
      </c>
      <c r="G25" s="652" t="str">
        <f t="shared" ca="1" si="14"/>
        <v>Per Unit</v>
      </c>
      <c r="H25" s="652">
        <f t="shared" ca="1" si="28"/>
        <v>0</v>
      </c>
      <c r="I25" s="652">
        <f t="shared" ca="1" si="28"/>
        <v>0</v>
      </c>
      <c r="J25" s="652">
        <f t="shared" ca="1" si="28"/>
        <v>2442.9846798192439</v>
      </c>
      <c r="K25" s="652">
        <f t="shared" ca="1" si="28"/>
        <v>2850.1487931224515</v>
      </c>
      <c r="L25" s="652">
        <f t="shared" ca="1" si="28"/>
        <v>3257.3129064256586</v>
      </c>
      <c r="M25" s="652">
        <f t="shared" ca="1" si="28"/>
        <v>3257.3129064256586</v>
      </c>
      <c r="N25" s="652">
        <f t="shared" ca="1" si="28"/>
        <v>3257.3129064256586</v>
      </c>
      <c r="O25" s="652">
        <f t="shared" ca="1" si="28"/>
        <v>0</v>
      </c>
      <c r="P25" s="652">
        <f t="shared" ca="1" si="28"/>
        <v>0</v>
      </c>
      <c r="Q25" s="652">
        <f t="shared" ca="1" si="28"/>
        <v>0</v>
      </c>
      <c r="R25" s="652">
        <f t="shared" ca="1" si="28"/>
        <v>0</v>
      </c>
      <c r="S25" s="652">
        <f t="shared" ca="1" si="28"/>
        <v>0</v>
      </c>
      <c r="T25" s="652">
        <f t="shared" ca="1" si="28"/>
        <v>0</v>
      </c>
      <c r="U25" s="652">
        <f t="shared" ca="1" si="28"/>
        <v>0</v>
      </c>
      <c r="V25" s="652">
        <f t="shared" ca="1" si="28"/>
        <v>0</v>
      </c>
      <c r="W25" s="652">
        <f t="shared" ca="1" si="28"/>
        <v>0</v>
      </c>
      <c r="X25" s="652">
        <f t="shared" ca="1" si="22"/>
        <v>0</v>
      </c>
      <c r="Y25" s="652">
        <f t="shared" ca="1" si="22"/>
        <v>0</v>
      </c>
      <c r="Z25" s="652">
        <f t="shared" ca="1" si="22"/>
        <v>0</v>
      </c>
      <c r="AA25" s="652">
        <f t="shared" ca="1" si="29"/>
        <v>0</v>
      </c>
      <c r="AB25" s="652">
        <f t="shared" ca="1" si="29"/>
        <v>0</v>
      </c>
      <c r="AC25" s="652">
        <f t="shared" ca="1" si="29"/>
        <v>0</v>
      </c>
      <c r="AD25" s="652">
        <f t="shared" ca="1" si="29"/>
        <v>0</v>
      </c>
      <c r="AE25" s="652">
        <f t="shared" ca="1" si="29"/>
        <v>122149.2339909622</v>
      </c>
      <c r="AF25" s="652">
        <f t="shared" ca="1" si="29"/>
        <v>142507.43965612259</v>
      </c>
      <c r="AG25" s="652">
        <f t="shared" ca="1" si="29"/>
        <v>162865.64532128294</v>
      </c>
      <c r="AH25" s="652">
        <f t="shared" ca="1" si="29"/>
        <v>162865.64532128294</v>
      </c>
      <c r="AI25" s="652">
        <f t="shared" ca="1" si="29"/>
        <v>162865.64532128294</v>
      </c>
      <c r="AJ25" s="652">
        <f t="shared" ca="1" si="29"/>
        <v>0</v>
      </c>
      <c r="AK25" s="652">
        <f t="shared" ca="1" si="29"/>
        <v>0</v>
      </c>
      <c r="AL25" s="652">
        <f t="shared" ca="1" si="29"/>
        <v>1832238.509864433</v>
      </c>
      <c r="AM25" s="652">
        <f t="shared" ca="1" si="29"/>
        <v>2137611.5948418388</v>
      </c>
      <c r="AN25" s="652">
        <f t="shared" ca="1" si="29"/>
        <v>2442984.679819244</v>
      </c>
      <c r="AO25" s="652">
        <f t="shared" ca="1" si="29"/>
        <v>2442984.679819244</v>
      </c>
      <c r="AP25" s="652">
        <f t="shared" ca="1" si="29"/>
        <v>2442984.679819244</v>
      </c>
      <c r="AQ25" s="652">
        <f t="shared" ca="1" si="30"/>
        <v>0</v>
      </c>
      <c r="AR25" s="652">
        <f t="shared" ca="1" si="30"/>
        <v>0</v>
      </c>
      <c r="AS25" s="652">
        <f t="shared" ca="1" si="30"/>
        <v>207.65369778463574</v>
      </c>
      <c r="AT25" s="652">
        <f t="shared" ca="1" si="30"/>
        <v>242.2626474154084</v>
      </c>
      <c r="AU25" s="652">
        <f t="shared" ca="1" si="30"/>
        <v>276.87159704618102</v>
      </c>
      <c r="AV25" s="652">
        <f t="shared" ca="1" si="30"/>
        <v>276.87159704618102</v>
      </c>
      <c r="AW25" s="652">
        <f t="shared" ca="1" si="30"/>
        <v>276.87159704618102</v>
      </c>
      <c r="AX25" s="652">
        <f t="shared" ca="1" si="30"/>
        <v>0</v>
      </c>
      <c r="AY25" s="652">
        <f t="shared" ca="1" si="30"/>
        <v>0</v>
      </c>
      <c r="AZ25" s="652">
        <f t="shared" ca="1" si="30"/>
        <v>0</v>
      </c>
      <c r="BA25" s="652">
        <f t="shared" ca="1" si="30"/>
        <v>0</v>
      </c>
      <c r="BB25" s="652">
        <f t="shared" ca="1" si="30"/>
        <v>0</v>
      </c>
      <c r="BC25" s="652">
        <f t="shared" ca="1" si="30"/>
        <v>0</v>
      </c>
      <c r="BD25" s="652">
        <f t="shared" ca="1" si="30"/>
        <v>0</v>
      </c>
      <c r="BE25" s="652" t="str">
        <f t="shared" ca="1" si="20"/>
        <v>Residential</v>
      </c>
      <c r="BF25" s="652" t="str">
        <f t="shared" ca="1" si="20"/>
        <v>ResRefrig - SF Wtd</v>
      </c>
      <c r="BG25" s="652" t="str">
        <f t="shared" ca="1" si="20"/>
        <v>ResSFGasTotal</v>
      </c>
      <c r="BH25" s="652" t="str">
        <f t="shared" ca="1" si="20"/>
        <v>KU Res</v>
      </c>
      <c r="BI25" s="652" t="str">
        <f t="shared" ca="1" si="20"/>
        <v>KU Res</v>
      </c>
      <c r="BJ25" s="652">
        <f t="shared" ca="1" si="20"/>
        <v>8</v>
      </c>
      <c r="BK25" s="652">
        <f t="shared" ca="1" si="20"/>
        <v>0</v>
      </c>
      <c r="BL25" s="652">
        <f t="shared" ca="1" si="20"/>
        <v>0</v>
      </c>
      <c r="BM25" s="652">
        <f t="shared" ca="1" si="20"/>
        <v>0</v>
      </c>
      <c r="BN25" s="652">
        <f t="shared" ca="1" si="20"/>
        <v>0</v>
      </c>
      <c r="BO25" s="652">
        <f t="shared" ca="1" si="20"/>
        <v>0</v>
      </c>
      <c r="BP25" s="652">
        <f t="shared" ca="1" si="20"/>
        <v>0</v>
      </c>
      <c r="BQ25" s="652">
        <f t="shared" ca="1" si="20"/>
        <v>0</v>
      </c>
      <c r="BR25" s="652">
        <f t="shared" ca="1" si="8"/>
        <v>15065.072192218673</v>
      </c>
      <c r="BS25" s="652">
        <f t="shared" ca="1" si="30"/>
        <v>0</v>
      </c>
      <c r="BT25" s="652">
        <f t="shared" ca="1" si="34"/>
        <v>0</v>
      </c>
      <c r="BU25" s="652">
        <f t="shared" ca="1" si="34"/>
        <v>753253.60961093358</v>
      </c>
      <c r="BV25" s="652">
        <f t="shared" ca="1" si="34"/>
        <v>0</v>
      </c>
      <c r="BW25" s="652">
        <f t="shared" ca="1" si="34"/>
        <v>11298804.144164003</v>
      </c>
      <c r="BX25" s="652">
        <f t="shared" ca="1" si="34"/>
        <v>1280.5311363385872</v>
      </c>
      <c r="BY25" s="652">
        <f t="shared" ca="1" si="34"/>
        <v>0</v>
      </c>
    </row>
    <row r="26" spans="1:77">
      <c r="A26" s="425" t="str">
        <f t="shared" ca="1" si="0"/>
        <v>Appliance RecyclingKU-Freezer - Removal of Stand-Alone</v>
      </c>
      <c r="B26" s="1297" t="str">
        <f t="shared" si="33"/>
        <v>KUAppliance Recycling</v>
      </c>
      <c r="C26" s="661" t="s">
        <v>173</v>
      </c>
      <c r="D26" s="662" t="s">
        <v>59</v>
      </c>
      <c r="E26" s="652" t="str">
        <f t="shared" ca="1" si="14"/>
        <v>KU-Freezer - Removal of Stand-Alone</v>
      </c>
      <c r="F26" s="652" t="str">
        <f t="shared" ca="1" si="14"/>
        <v>Proper Disposal of Freezer</v>
      </c>
      <c r="G26" s="652" t="str">
        <f t="shared" ca="1" si="14"/>
        <v>Per Unit</v>
      </c>
      <c r="H26" s="652">
        <f t="shared" ca="1" si="28"/>
        <v>0</v>
      </c>
      <c r="I26" s="652">
        <f t="shared" ca="1" si="28"/>
        <v>0</v>
      </c>
      <c r="J26" s="652">
        <f t="shared" ca="1" si="28"/>
        <v>557.01532018075613</v>
      </c>
      <c r="K26" s="652">
        <f t="shared" ca="1" si="28"/>
        <v>649.85120687754875</v>
      </c>
      <c r="L26" s="652">
        <f t="shared" ca="1" si="28"/>
        <v>742.68709357434147</v>
      </c>
      <c r="M26" s="652">
        <f t="shared" ca="1" si="28"/>
        <v>742.68709357434147</v>
      </c>
      <c r="N26" s="652">
        <f t="shared" ca="1" si="28"/>
        <v>742.68709357434147</v>
      </c>
      <c r="O26" s="652">
        <f t="shared" ca="1" si="28"/>
        <v>0</v>
      </c>
      <c r="P26" s="652">
        <f t="shared" ca="1" si="28"/>
        <v>0</v>
      </c>
      <c r="Q26" s="652">
        <f t="shared" ca="1" si="28"/>
        <v>0</v>
      </c>
      <c r="R26" s="652">
        <f t="shared" ca="1" si="28"/>
        <v>0</v>
      </c>
      <c r="S26" s="652">
        <f t="shared" ca="1" si="28"/>
        <v>0</v>
      </c>
      <c r="T26" s="652">
        <f t="shared" ca="1" si="28"/>
        <v>0</v>
      </c>
      <c r="U26" s="652">
        <f t="shared" ca="1" si="28"/>
        <v>0</v>
      </c>
      <c r="V26" s="652">
        <f t="shared" ca="1" si="28"/>
        <v>0</v>
      </c>
      <c r="W26" s="652">
        <f t="shared" ca="1" si="28"/>
        <v>0</v>
      </c>
      <c r="X26" s="652">
        <f t="shared" ca="1" si="22"/>
        <v>0</v>
      </c>
      <c r="Y26" s="652">
        <f t="shared" ca="1" si="22"/>
        <v>0</v>
      </c>
      <c r="Z26" s="652">
        <f t="shared" ca="1" si="22"/>
        <v>0</v>
      </c>
      <c r="AA26" s="652">
        <f t="shared" ca="1" si="29"/>
        <v>0</v>
      </c>
      <c r="AB26" s="652">
        <f t="shared" ca="1" si="29"/>
        <v>0</v>
      </c>
      <c r="AC26" s="652">
        <f t="shared" ca="1" si="29"/>
        <v>0</v>
      </c>
      <c r="AD26" s="652">
        <f t="shared" ca="1" si="29"/>
        <v>0</v>
      </c>
      <c r="AE26" s="652">
        <f t="shared" ca="1" si="29"/>
        <v>27850.766009037805</v>
      </c>
      <c r="AF26" s="652">
        <f t="shared" ca="1" si="29"/>
        <v>32492.560343877438</v>
      </c>
      <c r="AG26" s="652">
        <f t="shared" ca="1" si="29"/>
        <v>37134.354678717071</v>
      </c>
      <c r="AH26" s="652">
        <f t="shared" ca="1" si="29"/>
        <v>37134.354678717071</v>
      </c>
      <c r="AI26" s="652">
        <f t="shared" ca="1" si="29"/>
        <v>37134.354678717071</v>
      </c>
      <c r="AJ26" s="652">
        <f t="shared" ca="1" si="29"/>
        <v>0</v>
      </c>
      <c r="AK26" s="652">
        <f t="shared" ca="1" si="29"/>
        <v>0</v>
      </c>
      <c r="AL26" s="652">
        <f t="shared" ca="1" si="29"/>
        <v>417761.49013556709</v>
      </c>
      <c r="AM26" s="652">
        <f t="shared" ca="1" si="29"/>
        <v>487388.40515816153</v>
      </c>
      <c r="AN26" s="652">
        <f t="shared" ca="1" si="29"/>
        <v>557015.32018075616</v>
      </c>
      <c r="AO26" s="652">
        <f t="shared" ca="1" si="29"/>
        <v>557015.32018075616</v>
      </c>
      <c r="AP26" s="652">
        <f t="shared" ca="1" si="29"/>
        <v>557015.32018075616</v>
      </c>
      <c r="AQ26" s="652">
        <f t="shared" ca="1" si="30"/>
        <v>0</v>
      </c>
      <c r="AR26" s="652">
        <f t="shared" ca="1" si="30"/>
        <v>0</v>
      </c>
      <c r="AS26" s="652">
        <f t="shared" ca="1" si="30"/>
        <v>47.346302215364275</v>
      </c>
      <c r="AT26" s="652">
        <f t="shared" ca="1" si="30"/>
        <v>55.237352584591648</v>
      </c>
      <c r="AU26" s="652">
        <f t="shared" ca="1" si="30"/>
        <v>63.128402953819027</v>
      </c>
      <c r="AV26" s="652">
        <f t="shared" ca="1" si="30"/>
        <v>63.128402953819027</v>
      </c>
      <c r="AW26" s="652">
        <f t="shared" ca="1" si="30"/>
        <v>63.128402953819027</v>
      </c>
      <c r="AX26" s="652">
        <f t="shared" ca="1" si="30"/>
        <v>0</v>
      </c>
      <c r="AY26" s="652">
        <f t="shared" ca="1" si="30"/>
        <v>0</v>
      </c>
      <c r="AZ26" s="652">
        <f t="shared" ca="1" si="30"/>
        <v>0</v>
      </c>
      <c r="BA26" s="652">
        <f t="shared" ca="1" si="30"/>
        <v>0</v>
      </c>
      <c r="BB26" s="652">
        <f t="shared" ca="1" si="30"/>
        <v>0</v>
      </c>
      <c r="BC26" s="652">
        <f t="shared" ca="1" si="30"/>
        <v>0</v>
      </c>
      <c r="BD26" s="652">
        <f t="shared" ca="1" si="30"/>
        <v>0</v>
      </c>
      <c r="BE26" s="652" t="str">
        <f t="shared" ca="1" si="20"/>
        <v>Residential</v>
      </c>
      <c r="BF26" s="652" t="str">
        <f t="shared" ca="1" si="20"/>
        <v>ResFreezer - SF Wtd</v>
      </c>
      <c r="BG26" s="652" t="str">
        <f t="shared" ca="1" si="20"/>
        <v>ResSFGasTotal</v>
      </c>
      <c r="BH26" s="652" t="str">
        <f t="shared" ca="1" si="20"/>
        <v>KU Res</v>
      </c>
      <c r="BI26" s="652" t="str">
        <f t="shared" ca="1" si="20"/>
        <v>KU Res</v>
      </c>
      <c r="BJ26" s="652">
        <f t="shared" ca="1" si="20"/>
        <v>8</v>
      </c>
      <c r="BK26" s="652">
        <f t="shared" ca="1" si="20"/>
        <v>0</v>
      </c>
      <c r="BL26" s="652">
        <f t="shared" ca="1" si="20"/>
        <v>0</v>
      </c>
      <c r="BM26" s="652">
        <f t="shared" ca="1" si="20"/>
        <v>0</v>
      </c>
      <c r="BN26" s="652">
        <f t="shared" ca="1" si="20"/>
        <v>0</v>
      </c>
      <c r="BO26" s="652">
        <f t="shared" ca="1" si="20"/>
        <v>0</v>
      </c>
      <c r="BP26" s="652">
        <f t="shared" ca="1" si="20"/>
        <v>0</v>
      </c>
      <c r="BQ26" s="652">
        <f t="shared" ca="1" si="20"/>
        <v>0</v>
      </c>
      <c r="BR26" s="652">
        <f t="shared" ca="1" si="8"/>
        <v>3434.9278077813292</v>
      </c>
      <c r="BS26" s="652">
        <f t="shared" ca="1" si="30"/>
        <v>0</v>
      </c>
      <c r="BT26" s="652">
        <f t="shared" ca="1" si="34"/>
        <v>0</v>
      </c>
      <c r="BU26" s="652">
        <f t="shared" ca="1" si="34"/>
        <v>171746.39038906645</v>
      </c>
      <c r="BV26" s="652">
        <f t="shared" ca="1" si="34"/>
        <v>0</v>
      </c>
      <c r="BW26" s="652">
        <f t="shared" ca="1" si="34"/>
        <v>2576195.855835997</v>
      </c>
      <c r="BX26" s="652">
        <f t="shared" ca="1" si="34"/>
        <v>291.96886366141302</v>
      </c>
      <c r="BY26" s="652">
        <f t="shared" ca="1" si="34"/>
        <v>0</v>
      </c>
    </row>
    <row r="27" spans="1:77">
      <c r="A27" s="425" t="str">
        <f t="shared" ca="1" si="0"/>
        <v>Appliance RecyclingKU-Room AC - Removal of inefficient unit</v>
      </c>
      <c r="B27" s="1297" t="str">
        <f t="shared" si="33"/>
        <v>KUAppliance Recycling</v>
      </c>
      <c r="C27" s="661" t="s">
        <v>175</v>
      </c>
      <c r="D27" s="662" t="s">
        <v>59</v>
      </c>
      <c r="E27" s="652" t="str">
        <f ca="1">VLOOKUP($C27,INDIRECT("'"&amp;$D27&amp;"'!A6:FC1000"),IF(E$6="Participation 2023",MATCH("__Participation 2023",INDIRECT("'"&amp;$D27&amp;"'!1:1"),0),IF(E$6="Participation",MATCH("_Total Plan Summary _Participation",INDIRECT("'"&amp;$D27&amp;"'!1:1"),0),MATCH(E$4&amp;"_"&amp;E$5&amp;"_"&amp;E$6,INDIRECT("'"&amp;$D27&amp;"'!1:1"),0))),0)</f>
        <v>KU-Room AC - Removal of inefficient unit</v>
      </c>
      <c r="F27" s="652" t="str">
        <f t="shared" ca="1" si="14"/>
        <v>Proper Disposal of Room AC - Available only if there is a refrigrator and/or freezer to remove</v>
      </c>
      <c r="G27" s="652" t="str">
        <f t="shared" ca="1" si="14"/>
        <v>Per Unit</v>
      </c>
      <c r="H27" s="652">
        <f t="shared" ca="1" si="28"/>
        <v>0</v>
      </c>
      <c r="I27" s="652">
        <f t="shared" ca="1" si="28"/>
        <v>0</v>
      </c>
      <c r="J27" s="652">
        <f t="shared" ca="1" si="28"/>
        <v>30</v>
      </c>
      <c r="K27" s="652">
        <f t="shared" ca="1" si="28"/>
        <v>35</v>
      </c>
      <c r="L27" s="652">
        <f t="shared" ca="1" si="28"/>
        <v>40</v>
      </c>
      <c r="M27" s="652">
        <f t="shared" ca="1" si="28"/>
        <v>40</v>
      </c>
      <c r="N27" s="652">
        <f t="shared" ca="1" si="28"/>
        <v>40</v>
      </c>
      <c r="O27" s="652">
        <f t="shared" ca="1" si="28"/>
        <v>0</v>
      </c>
      <c r="P27" s="652">
        <f t="shared" ca="1" si="28"/>
        <v>0</v>
      </c>
      <c r="Q27" s="652">
        <f t="shared" ca="1" si="28"/>
        <v>0</v>
      </c>
      <c r="R27" s="652">
        <f t="shared" ca="1" si="28"/>
        <v>0</v>
      </c>
      <c r="S27" s="652">
        <f t="shared" ca="1" si="28"/>
        <v>0</v>
      </c>
      <c r="T27" s="652">
        <f t="shared" ca="1" si="28"/>
        <v>0</v>
      </c>
      <c r="U27" s="652">
        <f t="shared" ca="1" si="28"/>
        <v>0</v>
      </c>
      <c r="V27" s="652">
        <f t="shared" ca="1" si="28"/>
        <v>0</v>
      </c>
      <c r="W27" s="652">
        <f t="shared" ca="1" si="28"/>
        <v>0</v>
      </c>
      <c r="X27" s="652">
        <f t="shared" ca="1" si="22"/>
        <v>0</v>
      </c>
      <c r="Y27" s="652">
        <f t="shared" ca="1" si="22"/>
        <v>0</v>
      </c>
      <c r="Z27" s="652">
        <f t="shared" ca="1" si="22"/>
        <v>0</v>
      </c>
      <c r="AA27" s="652">
        <f t="shared" ca="1" si="29"/>
        <v>0</v>
      </c>
      <c r="AB27" s="652">
        <f t="shared" ca="1" si="29"/>
        <v>0</v>
      </c>
      <c r="AC27" s="652">
        <f t="shared" ca="1" si="29"/>
        <v>0</v>
      </c>
      <c r="AD27" s="652">
        <f t="shared" ca="1" si="29"/>
        <v>0</v>
      </c>
      <c r="AE27" s="652">
        <f t="shared" ca="1" si="29"/>
        <v>0</v>
      </c>
      <c r="AF27" s="652">
        <f t="shared" ca="1" si="29"/>
        <v>0</v>
      </c>
      <c r="AG27" s="652">
        <f t="shared" ca="1" si="29"/>
        <v>0</v>
      </c>
      <c r="AH27" s="652">
        <f t="shared" ca="1" si="29"/>
        <v>0</v>
      </c>
      <c r="AI27" s="652">
        <f t="shared" ca="1" si="29"/>
        <v>0</v>
      </c>
      <c r="AJ27" s="652">
        <f t="shared" ca="1" si="29"/>
        <v>0</v>
      </c>
      <c r="AK27" s="652">
        <f t="shared" ca="1" si="29"/>
        <v>0</v>
      </c>
      <c r="AL27" s="652">
        <f t="shared" ca="1" si="29"/>
        <v>8456.6326530612241</v>
      </c>
      <c r="AM27" s="652">
        <f t="shared" ca="1" si="29"/>
        <v>9866.0714285714275</v>
      </c>
      <c r="AN27" s="652">
        <f t="shared" ca="1" si="29"/>
        <v>11275.510204081631</v>
      </c>
      <c r="AO27" s="652">
        <f t="shared" ca="1" si="29"/>
        <v>11275.510204081631</v>
      </c>
      <c r="AP27" s="652">
        <f t="shared" ca="1" si="29"/>
        <v>11275.510204081631</v>
      </c>
      <c r="AQ27" s="652">
        <f t="shared" ca="1" si="30"/>
        <v>0</v>
      </c>
      <c r="AR27" s="652">
        <f t="shared" ca="1" si="30"/>
        <v>0</v>
      </c>
      <c r="AS27" s="652">
        <f t="shared" ca="1" si="30"/>
        <v>8.0663265306122458</v>
      </c>
      <c r="AT27" s="652">
        <f t="shared" ca="1" si="30"/>
        <v>9.4107142857142865</v>
      </c>
      <c r="AU27" s="652">
        <f t="shared" ca="1" si="30"/>
        <v>10.755102040816327</v>
      </c>
      <c r="AV27" s="652">
        <f t="shared" ca="1" si="30"/>
        <v>10.755102040816327</v>
      </c>
      <c r="AW27" s="652">
        <f t="shared" ca="1" si="30"/>
        <v>10.755102040816327</v>
      </c>
      <c r="AX27" s="652">
        <f t="shared" ca="1" si="30"/>
        <v>0</v>
      </c>
      <c r="AY27" s="652">
        <f t="shared" ca="1" si="30"/>
        <v>0</v>
      </c>
      <c r="AZ27" s="652">
        <f t="shared" ca="1" si="30"/>
        <v>0</v>
      </c>
      <c r="BA27" s="652">
        <f t="shared" ca="1" si="30"/>
        <v>0</v>
      </c>
      <c r="BB27" s="652">
        <f t="shared" ca="1" si="30"/>
        <v>0</v>
      </c>
      <c r="BC27" s="652">
        <f t="shared" ca="1" si="30"/>
        <v>0</v>
      </c>
      <c r="BD27" s="652">
        <f t="shared" ca="1" si="30"/>
        <v>0</v>
      </c>
      <c r="BE27" s="652" t="str">
        <f t="shared" ca="1" si="20"/>
        <v>Residential</v>
      </c>
      <c r="BF27" s="652" t="str">
        <f t="shared" ca="1" si="20"/>
        <v>ResElecMisc - SF Wtd</v>
      </c>
      <c r="BG27" s="652" t="str">
        <f t="shared" ca="1" si="20"/>
        <v>ResSFGasTotal</v>
      </c>
      <c r="BH27" s="652" t="str">
        <f t="shared" ca="1" si="20"/>
        <v>KU Res</v>
      </c>
      <c r="BI27" s="652" t="str">
        <f t="shared" ca="1" si="20"/>
        <v>KU Res</v>
      </c>
      <c r="BJ27" s="652">
        <f t="shared" ca="1" si="20"/>
        <v>3</v>
      </c>
      <c r="BK27" s="652">
        <f t="shared" ca="1" si="20"/>
        <v>0</v>
      </c>
      <c r="BL27" s="652">
        <f t="shared" ca="1" si="20"/>
        <v>0</v>
      </c>
      <c r="BM27" s="652">
        <f t="shared" ca="1" si="20"/>
        <v>0</v>
      </c>
      <c r="BN27" s="652">
        <f t="shared" ca="1" si="20"/>
        <v>0</v>
      </c>
      <c r="BO27" s="652">
        <f t="shared" ca="1" si="20"/>
        <v>0</v>
      </c>
      <c r="BP27" s="652">
        <f t="shared" ca="1" si="20"/>
        <v>0</v>
      </c>
      <c r="BQ27" s="652">
        <f t="shared" ca="1" si="20"/>
        <v>0</v>
      </c>
      <c r="BR27" s="652">
        <f t="shared" ca="1" si="8"/>
        <v>185</v>
      </c>
      <c r="BS27" s="652">
        <f t="shared" ca="1" si="30"/>
        <v>0</v>
      </c>
      <c r="BT27" s="652">
        <f t="shared" ca="1" si="34"/>
        <v>0</v>
      </c>
      <c r="BU27" s="652">
        <f t="shared" ca="1" si="34"/>
        <v>0</v>
      </c>
      <c r="BV27" s="652">
        <f t="shared" ca="1" si="34"/>
        <v>0</v>
      </c>
      <c r="BW27" s="652">
        <f t="shared" ca="1" si="34"/>
        <v>52149.234693877544</v>
      </c>
      <c r="BX27" s="652">
        <f t="shared" ca="1" si="34"/>
        <v>49.742346938775512</v>
      </c>
      <c r="BY27" s="652">
        <f t="shared" ca="1" si="34"/>
        <v>0</v>
      </c>
    </row>
    <row r="28" spans="1:77">
      <c r="A28" s="425" t="str">
        <f t="shared" ca="1" si="0"/>
        <v>Appliance RecyclingKU-Dehumidifier - Removal of inefficient unit</v>
      </c>
      <c r="B28" s="1297" t="str">
        <f t="shared" si="33"/>
        <v>KUAppliance Recycling</v>
      </c>
      <c r="C28" s="661" t="s">
        <v>176</v>
      </c>
      <c r="D28" s="662" t="s">
        <v>59</v>
      </c>
      <c r="E28" s="652" t="str">
        <f t="shared" ca="1" si="14"/>
        <v>KU-Dehumidifier - Removal of inefficient unit</v>
      </c>
      <c r="F28" s="652" t="str">
        <f t="shared" ca="1" si="14"/>
        <v>Proper Disposal of Dehumidifier - Available only if there is a refrigrator and/or freezer to remove</v>
      </c>
      <c r="G28" s="652" t="str">
        <f t="shared" ca="1" si="14"/>
        <v>Per Unit</v>
      </c>
      <c r="H28" s="652">
        <f t="shared" ca="1" si="28"/>
        <v>0</v>
      </c>
      <c r="I28" s="652">
        <f t="shared" ca="1" si="28"/>
        <v>0</v>
      </c>
      <c r="J28" s="652">
        <f t="shared" ca="1" si="28"/>
        <v>15</v>
      </c>
      <c r="K28" s="652">
        <f t="shared" ca="1" si="28"/>
        <v>17.5</v>
      </c>
      <c r="L28" s="652">
        <f t="shared" ca="1" si="28"/>
        <v>20</v>
      </c>
      <c r="M28" s="652">
        <f t="shared" ca="1" si="28"/>
        <v>20</v>
      </c>
      <c r="N28" s="652">
        <f t="shared" ca="1" si="28"/>
        <v>20</v>
      </c>
      <c r="O28" s="652">
        <f t="shared" ca="1" si="28"/>
        <v>0</v>
      </c>
      <c r="P28" s="652">
        <f t="shared" ca="1" si="28"/>
        <v>0</v>
      </c>
      <c r="Q28" s="652">
        <f t="shared" ca="1" si="28"/>
        <v>0</v>
      </c>
      <c r="R28" s="652">
        <f t="shared" ca="1" si="28"/>
        <v>0</v>
      </c>
      <c r="S28" s="652">
        <f t="shared" ca="1" si="28"/>
        <v>0</v>
      </c>
      <c r="T28" s="652">
        <f t="shared" ca="1" si="28"/>
        <v>0</v>
      </c>
      <c r="U28" s="652">
        <f t="shared" ca="1" si="28"/>
        <v>0</v>
      </c>
      <c r="V28" s="652">
        <f t="shared" ca="1" si="28"/>
        <v>0</v>
      </c>
      <c r="W28" s="652">
        <f t="shared" ca="1" si="28"/>
        <v>0</v>
      </c>
      <c r="X28" s="652">
        <f t="shared" ca="1" si="22"/>
        <v>0</v>
      </c>
      <c r="Y28" s="652">
        <f t="shared" ca="1" si="22"/>
        <v>0</v>
      </c>
      <c r="Z28" s="652">
        <f t="shared" ca="1" si="22"/>
        <v>0</v>
      </c>
      <c r="AA28" s="652">
        <f t="shared" ca="1" si="29"/>
        <v>0</v>
      </c>
      <c r="AB28" s="652">
        <f t="shared" ca="1" si="29"/>
        <v>0</v>
      </c>
      <c r="AC28" s="652">
        <f t="shared" ca="1" si="29"/>
        <v>0</v>
      </c>
      <c r="AD28" s="652">
        <f t="shared" ca="1" si="29"/>
        <v>0</v>
      </c>
      <c r="AE28" s="652">
        <f t="shared" ca="1" si="29"/>
        <v>0</v>
      </c>
      <c r="AF28" s="652">
        <f t="shared" ca="1" si="29"/>
        <v>0</v>
      </c>
      <c r="AG28" s="652">
        <f t="shared" ca="1" si="29"/>
        <v>0</v>
      </c>
      <c r="AH28" s="652">
        <f t="shared" ca="1" si="29"/>
        <v>0</v>
      </c>
      <c r="AI28" s="652">
        <f t="shared" ca="1" si="29"/>
        <v>0</v>
      </c>
      <c r="AJ28" s="652">
        <f t="shared" ca="1" si="29"/>
        <v>0</v>
      </c>
      <c r="AK28" s="652">
        <f t="shared" ca="1" si="29"/>
        <v>0</v>
      </c>
      <c r="AL28" s="652">
        <f t="shared" ca="1" si="29"/>
        <v>12870</v>
      </c>
      <c r="AM28" s="652">
        <f t="shared" ca="1" si="29"/>
        <v>15015</v>
      </c>
      <c r="AN28" s="652">
        <f t="shared" ca="1" si="29"/>
        <v>17160</v>
      </c>
      <c r="AO28" s="652">
        <f t="shared" ca="1" si="29"/>
        <v>17160</v>
      </c>
      <c r="AP28" s="652">
        <f t="shared" ca="1" si="29"/>
        <v>17160</v>
      </c>
      <c r="AQ28" s="652">
        <f t="shared" ca="1" si="30"/>
        <v>0</v>
      </c>
      <c r="AR28" s="652">
        <f t="shared" ca="1" si="30"/>
        <v>0</v>
      </c>
      <c r="AS28" s="652">
        <f t="shared" ca="1" si="30"/>
        <v>2.91</v>
      </c>
      <c r="AT28" s="652">
        <f t="shared" ca="1" si="30"/>
        <v>3.395</v>
      </c>
      <c r="AU28" s="652">
        <f t="shared" ca="1" si="30"/>
        <v>3.88</v>
      </c>
      <c r="AV28" s="652">
        <f t="shared" ca="1" si="30"/>
        <v>3.88</v>
      </c>
      <c r="AW28" s="652">
        <f t="shared" ca="1" si="30"/>
        <v>3.88</v>
      </c>
      <c r="AX28" s="652">
        <f t="shared" ca="1" si="30"/>
        <v>0</v>
      </c>
      <c r="AY28" s="652">
        <f t="shared" ca="1" si="30"/>
        <v>0</v>
      </c>
      <c r="AZ28" s="652">
        <f t="shared" ca="1" si="30"/>
        <v>0</v>
      </c>
      <c r="BA28" s="652">
        <f t="shared" ca="1" si="30"/>
        <v>0</v>
      </c>
      <c r="BB28" s="652">
        <f t="shared" ca="1" si="30"/>
        <v>0</v>
      </c>
      <c r="BC28" s="652">
        <f t="shared" ca="1" si="30"/>
        <v>0</v>
      </c>
      <c r="BD28" s="652">
        <f t="shared" ca="1" si="30"/>
        <v>0</v>
      </c>
      <c r="BE28" s="652" t="str">
        <f t="shared" ca="1" si="30"/>
        <v>Residential</v>
      </c>
      <c r="BF28" s="652" t="str">
        <f t="shared" ca="1" si="30"/>
        <v>ResElecMisc - SF Wtd</v>
      </c>
      <c r="BG28" s="652" t="str">
        <f t="shared" ca="1" si="30"/>
        <v>ResSFGasTotal</v>
      </c>
      <c r="BH28" s="652" t="str">
        <f t="shared" ca="1" si="30"/>
        <v>KU Res</v>
      </c>
      <c r="BI28" s="652" t="str">
        <f t="shared" ca="1" si="30"/>
        <v>KU Res</v>
      </c>
      <c r="BJ28" s="652">
        <f t="shared" ca="1" si="20"/>
        <v>3</v>
      </c>
      <c r="BK28" s="652">
        <f t="shared" ca="1" si="20"/>
        <v>0</v>
      </c>
      <c r="BL28" s="652">
        <f t="shared" ca="1" si="20"/>
        <v>0</v>
      </c>
      <c r="BM28" s="652">
        <f t="shared" ca="1" si="20"/>
        <v>0</v>
      </c>
      <c r="BN28" s="652">
        <f t="shared" ca="1" si="20"/>
        <v>0</v>
      </c>
      <c r="BO28" s="652">
        <f t="shared" ca="1" si="20"/>
        <v>0</v>
      </c>
      <c r="BP28" s="652">
        <f t="shared" ca="1" si="20"/>
        <v>0</v>
      </c>
      <c r="BQ28" s="652">
        <f t="shared" ca="1" si="20"/>
        <v>0</v>
      </c>
      <c r="BR28" s="652">
        <f t="shared" ca="1" si="8"/>
        <v>92.5</v>
      </c>
      <c r="BS28" s="652">
        <f t="shared" ca="1" si="30"/>
        <v>0</v>
      </c>
      <c r="BT28" s="652">
        <f t="shared" ca="1" si="34"/>
        <v>0</v>
      </c>
      <c r="BU28" s="652">
        <f t="shared" ca="1" si="34"/>
        <v>0</v>
      </c>
      <c r="BV28" s="652">
        <f t="shared" ca="1" si="34"/>
        <v>0</v>
      </c>
      <c r="BW28" s="652">
        <f t="shared" ca="1" si="34"/>
        <v>79365</v>
      </c>
      <c r="BX28" s="652">
        <f t="shared" ca="1" si="34"/>
        <v>17.944999999999997</v>
      </c>
      <c r="BY28" s="652">
        <f t="shared" ca="1" si="34"/>
        <v>0</v>
      </c>
    </row>
    <row r="29" spans="1:77">
      <c r="A29" s="425" t="str">
        <f t="shared" ca="1" si="0"/>
        <v>Appliance RecyclingLG&amp;E-Refrigerator - Removal of Secondary</v>
      </c>
      <c r="B29" s="1297" t="str">
        <f>IF(ISNUMBER(SEARCH("KU",C29)),"KU"&amp;D29,"LG&amp;E"&amp;D29)</f>
        <v>LG&amp;EAppliance Recycling</v>
      </c>
      <c r="C29" s="661" t="s">
        <v>172</v>
      </c>
      <c r="D29" s="662" t="s">
        <v>59</v>
      </c>
      <c r="E29" s="652" t="str">
        <f ca="1">VLOOKUP($C29,INDIRECT("'"&amp;$D29&amp;"'!A6:FC1000"),IF(E$6="Participation 2023",MATCH("__Participation 2023",INDIRECT("'"&amp;$D29&amp;"'!1:1"),0),IF(E$6="Participation",MATCH("_Total Plan Summary _Participation",INDIRECT("'"&amp;$D29&amp;"'!1:1"),0),MATCH(E$4&amp;"_"&amp;E$5&amp;"_"&amp;E$6,INDIRECT("'"&amp;$D29&amp;"'!1:1"),0))),0)</f>
        <v>LG&amp;E-Refrigerator - Removal of Secondary</v>
      </c>
      <c r="F29" s="652" t="str">
        <f t="shared" ca="1" si="14"/>
        <v>Proper Disposal of Refrigerator</v>
      </c>
      <c r="G29" s="652" t="str">
        <f t="shared" ca="1" si="14"/>
        <v>Per Unit</v>
      </c>
      <c r="H29" s="652">
        <f t="shared" ca="1" si="28"/>
        <v>0</v>
      </c>
      <c r="I29" s="652">
        <f t="shared" ca="1" si="28"/>
        <v>0</v>
      </c>
      <c r="J29" s="652">
        <f t="shared" ca="1" si="28"/>
        <v>2442.9846798192439</v>
      </c>
      <c r="K29" s="652">
        <f t="shared" ca="1" si="22"/>
        <v>2850.1487931224515</v>
      </c>
      <c r="L29" s="652">
        <f t="shared" ca="1" si="22"/>
        <v>3257.3129064256586</v>
      </c>
      <c r="M29" s="652">
        <f t="shared" ca="1" si="22"/>
        <v>3257.3129064256586</v>
      </c>
      <c r="N29" s="652">
        <f t="shared" ca="1" si="22"/>
        <v>3257.3129064256586</v>
      </c>
      <c r="O29" s="652">
        <f t="shared" ca="1" si="22"/>
        <v>0</v>
      </c>
      <c r="P29" s="652">
        <f t="shared" ca="1" si="22"/>
        <v>0</v>
      </c>
      <c r="Q29" s="652">
        <f t="shared" ca="1" si="22"/>
        <v>0</v>
      </c>
      <c r="R29" s="652">
        <f t="shared" ca="1" si="22"/>
        <v>0</v>
      </c>
      <c r="S29" s="652">
        <f t="shared" ca="1" si="22"/>
        <v>0</v>
      </c>
      <c r="T29" s="652">
        <f t="shared" ca="1" si="22"/>
        <v>0</v>
      </c>
      <c r="U29" s="652">
        <f t="shared" ca="1" si="22"/>
        <v>0</v>
      </c>
      <c r="V29" s="652">
        <f t="shared" ca="1" si="22"/>
        <v>0</v>
      </c>
      <c r="W29" s="652">
        <f t="shared" ca="1" si="22"/>
        <v>0</v>
      </c>
      <c r="X29" s="652">
        <f t="shared" ca="1" si="22"/>
        <v>0</v>
      </c>
      <c r="Y29" s="652">
        <f t="shared" ca="1" si="22"/>
        <v>0</v>
      </c>
      <c r="Z29" s="652">
        <f t="shared" ca="1" si="22"/>
        <v>0</v>
      </c>
      <c r="AA29" s="652">
        <f t="shared" ca="1" si="29"/>
        <v>0</v>
      </c>
      <c r="AB29" s="652">
        <f t="shared" ca="1" si="29"/>
        <v>0</v>
      </c>
      <c r="AC29" s="652">
        <f t="shared" ca="1" si="29"/>
        <v>0</v>
      </c>
      <c r="AD29" s="652">
        <f t="shared" ca="1" si="29"/>
        <v>0</v>
      </c>
      <c r="AE29" s="652">
        <f t="shared" ca="1" si="29"/>
        <v>122149.2339909622</v>
      </c>
      <c r="AF29" s="652">
        <f t="shared" ca="1" si="29"/>
        <v>142507.43965612259</v>
      </c>
      <c r="AG29" s="652">
        <f t="shared" ca="1" si="29"/>
        <v>162865.64532128294</v>
      </c>
      <c r="AH29" s="652">
        <f t="shared" ca="1" si="29"/>
        <v>162865.64532128294</v>
      </c>
      <c r="AI29" s="652">
        <f t="shared" ca="1" si="29"/>
        <v>162865.64532128294</v>
      </c>
      <c r="AJ29" s="652">
        <f t="shared" ca="1" si="29"/>
        <v>0</v>
      </c>
      <c r="AK29" s="652">
        <f t="shared" ca="1" si="29"/>
        <v>0</v>
      </c>
      <c r="AL29" s="652">
        <f t="shared" ca="1" si="29"/>
        <v>1832238.509864433</v>
      </c>
      <c r="AM29" s="652">
        <f t="shared" ca="1" si="29"/>
        <v>2137611.5948418388</v>
      </c>
      <c r="AN29" s="652">
        <f t="shared" ca="1" si="29"/>
        <v>2442984.679819244</v>
      </c>
      <c r="AO29" s="652">
        <f t="shared" ca="1" si="29"/>
        <v>2442984.679819244</v>
      </c>
      <c r="AP29" s="652">
        <f t="shared" ca="1" si="29"/>
        <v>2442984.679819244</v>
      </c>
      <c r="AQ29" s="652">
        <f t="shared" ca="1" si="30"/>
        <v>0</v>
      </c>
      <c r="AR29" s="652">
        <f t="shared" ca="1" si="30"/>
        <v>0</v>
      </c>
      <c r="AS29" s="652">
        <f t="shared" ca="1" si="30"/>
        <v>207.65369778463574</v>
      </c>
      <c r="AT29" s="652">
        <f t="shared" ca="1" si="30"/>
        <v>242.2626474154084</v>
      </c>
      <c r="AU29" s="652">
        <f t="shared" ca="1" si="30"/>
        <v>276.87159704618102</v>
      </c>
      <c r="AV29" s="652">
        <f t="shared" ca="1" si="30"/>
        <v>276.87159704618102</v>
      </c>
      <c r="AW29" s="652">
        <f t="shared" ca="1" si="30"/>
        <v>276.87159704618102</v>
      </c>
      <c r="AX29" s="652">
        <f t="shared" ca="1" si="30"/>
        <v>0</v>
      </c>
      <c r="AY29" s="652">
        <f t="shared" ca="1" si="30"/>
        <v>0</v>
      </c>
      <c r="AZ29" s="652">
        <f t="shared" ca="1" si="30"/>
        <v>0</v>
      </c>
      <c r="BA29" s="652">
        <f t="shared" ca="1" si="30"/>
        <v>0</v>
      </c>
      <c r="BB29" s="652">
        <f t="shared" ca="1" si="30"/>
        <v>0</v>
      </c>
      <c r="BC29" s="652">
        <f t="shared" ca="1" si="30"/>
        <v>0</v>
      </c>
      <c r="BD29" s="652">
        <f t="shared" ca="1" si="30"/>
        <v>0</v>
      </c>
      <c r="BE29" s="652" t="str">
        <f t="shared" ca="1" si="30"/>
        <v>Residential</v>
      </c>
      <c r="BF29" s="652" t="str">
        <f t="shared" ca="1" si="30"/>
        <v>ResRefrig - SF Wtd</v>
      </c>
      <c r="BG29" s="652" t="str">
        <f t="shared" ca="1" si="30"/>
        <v>ResSFGasTotal</v>
      </c>
      <c r="BH29" s="652" t="str">
        <f t="shared" ca="1" si="30"/>
        <v>LGE Res</v>
      </c>
      <c r="BI29" s="652" t="str">
        <f t="shared" ca="1" si="30"/>
        <v>LGE Res</v>
      </c>
      <c r="BJ29" s="652">
        <f t="shared" ca="1" si="20"/>
        <v>8</v>
      </c>
      <c r="BK29" s="652">
        <f t="shared" ca="1" si="20"/>
        <v>0</v>
      </c>
      <c r="BL29" s="652">
        <f t="shared" ca="1" si="20"/>
        <v>0</v>
      </c>
      <c r="BM29" s="652">
        <f t="shared" ca="1" si="20"/>
        <v>0</v>
      </c>
      <c r="BN29" s="652">
        <f t="shared" ca="1" si="20"/>
        <v>0</v>
      </c>
      <c r="BO29" s="652">
        <f t="shared" ca="1" si="20"/>
        <v>0</v>
      </c>
      <c r="BP29" s="652">
        <f t="shared" ca="1" si="20"/>
        <v>0</v>
      </c>
      <c r="BQ29" s="652">
        <f t="shared" ca="1" si="20"/>
        <v>0</v>
      </c>
      <c r="BR29" s="652">
        <f t="shared" ca="1" si="8"/>
        <v>15065.072192218673</v>
      </c>
      <c r="BS29" s="652">
        <f t="shared" ca="1" si="30"/>
        <v>0</v>
      </c>
      <c r="BT29" s="652">
        <f t="shared" ca="1" si="34"/>
        <v>0</v>
      </c>
      <c r="BU29" s="652">
        <f t="shared" ca="1" si="34"/>
        <v>753253.60961093358</v>
      </c>
      <c r="BV29" s="652">
        <f t="shared" ca="1" si="34"/>
        <v>0</v>
      </c>
      <c r="BW29" s="652">
        <f t="shared" ca="1" si="34"/>
        <v>11298804.144164003</v>
      </c>
      <c r="BX29" s="652">
        <f t="shared" ca="1" si="34"/>
        <v>1280.5311363385872</v>
      </c>
      <c r="BY29" s="652">
        <f t="shared" ca="1" si="34"/>
        <v>0</v>
      </c>
    </row>
    <row r="30" spans="1:77">
      <c r="A30" s="425" t="str">
        <f t="shared" ca="1" si="0"/>
        <v>Appliance RecyclingLG&amp;E-Freezer - Removal of Stand-Alone</v>
      </c>
      <c r="B30" s="1297" t="str">
        <f t="shared" ref="B30" si="38">IF(ISNUMBER(SEARCH("KU",C30)),"KU"&amp;D30,"LG&amp;E"&amp;D30)</f>
        <v>LG&amp;EAppliance Recycling</v>
      </c>
      <c r="C30" s="661" t="s">
        <v>174</v>
      </c>
      <c r="D30" s="662" t="s">
        <v>59</v>
      </c>
      <c r="E30" s="652" t="str">
        <f t="shared" ca="1" si="14"/>
        <v>LG&amp;E-Freezer - Removal of Stand-Alone</v>
      </c>
      <c r="F30" s="652" t="str">
        <f t="shared" ca="1" si="14"/>
        <v>Proper Disposal of Freezer</v>
      </c>
      <c r="G30" s="652" t="str">
        <f t="shared" ca="1" si="14"/>
        <v>Per Unit</v>
      </c>
      <c r="H30" s="652">
        <f t="shared" ca="1" si="28"/>
        <v>0</v>
      </c>
      <c r="I30" s="652">
        <f t="shared" ca="1" si="28"/>
        <v>0</v>
      </c>
      <c r="J30" s="652">
        <f t="shared" ca="1" si="28"/>
        <v>557.01532018075613</v>
      </c>
      <c r="K30" s="652">
        <f t="shared" ca="1" si="28"/>
        <v>649.85120687754875</v>
      </c>
      <c r="L30" s="652">
        <f t="shared" ca="1" si="28"/>
        <v>742.68709357434147</v>
      </c>
      <c r="M30" s="652">
        <f t="shared" ca="1" si="28"/>
        <v>742.68709357434147</v>
      </c>
      <c r="N30" s="652">
        <f t="shared" ca="1" si="28"/>
        <v>742.68709357434147</v>
      </c>
      <c r="O30" s="652">
        <f t="shared" ca="1" si="28"/>
        <v>0</v>
      </c>
      <c r="P30" s="652">
        <f t="shared" ca="1" si="28"/>
        <v>0</v>
      </c>
      <c r="Q30" s="652">
        <f t="shared" ca="1" si="28"/>
        <v>0</v>
      </c>
      <c r="R30" s="652">
        <f t="shared" ca="1" si="28"/>
        <v>0</v>
      </c>
      <c r="S30" s="652">
        <f t="shared" ca="1" si="28"/>
        <v>0</v>
      </c>
      <c r="T30" s="652">
        <f t="shared" ca="1" si="28"/>
        <v>0</v>
      </c>
      <c r="U30" s="652">
        <f t="shared" ca="1" si="28"/>
        <v>0</v>
      </c>
      <c r="V30" s="652">
        <f t="shared" ca="1" si="22"/>
        <v>0</v>
      </c>
      <c r="W30" s="652">
        <f t="shared" ca="1" si="22"/>
        <v>0</v>
      </c>
      <c r="X30" s="652">
        <f t="shared" ca="1" si="22"/>
        <v>0</v>
      </c>
      <c r="Y30" s="652">
        <f t="shared" ca="1" si="22"/>
        <v>0</v>
      </c>
      <c r="Z30" s="652">
        <f t="shared" ca="1" si="22"/>
        <v>0</v>
      </c>
      <c r="AA30" s="652">
        <f t="shared" ca="1" si="29"/>
        <v>0</v>
      </c>
      <c r="AB30" s="652">
        <f t="shared" ca="1" si="29"/>
        <v>0</v>
      </c>
      <c r="AC30" s="652">
        <f t="shared" ca="1" si="29"/>
        <v>0</v>
      </c>
      <c r="AD30" s="652">
        <f t="shared" ca="1" si="29"/>
        <v>0</v>
      </c>
      <c r="AE30" s="652">
        <f t="shared" ca="1" si="29"/>
        <v>27850.766009037805</v>
      </c>
      <c r="AF30" s="652">
        <f t="shared" ca="1" si="29"/>
        <v>32492.560343877438</v>
      </c>
      <c r="AG30" s="652">
        <f t="shared" ca="1" si="29"/>
        <v>37134.354678717071</v>
      </c>
      <c r="AH30" s="652">
        <f t="shared" ca="1" si="29"/>
        <v>37134.354678717071</v>
      </c>
      <c r="AI30" s="652">
        <f t="shared" ca="1" si="29"/>
        <v>37134.354678717071</v>
      </c>
      <c r="AJ30" s="652">
        <f t="shared" ca="1" si="29"/>
        <v>0</v>
      </c>
      <c r="AK30" s="652">
        <f t="shared" ca="1" si="29"/>
        <v>0</v>
      </c>
      <c r="AL30" s="652">
        <f t="shared" ca="1" si="29"/>
        <v>417761.49013556709</v>
      </c>
      <c r="AM30" s="652">
        <f t="shared" ca="1" si="29"/>
        <v>487388.40515816153</v>
      </c>
      <c r="AN30" s="652">
        <f t="shared" ca="1" si="29"/>
        <v>557015.32018075616</v>
      </c>
      <c r="AO30" s="652">
        <f t="shared" ca="1" si="29"/>
        <v>557015.32018075616</v>
      </c>
      <c r="AP30" s="652">
        <f t="shared" ca="1" si="29"/>
        <v>557015.32018075616</v>
      </c>
      <c r="AQ30" s="652">
        <f t="shared" ca="1" si="30"/>
        <v>0</v>
      </c>
      <c r="AR30" s="652">
        <f t="shared" ca="1" si="30"/>
        <v>0</v>
      </c>
      <c r="AS30" s="652">
        <f t="shared" ca="1" si="30"/>
        <v>47.346302215364275</v>
      </c>
      <c r="AT30" s="652">
        <f t="shared" ca="1" si="30"/>
        <v>55.237352584591648</v>
      </c>
      <c r="AU30" s="652">
        <f t="shared" ca="1" si="30"/>
        <v>63.128402953819027</v>
      </c>
      <c r="AV30" s="652">
        <f t="shared" ca="1" si="30"/>
        <v>63.128402953819027</v>
      </c>
      <c r="AW30" s="652">
        <f t="shared" ca="1" si="30"/>
        <v>63.128402953819027</v>
      </c>
      <c r="AX30" s="652">
        <f t="shared" ca="1" si="30"/>
        <v>0</v>
      </c>
      <c r="AY30" s="652">
        <f t="shared" ca="1" si="30"/>
        <v>0</v>
      </c>
      <c r="AZ30" s="652">
        <f t="shared" ca="1" si="30"/>
        <v>0</v>
      </c>
      <c r="BA30" s="652">
        <f t="shared" ca="1" si="34"/>
        <v>0</v>
      </c>
      <c r="BB30" s="652">
        <f t="shared" ca="1" si="34"/>
        <v>0</v>
      </c>
      <c r="BC30" s="652">
        <f t="shared" ca="1" si="34"/>
        <v>0</v>
      </c>
      <c r="BD30" s="652">
        <f t="shared" ca="1" si="34"/>
        <v>0</v>
      </c>
      <c r="BE30" s="652" t="str">
        <f t="shared" ca="1" si="30"/>
        <v>Residential</v>
      </c>
      <c r="BF30" s="652" t="str">
        <f t="shared" ca="1" si="30"/>
        <v>ResFreezer - SF Wtd</v>
      </c>
      <c r="BG30" s="652" t="str">
        <f t="shared" ca="1" si="30"/>
        <v>ResSFGasTotal</v>
      </c>
      <c r="BH30" s="652" t="str">
        <f t="shared" ca="1" si="30"/>
        <v>LGE Res</v>
      </c>
      <c r="BI30" s="652" t="str">
        <f t="shared" ca="1" si="30"/>
        <v>LGE Res</v>
      </c>
      <c r="BJ30" s="652">
        <f t="shared" ca="1" si="20"/>
        <v>8</v>
      </c>
      <c r="BK30" s="652">
        <f t="shared" ca="1" si="20"/>
        <v>0</v>
      </c>
      <c r="BL30" s="652">
        <f t="shared" ca="1" si="20"/>
        <v>0</v>
      </c>
      <c r="BM30" s="652">
        <f t="shared" ca="1" si="20"/>
        <v>0</v>
      </c>
      <c r="BN30" s="652">
        <f t="shared" ca="1" si="20"/>
        <v>0</v>
      </c>
      <c r="BO30" s="652">
        <f t="shared" ca="1" si="20"/>
        <v>0</v>
      </c>
      <c r="BP30" s="652">
        <f t="shared" ca="1" si="20"/>
        <v>0</v>
      </c>
      <c r="BQ30" s="652">
        <f t="shared" ca="1" si="20"/>
        <v>0</v>
      </c>
      <c r="BR30" s="652">
        <f t="shared" ca="1" si="8"/>
        <v>3434.9278077813292</v>
      </c>
      <c r="BS30" s="652">
        <f t="shared" ca="1" si="34"/>
        <v>0</v>
      </c>
      <c r="BT30" s="652">
        <f t="shared" ca="1" si="34"/>
        <v>0</v>
      </c>
      <c r="BU30" s="652">
        <f t="shared" ca="1" si="34"/>
        <v>171746.39038906645</v>
      </c>
      <c r="BV30" s="652">
        <f t="shared" ca="1" si="34"/>
        <v>0</v>
      </c>
      <c r="BW30" s="652">
        <f t="shared" ca="1" si="34"/>
        <v>2576195.855835997</v>
      </c>
      <c r="BX30" s="652">
        <f t="shared" ca="1" si="34"/>
        <v>291.96886366141302</v>
      </c>
      <c r="BY30" s="652">
        <f t="shared" ca="1" si="34"/>
        <v>0</v>
      </c>
    </row>
    <row r="31" spans="1:77">
      <c r="A31" s="425" t="str">
        <f t="shared" ca="1" si="0"/>
        <v>Appliance RecyclingLG&amp;E-Room AC - Removal of inefficient unit</v>
      </c>
      <c r="B31" s="1297" t="str">
        <f>IF(ISNUMBER(SEARCH("KU",C31)),"KU"&amp;D31,"LG&amp;E"&amp;D31)</f>
        <v>LG&amp;EAppliance Recycling</v>
      </c>
      <c r="C31" s="661" t="s">
        <v>179</v>
      </c>
      <c r="D31" s="662" t="s">
        <v>59</v>
      </c>
      <c r="E31" s="652" t="str">
        <f ca="1">VLOOKUP($C31,INDIRECT("'"&amp;$D31&amp;"'!A6:FC1000"),IF(E$6="Participation 2023",MATCH("__Participation 2023",INDIRECT("'"&amp;$D31&amp;"'!1:1"),0),IF(E$6="Participation",MATCH("_Total Plan Summary _Participation",INDIRECT("'"&amp;$D31&amp;"'!1:1"),0),MATCH(E$4&amp;"_"&amp;E$5&amp;"_"&amp;E$6,INDIRECT("'"&amp;$D31&amp;"'!1:1"),0))),0)</f>
        <v>LG&amp;E-Room AC - Removal of inefficient unit</v>
      </c>
      <c r="F31" s="652" t="str">
        <f t="shared" ca="1" si="14"/>
        <v>Proper Disposal of Room AC - Available only if there is a refrigrator and/or freezer to remove</v>
      </c>
      <c r="G31" s="652" t="str">
        <f t="shared" ca="1" si="14"/>
        <v>Per Unit</v>
      </c>
      <c r="H31" s="652">
        <f t="shared" ca="1" si="28"/>
        <v>0</v>
      </c>
      <c r="I31" s="652">
        <f t="shared" ca="1" si="28"/>
        <v>0</v>
      </c>
      <c r="J31" s="652">
        <f t="shared" ca="1" si="28"/>
        <v>30</v>
      </c>
      <c r="K31" s="652">
        <f t="shared" ca="1" si="22"/>
        <v>35</v>
      </c>
      <c r="L31" s="652">
        <f t="shared" ca="1" si="22"/>
        <v>40</v>
      </c>
      <c r="M31" s="652">
        <f t="shared" ca="1" si="22"/>
        <v>40</v>
      </c>
      <c r="N31" s="652">
        <f t="shared" ca="1" si="22"/>
        <v>40</v>
      </c>
      <c r="O31" s="652">
        <f t="shared" ca="1" si="22"/>
        <v>0</v>
      </c>
      <c r="P31" s="652">
        <f t="shared" ca="1" si="22"/>
        <v>0</v>
      </c>
      <c r="Q31" s="652">
        <f t="shared" ca="1" si="22"/>
        <v>0</v>
      </c>
      <c r="R31" s="652">
        <f t="shared" ca="1" si="22"/>
        <v>0</v>
      </c>
      <c r="S31" s="652">
        <f t="shared" ca="1" si="22"/>
        <v>0</v>
      </c>
      <c r="T31" s="652">
        <f t="shared" ca="1" si="22"/>
        <v>0</v>
      </c>
      <c r="U31" s="652">
        <f t="shared" ca="1" si="22"/>
        <v>0</v>
      </c>
      <c r="V31" s="652">
        <f t="shared" ca="1" si="22"/>
        <v>0</v>
      </c>
      <c r="W31" s="652">
        <f t="shared" ca="1" si="22"/>
        <v>0</v>
      </c>
      <c r="X31" s="652">
        <f t="shared" ca="1" si="22"/>
        <v>0</v>
      </c>
      <c r="Y31" s="652">
        <f t="shared" ca="1" si="22"/>
        <v>0</v>
      </c>
      <c r="Z31" s="652">
        <f t="shared" ca="1" si="22"/>
        <v>0</v>
      </c>
      <c r="AA31" s="652">
        <f t="shared" ca="1" si="29"/>
        <v>0</v>
      </c>
      <c r="AB31" s="652">
        <f t="shared" ca="1" si="29"/>
        <v>0</v>
      </c>
      <c r="AC31" s="652">
        <f t="shared" ca="1" si="29"/>
        <v>0</v>
      </c>
      <c r="AD31" s="652">
        <f t="shared" ca="1" si="29"/>
        <v>0</v>
      </c>
      <c r="AE31" s="652">
        <f t="shared" ca="1" si="29"/>
        <v>0</v>
      </c>
      <c r="AF31" s="652">
        <f t="shared" ca="1" si="29"/>
        <v>0</v>
      </c>
      <c r="AG31" s="652">
        <f t="shared" ca="1" si="29"/>
        <v>0</v>
      </c>
      <c r="AH31" s="652">
        <f t="shared" ca="1" si="29"/>
        <v>0</v>
      </c>
      <c r="AI31" s="652">
        <f t="shared" ca="1" si="29"/>
        <v>0</v>
      </c>
      <c r="AJ31" s="652">
        <f t="shared" ca="1" si="29"/>
        <v>0</v>
      </c>
      <c r="AK31" s="652">
        <f t="shared" ca="1" si="29"/>
        <v>0</v>
      </c>
      <c r="AL31" s="652">
        <f t="shared" ca="1" si="29"/>
        <v>8456.6326530612241</v>
      </c>
      <c r="AM31" s="652">
        <f t="shared" ca="1" si="29"/>
        <v>9866.0714285714275</v>
      </c>
      <c r="AN31" s="652">
        <f t="shared" ca="1" si="29"/>
        <v>11275.510204081631</v>
      </c>
      <c r="AO31" s="652">
        <f t="shared" ca="1" si="29"/>
        <v>11275.510204081631</v>
      </c>
      <c r="AP31" s="652">
        <f t="shared" ca="1" si="29"/>
        <v>11275.510204081631</v>
      </c>
      <c r="AQ31" s="652">
        <f t="shared" ca="1" si="30"/>
        <v>0</v>
      </c>
      <c r="AR31" s="652">
        <f t="shared" ca="1" si="30"/>
        <v>0</v>
      </c>
      <c r="AS31" s="652">
        <f t="shared" ca="1" si="30"/>
        <v>8.0663265306122458</v>
      </c>
      <c r="AT31" s="652">
        <f t="shared" ca="1" si="30"/>
        <v>9.4107142857142865</v>
      </c>
      <c r="AU31" s="652">
        <f t="shared" ca="1" si="30"/>
        <v>10.755102040816327</v>
      </c>
      <c r="AV31" s="652">
        <f t="shared" ca="1" si="30"/>
        <v>10.755102040816327</v>
      </c>
      <c r="AW31" s="652">
        <f t="shared" ca="1" si="30"/>
        <v>10.755102040816327</v>
      </c>
      <c r="AX31" s="652">
        <f t="shared" ca="1" si="30"/>
        <v>0</v>
      </c>
      <c r="AY31" s="652">
        <f t="shared" ca="1" si="30"/>
        <v>0</v>
      </c>
      <c r="AZ31" s="652">
        <f t="shared" ca="1" si="30"/>
        <v>0</v>
      </c>
      <c r="BA31" s="652">
        <f t="shared" ca="1" si="34"/>
        <v>0</v>
      </c>
      <c r="BB31" s="652">
        <f t="shared" ca="1" si="34"/>
        <v>0</v>
      </c>
      <c r="BC31" s="652">
        <f t="shared" ca="1" si="34"/>
        <v>0</v>
      </c>
      <c r="BD31" s="652">
        <f t="shared" ca="1" si="34"/>
        <v>0</v>
      </c>
      <c r="BE31" s="652" t="str">
        <f t="shared" ca="1" si="30"/>
        <v>Residential</v>
      </c>
      <c r="BF31" s="652" t="str">
        <f t="shared" ca="1" si="30"/>
        <v>ResElecMisc - SF Wtd</v>
      </c>
      <c r="BG31" s="652" t="str">
        <f t="shared" ca="1" si="30"/>
        <v>ResSFGasTotal</v>
      </c>
      <c r="BH31" s="652" t="str">
        <f t="shared" ca="1" si="30"/>
        <v>LGE Res</v>
      </c>
      <c r="BI31" s="652" t="str">
        <f t="shared" ca="1" si="30"/>
        <v>LGE Res</v>
      </c>
      <c r="BJ31" s="652">
        <f t="shared" ca="1" si="20"/>
        <v>3</v>
      </c>
      <c r="BK31" s="652">
        <f t="shared" ca="1" si="20"/>
        <v>0</v>
      </c>
      <c r="BL31" s="652">
        <f t="shared" ca="1" si="20"/>
        <v>0</v>
      </c>
      <c r="BM31" s="652">
        <f t="shared" ca="1" si="20"/>
        <v>0</v>
      </c>
      <c r="BN31" s="652">
        <f t="shared" ca="1" si="20"/>
        <v>0</v>
      </c>
      <c r="BO31" s="652">
        <f t="shared" ca="1" si="20"/>
        <v>0</v>
      </c>
      <c r="BP31" s="652">
        <f t="shared" ca="1" si="20"/>
        <v>0</v>
      </c>
      <c r="BQ31" s="652">
        <f t="shared" ca="1" si="20"/>
        <v>0</v>
      </c>
      <c r="BR31" s="652">
        <f t="shared" ca="1" si="8"/>
        <v>185</v>
      </c>
      <c r="BS31" s="652">
        <f t="shared" ca="1" si="34"/>
        <v>0</v>
      </c>
      <c r="BT31" s="652">
        <f t="shared" ca="1" si="34"/>
        <v>0</v>
      </c>
      <c r="BU31" s="652">
        <f t="shared" ca="1" si="34"/>
        <v>0</v>
      </c>
      <c r="BV31" s="652">
        <f t="shared" ca="1" si="34"/>
        <v>0</v>
      </c>
      <c r="BW31" s="652">
        <f t="shared" ca="1" si="34"/>
        <v>52149.234693877544</v>
      </c>
      <c r="BX31" s="652">
        <f t="shared" ca="1" si="34"/>
        <v>49.742346938775512</v>
      </c>
      <c r="BY31" s="652">
        <f t="shared" ca="1" si="34"/>
        <v>0</v>
      </c>
    </row>
    <row r="32" spans="1:77">
      <c r="A32" s="425" t="str">
        <f t="shared" ca="1" si="0"/>
        <v>Appliance RecyclingLG&amp;E-Dehumidifier - Removal of inefficient unit</v>
      </c>
      <c r="B32" s="1297" t="str">
        <f t="shared" ref="B32:B36" si="39">IF(ISNUMBER(SEARCH("KU",C32)),"KU"&amp;D32,"LG&amp;E"&amp;D32)</f>
        <v>LG&amp;EAppliance Recycling</v>
      </c>
      <c r="C32" s="661" t="s">
        <v>180</v>
      </c>
      <c r="D32" s="662" t="s">
        <v>59</v>
      </c>
      <c r="E32" s="652" t="str">
        <f t="shared" ref="E32:G32" ca="1" si="40">VLOOKUP($C32,INDIRECT("'"&amp;$D32&amp;"'!A6:FC1000"),IF(E$6="Participation 2023",MATCH("__Participation 2023",INDIRECT("'"&amp;$D32&amp;"'!1:1"),0),IF(E$6="Participation",MATCH("_Total Plan Summary _Participation",INDIRECT("'"&amp;$D32&amp;"'!1:1"),0),MATCH(E$4&amp;"_"&amp;E$5&amp;"_"&amp;E$6,INDIRECT("'"&amp;$D32&amp;"'!1:1"),0))),0)</f>
        <v>LG&amp;E-Dehumidifier - Removal of inefficient unit</v>
      </c>
      <c r="F32" s="652" t="str">
        <f t="shared" ca="1" si="40"/>
        <v>Proper Disposal of Dehumidifier - Available only if there is a refrigrator and/or freezer to remove</v>
      </c>
      <c r="G32" s="652" t="str">
        <f t="shared" ca="1" si="40"/>
        <v>Per Unit</v>
      </c>
      <c r="H32" s="652">
        <f t="shared" ca="1" si="28"/>
        <v>0</v>
      </c>
      <c r="I32" s="652">
        <f t="shared" ca="1" si="28"/>
        <v>0</v>
      </c>
      <c r="J32" s="652">
        <f t="shared" ca="1" si="28"/>
        <v>15</v>
      </c>
      <c r="K32" s="652">
        <f t="shared" ca="1" si="28"/>
        <v>17.5</v>
      </c>
      <c r="L32" s="652">
        <f t="shared" ca="1" si="28"/>
        <v>20</v>
      </c>
      <c r="M32" s="652">
        <f t="shared" ca="1" si="28"/>
        <v>20</v>
      </c>
      <c r="N32" s="652">
        <f t="shared" ca="1" si="28"/>
        <v>20</v>
      </c>
      <c r="O32" s="652">
        <f t="shared" ca="1" si="28"/>
        <v>0</v>
      </c>
      <c r="P32" s="652">
        <f t="shared" ca="1" si="28"/>
        <v>0</v>
      </c>
      <c r="Q32" s="652">
        <f t="shared" ca="1" si="28"/>
        <v>0</v>
      </c>
      <c r="R32" s="652">
        <f t="shared" ca="1" si="28"/>
        <v>0</v>
      </c>
      <c r="S32" s="652">
        <f t="shared" ca="1" si="28"/>
        <v>0</v>
      </c>
      <c r="T32" s="652">
        <f t="shared" ca="1" si="28"/>
        <v>0</v>
      </c>
      <c r="U32" s="652">
        <f t="shared" ca="1" si="28"/>
        <v>0</v>
      </c>
      <c r="V32" s="652">
        <f t="shared" ca="1" si="22"/>
        <v>0</v>
      </c>
      <c r="W32" s="652">
        <f t="shared" ca="1" si="22"/>
        <v>0</v>
      </c>
      <c r="X32" s="652">
        <f t="shared" ca="1" si="22"/>
        <v>0</v>
      </c>
      <c r="Y32" s="652">
        <f t="shared" ca="1" si="22"/>
        <v>0</v>
      </c>
      <c r="Z32" s="652">
        <f t="shared" ca="1" si="22"/>
        <v>0</v>
      </c>
      <c r="AA32" s="652">
        <f t="shared" ca="1" si="29"/>
        <v>0</v>
      </c>
      <c r="AB32" s="652">
        <f t="shared" ca="1" si="29"/>
        <v>0</v>
      </c>
      <c r="AC32" s="652">
        <f t="shared" ca="1" si="29"/>
        <v>0</v>
      </c>
      <c r="AD32" s="652">
        <f t="shared" ca="1" si="29"/>
        <v>0</v>
      </c>
      <c r="AE32" s="652">
        <f t="shared" ca="1" si="29"/>
        <v>0</v>
      </c>
      <c r="AF32" s="652">
        <f t="shared" ca="1" si="29"/>
        <v>0</v>
      </c>
      <c r="AG32" s="652">
        <f t="shared" ca="1" si="29"/>
        <v>0</v>
      </c>
      <c r="AH32" s="652">
        <f t="shared" ca="1" si="29"/>
        <v>0</v>
      </c>
      <c r="AI32" s="652">
        <f t="shared" ca="1" si="29"/>
        <v>0</v>
      </c>
      <c r="AJ32" s="652">
        <f t="shared" ca="1" si="29"/>
        <v>0</v>
      </c>
      <c r="AK32" s="652">
        <f t="shared" ca="1" si="29"/>
        <v>0</v>
      </c>
      <c r="AL32" s="652">
        <f t="shared" ca="1" si="29"/>
        <v>12870</v>
      </c>
      <c r="AM32" s="652">
        <f t="shared" ca="1" si="29"/>
        <v>15015</v>
      </c>
      <c r="AN32" s="652">
        <f t="shared" ca="1" si="29"/>
        <v>17160</v>
      </c>
      <c r="AO32" s="652">
        <f t="shared" ca="1" si="29"/>
        <v>17160</v>
      </c>
      <c r="AP32" s="652">
        <f t="shared" ca="1" si="29"/>
        <v>17160</v>
      </c>
      <c r="AQ32" s="652">
        <f t="shared" ca="1" si="30"/>
        <v>0</v>
      </c>
      <c r="AR32" s="652">
        <f t="shared" ca="1" si="30"/>
        <v>0</v>
      </c>
      <c r="AS32" s="652">
        <f t="shared" ca="1" si="30"/>
        <v>2.91</v>
      </c>
      <c r="AT32" s="652">
        <f t="shared" ca="1" si="30"/>
        <v>3.395</v>
      </c>
      <c r="AU32" s="652">
        <f t="shared" ca="1" si="30"/>
        <v>3.88</v>
      </c>
      <c r="AV32" s="652">
        <f t="shared" ca="1" si="30"/>
        <v>3.88</v>
      </c>
      <c r="AW32" s="652">
        <f t="shared" ca="1" si="30"/>
        <v>3.88</v>
      </c>
      <c r="AX32" s="652">
        <f t="shared" ca="1" si="30"/>
        <v>0</v>
      </c>
      <c r="AY32" s="652">
        <f t="shared" ca="1" si="30"/>
        <v>0</v>
      </c>
      <c r="AZ32" s="652">
        <f t="shared" ca="1" si="30"/>
        <v>0</v>
      </c>
      <c r="BA32" s="652">
        <f t="shared" ca="1" si="34"/>
        <v>0</v>
      </c>
      <c r="BB32" s="652">
        <f t="shared" ca="1" si="34"/>
        <v>0</v>
      </c>
      <c r="BC32" s="652">
        <f t="shared" ca="1" si="34"/>
        <v>0</v>
      </c>
      <c r="BD32" s="652">
        <f t="shared" ca="1" si="34"/>
        <v>0</v>
      </c>
      <c r="BE32" s="652" t="str">
        <f t="shared" ca="1" si="30"/>
        <v>Residential</v>
      </c>
      <c r="BF32" s="652" t="str">
        <f t="shared" ca="1" si="30"/>
        <v>ResElecMisc - SF Wtd</v>
      </c>
      <c r="BG32" s="652" t="str">
        <f t="shared" ca="1" si="30"/>
        <v>ResSFGasTotal</v>
      </c>
      <c r="BH32" s="652" t="str">
        <f t="shared" ca="1" si="30"/>
        <v>LGE Res</v>
      </c>
      <c r="BI32" s="652" t="str">
        <f t="shared" ca="1" si="30"/>
        <v>LGE Res</v>
      </c>
      <c r="BJ32" s="652">
        <f t="shared" ca="1" si="20"/>
        <v>3</v>
      </c>
      <c r="BK32" s="652">
        <f t="shared" ca="1" si="20"/>
        <v>0</v>
      </c>
      <c r="BL32" s="652">
        <f t="shared" ca="1" si="20"/>
        <v>0</v>
      </c>
      <c r="BM32" s="652">
        <f t="shared" ca="1" si="20"/>
        <v>0</v>
      </c>
      <c r="BN32" s="652">
        <f t="shared" ca="1" si="20"/>
        <v>0</v>
      </c>
      <c r="BO32" s="652">
        <f t="shared" ca="1" si="20"/>
        <v>0</v>
      </c>
      <c r="BP32" s="652">
        <f t="shared" ca="1" si="20"/>
        <v>0</v>
      </c>
      <c r="BQ32" s="652">
        <f t="shared" ca="1" si="20"/>
        <v>0</v>
      </c>
      <c r="BR32" s="652">
        <f t="shared" ca="1" si="8"/>
        <v>92.5</v>
      </c>
      <c r="BS32" s="652">
        <f t="shared" ca="1" si="34"/>
        <v>0</v>
      </c>
      <c r="BT32" s="652">
        <f t="shared" ca="1" si="34"/>
        <v>0</v>
      </c>
      <c r="BU32" s="652">
        <f t="shared" ca="1" si="34"/>
        <v>0</v>
      </c>
      <c r="BV32" s="652">
        <f t="shared" ca="1" si="34"/>
        <v>0</v>
      </c>
      <c r="BW32" s="652">
        <f t="shared" ca="1" si="34"/>
        <v>79365</v>
      </c>
      <c r="BX32" s="652">
        <f t="shared" ca="1" si="34"/>
        <v>17.944999999999997</v>
      </c>
      <c r="BY32" s="652">
        <f t="shared" ca="1" si="34"/>
        <v>0</v>
      </c>
    </row>
    <row r="33" spans="1:77">
      <c r="A33" s="425" t="str">
        <f t="shared" ca="1" si="0"/>
        <v>Online MarketplaceKU-Marketplace</v>
      </c>
      <c r="B33" s="1297" t="str">
        <f t="shared" si="39"/>
        <v>KUOnline Marketplace</v>
      </c>
      <c r="C33" s="661" t="s">
        <v>171</v>
      </c>
      <c r="D33" s="662" t="s">
        <v>60</v>
      </c>
      <c r="E33" s="652" t="str">
        <f ca="1">VLOOKUP($C33,INDIRECT("'"&amp;$D33&amp;"'!A6:FC1000"),IF(E$6="Participation 2023",MATCH("__Participation 2023",INDIRECT("'"&amp;$D33&amp;"'!1:1"),0),IF(E$6="Participation",MATCH("_Total Plan Summary _Participation",INDIRECT("'"&amp;$D33&amp;"'!1:1"),0),MATCH(E$4&amp;"_"&amp;E$5&amp;"_"&amp;E$6,INDIRECT("'"&amp;$D33&amp;"'!1:1"),0))),0)</f>
        <v>KU-Marketplace</v>
      </c>
      <c r="F33" s="652" t="str">
        <f t="shared" ca="1" si="14"/>
        <v>Online Marketplace</v>
      </c>
      <c r="G33" s="652" t="str">
        <f t="shared" ca="1" si="14"/>
        <v>Per Program</v>
      </c>
      <c r="H33" s="652">
        <f t="shared" ca="1" si="28"/>
        <v>0.5</v>
      </c>
      <c r="I33" s="652">
        <f t="shared" ca="1" si="28"/>
        <v>0.5</v>
      </c>
      <c r="J33" s="652">
        <f t="shared" ca="1" si="28"/>
        <v>0.5</v>
      </c>
      <c r="K33" s="652">
        <f t="shared" ca="1" si="28"/>
        <v>0.5</v>
      </c>
      <c r="L33" s="652">
        <f t="shared" ca="1" si="28"/>
        <v>0.5</v>
      </c>
      <c r="M33" s="652">
        <f t="shared" ca="1" si="28"/>
        <v>0.5</v>
      </c>
      <c r="N33" s="652">
        <f t="shared" ca="1" si="28"/>
        <v>0.5</v>
      </c>
      <c r="O33" s="652">
        <f t="shared" ca="1" si="28"/>
        <v>0</v>
      </c>
      <c r="P33" s="652">
        <f t="shared" ca="1" si="28"/>
        <v>0</v>
      </c>
      <c r="Q33" s="652">
        <f t="shared" ca="1" si="28"/>
        <v>0</v>
      </c>
      <c r="R33" s="652">
        <f t="shared" ca="1" si="28"/>
        <v>0</v>
      </c>
      <c r="S33" s="652">
        <f t="shared" ca="1" si="28"/>
        <v>0</v>
      </c>
      <c r="T33" s="652">
        <f t="shared" ca="1" si="28"/>
        <v>0</v>
      </c>
      <c r="U33" s="652">
        <f t="shared" ca="1" si="28"/>
        <v>0</v>
      </c>
      <c r="V33" s="652">
        <f t="shared" ca="1" si="28"/>
        <v>0</v>
      </c>
      <c r="W33" s="652">
        <f t="shared" ca="1" si="28"/>
        <v>0</v>
      </c>
      <c r="X33" s="652">
        <f t="shared" ca="1" si="22"/>
        <v>0</v>
      </c>
      <c r="Y33" s="652">
        <f t="shared" ca="1" si="22"/>
        <v>0</v>
      </c>
      <c r="Z33" s="652">
        <f t="shared" ca="1" si="22"/>
        <v>0</v>
      </c>
      <c r="AA33" s="652">
        <f t="shared" ca="1" si="29"/>
        <v>0</v>
      </c>
      <c r="AB33" s="652">
        <f t="shared" ca="1" si="29"/>
        <v>0</v>
      </c>
      <c r="AC33" s="652">
        <f t="shared" ca="1" si="29"/>
        <v>0</v>
      </c>
      <c r="AD33" s="652">
        <f t="shared" ca="1" si="29"/>
        <v>0</v>
      </c>
      <c r="AE33" s="652">
        <f t="shared" ca="1" si="29"/>
        <v>0</v>
      </c>
      <c r="AF33" s="652">
        <f t="shared" ca="1" si="29"/>
        <v>0</v>
      </c>
      <c r="AG33" s="652">
        <f t="shared" ca="1" si="29"/>
        <v>0</v>
      </c>
      <c r="AH33" s="652">
        <f t="shared" ca="1" si="29"/>
        <v>0</v>
      </c>
      <c r="AI33" s="652">
        <f t="shared" ca="1" si="29"/>
        <v>0</v>
      </c>
      <c r="AJ33" s="652">
        <f t="shared" ca="1" si="29"/>
        <v>0</v>
      </c>
      <c r="AK33" s="652">
        <f t="shared" ca="1" si="29"/>
        <v>0</v>
      </c>
      <c r="AL33" s="652">
        <f t="shared" ca="1" si="29"/>
        <v>0</v>
      </c>
      <c r="AM33" s="652">
        <f t="shared" ca="1" si="29"/>
        <v>0</v>
      </c>
      <c r="AN33" s="652">
        <f t="shared" ca="1" si="29"/>
        <v>0</v>
      </c>
      <c r="AO33" s="652">
        <f t="shared" ca="1" si="29"/>
        <v>0</v>
      </c>
      <c r="AP33" s="652">
        <f t="shared" ca="1" si="29"/>
        <v>0</v>
      </c>
      <c r="AQ33" s="652">
        <f t="shared" ca="1" si="30"/>
        <v>0</v>
      </c>
      <c r="AR33" s="652">
        <f t="shared" ca="1" si="30"/>
        <v>0</v>
      </c>
      <c r="AS33" s="652">
        <f t="shared" ca="1" si="30"/>
        <v>0</v>
      </c>
      <c r="AT33" s="652">
        <f t="shared" ca="1" si="30"/>
        <v>0</v>
      </c>
      <c r="AU33" s="652">
        <f t="shared" ca="1" si="30"/>
        <v>0</v>
      </c>
      <c r="AV33" s="652">
        <f t="shared" ca="1" si="30"/>
        <v>0</v>
      </c>
      <c r="AW33" s="652">
        <f t="shared" ca="1" si="30"/>
        <v>0</v>
      </c>
      <c r="AX33" s="652">
        <f t="shared" ca="1" si="30"/>
        <v>0</v>
      </c>
      <c r="AY33" s="652">
        <f t="shared" ca="1" si="30"/>
        <v>0</v>
      </c>
      <c r="AZ33" s="652">
        <f t="shared" ca="1" si="30"/>
        <v>0</v>
      </c>
      <c r="BA33" s="652">
        <f t="shared" ca="1" si="30"/>
        <v>0</v>
      </c>
      <c r="BB33" s="652">
        <f t="shared" ca="1" si="30"/>
        <v>0</v>
      </c>
      <c r="BC33" s="652">
        <f t="shared" ca="1" si="30"/>
        <v>0</v>
      </c>
      <c r="BD33" s="652">
        <f t="shared" ca="1" si="30"/>
        <v>0</v>
      </c>
      <c r="BE33" s="652" t="str">
        <f t="shared" ca="1" si="30"/>
        <v>Residential</v>
      </c>
      <c r="BF33" s="652" t="str">
        <f t="shared" ca="1" si="30"/>
        <v>ResEleTotal - SF Wtd</v>
      </c>
      <c r="BG33" s="652" t="str">
        <f t="shared" ca="1" si="30"/>
        <v>ResSFGasTotal</v>
      </c>
      <c r="BH33" s="652" t="str">
        <f t="shared" ca="1" si="30"/>
        <v>KU Res</v>
      </c>
      <c r="BI33" s="652" t="str">
        <f t="shared" ca="1" si="30"/>
        <v>KU Res</v>
      </c>
      <c r="BJ33" s="652">
        <f t="shared" ca="1" si="20"/>
        <v>1</v>
      </c>
      <c r="BK33" s="652">
        <f t="shared" ca="1" si="20"/>
        <v>0</v>
      </c>
      <c r="BL33" s="652">
        <f t="shared" ca="1" si="20"/>
        <v>0</v>
      </c>
      <c r="BM33" s="652">
        <f t="shared" ca="1" si="20"/>
        <v>0</v>
      </c>
      <c r="BN33" s="652">
        <f t="shared" ca="1" si="20"/>
        <v>0</v>
      </c>
      <c r="BO33" s="652">
        <f t="shared" ca="1" si="20"/>
        <v>0</v>
      </c>
      <c r="BP33" s="652">
        <f t="shared" ca="1" si="20"/>
        <v>0</v>
      </c>
      <c r="BQ33" s="652">
        <f t="shared" ca="1" si="20"/>
        <v>0</v>
      </c>
      <c r="BR33" s="652">
        <f t="shared" ca="1" si="8"/>
        <v>3.5</v>
      </c>
      <c r="BS33" s="652">
        <f t="shared" ca="1" si="30"/>
        <v>0</v>
      </c>
      <c r="BT33" s="652">
        <f t="shared" ca="1" si="34"/>
        <v>0</v>
      </c>
      <c r="BU33" s="652">
        <f t="shared" ca="1" si="34"/>
        <v>0</v>
      </c>
      <c r="BV33" s="652">
        <f t="shared" ca="1" si="34"/>
        <v>0</v>
      </c>
      <c r="BW33" s="652">
        <f t="shared" ca="1" si="34"/>
        <v>0</v>
      </c>
      <c r="BX33" s="652">
        <f t="shared" ca="1" si="34"/>
        <v>0</v>
      </c>
      <c r="BY33" s="652">
        <f t="shared" ca="1" si="34"/>
        <v>0</v>
      </c>
    </row>
    <row r="34" spans="1:77">
      <c r="A34" s="425" t="str">
        <f t="shared" ca="1" si="0"/>
        <v>Online MarketplaceKU-Smart Thermostat (with direct enrollment to DR)</v>
      </c>
      <c r="B34" s="1297" t="str">
        <f t="shared" si="39"/>
        <v>KUOnline Marketplace</v>
      </c>
      <c r="C34" s="661" t="s">
        <v>173</v>
      </c>
      <c r="D34" s="662" t="s">
        <v>60</v>
      </c>
      <c r="E34" s="652" t="str">
        <f t="shared" ref="E34:G39" ca="1" si="41">VLOOKUP($C34,INDIRECT("'"&amp;$D34&amp;"'!A6:FC1000"),IF(E$6="Participation 2023",MATCH("__Participation 2023",INDIRECT("'"&amp;$D34&amp;"'!1:1"),0),IF(E$6="Participation",MATCH("_Total Plan Summary _Participation",INDIRECT("'"&amp;$D34&amp;"'!1:1"),0),MATCH(E$4&amp;"_"&amp;E$5&amp;"_"&amp;E$6,INDIRECT("'"&amp;$D34&amp;"'!1:1"),0))),0)</f>
        <v>KU-Smart Thermostat (with direct enrollment to DR)</v>
      </c>
      <c r="F34" s="652" t="str">
        <f t="shared" ca="1" si="41"/>
        <v>Smart thermostat sold on online marketplace</v>
      </c>
      <c r="G34" s="652" t="str">
        <f t="shared" ca="1" si="41"/>
        <v>Per smart thermostat</v>
      </c>
      <c r="H34" s="652">
        <f t="shared" ca="1" si="28"/>
        <v>522.5</v>
      </c>
      <c r="I34" s="652">
        <f t="shared" ca="1" si="28"/>
        <v>1045</v>
      </c>
      <c r="J34" s="652">
        <f t="shared" ca="1" si="28"/>
        <v>2090</v>
      </c>
      <c r="K34" s="652">
        <f t="shared" ca="1" si="28"/>
        <v>4180</v>
      </c>
      <c r="L34" s="652">
        <f t="shared" ca="1" si="28"/>
        <v>6000</v>
      </c>
      <c r="M34" s="652">
        <f t="shared" ca="1" si="28"/>
        <v>6000</v>
      </c>
      <c r="N34" s="652">
        <f t="shared" ca="1" si="28"/>
        <v>6000</v>
      </c>
      <c r="O34" s="652">
        <f t="shared" ca="1" si="28"/>
        <v>80465</v>
      </c>
      <c r="P34" s="652">
        <f t="shared" ca="1" si="28"/>
        <v>160930</v>
      </c>
      <c r="Q34" s="652">
        <f t="shared" ca="1" si="28"/>
        <v>321860</v>
      </c>
      <c r="R34" s="652">
        <f t="shared" ca="1" si="28"/>
        <v>643720</v>
      </c>
      <c r="S34" s="652">
        <f t="shared" ca="1" si="28"/>
        <v>924000</v>
      </c>
      <c r="T34" s="652">
        <f t="shared" ca="1" si="28"/>
        <v>924000</v>
      </c>
      <c r="U34" s="652">
        <f t="shared" ca="1" si="28"/>
        <v>924000</v>
      </c>
      <c r="V34" s="652">
        <f t="shared" ca="1" si="28"/>
        <v>0</v>
      </c>
      <c r="W34" s="652">
        <f t="shared" ca="1" si="28"/>
        <v>0</v>
      </c>
      <c r="X34" s="652">
        <f t="shared" ca="1" si="22"/>
        <v>0</v>
      </c>
      <c r="Y34" s="652">
        <f t="shared" ca="1" si="22"/>
        <v>0</v>
      </c>
      <c r="Z34" s="652">
        <f t="shared" ca="1" si="22"/>
        <v>0</v>
      </c>
      <c r="AA34" s="652">
        <f t="shared" ca="1" si="29"/>
        <v>0</v>
      </c>
      <c r="AB34" s="652">
        <f t="shared" ca="1" si="29"/>
        <v>0</v>
      </c>
      <c r="AC34" s="652">
        <f t="shared" ca="1" si="29"/>
        <v>39187.5</v>
      </c>
      <c r="AD34" s="652">
        <f t="shared" ca="1" si="29"/>
        <v>78375</v>
      </c>
      <c r="AE34" s="652">
        <f t="shared" ca="1" si="29"/>
        <v>156750</v>
      </c>
      <c r="AF34" s="652">
        <f t="shared" ca="1" si="29"/>
        <v>313500</v>
      </c>
      <c r="AG34" s="652">
        <f t="shared" ca="1" si="29"/>
        <v>450000</v>
      </c>
      <c r="AH34" s="652">
        <f t="shared" ca="1" si="29"/>
        <v>450000</v>
      </c>
      <c r="AI34" s="652">
        <f t="shared" ca="1" si="29"/>
        <v>450000</v>
      </c>
      <c r="AJ34" s="652">
        <f t="shared" ca="1" si="29"/>
        <v>162275.34636570927</v>
      </c>
      <c r="AK34" s="652">
        <f t="shared" ca="1" si="29"/>
        <v>324550.69273141853</v>
      </c>
      <c r="AL34" s="652">
        <f t="shared" ca="1" si="29"/>
        <v>649101.38546283706</v>
      </c>
      <c r="AM34" s="652">
        <f t="shared" ca="1" si="29"/>
        <v>1298202.7709256741</v>
      </c>
      <c r="AN34" s="652">
        <f t="shared" ca="1" si="29"/>
        <v>1863448.953481829</v>
      </c>
      <c r="AO34" s="652">
        <f t="shared" ca="1" si="29"/>
        <v>1863448.953481829</v>
      </c>
      <c r="AP34" s="652">
        <f t="shared" ca="1" si="29"/>
        <v>1863448.953481829</v>
      </c>
      <c r="AQ34" s="652">
        <f t="shared" ca="1" si="30"/>
        <v>0</v>
      </c>
      <c r="AR34" s="652">
        <f t="shared" ca="1" si="30"/>
        <v>0</v>
      </c>
      <c r="AS34" s="652">
        <f t="shared" ca="1" si="30"/>
        <v>0</v>
      </c>
      <c r="AT34" s="652">
        <f t="shared" ca="1" si="30"/>
        <v>0</v>
      </c>
      <c r="AU34" s="652">
        <f t="shared" ca="1" si="30"/>
        <v>0</v>
      </c>
      <c r="AV34" s="652">
        <f t="shared" ca="1" si="30"/>
        <v>0</v>
      </c>
      <c r="AW34" s="652">
        <f t="shared" ca="1" si="30"/>
        <v>0</v>
      </c>
      <c r="AX34" s="652">
        <f t="shared" ca="1" si="30"/>
        <v>0</v>
      </c>
      <c r="AY34" s="652">
        <f t="shared" ca="1" si="30"/>
        <v>0</v>
      </c>
      <c r="AZ34" s="652">
        <f t="shared" ca="1" si="30"/>
        <v>0</v>
      </c>
      <c r="BA34" s="652">
        <f t="shared" ca="1" si="30"/>
        <v>0</v>
      </c>
      <c r="BB34" s="652">
        <f t="shared" ca="1" si="30"/>
        <v>0</v>
      </c>
      <c r="BC34" s="652">
        <f t="shared" ca="1" si="30"/>
        <v>0</v>
      </c>
      <c r="BD34" s="652">
        <f t="shared" ca="1" si="30"/>
        <v>0</v>
      </c>
      <c r="BE34" s="652" t="str">
        <f t="shared" ca="1" si="30"/>
        <v>Residential</v>
      </c>
      <c r="BF34" s="652" t="str">
        <f t="shared" ca="1" si="30"/>
        <v>ResCooling - SF Wtd</v>
      </c>
      <c r="BG34" s="652" t="str">
        <f t="shared" ca="1" si="30"/>
        <v>ResSFGasHeat</v>
      </c>
      <c r="BH34" s="652" t="str">
        <f t="shared" ca="1" si="30"/>
        <v>KU Res</v>
      </c>
      <c r="BI34" s="652" t="str">
        <f t="shared" ca="1" si="30"/>
        <v>KU Res</v>
      </c>
      <c r="BJ34" s="652">
        <f t="shared" ca="1" si="30"/>
        <v>7.5</v>
      </c>
      <c r="BK34" s="652">
        <f t="shared" ca="1" si="30"/>
        <v>0</v>
      </c>
      <c r="BL34" s="652">
        <f t="shared" ca="1" si="30"/>
        <v>0</v>
      </c>
      <c r="BM34" s="652">
        <f t="shared" ca="1" si="30"/>
        <v>0</v>
      </c>
      <c r="BN34" s="652">
        <f t="shared" ca="1" si="30"/>
        <v>0</v>
      </c>
      <c r="BO34" s="652">
        <f t="shared" ca="1" si="30"/>
        <v>0</v>
      </c>
      <c r="BP34" s="652">
        <f t="shared" ca="1" si="30"/>
        <v>0</v>
      </c>
      <c r="BQ34" s="652">
        <f t="shared" ca="1" si="30"/>
        <v>0</v>
      </c>
      <c r="BR34" s="652">
        <f t="shared" ca="1" si="8"/>
        <v>25837.5</v>
      </c>
      <c r="BS34" s="652">
        <f t="shared" ca="1" si="30"/>
        <v>3978975</v>
      </c>
      <c r="BT34" s="652">
        <f t="shared" ca="1" si="34"/>
        <v>0</v>
      </c>
      <c r="BU34" s="652">
        <f t="shared" ca="1" si="34"/>
        <v>1937812.5</v>
      </c>
      <c r="BV34" s="652">
        <f t="shared" ca="1" si="34"/>
        <v>0</v>
      </c>
      <c r="BW34" s="652">
        <f t="shared" ca="1" si="34"/>
        <v>8024477.0559311258</v>
      </c>
      <c r="BX34" s="652">
        <f t="shared" ca="1" si="34"/>
        <v>0</v>
      </c>
      <c r="BY34" s="652">
        <f t="shared" ca="1" si="34"/>
        <v>0</v>
      </c>
    </row>
    <row r="35" spans="1:77">
      <c r="A35" s="425" t="str">
        <f t="shared" ca="1" si="0"/>
        <v>Online MarketplaceKU-Smart plug</v>
      </c>
      <c r="B35" s="1297" t="str">
        <f t="shared" si="39"/>
        <v>KUOnline Marketplace</v>
      </c>
      <c r="C35" s="661" t="s">
        <v>175</v>
      </c>
      <c r="D35" s="662" t="s">
        <v>60</v>
      </c>
      <c r="E35" s="652" t="str">
        <f ca="1">VLOOKUP($C35,INDIRECT("'"&amp;$D35&amp;"'!A6:FC1000"),IF(E$6="Participation 2023",MATCH("__Participation 2023",INDIRECT("'"&amp;$D35&amp;"'!1:1"),0),IF(E$6="Participation",MATCH("_Total Plan Summary _Participation",INDIRECT("'"&amp;$D35&amp;"'!1:1"),0),MATCH(E$4&amp;"_"&amp;E$5&amp;"_"&amp;E$6,INDIRECT("'"&amp;$D35&amp;"'!1:1"),0))),0)</f>
        <v>KU-Smart plug</v>
      </c>
      <c r="F35" s="652" t="str">
        <f t="shared" ca="1" si="41"/>
        <v>Smart plug sold on online marketplace</v>
      </c>
      <c r="G35" s="652" t="str">
        <f t="shared" ca="1" si="41"/>
        <v>Per smart plug</v>
      </c>
      <c r="H35" s="652">
        <f t="shared" ca="1" si="28"/>
        <v>12</v>
      </c>
      <c r="I35" s="652">
        <f t="shared" ca="1" si="28"/>
        <v>12.6</v>
      </c>
      <c r="J35" s="652">
        <f t="shared" ca="1" si="28"/>
        <v>13.23</v>
      </c>
      <c r="K35" s="652">
        <f t="shared" ca="1" si="28"/>
        <v>13.891500000000001</v>
      </c>
      <c r="L35" s="652">
        <f t="shared" ca="1" si="28"/>
        <v>14.586075000000001</v>
      </c>
      <c r="M35" s="652">
        <f t="shared" ca="1" si="28"/>
        <v>15.315378750000001</v>
      </c>
      <c r="N35" s="652">
        <f t="shared" ca="1" si="28"/>
        <v>16.0811476875</v>
      </c>
      <c r="O35" s="652">
        <f t="shared" ca="1" si="28"/>
        <v>230.88</v>
      </c>
      <c r="P35" s="652">
        <f t="shared" ca="1" si="28"/>
        <v>242.42399999999998</v>
      </c>
      <c r="Q35" s="652">
        <f t="shared" ca="1" si="28"/>
        <v>254.54519999999999</v>
      </c>
      <c r="R35" s="652">
        <f t="shared" ca="1" si="28"/>
        <v>267.27245999999997</v>
      </c>
      <c r="S35" s="652">
        <f t="shared" ca="1" si="28"/>
        <v>280.63608299999999</v>
      </c>
      <c r="T35" s="652">
        <f t="shared" ca="1" si="28"/>
        <v>294.66788715000001</v>
      </c>
      <c r="U35" s="652">
        <f t="shared" ca="1" si="28"/>
        <v>309.40128150749996</v>
      </c>
      <c r="V35" s="652">
        <f t="shared" ca="1" si="28"/>
        <v>0</v>
      </c>
      <c r="W35" s="652">
        <f t="shared" ca="1" si="28"/>
        <v>0</v>
      </c>
      <c r="X35" s="652">
        <f t="shared" ca="1" si="22"/>
        <v>0</v>
      </c>
      <c r="Y35" s="652">
        <f t="shared" ca="1" si="22"/>
        <v>0</v>
      </c>
      <c r="Z35" s="652">
        <f t="shared" ca="1" si="22"/>
        <v>0</v>
      </c>
      <c r="AA35" s="652">
        <f t="shared" ca="1" si="29"/>
        <v>0</v>
      </c>
      <c r="AB35" s="652">
        <f t="shared" ca="1" si="29"/>
        <v>0</v>
      </c>
      <c r="AC35" s="652">
        <f t="shared" ca="1" si="29"/>
        <v>120</v>
      </c>
      <c r="AD35" s="652">
        <f t="shared" ca="1" si="29"/>
        <v>126</v>
      </c>
      <c r="AE35" s="652">
        <f t="shared" ca="1" si="29"/>
        <v>132.30000000000001</v>
      </c>
      <c r="AF35" s="652">
        <f t="shared" ca="1" si="29"/>
        <v>138.91500000000002</v>
      </c>
      <c r="AG35" s="652">
        <f t="shared" ca="1" si="29"/>
        <v>145.86075</v>
      </c>
      <c r="AH35" s="652">
        <f t="shared" ca="1" si="29"/>
        <v>153.15378750000002</v>
      </c>
      <c r="AI35" s="652">
        <f t="shared" ca="1" si="29"/>
        <v>160.81147687499998</v>
      </c>
      <c r="AJ35" s="652">
        <f t="shared" ca="1" si="29"/>
        <v>762</v>
      </c>
      <c r="AK35" s="652">
        <f t="shared" ca="1" si="29"/>
        <v>800.1</v>
      </c>
      <c r="AL35" s="652">
        <f t="shared" ca="1" si="29"/>
        <v>840.10500000000002</v>
      </c>
      <c r="AM35" s="652">
        <f t="shared" ca="1" si="29"/>
        <v>882.11025000000006</v>
      </c>
      <c r="AN35" s="652">
        <f t="shared" ca="1" si="29"/>
        <v>926.2157625000001</v>
      </c>
      <c r="AO35" s="652">
        <f t="shared" ca="1" si="29"/>
        <v>972.52655062500003</v>
      </c>
      <c r="AP35" s="652">
        <f t="shared" ca="1" si="29"/>
        <v>1021.1528781562499</v>
      </c>
      <c r="AQ35" s="652">
        <f t="shared" ca="1" si="30"/>
        <v>0</v>
      </c>
      <c r="AR35" s="652">
        <f t="shared" ca="1" si="30"/>
        <v>0</v>
      </c>
      <c r="AS35" s="652">
        <f t="shared" ca="1" si="30"/>
        <v>0</v>
      </c>
      <c r="AT35" s="652">
        <f t="shared" ca="1" si="30"/>
        <v>0</v>
      </c>
      <c r="AU35" s="652">
        <f t="shared" ca="1" si="30"/>
        <v>0</v>
      </c>
      <c r="AV35" s="652">
        <f t="shared" ca="1" si="30"/>
        <v>0</v>
      </c>
      <c r="AW35" s="652">
        <f t="shared" ca="1" si="30"/>
        <v>0</v>
      </c>
      <c r="AX35" s="652">
        <f t="shared" ca="1" si="30"/>
        <v>0</v>
      </c>
      <c r="AY35" s="652">
        <f t="shared" ca="1" si="30"/>
        <v>0</v>
      </c>
      <c r="AZ35" s="652">
        <f t="shared" ca="1" si="30"/>
        <v>0</v>
      </c>
      <c r="BA35" s="652">
        <f t="shared" ca="1" si="30"/>
        <v>0</v>
      </c>
      <c r="BB35" s="652">
        <f t="shared" ca="1" si="30"/>
        <v>0</v>
      </c>
      <c r="BC35" s="652">
        <f t="shared" ca="1" si="30"/>
        <v>0</v>
      </c>
      <c r="BD35" s="652">
        <f t="shared" ca="1" si="30"/>
        <v>0</v>
      </c>
      <c r="BE35" s="652" t="str">
        <f t="shared" ca="1" si="30"/>
        <v>Residential</v>
      </c>
      <c r="BF35" s="652" t="str">
        <f t="shared" ca="1" si="30"/>
        <v>ResElecMisc - SF Wtd</v>
      </c>
      <c r="BG35" s="652" t="str">
        <f t="shared" ca="1" si="30"/>
        <v>ResSFGasHeat</v>
      </c>
      <c r="BH35" s="652" t="str">
        <f t="shared" ca="1" si="30"/>
        <v>KU Res</v>
      </c>
      <c r="BI35" s="652" t="str">
        <f t="shared" ca="1" si="30"/>
        <v>KU Res</v>
      </c>
      <c r="BJ35" s="652">
        <f t="shared" ca="1" si="30"/>
        <v>5</v>
      </c>
      <c r="BK35" s="652">
        <f t="shared" ca="1" si="30"/>
        <v>0</v>
      </c>
      <c r="BL35" s="652">
        <f t="shared" ca="1" si="30"/>
        <v>0</v>
      </c>
      <c r="BM35" s="652">
        <f t="shared" ca="1" si="30"/>
        <v>0</v>
      </c>
      <c r="BN35" s="652">
        <f t="shared" ca="1" si="30"/>
        <v>0</v>
      </c>
      <c r="BO35" s="652">
        <f t="shared" ca="1" si="30"/>
        <v>0</v>
      </c>
      <c r="BP35" s="652">
        <f t="shared" ca="1" si="30"/>
        <v>0</v>
      </c>
      <c r="BQ35" s="652">
        <f t="shared" ca="1" si="30"/>
        <v>0</v>
      </c>
      <c r="BR35" s="652">
        <f t="shared" ca="1" si="8"/>
        <v>97.704101437499986</v>
      </c>
      <c r="BS35" s="652">
        <f t="shared" ca="1" si="30"/>
        <v>1879.8269116575002</v>
      </c>
      <c r="BT35" s="652">
        <f t="shared" ca="1" si="34"/>
        <v>0</v>
      </c>
      <c r="BU35" s="652">
        <f t="shared" ca="1" si="34"/>
        <v>977.04101437500003</v>
      </c>
      <c r="BV35" s="652">
        <f t="shared" ca="1" si="34"/>
        <v>0</v>
      </c>
      <c r="BW35" s="652">
        <f t="shared" ca="1" si="34"/>
        <v>6204.2104412812505</v>
      </c>
      <c r="BX35" s="652">
        <f t="shared" ca="1" si="34"/>
        <v>0</v>
      </c>
      <c r="BY35" s="652">
        <f t="shared" ca="1" si="34"/>
        <v>0</v>
      </c>
    </row>
    <row r="36" spans="1:77">
      <c r="A36" s="425" t="str">
        <f t="shared" ca="1" si="0"/>
        <v>Online MarketplaceKU-BYOD enablement devices</v>
      </c>
      <c r="B36" s="1297" t="str">
        <f t="shared" si="39"/>
        <v>KUOnline Marketplace</v>
      </c>
      <c r="C36" s="661" t="s">
        <v>176</v>
      </c>
      <c r="D36" s="662" t="s">
        <v>60</v>
      </c>
      <c r="E36" s="652" t="str">
        <f t="shared" ca="1" si="41"/>
        <v>KU-BYOD enablement devices</v>
      </c>
      <c r="F36" s="652" t="str">
        <f t="shared" ca="1" si="41"/>
        <v>Attachments for water heaters</v>
      </c>
      <c r="G36" s="652" t="str">
        <f t="shared" ca="1" si="41"/>
        <v>Per device</v>
      </c>
      <c r="H36" s="652">
        <f t="shared" ca="1" si="28"/>
        <v>0</v>
      </c>
      <c r="I36" s="652">
        <f t="shared" ca="1" si="28"/>
        <v>0</v>
      </c>
      <c r="J36" s="652">
        <f t="shared" ca="1" si="28"/>
        <v>5</v>
      </c>
      <c r="K36" s="652">
        <f t="shared" ca="1" si="28"/>
        <v>7.5</v>
      </c>
      <c r="L36" s="652">
        <f t="shared" ca="1" si="28"/>
        <v>11.25</v>
      </c>
      <c r="M36" s="652">
        <f t="shared" ca="1" si="28"/>
        <v>16.875</v>
      </c>
      <c r="N36" s="652">
        <f t="shared" ca="1" si="28"/>
        <v>25.3125</v>
      </c>
      <c r="O36" s="652">
        <f t="shared" ca="1" si="28"/>
        <v>0</v>
      </c>
      <c r="P36" s="652">
        <f t="shared" ca="1" si="28"/>
        <v>0</v>
      </c>
      <c r="Q36" s="652">
        <f t="shared" ca="1" si="28"/>
        <v>250</v>
      </c>
      <c r="R36" s="652">
        <f t="shared" ca="1" si="28"/>
        <v>375</v>
      </c>
      <c r="S36" s="652">
        <f t="shared" ca="1" si="28"/>
        <v>562.5</v>
      </c>
      <c r="T36" s="652">
        <f t="shared" ca="1" si="28"/>
        <v>843.75</v>
      </c>
      <c r="U36" s="652">
        <f t="shared" ca="1" si="28"/>
        <v>1265.625</v>
      </c>
      <c r="V36" s="652">
        <f t="shared" ca="1" si="28"/>
        <v>0</v>
      </c>
      <c r="W36" s="652">
        <f t="shared" ca="1" si="28"/>
        <v>0</v>
      </c>
      <c r="X36" s="652">
        <f t="shared" ca="1" si="22"/>
        <v>0</v>
      </c>
      <c r="Y36" s="652">
        <f t="shared" ca="1" si="22"/>
        <v>0</v>
      </c>
      <c r="Z36" s="652">
        <f t="shared" ca="1" si="22"/>
        <v>0</v>
      </c>
      <c r="AA36" s="652">
        <f t="shared" ca="1" si="29"/>
        <v>0</v>
      </c>
      <c r="AB36" s="652">
        <f t="shared" ca="1" si="29"/>
        <v>0</v>
      </c>
      <c r="AC36" s="652">
        <f t="shared" ca="1" si="29"/>
        <v>0</v>
      </c>
      <c r="AD36" s="652">
        <f t="shared" ca="1" si="29"/>
        <v>0</v>
      </c>
      <c r="AE36" s="652">
        <f t="shared" ca="1" si="29"/>
        <v>250</v>
      </c>
      <c r="AF36" s="652">
        <f t="shared" ca="1" si="29"/>
        <v>375</v>
      </c>
      <c r="AG36" s="652">
        <f t="shared" ca="1" si="29"/>
        <v>562.5</v>
      </c>
      <c r="AH36" s="652">
        <f t="shared" ca="1" si="29"/>
        <v>843.75</v>
      </c>
      <c r="AI36" s="652">
        <f t="shared" ca="1" si="29"/>
        <v>1265.625</v>
      </c>
      <c r="AJ36" s="652">
        <f t="shared" ca="1" si="29"/>
        <v>0</v>
      </c>
      <c r="AK36" s="652">
        <f t="shared" ca="1" si="29"/>
        <v>0</v>
      </c>
      <c r="AL36" s="652">
        <f t="shared" ca="1" si="29"/>
        <v>0</v>
      </c>
      <c r="AM36" s="652">
        <f t="shared" ca="1" si="29"/>
        <v>0</v>
      </c>
      <c r="AN36" s="652">
        <f t="shared" ca="1" si="29"/>
        <v>0</v>
      </c>
      <c r="AO36" s="652">
        <f t="shared" ca="1" si="29"/>
        <v>0</v>
      </c>
      <c r="AP36" s="652">
        <f t="shared" ca="1" si="29"/>
        <v>0</v>
      </c>
      <c r="AQ36" s="652">
        <f t="shared" ca="1" si="30"/>
        <v>0</v>
      </c>
      <c r="AR36" s="652">
        <f t="shared" ca="1" si="30"/>
        <v>0</v>
      </c>
      <c r="AS36" s="652">
        <f t="shared" ca="1" si="30"/>
        <v>0</v>
      </c>
      <c r="AT36" s="652">
        <f t="shared" ca="1" si="30"/>
        <v>0</v>
      </c>
      <c r="AU36" s="652">
        <f t="shared" ca="1" si="30"/>
        <v>0</v>
      </c>
      <c r="AV36" s="652">
        <f t="shared" ca="1" si="30"/>
        <v>0</v>
      </c>
      <c r="AW36" s="652">
        <f t="shared" ca="1" si="30"/>
        <v>0</v>
      </c>
      <c r="AX36" s="652">
        <f t="shared" ca="1" si="30"/>
        <v>0</v>
      </c>
      <c r="AY36" s="652">
        <f t="shared" ca="1" si="30"/>
        <v>0</v>
      </c>
      <c r="AZ36" s="652">
        <f t="shared" ca="1" si="30"/>
        <v>0</v>
      </c>
      <c r="BA36" s="652">
        <f t="shared" ca="1" si="30"/>
        <v>0</v>
      </c>
      <c r="BB36" s="652">
        <f t="shared" ca="1" si="30"/>
        <v>0</v>
      </c>
      <c r="BC36" s="652">
        <f t="shared" ca="1" si="30"/>
        <v>0</v>
      </c>
      <c r="BD36" s="652">
        <f t="shared" ca="1" si="30"/>
        <v>0</v>
      </c>
      <c r="BE36" s="652" t="str">
        <f t="shared" ref="AQ36:BS37" ca="1" si="42">VLOOKUP($C36,INDIRECT("'"&amp;$D36&amp;"'!A6:FR1000"),IF(BE$6="Participation 2023",MATCH("__Participation 2023",INDIRECT("'"&amp;$D36&amp;"'!1:1"),0),IF(BE$6="Participation",MATCH("_Total Plan Summary _Participation",INDIRECT("'"&amp;$D36&amp;"'!1:1"),0),MATCH(BE$4&amp;"_"&amp;BE$5&amp;"_"&amp;BE$6,INDIRECT("'"&amp;$D36&amp;"'!1:1"),0))),0)</f>
        <v>Residential</v>
      </c>
      <c r="BF36" s="652" t="str">
        <f t="shared" ca="1" si="42"/>
        <v>ResHotWater - SF Wtd</v>
      </c>
      <c r="BG36" s="652" t="str">
        <f t="shared" ca="1" si="42"/>
        <v>ResSFGasTotal</v>
      </c>
      <c r="BH36" s="652" t="str">
        <f t="shared" ca="1" si="42"/>
        <v>KU Res</v>
      </c>
      <c r="BI36" s="652" t="str">
        <f t="shared" ca="1" si="42"/>
        <v>KU Res</v>
      </c>
      <c r="BJ36" s="652">
        <f t="shared" ca="1" si="42"/>
        <v>1</v>
      </c>
      <c r="BK36" s="652">
        <f t="shared" ca="1" si="42"/>
        <v>0</v>
      </c>
      <c r="BL36" s="652">
        <f t="shared" ca="1" si="42"/>
        <v>0</v>
      </c>
      <c r="BM36" s="652">
        <f t="shared" ca="1" si="42"/>
        <v>0</v>
      </c>
      <c r="BN36" s="652">
        <f t="shared" ca="1" si="42"/>
        <v>0</v>
      </c>
      <c r="BO36" s="652">
        <f t="shared" ca="1" si="42"/>
        <v>0</v>
      </c>
      <c r="BP36" s="652">
        <f t="shared" ca="1" si="42"/>
        <v>0</v>
      </c>
      <c r="BQ36" s="652">
        <f t="shared" ca="1" si="42"/>
        <v>0</v>
      </c>
      <c r="BR36" s="652">
        <f t="shared" ca="1" si="8"/>
        <v>65.9375</v>
      </c>
      <c r="BS36" s="652">
        <f t="shared" ca="1" si="42"/>
        <v>3296.875</v>
      </c>
      <c r="BT36" s="652">
        <f t="shared" ca="1" si="34"/>
        <v>0</v>
      </c>
      <c r="BU36" s="652">
        <f t="shared" ca="1" si="34"/>
        <v>3296.875</v>
      </c>
      <c r="BV36" s="652">
        <f t="shared" ca="1" si="34"/>
        <v>0</v>
      </c>
      <c r="BW36" s="652">
        <f t="shared" ca="1" si="34"/>
        <v>0</v>
      </c>
      <c r="BX36" s="652">
        <f t="shared" ca="1" si="34"/>
        <v>0</v>
      </c>
      <c r="BY36" s="652">
        <f t="shared" ca="1" si="34"/>
        <v>0</v>
      </c>
    </row>
    <row r="37" spans="1:77">
      <c r="A37" s="425" t="str">
        <f t="shared" ca="1" si="0"/>
        <v>Online MarketplaceLG&amp;E-Marketplace</v>
      </c>
      <c r="B37" s="1297" t="str">
        <f>IF(ISNUMBER(SEARCH("KU",C37)),"KU"&amp;D37,"LG&amp;E"&amp;D37)</f>
        <v>LG&amp;EOnline Marketplace</v>
      </c>
      <c r="C37" s="661" t="s">
        <v>172</v>
      </c>
      <c r="D37" s="662" t="s">
        <v>60</v>
      </c>
      <c r="E37" s="652" t="str">
        <f ca="1">VLOOKUP($C37,INDIRECT("'"&amp;$D37&amp;"'!A6:FC1000"),IF(E$6="Participation 2023",MATCH("__Participation 2023",INDIRECT("'"&amp;$D37&amp;"'!1:1"),0),IF(E$6="Participation",MATCH("_Total Plan Summary _Participation",INDIRECT("'"&amp;$D37&amp;"'!1:1"),0),MATCH(E$4&amp;"_"&amp;E$5&amp;"_"&amp;E$6,INDIRECT("'"&amp;$D37&amp;"'!1:1"),0))),0)</f>
        <v>LG&amp;E-Marketplace</v>
      </c>
      <c r="F37" s="652" t="str">
        <f t="shared" ca="1" si="41"/>
        <v>Online Marketplace</v>
      </c>
      <c r="G37" s="652" t="str">
        <f t="shared" ca="1" si="41"/>
        <v>Per Program</v>
      </c>
      <c r="H37" s="652">
        <f t="shared" ca="1" si="28"/>
        <v>0.5</v>
      </c>
      <c r="I37" s="652">
        <f t="shared" ca="1" si="28"/>
        <v>0.5</v>
      </c>
      <c r="J37" s="652">
        <f t="shared" ca="1" si="28"/>
        <v>0.5</v>
      </c>
      <c r="K37" s="652">
        <f t="shared" ca="1" si="22"/>
        <v>0.5</v>
      </c>
      <c r="L37" s="652">
        <f t="shared" ca="1" si="22"/>
        <v>0.5</v>
      </c>
      <c r="M37" s="652">
        <f t="shared" ca="1" si="22"/>
        <v>0.5</v>
      </c>
      <c r="N37" s="652">
        <f t="shared" ca="1" si="22"/>
        <v>0.5</v>
      </c>
      <c r="O37" s="652">
        <f t="shared" ca="1" si="22"/>
        <v>0</v>
      </c>
      <c r="P37" s="652">
        <f t="shared" ca="1" si="22"/>
        <v>0</v>
      </c>
      <c r="Q37" s="652">
        <f t="shared" ca="1" si="22"/>
        <v>0</v>
      </c>
      <c r="R37" s="652">
        <f t="shared" ca="1" si="22"/>
        <v>0</v>
      </c>
      <c r="S37" s="652">
        <f t="shared" ca="1" si="22"/>
        <v>0</v>
      </c>
      <c r="T37" s="652">
        <f t="shared" ca="1" si="22"/>
        <v>0</v>
      </c>
      <c r="U37" s="652">
        <f t="shared" ca="1" si="22"/>
        <v>0</v>
      </c>
      <c r="V37" s="652">
        <f t="shared" ca="1" si="22"/>
        <v>0</v>
      </c>
      <c r="W37" s="652">
        <f t="shared" ca="1" si="22"/>
        <v>0</v>
      </c>
      <c r="X37" s="652">
        <f t="shared" ca="1" si="22"/>
        <v>0</v>
      </c>
      <c r="Y37" s="652">
        <f t="shared" ca="1" si="22"/>
        <v>0</v>
      </c>
      <c r="Z37" s="652">
        <f t="shared" ca="1" si="22"/>
        <v>0</v>
      </c>
      <c r="AA37" s="652">
        <f t="shared" ca="1" si="29"/>
        <v>0</v>
      </c>
      <c r="AB37" s="652">
        <f t="shared" ca="1" si="29"/>
        <v>0</v>
      </c>
      <c r="AC37" s="652">
        <f t="shared" ca="1" si="29"/>
        <v>0</v>
      </c>
      <c r="AD37" s="652">
        <f t="shared" ca="1" si="29"/>
        <v>0</v>
      </c>
      <c r="AE37" s="652">
        <f t="shared" ca="1" si="29"/>
        <v>0</v>
      </c>
      <c r="AF37" s="652">
        <f t="shared" ca="1" si="29"/>
        <v>0</v>
      </c>
      <c r="AG37" s="652">
        <f t="shared" ca="1" si="29"/>
        <v>0</v>
      </c>
      <c r="AH37" s="652">
        <f t="shared" ca="1" si="29"/>
        <v>0</v>
      </c>
      <c r="AI37" s="652">
        <f t="shared" ca="1" si="29"/>
        <v>0</v>
      </c>
      <c r="AJ37" s="652">
        <f t="shared" ca="1" si="29"/>
        <v>0</v>
      </c>
      <c r="AK37" s="652">
        <f t="shared" ca="1" si="29"/>
        <v>0</v>
      </c>
      <c r="AL37" s="652">
        <f t="shared" ca="1" si="29"/>
        <v>0</v>
      </c>
      <c r="AM37" s="652">
        <f t="shared" ca="1" si="29"/>
        <v>0</v>
      </c>
      <c r="AN37" s="652">
        <f t="shared" ca="1" si="29"/>
        <v>0</v>
      </c>
      <c r="AO37" s="652">
        <f t="shared" ca="1" si="29"/>
        <v>0</v>
      </c>
      <c r="AP37" s="652">
        <f t="shared" ref="AP37" ca="1" si="43">VLOOKUP($C37,INDIRECT("'"&amp;$D37&amp;"'!A6:FR1000"),IF(AP$6="Participation 2023",MATCH("__Participation 2023",INDIRECT("'"&amp;$D37&amp;"'!1:1"),0),IF(AP$6="Participation",MATCH("_Total Plan Summary _Participation",INDIRECT("'"&amp;$D37&amp;"'!1:1"),0),MATCH(AP$4&amp;"_"&amp;AP$5&amp;"_"&amp;AP$6,INDIRECT("'"&amp;$D37&amp;"'!1:1"),0))),0)</f>
        <v>0</v>
      </c>
      <c r="AQ37" s="652">
        <f t="shared" ca="1" si="42"/>
        <v>0</v>
      </c>
      <c r="AR37" s="652">
        <f t="shared" ca="1" si="42"/>
        <v>0</v>
      </c>
      <c r="AS37" s="652">
        <f t="shared" ca="1" si="42"/>
        <v>0</v>
      </c>
      <c r="AT37" s="652">
        <f t="shared" ca="1" si="42"/>
        <v>0</v>
      </c>
      <c r="AU37" s="652">
        <f t="shared" ca="1" si="42"/>
        <v>0</v>
      </c>
      <c r="AV37" s="652">
        <f t="shared" ca="1" si="42"/>
        <v>0</v>
      </c>
      <c r="AW37" s="652">
        <f t="shared" ca="1" si="42"/>
        <v>0</v>
      </c>
      <c r="AX37" s="652">
        <f t="shared" ca="1" si="42"/>
        <v>0</v>
      </c>
      <c r="AY37" s="652">
        <f t="shared" ca="1" si="42"/>
        <v>0</v>
      </c>
      <c r="AZ37" s="652">
        <f t="shared" ca="1" si="42"/>
        <v>0</v>
      </c>
      <c r="BA37" s="652">
        <f t="shared" ca="1" si="42"/>
        <v>0</v>
      </c>
      <c r="BB37" s="652">
        <f t="shared" ca="1" si="42"/>
        <v>0</v>
      </c>
      <c r="BC37" s="652">
        <f t="shared" ca="1" si="42"/>
        <v>0</v>
      </c>
      <c r="BD37" s="652">
        <f t="shared" ca="1" si="42"/>
        <v>0</v>
      </c>
      <c r="BE37" s="652" t="str">
        <f t="shared" ca="1" si="42"/>
        <v>Residential</v>
      </c>
      <c r="BF37" s="652" t="str">
        <f t="shared" ca="1" si="42"/>
        <v>ResEleTotal - SF Wtd</v>
      </c>
      <c r="BG37" s="652" t="str">
        <f t="shared" ca="1" si="42"/>
        <v>ResSFGasTotal</v>
      </c>
      <c r="BH37" s="652" t="str">
        <f t="shared" ca="1" si="42"/>
        <v>LGE Res</v>
      </c>
      <c r="BI37" s="652" t="str">
        <f t="shared" ca="1" si="42"/>
        <v>LGE Res</v>
      </c>
      <c r="BJ37" s="652">
        <f t="shared" ca="1" si="42"/>
        <v>1</v>
      </c>
      <c r="BK37" s="652">
        <f t="shared" ca="1" si="42"/>
        <v>0</v>
      </c>
      <c r="BL37" s="652">
        <f t="shared" ca="1" si="42"/>
        <v>0</v>
      </c>
      <c r="BM37" s="652">
        <f t="shared" ca="1" si="42"/>
        <v>0</v>
      </c>
      <c r="BN37" s="652">
        <f t="shared" ca="1" si="42"/>
        <v>0</v>
      </c>
      <c r="BO37" s="652">
        <f t="shared" ca="1" si="42"/>
        <v>0</v>
      </c>
      <c r="BP37" s="652">
        <f t="shared" ca="1" si="42"/>
        <v>0</v>
      </c>
      <c r="BQ37" s="652">
        <f t="shared" ca="1" si="42"/>
        <v>0</v>
      </c>
      <c r="BR37" s="652">
        <f t="shared" ca="1" si="8"/>
        <v>3.5</v>
      </c>
      <c r="BS37" s="652">
        <f t="shared" ca="1" si="42"/>
        <v>0</v>
      </c>
      <c r="BT37" s="652">
        <f t="shared" ca="1" si="34"/>
        <v>0</v>
      </c>
      <c r="BU37" s="652">
        <f t="shared" ca="1" si="34"/>
        <v>0</v>
      </c>
      <c r="BV37" s="652">
        <f t="shared" ca="1" si="34"/>
        <v>0</v>
      </c>
      <c r="BW37" s="652">
        <f t="shared" ca="1" si="34"/>
        <v>0</v>
      </c>
      <c r="BX37" s="652">
        <f t="shared" ca="1" si="34"/>
        <v>0</v>
      </c>
      <c r="BY37" s="652">
        <f t="shared" ca="1" si="34"/>
        <v>0</v>
      </c>
    </row>
    <row r="38" spans="1:77">
      <c r="A38" s="425" t="str">
        <f t="shared" ca="1" si="0"/>
        <v>Online MarketplaceLG&amp;E-Smart Thermostat (with direct enrollment to DR)</v>
      </c>
      <c r="B38" s="1297" t="str">
        <f t="shared" ref="B38" si="44">IF(ISNUMBER(SEARCH("KU",C38)),"KU"&amp;D38,"LG&amp;E"&amp;D38)</f>
        <v>LG&amp;EOnline Marketplace</v>
      </c>
      <c r="C38" s="661" t="s">
        <v>174</v>
      </c>
      <c r="D38" s="662" t="s">
        <v>60</v>
      </c>
      <c r="E38" s="652" t="str">
        <f t="shared" ca="1" si="41"/>
        <v>LG&amp;E-Smart Thermostat (with direct enrollment to DR)</v>
      </c>
      <c r="F38" s="652" t="str">
        <f t="shared" ca="1" si="41"/>
        <v>Smart thermostat sold on online marketplace</v>
      </c>
      <c r="G38" s="652" t="str">
        <f t="shared" ca="1" si="41"/>
        <v>Per smart thermostat</v>
      </c>
      <c r="H38" s="652">
        <f t="shared" ref="H38:U40" ca="1" si="45">VLOOKUP($C38,INDIRECT("'"&amp;$D38&amp;"'!A6:FR1000"),IF(H$6="Participation 2023",MATCH("__Participation 2023",INDIRECT("'"&amp;$D38&amp;"'!1:1"),0),IF(H$6="Participation",MATCH("_Total Plan Summary _Participation",INDIRECT("'"&amp;$D38&amp;"'!1:1"),0),MATCH(H$4&amp;"_"&amp;H$5&amp;"_"&amp;H$6,INDIRECT("'"&amp;$D38&amp;"'!1:1"),0))),0)</f>
        <v>522.5</v>
      </c>
      <c r="I38" s="652">
        <f t="shared" ca="1" si="45"/>
        <v>1045</v>
      </c>
      <c r="J38" s="652">
        <f t="shared" ca="1" si="45"/>
        <v>2090</v>
      </c>
      <c r="K38" s="652">
        <f t="shared" ca="1" si="45"/>
        <v>4180</v>
      </c>
      <c r="L38" s="652">
        <f t="shared" ca="1" si="45"/>
        <v>6000</v>
      </c>
      <c r="M38" s="652">
        <f t="shared" ca="1" si="45"/>
        <v>6000</v>
      </c>
      <c r="N38" s="652">
        <f t="shared" ca="1" si="45"/>
        <v>6000</v>
      </c>
      <c r="O38" s="652">
        <f t="shared" ca="1" si="45"/>
        <v>80465</v>
      </c>
      <c r="P38" s="652">
        <f t="shared" ca="1" si="45"/>
        <v>160930</v>
      </c>
      <c r="Q38" s="652">
        <f t="shared" ca="1" si="45"/>
        <v>321860</v>
      </c>
      <c r="R38" s="652">
        <f t="shared" ca="1" si="45"/>
        <v>643720</v>
      </c>
      <c r="S38" s="652">
        <f t="shared" ca="1" si="45"/>
        <v>924000</v>
      </c>
      <c r="T38" s="652">
        <f t="shared" ca="1" si="45"/>
        <v>924000</v>
      </c>
      <c r="U38" s="652">
        <f t="shared" ca="1" si="45"/>
        <v>924000</v>
      </c>
      <c r="V38" s="652">
        <f t="shared" ca="1" si="22"/>
        <v>0</v>
      </c>
      <c r="W38" s="652">
        <f t="shared" ca="1" si="22"/>
        <v>0</v>
      </c>
      <c r="X38" s="652">
        <f t="shared" ca="1" si="22"/>
        <v>0</v>
      </c>
      <c r="Y38" s="652">
        <f t="shared" ca="1" si="22"/>
        <v>0</v>
      </c>
      <c r="Z38" s="652">
        <f t="shared" ca="1" si="22"/>
        <v>0</v>
      </c>
      <c r="AA38" s="652">
        <f t="shared" ref="AA38:AP40" ca="1" si="46">VLOOKUP($C38,INDIRECT("'"&amp;$D38&amp;"'!A6:FR1000"),IF(AA$6="Participation 2023",MATCH("__Participation 2023",INDIRECT("'"&amp;$D38&amp;"'!1:1"),0),IF(AA$6="Participation",MATCH("_Total Plan Summary _Participation",INDIRECT("'"&amp;$D38&amp;"'!1:1"),0),MATCH(AA$4&amp;"_"&amp;AA$5&amp;"_"&amp;AA$6,INDIRECT("'"&amp;$D38&amp;"'!1:1"),0))),0)</f>
        <v>0</v>
      </c>
      <c r="AB38" s="652">
        <f t="shared" ca="1" si="46"/>
        <v>0</v>
      </c>
      <c r="AC38" s="652">
        <f t="shared" ca="1" si="46"/>
        <v>39187.5</v>
      </c>
      <c r="AD38" s="652">
        <f t="shared" ca="1" si="46"/>
        <v>78375</v>
      </c>
      <c r="AE38" s="652">
        <f t="shared" ca="1" si="46"/>
        <v>156750</v>
      </c>
      <c r="AF38" s="652">
        <f t="shared" ca="1" si="46"/>
        <v>313500</v>
      </c>
      <c r="AG38" s="652">
        <f t="shared" ca="1" si="46"/>
        <v>450000</v>
      </c>
      <c r="AH38" s="652">
        <f t="shared" ca="1" si="46"/>
        <v>450000</v>
      </c>
      <c r="AI38" s="652">
        <f t="shared" ca="1" si="46"/>
        <v>450000</v>
      </c>
      <c r="AJ38" s="652">
        <f t="shared" ca="1" si="46"/>
        <v>162275.34636570927</v>
      </c>
      <c r="AK38" s="652">
        <f t="shared" ca="1" si="46"/>
        <v>324550.69273141853</v>
      </c>
      <c r="AL38" s="652">
        <f t="shared" ca="1" si="46"/>
        <v>649101.38546283706</v>
      </c>
      <c r="AM38" s="652">
        <f t="shared" ca="1" si="46"/>
        <v>1298202.7709256741</v>
      </c>
      <c r="AN38" s="652">
        <f t="shared" ca="1" si="46"/>
        <v>1863448.953481829</v>
      </c>
      <c r="AO38" s="652">
        <f t="shared" ca="1" si="46"/>
        <v>1863448.953481829</v>
      </c>
      <c r="AP38" s="652">
        <f t="shared" ca="1" si="46"/>
        <v>1863448.953481829</v>
      </c>
      <c r="AQ38" s="652">
        <f t="shared" ref="AQ38:BS53" ca="1" si="47">VLOOKUP($C38,INDIRECT("'"&amp;$D38&amp;"'!A6:FR1000"),IF(AQ$6="Participation 2023",MATCH("__Participation 2023",INDIRECT("'"&amp;$D38&amp;"'!1:1"),0),IF(AQ$6="Participation",MATCH("_Total Plan Summary _Participation",INDIRECT("'"&amp;$D38&amp;"'!1:1"),0),MATCH(AQ$4&amp;"_"&amp;AQ$5&amp;"_"&amp;AQ$6,INDIRECT("'"&amp;$D38&amp;"'!1:1"),0))),0)</f>
        <v>0</v>
      </c>
      <c r="AR38" s="652">
        <f t="shared" ca="1" si="47"/>
        <v>0</v>
      </c>
      <c r="AS38" s="652">
        <f t="shared" ca="1" si="47"/>
        <v>0</v>
      </c>
      <c r="AT38" s="652">
        <f t="shared" ca="1" si="47"/>
        <v>0</v>
      </c>
      <c r="AU38" s="652">
        <f t="shared" ca="1" si="47"/>
        <v>0</v>
      </c>
      <c r="AV38" s="652">
        <f t="shared" ca="1" si="47"/>
        <v>0</v>
      </c>
      <c r="AW38" s="652">
        <f t="shared" ca="1" si="47"/>
        <v>0</v>
      </c>
      <c r="AX38" s="652">
        <f t="shared" ca="1" si="47"/>
        <v>14355.792000000001</v>
      </c>
      <c r="AY38" s="652">
        <f t="shared" ca="1" si="47"/>
        <v>28711.584000000003</v>
      </c>
      <c r="AZ38" s="652">
        <f t="shared" ca="1" si="47"/>
        <v>57423.168000000005</v>
      </c>
      <c r="BA38" s="652">
        <f t="shared" ca="1" si="34"/>
        <v>114846.33600000001</v>
      </c>
      <c r="BB38" s="652">
        <f t="shared" ca="1" si="34"/>
        <v>164851.20000000001</v>
      </c>
      <c r="BC38" s="652">
        <f t="shared" ca="1" si="34"/>
        <v>164851.20000000001</v>
      </c>
      <c r="BD38" s="652">
        <f t="shared" ca="1" si="34"/>
        <v>164851.20000000001</v>
      </c>
      <c r="BE38" s="652" t="str">
        <f t="shared" ca="1" si="34"/>
        <v>Residential</v>
      </c>
      <c r="BF38" s="652" t="str">
        <f t="shared" ca="1" si="34"/>
        <v>ResCooling - SF Wtd</v>
      </c>
      <c r="BG38" s="652" t="str">
        <f t="shared" ca="1" si="34"/>
        <v>ResSFGasHeat</v>
      </c>
      <c r="BH38" s="652" t="str">
        <f t="shared" ca="1" si="34"/>
        <v>LGE Res</v>
      </c>
      <c r="BI38" s="652" t="str">
        <f t="shared" ca="1" si="34"/>
        <v>LGE Res</v>
      </c>
      <c r="BJ38" s="652">
        <f t="shared" ca="1" si="34"/>
        <v>7.5</v>
      </c>
      <c r="BK38" s="652">
        <f t="shared" ca="1" si="34"/>
        <v>0</v>
      </c>
      <c r="BL38" s="652">
        <f t="shared" ca="1" si="34"/>
        <v>0</v>
      </c>
      <c r="BM38" s="652">
        <f t="shared" ca="1" si="34"/>
        <v>0</v>
      </c>
      <c r="BN38" s="652">
        <f t="shared" ca="1" si="34"/>
        <v>0</v>
      </c>
      <c r="BO38" s="652">
        <f t="shared" ca="1" si="34"/>
        <v>0</v>
      </c>
      <c r="BP38" s="652">
        <f t="shared" ca="1" si="34"/>
        <v>0</v>
      </c>
      <c r="BQ38" s="652">
        <f t="shared" ca="1" si="34"/>
        <v>0</v>
      </c>
      <c r="BR38" s="652">
        <f t="shared" ca="1" si="8"/>
        <v>25837.5</v>
      </c>
      <c r="BS38" s="652">
        <f t="shared" ca="1" si="34"/>
        <v>3978975</v>
      </c>
      <c r="BT38" s="652">
        <f t="shared" ca="1" si="34"/>
        <v>0</v>
      </c>
      <c r="BU38" s="652">
        <f t="shared" ca="1" si="34"/>
        <v>1937812.5</v>
      </c>
      <c r="BV38" s="652">
        <f t="shared" ca="1" si="34"/>
        <v>0</v>
      </c>
      <c r="BW38" s="652">
        <f t="shared" ca="1" si="34"/>
        <v>8024477.0559311258</v>
      </c>
      <c r="BX38" s="652">
        <f t="shared" ca="1" si="34"/>
        <v>0</v>
      </c>
      <c r="BY38" s="652">
        <f t="shared" ca="1" si="34"/>
        <v>709890.48</v>
      </c>
    </row>
    <row r="39" spans="1:77">
      <c r="A39" s="425" t="str">
        <f t="shared" ca="1" si="0"/>
        <v>Online MarketplaceLG&amp;E-Smart plug</v>
      </c>
      <c r="B39" s="1297" t="str">
        <f>IF(ISNUMBER(SEARCH("KU",C39)),"KU"&amp;D39,"LG&amp;E"&amp;D39)</f>
        <v>LG&amp;EOnline Marketplace</v>
      </c>
      <c r="C39" s="661" t="s">
        <v>179</v>
      </c>
      <c r="D39" s="662" t="s">
        <v>60</v>
      </c>
      <c r="E39" s="652" t="str">
        <f ca="1">VLOOKUP($C39,INDIRECT("'"&amp;$D39&amp;"'!A6:FC1000"),IF(E$6="Participation 2023",MATCH("__Participation 2023",INDIRECT("'"&amp;$D39&amp;"'!1:1"),0),IF(E$6="Participation",MATCH("_Total Plan Summary _Participation",INDIRECT("'"&amp;$D39&amp;"'!1:1"),0),MATCH(E$4&amp;"_"&amp;E$5&amp;"_"&amp;E$6,INDIRECT("'"&amp;$D39&amp;"'!1:1"),0))),0)</f>
        <v>LG&amp;E-Smart plug</v>
      </c>
      <c r="F39" s="652" t="str">
        <f t="shared" ca="1" si="41"/>
        <v>Smart plug sold on online marketplace</v>
      </c>
      <c r="G39" s="652" t="str">
        <f t="shared" ca="1" si="41"/>
        <v>Per smart plug</v>
      </c>
      <c r="H39" s="652">
        <f t="shared" ca="1" si="45"/>
        <v>12</v>
      </c>
      <c r="I39" s="652">
        <f t="shared" ca="1" si="45"/>
        <v>12.6</v>
      </c>
      <c r="J39" s="652">
        <f t="shared" ca="1" si="45"/>
        <v>13.23</v>
      </c>
      <c r="K39" s="652">
        <f t="shared" ca="1" si="22"/>
        <v>13.891500000000001</v>
      </c>
      <c r="L39" s="652">
        <f t="shared" ca="1" si="22"/>
        <v>14.586075000000001</v>
      </c>
      <c r="M39" s="652">
        <f t="shared" ca="1" si="22"/>
        <v>15.315378750000001</v>
      </c>
      <c r="N39" s="652">
        <f t="shared" ca="1" si="22"/>
        <v>16.0811476875</v>
      </c>
      <c r="O39" s="652">
        <f t="shared" ca="1" si="22"/>
        <v>230.88</v>
      </c>
      <c r="P39" s="652">
        <f t="shared" ca="1" si="22"/>
        <v>242.42399999999998</v>
      </c>
      <c r="Q39" s="652">
        <f t="shared" ca="1" si="22"/>
        <v>254.54519999999999</v>
      </c>
      <c r="R39" s="652">
        <f t="shared" ca="1" si="22"/>
        <v>267.27245999999997</v>
      </c>
      <c r="S39" s="652">
        <f t="shared" ca="1" si="22"/>
        <v>280.63608299999999</v>
      </c>
      <c r="T39" s="652">
        <f t="shared" ca="1" si="22"/>
        <v>294.66788715000001</v>
      </c>
      <c r="U39" s="652">
        <f t="shared" ca="1" si="22"/>
        <v>309.40128150749996</v>
      </c>
      <c r="V39" s="652">
        <f t="shared" ca="1" si="22"/>
        <v>0</v>
      </c>
      <c r="W39" s="652">
        <f t="shared" ca="1" si="22"/>
        <v>0</v>
      </c>
      <c r="X39" s="652">
        <f t="shared" ca="1" si="22"/>
        <v>0</v>
      </c>
      <c r="Y39" s="652">
        <f t="shared" ca="1" si="22"/>
        <v>0</v>
      </c>
      <c r="Z39" s="652">
        <f t="shared" ca="1" si="22"/>
        <v>0</v>
      </c>
      <c r="AA39" s="652">
        <f t="shared" ca="1" si="46"/>
        <v>0</v>
      </c>
      <c r="AB39" s="652">
        <f t="shared" ca="1" si="46"/>
        <v>0</v>
      </c>
      <c r="AC39" s="652">
        <f t="shared" ca="1" si="46"/>
        <v>120</v>
      </c>
      <c r="AD39" s="652">
        <f t="shared" ca="1" si="46"/>
        <v>126</v>
      </c>
      <c r="AE39" s="652">
        <f t="shared" ca="1" si="46"/>
        <v>132.30000000000001</v>
      </c>
      <c r="AF39" s="652">
        <f t="shared" ca="1" si="46"/>
        <v>138.91500000000002</v>
      </c>
      <c r="AG39" s="652">
        <f t="shared" ca="1" si="46"/>
        <v>145.86075</v>
      </c>
      <c r="AH39" s="652">
        <f t="shared" ca="1" si="46"/>
        <v>153.15378750000002</v>
      </c>
      <c r="AI39" s="652">
        <f t="shared" ca="1" si="46"/>
        <v>160.81147687499998</v>
      </c>
      <c r="AJ39" s="652">
        <f t="shared" ca="1" si="46"/>
        <v>762</v>
      </c>
      <c r="AK39" s="652">
        <f t="shared" ca="1" si="46"/>
        <v>800.1</v>
      </c>
      <c r="AL39" s="652">
        <f t="shared" ca="1" si="46"/>
        <v>840.10500000000002</v>
      </c>
      <c r="AM39" s="652">
        <f t="shared" ca="1" si="46"/>
        <v>882.11025000000006</v>
      </c>
      <c r="AN39" s="652">
        <f t="shared" ca="1" si="46"/>
        <v>926.2157625000001</v>
      </c>
      <c r="AO39" s="652">
        <f t="shared" ca="1" si="46"/>
        <v>972.52655062500003</v>
      </c>
      <c r="AP39" s="652">
        <f t="shared" ca="1" si="46"/>
        <v>1021.1528781562499</v>
      </c>
      <c r="AQ39" s="652">
        <f t="shared" ca="1" si="47"/>
        <v>0</v>
      </c>
      <c r="AR39" s="652">
        <f t="shared" ca="1" si="47"/>
        <v>0</v>
      </c>
      <c r="AS39" s="652">
        <f t="shared" ca="1" si="47"/>
        <v>0</v>
      </c>
      <c r="AT39" s="652">
        <f t="shared" ca="1" si="47"/>
        <v>0</v>
      </c>
      <c r="AU39" s="652">
        <f t="shared" ca="1" si="47"/>
        <v>0</v>
      </c>
      <c r="AV39" s="652">
        <f t="shared" ca="1" si="47"/>
        <v>0</v>
      </c>
      <c r="AW39" s="652">
        <f t="shared" ca="1" si="47"/>
        <v>0</v>
      </c>
      <c r="AX39" s="652">
        <f t="shared" ca="1" si="47"/>
        <v>0</v>
      </c>
      <c r="AY39" s="652">
        <f t="shared" ca="1" si="47"/>
        <v>0</v>
      </c>
      <c r="AZ39" s="652">
        <f t="shared" ca="1" si="47"/>
        <v>0</v>
      </c>
      <c r="BA39" s="652">
        <f t="shared" ca="1" si="34"/>
        <v>0</v>
      </c>
      <c r="BB39" s="652">
        <f t="shared" ca="1" si="34"/>
        <v>0</v>
      </c>
      <c r="BC39" s="652">
        <f t="shared" ca="1" si="34"/>
        <v>0</v>
      </c>
      <c r="BD39" s="652">
        <f t="shared" ca="1" si="34"/>
        <v>0</v>
      </c>
      <c r="BE39" s="652" t="str">
        <f t="shared" ca="1" si="34"/>
        <v>Residential</v>
      </c>
      <c r="BF39" s="652" t="str">
        <f t="shared" ca="1" si="34"/>
        <v>ResElecMisc - SF Wtd</v>
      </c>
      <c r="BG39" s="652" t="str">
        <f t="shared" ca="1" si="34"/>
        <v>ResSFGasHeat</v>
      </c>
      <c r="BH39" s="652" t="str">
        <f t="shared" ca="1" si="34"/>
        <v>LGE Res</v>
      </c>
      <c r="BI39" s="652" t="str">
        <f t="shared" ca="1" si="34"/>
        <v>LGE Res</v>
      </c>
      <c r="BJ39" s="652">
        <f t="shared" ca="1" si="34"/>
        <v>5</v>
      </c>
      <c r="BK39" s="652">
        <f t="shared" ca="1" si="34"/>
        <v>0</v>
      </c>
      <c r="BL39" s="652">
        <f t="shared" ca="1" si="34"/>
        <v>0</v>
      </c>
      <c r="BM39" s="652">
        <f t="shared" ca="1" si="34"/>
        <v>0</v>
      </c>
      <c r="BN39" s="652">
        <f t="shared" ca="1" si="34"/>
        <v>0</v>
      </c>
      <c r="BO39" s="652">
        <f t="shared" ca="1" si="34"/>
        <v>0</v>
      </c>
      <c r="BP39" s="652">
        <f t="shared" ca="1" si="34"/>
        <v>0</v>
      </c>
      <c r="BQ39" s="652">
        <f t="shared" ca="1" si="34"/>
        <v>0</v>
      </c>
      <c r="BR39" s="652">
        <f t="shared" ca="1" si="8"/>
        <v>97.704101437499986</v>
      </c>
      <c r="BS39" s="652">
        <f t="shared" ca="1" si="34"/>
        <v>1879.8269116575002</v>
      </c>
      <c r="BT39" s="652">
        <f t="shared" ca="1" si="34"/>
        <v>0</v>
      </c>
      <c r="BU39" s="652">
        <f t="shared" ca="1" si="34"/>
        <v>977.04101437500003</v>
      </c>
      <c r="BV39" s="652">
        <f t="shared" ca="1" si="34"/>
        <v>0</v>
      </c>
      <c r="BW39" s="652">
        <f t="shared" ca="1" si="34"/>
        <v>6204.2104412812505</v>
      </c>
      <c r="BX39" s="652">
        <f t="shared" ca="1" si="34"/>
        <v>0</v>
      </c>
      <c r="BY39" s="652">
        <f t="shared" ca="1" si="34"/>
        <v>0</v>
      </c>
    </row>
    <row r="40" spans="1:77">
      <c r="A40" s="425" t="str">
        <f t="shared" ca="1" si="0"/>
        <v>Online MarketplaceLG&amp;E-BYOD enablement devices</v>
      </c>
      <c r="B40" s="1297" t="str">
        <f t="shared" ref="B40:B68" si="48">IF(ISNUMBER(SEARCH("KU",C40)),"KU"&amp;D40,"LG&amp;E"&amp;D40)</f>
        <v>LG&amp;EOnline Marketplace</v>
      </c>
      <c r="C40" s="661" t="s">
        <v>180</v>
      </c>
      <c r="D40" s="662" t="s">
        <v>60</v>
      </c>
      <c r="E40" s="652" t="str">
        <f t="shared" ref="E40:G54" ca="1" si="49">VLOOKUP($C40,INDIRECT("'"&amp;$D40&amp;"'!A6:FC1000"),IF(E$6="Participation 2023",MATCH("__Participation 2023",INDIRECT("'"&amp;$D40&amp;"'!1:1"),0),IF(E$6="Participation",MATCH("_Total Plan Summary _Participation",INDIRECT("'"&amp;$D40&amp;"'!1:1"),0),MATCH(E$4&amp;"_"&amp;E$5&amp;"_"&amp;E$6,INDIRECT("'"&amp;$D40&amp;"'!1:1"),0))),0)</f>
        <v>LG&amp;E-BYOD enablement devices</v>
      </c>
      <c r="F40" s="652" t="str">
        <f t="shared" ca="1" si="49"/>
        <v>Attachments for water heaters</v>
      </c>
      <c r="G40" s="652" t="str">
        <f t="shared" ca="1" si="49"/>
        <v>Per device</v>
      </c>
      <c r="H40" s="652">
        <f t="shared" ca="1" si="45"/>
        <v>0</v>
      </c>
      <c r="I40" s="652">
        <f t="shared" ca="1" si="45"/>
        <v>0</v>
      </c>
      <c r="J40" s="652">
        <f t="shared" ca="1" si="45"/>
        <v>5</v>
      </c>
      <c r="K40" s="652">
        <f t="shared" ca="1" si="45"/>
        <v>7.5</v>
      </c>
      <c r="L40" s="652">
        <f t="shared" ca="1" si="45"/>
        <v>11.25</v>
      </c>
      <c r="M40" s="652">
        <f t="shared" ca="1" si="45"/>
        <v>16.875</v>
      </c>
      <c r="N40" s="652">
        <f t="shared" ca="1" si="45"/>
        <v>25.3125</v>
      </c>
      <c r="O40" s="652">
        <f t="shared" ca="1" si="45"/>
        <v>0</v>
      </c>
      <c r="P40" s="652">
        <f t="shared" ca="1" si="45"/>
        <v>0</v>
      </c>
      <c r="Q40" s="652">
        <f t="shared" ca="1" si="45"/>
        <v>250</v>
      </c>
      <c r="R40" s="652">
        <f t="shared" ca="1" si="45"/>
        <v>375</v>
      </c>
      <c r="S40" s="652">
        <f t="shared" ca="1" si="45"/>
        <v>562.5</v>
      </c>
      <c r="T40" s="652">
        <f t="shared" ca="1" si="45"/>
        <v>843.75</v>
      </c>
      <c r="U40" s="652">
        <f t="shared" ca="1" si="45"/>
        <v>1265.625</v>
      </c>
      <c r="V40" s="652">
        <f t="shared" ca="1" si="22"/>
        <v>0</v>
      </c>
      <c r="W40" s="652">
        <f t="shared" ca="1" si="22"/>
        <v>0</v>
      </c>
      <c r="X40" s="652">
        <f t="shared" ca="1" si="22"/>
        <v>0</v>
      </c>
      <c r="Y40" s="652">
        <f t="shared" ca="1" si="22"/>
        <v>0</v>
      </c>
      <c r="Z40" s="652">
        <f t="shared" ca="1" si="22"/>
        <v>0</v>
      </c>
      <c r="AA40" s="652">
        <f t="shared" ca="1" si="46"/>
        <v>0</v>
      </c>
      <c r="AB40" s="652">
        <f t="shared" ca="1" si="46"/>
        <v>0</v>
      </c>
      <c r="AC40" s="652">
        <f t="shared" ca="1" si="46"/>
        <v>0</v>
      </c>
      <c r="AD40" s="652">
        <f t="shared" ca="1" si="46"/>
        <v>0</v>
      </c>
      <c r="AE40" s="652">
        <f t="shared" ca="1" si="46"/>
        <v>250</v>
      </c>
      <c r="AF40" s="652">
        <f t="shared" ca="1" si="46"/>
        <v>375</v>
      </c>
      <c r="AG40" s="652">
        <f t="shared" ca="1" si="46"/>
        <v>562.5</v>
      </c>
      <c r="AH40" s="652">
        <f t="shared" ca="1" si="46"/>
        <v>843.75</v>
      </c>
      <c r="AI40" s="652">
        <f t="shared" ca="1" si="46"/>
        <v>1265.625</v>
      </c>
      <c r="AJ40" s="652">
        <f t="shared" ca="1" si="46"/>
        <v>0</v>
      </c>
      <c r="AK40" s="652">
        <f t="shared" ca="1" si="46"/>
        <v>0</v>
      </c>
      <c r="AL40" s="652">
        <f t="shared" ca="1" si="46"/>
        <v>0</v>
      </c>
      <c r="AM40" s="652">
        <f t="shared" ca="1" si="46"/>
        <v>0</v>
      </c>
      <c r="AN40" s="652">
        <f t="shared" ca="1" si="46"/>
        <v>0</v>
      </c>
      <c r="AO40" s="652">
        <f t="shared" ca="1" si="46"/>
        <v>0</v>
      </c>
      <c r="AP40" s="652">
        <f t="shared" ca="1" si="46"/>
        <v>0</v>
      </c>
      <c r="AQ40" s="652">
        <f t="shared" ca="1" si="47"/>
        <v>0</v>
      </c>
      <c r="AR40" s="652">
        <f t="shared" ca="1" si="47"/>
        <v>0</v>
      </c>
      <c r="AS40" s="652">
        <f t="shared" ca="1" si="47"/>
        <v>0</v>
      </c>
      <c r="AT40" s="652">
        <f t="shared" ca="1" si="47"/>
        <v>0</v>
      </c>
      <c r="AU40" s="652">
        <f t="shared" ca="1" si="47"/>
        <v>0</v>
      </c>
      <c r="AV40" s="652">
        <f t="shared" ca="1" si="47"/>
        <v>0</v>
      </c>
      <c r="AW40" s="652">
        <f t="shared" ca="1" si="47"/>
        <v>0</v>
      </c>
      <c r="AX40" s="652">
        <f t="shared" ca="1" si="47"/>
        <v>0</v>
      </c>
      <c r="AY40" s="652">
        <f t="shared" ca="1" si="47"/>
        <v>0</v>
      </c>
      <c r="AZ40" s="652">
        <f t="shared" ca="1" si="47"/>
        <v>0</v>
      </c>
      <c r="BA40" s="652">
        <f t="shared" ca="1" si="47"/>
        <v>0</v>
      </c>
      <c r="BB40" s="652">
        <f t="shared" ca="1" si="47"/>
        <v>0</v>
      </c>
      <c r="BC40" s="652">
        <f t="shared" ca="1" si="47"/>
        <v>0</v>
      </c>
      <c r="BD40" s="652">
        <f t="shared" ca="1" si="47"/>
        <v>0</v>
      </c>
      <c r="BE40" s="652" t="str">
        <f t="shared" ca="1" si="47"/>
        <v>Residential</v>
      </c>
      <c r="BF40" s="652" t="str">
        <f t="shared" ca="1" si="47"/>
        <v>ResHotWater - SF Wtd</v>
      </c>
      <c r="BG40" s="652" t="str">
        <f t="shared" ca="1" si="47"/>
        <v>ResSFGasTotal</v>
      </c>
      <c r="BH40" s="652" t="str">
        <f t="shared" ca="1" si="47"/>
        <v>LGE Res</v>
      </c>
      <c r="BI40" s="652" t="str">
        <f t="shared" ca="1" si="47"/>
        <v>LGE Res</v>
      </c>
      <c r="BJ40" s="652">
        <f t="shared" ca="1" si="47"/>
        <v>1</v>
      </c>
      <c r="BK40" s="652">
        <f t="shared" ca="1" si="47"/>
        <v>0</v>
      </c>
      <c r="BL40" s="652">
        <f t="shared" ca="1" si="47"/>
        <v>0</v>
      </c>
      <c r="BM40" s="652">
        <f t="shared" ca="1" si="47"/>
        <v>0</v>
      </c>
      <c r="BN40" s="652">
        <f t="shared" ca="1" si="47"/>
        <v>0</v>
      </c>
      <c r="BO40" s="652">
        <f t="shared" ca="1" si="47"/>
        <v>0</v>
      </c>
      <c r="BP40" s="652">
        <f t="shared" ca="1" si="47"/>
        <v>0</v>
      </c>
      <c r="BQ40" s="652">
        <f t="shared" ca="1" si="47"/>
        <v>0</v>
      </c>
      <c r="BR40" s="652">
        <f t="shared" ca="1" si="8"/>
        <v>65.9375</v>
      </c>
      <c r="BS40" s="652">
        <f t="shared" ca="1" si="47"/>
        <v>3296.875</v>
      </c>
      <c r="BT40" s="652">
        <f t="shared" ref="BA40:BY55" ca="1" si="50">VLOOKUP($C40,INDIRECT("'"&amp;$D40&amp;"'!A6:FR1000"),IF(BT$6="Participation 2023",MATCH("__Participation 2023",INDIRECT("'"&amp;$D40&amp;"'!1:1"),0),IF(BT$6="Participation",MATCH("_Total Plan Summary _Participation",INDIRECT("'"&amp;$D40&amp;"'!1:1"),0),MATCH(BT$4&amp;"_"&amp;BT$5&amp;"_"&amp;BT$6,INDIRECT("'"&amp;$D40&amp;"'!1:1"),0))),0)</f>
        <v>0</v>
      </c>
      <c r="BU40" s="652">
        <f t="shared" ca="1" si="50"/>
        <v>3296.875</v>
      </c>
      <c r="BV40" s="652">
        <f t="shared" ca="1" si="50"/>
        <v>0</v>
      </c>
      <c r="BW40" s="652">
        <f t="shared" ca="1" si="50"/>
        <v>0</v>
      </c>
      <c r="BX40" s="652">
        <f t="shared" ca="1" si="50"/>
        <v>0</v>
      </c>
      <c r="BY40" s="652">
        <f t="shared" ca="1" si="50"/>
        <v>0</v>
      </c>
    </row>
    <row r="41" spans="1:77">
      <c r="A41" s="531" t="str">
        <f t="shared" ca="1" si="0"/>
        <v>Residential Audit OnlineKU-Residential Audit - Virtual</v>
      </c>
      <c r="B41" s="1297" t="str">
        <f t="shared" si="48"/>
        <v>KUResidential Audit Online</v>
      </c>
      <c r="C41" s="661" t="s">
        <v>171</v>
      </c>
      <c r="D41" s="662" t="s">
        <v>61</v>
      </c>
      <c r="E41" s="652" t="str">
        <f t="shared" ca="1" si="49"/>
        <v>KU-Residential Audit - Virtual</v>
      </c>
      <c r="F41" s="572" t="str">
        <f ca="1">VLOOKUP($C41,INDIRECT("'"&amp;$D41&amp;"'!A6:FC1000"),IF(F$6="Participation 2023",MATCH("__Participation 2023",INDIRECT("'"&amp;$D41&amp;"'!1:1"),0),IF(F$6="Participation",MATCH("_Total Plan Summary _Participation",INDIRECT("'"&amp;$D41&amp;"'!1:1"),0),MATCH(F$4&amp;"_"&amp;F$5&amp;"_"&amp;F$6,INDIRECT("'"&amp;$D41&amp;"'!1:1"),0))),0)</f>
        <v>Virtual audit with no cost to customer</v>
      </c>
      <c r="G41" s="572" t="str">
        <f ca="1">VLOOKUP($C41,INDIRECT("'"&amp;$D41&amp;"'!A6:FC1000"),IF(G$6="Participation 2023",MATCH("__Participation 2023",INDIRECT("'"&amp;$D41&amp;"'!1:1"),0),IF(G$6="Participation",MATCH("_Total Plan Summary _Participation",INDIRECT("'"&amp;$D41&amp;"'!1:1"),0),MATCH(G$4&amp;"_"&amp;G$5&amp;"_"&amp;G$6,INDIRECT("'"&amp;$D41&amp;"'!1:1"),0))),0)</f>
        <v>Per Home</v>
      </c>
      <c r="H41" s="572">
        <f t="shared" ca="1" si="27"/>
        <v>0</v>
      </c>
      <c r="I41" s="572">
        <f t="shared" ca="1" si="27"/>
        <v>625</v>
      </c>
      <c r="J41" s="572">
        <f t="shared" ca="1" si="27"/>
        <v>656.25</v>
      </c>
      <c r="K41" s="572">
        <f t="shared" ca="1" si="27"/>
        <v>689.0625</v>
      </c>
      <c r="L41" s="572">
        <f t="shared" ca="1" si="27"/>
        <v>723.515625</v>
      </c>
      <c r="M41" s="572">
        <f t="shared" ca="1" si="27"/>
        <v>723.515625</v>
      </c>
      <c r="N41" s="572">
        <f t="shared" ca="1" si="27"/>
        <v>723.515625</v>
      </c>
      <c r="O41" s="572">
        <f t="shared" ca="1" si="27"/>
        <v>0</v>
      </c>
      <c r="P41" s="572">
        <f t="shared" ca="1" si="27"/>
        <v>0</v>
      </c>
      <c r="Q41" s="572">
        <f t="shared" ca="1" si="27"/>
        <v>0</v>
      </c>
      <c r="R41" s="572">
        <f t="shared" ca="1" si="27"/>
        <v>0</v>
      </c>
      <c r="S41" s="572">
        <f t="shared" ca="1" si="27"/>
        <v>0</v>
      </c>
      <c r="T41" s="572">
        <f t="shared" ca="1" si="27"/>
        <v>0</v>
      </c>
      <c r="U41" s="572">
        <f t="shared" ca="1" si="27"/>
        <v>0</v>
      </c>
      <c r="V41" s="572">
        <f t="shared" ca="1" si="22"/>
        <v>0</v>
      </c>
      <c r="W41" s="572">
        <f t="shared" ca="1" si="22"/>
        <v>0</v>
      </c>
      <c r="X41" s="572">
        <f t="shared" ca="1" si="22"/>
        <v>0</v>
      </c>
      <c r="Y41" s="572">
        <f t="shared" ca="1" si="23"/>
        <v>0</v>
      </c>
      <c r="Z41" s="572">
        <f t="shared" ca="1" si="23"/>
        <v>0</v>
      </c>
      <c r="AA41" s="572">
        <f t="shared" ca="1" si="23"/>
        <v>0</v>
      </c>
      <c r="AB41" s="572">
        <f t="shared" ca="1" si="23"/>
        <v>0</v>
      </c>
      <c r="AC41" s="572">
        <f t="shared" ca="1" si="23"/>
        <v>0</v>
      </c>
      <c r="AD41" s="572">
        <f t="shared" ca="1" si="23"/>
        <v>0</v>
      </c>
      <c r="AE41" s="572">
        <f t="shared" ca="1" si="23"/>
        <v>0</v>
      </c>
      <c r="AF41" s="572">
        <f t="shared" ca="1" si="23"/>
        <v>0</v>
      </c>
      <c r="AG41" s="572">
        <f t="shared" ca="1" si="23"/>
        <v>0</v>
      </c>
      <c r="AH41" s="572">
        <f t="shared" ca="1" si="23"/>
        <v>0</v>
      </c>
      <c r="AI41" s="572">
        <f t="shared" ca="1" si="23"/>
        <v>0</v>
      </c>
      <c r="AJ41" s="572">
        <f t="shared" ca="1" si="23"/>
        <v>0</v>
      </c>
      <c r="AK41" s="572">
        <f t="shared" ca="1" si="23"/>
        <v>0</v>
      </c>
      <c r="AL41" s="572">
        <f t="shared" ca="1" si="23"/>
        <v>0</v>
      </c>
      <c r="AM41" s="572">
        <f t="shared" ca="1" si="24"/>
        <v>0</v>
      </c>
      <c r="AN41" s="572">
        <f t="shared" ca="1" si="24"/>
        <v>0</v>
      </c>
      <c r="AO41" s="572">
        <f t="shared" ca="1" si="24"/>
        <v>0</v>
      </c>
      <c r="AP41" s="572">
        <f t="shared" ca="1" si="24"/>
        <v>0</v>
      </c>
      <c r="AQ41" s="572">
        <f t="shared" ca="1" si="24"/>
        <v>0</v>
      </c>
      <c r="AR41" s="572">
        <f t="shared" ca="1" si="24"/>
        <v>0</v>
      </c>
      <c r="AS41" s="572">
        <f t="shared" ca="1" si="24"/>
        <v>0</v>
      </c>
      <c r="AT41" s="572">
        <f t="shared" ca="1" si="24"/>
        <v>0</v>
      </c>
      <c r="AU41" s="572">
        <f t="shared" ca="1" si="24"/>
        <v>0</v>
      </c>
      <c r="AV41" s="572">
        <f t="shared" ca="1" si="24"/>
        <v>0</v>
      </c>
      <c r="AW41" s="572">
        <f t="shared" ca="1" si="24"/>
        <v>0</v>
      </c>
      <c r="AX41" s="572">
        <f t="shared" ca="1" si="24"/>
        <v>0</v>
      </c>
      <c r="AY41" s="572">
        <f t="shared" ca="1" si="24"/>
        <v>0</v>
      </c>
      <c r="AZ41" s="572">
        <f t="shared" ca="1" si="24"/>
        <v>0</v>
      </c>
      <c r="BA41" s="572">
        <f t="shared" ca="1" si="47"/>
        <v>0</v>
      </c>
      <c r="BB41" s="572">
        <f t="shared" ca="1" si="47"/>
        <v>0</v>
      </c>
      <c r="BC41" s="572">
        <f t="shared" ca="1" si="47"/>
        <v>0</v>
      </c>
      <c r="BD41" s="572">
        <f t="shared" ca="1" si="47"/>
        <v>0</v>
      </c>
      <c r="BE41" s="652" t="str">
        <f t="shared" ca="1" si="47"/>
        <v>Residential</v>
      </c>
      <c r="BF41" s="652" t="str">
        <f t="shared" ca="1" si="47"/>
        <v>ResEleTotal - SF Wtd</v>
      </c>
      <c r="BG41" s="652" t="str">
        <f t="shared" ca="1" si="47"/>
        <v>ResSFGasHeat</v>
      </c>
      <c r="BH41" s="652" t="str">
        <f t="shared" ca="1" si="47"/>
        <v>KU Res</v>
      </c>
      <c r="BI41" s="652" t="str">
        <f t="shared" ca="1" si="47"/>
        <v>KU Res</v>
      </c>
      <c r="BJ41" s="652">
        <f t="shared" ca="1" si="47"/>
        <v>1</v>
      </c>
      <c r="BK41" s="652">
        <f t="shared" ca="1" si="47"/>
        <v>0</v>
      </c>
      <c r="BL41" s="652">
        <f t="shared" ca="1" si="47"/>
        <v>0</v>
      </c>
      <c r="BM41" s="652">
        <f t="shared" ca="1" si="47"/>
        <v>0</v>
      </c>
      <c r="BN41" s="652">
        <f t="shared" ca="1" si="47"/>
        <v>0</v>
      </c>
      <c r="BO41" s="652">
        <f t="shared" ca="1" si="47"/>
        <v>0</v>
      </c>
      <c r="BP41" s="652">
        <f t="shared" ca="1" si="47"/>
        <v>0</v>
      </c>
      <c r="BQ41" s="652">
        <f t="shared" ca="1" si="47"/>
        <v>0</v>
      </c>
      <c r="BR41" s="652">
        <f t="shared" ca="1" si="8"/>
        <v>4140.859375</v>
      </c>
      <c r="BS41" s="572">
        <f t="shared" ca="1" si="47"/>
        <v>0</v>
      </c>
      <c r="BT41" s="572">
        <f t="shared" ca="1" si="50"/>
        <v>0</v>
      </c>
      <c r="BU41" s="572">
        <f t="shared" ca="1" si="50"/>
        <v>0</v>
      </c>
      <c r="BV41" s="572">
        <f t="shared" ca="1" si="50"/>
        <v>0</v>
      </c>
      <c r="BW41" s="572">
        <f t="shared" ca="1" si="50"/>
        <v>0</v>
      </c>
      <c r="BX41" s="572">
        <f t="shared" ca="1" si="50"/>
        <v>0</v>
      </c>
      <c r="BY41" s="572">
        <f t="shared" ca="1" si="50"/>
        <v>0</v>
      </c>
    </row>
    <row r="42" spans="1:77">
      <c r="A42" s="531" t="str">
        <f t="shared" ca="1" si="0"/>
        <v>Residential Audit OnlineKU-Virtual Energy Kit</v>
      </c>
      <c r="B42" s="1297" t="str">
        <f t="shared" si="48"/>
        <v>KUResidential Audit Online</v>
      </c>
      <c r="C42" s="661" t="s">
        <v>173</v>
      </c>
      <c r="D42" s="662" t="s">
        <v>61</v>
      </c>
      <c r="E42" s="572" t="str">
        <f t="shared" ca="1" si="49"/>
        <v>KU-Virtual Energy Kit</v>
      </c>
      <c r="F42" s="572" t="str">
        <f t="shared" ca="1" si="49"/>
        <v>Kits will be mailed to customer</v>
      </c>
      <c r="G42" s="572" t="str">
        <f t="shared" ca="1" si="49"/>
        <v>Per Home</v>
      </c>
      <c r="H42" s="572">
        <f t="shared" ca="1" si="27"/>
        <v>0</v>
      </c>
      <c r="I42" s="572">
        <f t="shared" ca="1" si="27"/>
        <v>625</v>
      </c>
      <c r="J42" s="572">
        <f t="shared" ca="1" si="27"/>
        <v>656.25</v>
      </c>
      <c r="K42" s="572">
        <f t="shared" ca="1" si="27"/>
        <v>689.0625</v>
      </c>
      <c r="L42" s="572">
        <f t="shared" ca="1" si="27"/>
        <v>723.515625</v>
      </c>
      <c r="M42" s="572">
        <f t="shared" ca="1" si="27"/>
        <v>723.515625</v>
      </c>
      <c r="N42" s="572">
        <f t="shared" ca="1" si="27"/>
        <v>723.515625</v>
      </c>
      <c r="O42" s="572">
        <f t="shared" ca="1" si="27"/>
        <v>0</v>
      </c>
      <c r="P42" s="572">
        <f t="shared" ca="1" si="27"/>
        <v>0</v>
      </c>
      <c r="Q42" s="572">
        <f t="shared" ca="1" si="27"/>
        <v>0</v>
      </c>
      <c r="R42" s="572">
        <f t="shared" ca="1" si="27"/>
        <v>0</v>
      </c>
      <c r="S42" s="572">
        <f t="shared" ca="1" si="27"/>
        <v>0</v>
      </c>
      <c r="T42" s="572">
        <f t="shared" ca="1" si="27"/>
        <v>0</v>
      </c>
      <c r="U42" s="572">
        <f t="shared" ca="1" si="27"/>
        <v>0</v>
      </c>
      <c r="V42" s="572">
        <f t="shared" ca="1" si="22"/>
        <v>0</v>
      </c>
      <c r="W42" s="572">
        <f t="shared" ca="1" si="22"/>
        <v>0</v>
      </c>
      <c r="X42" s="572">
        <f t="shared" ca="1" si="22"/>
        <v>0</v>
      </c>
      <c r="Y42" s="572">
        <f t="shared" ca="1" si="23"/>
        <v>0</v>
      </c>
      <c r="Z42" s="572">
        <f t="shared" ca="1" si="23"/>
        <v>0</v>
      </c>
      <c r="AA42" s="572">
        <f t="shared" ca="1" si="23"/>
        <v>0</v>
      </c>
      <c r="AB42" s="572">
        <f t="shared" ca="1" si="23"/>
        <v>0</v>
      </c>
      <c r="AC42" s="572">
        <f t="shared" ca="1" si="23"/>
        <v>0</v>
      </c>
      <c r="AD42" s="572">
        <f t="shared" ca="1" si="23"/>
        <v>0</v>
      </c>
      <c r="AE42" s="572">
        <f t="shared" ca="1" si="23"/>
        <v>0</v>
      </c>
      <c r="AF42" s="572">
        <f t="shared" ca="1" si="23"/>
        <v>0</v>
      </c>
      <c r="AG42" s="572">
        <f t="shared" ca="1" si="23"/>
        <v>0</v>
      </c>
      <c r="AH42" s="572">
        <f t="shared" ca="1" si="23"/>
        <v>0</v>
      </c>
      <c r="AI42" s="572">
        <f t="shared" ca="1" si="23"/>
        <v>0</v>
      </c>
      <c r="AJ42" s="572">
        <f t="shared" ca="1" si="23"/>
        <v>0</v>
      </c>
      <c r="AK42" s="572">
        <f t="shared" ca="1" si="23"/>
        <v>89292.364418573517</v>
      </c>
      <c r="AL42" s="572">
        <f t="shared" ca="1" si="23"/>
        <v>93756.982639502196</v>
      </c>
      <c r="AM42" s="572">
        <f t="shared" ca="1" si="24"/>
        <v>98444.8317714773</v>
      </c>
      <c r="AN42" s="572">
        <f t="shared" ca="1" si="24"/>
        <v>103367.07336005117</v>
      </c>
      <c r="AO42" s="572">
        <f t="shared" ca="1" si="24"/>
        <v>103367.07336005117</v>
      </c>
      <c r="AP42" s="572">
        <f t="shared" ca="1" si="24"/>
        <v>103367.07336005117</v>
      </c>
      <c r="AQ42" s="572">
        <f t="shared" ca="1" si="24"/>
        <v>0</v>
      </c>
      <c r="AR42" s="572">
        <f t="shared" ca="1" si="24"/>
        <v>6.4827369040809355</v>
      </c>
      <c r="AS42" s="572">
        <f t="shared" ca="1" si="24"/>
        <v>6.806873749284982</v>
      </c>
      <c r="AT42" s="572">
        <f t="shared" ca="1" si="24"/>
        <v>7.1472174367492309</v>
      </c>
      <c r="AU42" s="572">
        <f t="shared" ca="1" si="24"/>
        <v>7.5045783085866926</v>
      </c>
      <c r="AV42" s="572">
        <f t="shared" ca="1" si="24"/>
        <v>7.5045783085866926</v>
      </c>
      <c r="AW42" s="572">
        <f t="shared" ca="1" si="24"/>
        <v>7.5045783085866926</v>
      </c>
      <c r="AX42" s="572">
        <f t="shared" ca="1" si="24"/>
        <v>0</v>
      </c>
      <c r="AY42" s="572">
        <f t="shared" ca="1" si="24"/>
        <v>0</v>
      </c>
      <c r="AZ42" s="572">
        <f t="shared" ca="1" si="24"/>
        <v>0</v>
      </c>
      <c r="BA42" s="572">
        <f t="shared" ca="1" si="50"/>
        <v>0</v>
      </c>
      <c r="BB42" s="572">
        <f t="shared" ca="1" si="50"/>
        <v>0</v>
      </c>
      <c r="BC42" s="572">
        <f t="shared" ca="1" si="50"/>
        <v>0</v>
      </c>
      <c r="BD42" s="572">
        <f t="shared" ca="1" si="50"/>
        <v>0</v>
      </c>
      <c r="BE42" s="652" t="str">
        <f t="shared" ca="1" si="50"/>
        <v>Residential</v>
      </c>
      <c r="BF42" s="652" t="str">
        <f t="shared" ca="1" si="50"/>
        <v>ResEleTotal - SF Wtd</v>
      </c>
      <c r="BG42" s="652" t="str">
        <f t="shared" ca="1" si="50"/>
        <v>ResSFGasHeat</v>
      </c>
      <c r="BH42" s="652" t="str">
        <f t="shared" ca="1" si="50"/>
        <v>KU Res</v>
      </c>
      <c r="BI42" s="652" t="str">
        <f t="shared" ca="1" si="50"/>
        <v>KU Res</v>
      </c>
      <c r="BJ42" s="652">
        <f t="shared" ca="1" si="47"/>
        <v>9</v>
      </c>
      <c r="BK42" s="652">
        <f t="shared" ca="1" si="47"/>
        <v>0</v>
      </c>
      <c r="BL42" s="652">
        <f t="shared" ca="1" si="47"/>
        <v>20850</v>
      </c>
      <c r="BM42" s="652">
        <f t="shared" ca="1" si="47"/>
        <v>21892.5</v>
      </c>
      <c r="BN42" s="652">
        <f t="shared" ca="1" si="47"/>
        <v>22987.125</v>
      </c>
      <c r="BO42" s="652">
        <f t="shared" ca="1" si="47"/>
        <v>24136.481250000001</v>
      </c>
      <c r="BP42" s="652">
        <f t="shared" ca="1" si="47"/>
        <v>24136.481250000001</v>
      </c>
      <c r="BQ42" s="652">
        <f t="shared" ca="1" si="47"/>
        <v>24136.481250000001</v>
      </c>
      <c r="BR42" s="652">
        <f t="shared" ca="1" si="8"/>
        <v>4140.859375</v>
      </c>
      <c r="BS42" s="572">
        <f t="shared" ca="1" si="50"/>
        <v>0</v>
      </c>
      <c r="BT42" s="572">
        <f t="shared" ca="1" si="50"/>
        <v>0</v>
      </c>
      <c r="BU42" s="572">
        <f t="shared" ca="1" si="50"/>
        <v>0</v>
      </c>
      <c r="BV42" s="572">
        <f t="shared" ca="1" si="50"/>
        <v>138139.06875000001</v>
      </c>
      <c r="BW42" s="572">
        <f t="shared" ca="1" si="50"/>
        <v>591595.39890970651</v>
      </c>
      <c r="BX42" s="572">
        <f t="shared" ca="1" si="50"/>
        <v>42.950563015875233</v>
      </c>
      <c r="BY42" s="572">
        <f t="shared" ca="1" si="50"/>
        <v>0</v>
      </c>
    </row>
    <row r="43" spans="1:77">
      <c r="A43" s="531" t="str">
        <f t="shared" ca="1" si="0"/>
        <v>Residential Audit OnlineKU-Weatherization-Ceiling Insulation (KY) - Code</v>
      </c>
      <c r="B43" s="1297" t="str">
        <f t="shared" si="48"/>
        <v>KUResidential Audit Online</v>
      </c>
      <c r="C43" s="661" t="s">
        <v>175</v>
      </c>
      <c r="D43" s="662" t="s">
        <v>61</v>
      </c>
      <c r="E43" s="572" t="str">
        <f t="shared" ca="1" si="49"/>
        <v>KU-Weatherization-Ceiling Insulation (KY) - Code</v>
      </c>
      <c r="F43" s="572" t="str">
        <f t="shared" ca="1" si="49"/>
        <v>R-49</v>
      </c>
      <c r="G43" s="572" t="str">
        <f t="shared" ca="1" si="49"/>
        <v>Per Unit</v>
      </c>
      <c r="H43" s="572">
        <f t="shared" ca="1" si="27"/>
        <v>0</v>
      </c>
      <c r="I43" s="572">
        <f t="shared" ca="1" si="27"/>
        <v>0</v>
      </c>
      <c r="J43" s="572">
        <f t="shared" ca="1" si="27"/>
        <v>0</v>
      </c>
      <c r="K43" s="572">
        <f t="shared" ca="1" si="27"/>
        <v>0</v>
      </c>
      <c r="L43" s="572">
        <f t="shared" ca="1" si="27"/>
        <v>0</v>
      </c>
      <c r="M43" s="572">
        <f t="shared" ca="1" si="27"/>
        <v>0</v>
      </c>
      <c r="N43" s="572">
        <f t="shared" ca="1" si="27"/>
        <v>0</v>
      </c>
      <c r="O43" s="572">
        <f t="shared" ca="1" si="27"/>
        <v>0</v>
      </c>
      <c r="P43" s="572">
        <f t="shared" ref="P43:U43" ca="1" si="51">VLOOKUP($C43,INDIRECT("'"&amp;$D43&amp;"'!A6:FR1000"),IF(P$6="Participation 2023",MATCH("__Participation 2023",INDIRECT("'"&amp;$D43&amp;"'!1:1"),0),IF(P$6="Participation",MATCH("_Total Plan Summary _Participation",INDIRECT("'"&amp;$D43&amp;"'!1:1"),0),MATCH(P$4&amp;"_"&amp;P$5&amp;"_"&amp;P$6,INDIRECT("'"&amp;$D43&amp;"'!1:1"),0))),0)</f>
        <v>0</v>
      </c>
      <c r="Q43" s="572">
        <f t="shared" ca="1" si="51"/>
        <v>0</v>
      </c>
      <c r="R43" s="572">
        <f t="shared" ca="1" si="51"/>
        <v>0</v>
      </c>
      <c r="S43" s="572">
        <f t="shared" ca="1" si="51"/>
        <v>0</v>
      </c>
      <c r="T43" s="572">
        <f t="shared" ca="1" si="51"/>
        <v>0</v>
      </c>
      <c r="U43" s="572">
        <f t="shared" ca="1" si="51"/>
        <v>0</v>
      </c>
      <c r="V43" s="572">
        <f t="shared" ca="1" si="22"/>
        <v>0</v>
      </c>
      <c r="W43" s="572">
        <f t="shared" ca="1" si="22"/>
        <v>0</v>
      </c>
      <c r="X43" s="572">
        <f t="shared" ref="X43:AM54" ca="1" si="52">VLOOKUP($C43,INDIRECT("'"&amp;$D43&amp;"'!A6:FR1000"),IF(X$6="Participation 2023",MATCH("__Participation 2023",INDIRECT("'"&amp;$D43&amp;"'!1:1"),0),IF(X$6="Participation",MATCH("_Total Plan Summary _Participation",INDIRECT("'"&amp;$D43&amp;"'!1:1"),0),MATCH(X$4&amp;"_"&amp;X$5&amp;"_"&amp;X$6,INDIRECT("'"&amp;$D43&amp;"'!1:1"),0))),0)</f>
        <v>0</v>
      </c>
      <c r="Y43" s="572">
        <f t="shared" ca="1" si="23"/>
        <v>0</v>
      </c>
      <c r="Z43" s="572">
        <f t="shared" ca="1" si="23"/>
        <v>0</v>
      </c>
      <c r="AA43" s="572">
        <f t="shared" ca="1" si="23"/>
        <v>0</v>
      </c>
      <c r="AB43" s="572">
        <f t="shared" ca="1" si="23"/>
        <v>0</v>
      </c>
      <c r="AC43" s="572">
        <f t="shared" ref="AC43:AL43" ca="1" si="53">VLOOKUP($C43,INDIRECT("'"&amp;$D43&amp;"'!A6:FR1000"),IF(AC$6="Participation 2023",MATCH("__Participation 2023",INDIRECT("'"&amp;$D43&amp;"'!1:1"),0),IF(AC$6="Participation",MATCH("_Total Plan Summary _Participation",INDIRECT("'"&amp;$D43&amp;"'!1:1"),0),MATCH(AC$4&amp;"_"&amp;AC$5&amp;"_"&amp;AC$6,INDIRECT("'"&amp;$D43&amp;"'!1:1"),0))),0)</f>
        <v>0</v>
      </c>
      <c r="AD43" s="572">
        <f t="shared" ca="1" si="53"/>
        <v>0</v>
      </c>
      <c r="AE43" s="572">
        <f t="shared" ca="1" si="53"/>
        <v>0</v>
      </c>
      <c r="AF43" s="572">
        <f t="shared" ca="1" si="53"/>
        <v>0</v>
      </c>
      <c r="AG43" s="572">
        <f t="shared" ca="1" si="53"/>
        <v>0</v>
      </c>
      <c r="AH43" s="572">
        <f t="shared" ca="1" si="53"/>
        <v>0</v>
      </c>
      <c r="AI43" s="572">
        <f t="shared" ca="1" si="53"/>
        <v>0</v>
      </c>
      <c r="AJ43" s="572">
        <f t="shared" ca="1" si="53"/>
        <v>0</v>
      </c>
      <c r="AK43" s="572">
        <f t="shared" ca="1" si="53"/>
        <v>0</v>
      </c>
      <c r="AL43" s="572">
        <f t="shared" ca="1" si="53"/>
        <v>0</v>
      </c>
      <c r="AM43" s="572">
        <f t="shared" ca="1" si="24"/>
        <v>0</v>
      </c>
      <c r="AN43" s="572">
        <f t="shared" ca="1" si="24"/>
        <v>0</v>
      </c>
      <c r="AO43" s="572">
        <f t="shared" ref="AM43:AZ54" ca="1" si="54">VLOOKUP($C43,INDIRECT("'"&amp;$D43&amp;"'!A6:FR1000"),IF(AO$6="Participation 2023",MATCH("__Participation 2023",INDIRECT("'"&amp;$D43&amp;"'!1:1"),0),IF(AO$6="Participation",MATCH("_Total Plan Summary _Participation",INDIRECT("'"&amp;$D43&amp;"'!1:1"),0),MATCH(AO$4&amp;"_"&amp;AO$5&amp;"_"&amp;AO$6,INDIRECT("'"&amp;$D43&amp;"'!1:1"),0))),0)</f>
        <v>0</v>
      </c>
      <c r="AP43" s="572">
        <f t="shared" ca="1" si="54"/>
        <v>0</v>
      </c>
      <c r="AQ43" s="572">
        <f t="shared" ca="1" si="54"/>
        <v>0</v>
      </c>
      <c r="AR43" s="572">
        <f t="shared" ca="1" si="54"/>
        <v>0</v>
      </c>
      <c r="AS43" s="572">
        <f t="shared" ca="1" si="54"/>
        <v>0</v>
      </c>
      <c r="AT43" s="572">
        <f t="shared" ca="1" si="54"/>
        <v>0</v>
      </c>
      <c r="AU43" s="572">
        <f t="shared" ca="1" si="54"/>
        <v>0</v>
      </c>
      <c r="AV43" s="572">
        <f t="shared" ca="1" si="54"/>
        <v>0</v>
      </c>
      <c r="AW43" s="572">
        <f t="shared" ca="1" si="54"/>
        <v>0</v>
      </c>
      <c r="AX43" s="572">
        <f t="shared" ca="1" si="54"/>
        <v>0</v>
      </c>
      <c r="AY43" s="572">
        <f t="shared" ca="1" si="54"/>
        <v>0</v>
      </c>
      <c r="AZ43" s="572">
        <f t="shared" ca="1" si="54"/>
        <v>0</v>
      </c>
      <c r="BA43" s="572">
        <f t="shared" ca="1" si="50"/>
        <v>0</v>
      </c>
      <c r="BB43" s="572">
        <f t="shared" ca="1" si="50"/>
        <v>0</v>
      </c>
      <c r="BC43" s="572">
        <f t="shared" ca="1" si="50"/>
        <v>0</v>
      </c>
      <c r="BD43" s="572">
        <f t="shared" ca="1" si="50"/>
        <v>0</v>
      </c>
      <c r="BE43" s="652" t="str">
        <f t="shared" ca="1" si="50"/>
        <v>Residential</v>
      </c>
      <c r="BF43" s="652" t="str">
        <f t="shared" ca="1" si="50"/>
        <v>ResEleTotal - SF Wtd</v>
      </c>
      <c r="BG43" s="652" t="str">
        <f t="shared" ca="1" si="50"/>
        <v>ResSFGasHeat</v>
      </c>
      <c r="BH43" s="652" t="str">
        <f t="shared" ca="1" si="50"/>
        <v>KU Res</v>
      </c>
      <c r="BI43" s="652" t="str">
        <f t="shared" ca="1" si="50"/>
        <v>KU Res</v>
      </c>
      <c r="BJ43" s="652">
        <f t="shared" ca="1" si="47"/>
        <v>20</v>
      </c>
      <c r="BK43" s="652">
        <f t="shared" ca="1" si="47"/>
        <v>0</v>
      </c>
      <c r="BL43" s="652">
        <f t="shared" ca="1" si="47"/>
        <v>0</v>
      </c>
      <c r="BM43" s="652">
        <f t="shared" ca="1" si="47"/>
        <v>0</v>
      </c>
      <c r="BN43" s="652">
        <f t="shared" ca="1" si="47"/>
        <v>0</v>
      </c>
      <c r="BO43" s="652">
        <f t="shared" ca="1" si="47"/>
        <v>0</v>
      </c>
      <c r="BP43" s="652">
        <f t="shared" ca="1" si="47"/>
        <v>0</v>
      </c>
      <c r="BQ43" s="652">
        <f t="shared" ca="1" si="47"/>
        <v>0</v>
      </c>
      <c r="BR43" s="652">
        <f t="shared" ca="1" si="8"/>
        <v>0</v>
      </c>
      <c r="BS43" s="572">
        <f t="shared" ca="1" si="50"/>
        <v>0</v>
      </c>
      <c r="BT43" s="572">
        <f t="shared" ca="1" si="50"/>
        <v>0</v>
      </c>
      <c r="BU43" s="572">
        <f t="shared" ca="1" si="50"/>
        <v>0</v>
      </c>
      <c r="BV43" s="572">
        <f t="shared" ca="1" si="50"/>
        <v>0</v>
      </c>
      <c r="BW43" s="572">
        <f t="shared" ca="1" si="50"/>
        <v>0</v>
      </c>
      <c r="BX43" s="572">
        <f t="shared" ca="1" si="50"/>
        <v>0</v>
      </c>
      <c r="BY43" s="572">
        <f t="shared" ca="1" si="50"/>
        <v>0</v>
      </c>
    </row>
    <row r="44" spans="1:77">
      <c r="A44" s="531" t="str">
        <f t="shared" ca="1" si="0"/>
        <v>Residential Audit OnlineKU-Weatherization-Duct Sealing and Insulation - Code</v>
      </c>
      <c r="B44" s="1297" t="str">
        <f t="shared" si="48"/>
        <v>KUResidential Audit Online</v>
      </c>
      <c r="C44" s="661" t="s">
        <v>176</v>
      </c>
      <c r="D44" s="662" t="s">
        <v>61</v>
      </c>
      <c r="E44" s="572" t="str">
        <f t="shared" ca="1" si="49"/>
        <v>KU-Weatherization-Duct Sealing and Insulation - Code</v>
      </c>
      <c r="F44" s="572" t="str">
        <f t="shared" ca="1" si="49"/>
        <v>Code Duct Sealing and Insulation - R-8</v>
      </c>
      <c r="G44" s="572" t="str">
        <f t="shared" ca="1" si="49"/>
        <v>Per Unit</v>
      </c>
      <c r="H44" s="572">
        <f t="shared" ref="H44:W54" ca="1" si="55">VLOOKUP($C44,INDIRECT("'"&amp;$D44&amp;"'!A6:FR1000"),IF(H$6="Participation 2023",MATCH("__Participation 2023",INDIRECT("'"&amp;$D44&amp;"'!1:1"),0),IF(H$6="Participation",MATCH("_Total Plan Summary _Participation",INDIRECT("'"&amp;$D44&amp;"'!1:1"),0),MATCH(H$4&amp;"_"&amp;H$5&amp;"_"&amp;H$6,INDIRECT("'"&amp;$D44&amp;"'!1:1"),0))),0)</f>
        <v>0</v>
      </c>
      <c r="I44" s="572">
        <f t="shared" ca="1" si="55"/>
        <v>0</v>
      </c>
      <c r="J44" s="572">
        <f t="shared" ca="1" si="55"/>
        <v>0</v>
      </c>
      <c r="K44" s="572">
        <f t="shared" ca="1" si="55"/>
        <v>0</v>
      </c>
      <c r="L44" s="572">
        <f t="shared" ca="1" si="55"/>
        <v>0</v>
      </c>
      <c r="M44" s="572">
        <f t="shared" ca="1" si="55"/>
        <v>0</v>
      </c>
      <c r="N44" s="572">
        <f t="shared" ca="1" si="55"/>
        <v>0</v>
      </c>
      <c r="O44" s="572">
        <f t="shared" ca="1" si="55"/>
        <v>0</v>
      </c>
      <c r="P44" s="572">
        <f t="shared" ca="1" si="55"/>
        <v>0</v>
      </c>
      <c r="Q44" s="572">
        <f t="shared" ca="1" si="55"/>
        <v>0</v>
      </c>
      <c r="R44" s="572">
        <f t="shared" ca="1" si="55"/>
        <v>0</v>
      </c>
      <c r="S44" s="572">
        <f t="shared" ca="1" si="55"/>
        <v>0</v>
      </c>
      <c r="T44" s="572">
        <f t="shared" ca="1" si="55"/>
        <v>0</v>
      </c>
      <c r="U44" s="572">
        <f t="shared" ca="1" si="55"/>
        <v>0</v>
      </c>
      <c r="V44" s="572">
        <f t="shared" ca="1" si="55"/>
        <v>0</v>
      </c>
      <c r="W44" s="572">
        <f t="shared" ca="1" si="55"/>
        <v>0</v>
      </c>
      <c r="X44" s="572">
        <f t="shared" ca="1" si="52"/>
        <v>0</v>
      </c>
      <c r="Y44" s="572">
        <f t="shared" ca="1" si="52"/>
        <v>0</v>
      </c>
      <c r="Z44" s="572">
        <f t="shared" ca="1" si="52"/>
        <v>0</v>
      </c>
      <c r="AA44" s="572">
        <f t="shared" ca="1" si="52"/>
        <v>0</v>
      </c>
      <c r="AB44" s="572">
        <f t="shared" ca="1" si="52"/>
        <v>0</v>
      </c>
      <c r="AC44" s="572">
        <f t="shared" ca="1" si="52"/>
        <v>0</v>
      </c>
      <c r="AD44" s="572">
        <f t="shared" ca="1" si="52"/>
        <v>0</v>
      </c>
      <c r="AE44" s="572">
        <f t="shared" ca="1" si="52"/>
        <v>0</v>
      </c>
      <c r="AF44" s="572">
        <f t="shared" ca="1" si="52"/>
        <v>0</v>
      </c>
      <c r="AG44" s="572">
        <f t="shared" ca="1" si="52"/>
        <v>0</v>
      </c>
      <c r="AH44" s="572">
        <f t="shared" ca="1" si="52"/>
        <v>0</v>
      </c>
      <c r="AI44" s="572">
        <f t="shared" ca="1" si="52"/>
        <v>0</v>
      </c>
      <c r="AJ44" s="572">
        <f t="shared" ca="1" si="52"/>
        <v>0</v>
      </c>
      <c r="AK44" s="572">
        <f t="shared" ca="1" si="52"/>
        <v>0</v>
      </c>
      <c r="AL44" s="572">
        <f t="shared" ca="1" si="52"/>
        <v>0</v>
      </c>
      <c r="AM44" s="572">
        <f t="shared" ca="1" si="54"/>
        <v>0</v>
      </c>
      <c r="AN44" s="572">
        <f t="shared" ca="1" si="54"/>
        <v>0</v>
      </c>
      <c r="AO44" s="572">
        <f t="shared" ca="1" si="54"/>
        <v>0</v>
      </c>
      <c r="AP44" s="572">
        <f t="shared" ca="1" si="54"/>
        <v>0</v>
      </c>
      <c r="AQ44" s="572">
        <f t="shared" ca="1" si="54"/>
        <v>0</v>
      </c>
      <c r="AR44" s="572">
        <f t="shared" ca="1" si="54"/>
        <v>0</v>
      </c>
      <c r="AS44" s="572">
        <f t="shared" ca="1" si="54"/>
        <v>0</v>
      </c>
      <c r="AT44" s="572">
        <f t="shared" ca="1" si="54"/>
        <v>0</v>
      </c>
      <c r="AU44" s="572">
        <f t="shared" ca="1" si="54"/>
        <v>0</v>
      </c>
      <c r="AV44" s="572">
        <f t="shared" ca="1" si="54"/>
        <v>0</v>
      </c>
      <c r="AW44" s="572">
        <f t="shared" ca="1" si="54"/>
        <v>0</v>
      </c>
      <c r="AX44" s="572">
        <f t="shared" ca="1" si="54"/>
        <v>0</v>
      </c>
      <c r="AY44" s="572">
        <f t="shared" ca="1" si="54"/>
        <v>0</v>
      </c>
      <c r="AZ44" s="572">
        <f t="shared" ca="1" si="54"/>
        <v>0</v>
      </c>
      <c r="BA44" s="572">
        <f t="shared" ca="1" si="50"/>
        <v>0</v>
      </c>
      <c r="BB44" s="572">
        <f t="shared" ca="1" si="50"/>
        <v>0</v>
      </c>
      <c r="BC44" s="572">
        <f t="shared" ca="1" si="50"/>
        <v>0</v>
      </c>
      <c r="BD44" s="572">
        <f t="shared" ca="1" si="50"/>
        <v>0</v>
      </c>
      <c r="BE44" s="652" t="str">
        <f t="shared" ca="1" si="50"/>
        <v>Residential</v>
      </c>
      <c r="BF44" s="652" t="str">
        <f t="shared" ca="1" si="50"/>
        <v>ResEleTotal - SF Wtd</v>
      </c>
      <c r="BG44" s="652" t="str">
        <f t="shared" ca="1" si="50"/>
        <v>ResSFGasHeat</v>
      </c>
      <c r="BH44" s="652" t="str">
        <f t="shared" ca="1" si="50"/>
        <v>KU Res</v>
      </c>
      <c r="BI44" s="652" t="str">
        <f t="shared" ca="1" si="50"/>
        <v>KU Res</v>
      </c>
      <c r="BJ44" s="652">
        <f t="shared" ca="1" si="47"/>
        <v>20</v>
      </c>
      <c r="BK44" s="652">
        <f t="shared" ca="1" si="47"/>
        <v>0</v>
      </c>
      <c r="BL44" s="652">
        <f t="shared" ca="1" si="47"/>
        <v>0</v>
      </c>
      <c r="BM44" s="652">
        <f t="shared" ca="1" si="47"/>
        <v>0</v>
      </c>
      <c r="BN44" s="652">
        <f t="shared" ca="1" si="47"/>
        <v>0</v>
      </c>
      <c r="BO44" s="652">
        <f t="shared" ca="1" si="47"/>
        <v>0</v>
      </c>
      <c r="BP44" s="652">
        <f t="shared" ca="1" si="47"/>
        <v>0</v>
      </c>
      <c r="BQ44" s="652">
        <f t="shared" ca="1" si="47"/>
        <v>0</v>
      </c>
      <c r="BR44" s="652">
        <f t="shared" ca="1" si="8"/>
        <v>0</v>
      </c>
      <c r="BS44" s="572">
        <f t="shared" ca="1" si="50"/>
        <v>0</v>
      </c>
      <c r="BT44" s="572">
        <f t="shared" ca="1" si="50"/>
        <v>0</v>
      </c>
      <c r="BU44" s="572">
        <f t="shared" ca="1" si="50"/>
        <v>0</v>
      </c>
      <c r="BV44" s="572">
        <f t="shared" ca="1" si="50"/>
        <v>0</v>
      </c>
      <c r="BW44" s="572">
        <f t="shared" ca="1" si="50"/>
        <v>0</v>
      </c>
      <c r="BX44" s="572">
        <f t="shared" ca="1" si="50"/>
        <v>0</v>
      </c>
      <c r="BY44" s="572">
        <f t="shared" ca="1" si="50"/>
        <v>0</v>
      </c>
    </row>
    <row r="45" spans="1:77">
      <c r="A45" s="531" t="str">
        <f t="shared" ca="1" si="0"/>
        <v>Residential Audit OnlineKU-Weatherization-Infiltration Control - Reduction of Existing Conditions</v>
      </c>
      <c r="B45" s="1297" t="str">
        <f t="shared" si="48"/>
        <v>KUResidential Audit Online</v>
      </c>
      <c r="C45" s="661" t="s">
        <v>177</v>
      </c>
      <c r="D45" s="662" t="s">
        <v>61</v>
      </c>
      <c r="E45" s="572" t="str">
        <f t="shared" ca="1" si="49"/>
        <v>KU-Weatherization-Infiltration Control - Reduction of Existing Conditions</v>
      </c>
      <c r="F45" s="572" t="str">
        <f t="shared" ca="1" si="49"/>
        <v>Infiltration Control - 0.1 ACH Reduction</v>
      </c>
      <c r="G45" s="572" t="str">
        <f t="shared" ca="1" si="49"/>
        <v>Per Unit</v>
      </c>
      <c r="H45" s="572">
        <f t="shared" ca="1" si="55"/>
        <v>0</v>
      </c>
      <c r="I45" s="572">
        <f t="shared" ca="1" si="55"/>
        <v>0</v>
      </c>
      <c r="J45" s="572">
        <f t="shared" ca="1" si="55"/>
        <v>0</v>
      </c>
      <c r="K45" s="572">
        <f t="shared" ca="1" si="55"/>
        <v>0</v>
      </c>
      <c r="L45" s="572">
        <f t="shared" ca="1" si="55"/>
        <v>0</v>
      </c>
      <c r="M45" s="572">
        <f t="shared" ca="1" si="55"/>
        <v>0</v>
      </c>
      <c r="N45" s="572">
        <f t="shared" ca="1" si="55"/>
        <v>0</v>
      </c>
      <c r="O45" s="572">
        <f t="shared" ca="1" si="55"/>
        <v>0</v>
      </c>
      <c r="P45" s="572">
        <f t="shared" ca="1" si="55"/>
        <v>0</v>
      </c>
      <c r="Q45" s="572">
        <f t="shared" ca="1" si="55"/>
        <v>0</v>
      </c>
      <c r="R45" s="572">
        <f t="shared" ca="1" si="55"/>
        <v>0</v>
      </c>
      <c r="S45" s="572">
        <f t="shared" ca="1" si="55"/>
        <v>0</v>
      </c>
      <c r="T45" s="572">
        <f t="shared" ca="1" si="55"/>
        <v>0</v>
      </c>
      <c r="U45" s="572">
        <f t="shared" ca="1" si="55"/>
        <v>0</v>
      </c>
      <c r="V45" s="572">
        <f t="shared" ca="1" si="55"/>
        <v>0</v>
      </c>
      <c r="W45" s="572">
        <f t="shared" ca="1" si="55"/>
        <v>0</v>
      </c>
      <c r="X45" s="572">
        <f t="shared" ca="1" si="52"/>
        <v>0</v>
      </c>
      <c r="Y45" s="572">
        <f t="shared" ca="1" si="52"/>
        <v>0</v>
      </c>
      <c r="Z45" s="572">
        <f t="shared" ca="1" si="52"/>
        <v>0</v>
      </c>
      <c r="AA45" s="572">
        <f t="shared" ca="1" si="52"/>
        <v>0</v>
      </c>
      <c r="AB45" s="572">
        <f t="shared" ca="1" si="52"/>
        <v>0</v>
      </c>
      <c r="AC45" s="572">
        <f t="shared" ca="1" si="52"/>
        <v>0</v>
      </c>
      <c r="AD45" s="572">
        <f t="shared" ca="1" si="52"/>
        <v>0</v>
      </c>
      <c r="AE45" s="572">
        <f t="shared" ca="1" si="52"/>
        <v>0</v>
      </c>
      <c r="AF45" s="572">
        <f t="shared" ca="1" si="52"/>
        <v>0</v>
      </c>
      <c r="AG45" s="572">
        <f t="shared" ca="1" si="52"/>
        <v>0</v>
      </c>
      <c r="AH45" s="572">
        <f t="shared" ca="1" si="52"/>
        <v>0</v>
      </c>
      <c r="AI45" s="572">
        <f t="shared" ca="1" si="52"/>
        <v>0</v>
      </c>
      <c r="AJ45" s="572">
        <f t="shared" ca="1" si="52"/>
        <v>0</v>
      </c>
      <c r="AK45" s="572">
        <f t="shared" ca="1" si="52"/>
        <v>0</v>
      </c>
      <c r="AL45" s="572">
        <f t="shared" ca="1" si="52"/>
        <v>0</v>
      </c>
      <c r="AM45" s="572">
        <f t="shared" ca="1" si="54"/>
        <v>0</v>
      </c>
      <c r="AN45" s="572">
        <f t="shared" ca="1" si="54"/>
        <v>0</v>
      </c>
      <c r="AO45" s="572">
        <f t="shared" ca="1" si="54"/>
        <v>0</v>
      </c>
      <c r="AP45" s="572">
        <f t="shared" ca="1" si="54"/>
        <v>0</v>
      </c>
      <c r="AQ45" s="572">
        <f t="shared" ca="1" si="54"/>
        <v>0</v>
      </c>
      <c r="AR45" s="572">
        <f t="shared" ca="1" si="54"/>
        <v>0</v>
      </c>
      <c r="AS45" s="572">
        <f t="shared" ca="1" si="54"/>
        <v>0</v>
      </c>
      <c r="AT45" s="572">
        <f t="shared" ca="1" si="54"/>
        <v>0</v>
      </c>
      <c r="AU45" s="572">
        <f t="shared" ca="1" si="54"/>
        <v>0</v>
      </c>
      <c r="AV45" s="572">
        <f t="shared" ca="1" si="54"/>
        <v>0</v>
      </c>
      <c r="AW45" s="572">
        <f t="shared" ca="1" si="54"/>
        <v>0</v>
      </c>
      <c r="AX45" s="572">
        <f t="shared" ca="1" si="54"/>
        <v>0</v>
      </c>
      <c r="AY45" s="572">
        <f t="shared" ca="1" si="54"/>
        <v>0</v>
      </c>
      <c r="AZ45" s="572">
        <f t="shared" ca="1" si="54"/>
        <v>0</v>
      </c>
      <c r="BA45" s="572">
        <f t="shared" ca="1" si="50"/>
        <v>0</v>
      </c>
      <c r="BB45" s="572">
        <f t="shared" ca="1" si="50"/>
        <v>0</v>
      </c>
      <c r="BC45" s="572">
        <f t="shared" ca="1" si="50"/>
        <v>0</v>
      </c>
      <c r="BD45" s="572">
        <f t="shared" ca="1" si="50"/>
        <v>0</v>
      </c>
      <c r="BE45" s="652" t="str">
        <f t="shared" ca="1" si="50"/>
        <v>Residential</v>
      </c>
      <c r="BF45" s="652" t="str">
        <f t="shared" ca="1" si="50"/>
        <v>ResEleTotal - SF Wtd</v>
      </c>
      <c r="BG45" s="652" t="str">
        <f t="shared" ca="1" si="50"/>
        <v>ResSFGasHeat</v>
      </c>
      <c r="BH45" s="652" t="str">
        <f t="shared" ca="1" si="50"/>
        <v>KU Res</v>
      </c>
      <c r="BI45" s="652" t="str">
        <f t="shared" ca="1" si="50"/>
        <v>KU Res</v>
      </c>
      <c r="BJ45" s="652">
        <f t="shared" ca="1" si="47"/>
        <v>20</v>
      </c>
      <c r="BK45" s="652">
        <f t="shared" ca="1" si="47"/>
        <v>0</v>
      </c>
      <c r="BL45" s="652">
        <f t="shared" ca="1" si="47"/>
        <v>0</v>
      </c>
      <c r="BM45" s="652">
        <f t="shared" ca="1" si="47"/>
        <v>0</v>
      </c>
      <c r="BN45" s="652">
        <f t="shared" ca="1" si="47"/>
        <v>0</v>
      </c>
      <c r="BO45" s="652">
        <f t="shared" ca="1" si="47"/>
        <v>0</v>
      </c>
      <c r="BP45" s="652">
        <f t="shared" ca="1" si="47"/>
        <v>0</v>
      </c>
      <c r="BQ45" s="652">
        <f t="shared" ca="1" si="47"/>
        <v>0</v>
      </c>
      <c r="BR45" s="652">
        <f t="shared" ca="1" si="8"/>
        <v>0</v>
      </c>
      <c r="BS45" s="572">
        <f t="shared" ca="1" si="50"/>
        <v>0</v>
      </c>
      <c r="BT45" s="572">
        <f t="shared" ca="1" si="50"/>
        <v>0</v>
      </c>
      <c r="BU45" s="572">
        <f t="shared" ca="1" si="50"/>
        <v>0</v>
      </c>
      <c r="BV45" s="572">
        <f t="shared" ca="1" si="50"/>
        <v>0</v>
      </c>
      <c r="BW45" s="572">
        <f t="shared" ca="1" si="50"/>
        <v>0</v>
      </c>
      <c r="BX45" s="572">
        <f t="shared" ca="1" si="50"/>
        <v>0</v>
      </c>
      <c r="BY45" s="572">
        <f t="shared" ca="1" si="50"/>
        <v>0</v>
      </c>
    </row>
    <row r="46" spans="1:77">
      <c r="A46" s="531" t="str">
        <f t="shared" ca="1" si="0"/>
        <v>Residential Audit OnlineKU-Weatherization-Wall Insulation (KY) - Maximum Feasible</v>
      </c>
      <c r="B46" s="1297" t="str">
        <f t="shared" si="48"/>
        <v>KUResidential Audit Online</v>
      </c>
      <c r="C46" s="661" t="s">
        <v>178</v>
      </c>
      <c r="D46" s="662" t="s">
        <v>61</v>
      </c>
      <c r="E46" s="572" t="str">
        <f t="shared" ca="1" si="49"/>
        <v>KU-Weatherization-Wall Insulation (KY) - Maximum Feasible</v>
      </c>
      <c r="F46" s="572" t="str">
        <f t="shared" ca="1" si="49"/>
        <v>R-13 (Maximum Insulation Feasible)</v>
      </c>
      <c r="G46" s="572" t="str">
        <f t="shared" ca="1" si="49"/>
        <v>Per Unit</v>
      </c>
      <c r="H46" s="572">
        <f t="shared" ca="1" si="55"/>
        <v>0</v>
      </c>
      <c r="I46" s="572">
        <f t="shared" ca="1" si="55"/>
        <v>0</v>
      </c>
      <c r="J46" s="572">
        <f t="shared" ca="1" si="55"/>
        <v>0</v>
      </c>
      <c r="K46" s="572">
        <f t="shared" ca="1" si="55"/>
        <v>0</v>
      </c>
      <c r="L46" s="572">
        <f t="shared" ca="1" si="55"/>
        <v>0</v>
      </c>
      <c r="M46" s="572">
        <f t="shared" ca="1" si="55"/>
        <v>0</v>
      </c>
      <c r="N46" s="572">
        <f t="shared" ca="1" si="55"/>
        <v>0</v>
      </c>
      <c r="O46" s="572">
        <f t="shared" ca="1" si="55"/>
        <v>0</v>
      </c>
      <c r="P46" s="572">
        <f t="shared" ca="1" si="55"/>
        <v>0</v>
      </c>
      <c r="Q46" s="572">
        <f t="shared" ca="1" si="55"/>
        <v>0</v>
      </c>
      <c r="R46" s="572">
        <f t="shared" ca="1" si="55"/>
        <v>0</v>
      </c>
      <c r="S46" s="572">
        <f t="shared" ca="1" si="55"/>
        <v>0</v>
      </c>
      <c r="T46" s="572">
        <f t="shared" ca="1" si="55"/>
        <v>0</v>
      </c>
      <c r="U46" s="572">
        <f t="shared" ca="1" si="55"/>
        <v>0</v>
      </c>
      <c r="V46" s="572">
        <f t="shared" ca="1" si="55"/>
        <v>0</v>
      </c>
      <c r="W46" s="572">
        <f t="shared" ca="1" si="55"/>
        <v>0</v>
      </c>
      <c r="X46" s="572">
        <f t="shared" ca="1" si="52"/>
        <v>0</v>
      </c>
      <c r="Y46" s="572">
        <f t="shared" ca="1" si="52"/>
        <v>0</v>
      </c>
      <c r="Z46" s="572">
        <f t="shared" ca="1" si="52"/>
        <v>0</v>
      </c>
      <c r="AA46" s="572">
        <f t="shared" ca="1" si="52"/>
        <v>0</v>
      </c>
      <c r="AB46" s="572">
        <f t="shared" ca="1" si="52"/>
        <v>0</v>
      </c>
      <c r="AC46" s="572">
        <f t="shared" ca="1" si="52"/>
        <v>0</v>
      </c>
      <c r="AD46" s="572">
        <f t="shared" ca="1" si="52"/>
        <v>0</v>
      </c>
      <c r="AE46" s="572">
        <f t="shared" ca="1" si="52"/>
        <v>0</v>
      </c>
      <c r="AF46" s="572">
        <f t="shared" ca="1" si="52"/>
        <v>0</v>
      </c>
      <c r="AG46" s="572">
        <f t="shared" ca="1" si="52"/>
        <v>0</v>
      </c>
      <c r="AH46" s="572">
        <f t="shared" ca="1" si="52"/>
        <v>0</v>
      </c>
      <c r="AI46" s="572">
        <f t="shared" ca="1" si="52"/>
        <v>0</v>
      </c>
      <c r="AJ46" s="572">
        <f t="shared" ca="1" si="52"/>
        <v>0</v>
      </c>
      <c r="AK46" s="572">
        <f t="shared" ca="1" si="52"/>
        <v>0</v>
      </c>
      <c r="AL46" s="572">
        <f t="shared" ca="1" si="52"/>
        <v>0</v>
      </c>
      <c r="AM46" s="572">
        <f t="shared" ca="1" si="54"/>
        <v>0</v>
      </c>
      <c r="AN46" s="572">
        <f t="shared" ca="1" si="54"/>
        <v>0</v>
      </c>
      <c r="AO46" s="572">
        <f t="shared" ca="1" si="54"/>
        <v>0</v>
      </c>
      <c r="AP46" s="572">
        <f t="shared" ca="1" si="54"/>
        <v>0</v>
      </c>
      <c r="AQ46" s="572">
        <f t="shared" ca="1" si="54"/>
        <v>0</v>
      </c>
      <c r="AR46" s="572">
        <f t="shared" ca="1" si="54"/>
        <v>0</v>
      </c>
      <c r="AS46" s="572">
        <f t="shared" ca="1" si="54"/>
        <v>0</v>
      </c>
      <c r="AT46" s="572">
        <f t="shared" ca="1" si="54"/>
        <v>0</v>
      </c>
      <c r="AU46" s="572">
        <f t="shared" ca="1" si="54"/>
        <v>0</v>
      </c>
      <c r="AV46" s="572">
        <f t="shared" ca="1" si="54"/>
        <v>0</v>
      </c>
      <c r="AW46" s="572">
        <f t="shared" ca="1" si="54"/>
        <v>0</v>
      </c>
      <c r="AX46" s="572">
        <f t="shared" ca="1" si="54"/>
        <v>0</v>
      </c>
      <c r="AY46" s="572">
        <f t="shared" ca="1" si="54"/>
        <v>0</v>
      </c>
      <c r="AZ46" s="572">
        <f t="shared" ca="1" si="54"/>
        <v>0</v>
      </c>
      <c r="BA46" s="572">
        <f t="shared" ca="1" si="50"/>
        <v>0</v>
      </c>
      <c r="BB46" s="572">
        <f t="shared" ca="1" si="50"/>
        <v>0</v>
      </c>
      <c r="BC46" s="572">
        <f t="shared" ca="1" si="50"/>
        <v>0</v>
      </c>
      <c r="BD46" s="572">
        <f t="shared" ca="1" si="50"/>
        <v>0</v>
      </c>
      <c r="BE46" s="652" t="str">
        <f t="shared" ca="1" si="50"/>
        <v>Residential</v>
      </c>
      <c r="BF46" s="652" t="str">
        <f t="shared" ca="1" si="50"/>
        <v>ResEleTotal - SF Wtd</v>
      </c>
      <c r="BG46" s="652" t="str">
        <f t="shared" ca="1" si="50"/>
        <v>ResSFGasHeat</v>
      </c>
      <c r="BH46" s="652" t="str">
        <f t="shared" ca="1" si="50"/>
        <v>KU Res</v>
      </c>
      <c r="BI46" s="652" t="str">
        <f t="shared" ca="1" si="50"/>
        <v>KU Res</v>
      </c>
      <c r="BJ46" s="652">
        <f t="shared" ca="1" si="47"/>
        <v>20</v>
      </c>
      <c r="BK46" s="652">
        <f t="shared" ca="1" si="47"/>
        <v>0</v>
      </c>
      <c r="BL46" s="652">
        <f t="shared" ca="1" si="47"/>
        <v>0</v>
      </c>
      <c r="BM46" s="652">
        <f t="shared" ca="1" si="47"/>
        <v>0</v>
      </c>
      <c r="BN46" s="652">
        <f t="shared" ca="1" si="47"/>
        <v>0</v>
      </c>
      <c r="BO46" s="652">
        <f t="shared" ca="1" si="47"/>
        <v>0</v>
      </c>
      <c r="BP46" s="652">
        <f t="shared" ca="1" si="47"/>
        <v>0</v>
      </c>
      <c r="BQ46" s="652">
        <f t="shared" ca="1" si="47"/>
        <v>0</v>
      </c>
      <c r="BR46" s="652">
        <f t="shared" ca="1" si="8"/>
        <v>0</v>
      </c>
      <c r="BS46" s="572">
        <f t="shared" ca="1" si="50"/>
        <v>0</v>
      </c>
      <c r="BT46" s="572">
        <f t="shared" ca="1" si="50"/>
        <v>0</v>
      </c>
      <c r="BU46" s="572">
        <f t="shared" ca="1" si="50"/>
        <v>0</v>
      </c>
      <c r="BV46" s="572">
        <f t="shared" ca="1" si="50"/>
        <v>0</v>
      </c>
      <c r="BW46" s="572">
        <f t="shared" ca="1" si="50"/>
        <v>0</v>
      </c>
      <c r="BX46" s="572">
        <f t="shared" ca="1" si="50"/>
        <v>0</v>
      </c>
      <c r="BY46" s="572">
        <f t="shared" ca="1" si="50"/>
        <v>0</v>
      </c>
    </row>
    <row r="47" spans="1:77">
      <c r="A47" s="531" t="str">
        <f t="shared" ca="1" si="0"/>
        <v>Residential Audit OnlineKU-Weatherization-Floor Insulation (KY) - Above Code</v>
      </c>
      <c r="B47" s="1297" t="str">
        <f t="shared" si="48"/>
        <v>KUResidential Audit Online</v>
      </c>
      <c r="C47" s="661" t="s">
        <v>183</v>
      </c>
      <c r="D47" s="662" t="s">
        <v>61</v>
      </c>
      <c r="E47" s="572" t="str">
        <f t="shared" ca="1" si="49"/>
        <v>KU-Weatherization-Floor Insulation (KY) - Above Code</v>
      </c>
      <c r="F47" s="572" t="str">
        <f t="shared" ca="1" si="49"/>
        <v>R-30</v>
      </c>
      <c r="G47" s="572" t="str">
        <f t="shared" ca="1" si="49"/>
        <v>Per Unit</v>
      </c>
      <c r="H47" s="572">
        <f t="shared" ca="1" si="55"/>
        <v>0</v>
      </c>
      <c r="I47" s="572">
        <f t="shared" ca="1" si="55"/>
        <v>0</v>
      </c>
      <c r="J47" s="572">
        <f t="shared" ca="1" si="55"/>
        <v>0</v>
      </c>
      <c r="K47" s="572">
        <f t="shared" ca="1" si="55"/>
        <v>0</v>
      </c>
      <c r="L47" s="572">
        <f t="shared" ca="1" si="55"/>
        <v>0</v>
      </c>
      <c r="M47" s="572">
        <f t="shared" ca="1" si="55"/>
        <v>0</v>
      </c>
      <c r="N47" s="572">
        <f t="shared" ca="1" si="55"/>
        <v>0</v>
      </c>
      <c r="O47" s="572">
        <f t="shared" ca="1" si="55"/>
        <v>0</v>
      </c>
      <c r="P47" s="572">
        <f t="shared" ca="1" si="55"/>
        <v>0</v>
      </c>
      <c r="Q47" s="572">
        <f t="shared" ca="1" si="55"/>
        <v>0</v>
      </c>
      <c r="R47" s="572">
        <f t="shared" ca="1" si="55"/>
        <v>0</v>
      </c>
      <c r="S47" s="572">
        <f t="shared" ca="1" si="55"/>
        <v>0</v>
      </c>
      <c r="T47" s="572">
        <f t="shared" ca="1" si="55"/>
        <v>0</v>
      </c>
      <c r="U47" s="572">
        <f t="shared" ca="1" si="55"/>
        <v>0</v>
      </c>
      <c r="V47" s="572">
        <f t="shared" ca="1" si="55"/>
        <v>0</v>
      </c>
      <c r="W47" s="572">
        <f t="shared" ca="1" si="55"/>
        <v>0</v>
      </c>
      <c r="X47" s="572">
        <f t="shared" ca="1" si="52"/>
        <v>0</v>
      </c>
      <c r="Y47" s="572">
        <f t="shared" ca="1" si="52"/>
        <v>0</v>
      </c>
      <c r="Z47" s="572">
        <f t="shared" ca="1" si="52"/>
        <v>0</v>
      </c>
      <c r="AA47" s="572">
        <f t="shared" ca="1" si="52"/>
        <v>0</v>
      </c>
      <c r="AB47" s="572">
        <f t="shared" ca="1" si="52"/>
        <v>0</v>
      </c>
      <c r="AC47" s="572">
        <f t="shared" ca="1" si="52"/>
        <v>0</v>
      </c>
      <c r="AD47" s="572">
        <f t="shared" ca="1" si="52"/>
        <v>0</v>
      </c>
      <c r="AE47" s="572">
        <f t="shared" ca="1" si="52"/>
        <v>0</v>
      </c>
      <c r="AF47" s="572">
        <f t="shared" ca="1" si="52"/>
        <v>0</v>
      </c>
      <c r="AG47" s="572">
        <f t="shared" ca="1" si="52"/>
        <v>0</v>
      </c>
      <c r="AH47" s="572">
        <f t="shared" ca="1" si="52"/>
        <v>0</v>
      </c>
      <c r="AI47" s="572">
        <f t="shared" ca="1" si="52"/>
        <v>0</v>
      </c>
      <c r="AJ47" s="572">
        <f t="shared" ca="1" si="52"/>
        <v>0</v>
      </c>
      <c r="AK47" s="572">
        <f t="shared" ca="1" si="52"/>
        <v>0</v>
      </c>
      <c r="AL47" s="572">
        <f t="shared" ca="1" si="52"/>
        <v>0</v>
      </c>
      <c r="AM47" s="572">
        <f t="shared" ca="1" si="54"/>
        <v>0</v>
      </c>
      <c r="AN47" s="572">
        <f t="shared" ca="1" si="54"/>
        <v>0</v>
      </c>
      <c r="AO47" s="572">
        <f t="shared" ca="1" si="54"/>
        <v>0</v>
      </c>
      <c r="AP47" s="572">
        <f t="shared" ca="1" si="54"/>
        <v>0</v>
      </c>
      <c r="AQ47" s="572">
        <f t="shared" ca="1" si="54"/>
        <v>0</v>
      </c>
      <c r="AR47" s="572">
        <f t="shared" ca="1" si="54"/>
        <v>0</v>
      </c>
      <c r="AS47" s="572">
        <f t="shared" ca="1" si="54"/>
        <v>0</v>
      </c>
      <c r="AT47" s="572">
        <f t="shared" ca="1" si="54"/>
        <v>0</v>
      </c>
      <c r="AU47" s="572">
        <f t="shared" ca="1" si="54"/>
        <v>0</v>
      </c>
      <c r="AV47" s="572">
        <f t="shared" ca="1" si="54"/>
        <v>0</v>
      </c>
      <c r="AW47" s="572">
        <f t="shared" ca="1" si="54"/>
        <v>0</v>
      </c>
      <c r="AX47" s="572">
        <f t="shared" ca="1" si="54"/>
        <v>0</v>
      </c>
      <c r="AY47" s="572">
        <f t="shared" ca="1" si="54"/>
        <v>0</v>
      </c>
      <c r="AZ47" s="572">
        <f t="shared" ca="1" si="54"/>
        <v>0</v>
      </c>
      <c r="BA47" s="572">
        <f t="shared" ca="1" si="50"/>
        <v>0</v>
      </c>
      <c r="BB47" s="572">
        <f t="shared" ca="1" si="50"/>
        <v>0</v>
      </c>
      <c r="BC47" s="572">
        <f t="shared" ca="1" si="50"/>
        <v>0</v>
      </c>
      <c r="BD47" s="572">
        <f t="shared" ca="1" si="50"/>
        <v>0</v>
      </c>
      <c r="BE47" s="652" t="str">
        <f t="shared" ca="1" si="50"/>
        <v>Residential</v>
      </c>
      <c r="BF47" s="652" t="str">
        <f t="shared" ca="1" si="50"/>
        <v>ResEleTotal - SF Wtd</v>
      </c>
      <c r="BG47" s="652" t="str">
        <f t="shared" ca="1" si="50"/>
        <v>ResSFGasHeat</v>
      </c>
      <c r="BH47" s="652" t="str">
        <f t="shared" ca="1" si="50"/>
        <v>KU Res</v>
      </c>
      <c r="BI47" s="652" t="str">
        <f t="shared" ca="1" si="50"/>
        <v>KU Res</v>
      </c>
      <c r="BJ47" s="652">
        <f t="shared" ca="1" si="47"/>
        <v>20</v>
      </c>
      <c r="BK47" s="652">
        <f t="shared" ca="1" si="47"/>
        <v>0</v>
      </c>
      <c r="BL47" s="652">
        <f t="shared" ca="1" si="47"/>
        <v>0</v>
      </c>
      <c r="BM47" s="652">
        <f t="shared" ca="1" si="47"/>
        <v>0</v>
      </c>
      <c r="BN47" s="652">
        <f t="shared" ca="1" si="47"/>
        <v>0</v>
      </c>
      <c r="BO47" s="652">
        <f t="shared" ca="1" si="47"/>
        <v>0</v>
      </c>
      <c r="BP47" s="652">
        <f t="shared" ca="1" si="47"/>
        <v>0</v>
      </c>
      <c r="BQ47" s="652">
        <f t="shared" ca="1" si="47"/>
        <v>0</v>
      </c>
      <c r="BR47" s="652">
        <f t="shared" ca="1" si="8"/>
        <v>0</v>
      </c>
      <c r="BS47" s="572">
        <f t="shared" ca="1" si="50"/>
        <v>0</v>
      </c>
      <c r="BT47" s="572">
        <f t="shared" ca="1" si="50"/>
        <v>0</v>
      </c>
      <c r="BU47" s="572">
        <f t="shared" ca="1" si="50"/>
        <v>0</v>
      </c>
      <c r="BV47" s="572">
        <f t="shared" ca="1" si="50"/>
        <v>0</v>
      </c>
      <c r="BW47" s="572">
        <f t="shared" ca="1" si="50"/>
        <v>0</v>
      </c>
      <c r="BX47" s="572">
        <f t="shared" ca="1" si="50"/>
        <v>0</v>
      </c>
      <c r="BY47" s="572">
        <f t="shared" ca="1" si="50"/>
        <v>0</v>
      </c>
    </row>
    <row r="48" spans="1:77">
      <c r="A48" s="531" t="str">
        <f t="shared" ca="1" si="0"/>
        <v>Residential Audit OnlineKU-Weatherization-Insulation - Basement Wall - Code</v>
      </c>
      <c r="B48" s="1297" t="str">
        <f t="shared" si="48"/>
        <v>KUResidential Audit Online</v>
      </c>
      <c r="C48" s="661" t="s">
        <v>184</v>
      </c>
      <c r="D48" s="662" t="s">
        <v>61</v>
      </c>
      <c r="E48" s="572" t="str">
        <f t="shared" ca="1" si="49"/>
        <v>KU-Weatherization-Insulation - Basement Wall - Code</v>
      </c>
      <c r="F48" s="572" t="str">
        <f t="shared" ca="1" si="49"/>
        <v>R-10 (IECC 2012 - Future KY Code)</v>
      </c>
      <c r="G48" s="572" t="str">
        <f t="shared" ca="1" si="49"/>
        <v>Per Unit</v>
      </c>
      <c r="H48" s="572">
        <f t="shared" ca="1" si="55"/>
        <v>0</v>
      </c>
      <c r="I48" s="572">
        <f t="shared" ca="1" si="55"/>
        <v>0</v>
      </c>
      <c r="J48" s="572">
        <f t="shared" ca="1" si="55"/>
        <v>0</v>
      </c>
      <c r="K48" s="572">
        <f t="shared" ca="1" si="55"/>
        <v>0</v>
      </c>
      <c r="L48" s="572">
        <f t="shared" ca="1" si="55"/>
        <v>0</v>
      </c>
      <c r="M48" s="572">
        <f t="shared" ca="1" si="55"/>
        <v>0</v>
      </c>
      <c r="N48" s="572">
        <f t="shared" ca="1" si="55"/>
        <v>0</v>
      </c>
      <c r="O48" s="572">
        <f t="shared" ca="1" si="55"/>
        <v>0</v>
      </c>
      <c r="P48" s="572">
        <f t="shared" ca="1" si="55"/>
        <v>0</v>
      </c>
      <c r="Q48" s="572">
        <f t="shared" ca="1" si="55"/>
        <v>0</v>
      </c>
      <c r="R48" s="572">
        <f t="shared" ca="1" si="55"/>
        <v>0</v>
      </c>
      <c r="S48" s="572">
        <f t="shared" ca="1" si="55"/>
        <v>0</v>
      </c>
      <c r="T48" s="572">
        <f t="shared" ca="1" si="55"/>
        <v>0</v>
      </c>
      <c r="U48" s="572">
        <f t="shared" ca="1" si="55"/>
        <v>0</v>
      </c>
      <c r="V48" s="572">
        <f t="shared" ca="1" si="55"/>
        <v>0</v>
      </c>
      <c r="W48" s="572">
        <f t="shared" ca="1" si="55"/>
        <v>0</v>
      </c>
      <c r="X48" s="572">
        <f t="shared" ca="1" si="52"/>
        <v>0</v>
      </c>
      <c r="Y48" s="572">
        <f t="shared" ca="1" si="52"/>
        <v>0</v>
      </c>
      <c r="Z48" s="572">
        <f t="shared" ca="1" si="52"/>
        <v>0</v>
      </c>
      <c r="AA48" s="572">
        <f t="shared" ca="1" si="52"/>
        <v>0</v>
      </c>
      <c r="AB48" s="572">
        <f t="shared" ca="1" si="52"/>
        <v>0</v>
      </c>
      <c r="AC48" s="572">
        <f t="shared" ca="1" si="52"/>
        <v>0</v>
      </c>
      <c r="AD48" s="572">
        <f t="shared" ca="1" si="52"/>
        <v>0</v>
      </c>
      <c r="AE48" s="572">
        <f t="shared" ca="1" si="52"/>
        <v>0</v>
      </c>
      <c r="AF48" s="572">
        <f t="shared" ca="1" si="52"/>
        <v>0</v>
      </c>
      <c r="AG48" s="572">
        <f t="shared" ca="1" si="52"/>
        <v>0</v>
      </c>
      <c r="AH48" s="572">
        <f t="shared" ca="1" si="52"/>
        <v>0</v>
      </c>
      <c r="AI48" s="572">
        <f t="shared" ca="1" si="52"/>
        <v>0</v>
      </c>
      <c r="AJ48" s="572">
        <f t="shared" ca="1" si="52"/>
        <v>0</v>
      </c>
      <c r="AK48" s="572">
        <f t="shared" ca="1" si="52"/>
        <v>0</v>
      </c>
      <c r="AL48" s="572">
        <f t="shared" ca="1" si="52"/>
        <v>0</v>
      </c>
      <c r="AM48" s="572">
        <f t="shared" ca="1" si="54"/>
        <v>0</v>
      </c>
      <c r="AN48" s="572">
        <f t="shared" ca="1" si="54"/>
        <v>0</v>
      </c>
      <c r="AO48" s="572">
        <f t="shared" ca="1" si="54"/>
        <v>0</v>
      </c>
      <c r="AP48" s="572">
        <f t="shared" ca="1" si="54"/>
        <v>0</v>
      </c>
      <c r="AQ48" s="572">
        <f t="shared" ca="1" si="54"/>
        <v>0</v>
      </c>
      <c r="AR48" s="572">
        <f t="shared" ca="1" si="54"/>
        <v>0</v>
      </c>
      <c r="AS48" s="572">
        <f t="shared" ca="1" si="54"/>
        <v>0</v>
      </c>
      <c r="AT48" s="572">
        <f t="shared" ca="1" si="54"/>
        <v>0</v>
      </c>
      <c r="AU48" s="572">
        <f t="shared" ca="1" si="54"/>
        <v>0</v>
      </c>
      <c r="AV48" s="572">
        <f t="shared" ca="1" si="54"/>
        <v>0</v>
      </c>
      <c r="AW48" s="572">
        <f t="shared" ca="1" si="54"/>
        <v>0</v>
      </c>
      <c r="AX48" s="572">
        <f t="shared" ca="1" si="54"/>
        <v>0</v>
      </c>
      <c r="AY48" s="572">
        <f t="shared" ca="1" si="54"/>
        <v>0</v>
      </c>
      <c r="AZ48" s="572">
        <f t="shared" ca="1" si="54"/>
        <v>0</v>
      </c>
      <c r="BA48" s="572">
        <f t="shared" ca="1" si="50"/>
        <v>0</v>
      </c>
      <c r="BB48" s="572">
        <f t="shared" ca="1" si="50"/>
        <v>0</v>
      </c>
      <c r="BC48" s="572">
        <f t="shared" ca="1" si="50"/>
        <v>0</v>
      </c>
      <c r="BD48" s="572">
        <f t="shared" ca="1" si="50"/>
        <v>0</v>
      </c>
      <c r="BE48" s="652" t="str">
        <f t="shared" ca="1" si="50"/>
        <v>Residential</v>
      </c>
      <c r="BF48" s="652" t="str">
        <f t="shared" ca="1" si="50"/>
        <v>ResEleTotal - SF Wtd</v>
      </c>
      <c r="BG48" s="652" t="str">
        <f t="shared" ca="1" si="50"/>
        <v>ResSFGasHeat</v>
      </c>
      <c r="BH48" s="652" t="str">
        <f t="shared" ca="1" si="50"/>
        <v>KU Res</v>
      </c>
      <c r="BI48" s="652" t="str">
        <f t="shared" ca="1" si="50"/>
        <v>KU Res</v>
      </c>
      <c r="BJ48" s="652">
        <f t="shared" ca="1" si="47"/>
        <v>20</v>
      </c>
      <c r="BK48" s="652">
        <f t="shared" ca="1" si="47"/>
        <v>0</v>
      </c>
      <c r="BL48" s="652">
        <f t="shared" ca="1" si="47"/>
        <v>0</v>
      </c>
      <c r="BM48" s="652">
        <f t="shared" ca="1" si="47"/>
        <v>0</v>
      </c>
      <c r="BN48" s="652">
        <f t="shared" ca="1" si="47"/>
        <v>0</v>
      </c>
      <c r="BO48" s="652">
        <f t="shared" ca="1" si="47"/>
        <v>0</v>
      </c>
      <c r="BP48" s="652">
        <f t="shared" ca="1" si="47"/>
        <v>0</v>
      </c>
      <c r="BQ48" s="652">
        <f t="shared" ca="1" si="47"/>
        <v>0</v>
      </c>
      <c r="BR48" s="652">
        <f t="shared" ca="1" si="8"/>
        <v>0</v>
      </c>
      <c r="BS48" s="572">
        <f t="shared" ca="1" si="50"/>
        <v>0</v>
      </c>
      <c r="BT48" s="572">
        <f t="shared" ca="1" si="50"/>
        <v>0</v>
      </c>
      <c r="BU48" s="572">
        <f t="shared" ca="1" si="50"/>
        <v>0</v>
      </c>
      <c r="BV48" s="572">
        <f t="shared" ca="1" si="50"/>
        <v>0</v>
      </c>
      <c r="BW48" s="572">
        <f t="shared" ca="1" si="50"/>
        <v>0</v>
      </c>
      <c r="BX48" s="572">
        <f t="shared" ca="1" si="50"/>
        <v>0</v>
      </c>
      <c r="BY48" s="572">
        <f t="shared" ca="1" si="50"/>
        <v>0</v>
      </c>
    </row>
    <row r="49" spans="1:77">
      <c r="A49" s="531" t="str">
        <f t="shared" ca="1" si="0"/>
        <v>Residential Audit OnlineKU-HVAC-DWH-Central Air Conditioner - ENERGY STAR</v>
      </c>
      <c r="B49" s="1297" t="str">
        <f t="shared" si="48"/>
        <v>KUResidential Audit Online</v>
      </c>
      <c r="C49" s="661" t="s">
        <v>185</v>
      </c>
      <c r="D49" s="662" t="s">
        <v>61</v>
      </c>
      <c r="E49" s="572" t="str">
        <f t="shared" ca="1" si="49"/>
        <v>KU-HVAC-DWH-Central Air Conditioner - ENERGY STAR</v>
      </c>
      <c r="F49" s="572" t="str">
        <f t="shared" ca="1" si="49"/>
        <v>ENERGY STAR Central Air Conditioner - SEER2 15.2 (Split System)</v>
      </c>
      <c r="G49" s="572" t="str">
        <f t="shared" ca="1" si="49"/>
        <v>Per Unit</v>
      </c>
      <c r="H49" s="572">
        <f t="shared" ca="1" si="55"/>
        <v>0</v>
      </c>
      <c r="I49" s="572">
        <f t="shared" ca="1" si="55"/>
        <v>240</v>
      </c>
      <c r="J49" s="572">
        <f t="shared" ca="1" si="55"/>
        <v>312</v>
      </c>
      <c r="K49" s="572">
        <f t="shared" ca="1" si="55"/>
        <v>384.5</v>
      </c>
      <c r="L49" s="572">
        <f t="shared" ca="1" si="55"/>
        <v>480.5</v>
      </c>
      <c r="M49" s="572">
        <f t="shared" ca="1" si="55"/>
        <v>480.5</v>
      </c>
      <c r="N49" s="572">
        <f t="shared" ca="1" si="55"/>
        <v>480.5</v>
      </c>
      <c r="O49" s="572">
        <f t="shared" ca="1" si="55"/>
        <v>0</v>
      </c>
      <c r="P49" s="572">
        <f t="shared" ca="1" si="55"/>
        <v>81360</v>
      </c>
      <c r="Q49" s="572">
        <f t="shared" ca="1" si="55"/>
        <v>105768</v>
      </c>
      <c r="R49" s="572">
        <f t="shared" ca="1" si="55"/>
        <v>130345.5</v>
      </c>
      <c r="S49" s="572">
        <f t="shared" ca="1" si="55"/>
        <v>162889.5</v>
      </c>
      <c r="T49" s="572">
        <f t="shared" ca="1" si="55"/>
        <v>162889.5</v>
      </c>
      <c r="U49" s="572">
        <f t="shared" ca="1" si="55"/>
        <v>162889.5</v>
      </c>
      <c r="V49" s="572">
        <f t="shared" ca="1" si="55"/>
        <v>0</v>
      </c>
      <c r="W49" s="572">
        <f t="shared" ca="1" si="55"/>
        <v>0</v>
      </c>
      <c r="X49" s="572">
        <f t="shared" ca="1" si="52"/>
        <v>0</v>
      </c>
      <c r="Y49" s="572">
        <f t="shared" ca="1" si="52"/>
        <v>0</v>
      </c>
      <c r="Z49" s="572">
        <f t="shared" ca="1" si="52"/>
        <v>0</v>
      </c>
      <c r="AA49" s="572">
        <f t="shared" ca="1" si="52"/>
        <v>0</v>
      </c>
      <c r="AB49" s="572">
        <f t="shared" ca="1" si="52"/>
        <v>0</v>
      </c>
      <c r="AC49" s="572">
        <f t="shared" ca="1" si="52"/>
        <v>0</v>
      </c>
      <c r="AD49" s="572">
        <f t="shared" ca="1" si="52"/>
        <v>72000</v>
      </c>
      <c r="AE49" s="572">
        <f t="shared" ca="1" si="52"/>
        <v>93600</v>
      </c>
      <c r="AF49" s="572">
        <f t="shared" ca="1" si="52"/>
        <v>115350</v>
      </c>
      <c r="AG49" s="572">
        <f t="shared" ca="1" si="52"/>
        <v>144150</v>
      </c>
      <c r="AH49" s="572">
        <f t="shared" ca="1" si="52"/>
        <v>144150</v>
      </c>
      <c r="AI49" s="572">
        <f t="shared" ca="1" si="52"/>
        <v>144150</v>
      </c>
      <c r="AJ49" s="572">
        <f t="shared" ca="1" si="52"/>
        <v>0</v>
      </c>
      <c r="AK49" s="572">
        <f t="shared" ca="1" si="52"/>
        <v>19389.915347810034</v>
      </c>
      <c r="AL49" s="572">
        <f t="shared" ca="1" si="52"/>
        <v>25206.889952153044</v>
      </c>
      <c r="AM49" s="572">
        <f t="shared" ca="1" si="54"/>
        <v>31064.260213470658</v>
      </c>
      <c r="AN49" s="572">
        <f t="shared" ca="1" si="54"/>
        <v>38820.226352594669</v>
      </c>
      <c r="AO49" s="572">
        <f t="shared" ca="1" si="54"/>
        <v>38820.226352594669</v>
      </c>
      <c r="AP49" s="572">
        <f t="shared" ca="1" si="54"/>
        <v>38820.226352594669</v>
      </c>
      <c r="AQ49" s="572">
        <f t="shared" ca="1" si="54"/>
        <v>0</v>
      </c>
      <c r="AR49" s="572">
        <f t="shared" ca="1" si="54"/>
        <v>47.001599999999975</v>
      </c>
      <c r="AS49" s="572">
        <f t="shared" ca="1" si="54"/>
        <v>61.102079999999972</v>
      </c>
      <c r="AT49" s="572">
        <f t="shared" ca="1" si="54"/>
        <v>75.300479999999965</v>
      </c>
      <c r="AU49" s="572">
        <f t="shared" ca="1" si="54"/>
        <v>94.101119999999952</v>
      </c>
      <c r="AV49" s="572">
        <f t="shared" ca="1" si="54"/>
        <v>94.101119999999952</v>
      </c>
      <c r="AW49" s="572">
        <f t="shared" ca="1" si="54"/>
        <v>94.101119999999952</v>
      </c>
      <c r="AX49" s="572">
        <f t="shared" ca="1" si="54"/>
        <v>0</v>
      </c>
      <c r="AY49" s="572">
        <f t="shared" ca="1" si="54"/>
        <v>0</v>
      </c>
      <c r="AZ49" s="572">
        <f t="shared" ca="1" si="54"/>
        <v>0</v>
      </c>
      <c r="BA49" s="572">
        <f t="shared" ca="1" si="50"/>
        <v>0</v>
      </c>
      <c r="BB49" s="572">
        <f t="shared" ca="1" si="50"/>
        <v>0</v>
      </c>
      <c r="BC49" s="572">
        <f t="shared" ca="1" si="50"/>
        <v>0</v>
      </c>
      <c r="BD49" s="572">
        <f t="shared" ca="1" si="50"/>
        <v>0</v>
      </c>
      <c r="BE49" s="652" t="str">
        <f t="shared" ca="1" si="50"/>
        <v>Residential</v>
      </c>
      <c r="BF49" s="652" t="str">
        <f t="shared" ca="1" si="50"/>
        <v>ResCooling - SF Wtd</v>
      </c>
      <c r="BG49" s="652" t="str">
        <f t="shared" ca="1" si="50"/>
        <v>ResSFGasHeat</v>
      </c>
      <c r="BH49" s="652" t="str">
        <f t="shared" ca="1" si="50"/>
        <v>KU Res</v>
      </c>
      <c r="BI49" s="652" t="str">
        <f t="shared" ca="1" si="50"/>
        <v>KU Res</v>
      </c>
      <c r="BJ49" s="652">
        <f t="shared" ca="1" si="47"/>
        <v>18</v>
      </c>
      <c r="BK49" s="652">
        <f t="shared" ca="1" si="47"/>
        <v>0</v>
      </c>
      <c r="BL49" s="652">
        <f t="shared" ca="1" si="47"/>
        <v>0</v>
      </c>
      <c r="BM49" s="652">
        <f t="shared" ca="1" si="47"/>
        <v>0</v>
      </c>
      <c r="BN49" s="652">
        <f t="shared" ca="1" si="47"/>
        <v>0</v>
      </c>
      <c r="BO49" s="652">
        <f t="shared" ca="1" si="47"/>
        <v>0</v>
      </c>
      <c r="BP49" s="652">
        <f t="shared" ca="1" si="47"/>
        <v>0</v>
      </c>
      <c r="BQ49" s="652">
        <f t="shared" ca="1" si="47"/>
        <v>0</v>
      </c>
      <c r="BR49" s="652">
        <f t="shared" ca="1" si="8"/>
        <v>2378</v>
      </c>
      <c r="BS49" s="572">
        <f t="shared" ca="1" si="50"/>
        <v>806142</v>
      </c>
      <c r="BT49" s="572">
        <f t="shared" ca="1" si="50"/>
        <v>0</v>
      </c>
      <c r="BU49" s="572">
        <f t="shared" ca="1" si="50"/>
        <v>713400</v>
      </c>
      <c r="BV49" s="572">
        <f t="shared" ca="1" si="50"/>
        <v>0</v>
      </c>
      <c r="BW49" s="572">
        <f t="shared" ca="1" si="50"/>
        <v>192121.74457121774</v>
      </c>
      <c r="BX49" s="572">
        <f t="shared" ca="1" si="50"/>
        <v>465.7075199999997</v>
      </c>
      <c r="BY49" s="572">
        <f t="shared" ca="1" si="50"/>
        <v>0</v>
      </c>
    </row>
    <row r="50" spans="1:77">
      <c r="A50" s="531" t="str">
        <f t="shared" ca="1" si="0"/>
        <v>Residential Audit OnlineKU-HVAC-DWH-Heat Pump - Air Source ENERGY STAR</v>
      </c>
      <c r="B50" s="1297" t="str">
        <f t="shared" si="48"/>
        <v>KUResidential Audit Online</v>
      </c>
      <c r="C50" s="661" t="s">
        <v>186</v>
      </c>
      <c r="D50" s="662" t="s">
        <v>61</v>
      </c>
      <c r="E50" s="572" t="str">
        <f t="shared" ca="1" si="49"/>
        <v>KU-HVAC-DWH-Heat Pump - Air Source ENERGY STAR</v>
      </c>
      <c r="F50" s="572" t="str">
        <f t="shared" ca="1" si="49"/>
        <v>ENERGY STAR Air Source Heat Pump - SEER2 15.2 and HSPF2 7.8 (Split System) (CEE Tier 1)</v>
      </c>
      <c r="G50" s="572" t="str">
        <f t="shared" ca="1" si="49"/>
        <v>Per Unit</v>
      </c>
      <c r="H50" s="572">
        <f t="shared" ca="1" si="55"/>
        <v>0</v>
      </c>
      <c r="I50" s="572">
        <f t="shared" ca="1" si="55"/>
        <v>229.5</v>
      </c>
      <c r="J50" s="572">
        <f t="shared" ca="1" si="55"/>
        <v>298.5</v>
      </c>
      <c r="K50" s="572">
        <f t="shared" ca="1" si="55"/>
        <v>367.5</v>
      </c>
      <c r="L50" s="572">
        <f t="shared" ca="1" si="55"/>
        <v>459.5</v>
      </c>
      <c r="M50" s="572">
        <f t="shared" ca="1" si="55"/>
        <v>459.5</v>
      </c>
      <c r="N50" s="572">
        <f t="shared" ca="1" si="55"/>
        <v>459.5</v>
      </c>
      <c r="O50" s="572">
        <f t="shared" ca="1" si="55"/>
        <v>0</v>
      </c>
      <c r="P50" s="572">
        <f t="shared" ca="1" si="55"/>
        <v>92947.5</v>
      </c>
      <c r="Q50" s="572">
        <f t="shared" ca="1" si="55"/>
        <v>120892.5</v>
      </c>
      <c r="R50" s="572">
        <f t="shared" ca="1" si="55"/>
        <v>148837.5</v>
      </c>
      <c r="S50" s="572">
        <f t="shared" ca="1" si="55"/>
        <v>186097.5</v>
      </c>
      <c r="T50" s="572">
        <f t="shared" ca="1" si="55"/>
        <v>186097.5</v>
      </c>
      <c r="U50" s="572">
        <f t="shared" ca="1" si="55"/>
        <v>186097.5</v>
      </c>
      <c r="V50" s="572">
        <f t="shared" ca="1" si="55"/>
        <v>0</v>
      </c>
      <c r="W50" s="572">
        <f t="shared" ca="1" si="55"/>
        <v>0</v>
      </c>
      <c r="X50" s="572">
        <f t="shared" ca="1" si="52"/>
        <v>0</v>
      </c>
      <c r="Y50" s="572">
        <f t="shared" ca="1" si="52"/>
        <v>0</v>
      </c>
      <c r="Z50" s="572">
        <f t="shared" ca="1" si="52"/>
        <v>0</v>
      </c>
      <c r="AA50" s="572">
        <f t="shared" ca="1" si="52"/>
        <v>0</v>
      </c>
      <c r="AB50" s="572">
        <f t="shared" ca="1" si="52"/>
        <v>0</v>
      </c>
      <c r="AC50" s="572">
        <f t="shared" ca="1" si="52"/>
        <v>0</v>
      </c>
      <c r="AD50" s="572">
        <f t="shared" ca="1" si="52"/>
        <v>91800</v>
      </c>
      <c r="AE50" s="572">
        <f t="shared" ca="1" si="52"/>
        <v>119400</v>
      </c>
      <c r="AF50" s="572">
        <f t="shared" ca="1" si="52"/>
        <v>147000</v>
      </c>
      <c r="AG50" s="572">
        <f t="shared" ca="1" si="52"/>
        <v>183800</v>
      </c>
      <c r="AH50" s="572">
        <f t="shared" ca="1" si="52"/>
        <v>183800</v>
      </c>
      <c r="AI50" s="572">
        <f t="shared" ca="1" si="52"/>
        <v>183800</v>
      </c>
      <c r="AJ50" s="572">
        <f t="shared" ca="1" si="52"/>
        <v>0</v>
      </c>
      <c r="AK50" s="572">
        <f t="shared" ca="1" si="52"/>
        <v>61209.945844681599</v>
      </c>
      <c r="AL50" s="572">
        <f t="shared" ca="1" si="52"/>
        <v>79612.936098638151</v>
      </c>
      <c r="AM50" s="572">
        <f t="shared" ca="1" si="54"/>
        <v>98015.926352594717</v>
      </c>
      <c r="AN50" s="572">
        <f t="shared" ca="1" si="54"/>
        <v>122553.24669120346</v>
      </c>
      <c r="AO50" s="572">
        <f t="shared" ca="1" si="54"/>
        <v>122553.24669120346</v>
      </c>
      <c r="AP50" s="572">
        <f t="shared" ca="1" si="54"/>
        <v>122553.24669120346</v>
      </c>
      <c r="AQ50" s="572">
        <f t="shared" ca="1" si="54"/>
        <v>0</v>
      </c>
      <c r="AR50" s="572">
        <f t="shared" ca="1" si="54"/>
        <v>42.86995804195805</v>
      </c>
      <c r="AS50" s="572">
        <f t="shared" ca="1" si="54"/>
        <v>55.758965034965044</v>
      </c>
      <c r="AT50" s="572">
        <f t="shared" ca="1" si="54"/>
        <v>68.647972027972045</v>
      </c>
      <c r="AU50" s="572">
        <f t="shared" ca="1" si="54"/>
        <v>85.833314685314704</v>
      </c>
      <c r="AV50" s="572">
        <f t="shared" ca="1" si="54"/>
        <v>85.833314685314704</v>
      </c>
      <c r="AW50" s="572">
        <f t="shared" ca="1" si="54"/>
        <v>85.833314685314704</v>
      </c>
      <c r="AX50" s="572">
        <f t="shared" ca="1" si="54"/>
        <v>0</v>
      </c>
      <c r="AY50" s="572">
        <f t="shared" ca="1" si="54"/>
        <v>0</v>
      </c>
      <c r="AZ50" s="572">
        <f t="shared" ca="1" si="54"/>
        <v>0</v>
      </c>
      <c r="BA50" s="572">
        <f t="shared" ca="1" si="50"/>
        <v>0</v>
      </c>
      <c r="BB50" s="572">
        <f t="shared" ca="1" si="50"/>
        <v>0</v>
      </c>
      <c r="BC50" s="572">
        <f t="shared" ca="1" si="50"/>
        <v>0</v>
      </c>
      <c r="BD50" s="572">
        <f t="shared" ca="1" si="50"/>
        <v>0</v>
      </c>
      <c r="BE50" s="652" t="str">
        <f t="shared" ca="1" si="50"/>
        <v>Residential</v>
      </c>
      <c r="BF50" s="652" t="str">
        <f t="shared" ca="1" si="50"/>
        <v>ResEleTotal - SF Wtd</v>
      </c>
      <c r="BG50" s="652" t="str">
        <f t="shared" ca="1" si="50"/>
        <v>ResSFGasHeat</v>
      </c>
      <c r="BH50" s="652" t="str">
        <f t="shared" ca="1" si="50"/>
        <v>KU Res</v>
      </c>
      <c r="BI50" s="652" t="str">
        <f t="shared" ca="1" si="50"/>
        <v>KU Res</v>
      </c>
      <c r="BJ50" s="652">
        <f t="shared" ca="1" si="47"/>
        <v>18</v>
      </c>
      <c r="BK50" s="652">
        <f t="shared" ca="1" si="47"/>
        <v>0</v>
      </c>
      <c r="BL50" s="652">
        <f t="shared" ca="1" si="47"/>
        <v>0</v>
      </c>
      <c r="BM50" s="652">
        <f t="shared" ca="1" si="47"/>
        <v>0</v>
      </c>
      <c r="BN50" s="652">
        <f t="shared" ca="1" si="47"/>
        <v>0</v>
      </c>
      <c r="BO50" s="652">
        <f t="shared" ca="1" si="47"/>
        <v>0</v>
      </c>
      <c r="BP50" s="652">
        <f t="shared" ca="1" si="47"/>
        <v>0</v>
      </c>
      <c r="BQ50" s="652">
        <f t="shared" ca="1" si="47"/>
        <v>0</v>
      </c>
      <c r="BR50" s="652">
        <f t="shared" ca="1" si="8"/>
        <v>2274</v>
      </c>
      <c r="BS50" s="572">
        <f t="shared" ca="1" si="50"/>
        <v>920970</v>
      </c>
      <c r="BT50" s="572">
        <f t="shared" ca="1" si="50"/>
        <v>0</v>
      </c>
      <c r="BU50" s="572">
        <f t="shared" ca="1" si="50"/>
        <v>909600</v>
      </c>
      <c r="BV50" s="572">
        <f t="shared" ca="1" si="50"/>
        <v>0</v>
      </c>
      <c r="BW50" s="572">
        <f t="shared" ca="1" si="50"/>
        <v>606498.54836952488</v>
      </c>
      <c r="BX50" s="572">
        <f t="shared" ca="1" si="50"/>
        <v>424.77683916083919</v>
      </c>
      <c r="BY50" s="572">
        <f t="shared" ca="1" si="50"/>
        <v>0</v>
      </c>
    </row>
    <row r="51" spans="1:77">
      <c r="A51" s="531" t="str">
        <f t="shared" ca="1" si="0"/>
        <v>Residential Audit OnlineKU-HVAC-DWH-Ductless Heat Pump (DHP)</v>
      </c>
      <c r="B51" s="1297" t="str">
        <f t="shared" si="48"/>
        <v>KUResidential Audit Online</v>
      </c>
      <c r="C51" s="661" t="s">
        <v>187</v>
      </c>
      <c r="D51" s="662" t="s">
        <v>61</v>
      </c>
      <c r="E51" s="572" t="str">
        <f t="shared" ca="1" si="49"/>
        <v>KU-HVAC-DWH-Ductless Heat Pump (DHP)</v>
      </c>
      <c r="F51" s="572" t="str">
        <f t="shared" ca="1" si="49"/>
        <v>Ductless Heat Pump - SEER/EER 18/12.5, HSPF 10.0</v>
      </c>
      <c r="G51" s="572" t="str">
        <f t="shared" ca="1" si="49"/>
        <v>Per Unit</v>
      </c>
      <c r="H51" s="572">
        <f t="shared" ca="1" si="55"/>
        <v>0</v>
      </c>
      <c r="I51" s="572">
        <f t="shared" ca="1" si="55"/>
        <v>234.75</v>
      </c>
      <c r="J51" s="572">
        <f t="shared" ca="1" si="55"/>
        <v>305.25</v>
      </c>
      <c r="K51" s="572">
        <f t="shared" ca="1" si="55"/>
        <v>376</v>
      </c>
      <c r="L51" s="572">
        <f t="shared" ca="1" si="55"/>
        <v>470</v>
      </c>
      <c r="M51" s="572">
        <f t="shared" ca="1" si="55"/>
        <v>470</v>
      </c>
      <c r="N51" s="572">
        <f t="shared" ca="1" si="55"/>
        <v>470</v>
      </c>
      <c r="O51" s="572">
        <f t="shared" ca="1" si="55"/>
        <v>0</v>
      </c>
      <c r="P51" s="572">
        <f t="shared" ca="1" si="55"/>
        <v>235219.5</v>
      </c>
      <c r="Q51" s="572">
        <f t="shared" ca="1" si="55"/>
        <v>305860.5</v>
      </c>
      <c r="R51" s="572">
        <f t="shared" ca="1" si="55"/>
        <v>376752</v>
      </c>
      <c r="S51" s="572">
        <f t="shared" ca="1" si="55"/>
        <v>470940</v>
      </c>
      <c r="T51" s="572">
        <f t="shared" ca="1" si="55"/>
        <v>470940</v>
      </c>
      <c r="U51" s="572">
        <f t="shared" ca="1" si="55"/>
        <v>470940</v>
      </c>
      <c r="V51" s="572">
        <f t="shared" ca="1" si="55"/>
        <v>0</v>
      </c>
      <c r="W51" s="572">
        <f t="shared" ca="1" si="55"/>
        <v>0</v>
      </c>
      <c r="X51" s="572">
        <f t="shared" ca="1" si="52"/>
        <v>0</v>
      </c>
      <c r="Y51" s="572">
        <f t="shared" ca="1" si="52"/>
        <v>0</v>
      </c>
      <c r="Z51" s="572">
        <f t="shared" ca="1" si="52"/>
        <v>0</v>
      </c>
      <c r="AA51" s="572">
        <f t="shared" ca="1" si="52"/>
        <v>0</v>
      </c>
      <c r="AB51" s="572">
        <f t="shared" ca="1" si="52"/>
        <v>0</v>
      </c>
      <c r="AC51" s="572">
        <f t="shared" ca="1" si="52"/>
        <v>0</v>
      </c>
      <c r="AD51" s="572">
        <f t="shared" ca="1" si="52"/>
        <v>93900</v>
      </c>
      <c r="AE51" s="572">
        <f t="shared" ca="1" si="52"/>
        <v>122100</v>
      </c>
      <c r="AF51" s="572">
        <f t="shared" ca="1" si="52"/>
        <v>150400</v>
      </c>
      <c r="AG51" s="572">
        <f t="shared" ca="1" si="52"/>
        <v>188000</v>
      </c>
      <c r="AH51" s="572">
        <f t="shared" ca="1" si="52"/>
        <v>188000</v>
      </c>
      <c r="AI51" s="572">
        <f t="shared" ca="1" si="52"/>
        <v>188000</v>
      </c>
      <c r="AJ51" s="572">
        <f t="shared" ca="1" si="52"/>
        <v>0</v>
      </c>
      <c r="AK51" s="572">
        <f t="shared" ca="1" si="52"/>
        <v>979463.05522405182</v>
      </c>
      <c r="AL51" s="572">
        <f t="shared" ca="1" si="52"/>
        <v>1273614.8992849493</v>
      </c>
      <c r="AM51" s="572">
        <f t="shared" ca="1" si="54"/>
        <v>1568809.8349914525</v>
      </c>
      <c r="AN51" s="572">
        <f t="shared" ca="1" si="54"/>
        <v>1961012.2937393158</v>
      </c>
      <c r="AO51" s="572">
        <f t="shared" ca="1" si="54"/>
        <v>1961012.2937393158</v>
      </c>
      <c r="AP51" s="572">
        <f t="shared" ca="1" si="54"/>
        <v>1961012.2937393158</v>
      </c>
      <c r="AQ51" s="572">
        <f t="shared" ca="1" si="54"/>
        <v>0</v>
      </c>
      <c r="AR51" s="572">
        <f t="shared" ca="1" si="54"/>
        <v>0</v>
      </c>
      <c r="AS51" s="572">
        <f t="shared" ca="1" si="54"/>
        <v>0</v>
      </c>
      <c r="AT51" s="572">
        <f t="shared" ca="1" si="54"/>
        <v>0</v>
      </c>
      <c r="AU51" s="572">
        <f t="shared" ca="1" si="54"/>
        <v>0</v>
      </c>
      <c r="AV51" s="572">
        <f t="shared" ca="1" si="54"/>
        <v>0</v>
      </c>
      <c r="AW51" s="572">
        <f t="shared" ca="1" si="54"/>
        <v>0</v>
      </c>
      <c r="AX51" s="572">
        <f t="shared" ca="1" si="54"/>
        <v>0</v>
      </c>
      <c r="AY51" s="572">
        <f t="shared" ca="1" si="54"/>
        <v>0</v>
      </c>
      <c r="AZ51" s="572">
        <f t="shared" ca="1" si="54"/>
        <v>0</v>
      </c>
      <c r="BA51" s="572">
        <f t="shared" ca="1" si="50"/>
        <v>0</v>
      </c>
      <c r="BB51" s="572">
        <f t="shared" ca="1" si="50"/>
        <v>0</v>
      </c>
      <c r="BC51" s="572">
        <f t="shared" ca="1" si="50"/>
        <v>0</v>
      </c>
      <c r="BD51" s="572">
        <f t="shared" ca="1" si="50"/>
        <v>0</v>
      </c>
      <c r="BE51" s="652" t="str">
        <f t="shared" ca="1" si="50"/>
        <v>Residential</v>
      </c>
      <c r="BF51" s="652" t="str">
        <f t="shared" ca="1" si="50"/>
        <v>ResEleTotal - SF Wtd</v>
      </c>
      <c r="BG51" s="652" t="str">
        <f t="shared" ca="1" si="50"/>
        <v>ResSFGasHeat</v>
      </c>
      <c r="BH51" s="652" t="str">
        <f t="shared" ca="1" si="50"/>
        <v>KU Res</v>
      </c>
      <c r="BI51" s="652" t="str">
        <f t="shared" ca="1" si="50"/>
        <v>KU Res</v>
      </c>
      <c r="BJ51" s="652">
        <f t="shared" ca="1" si="47"/>
        <v>18</v>
      </c>
      <c r="BK51" s="652">
        <f t="shared" ca="1" si="47"/>
        <v>0</v>
      </c>
      <c r="BL51" s="652">
        <f t="shared" ca="1" si="47"/>
        <v>0</v>
      </c>
      <c r="BM51" s="652">
        <f t="shared" ca="1" si="47"/>
        <v>0</v>
      </c>
      <c r="BN51" s="652">
        <f t="shared" ca="1" si="47"/>
        <v>0</v>
      </c>
      <c r="BO51" s="652">
        <f t="shared" ca="1" si="47"/>
        <v>0</v>
      </c>
      <c r="BP51" s="652">
        <f t="shared" ca="1" si="47"/>
        <v>0</v>
      </c>
      <c r="BQ51" s="652">
        <f t="shared" ca="1" si="47"/>
        <v>0</v>
      </c>
      <c r="BR51" s="652">
        <f t="shared" ca="1" si="8"/>
        <v>2326</v>
      </c>
      <c r="BS51" s="572">
        <f t="shared" ca="1" si="50"/>
        <v>2330652</v>
      </c>
      <c r="BT51" s="572">
        <f t="shared" ca="1" si="50"/>
        <v>0</v>
      </c>
      <c r="BU51" s="572">
        <f t="shared" ca="1" si="50"/>
        <v>930400</v>
      </c>
      <c r="BV51" s="572">
        <f t="shared" ca="1" si="50"/>
        <v>0</v>
      </c>
      <c r="BW51" s="572">
        <f t="shared" ca="1" si="50"/>
        <v>9704924.6707184017</v>
      </c>
      <c r="BX51" s="572">
        <f t="shared" ca="1" si="50"/>
        <v>0</v>
      </c>
      <c r="BY51" s="572">
        <f t="shared" ca="1" si="50"/>
        <v>0</v>
      </c>
    </row>
    <row r="52" spans="1:77">
      <c r="A52" s="531" t="str">
        <f t="shared" ca="1" si="0"/>
        <v>Residential Audit OnlineKU-HVAC-DWH-Boiler - ENERGY STAR</v>
      </c>
      <c r="B52" s="1297" t="str">
        <f t="shared" si="48"/>
        <v>KUResidential Audit Online</v>
      </c>
      <c r="C52" s="661" t="s">
        <v>188</v>
      </c>
      <c r="D52" s="662" t="s">
        <v>61</v>
      </c>
      <c r="E52" s="572" t="str">
        <f t="shared" ca="1" si="49"/>
        <v>KU-HVAC-DWH-Boiler - ENERGY STAR</v>
      </c>
      <c r="F52" s="572" t="str">
        <f t="shared" ca="1" si="49"/>
        <v>ENERGY STAR Boiler - 90% AFUE</v>
      </c>
      <c r="G52" s="572" t="str">
        <f t="shared" ca="1" si="49"/>
        <v>Per Unit</v>
      </c>
      <c r="H52" s="572">
        <f t="shared" ca="1" si="55"/>
        <v>0</v>
      </c>
      <c r="I52" s="572">
        <f t="shared" ca="1" si="55"/>
        <v>0</v>
      </c>
      <c r="J52" s="572">
        <f t="shared" ca="1" si="55"/>
        <v>0</v>
      </c>
      <c r="K52" s="572">
        <f t="shared" ca="1" si="55"/>
        <v>0</v>
      </c>
      <c r="L52" s="572">
        <f t="shared" ca="1" si="55"/>
        <v>0</v>
      </c>
      <c r="M52" s="572">
        <f t="shared" ca="1" si="55"/>
        <v>0</v>
      </c>
      <c r="N52" s="572">
        <f t="shared" ca="1" si="55"/>
        <v>0</v>
      </c>
      <c r="O52" s="572">
        <f t="shared" ca="1" si="55"/>
        <v>0</v>
      </c>
      <c r="P52" s="572">
        <f t="shared" ca="1" si="55"/>
        <v>0</v>
      </c>
      <c r="Q52" s="572">
        <f t="shared" ca="1" si="55"/>
        <v>0</v>
      </c>
      <c r="R52" s="572">
        <f t="shared" ca="1" si="55"/>
        <v>0</v>
      </c>
      <c r="S52" s="572">
        <f t="shared" ca="1" si="55"/>
        <v>0</v>
      </c>
      <c r="T52" s="572">
        <f t="shared" ca="1" si="55"/>
        <v>0</v>
      </c>
      <c r="U52" s="572">
        <f t="shared" ca="1" si="55"/>
        <v>0</v>
      </c>
      <c r="V52" s="572">
        <f t="shared" ca="1" si="55"/>
        <v>0</v>
      </c>
      <c r="W52" s="572">
        <f t="shared" ca="1" si="55"/>
        <v>0</v>
      </c>
      <c r="X52" s="572">
        <f t="shared" ca="1" si="52"/>
        <v>0</v>
      </c>
      <c r="Y52" s="572">
        <f t="shared" ca="1" si="52"/>
        <v>0</v>
      </c>
      <c r="Z52" s="572">
        <f t="shared" ca="1" si="52"/>
        <v>0</v>
      </c>
      <c r="AA52" s="572">
        <f t="shared" ca="1" si="52"/>
        <v>0</v>
      </c>
      <c r="AB52" s="572">
        <f t="shared" ca="1" si="52"/>
        <v>0</v>
      </c>
      <c r="AC52" s="572">
        <f t="shared" ca="1" si="52"/>
        <v>0</v>
      </c>
      <c r="AD52" s="572">
        <f t="shared" ca="1" si="52"/>
        <v>0</v>
      </c>
      <c r="AE52" s="572">
        <f t="shared" ca="1" si="52"/>
        <v>0</v>
      </c>
      <c r="AF52" s="572">
        <f t="shared" ca="1" si="52"/>
        <v>0</v>
      </c>
      <c r="AG52" s="572">
        <f t="shared" ca="1" si="52"/>
        <v>0</v>
      </c>
      <c r="AH52" s="572">
        <f t="shared" ca="1" si="52"/>
        <v>0</v>
      </c>
      <c r="AI52" s="572">
        <f t="shared" ca="1" si="52"/>
        <v>0</v>
      </c>
      <c r="AJ52" s="572">
        <f t="shared" ca="1" si="52"/>
        <v>0</v>
      </c>
      <c r="AK52" s="572">
        <f t="shared" ca="1" si="52"/>
        <v>0</v>
      </c>
      <c r="AL52" s="572">
        <f t="shared" ca="1" si="52"/>
        <v>0</v>
      </c>
      <c r="AM52" s="572">
        <f t="shared" ca="1" si="54"/>
        <v>0</v>
      </c>
      <c r="AN52" s="572">
        <f t="shared" ca="1" si="54"/>
        <v>0</v>
      </c>
      <c r="AO52" s="572">
        <f t="shared" ca="1" si="54"/>
        <v>0</v>
      </c>
      <c r="AP52" s="572">
        <f t="shared" ca="1" si="54"/>
        <v>0</v>
      </c>
      <c r="AQ52" s="572">
        <f t="shared" ca="1" si="54"/>
        <v>0</v>
      </c>
      <c r="AR52" s="572">
        <f t="shared" ca="1" si="54"/>
        <v>0</v>
      </c>
      <c r="AS52" s="572">
        <f t="shared" ca="1" si="54"/>
        <v>0</v>
      </c>
      <c r="AT52" s="572">
        <f t="shared" ca="1" si="54"/>
        <v>0</v>
      </c>
      <c r="AU52" s="572">
        <f t="shared" ca="1" si="54"/>
        <v>0</v>
      </c>
      <c r="AV52" s="572">
        <f t="shared" ca="1" si="54"/>
        <v>0</v>
      </c>
      <c r="AW52" s="572">
        <f t="shared" ca="1" si="54"/>
        <v>0</v>
      </c>
      <c r="AX52" s="572">
        <f t="shared" ca="1" si="54"/>
        <v>0</v>
      </c>
      <c r="AY52" s="572">
        <f t="shared" ca="1" si="54"/>
        <v>0</v>
      </c>
      <c r="AZ52" s="572">
        <f t="shared" ca="1" si="54"/>
        <v>0</v>
      </c>
      <c r="BA52" s="572">
        <f t="shared" ca="1" si="50"/>
        <v>0</v>
      </c>
      <c r="BB52" s="572">
        <f t="shared" ca="1" si="50"/>
        <v>0</v>
      </c>
      <c r="BC52" s="572">
        <f t="shared" ca="1" si="50"/>
        <v>0</v>
      </c>
      <c r="BD52" s="572">
        <f t="shared" ca="1" si="50"/>
        <v>0</v>
      </c>
      <c r="BE52" s="652" t="str">
        <f t="shared" ca="1" si="50"/>
        <v>Residential</v>
      </c>
      <c r="BF52" s="652" t="str">
        <f t="shared" ca="1" si="50"/>
        <v>ResEleTotal - SF Wtd</v>
      </c>
      <c r="BG52" s="652" t="str">
        <f t="shared" ca="1" si="50"/>
        <v>ResSFGasHeat</v>
      </c>
      <c r="BH52" s="652" t="str">
        <f t="shared" ca="1" si="50"/>
        <v>KU Res</v>
      </c>
      <c r="BI52" s="652" t="str">
        <f t="shared" ca="1" si="50"/>
        <v>KU Res</v>
      </c>
      <c r="BJ52" s="652">
        <f t="shared" ca="1" si="47"/>
        <v>18</v>
      </c>
      <c r="BK52" s="652">
        <f t="shared" ca="1" si="47"/>
        <v>0</v>
      </c>
      <c r="BL52" s="652">
        <f t="shared" ca="1" si="47"/>
        <v>0</v>
      </c>
      <c r="BM52" s="652">
        <f t="shared" ca="1" si="47"/>
        <v>0</v>
      </c>
      <c r="BN52" s="652">
        <f t="shared" ca="1" si="47"/>
        <v>0</v>
      </c>
      <c r="BO52" s="652">
        <f t="shared" ca="1" si="47"/>
        <v>0</v>
      </c>
      <c r="BP52" s="652">
        <f t="shared" ca="1" si="47"/>
        <v>0</v>
      </c>
      <c r="BQ52" s="652">
        <f t="shared" ca="1" si="47"/>
        <v>0</v>
      </c>
      <c r="BR52" s="652">
        <f t="shared" ca="1" si="8"/>
        <v>0</v>
      </c>
      <c r="BS52" s="572">
        <f t="shared" ca="1" si="50"/>
        <v>0</v>
      </c>
      <c r="BT52" s="572">
        <f t="shared" ca="1" si="50"/>
        <v>0</v>
      </c>
      <c r="BU52" s="572">
        <f t="shared" ca="1" si="50"/>
        <v>0</v>
      </c>
      <c r="BV52" s="572">
        <f t="shared" ca="1" si="50"/>
        <v>0</v>
      </c>
      <c r="BW52" s="572">
        <f t="shared" ca="1" si="50"/>
        <v>0</v>
      </c>
      <c r="BX52" s="572">
        <f t="shared" ca="1" si="50"/>
        <v>0</v>
      </c>
      <c r="BY52" s="572">
        <f t="shared" ca="1" si="50"/>
        <v>0</v>
      </c>
    </row>
    <row r="53" spans="1:77">
      <c r="A53" s="531" t="str">
        <f t="shared" ca="1" si="0"/>
        <v>Residential Audit OnlineKU-HVAC-DWH-Furnace - ENERGY STAR</v>
      </c>
      <c r="B53" s="1297" t="str">
        <f t="shared" si="48"/>
        <v>KUResidential Audit Online</v>
      </c>
      <c r="C53" s="661" t="s">
        <v>189</v>
      </c>
      <c r="D53" s="662" t="s">
        <v>61</v>
      </c>
      <c r="E53" s="572" t="str">
        <f t="shared" ca="1" si="49"/>
        <v>KU-HVAC-DWH-Furnace - ENERGY STAR</v>
      </c>
      <c r="F53" s="572" t="str">
        <f t="shared" ca="1" si="49"/>
        <v>ENERGY STAR Furnace - 95% AFUE</v>
      </c>
      <c r="G53" s="572" t="str">
        <f t="shared" ca="1" si="49"/>
        <v>Per Unit</v>
      </c>
      <c r="H53" s="572">
        <f t="shared" ca="1" si="55"/>
        <v>0</v>
      </c>
      <c r="I53" s="572">
        <f t="shared" ca="1" si="55"/>
        <v>0</v>
      </c>
      <c r="J53" s="572">
        <f t="shared" ca="1" si="55"/>
        <v>0</v>
      </c>
      <c r="K53" s="572">
        <f t="shared" ca="1" si="55"/>
        <v>0</v>
      </c>
      <c r="L53" s="572">
        <f t="shared" ca="1" si="55"/>
        <v>0</v>
      </c>
      <c r="M53" s="572">
        <f t="shared" ca="1" si="55"/>
        <v>0</v>
      </c>
      <c r="N53" s="572">
        <f t="shared" ca="1" si="55"/>
        <v>0</v>
      </c>
      <c r="O53" s="572">
        <f t="shared" ca="1" si="55"/>
        <v>0</v>
      </c>
      <c r="P53" s="572">
        <f t="shared" ca="1" si="55"/>
        <v>0</v>
      </c>
      <c r="Q53" s="572">
        <f t="shared" ca="1" si="55"/>
        <v>0</v>
      </c>
      <c r="R53" s="572">
        <f t="shared" ca="1" si="55"/>
        <v>0</v>
      </c>
      <c r="S53" s="572">
        <f t="shared" ca="1" si="55"/>
        <v>0</v>
      </c>
      <c r="T53" s="572">
        <f t="shared" ca="1" si="55"/>
        <v>0</v>
      </c>
      <c r="U53" s="572">
        <f t="shared" ca="1" si="55"/>
        <v>0</v>
      </c>
      <c r="V53" s="572">
        <f t="shared" ca="1" si="55"/>
        <v>0</v>
      </c>
      <c r="W53" s="572">
        <f t="shared" ca="1" si="55"/>
        <v>0</v>
      </c>
      <c r="X53" s="572">
        <f t="shared" ca="1" si="52"/>
        <v>0</v>
      </c>
      <c r="Y53" s="572">
        <f t="shared" ca="1" si="52"/>
        <v>0</v>
      </c>
      <c r="Z53" s="572">
        <f t="shared" ca="1" si="52"/>
        <v>0</v>
      </c>
      <c r="AA53" s="572">
        <f t="shared" ca="1" si="52"/>
        <v>0</v>
      </c>
      <c r="AB53" s="572">
        <f t="shared" ca="1" si="52"/>
        <v>0</v>
      </c>
      <c r="AC53" s="572">
        <f t="shared" ca="1" si="52"/>
        <v>0</v>
      </c>
      <c r="AD53" s="572">
        <f t="shared" ca="1" si="52"/>
        <v>0</v>
      </c>
      <c r="AE53" s="572">
        <f t="shared" ca="1" si="52"/>
        <v>0</v>
      </c>
      <c r="AF53" s="572">
        <f t="shared" ca="1" si="52"/>
        <v>0</v>
      </c>
      <c r="AG53" s="572">
        <f t="shared" ca="1" si="52"/>
        <v>0</v>
      </c>
      <c r="AH53" s="572">
        <f t="shared" ca="1" si="52"/>
        <v>0</v>
      </c>
      <c r="AI53" s="572">
        <f t="shared" ca="1" si="52"/>
        <v>0</v>
      </c>
      <c r="AJ53" s="572">
        <f t="shared" ca="1" si="52"/>
        <v>0</v>
      </c>
      <c r="AK53" s="572">
        <f t="shared" ca="1" si="52"/>
        <v>0</v>
      </c>
      <c r="AL53" s="572">
        <f t="shared" ca="1" si="52"/>
        <v>0</v>
      </c>
      <c r="AM53" s="572">
        <f t="shared" ca="1" si="54"/>
        <v>0</v>
      </c>
      <c r="AN53" s="572">
        <f t="shared" ca="1" si="54"/>
        <v>0</v>
      </c>
      <c r="AO53" s="572">
        <f t="shared" ca="1" si="54"/>
        <v>0</v>
      </c>
      <c r="AP53" s="572">
        <f t="shared" ca="1" si="54"/>
        <v>0</v>
      </c>
      <c r="AQ53" s="572">
        <f t="shared" ca="1" si="54"/>
        <v>0</v>
      </c>
      <c r="AR53" s="572">
        <f t="shared" ca="1" si="54"/>
        <v>0</v>
      </c>
      <c r="AS53" s="572">
        <f t="shared" ca="1" si="54"/>
        <v>0</v>
      </c>
      <c r="AT53" s="572">
        <f t="shared" ca="1" si="54"/>
        <v>0</v>
      </c>
      <c r="AU53" s="572">
        <f t="shared" ca="1" si="54"/>
        <v>0</v>
      </c>
      <c r="AV53" s="572">
        <f t="shared" ca="1" si="54"/>
        <v>0</v>
      </c>
      <c r="AW53" s="572">
        <f t="shared" ca="1" si="54"/>
        <v>0</v>
      </c>
      <c r="AX53" s="572">
        <f t="shared" ca="1" si="54"/>
        <v>0</v>
      </c>
      <c r="AY53" s="572">
        <f t="shared" ca="1" si="54"/>
        <v>0</v>
      </c>
      <c r="AZ53" s="572">
        <f t="shared" ca="1" si="54"/>
        <v>0</v>
      </c>
      <c r="BA53" s="572">
        <f t="shared" ca="1" si="50"/>
        <v>0</v>
      </c>
      <c r="BB53" s="572">
        <f t="shared" ca="1" si="50"/>
        <v>0</v>
      </c>
      <c r="BC53" s="572">
        <f t="shared" ca="1" si="50"/>
        <v>0</v>
      </c>
      <c r="BD53" s="572">
        <f t="shared" ca="1" si="50"/>
        <v>0</v>
      </c>
      <c r="BE53" s="652" t="str">
        <f t="shared" ca="1" si="50"/>
        <v>Residential</v>
      </c>
      <c r="BF53" s="652" t="str">
        <f t="shared" ca="1" si="50"/>
        <v>ResEleTotal - SF Wtd</v>
      </c>
      <c r="BG53" s="652" t="str">
        <f t="shared" ca="1" si="50"/>
        <v>ResSFGasHeat</v>
      </c>
      <c r="BH53" s="652" t="str">
        <f t="shared" ca="1" si="50"/>
        <v>KU Res</v>
      </c>
      <c r="BI53" s="652" t="str">
        <f t="shared" ca="1" si="50"/>
        <v>KU Res</v>
      </c>
      <c r="BJ53" s="652">
        <f t="shared" ca="1" si="47"/>
        <v>18</v>
      </c>
      <c r="BK53" s="652">
        <f t="shared" ca="1" si="47"/>
        <v>0</v>
      </c>
      <c r="BL53" s="652">
        <f t="shared" ca="1" si="47"/>
        <v>0</v>
      </c>
      <c r="BM53" s="652">
        <f t="shared" ca="1" si="47"/>
        <v>0</v>
      </c>
      <c r="BN53" s="652">
        <f t="shared" ca="1" si="47"/>
        <v>0</v>
      </c>
      <c r="BO53" s="652">
        <f t="shared" ca="1" si="47"/>
        <v>0</v>
      </c>
      <c r="BP53" s="652">
        <f t="shared" ca="1" si="47"/>
        <v>0</v>
      </c>
      <c r="BQ53" s="652">
        <f t="shared" ca="1" si="47"/>
        <v>0</v>
      </c>
      <c r="BR53" s="652">
        <f t="shared" ca="1" si="8"/>
        <v>0</v>
      </c>
      <c r="BS53" s="572">
        <f t="shared" ca="1" si="50"/>
        <v>0</v>
      </c>
      <c r="BT53" s="572">
        <f t="shared" ca="1" si="50"/>
        <v>0</v>
      </c>
      <c r="BU53" s="572">
        <f t="shared" ca="1" si="50"/>
        <v>0</v>
      </c>
      <c r="BV53" s="572">
        <f t="shared" ca="1" si="50"/>
        <v>0</v>
      </c>
      <c r="BW53" s="572">
        <f t="shared" ca="1" si="50"/>
        <v>0</v>
      </c>
      <c r="BX53" s="572">
        <f t="shared" ca="1" si="50"/>
        <v>0</v>
      </c>
      <c r="BY53" s="572">
        <f t="shared" ca="1" si="50"/>
        <v>0</v>
      </c>
    </row>
    <row r="54" spans="1:77">
      <c r="A54" s="531" t="str">
        <f t="shared" ca="1" si="0"/>
        <v>Residential Audit OnlineKU-HVAC-DWH-Heat Pump Water Heater - ENERGY STAR</v>
      </c>
      <c r="B54" s="1297" t="str">
        <f t="shared" si="48"/>
        <v>KUResidential Audit Online</v>
      </c>
      <c r="C54" s="661" t="s">
        <v>190</v>
      </c>
      <c r="D54" s="662" t="s">
        <v>61</v>
      </c>
      <c r="E54" s="572" t="str">
        <f t="shared" ca="1" si="49"/>
        <v>KU-HVAC-DWH-Heat Pump Water Heater - ENERGY STAR</v>
      </c>
      <c r="F54" s="572" t="str">
        <f t="shared" ca="1" si="49"/>
        <v>ENERGY STAR Heat Pump Water Heater ≤ 55 GAL - UEF 2.2</v>
      </c>
      <c r="G54" s="572" t="str">
        <f t="shared" ca="1" si="49"/>
        <v>Per Unit</v>
      </c>
      <c r="H54" s="572">
        <f t="shared" ca="1" si="55"/>
        <v>0</v>
      </c>
      <c r="I54" s="572">
        <f t="shared" ca="1" si="55"/>
        <v>37.5</v>
      </c>
      <c r="J54" s="572">
        <f t="shared" ca="1" si="55"/>
        <v>48.5</v>
      </c>
      <c r="K54" s="572">
        <f t="shared" ca="1" si="55"/>
        <v>60</v>
      </c>
      <c r="L54" s="572">
        <f t="shared" ca="1" si="55"/>
        <v>75</v>
      </c>
      <c r="M54" s="572">
        <f t="shared" ca="1" si="55"/>
        <v>75</v>
      </c>
      <c r="N54" s="572">
        <f t="shared" ca="1" si="55"/>
        <v>75</v>
      </c>
      <c r="O54" s="572">
        <f t="shared" ca="1" si="55"/>
        <v>0</v>
      </c>
      <c r="P54" s="572">
        <f t="shared" ca="1" si="55"/>
        <v>38625</v>
      </c>
      <c r="Q54" s="572">
        <f t="shared" ca="1" si="55"/>
        <v>49955</v>
      </c>
      <c r="R54" s="572">
        <f t="shared" ca="1" si="55"/>
        <v>61800</v>
      </c>
      <c r="S54" s="572">
        <f t="shared" ca="1" si="55"/>
        <v>77250</v>
      </c>
      <c r="T54" s="572">
        <f t="shared" ca="1" si="55"/>
        <v>77250</v>
      </c>
      <c r="U54" s="572">
        <f t="shared" ca="1" si="55"/>
        <v>77250</v>
      </c>
      <c r="V54" s="572">
        <f t="shared" ca="1" si="55"/>
        <v>0</v>
      </c>
      <c r="W54" s="572">
        <f t="shared" ca="1" si="55"/>
        <v>0</v>
      </c>
      <c r="X54" s="572">
        <f t="shared" ca="1" si="52"/>
        <v>0</v>
      </c>
      <c r="Y54" s="572">
        <f t="shared" ca="1" si="52"/>
        <v>0</v>
      </c>
      <c r="Z54" s="572">
        <f t="shared" ca="1" si="52"/>
        <v>0</v>
      </c>
      <c r="AA54" s="572">
        <f t="shared" ca="1" si="52"/>
        <v>0</v>
      </c>
      <c r="AB54" s="572">
        <f t="shared" ca="1" si="52"/>
        <v>0</v>
      </c>
      <c r="AC54" s="572">
        <f t="shared" ca="1" si="52"/>
        <v>0</v>
      </c>
      <c r="AD54" s="572">
        <f t="shared" ca="1" si="52"/>
        <v>11250</v>
      </c>
      <c r="AE54" s="572">
        <f t="shared" ca="1" si="52"/>
        <v>14550</v>
      </c>
      <c r="AF54" s="572">
        <f t="shared" ca="1" si="52"/>
        <v>18000</v>
      </c>
      <c r="AG54" s="572">
        <f t="shared" ca="1" si="52"/>
        <v>22500</v>
      </c>
      <c r="AH54" s="572">
        <f t="shared" ca="1" si="52"/>
        <v>22500</v>
      </c>
      <c r="AI54" s="572">
        <f t="shared" ca="1" si="52"/>
        <v>22500</v>
      </c>
      <c r="AJ54" s="572">
        <f t="shared" ca="1" si="52"/>
        <v>0</v>
      </c>
      <c r="AK54" s="572">
        <f t="shared" ca="1" si="52"/>
        <v>54577.835442001342</v>
      </c>
      <c r="AL54" s="572">
        <f t="shared" ca="1" si="52"/>
        <v>70587.333838321734</v>
      </c>
      <c r="AM54" s="572">
        <f t="shared" ca="1" si="52"/>
        <v>87324.536707202147</v>
      </c>
      <c r="AN54" s="572">
        <f t="shared" ca="1" si="54"/>
        <v>109155.67088400268</v>
      </c>
      <c r="AO54" s="572">
        <f t="shared" ca="1" si="54"/>
        <v>109155.67088400268</v>
      </c>
      <c r="AP54" s="572">
        <f t="shared" ca="1" si="54"/>
        <v>109155.67088400268</v>
      </c>
      <c r="AQ54" s="572">
        <f t="shared" ca="1" si="54"/>
        <v>0</v>
      </c>
      <c r="AR54" s="572">
        <f t="shared" ca="1" si="54"/>
        <v>2.17741935483871</v>
      </c>
      <c r="AS54" s="572">
        <f t="shared" ca="1" si="54"/>
        <v>2.8161290322580648</v>
      </c>
      <c r="AT54" s="572">
        <f t="shared" ca="1" si="54"/>
        <v>3.4838709677419355</v>
      </c>
      <c r="AU54" s="572">
        <f t="shared" ca="1" si="54"/>
        <v>4.3548387096774199</v>
      </c>
      <c r="AV54" s="572">
        <f t="shared" ca="1" si="54"/>
        <v>4.3548387096774199</v>
      </c>
      <c r="AW54" s="572">
        <f t="shared" ca="1" si="54"/>
        <v>4.3548387096774199</v>
      </c>
      <c r="AX54" s="572">
        <f t="shared" ca="1" si="54"/>
        <v>0</v>
      </c>
      <c r="AY54" s="572">
        <f t="shared" ca="1" si="54"/>
        <v>0</v>
      </c>
      <c r="AZ54" s="572">
        <f t="shared" ca="1" si="54"/>
        <v>0</v>
      </c>
      <c r="BA54" s="572">
        <f t="shared" ca="1" si="50"/>
        <v>0</v>
      </c>
      <c r="BB54" s="572">
        <f t="shared" ca="1" si="50"/>
        <v>0</v>
      </c>
      <c r="BC54" s="572">
        <f t="shared" ca="1" si="50"/>
        <v>0</v>
      </c>
      <c r="BD54" s="572">
        <f t="shared" ca="1" si="50"/>
        <v>0</v>
      </c>
      <c r="BE54" s="652" t="str">
        <f t="shared" ca="1" si="50"/>
        <v>Residential</v>
      </c>
      <c r="BF54" s="652" t="str">
        <f t="shared" ca="1" si="50"/>
        <v>ResHotWater - SF Wtd</v>
      </c>
      <c r="BG54" s="652" t="str">
        <f t="shared" ca="1" si="50"/>
        <v>ResSFGasHeat</v>
      </c>
      <c r="BH54" s="652" t="str">
        <f t="shared" ca="1" si="50"/>
        <v>KU Res</v>
      </c>
      <c r="BI54" s="652" t="str">
        <f t="shared" ca="1" si="50"/>
        <v>KU Res</v>
      </c>
      <c r="BJ54" s="652">
        <f t="shared" ca="1" si="50"/>
        <v>13</v>
      </c>
      <c r="BK54" s="652">
        <f t="shared" ca="1" si="50"/>
        <v>0</v>
      </c>
      <c r="BL54" s="652">
        <f t="shared" ca="1" si="50"/>
        <v>0</v>
      </c>
      <c r="BM54" s="652">
        <f t="shared" ca="1" si="50"/>
        <v>0</v>
      </c>
      <c r="BN54" s="652">
        <f t="shared" ca="1" si="50"/>
        <v>0</v>
      </c>
      <c r="BO54" s="652">
        <f t="shared" ca="1" si="50"/>
        <v>0</v>
      </c>
      <c r="BP54" s="652">
        <f t="shared" ca="1" si="50"/>
        <v>0</v>
      </c>
      <c r="BQ54" s="652">
        <f t="shared" ca="1" si="50"/>
        <v>0</v>
      </c>
      <c r="BR54" s="652">
        <f t="shared" ca="1" si="8"/>
        <v>371</v>
      </c>
      <c r="BS54" s="572">
        <f t="shared" ca="1" si="50"/>
        <v>382130</v>
      </c>
      <c r="BT54" s="572">
        <f t="shared" ca="1" si="50"/>
        <v>0</v>
      </c>
      <c r="BU54" s="572">
        <f t="shared" ca="1" si="50"/>
        <v>111300</v>
      </c>
      <c r="BV54" s="572">
        <f t="shared" ca="1" si="50"/>
        <v>0</v>
      </c>
      <c r="BW54" s="572">
        <f t="shared" ca="1" si="50"/>
        <v>539956.71863953327</v>
      </c>
      <c r="BX54" s="572">
        <f t="shared" ca="1" si="50"/>
        <v>21.541935483870969</v>
      </c>
      <c r="BY54" s="572">
        <f t="shared" ca="1" si="50"/>
        <v>0</v>
      </c>
    </row>
    <row r="55" spans="1:77">
      <c r="A55" s="531" t="str">
        <f t="shared" ca="1" si="0"/>
        <v>Residential Audit OnlineLG&amp;E-Residential Audit - Virtual</v>
      </c>
      <c r="B55" s="1297" t="str">
        <f t="shared" si="48"/>
        <v>LG&amp;EResidential Audit Online</v>
      </c>
      <c r="C55" s="661" t="s">
        <v>172</v>
      </c>
      <c r="D55" s="662" t="s">
        <v>61</v>
      </c>
      <c r="E55" s="572" t="str">
        <f t="shared" ref="E55:G60" ca="1" si="56">VLOOKUP($C55,INDIRECT("'"&amp;$D55&amp;"'!A6:FC1000"),IF(E$6="Participation 2023",MATCH("__Participation 2023",INDIRECT("'"&amp;$D55&amp;"'!1:1"),0),IF(E$6="Participation",MATCH("_Total Plan Summary _Participation",INDIRECT("'"&amp;$D55&amp;"'!1:1"),0),MATCH(E$4&amp;"_"&amp;E$5&amp;"_"&amp;E$6,INDIRECT("'"&amp;$D55&amp;"'!1:1"),0))),0)</f>
        <v>LG&amp;E-Residential Audit - Virtual</v>
      </c>
      <c r="F55" s="572" t="str">
        <f t="shared" ca="1" si="56"/>
        <v>Virtual audit with no cost to customer</v>
      </c>
      <c r="G55" s="572" t="str">
        <f t="shared" ca="1" si="56"/>
        <v>Per Home</v>
      </c>
      <c r="H55" s="572">
        <f t="shared" ref="H55:W64" ca="1" si="57">VLOOKUP($C55,INDIRECT("'"&amp;$D55&amp;"'!A6:FR1000"),IF(H$6="Participation 2023",MATCH("__Participation 2023",INDIRECT("'"&amp;$D55&amp;"'!1:1"),0),IF(H$6="Participation",MATCH("_Total Plan Summary _Participation",INDIRECT("'"&amp;$D55&amp;"'!1:1"),0),MATCH(H$4&amp;"_"&amp;H$5&amp;"_"&amp;H$6,INDIRECT("'"&amp;$D55&amp;"'!1:1"),0))),0)</f>
        <v>0</v>
      </c>
      <c r="I55" s="572">
        <f t="shared" ca="1" si="57"/>
        <v>625</v>
      </c>
      <c r="J55" s="572">
        <f t="shared" ca="1" si="57"/>
        <v>656.25</v>
      </c>
      <c r="K55" s="572">
        <f t="shared" ca="1" si="57"/>
        <v>689.0625</v>
      </c>
      <c r="L55" s="572">
        <f t="shared" ca="1" si="57"/>
        <v>723.515625</v>
      </c>
      <c r="M55" s="572">
        <f t="shared" ca="1" si="57"/>
        <v>723.515625</v>
      </c>
      <c r="N55" s="572">
        <f t="shared" ca="1" si="57"/>
        <v>723.515625</v>
      </c>
      <c r="O55" s="572">
        <f t="shared" ca="1" si="57"/>
        <v>0</v>
      </c>
      <c r="P55" s="572">
        <f t="shared" ca="1" si="57"/>
        <v>0</v>
      </c>
      <c r="Q55" s="572">
        <f t="shared" ca="1" si="57"/>
        <v>0</v>
      </c>
      <c r="R55" s="572">
        <f t="shared" ca="1" si="57"/>
        <v>0</v>
      </c>
      <c r="S55" s="572">
        <f t="shared" ca="1" si="57"/>
        <v>0</v>
      </c>
      <c r="T55" s="572">
        <f t="shared" ca="1" si="57"/>
        <v>0</v>
      </c>
      <c r="U55" s="572">
        <f t="shared" ca="1" si="57"/>
        <v>0</v>
      </c>
      <c r="V55" s="572">
        <f t="shared" ref="V55:AK63" ca="1" si="58">VLOOKUP($C55,INDIRECT("'"&amp;$D55&amp;"'!A6:FR1000"),IF(V$6="Participation 2023",MATCH("__Participation 2023",INDIRECT("'"&amp;$D55&amp;"'!1:1"),0),IF(V$6="Participation",MATCH("_Total Plan Summary _Participation",INDIRECT("'"&amp;$D55&amp;"'!1:1"),0),MATCH(V$4&amp;"_"&amp;V$5&amp;"_"&amp;V$6,INDIRECT("'"&amp;$D55&amp;"'!1:1"),0))),0)</f>
        <v>0</v>
      </c>
      <c r="W55" s="572">
        <f t="shared" ca="1" si="58"/>
        <v>0</v>
      </c>
      <c r="X55" s="572">
        <f t="shared" ca="1" si="58"/>
        <v>0</v>
      </c>
      <c r="Y55" s="572">
        <f t="shared" ca="1" si="58"/>
        <v>0</v>
      </c>
      <c r="Z55" s="572">
        <f t="shared" ca="1" si="58"/>
        <v>0</v>
      </c>
      <c r="AA55" s="572">
        <f t="shared" ca="1" si="58"/>
        <v>0</v>
      </c>
      <c r="AB55" s="572">
        <f t="shared" ca="1" si="58"/>
        <v>0</v>
      </c>
      <c r="AC55" s="572">
        <f t="shared" ca="1" si="58"/>
        <v>0</v>
      </c>
      <c r="AD55" s="572">
        <f t="shared" ca="1" si="58"/>
        <v>0</v>
      </c>
      <c r="AE55" s="572">
        <f t="shared" ca="1" si="58"/>
        <v>0</v>
      </c>
      <c r="AF55" s="572">
        <f t="shared" ca="1" si="58"/>
        <v>0</v>
      </c>
      <c r="AG55" s="572">
        <f t="shared" ca="1" si="58"/>
        <v>0</v>
      </c>
      <c r="AH55" s="572">
        <f t="shared" ca="1" si="58"/>
        <v>0</v>
      </c>
      <c r="AI55" s="572">
        <f t="shared" ca="1" si="58"/>
        <v>0</v>
      </c>
      <c r="AJ55" s="572">
        <f t="shared" ca="1" si="58"/>
        <v>0</v>
      </c>
      <c r="AK55" s="572">
        <f t="shared" ca="1" si="58"/>
        <v>0</v>
      </c>
      <c r="AL55" s="572">
        <f t="shared" ref="AL55:AZ65" ca="1" si="59">VLOOKUP($C55,INDIRECT("'"&amp;$D55&amp;"'!A6:FR1000"),IF(AL$6="Participation 2023",MATCH("__Participation 2023",INDIRECT("'"&amp;$D55&amp;"'!1:1"),0),IF(AL$6="Participation",MATCH("_Total Plan Summary _Participation",INDIRECT("'"&amp;$D55&amp;"'!1:1"),0),MATCH(AL$4&amp;"_"&amp;AL$5&amp;"_"&amp;AL$6,INDIRECT("'"&amp;$D55&amp;"'!1:1"),0))),0)</f>
        <v>0</v>
      </c>
      <c r="AM55" s="572">
        <f t="shared" ca="1" si="59"/>
        <v>0</v>
      </c>
      <c r="AN55" s="572">
        <f t="shared" ca="1" si="59"/>
        <v>0</v>
      </c>
      <c r="AO55" s="572">
        <f t="shared" ca="1" si="59"/>
        <v>0</v>
      </c>
      <c r="AP55" s="572">
        <f t="shared" ca="1" si="59"/>
        <v>0</v>
      </c>
      <c r="AQ55" s="572">
        <f t="shared" ca="1" si="59"/>
        <v>0</v>
      </c>
      <c r="AR55" s="572">
        <f t="shared" ca="1" si="59"/>
        <v>0</v>
      </c>
      <c r="AS55" s="572">
        <f t="shared" ref="AS55:BU66" ca="1" si="60">VLOOKUP($C55,INDIRECT("'"&amp;$D55&amp;"'!A6:FR1000"),IF(AS$6="Participation 2023",MATCH("__Participation 2023",INDIRECT("'"&amp;$D55&amp;"'!1:1"),0),IF(AS$6="Participation",MATCH("_Total Plan Summary _Participation",INDIRECT("'"&amp;$D55&amp;"'!1:1"),0),MATCH(AS$4&amp;"_"&amp;AS$5&amp;"_"&amp;AS$6,INDIRECT("'"&amp;$D55&amp;"'!1:1"),0))),0)</f>
        <v>0</v>
      </c>
      <c r="AT55" s="572">
        <f t="shared" ca="1" si="60"/>
        <v>0</v>
      </c>
      <c r="AU55" s="572">
        <f t="shared" ca="1" si="60"/>
        <v>0</v>
      </c>
      <c r="AV55" s="572">
        <f t="shared" ca="1" si="60"/>
        <v>0</v>
      </c>
      <c r="AW55" s="572">
        <f t="shared" ca="1" si="60"/>
        <v>0</v>
      </c>
      <c r="AX55" s="572">
        <f t="shared" ca="1" si="60"/>
        <v>0</v>
      </c>
      <c r="AY55" s="572">
        <f t="shared" ca="1" si="60"/>
        <v>0</v>
      </c>
      <c r="AZ55" s="572">
        <f t="shared" ca="1" si="60"/>
        <v>0</v>
      </c>
      <c r="BA55" s="572">
        <f t="shared" ref="BA55:BY70" ca="1" si="61">VLOOKUP($C55,INDIRECT("'"&amp;$D55&amp;"'!A6:FR1000"),IF(BA$6="Participation 2023",MATCH("__Participation 2023",INDIRECT("'"&amp;$D55&amp;"'!1:1"),0),IF(BA$6="Participation",MATCH("_Total Plan Summary _Participation",INDIRECT("'"&amp;$D55&amp;"'!1:1"),0),MATCH(BA$4&amp;"_"&amp;BA$5&amp;"_"&amp;BA$6,INDIRECT("'"&amp;$D55&amp;"'!1:1"),0))),0)</f>
        <v>0</v>
      </c>
      <c r="BB55" s="572">
        <f t="shared" ca="1" si="61"/>
        <v>0</v>
      </c>
      <c r="BC55" s="572">
        <f t="shared" ca="1" si="61"/>
        <v>0</v>
      </c>
      <c r="BD55" s="572">
        <f t="shared" ca="1" si="61"/>
        <v>0</v>
      </c>
      <c r="BE55" s="652" t="str">
        <f t="shared" ca="1" si="61"/>
        <v>Residential</v>
      </c>
      <c r="BF55" s="652" t="str">
        <f t="shared" ca="1" si="61"/>
        <v>ResEleTotal - SF Wtd</v>
      </c>
      <c r="BG55" s="652" t="str">
        <f t="shared" ca="1" si="61"/>
        <v>ResSFGasTotal</v>
      </c>
      <c r="BH55" s="652" t="str">
        <f t="shared" ca="1" si="61"/>
        <v>LGE Res</v>
      </c>
      <c r="BI55" s="652" t="str">
        <f t="shared" ca="1" si="61"/>
        <v>LGE Res</v>
      </c>
      <c r="BJ55" s="652">
        <f t="shared" ca="1" si="50"/>
        <v>1</v>
      </c>
      <c r="BK55" s="652">
        <f t="shared" ca="1" si="50"/>
        <v>0</v>
      </c>
      <c r="BL55" s="652">
        <f t="shared" ca="1" si="50"/>
        <v>0</v>
      </c>
      <c r="BM55" s="652">
        <f t="shared" ca="1" si="50"/>
        <v>0</v>
      </c>
      <c r="BN55" s="652">
        <f t="shared" ca="1" si="50"/>
        <v>0</v>
      </c>
      <c r="BO55" s="652">
        <f t="shared" ca="1" si="50"/>
        <v>0</v>
      </c>
      <c r="BP55" s="652">
        <f t="shared" ca="1" si="50"/>
        <v>0</v>
      </c>
      <c r="BQ55" s="652">
        <f t="shared" ca="1" si="50"/>
        <v>0</v>
      </c>
      <c r="BR55" s="652">
        <f t="shared" ca="1" si="8"/>
        <v>4140.859375</v>
      </c>
      <c r="BS55" s="572">
        <f t="shared" ca="1" si="61"/>
        <v>0</v>
      </c>
      <c r="BT55" s="572">
        <f t="shared" ca="1" si="61"/>
        <v>0</v>
      </c>
      <c r="BU55" s="572">
        <f t="shared" ca="1" si="61"/>
        <v>0</v>
      </c>
      <c r="BV55" s="572">
        <f t="shared" ca="1" si="61"/>
        <v>0</v>
      </c>
      <c r="BW55" s="572">
        <f t="shared" ca="1" si="61"/>
        <v>0</v>
      </c>
      <c r="BX55" s="572">
        <f t="shared" ca="1" si="61"/>
        <v>0</v>
      </c>
      <c r="BY55" s="572">
        <f t="shared" ca="1" si="61"/>
        <v>0</v>
      </c>
    </row>
    <row r="56" spans="1:77">
      <c r="A56" s="531" t="str">
        <f t="shared" ca="1" si="0"/>
        <v>Residential Audit OnlineLG&amp;E-Virtual Energy Kit</v>
      </c>
      <c r="B56" s="1297" t="str">
        <f t="shared" si="48"/>
        <v>LG&amp;EResidential Audit Online</v>
      </c>
      <c r="C56" s="661" t="s">
        <v>174</v>
      </c>
      <c r="D56" s="662" t="s">
        <v>61</v>
      </c>
      <c r="E56" s="572" t="str">
        <f t="shared" ca="1" si="56"/>
        <v>LG&amp;E-Virtual Energy Kit</v>
      </c>
      <c r="F56" s="572" t="str">
        <f t="shared" ca="1" si="56"/>
        <v>Kits will be mailed to customer</v>
      </c>
      <c r="G56" s="572" t="str">
        <f t="shared" ca="1" si="56"/>
        <v>Per Home</v>
      </c>
      <c r="H56" s="572">
        <f t="shared" ca="1" si="57"/>
        <v>0</v>
      </c>
      <c r="I56" s="572">
        <f t="shared" ca="1" si="57"/>
        <v>625</v>
      </c>
      <c r="J56" s="572">
        <f t="shared" ca="1" si="57"/>
        <v>656.25</v>
      </c>
      <c r="K56" s="572">
        <f t="shared" ca="1" si="57"/>
        <v>689.0625</v>
      </c>
      <c r="L56" s="572">
        <f t="shared" ca="1" si="57"/>
        <v>723.515625</v>
      </c>
      <c r="M56" s="572">
        <f t="shared" ca="1" si="57"/>
        <v>723.515625</v>
      </c>
      <c r="N56" s="572">
        <f t="shared" ca="1" si="57"/>
        <v>723.515625</v>
      </c>
      <c r="O56" s="572">
        <f t="shared" ca="1" si="57"/>
        <v>0</v>
      </c>
      <c r="P56" s="572">
        <f t="shared" ca="1" si="57"/>
        <v>0</v>
      </c>
      <c r="Q56" s="572">
        <f t="shared" ca="1" si="57"/>
        <v>0</v>
      </c>
      <c r="R56" s="572">
        <f t="shared" ca="1" si="57"/>
        <v>0</v>
      </c>
      <c r="S56" s="572">
        <f t="shared" ca="1" si="57"/>
        <v>0</v>
      </c>
      <c r="T56" s="572">
        <f t="shared" ca="1" si="57"/>
        <v>0</v>
      </c>
      <c r="U56" s="572">
        <f t="shared" ca="1" si="57"/>
        <v>0</v>
      </c>
      <c r="V56" s="572">
        <f t="shared" ca="1" si="58"/>
        <v>0</v>
      </c>
      <c r="W56" s="572">
        <f t="shared" ca="1" si="58"/>
        <v>0</v>
      </c>
      <c r="X56" s="572">
        <f t="shared" ca="1" si="58"/>
        <v>0</v>
      </c>
      <c r="Y56" s="572">
        <f t="shared" ca="1" si="58"/>
        <v>0</v>
      </c>
      <c r="Z56" s="572">
        <f t="shared" ca="1" si="58"/>
        <v>0</v>
      </c>
      <c r="AA56" s="572">
        <f t="shared" ca="1" si="58"/>
        <v>0</v>
      </c>
      <c r="AB56" s="572">
        <f t="shared" ca="1" si="58"/>
        <v>0</v>
      </c>
      <c r="AC56" s="572">
        <f t="shared" ca="1" si="58"/>
        <v>0</v>
      </c>
      <c r="AD56" s="572">
        <f t="shared" ca="1" si="58"/>
        <v>0</v>
      </c>
      <c r="AE56" s="572">
        <f t="shared" ca="1" si="58"/>
        <v>0</v>
      </c>
      <c r="AF56" s="572">
        <f t="shared" ca="1" si="58"/>
        <v>0</v>
      </c>
      <c r="AG56" s="572">
        <f t="shared" ca="1" si="58"/>
        <v>0</v>
      </c>
      <c r="AH56" s="572">
        <f t="shared" ca="1" si="58"/>
        <v>0</v>
      </c>
      <c r="AI56" s="572">
        <f t="shared" ca="1" si="58"/>
        <v>0</v>
      </c>
      <c r="AJ56" s="572">
        <f t="shared" ca="1" si="58"/>
        <v>0</v>
      </c>
      <c r="AK56" s="572">
        <f t="shared" ca="1" si="58"/>
        <v>89292.364418573517</v>
      </c>
      <c r="AL56" s="572">
        <f t="shared" ca="1" si="59"/>
        <v>93756.982639502196</v>
      </c>
      <c r="AM56" s="572">
        <f t="shared" ca="1" si="59"/>
        <v>98444.8317714773</v>
      </c>
      <c r="AN56" s="572">
        <f t="shared" ca="1" si="59"/>
        <v>103367.07336005117</v>
      </c>
      <c r="AO56" s="572">
        <f t="shared" ca="1" si="59"/>
        <v>103367.07336005117</v>
      </c>
      <c r="AP56" s="572">
        <f t="shared" ca="1" si="59"/>
        <v>103367.07336005117</v>
      </c>
      <c r="AQ56" s="572">
        <f t="shared" ca="1" si="59"/>
        <v>0</v>
      </c>
      <c r="AR56" s="572">
        <f t="shared" ca="1" si="59"/>
        <v>6.4827369040809355</v>
      </c>
      <c r="AS56" s="572">
        <f t="shared" ca="1" si="60"/>
        <v>6.806873749284982</v>
      </c>
      <c r="AT56" s="572">
        <f t="shared" ca="1" si="60"/>
        <v>7.1472174367492309</v>
      </c>
      <c r="AU56" s="572">
        <f t="shared" ca="1" si="60"/>
        <v>7.5045783085866926</v>
      </c>
      <c r="AV56" s="572">
        <f t="shared" ca="1" si="60"/>
        <v>7.5045783085866926</v>
      </c>
      <c r="AW56" s="572">
        <f t="shared" ca="1" si="60"/>
        <v>7.5045783085866926</v>
      </c>
      <c r="AX56" s="572">
        <f t="shared" ca="1" si="60"/>
        <v>0</v>
      </c>
      <c r="AY56" s="572">
        <f t="shared" ca="1" si="60"/>
        <v>4200.7058073289536</v>
      </c>
      <c r="AZ56" s="572">
        <f t="shared" ca="1" si="60"/>
        <v>4410.7410976954015</v>
      </c>
      <c r="BA56" s="572">
        <f t="shared" ca="1" si="61"/>
        <v>4631.278152580172</v>
      </c>
      <c r="BB56" s="572">
        <f t="shared" ca="1" si="61"/>
        <v>4862.8420602091801</v>
      </c>
      <c r="BC56" s="572">
        <f t="shared" ca="1" si="61"/>
        <v>4862.8420602091801</v>
      </c>
      <c r="BD56" s="572">
        <f t="shared" ca="1" si="61"/>
        <v>4862.8420602091801</v>
      </c>
      <c r="BE56" s="652" t="str">
        <f t="shared" ca="1" si="61"/>
        <v>Residential</v>
      </c>
      <c r="BF56" s="652" t="str">
        <f t="shared" ca="1" si="61"/>
        <v>ResEleTotal - SF Wtd</v>
      </c>
      <c r="BG56" s="652" t="str">
        <f t="shared" ca="1" si="61"/>
        <v>ResSFGasHeat</v>
      </c>
      <c r="BH56" s="652" t="str">
        <f t="shared" ca="1" si="61"/>
        <v>LGE Res</v>
      </c>
      <c r="BI56" s="652" t="str">
        <f t="shared" ca="1" si="61"/>
        <v>LGE Res</v>
      </c>
      <c r="BJ56" s="652">
        <f t="shared" ca="1" si="61"/>
        <v>9</v>
      </c>
      <c r="BK56" s="652">
        <f t="shared" ca="1" si="61"/>
        <v>0</v>
      </c>
      <c r="BL56" s="652">
        <f t="shared" ca="1" si="61"/>
        <v>20850</v>
      </c>
      <c r="BM56" s="652">
        <f t="shared" ca="1" si="61"/>
        <v>21892.5</v>
      </c>
      <c r="BN56" s="652">
        <f t="shared" ca="1" si="61"/>
        <v>22987.125</v>
      </c>
      <c r="BO56" s="652">
        <f t="shared" ca="1" si="61"/>
        <v>24136.481250000001</v>
      </c>
      <c r="BP56" s="652">
        <f t="shared" ca="1" si="61"/>
        <v>24136.481250000001</v>
      </c>
      <c r="BQ56" s="652">
        <f t="shared" ca="1" si="61"/>
        <v>24136.481250000001</v>
      </c>
      <c r="BR56" s="652">
        <f t="shared" ca="1" si="8"/>
        <v>4140.859375</v>
      </c>
      <c r="BS56" s="572">
        <f t="shared" ca="1" si="61"/>
        <v>0</v>
      </c>
      <c r="BT56" s="572">
        <f t="shared" ca="1" si="61"/>
        <v>0</v>
      </c>
      <c r="BU56" s="572">
        <f t="shared" ca="1" si="61"/>
        <v>0</v>
      </c>
      <c r="BV56" s="572">
        <f t="shared" ca="1" si="61"/>
        <v>138139.06875000001</v>
      </c>
      <c r="BW56" s="572">
        <f t="shared" ca="1" si="61"/>
        <v>591595.39890970651</v>
      </c>
      <c r="BX56" s="572">
        <f t="shared" ca="1" si="61"/>
        <v>42.950563015875233</v>
      </c>
      <c r="BY56" s="572">
        <f t="shared" ca="1" si="61"/>
        <v>27831.251238232064</v>
      </c>
    </row>
    <row r="57" spans="1:77">
      <c r="A57" s="531" t="str">
        <f t="shared" ca="1" si="0"/>
        <v>Residential Audit OnlineLG&amp;E-Weatherization-Ceiling Insulation (KY) - Code</v>
      </c>
      <c r="B57" s="1297" t="str">
        <f t="shared" si="48"/>
        <v>LG&amp;EResidential Audit Online</v>
      </c>
      <c r="C57" s="661" t="s">
        <v>179</v>
      </c>
      <c r="D57" s="662" t="s">
        <v>61</v>
      </c>
      <c r="E57" s="572" t="str">
        <f t="shared" ca="1" si="56"/>
        <v>LG&amp;E-Weatherization-Ceiling Insulation (KY) - Code</v>
      </c>
      <c r="F57" s="572" t="str">
        <f t="shared" ca="1" si="56"/>
        <v>R-49</v>
      </c>
      <c r="G57" s="572" t="str">
        <f t="shared" ca="1" si="56"/>
        <v>Per Unit</v>
      </c>
      <c r="H57" s="572">
        <f t="shared" ca="1" si="57"/>
        <v>0</v>
      </c>
      <c r="I57" s="572">
        <f t="shared" ca="1" si="57"/>
        <v>0</v>
      </c>
      <c r="J57" s="572">
        <f t="shared" ca="1" si="57"/>
        <v>0</v>
      </c>
      <c r="K57" s="572">
        <f t="shared" ca="1" si="57"/>
        <v>0</v>
      </c>
      <c r="L57" s="572">
        <f t="shared" ca="1" si="57"/>
        <v>0</v>
      </c>
      <c r="M57" s="572">
        <f t="shared" ca="1" si="57"/>
        <v>0</v>
      </c>
      <c r="N57" s="572">
        <f t="shared" ca="1" si="57"/>
        <v>0</v>
      </c>
      <c r="O57" s="572">
        <f t="shared" ca="1" si="57"/>
        <v>0</v>
      </c>
      <c r="P57" s="572">
        <f t="shared" ca="1" si="57"/>
        <v>0</v>
      </c>
      <c r="Q57" s="572">
        <f t="shared" ca="1" si="57"/>
        <v>0</v>
      </c>
      <c r="R57" s="572">
        <f t="shared" ca="1" si="57"/>
        <v>0</v>
      </c>
      <c r="S57" s="572">
        <f t="shared" ca="1" si="57"/>
        <v>0</v>
      </c>
      <c r="T57" s="572">
        <f t="shared" ca="1" si="57"/>
        <v>0</v>
      </c>
      <c r="U57" s="572">
        <f t="shared" ca="1" si="57"/>
        <v>0</v>
      </c>
      <c r="V57" s="572">
        <f t="shared" ca="1" si="58"/>
        <v>0</v>
      </c>
      <c r="W57" s="572">
        <f t="shared" ca="1" si="58"/>
        <v>0</v>
      </c>
      <c r="X57" s="572">
        <f t="shared" ca="1" si="58"/>
        <v>0</v>
      </c>
      <c r="Y57" s="572">
        <f t="shared" ca="1" si="58"/>
        <v>0</v>
      </c>
      <c r="Z57" s="572">
        <f t="shared" ca="1" si="58"/>
        <v>0</v>
      </c>
      <c r="AA57" s="572">
        <f t="shared" ca="1" si="58"/>
        <v>0</v>
      </c>
      <c r="AB57" s="572">
        <f t="shared" ca="1" si="58"/>
        <v>0</v>
      </c>
      <c r="AC57" s="572">
        <f t="shared" ca="1" si="58"/>
        <v>0</v>
      </c>
      <c r="AD57" s="572">
        <f t="shared" ca="1" si="58"/>
        <v>0</v>
      </c>
      <c r="AE57" s="572">
        <f t="shared" ca="1" si="58"/>
        <v>0</v>
      </c>
      <c r="AF57" s="572">
        <f t="shared" ca="1" si="58"/>
        <v>0</v>
      </c>
      <c r="AG57" s="572">
        <f t="shared" ca="1" si="58"/>
        <v>0</v>
      </c>
      <c r="AH57" s="572">
        <f t="shared" ca="1" si="58"/>
        <v>0</v>
      </c>
      <c r="AI57" s="572">
        <f t="shared" ca="1" si="58"/>
        <v>0</v>
      </c>
      <c r="AJ57" s="572">
        <f t="shared" ca="1" si="58"/>
        <v>0</v>
      </c>
      <c r="AK57" s="572">
        <f t="shared" ca="1" si="58"/>
        <v>0</v>
      </c>
      <c r="AL57" s="572">
        <f t="shared" ca="1" si="59"/>
        <v>0</v>
      </c>
      <c r="AM57" s="572">
        <f t="shared" ca="1" si="59"/>
        <v>0</v>
      </c>
      <c r="AN57" s="572">
        <f t="shared" ca="1" si="59"/>
        <v>0</v>
      </c>
      <c r="AO57" s="572">
        <f t="shared" ca="1" si="59"/>
        <v>0</v>
      </c>
      <c r="AP57" s="572">
        <f t="shared" ca="1" si="59"/>
        <v>0</v>
      </c>
      <c r="AQ57" s="572">
        <f t="shared" ca="1" si="59"/>
        <v>0</v>
      </c>
      <c r="AR57" s="572">
        <f t="shared" ca="1" si="59"/>
        <v>0</v>
      </c>
      <c r="AS57" s="572">
        <f t="shared" ca="1" si="60"/>
        <v>0</v>
      </c>
      <c r="AT57" s="572">
        <f t="shared" ca="1" si="60"/>
        <v>0</v>
      </c>
      <c r="AU57" s="572">
        <f t="shared" ca="1" si="60"/>
        <v>0</v>
      </c>
      <c r="AV57" s="572">
        <f t="shared" ca="1" si="60"/>
        <v>0</v>
      </c>
      <c r="AW57" s="572">
        <f t="shared" ca="1" si="60"/>
        <v>0</v>
      </c>
      <c r="AX57" s="572">
        <f t="shared" ca="1" si="60"/>
        <v>0</v>
      </c>
      <c r="AY57" s="572">
        <f t="shared" ca="1" si="60"/>
        <v>0</v>
      </c>
      <c r="AZ57" s="572">
        <f t="shared" ca="1" si="60"/>
        <v>0</v>
      </c>
      <c r="BA57" s="572">
        <f t="shared" ca="1" si="61"/>
        <v>0</v>
      </c>
      <c r="BB57" s="572">
        <f t="shared" ca="1" si="61"/>
        <v>0</v>
      </c>
      <c r="BC57" s="572">
        <f t="shared" ca="1" si="61"/>
        <v>0</v>
      </c>
      <c r="BD57" s="572">
        <f t="shared" ca="1" si="61"/>
        <v>0</v>
      </c>
      <c r="BE57" s="652" t="str">
        <f t="shared" ca="1" si="61"/>
        <v>Residential</v>
      </c>
      <c r="BF57" s="652" t="str">
        <f t="shared" ca="1" si="61"/>
        <v>ResEleTotal - SF Wtd</v>
      </c>
      <c r="BG57" s="652" t="str">
        <f t="shared" ca="1" si="61"/>
        <v>ResSFGasHeat</v>
      </c>
      <c r="BH57" s="652" t="str">
        <f t="shared" ca="1" si="61"/>
        <v>LGE Res</v>
      </c>
      <c r="BI57" s="652" t="str">
        <f t="shared" ca="1" si="61"/>
        <v>LGE Res</v>
      </c>
      <c r="BJ57" s="652">
        <f t="shared" ca="1" si="61"/>
        <v>20</v>
      </c>
      <c r="BK57" s="652">
        <f t="shared" ca="1" si="61"/>
        <v>0</v>
      </c>
      <c r="BL57" s="652">
        <f t="shared" ca="1" si="61"/>
        <v>0</v>
      </c>
      <c r="BM57" s="652">
        <f t="shared" ca="1" si="61"/>
        <v>0</v>
      </c>
      <c r="BN57" s="652">
        <f t="shared" ca="1" si="61"/>
        <v>0</v>
      </c>
      <c r="BO57" s="652">
        <f t="shared" ca="1" si="61"/>
        <v>0</v>
      </c>
      <c r="BP57" s="652">
        <f t="shared" ca="1" si="61"/>
        <v>0</v>
      </c>
      <c r="BQ57" s="652">
        <f t="shared" ca="1" si="61"/>
        <v>0</v>
      </c>
      <c r="BR57" s="652">
        <f t="shared" ca="1" si="8"/>
        <v>0</v>
      </c>
      <c r="BS57" s="572">
        <f t="shared" ca="1" si="61"/>
        <v>0</v>
      </c>
      <c r="BT57" s="572">
        <f t="shared" ca="1" si="61"/>
        <v>0</v>
      </c>
      <c r="BU57" s="572">
        <f t="shared" ca="1" si="61"/>
        <v>0</v>
      </c>
      <c r="BV57" s="572">
        <f t="shared" ca="1" si="61"/>
        <v>0</v>
      </c>
      <c r="BW57" s="572">
        <f t="shared" ca="1" si="61"/>
        <v>0</v>
      </c>
      <c r="BX57" s="572">
        <f t="shared" ca="1" si="61"/>
        <v>0</v>
      </c>
      <c r="BY57" s="572">
        <f t="shared" ca="1" si="61"/>
        <v>0</v>
      </c>
    </row>
    <row r="58" spans="1:77">
      <c r="A58" s="531" t="str">
        <f t="shared" ca="1" si="0"/>
        <v>Residential Audit OnlineLG&amp;E-Weatherization-Duct Sealing and Insulation - Code</v>
      </c>
      <c r="B58" s="1297" t="str">
        <f t="shared" si="48"/>
        <v>LG&amp;EResidential Audit Online</v>
      </c>
      <c r="C58" s="661" t="s">
        <v>180</v>
      </c>
      <c r="D58" s="662" t="s">
        <v>61</v>
      </c>
      <c r="E58" s="572" t="str">
        <f t="shared" ca="1" si="56"/>
        <v>LG&amp;E-Weatherization-Duct Sealing and Insulation - Code</v>
      </c>
      <c r="F58" s="572" t="str">
        <f t="shared" ca="1" si="56"/>
        <v>Code Duct Sealing and Insulation - R-8</v>
      </c>
      <c r="G58" s="572" t="str">
        <f t="shared" ca="1" si="56"/>
        <v>Per Unit</v>
      </c>
      <c r="H58" s="572">
        <f t="shared" ca="1" si="57"/>
        <v>0</v>
      </c>
      <c r="I58" s="572">
        <f t="shared" ca="1" si="57"/>
        <v>0</v>
      </c>
      <c r="J58" s="572">
        <f t="shared" ca="1" si="57"/>
        <v>0</v>
      </c>
      <c r="K58" s="572">
        <f t="shared" ca="1" si="57"/>
        <v>0</v>
      </c>
      <c r="L58" s="572">
        <f t="shared" ca="1" si="57"/>
        <v>0</v>
      </c>
      <c r="M58" s="572">
        <f t="shared" ca="1" si="57"/>
        <v>0</v>
      </c>
      <c r="N58" s="572">
        <f t="shared" ca="1" si="57"/>
        <v>0</v>
      </c>
      <c r="O58" s="572">
        <f t="shared" ca="1" si="57"/>
        <v>0</v>
      </c>
      <c r="P58" s="572">
        <f t="shared" ca="1" si="57"/>
        <v>0</v>
      </c>
      <c r="Q58" s="572">
        <f t="shared" ca="1" si="57"/>
        <v>0</v>
      </c>
      <c r="R58" s="572">
        <f t="shared" ca="1" si="57"/>
        <v>0</v>
      </c>
      <c r="S58" s="572">
        <f t="shared" ca="1" si="57"/>
        <v>0</v>
      </c>
      <c r="T58" s="572">
        <f t="shared" ca="1" si="57"/>
        <v>0</v>
      </c>
      <c r="U58" s="572">
        <f t="shared" ca="1" si="57"/>
        <v>0</v>
      </c>
      <c r="V58" s="572">
        <f t="shared" ca="1" si="58"/>
        <v>0</v>
      </c>
      <c r="W58" s="572">
        <f t="shared" ca="1" si="58"/>
        <v>0</v>
      </c>
      <c r="X58" s="572">
        <f t="shared" ca="1" si="58"/>
        <v>0</v>
      </c>
      <c r="Y58" s="572">
        <f t="shared" ca="1" si="58"/>
        <v>0</v>
      </c>
      <c r="Z58" s="572">
        <f t="shared" ca="1" si="58"/>
        <v>0</v>
      </c>
      <c r="AA58" s="572">
        <f t="shared" ca="1" si="58"/>
        <v>0</v>
      </c>
      <c r="AB58" s="572">
        <f t="shared" ca="1" si="58"/>
        <v>0</v>
      </c>
      <c r="AC58" s="572">
        <f t="shared" ca="1" si="58"/>
        <v>0</v>
      </c>
      <c r="AD58" s="572">
        <f t="shared" ca="1" si="58"/>
        <v>0</v>
      </c>
      <c r="AE58" s="572">
        <f t="shared" ca="1" si="58"/>
        <v>0</v>
      </c>
      <c r="AF58" s="572">
        <f t="shared" ca="1" si="58"/>
        <v>0</v>
      </c>
      <c r="AG58" s="572">
        <f t="shared" ca="1" si="58"/>
        <v>0</v>
      </c>
      <c r="AH58" s="572">
        <f t="shared" ca="1" si="58"/>
        <v>0</v>
      </c>
      <c r="AI58" s="572">
        <f t="shared" ca="1" si="58"/>
        <v>0</v>
      </c>
      <c r="AJ58" s="572">
        <f t="shared" ca="1" si="58"/>
        <v>0</v>
      </c>
      <c r="AK58" s="572">
        <f t="shared" ca="1" si="58"/>
        <v>0</v>
      </c>
      <c r="AL58" s="572">
        <f t="shared" ca="1" si="59"/>
        <v>0</v>
      </c>
      <c r="AM58" s="572">
        <f t="shared" ca="1" si="59"/>
        <v>0</v>
      </c>
      <c r="AN58" s="572">
        <f t="shared" ca="1" si="59"/>
        <v>0</v>
      </c>
      <c r="AO58" s="572">
        <f t="shared" ca="1" si="59"/>
        <v>0</v>
      </c>
      <c r="AP58" s="572">
        <f t="shared" ca="1" si="59"/>
        <v>0</v>
      </c>
      <c r="AQ58" s="572">
        <f t="shared" ca="1" si="59"/>
        <v>0</v>
      </c>
      <c r="AR58" s="572">
        <f t="shared" ca="1" si="59"/>
        <v>0</v>
      </c>
      <c r="AS58" s="572">
        <f t="shared" ca="1" si="60"/>
        <v>0</v>
      </c>
      <c r="AT58" s="572">
        <f t="shared" ca="1" si="60"/>
        <v>0</v>
      </c>
      <c r="AU58" s="572">
        <f t="shared" ca="1" si="60"/>
        <v>0</v>
      </c>
      <c r="AV58" s="572">
        <f t="shared" ca="1" si="60"/>
        <v>0</v>
      </c>
      <c r="AW58" s="572">
        <f t="shared" ca="1" si="60"/>
        <v>0</v>
      </c>
      <c r="AX58" s="572">
        <f t="shared" ca="1" si="60"/>
        <v>0</v>
      </c>
      <c r="AY58" s="572">
        <f t="shared" ca="1" si="60"/>
        <v>0</v>
      </c>
      <c r="AZ58" s="572">
        <f t="shared" ca="1" si="60"/>
        <v>0</v>
      </c>
      <c r="BA58" s="572">
        <f t="shared" ca="1" si="60"/>
        <v>0</v>
      </c>
      <c r="BB58" s="572">
        <f t="shared" ca="1" si="60"/>
        <v>0</v>
      </c>
      <c r="BC58" s="572">
        <f t="shared" ca="1" si="60"/>
        <v>0</v>
      </c>
      <c r="BD58" s="572">
        <f t="shared" ca="1" si="60"/>
        <v>0</v>
      </c>
      <c r="BE58" s="652" t="str">
        <f t="shared" ca="1" si="61"/>
        <v>Residential</v>
      </c>
      <c r="BF58" s="652" t="str">
        <f t="shared" ca="1" si="61"/>
        <v>ResEleTotal - SF Wtd</v>
      </c>
      <c r="BG58" s="652" t="str">
        <f t="shared" ca="1" si="61"/>
        <v>ResSFGasHeat</v>
      </c>
      <c r="BH58" s="652" t="str">
        <f t="shared" ca="1" si="61"/>
        <v>LGE Res</v>
      </c>
      <c r="BI58" s="652" t="str">
        <f t="shared" ca="1" si="61"/>
        <v>LGE Res</v>
      </c>
      <c r="BJ58" s="652">
        <f t="shared" ca="1" si="61"/>
        <v>20</v>
      </c>
      <c r="BK58" s="652">
        <f t="shared" ca="1" si="61"/>
        <v>0</v>
      </c>
      <c r="BL58" s="652">
        <f t="shared" ca="1" si="61"/>
        <v>0</v>
      </c>
      <c r="BM58" s="652">
        <f t="shared" ca="1" si="61"/>
        <v>0</v>
      </c>
      <c r="BN58" s="652">
        <f t="shared" ca="1" si="61"/>
        <v>0</v>
      </c>
      <c r="BO58" s="652">
        <f t="shared" ca="1" si="61"/>
        <v>0</v>
      </c>
      <c r="BP58" s="652">
        <f t="shared" ca="1" si="61"/>
        <v>0</v>
      </c>
      <c r="BQ58" s="652">
        <f t="shared" ca="1" si="61"/>
        <v>0</v>
      </c>
      <c r="BR58" s="652">
        <f t="shared" ca="1" si="8"/>
        <v>0</v>
      </c>
      <c r="BS58" s="572">
        <f t="shared" ca="1" si="60"/>
        <v>0</v>
      </c>
      <c r="BT58" s="572">
        <f t="shared" ca="1" si="60"/>
        <v>0</v>
      </c>
      <c r="BU58" s="572">
        <f t="shared" ca="1" si="60"/>
        <v>0</v>
      </c>
      <c r="BV58" s="572">
        <f t="shared" ca="1" si="61"/>
        <v>0</v>
      </c>
      <c r="BW58" s="572">
        <f t="shared" ca="1" si="61"/>
        <v>0</v>
      </c>
      <c r="BX58" s="572">
        <f t="shared" ca="1" si="61"/>
        <v>0</v>
      </c>
      <c r="BY58" s="572">
        <f t="shared" ca="1" si="61"/>
        <v>0</v>
      </c>
    </row>
    <row r="59" spans="1:77">
      <c r="A59" s="531" t="str">
        <f t="shared" ca="1" si="0"/>
        <v>Residential Audit OnlineLG&amp;E-Weatherization-Infiltration Control - Reduction of Existing Conditions</v>
      </c>
      <c r="B59" s="1297" t="str">
        <f t="shared" si="48"/>
        <v>LG&amp;EResidential Audit Online</v>
      </c>
      <c r="C59" s="661" t="s">
        <v>181</v>
      </c>
      <c r="D59" s="662" t="s">
        <v>61</v>
      </c>
      <c r="E59" s="572" t="str">
        <f t="shared" ca="1" si="56"/>
        <v>LG&amp;E-Weatherization-Infiltration Control - Reduction of Existing Conditions</v>
      </c>
      <c r="F59" s="572" t="str">
        <f t="shared" ca="1" si="56"/>
        <v>Infiltration Control - 0.1 ACH Reduction</v>
      </c>
      <c r="G59" s="572" t="str">
        <f t="shared" ca="1" si="56"/>
        <v>Per Unit</v>
      </c>
      <c r="H59" s="572">
        <f t="shared" ca="1" si="57"/>
        <v>0</v>
      </c>
      <c r="I59" s="572">
        <f t="shared" ca="1" si="57"/>
        <v>0</v>
      </c>
      <c r="J59" s="572">
        <f t="shared" ca="1" si="57"/>
        <v>0</v>
      </c>
      <c r="K59" s="572">
        <f t="shared" ca="1" si="57"/>
        <v>0</v>
      </c>
      <c r="L59" s="572">
        <f t="shared" ca="1" si="57"/>
        <v>0</v>
      </c>
      <c r="M59" s="572">
        <f t="shared" ca="1" si="57"/>
        <v>0</v>
      </c>
      <c r="N59" s="572">
        <f t="shared" ca="1" si="57"/>
        <v>0</v>
      </c>
      <c r="O59" s="572">
        <f t="shared" ca="1" si="57"/>
        <v>0</v>
      </c>
      <c r="P59" s="572">
        <f t="shared" ca="1" si="57"/>
        <v>0</v>
      </c>
      <c r="Q59" s="572">
        <f t="shared" ca="1" si="57"/>
        <v>0</v>
      </c>
      <c r="R59" s="572">
        <f t="shared" ca="1" si="57"/>
        <v>0</v>
      </c>
      <c r="S59" s="572">
        <f t="shared" ca="1" si="57"/>
        <v>0</v>
      </c>
      <c r="T59" s="572">
        <f t="shared" ca="1" si="57"/>
        <v>0</v>
      </c>
      <c r="U59" s="572">
        <f t="shared" ca="1" si="57"/>
        <v>0</v>
      </c>
      <c r="V59" s="572">
        <f t="shared" ca="1" si="58"/>
        <v>0</v>
      </c>
      <c r="W59" s="572">
        <f t="shared" ca="1" si="58"/>
        <v>0</v>
      </c>
      <c r="X59" s="572">
        <f t="shared" ca="1" si="58"/>
        <v>0</v>
      </c>
      <c r="Y59" s="572">
        <f t="shared" ca="1" si="58"/>
        <v>0</v>
      </c>
      <c r="Z59" s="572">
        <f t="shared" ca="1" si="58"/>
        <v>0</v>
      </c>
      <c r="AA59" s="572">
        <f t="shared" ca="1" si="58"/>
        <v>0</v>
      </c>
      <c r="AB59" s="572">
        <f t="shared" ca="1" si="58"/>
        <v>0</v>
      </c>
      <c r="AC59" s="572">
        <f t="shared" ca="1" si="58"/>
        <v>0</v>
      </c>
      <c r="AD59" s="572">
        <f t="shared" ca="1" si="58"/>
        <v>0</v>
      </c>
      <c r="AE59" s="572">
        <f t="shared" ca="1" si="58"/>
        <v>0</v>
      </c>
      <c r="AF59" s="572">
        <f t="shared" ca="1" si="58"/>
        <v>0</v>
      </c>
      <c r="AG59" s="572">
        <f t="shared" ca="1" si="58"/>
        <v>0</v>
      </c>
      <c r="AH59" s="572">
        <f t="shared" ca="1" si="58"/>
        <v>0</v>
      </c>
      <c r="AI59" s="572">
        <f t="shared" ca="1" si="58"/>
        <v>0</v>
      </c>
      <c r="AJ59" s="572">
        <f t="shared" ca="1" si="58"/>
        <v>0</v>
      </c>
      <c r="AK59" s="572">
        <f t="shared" ca="1" si="58"/>
        <v>0</v>
      </c>
      <c r="AL59" s="572">
        <f t="shared" ca="1" si="59"/>
        <v>0</v>
      </c>
      <c r="AM59" s="572">
        <f t="shared" ca="1" si="59"/>
        <v>0</v>
      </c>
      <c r="AN59" s="572">
        <f t="shared" ca="1" si="59"/>
        <v>0</v>
      </c>
      <c r="AO59" s="572">
        <f t="shared" ca="1" si="59"/>
        <v>0</v>
      </c>
      <c r="AP59" s="572">
        <f t="shared" ca="1" si="59"/>
        <v>0</v>
      </c>
      <c r="AQ59" s="572">
        <f t="shared" ca="1" si="59"/>
        <v>0</v>
      </c>
      <c r="AR59" s="572">
        <f t="shared" ca="1" si="59"/>
        <v>0</v>
      </c>
      <c r="AS59" s="572">
        <f t="shared" ca="1" si="59"/>
        <v>0</v>
      </c>
      <c r="AT59" s="572">
        <f t="shared" ca="1" si="59"/>
        <v>0</v>
      </c>
      <c r="AU59" s="572">
        <f t="shared" ca="1" si="59"/>
        <v>0</v>
      </c>
      <c r="AV59" s="572">
        <f t="shared" ca="1" si="59"/>
        <v>0</v>
      </c>
      <c r="AW59" s="572">
        <f t="shared" ca="1" si="59"/>
        <v>0</v>
      </c>
      <c r="AX59" s="572">
        <f t="shared" ca="1" si="59"/>
        <v>0</v>
      </c>
      <c r="AY59" s="572">
        <f t="shared" ca="1" si="59"/>
        <v>0</v>
      </c>
      <c r="AZ59" s="572">
        <f t="shared" ca="1" si="59"/>
        <v>0</v>
      </c>
      <c r="BA59" s="572">
        <f t="shared" ca="1" si="60"/>
        <v>0</v>
      </c>
      <c r="BB59" s="572">
        <f t="shared" ca="1" si="60"/>
        <v>0</v>
      </c>
      <c r="BC59" s="572">
        <f t="shared" ca="1" si="60"/>
        <v>0</v>
      </c>
      <c r="BD59" s="572">
        <f t="shared" ca="1" si="60"/>
        <v>0</v>
      </c>
      <c r="BE59" s="652" t="str">
        <f t="shared" ca="1" si="61"/>
        <v>Residential</v>
      </c>
      <c r="BF59" s="652" t="str">
        <f t="shared" ca="1" si="61"/>
        <v>ResEleTotal - SF Wtd</v>
      </c>
      <c r="BG59" s="652" t="str">
        <f t="shared" ca="1" si="61"/>
        <v>ResSFGasHeat</v>
      </c>
      <c r="BH59" s="652" t="str">
        <f t="shared" ca="1" si="61"/>
        <v>LGE Res</v>
      </c>
      <c r="BI59" s="652" t="str">
        <f t="shared" ca="1" si="61"/>
        <v>LGE Res</v>
      </c>
      <c r="BJ59" s="652">
        <f t="shared" ca="1" si="61"/>
        <v>20</v>
      </c>
      <c r="BK59" s="652">
        <f t="shared" ca="1" si="61"/>
        <v>0</v>
      </c>
      <c r="BL59" s="652">
        <f t="shared" ca="1" si="61"/>
        <v>0</v>
      </c>
      <c r="BM59" s="652">
        <f t="shared" ca="1" si="61"/>
        <v>0</v>
      </c>
      <c r="BN59" s="652">
        <f t="shared" ca="1" si="61"/>
        <v>0</v>
      </c>
      <c r="BO59" s="652">
        <f t="shared" ca="1" si="61"/>
        <v>0</v>
      </c>
      <c r="BP59" s="652">
        <f t="shared" ca="1" si="61"/>
        <v>0</v>
      </c>
      <c r="BQ59" s="652">
        <f t="shared" ca="1" si="61"/>
        <v>0</v>
      </c>
      <c r="BR59" s="652">
        <f t="shared" ca="1" si="8"/>
        <v>0</v>
      </c>
      <c r="BS59" s="572">
        <f t="shared" ca="1" si="60"/>
        <v>0</v>
      </c>
      <c r="BT59" s="572">
        <f t="shared" ca="1" si="61"/>
        <v>0</v>
      </c>
      <c r="BU59" s="572">
        <f t="shared" ca="1" si="61"/>
        <v>0</v>
      </c>
      <c r="BV59" s="572">
        <f t="shared" ca="1" si="61"/>
        <v>0</v>
      </c>
      <c r="BW59" s="572">
        <f t="shared" ca="1" si="61"/>
        <v>0</v>
      </c>
      <c r="BX59" s="572">
        <f t="shared" ca="1" si="61"/>
        <v>0</v>
      </c>
      <c r="BY59" s="572">
        <f t="shared" ca="1" si="61"/>
        <v>0</v>
      </c>
    </row>
    <row r="60" spans="1:77">
      <c r="A60" s="531" t="str">
        <f t="shared" ca="1" si="0"/>
        <v>Residential Audit OnlineLG&amp;E-Weatherization-Wall Insulation (KY) - Maximum Feasible</v>
      </c>
      <c r="B60" s="1297" t="str">
        <f t="shared" si="48"/>
        <v>LG&amp;EResidential Audit Online</v>
      </c>
      <c r="C60" s="661" t="s">
        <v>182</v>
      </c>
      <c r="D60" s="662" t="s">
        <v>61</v>
      </c>
      <c r="E60" s="572" t="str">
        <f t="shared" ca="1" si="56"/>
        <v>LG&amp;E-Weatherization-Wall Insulation (KY) - Maximum Feasible</v>
      </c>
      <c r="F60" s="572" t="str">
        <f t="shared" ca="1" si="56"/>
        <v>R-13 (Maximum Insulation Feasible)</v>
      </c>
      <c r="G60" s="572" t="str">
        <f t="shared" ca="1" si="56"/>
        <v>Per Unit</v>
      </c>
      <c r="H60" s="572">
        <f t="shared" ca="1" si="57"/>
        <v>0</v>
      </c>
      <c r="I60" s="572">
        <f t="shared" ca="1" si="57"/>
        <v>0</v>
      </c>
      <c r="J60" s="572">
        <f t="shared" ca="1" si="57"/>
        <v>0</v>
      </c>
      <c r="K60" s="572">
        <f t="shared" ca="1" si="57"/>
        <v>0</v>
      </c>
      <c r="L60" s="572">
        <f t="shared" ca="1" si="57"/>
        <v>0</v>
      </c>
      <c r="M60" s="572">
        <f t="shared" ca="1" si="57"/>
        <v>0</v>
      </c>
      <c r="N60" s="572">
        <f t="shared" ca="1" si="57"/>
        <v>0</v>
      </c>
      <c r="O60" s="572">
        <f t="shared" ca="1" si="57"/>
        <v>0</v>
      </c>
      <c r="P60" s="572">
        <f t="shared" ca="1" si="57"/>
        <v>0</v>
      </c>
      <c r="Q60" s="572">
        <f t="shared" ca="1" si="57"/>
        <v>0</v>
      </c>
      <c r="R60" s="572">
        <f t="shared" ca="1" si="57"/>
        <v>0</v>
      </c>
      <c r="S60" s="572">
        <f t="shared" ca="1" si="57"/>
        <v>0</v>
      </c>
      <c r="T60" s="572">
        <f t="shared" ca="1" si="57"/>
        <v>0</v>
      </c>
      <c r="U60" s="572">
        <f t="shared" ca="1" si="57"/>
        <v>0</v>
      </c>
      <c r="V60" s="572">
        <f t="shared" ca="1" si="57"/>
        <v>0</v>
      </c>
      <c r="W60" s="572">
        <f t="shared" ca="1" si="57"/>
        <v>0</v>
      </c>
      <c r="X60" s="572">
        <f t="shared" ca="1" si="58"/>
        <v>0</v>
      </c>
      <c r="Y60" s="572">
        <f t="shared" ca="1" si="58"/>
        <v>0</v>
      </c>
      <c r="Z60" s="572">
        <f t="shared" ca="1" si="58"/>
        <v>0</v>
      </c>
      <c r="AA60" s="572">
        <f t="shared" ca="1" si="58"/>
        <v>0</v>
      </c>
      <c r="AB60" s="572">
        <f t="shared" ca="1" si="58"/>
        <v>0</v>
      </c>
      <c r="AC60" s="572">
        <f t="shared" ca="1" si="58"/>
        <v>0</v>
      </c>
      <c r="AD60" s="572">
        <f t="shared" ca="1" si="58"/>
        <v>0</v>
      </c>
      <c r="AE60" s="572">
        <f t="shared" ca="1" si="58"/>
        <v>0</v>
      </c>
      <c r="AF60" s="572">
        <f t="shared" ca="1" si="58"/>
        <v>0</v>
      </c>
      <c r="AG60" s="572">
        <f t="shared" ca="1" si="58"/>
        <v>0</v>
      </c>
      <c r="AH60" s="572">
        <f t="shared" ca="1" si="58"/>
        <v>0</v>
      </c>
      <c r="AI60" s="572">
        <f t="shared" ca="1" si="58"/>
        <v>0</v>
      </c>
      <c r="AJ60" s="572">
        <f t="shared" ca="1" si="58"/>
        <v>0</v>
      </c>
      <c r="AK60" s="572">
        <f t="shared" ca="1" si="58"/>
        <v>0</v>
      </c>
      <c r="AL60" s="572">
        <f t="shared" ca="1" si="59"/>
        <v>0</v>
      </c>
      <c r="AM60" s="572">
        <f t="shared" ca="1" si="59"/>
        <v>0</v>
      </c>
      <c r="AN60" s="572">
        <f t="shared" ca="1" si="59"/>
        <v>0</v>
      </c>
      <c r="AO60" s="572">
        <f t="shared" ca="1" si="59"/>
        <v>0</v>
      </c>
      <c r="AP60" s="572">
        <f t="shared" ca="1" si="59"/>
        <v>0</v>
      </c>
      <c r="AQ60" s="572">
        <f t="shared" ca="1" si="59"/>
        <v>0</v>
      </c>
      <c r="AR60" s="572">
        <f t="shared" ca="1" si="59"/>
        <v>0</v>
      </c>
      <c r="AS60" s="572">
        <f t="shared" ca="1" si="59"/>
        <v>0</v>
      </c>
      <c r="AT60" s="572">
        <f t="shared" ca="1" si="59"/>
        <v>0</v>
      </c>
      <c r="AU60" s="572">
        <f t="shared" ca="1" si="59"/>
        <v>0</v>
      </c>
      <c r="AV60" s="572">
        <f t="shared" ca="1" si="59"/>
        <v>0</v>
      </c>
      <c r="AW60" s="572">
        <f t="shared" ca="1" si="60"/>
        <v>0</v>
      </c>
      <c r="AX60" s="572">
        <f t="shared" ca="1" si="60"/>
        <v>0</v>
      </c>
      <c r="AY60" s="572">
        <f t="shared" ca="1" si="60"/>
        <v>0</v>
      </c>
      <c r="AZ60" s="572">
        <f t="shared" ca="1" si="60"/>
        <v>0</v>
      </c>
      <c r="BA60" s="572">
        <f t="shared" ca="1" si="60"/>
        <v>0</v>
      </c>
      <c r="BB60" s="572">
        <f t="shared" ca="1" si="60"/>
        <v>0</v>
      </c>
      <c r="BC60" s="572">
        <f t="shared" ca="1" si="60"/>
        <v>0</v>
      </c>
      <c r="BD60" s="572">
        <f t="shared" ca="1" si="60"/>
        <v>0</v>
      </c>
      <c r="BE60" s="652" t="str">
        <f t="shared" ca="1" si="61"/>
        <v>Residential</v>
      </c>
      <c r="BF60" s="652" t="str">
        <f t="shared" ca="1" si="61"/>
        <v>ResEleTotal - SF Wtd</v>
      </c>
      <c r="BG60" s="652" t="str">
        <f t="shared" ca="1" si="61"/>
        <v>ResSFGasHeat</v>
      </c>
      <c r="BH60" s="652" t="str">
        <f t="shared" ca="1" si="61"/>
        <v>LGE Res</v>
      </c>
      <c r="BI60" s="652" t="str">
        <f t="shared" ca="1" si="61"/>
        <v>LGE Res</v>
      </c>
      <c r="BJ60" s="652">
        <f t="shared" ca="1" si="61"/>
        <v>20</v>
      </c>
      <c r="BK60" s="652">
        <f t="shared" ca="1" si="61"/>
        <v>0</v>
      </c>
      <c r="BL60" s="652">
        <f t="shared" ca="1" si="61"/>
        <v>0</v>
      </c>
      <c r="BM60" s="652">
        <f t="shared" ca="1" si="61"/>
        <v>0</v>
      </c>
      <c r="BN60" s="652">
        <f t="shared" ca="1" si="61"/>
        <v>0</v>
      </c>
      <c r="BO60" s="652">
        <f t="shared" ca="1" si="61"/>
        <v>0</v>
      </c>
      <c r="BP60" s="652">
        <f t="shared" ca="1" si="61"/>
        <v>0</v>
      </c>
      <c r="BQ60" s="652">
        <f t="shared" ca="1" si="61"/>
        <v>0</v>
      </c>
      <c r="BR60" s="652">
        <f t="shared" ca="1" si="8"/>
        <v>0</v>
      </c>
      <c r="BS60" s="572">
        <f t="shared" ca="1" si="60"/>
        <v>0</v>
      </c>
      <c r="BT60" s="572">
        <f t="shared" ca="1" si="61"/>
        <v>0</v>
      </c>
      <c r="BU60" s="572">
        <f t="shared" ca="1" si="61"/>
        <v>0</v>
      </c>
      <c r="BV60" s="572">
        <f t="shared" ca="1" si="61"/>
        <v>0</v>
      </c>
      <c r="BW60" s="572">
        <f t="shared" ca="1" si="61"/>
        <v>0</v>
      </c>
      <c r="BX60" s="572">
        <f t="shared" ca="1" si="61"/>
        <v>0</v>
      </c>
      <c r="BY60" s="572">
        <f t="shared" ca="1" si="61"/>
        <v>0</v>
      </c>
    </row>
    <row r="61" spans="1:77">
      <c r="A61" s="531" t="str">
        <f t="shared" ca="1" si="0"/>
        <v>Residential Audit OnlineLG&amp;E-Weatherization-Floor Insulation (KY) - Above Code</v>
      </c>
      <c r="B61" s="1297" t="str">
        <f t="shared" si="48"/>
        <v>LG&amp;EResidential Audit Online</v>
      </c>
      <c r="C61" s="661" t="s">
        <v>191</v>
      </c>
      <c r="D61" s="662" t="s">
        <v>61</v>
      </c>
      <c r="E61" s="572" t="str">
        <f t="shared" ref="E61:G68" ca="1" si="62">VLOOKUP($C61,INDIRECT("'"&amp;$D61&amp;"'!A6:FC1000"),IF(E$6="Participation 2023",MATCH("__Participation 2023",INDIRECT("'"&amp;$D61&amp;"'!1:1"),0),IF(E$6="Participation",MATCH("_Total Plan Summary _Participation",INDIRECT("'"&amp;$D61&amp;"'!1:1"),0),MATCH(E$4&amp;"_"&amp;E$5&amp;"_"&amp;E$6,INDIRECT("'"&amp;$D61&amp;"'!1:1"),0))),0)</f>
        <v>LG&amp;E-Weatherization-Floor Insulation (KY) - Above Code</v>
      </c>
      <c r="F61" s="572" t="str">
        <f t="shared" ca="1" si="62"/>
        <v>R-30</v>
      </c>
      <c r="G61" s="572" t="str">
        <f t="shared" ca="1" si="62"/>
        <v>Per Unit</v>
      </c>
      <c r="H61" s="572">
        <f t="shared" ca="1" si="57"/>
        <v>0</v>
      </c>
      <c r="I61" s="572">
        <f t="shared" ca="1" si="57"/>
        <v>0</v>
      </c>
      <c r="J61" s="572">
        <f t="shared" ca="1" si="57"/>
        <v>0</v>
      </c>
      <c r="K61" s="572">
        <f t="shared" ca="1" si="57"/>
        <v>0</v>
      </c>
      <c r="L61" s="572">
        <f t="shared" ca="1" si="57"/>
        <v>0</v>
      </c>
      <c r="M61" s="572">
        <f t="shared" ca="1" si="57"/>
        <v>0</v>
      </c>
      <c r="N61" s="572">
        <f t="shared" ca="1" si="57"/>
        <v>0</v>
      </c>
      <c r="O61" s="572">
        <f t="shared" ca="1" si="57"/>
        <v>0</v>
      </c>
      <c r="P61" s="572">
        <f t="shared" ca="1" si="57"/>
        <v>0</v>
      </c>
      <c r="Q61" s="572">
        <f t="shared" ca="1" si="57"/>
        <v>0</v>
      </c>
      <c r="R61" s="572">
        <f t="shared" ca="1" si="57"/>
        <v>0</v>
      </c>
      <c r="S61" s="572">
        <f t="shared" ca="1" si="57"/>
        <v>0</v>
      </c>
      <c r="T61" s="572">
        <f t="shared" ca="1" si="57"/>
        <v>0</v>
      </c>
      <c r="U61" s="572">
        <f t="shared" ca="1" si="57"/>
        <v>0</v>
      </c>
      <c r="V61" s="572">
        <f t="shared" ca="1" si="58"/>
        <v>0</v>
      </c>
      <c r="W61" s="572">
        <f t="shared" ca="1" si="58"/>
        <v>0</v>
      </c>
      <c r="X61" s="572">
        <f t="shared" ca="1" si="58"/>
        <v>0</v>
      </c>
      <c r="Y61" s="572">
        <f t="shared" ca="1" si="58"/>
        <v>0</v>
      </c>
      <c r="Z61" s="572">
        <f t="shared" ca="1" si="58"/>
        <v>0</v>
      </c>
      <c r="AA61" s="572">
        <f t="shared" ca="1" si="58"/>
        <v>0</v>
      </c>
      <c r="AB61" s="572">
        <f t="shared" ca="1" si="58"/>
        <v>0</v>
      </c>
      <c r="AC61" s="572">
        <f t="shared" ca="1" si="58"/>
        <v>0</v>
      </c>
      <c r="AD61" s="572">
        <f t="shared" ca="1" si="58"/>
        <v>0</v>
      </c>
      <c r="AE61" s="572">
        <f t="shared" ca="1" si="58"/>
        <v>0</v>
      </c>
      <c r="AF61" s="572">
        <f t="shared" ca="1" si="58"/>
        <v>0</v>
      </c>
      <c r="AG61" s="572">
        <f t="shared" ca="1" si="58"/>
        <v>0</v>
      </c>
      <c r="AH61" s="572">
        <f t="shared" ca="1" si="58"/>
        <v>0</v>
      </c>
      <c r="AI61" s="572">
        <f t="shared" ca="1" si="58"/>
        <v>0</v>
      </c>
      <c r="AJ61" s="572">
        <f t="shared" ca="1" si="58"/>
        <v>0</v>
      </c>
      <c r="AK61" s="572">
        <f t="shared" ca="1" si="58"/>
        <v>0</v>
      </c>
      <c r="AL61" s="572">
        <f t="shared" ca="1" si="59"/>
        <v>0</v>
      </c>
      <c r="AM61" s="572">
        <f t="shared" ca="1" si="59"/>
        <v>0</v>
      </c>
      <c r="AN61" s="572">
        <f t="shared" ca="1" si="59"/>
        <v>0</v>
      </c>
      <c r="AO61" s="572">
        <f t="shared" ca="1" si="59"/>
        <v>0</v>
      </c>
      <c r="AP61" s="572">
        <f t="shared" ca="1" si="59"/>
        <v>0</v>
      </c>
      <c r="AQ61" s="572">
        <f t="shared" ca="1" si="59"/>
        <v>0</v>
      </c>
      <c r="AR61" s="572">
        <f t="shared" ca="1" si="59"/>
        <v>0</v>
      </c>
      <c r="AS61" s="572">
        <f t="shared" ca="1" si="59"/>
        <v>0</v>
      </c>
      <c r="AT61" s="572">
        <f t="shared" ca="1" si="59"/>
        <v>0</v>
      </c>
      <c r="AU61" s="572">
        <f t="shared" ca="1" si="59"/>
        <v>0</v>
      </c>
      <c r="AV61" s="572">
        <f t="shared" ca="1" si="59"/>
        <v>0</v>
      </c>
      <c r="AW61" s="572">
        <f t="shared" ca="1" si="60"/>
        <v>0</v>
      </c>
      <c r="AX61" s="572">
        <f t="shared" ca="1" si="60"/>
        <v>0</v>
      </c>
      <c r="AY61" s="572">
        <f t="shared" ca="1" si="60"/>
        <v>0</v>
      </c>
      <c r="AZ61" s="572">
        <f t="shared" ca="1" si="60"/>
        <v>0</v>
      </c>
      <c r="BA61" s="572">
        <f t="shared" ca="1" si="60"/>
        <v>0</v>
      </c>
      <c r="BB61" s="572">
        <f t="shared" ca="1" si="60"/>
        <v>0</v>
      </c>
      <c r="BC61" s="572">
        <f t="shared" ca="1" si="60"/>
        <v>0</v>
      </c>
      <c r="BD61" s="572">
        <f t="shared" ca="1" si="60"/>
        <v>0</v>
      </c>
      <c r="BE61" s="652" t="str">
        <f t="shared" ca="1" si="61"/>
        <v>Residential</v>
      </c>
      <c r="BF61" s="652" t="str">
        <f t="shared" ca="1" si="61"/>
        <v>ResEleTotal - SF Wtd</v>
      </c>
      <c r="BG61" s="652" t="str">
        <f t="shared" ca="1" si="61"/>
        <v>ResSFGasHeat</v>
      </c>
      <c r="BH61" s="652" t="str">
        <f t="shared" ca="1" si="61"/>
        <v>LGE Res</v>
      </c>
      <c r="BI61" s="652" t="str">
        <f t="shared" ca="1" si="61"/>
        <v>LGE Res</v>
      </c>
      <c r="BJ61" s="652">
        <f t="shared" ca="1" si="61"/>
        <v>20</v>
      </c>
      <c r="BK61" s="652">
        <f t="shared" ca="1" si="61"/>
        <v>0</v>
      </c>
      <c r="BL61" s="652">
        <f t="shared" ca="1" si="61"/>
        <v>0</v>
      </c>
      <c r="BM61" s="652">
        <f t="shared" ca="1" si="61"/>
        <v>0</v>
      </c>
      <c r="BN61" s="652">
        <f t="shared" ca="1" si="61"/>
        <v>0</v>
      </c>
      <c r="BO61" s="652">
        <f t="shared" ca="1" si="61"/>
        <v>0</v>
      </c>
      <c r="BP61" s="652">
        <f t="shared" ca="1" si="61"/>
        <v>0</v>
      </c>
      <c r="BQ61" s="652">
        <f t="shared" ca="1" si="61"/>
        <v>0</v>
      </c>
      <c r="BR61" s="652">
        <f t="shared" ca="1" si="8"/>
        <v>0</v>
      </c>
      <c r="BS61" s="572">
        <f t="shared" ca="1" si="60"/>
        <v>0</v>
      </c>
      <c r="BT61" s="572">
        <f t="shared" ca="1" si="61"/>
        <v>0</v>
      </c>
      <c r="BU61" s="572">
        <f t="shared" ca="1" si="61"/>
        <v>0</v>
      </c>
      <c r="BV61" s="572">
        <f t="shared" ca="1" si="61"/>
        <v>0</v>
      </c>
      <c r="BW61" s="572">
        <f t="shared" ca="1" si="61"/>
        <v>0</v>
      </c>
      <c r="BX61" s="572">
        <f t="shared" ca="1" si="61"/>
        <v>0</v>
      </c>
      <c r="BY61" s="572">
        <f t="shared" ca="1" si="61"/>
        <v>0</v>
      </c>
    </row>
    <row r="62" spans="1:77">
      <c r="A62" s="531" t="str">
        <f t="shared" ca="1" si="0"/>
        <v>Residential Audit OnlineLG&amp;E-Weatherization-Insulation - Basement Wall - Code</v>
      </c>
      <c r="B62" s="1297" t="str">
        <f t="shared" si="48"/>
        <v>LG&amp;EResidential Audit Online</v>
      </c>
      <c r="C62" s="661" t="s">
        <v>192</v>
      </c>
      <c r="D62" s="662" t="s">
        <v>61</v>
      </c>
      <c r="E62" s="572" t="str">
        <f t="shared" ca="1" si="62"/>
        <v>LG&amp;E-Weatherization-Insulation - Basement Wall - Code</v>
      </c>
      <c r="F62" s="572" t="str">
        <f t="shared" ca="1" si="62"/>
        <v>R-10 (IECC 2012 - Future KY Code)</v>
      </c>
      <c r="G62" s="572" t="str">
        <f t="shared" ca="1" si="62"/>
        <v>Per Unit</v>
      </c>
      <c r="H62" s="572">
        <f t="shared" ca="1" si="57"/>
        <v>0</v>
      </c>
      <c r="I62" s="572">
        <f t="shared" ca="1" si="57"/>
        <v>0</v>
      </c>
      <c r="J62" s="572">
        <f t="shared" ca="1" si="57"/>
        <v>0</v>
      </c>
      <c r="K62" s="572">
        <f t="shared" ca="1" si="57"/>
        <v>0</v>
      </c>
      <c r="L62" s="572">
        <f t="shared" ca="1" si="57"/>
        <v>0</v>
      </c>
      <c r="M62" s="572">
        <f t="shared" ca="1" si="57"/>
        <v>0</v>
      </c>
      <c r="N62" s="572">
        <f t="shared" ca="1" si="57"/>
        <v>0</v>
      </c>
      <c r="O62" s="572">
        <f t="shared" ca="1" si="57"/>
        <v>0</v>
      </c>
      <c r="P62" s="572">
        <f t="shared" ca="1" si="57"/>
        <v>0</v>
      </c>
      <c r="Q62" s="572">
        <f t="shared" ca="1" si="57"/>
        <v>0</v>
      </c>
      <c r="R62" s="572">
        <f t="shared" ca="1" si="57"/>
        <v>0</v>
      </c>
      <c r="S62" s="572">
        <f t="shared" ca="1" si="57"/>
        <v>0</v>
      </c>
      <c r="T62" s="572">
        <f t="shared" ca="1" si="57"/>
        <v>0</v>
      </c>
      <c r="U62" s="572">
        <f t="shared" ca="1" si="57"/>
        <v>0</v>
      </c>
      <c r="V62" s="572">
        <f t="shared" ca="1" si="58"/>
        <v>0</v>
      </c>
      <c r="W62" s="572">
        <f t="shared" ca="1" si="58"/>
        <v>0</v>
      </c>
      <c r="X62" s="572">
        <f t="shared" ca="1" si="58"/>
        <v>0</v>
      </c>
      <c r="Y62" s="572">
        <f t="shared" ca="1" si="58"/>
        <v>0</v>
      </c>
      <c r="Z62" s="572">
        <f t="shared" ca="1" si="58"/>
        <v>0</v>
      </c>
      <c r="AA62" s="572">
        <f t="shared" ca="1" si="58"/>
        <v>0</v>
      </c>
      <c r="AB62" s="572">
        <f t="shared" ca="1" si="58"/>
        <v>0</v>
      </c>
      <c r="AC62" s="572">
        <f t="shared" ca="1" si="58"/>
        <v>0</v>
      </c>
      <c r="AD62" s="572">
        <f t="shared" ca="1" si="58"/>
        <v>0</v>
      </c>
      <c r="AE62" s="572">
        <f t="shared" ca="1" si="58"/>
        <v>0</v>
      </c>
      <c r="AF62" s="572">
        <f t="shared" ca="1" si="58"/>
        <v>0</v>
      </c>
      <c r="AG62" s="572">
        <f t="shared" ca="1" si="58"/>
        <v>0</v>
      </c>
      <c r="AH62" s="572">
        <f t="shared" ca="1" si="58"/>
        <v>0</v>
      </c>
      <c r="AI62" s="572">
        <f t="shared" ca="1" si="58"/>
        <v>0</v>
      </c>
      <c r="AJ62" s="572">
        <f t="shared" ca="1" si="58"/>
        <v>0</v>
      </c>
      <c r="AK62" s="572">
        <f t="shared" ca="1" si="58"/>
        <v>0</v>
      </c>
      <c r="AL62" s="572">
        <f t="shared" ca="1" si="59"/>
        <v>0</v>
      </c>
      <c r="AM62" s="572">
        <f t="shared" ca="1" si="59"/>
        <v>0</v>
      </c>
      <c r="AN62" s="572">
        <f t="shared" ca="1" si="59"/>
        <v>0</v>
      </c>
      <c r="AO62" s="572">
        <f t="shared" ca="1" si="59"/>
        <v>0</v>
      </c>
      <c r="AP62" s="572">
        <f t="shared" ca="1" si="59"/>
        <v>0</v>
      </c>
      <c r="AQ62" s="572">
        <f t="shared" ca="1" si="59"/>
        <v>0</v>
      </c>
      <c r="AR62" s="572">
        <f t="shared" ca="1" si="59"/>
        <v>0</v>
      </c>
      <c r="AS62" s="572">
        <f t="shared" ca="1" si="59"/>
        <v>0</v>
      </c>
      <c r="AT62" s="572">
        <f t="shared" ca="1" si="59"/>
        <v>0</v>
      </c>
      <c r="AU62" s="572">
        <f t="shared" ca="1" si="59"/>
        <v>0</v>
      </c>
      <c r="AV62" s="572">
        <f t="shared" ca="1" si="59"/>
        <v>0</v>
      </c>
      <c r="AW62" s="572">
        <f t="shared" ca="1" si="60"/>
        <v>0</v>
      </c>
      <c r="AX62" s="572">
        <f t="shared" ca="1" si="60"/>
        <v>0</v>
      </c>
      <c r="AY62" s="572">
        <f t="shared" ca="1" si="60"/>
        <v>0</v>
      </c>
      <c r="AZ62" s="572">
        <f t="shared" ca="1" si="60"/>
        <v>0</v>
      </c>
      <c r="BA62" s="572">
        <f t="shared" ca="1" si="60"/>
        <v>0</v>
      </c>
      <c r="BB62" s="572">
        <f t="shared" ca="1" si="60"/>
        <v>0</v>
      </c>
      <c r="BC62" s="572">
        <f t="shared" ca="1" si="60"/>
        <v>0</v>
      </c>
      <c r="BD62" s="572">
        <f t="shared" ca="1" si="60"/>
        <v>0</v>
      </c>
      <c r="BE62" s="652" t="str">
        <f t="shared" ca="1" si="61"/>
        <v>Residential</v>
      </c>
      <c r="BF62" s="652" t="str">
        <f t="shared" ca="1" si="61"/>
        <v>ResEleTotal - SF Wtd</v>
      </c>
      <c r="BG62" s="652" t="str">
        <f t="shared" ca="1" si="61"/>
        <v>ResSFGasHeat</v>
      </c>
      <c r="BH62" s="652" t="str">
        <f t="shared" ca="1" si="61"/>
        <v>LGE Res</v>
      </c>
      <c r="BI62" s="652" t="str">
        <f t="shared" ca="1" si="61"/>
        <v>LGE Res</v>
      </c>
      <c r="BJ62" s="652">
        <f t="shared" ca="1" si="61"/>
        <v>20</v>
      </c>
      <c r="BK62" s="652">
        <f t="shared" ca="1" si="61"/>
        <v>0</v>
      </c>
      <c r="BL62" s="652">
        <f t="shared" ca="1" si="61"/>
        <v>0</v>
      </c>
      <c r="BM62" s="652">
        <f t="shared" ca="1" si="61"/>
        <v>0</v>
      </c>
      <c r="BN62" s="652">
        <f t="shared" ca="1" si="61"/>
        <v>0</v>
      </c>
      <c r="BO62" s="652">
        <f t="shared" ca="1" si="61"/>
        <v>0</v>
      </c>
      <c r="BP62" s="652">
        <f t="shared" ca="1" si="61"/>
        <v>0</v>
      </c>
      <c r="BQ62" s="652">
        <f t="shared" ca="1" si="61"/>
        <v>0</v>
      </c>
      <c r="BR62" s="652">
        <f t="shared" ca="1" si="8"/>
        <v>0</v>
      </c>
      <c r="BS62" s="572">
        <f t="shared" ca="1" si="60"/>
        <v>0</v>
      </c>
      <c r="BT62" s="572">
        <f t="shared" ca="1" si="61"/>
        <v>0</v>
      </c>
      <c r="BU62" s="572">
        <f t="shared" ca="1" si="61"/>
        <v>0</v>
      </c>
      <c r="BV62" s="572">
        <f t="shared" ca="1" si="61"/>
        <v>0</v>
      </c>
      <c r="BW62" s="572">
        <f t="shared" ca="1" si="61"/>
        <v>0</v>
      </c>
      <c r="BX62" s="572">
        <f t="shared" ca="1" si="61"/>
        <v>0</v>
      </c>
      <c r="BY62" s="572">
        <f t="shared" ca="1" si="61"/>
        <v>0</v>
      </c>
    </row>
    <row r="63" spans="1:77">
      <c r="A63" s="531" t="str">
        <f t="shared" ca="1" si="0"/>
        <v>Residential Audit OnlineLG&amp;E-HVAC-DWH-Central Air Conditioner - ENERGY STAR</v>
      </c>
      <c r="B63" s="1297" t="str">
        <f t="shared" si="48"/>
        <v>LG&amp;EResidential Audit Online</v>
      </c>
      <c r="C63" s="661" t="s">
        <v>193</v>
      </c>
      <c r="D63" s="662" t="s">
        <v>61</v>
      </c>
      <c r="E63" s="572" t="str">
        <f t="shared" ca="1" si="62"/>
        <v>LG&amp;E-HVAC-DWH-Central Air Conditioner - ENERGY STAR</v>
      </c>
      <c r="F63" s="572" t="str">
        <f t="shared" ca="1" si="62"/>
        <v>ENERGY STAR Central Air Conditioner - SEER2 15.2 (Split System)</v>
      </c>
      <c r="G63" s="572" t="str">
        <f t="shared" ca="1" si="62"/>
        <v>Per Unit</v>
      </c>
      <c r="H63" s="572">
        <f t="shared" ca="1" si="57"/>
        <v>0</v>
      </c>
      <c r="I63" s="572">
        <f t="shared" ca="1" si="57"/>
        <v>240</v>
      </c>
      <c r="J63" s="572">
        <f t="shared" ca="1" si="57"/>
        <v>312</v>
      </c>
      <c r="K63" s="572">
        <f t="shared" ca="1" si="57"/>
        <v>384.5</v>
      </c>
      <c r="L63" s="572">
        <f t="shared" ca="1" si="57"/>
        <v>480.5</v>
      </c>
      <c r="M63" s="572">
        <f t="shared" ca="1" si="57"/>
        <v>480.5</v>
      </c>
      <c r="N63" s="572">
        <f t="shared" ca="1" si="57"/>
        <v>480.5</v>
      </c>
      <c r="O63" s="572">
        <f t="shared" ca="1" si="57"/>
        <v>0</v>
      </c>
      <c r="P63" s="572">
        <f t="shared" ca="1" si="57"/>
        <v>81360</v>
      </c>
      <c r="Q63" s="572">
        <f t="shared" ca="1" si="57"/>
        <v>105768</v>
      </c>
      <c r="R63" s="572">
        <f t="shared" ca="1" si="57"/>
        <v>130345.5</v>
      </c>
      <c r="S63" s="572">
        <f t="shared" ca="1" si="57"/>
        <v>162889.5</v>
      </c>
      <c r="T63" s="572">
        <f t="shared" ca="1" si="57"/>
        <v>162889.5</v>
      </c>
      <c r="U63" s="572">
        <f t="shared" ca="1" si="57"/>
        <v>162889.5</v>
      </c>
      <c r="V63" s="572">
        <f t="shared" ca="1" si="58"/>
        <v>0</v>
      </c>
      <c r="W63" s="572">
        <f t="shared" ca="1" si="58"/>
        <v>0</v>
      </c>
      <c r="X63" s="572">
        <f t="shared" ca="1" si="58"/>
        <v>0</v>
      </c>
      <c r="Y63" s="572">
        <f t="shared" ca="1" si="58"/>
        <v>0</v>
      </c>
      <c r="Z63" s="572">
        <f t="shared" ca="1" si="58"/>
        <v>0</v>
      </c>
      <c r="AA63" s="572">
        <f t="shared" ca="1" si="58"/>
        <v>0</v>
      </c>
      <c r="AB63" s="572">
        <f t="shared" ca="1" si="58"/>
        <v>0</v>
      </c>
      <c r="AC63" s="572">
        <f t="shared" ca="1" si="58"/>
        <v>0</v>
      </c>
      <c r="AD63" s="572">
        <f t="shared" ca="1" si="58"/>
        <v>72000</v>
      </c>
      <c r="AE63" s="572">
        <f t="shared" ca="1" si="58"/>
        <v>93600</v>
      </c>
      <c r="AF63" s="572">
        <f t="shared" ca="1" si="58"/>
        <v>115350</v>
      </c>
      <c r="AG63" s="572">
        <f t="shared" ca="1" si="58"/>
        <v>144150</v>
      </c>
      <c r="AH63" s="572">
        <f t="shared" ca="1" si="58"/>
        <v>144150</v>
      </c>
      <c r="AI63" s="572">
        <f t="shared" ca="1" si="58"/>
        <v>144150</v>
      </c>
      <c r="AJ63" s="572">
        <f t="shared" ca="1" si="58"/>
        <v>0</v>
      </c>
      <c r="AK63" s="572">
        <f t="shared" ca="1" si="58"/>
        <v>19389.915347810034</v>
      </c>
      <c r="AL63" s="572">
        <f t="shared" ca="1" si="59"/>
        <v>25206.889952153044</v>
      </c>
      <c r="AM63" s="572">
        <f t="shared" ca="1" si="59"/>
        <v>31064.260213470658</v>
      </c>
      <c r="AN63" s="572">
        <f t="shared" ca="1" si="59"/>
        <v>38820.226352594669</v>
      </c>
      <c r="AO63" s="572">
        <f t="shared" ca="1" si="59"/>
        <v>38820.226352594669</v>
      </c>
      <c r="AP63" s="572">
        <f t="shared" ca="1" si="59"/>
        <v>38820.226352594669</v>
      </c>
      <c r="AQ63" s="572">
        <f t="shared" ca="1" si="59"/>
        <v>0</v>
      </c>
      <c r="AR63" s="572">
        <f t="shared" ca="1" si="59"/>
        <v>47.001599999999975</v>
      </c>
      <c r="AS63" s="572">
        <f t="shared" ca="1" si="59"/>
        <v>61.102079999999972</v>
      </c>
      <c r="AT63" s="572">
        <f t="shared" ca="1" si="59"/>
        <v>75.300479999999965</v>
      </c>
      <c r="AU63" s="572">
        <f t="shared" ca="1" si="59"/>
        <v>94.101119999999952</v>
      </c>
      <c r="AV63" s="572">
        <f t="shared" ca="1" si="59"/>
        <v>94.101119999999952</v>
      </c>
      <c r="AW63" s="572">
        <f t="shared" ca="1" si="60"/>
        <v>94.101119999999952</v>
      </c>
      <c r="AX63" s="572">
        <f t="shared" ca="1" si="60"/>
        <v>0</v>
      </c>
      <c r="AY63" s="572">
        <f t="shared" ca="1" si="60"/>
        <v>0</v>
      </c>
      <c r="AZ63" s="572">
        <f t="shared" ca="1" si="60"/>
        <v>0</v>
      </c>
      <c r="BA63" s="572">
        <f t="shared" ca="1" si="60"/>
        <v>0</v>
      </c>
      <c r="BB63" s="572">
        <f t="shared" ca="1" si="60"/>
        <v>0</v>
      </c>
      <c r="BC63" s="572">
        <f t="shared" ca="1" si="60"/>
        <v>0</v>
      </c>
      <c r="BD63" s="572">
        <f t="shared" ca="1" si="60"/>
        <v>0</v>
      </c>
      <c r="BE63" s="652" t="str">
        <f t="shared" ca="1" si="61"/>
        <v>Residential</v>
      </c>
      <c r="BF63" s="652" t="str">
        <f t="shared" ca="1" si="61"/>
        <v>ResCooling - SF Wtd</v>
      </c>
      <c r="BG63" s="652" t="str">
        <f t="shared" ca="1" si="61"/>
        <v>ResSFGasHeat</v>
      </c>
      <c r="BH63" s="652" t="str">
        <f t="shared" ca="1" si="61"/>
        <v>LGE Res</v>
      </c>
      <c r="BI63" s="652" t="str">
        <f t="shared" ca="1" si="61"/>
        <v>LGE Res</v>
      </c>
      <c r="BJ63" s="652">
        <f t="shared" ca="1" si="61"/>
        <v>18</v>
      </c>
      <c r="BK63" s="652">
        <f t="shared" ca="1" si="61"/>
        <v>0</v>
      </c>
      <c r="BL63" s="652">
        <f t="shared" ca="1" si="61"/>
        <v>0</v>
      </c>
      <c r="BM63" s="652">
        <f t="shared" ca="1" si="61"/>
        <v>0</v>
      </c>
      <c r="BN63" s="652">
        <f t="shared" ca="1" si="61"/>
        <v>0</v>
      </c>
      <c r="BO63" s="652">
        <f t="shared" ca="1" si="61"/>
        <v>0</v>
      </c>
      <c r="BP63" s="652">
        <f t="shared" ca="1" si="61"/>
        <v>0</v>
      </c>
      <c r="BQ63" s="652">
        <f t="shared" ca="1" si="61"/>
        <v>0</v>
      </c>
      <c r="BR63" s="652">
        <f t="shared" ca="1" si="8"/>
        <v>2378</v>
      </c>
      <c r="BS63" s="572">
        <f t="shared" ca="1" si="60"/>
        <v>806142</v>
      </c>
      <c r="BT63" s="572">
        <f t="shared" ca="1" si="61"/>
        <v>0</v>
      </c>
      <c r="BU63" s="572">
        <f t="shared" ca="1" si="61"/>
        <v>713400</v>
      </c>
      <c r="BV63" s="572">
        <f t="shared" ca="1" si="61"/>
        <v>0</v>
      </c>
      <c r="BW63" s="572">
        <f t="shared" ca="1" si="61"/>
        <v>192121.74457121774</v>
      </c>
      <c r="BX63" s="572">
        <f t="shared" ca="1" si="61"/>
        <v>465.7075199999997</v>
      </c>
      <c r="BY63" s="572">
        <f t="shared" ca="1" si="61"/>
        <v>0</v>
      </c>
    </row>
    <row r="64" spans="1:77">
      <c r="A64" s="531" t="str">
        <f t="shared" ca="1" si="0"/>
        <v>Residential Audit OnlineLG&amp;E-HVAC-DWH-Heat Pump - Air Source ENERGY STAR</v>
      </c>
      <c r="B64" s="1297" t="str">
        <f t="shared" si="48"/>
        <v>LG&amp;EResidential Audit Online</v>
      </c>
      <c r="C64" s="661" t="s">
        <v>194</v>
      </c>
      <c r="D64" s="662" t="s">
        <v>61</v>
      </c>
      <c r="E64" s="572" t="str">
        <f t="shared" ca="1" si="62"/>
        <v>LG&amp;E-HVAC-DWH-Heat Pump - Air Source ENERGY STAR</v>
      </c>
      <c r="F64" s="572" t="str">
        <f t="shared" ca="1" si="62"/>
        <v>ENERGY STAR Air Source Heat Pump - SEER2 15.2 and HSPF2 7.8 (Split System) (CEE Tier 1)</v>
      </c>
      <c r="G64" s="572" t="str">
        <f t="shared" ca="1" si="62"/>
        <v>Per Unit</v>
      </c>
      <c r="H64" s="572">
        <f t="shared" ca="1" si="57"/>
        <v>0</v>
      </c>
      <c r="I64" s="572">
        <f t="shared" ca="1" si="57"/>
        <v>229.5</v>
      </c>
      <c r="J64" s="572">
        <f t="shared" ca="1" si="57"/>
        <v>298.5</v>
      </c>
      <c r="K64" s="572">
        <f t="shared" ca="1" si="57"/>
        <v>367.5</v>
      </c>
      <c r="L64" s="572">
        <f t="shared" ca="1" si="57"/>
        <v>459.5</v>
      </c>
      <c r="M64" s="572">
        <f t="shared" ca="1" si="57"/>
        <v>459.5</v>
      </c>
      <c r="N64" s="572">
        <f t="shared" ca="1" si="57"/>
        <v>459.5</v>
      </c>
      <c r="O64" s="572">
        <f t="shared" ca="1" si="57"/>
        <v>0</v>
      </c>
      <c r="P64" s="572">
        <f t="shared" ca="1" si="57"/>
        <v>92947.5</v>
      </c>
      <c r="Q64" s="572">
        <f t="shared" ca="1" si="57"/>
        <v>120892.5</v>
      </c>
      <c r="R64" s="572">
        <f t="shared" ca="1" si="57"/>
        <v>148837.5</v>
      </c>
      <c r="S64" s="572">
        <f t="shared" ca="1" si="57"/>
        <v>186097.5</v>
      </c>
      <c r="T64" s="572">
        <f t="shared" ca="1" si="57"/>
        <v>186097.5</v>
      </c>
      <c r="U64" s="572">
        <f t="shared" ca="1" si="57"/>
        <v>186097.5</v>
      </c>
      <c r="V64" s="572">
        <f t="shared" ca="1" si="57"/>
        <v>0</v>
      </c>
      <c r="W64" s="572">
        <f t="shared" ca="1" si="57"/>
        <v>0</v>
      </c>
      <c r="X64" s="572">
        <f t="shared" ref="X64:AM68" ca="1" si="63">VLOOKUP($C64,INDIRECT("'"&amp;$D64&amp;"'!A6:FR1000"),IF(X$6="Participation 2023",MATCH("__Participation 2023",INDIRECT("'"&amp;$D64&amp;"'!1:1"),0),IF(X$6="Participation",MATCH("_Total Plan Summary _Participation",INDIRECT("'"&amp;$D64&amp;"'!1:1"),0),MATCH(X$4&amp;"_"&amp;X$5&amp;"_"&amp;X$6,INDIRECT("'"&amp;$D64&amp;"'!1:1"),0))),0)</f>
        <v>0</v>
      </c>
      <c r="Y64" s="572">
        <f t="shared" ca="1" si="63"/>
        <v>0</v>
      </c>
      <c r="Z64" s="572">
        <f t="shared" ca="1" si="63"/>
        <v>0</v>
      </c>
      <c r="AA64" s="572">
        <f t="shared" ca="1" si="63"/>
        <v>0</v>
      </c>
      <c r="AB64" s="572">
        <f t="shared" ca="1" si="63"/>
        <v>0</v>
      </c>
      <c r="AC64" s="572">
        <f t="shared" ca="1" si="63"/>
        <v>0</v>
      </c>
      <c r="AD64" s="572">
        <f t="shared" ca="1" si="63"/>
        <v>91800</v>
      </c>
      <c r="AE64" s="572">
        <f t="shared" ca="1" si="63"/>
        <v>119400</v>
      </c>
      <c r="AF64" s="572">
        <f t="shared" ca="1" si="63"/>
        <v>147000</v>
      </c>
      <c r="AG64" s="572">
        <f t="shared" ca="1" si="63"/>
        <v>183800</v>
      </c>
      <c r="AH64" s="572">
        <f t="shared" ca="1" si="63"/>
        <v>183800</v>
      </c>
      <c r="AI64" s="572">
        <f t="shared" ca="1" si="63"/>
        <v>183800</v>
      </c>
      <c r="AJ64" s="572">
        <f t="shared" ca="1" si="63"/>
        <v>0</v>
      </c>
      <c r="AK64" s="572">
        <f t="shared" ca="1" si="63"/>
        <v>61209.945844681599</v>
      </c>
      <c r="AL64" s="572">
        <f t="shared" ca="1" si="63"/>
        <v>79612.936098638151</v>
      </c>
      <c r="AM64" s="572">
        <f t="shared" ca="1" si="63"/>
        <v>98015.926352594717</v>
      </c>
      <c r="AN64" s="572">
        <f t="shared" ca="1" si="59"/>
        <v>122553.24669120346</v>
      </c>
      <c r="AO64" s="572">
        <f t="shared" ca="1" si="59"/>
        <v>122553.24669120346</v>
      </c>
      <c r="AP64" s="572">
        <f t="shared" ca="1" si="59"/>
        <v>122553.24669120346</v>
      </c>
      <c r="AQ64" s="572">
        <f t="shared" ca="1" si="59"/>
        <v>0</v>
      </c>
      <c r="AR64" s="572">
        <f t="shared" ca="1" si="59"/>
        <v>42.86995804195805</v>
      </c>
      <c r="AS64" s="572">
        <f t="shared" ca="1" si="59"/>
        <v>55.758965034965044</v>
      </c>
      <c r="AT64" s="572">
        <f t="shared" ca="1" si="59"/>
        <v>68.647972027972045</v>
      </c>
      <c r="AU64" s="572">
        <f t="shared" ca="1" si="59"/>
        <v>85.833314685314704</v>
      </c>
      <c r="AV64" s="572">
        <f t="shared" ca="1" si="59"/>
        <v>85.833314685314704</v>
      </c>
      <c r="AW64" s="572">
        <f t="shared" ca="1" si="60"/>
        <v>85.833314685314704</v>
      </c>
      <c r="AX64" s="572">
        <f t="shared" ca="1" si="60"/>
        <v>0</v>
      </c>
      <c r="AY64" s="572">
        <f t="shared" ca="1" si="60"/>
        <v>0</v>
      </c>
      <c r="AZ64" s="572">
        <f t="shared" ca="1" si="60"/>
        <v>0</v>
      </c>
      <c r="BA64" s="572">
        <f t="shared" ca="1" si="60"/>
        <v>0</v>
      </c>
      <c r="BB64" s="572">
        <f t="shared" ca="1" si="60"/>
        <v>0</v>
      </c>
      <c r="BC64" s="572">
        <f t="shared" ca="1" si="60"/>
        <v>0</v>
      </c>
      <c r="BD64" s="572">
        <f t="shared" ca="1" si="60"/>
        <v>0</v>
      </c>
      <c r="BE64" s="652" t="str">
        <f t="shared" ca="1" si="61"/>
        <v>Residential</v>
      </c>
      <c r="BF64" s="652" t="str">
        <f t="shared" ca="1" si="61"/>
        <v>ResEleTotal - SF Wtd</v>
      </c>
      <c r="BG64" s="652" t="str">
        <f t="shared" ca="1" si="61"/>
        <v>ResSFGasHeat</v>
      </c>
      <c r="BH64" s="652" t="str">
        <f t="shared" ca="1" si="61"/>
        <v>LGE Res</v>
      </c>
      <c r="BI64" s="652" t="str">
        <f t="shared" ca="1" si="61"/>
        <v>LGE Res</v>
      </c>
      <c r="BJ64" s="652">
        <f t="shared" ca="1" si="61"/>
        <v>18</v>
      </c>
      <c r="BK64" s="652">
        <f t="shared" ca="1" si="61"/>
        <v>0</v>
      </c>
      <c r="BL64" s="652">
        <f t="shared" ca="1" si="61"/>
        <v>0</v>
      </c>
      <c r="BM64" s="652">
        <f t="shared" ca="1" si="61"/>
        <v>0</v>
      </c>
      <c r="BN64" s="652">
        <f t="shared" ca="1" si="61"/>
        <v>0</v>
      </c>
      <c r="BO64" s="652">
        <f t="shared" ca="1" si="61"/>
        <v>0</v>
      </c>
      <c r="BP64" s="652">
        <f t="shared" ca="1" si="61"/>
        <v>0</v>
      </c>
      <c r="BQ64" s="652">
        <f t="shared" ca="1" si="61"/>
        <v>0</v>
      </c>
      <c r="BR64" s="652">
        <f t="shared" ca="1" si="8"/>
        <v>2274</v>
      </c>
      <c r="BS64" s="572">
        <f t="shared" ca="1" si="60"/>
        <v>920970</v>
      </c>
      <c r="BT64" s="572">
        <f t="shared" ca="1" si="61"/>
        <v>0</v>
      </c>
      <c r="BU64" s="572">
        <f t="shared" ca="1" si="61"/>
        <v>909600</v>
      </c>
      <c r="BV64" s="572">
        <f t="shared" ca="1" si="61"/>
        <v>0</v>
      </c>
      <c r="BW64" s="572">
        <f t="shared" ca="1" si="61"/>
        <v>606498.54836952488</v>
      </c>
      <c r="BX64" s="572">
        <f t="shared" ca="1" si="61"/>
        <v>424.77683916083919</v>
      </c>
      <c r="BY64" s="572">
        <f t="shared" ca="1" si="61"/>
        <v>0</v>
      </c>
    </row>
    <row r="65" spans="1:77">
      <c r="A65" s="531" t="str">
        <f t="shared" ca="1" si="0"/>
        <v>Residential Audit OnlineLG&amp;E-HVAC-DWH-Ductless Heat Pump (DHP)</v>
      </c>
      <c r="B65" s="1297" t="str">
        <f t="shared" si="48"/>
        <v>LG&amp;EResidential Audit Online</v>
      </c>
      <c r="C65" s="661" t="s">
        <v>195</v>
      </c>
      <c r="D65" s="662" t="s">
        <v>61</v>
      </c>
      <c r="E65" s="572" t="str">
        <f t="shared" ca="1" si="62"/>
        <v>LG&amp;E-HVAC-DWH-Ductless Heat Pump (DHP)</v>
      </c>
      <c r="F65" s="572" t="str">
        <f t="shared" ca="1" si="62"/>
        <v>Ductless Heat Pump - SEER/EER 18/12.5, HSPF 10.0</v>
      </c>
      <c r="G65" s="572" t="str">
        <f t="shared" ca="1" si="62"/>
        <v>Per Unit</v>
      </c>
      <c r="H65" s="572">
        <f t="shared" ref="H65:W69" ca="1" si="64">VLOOKUP($C65,INDIRECT("'"&amp;$D65&amp;"'!A6:FR1000"),IF(H$6="Participation 2023",MATCH("__Participation 2023",INDIRECT("'"&amp;$D65&amp;"'!1:1"),0),IF(H$6="Participation",MATCH("_Total Plan Summary _Participation",INDIRECT("'"&amp;$D65&amp;"'!1:1"),0),MATCH(H$4&amp;"_"&amp;H$5&amp;"_"&amp;H$6,INDIRECT("'"&amp;$D65&amp;"'!1:1"),0))),0)</f>
        <v>0</v>
      </c>
      <c r="I65" s="572">
        <f t="shared" ca="1" si="64"/>
        <v>234.75</v>
      </c>
      <c r="J65" s="572">
        <f t="shared" ca="1" si="64"/>
        <v>305.25</v>
      </c>
      <c r="K65" s="572">
        <f t="shared" ca="1" si="64"/>
        <v>376</v>
      </c>
      <c r="L65" s="572">
        <f t="shared" ca="1" si="64"/>
        <v>470</v>
      </c>
      <c r="M65" s="572">
        <f t="shared" ca="1" si="64"/>
        <v>470</v>
      </c>
      <c r="N65" s="572">
        <f t="shared" ca="1" si="64"/>
        <v>470</v>
      </c>
      <c r="O65" s="572">
        <f t="shared" ca="1" si="64"/>
        <v>0</v>
      </c>
      <c r="P65" s="572">
        <f t="shared" ca="1" si="64"/>
        <v>235219.5</v>
      </c>
      <c r="Q65" s="572">
        <f t="shared" ca="1" si="64"/>
        <v>305860.5</v>
      </c>
      <c r="R65" s="572">
        <f t="shared" ca="1" si="64"/>
        <v>376752</v>
      </c>
      <c r="S65" s="572">
        <f t="shared" ca="1" si="64"/>
        <v>470940</v>
      </c>
      <c r="T65" s="572">
        <f t="shared" ca="1" si="64"/>
        <v>470940</v>
      </c>
      <c r="U65" s="572">
        <f t="shared" ca="1" si="64"/>
        <v>470940</v>
      </c>
      <c r="V65" s="572">
        <f t="shared" ca="1" si="64"/>
        <v>0</v>
      </c>
      <c r="W65" s="572">
        <f t="shared" ca="1" si="64"/>
        <v>0</v>
      </c>
      <c r="X65" s="572">
        <f t="shared" ca="1" si="63"/>
        <v>0</v>
      </c>
      <c r="Y65" s="572">
        <f t="shared" ca="1" si="63"/>
        <v>0</v>
      </c>
      <c r="Z65" s="572">
        <f t="shared" ca="1" si="63"/>
        <v>0</v>
      </c>
      <c r="AA65" s="572">
        <f t="shared" ca="1" si="63"/>
        <v>0</v>
      </c>
      <c r="AB65" s="572">
        <f t="shared" ca="1" si="63"/>
        <v>0</v>
      </c>
      <c r="AC65" s="572">
        <f t="shared" ca="1" si="63"/>
        <v>0</v>
      </c>
      <c r="AD65" s="572">
        <f t="shared" ca="1" si="63"/>
        <v>93900</v>
      </c>
      <c r="AE65" s="572">
        <f t="shared" ca="1" si="63"/>
        <v>122100</v>
      </c>
      <c r="AF65" s="572">
        <f t="shared" ca="1" si="63"/>
        <v>150400</v>
      </c>
      <c r="AG65" s="572">
        <f t="shared" ca="1" si="63"/>
        <v>188000</v>
      </c>
      <c r="AH65" s="572">
        <f t="shared" ca="1" si="63"/>
        <v>188000</v>
      </c>
      <c r="AI65" s="572">
        <f t="shared" ca="1" si="63"/>
        <v>188000</v>
      </c>
      <c r="AJ65" s="572">
        <f t="shared" ca="1" si="63"/>
        <v>0</v>
      </c>
      <c r="AK65" s="572">
        <f t="shared" ca="1" si="63"/>
        <v>979463.05522405182</v>
      </c>
      <c r="AL65" s="572">
        <f t="shared" ca="1" si="63"/>
        <v>1273614.8992849493</v>
      </c>
      <c r="AM65" s="572">
        <f t="shared" ca="1" si="63"/>
        <v>1568809.8349914525</v>
      </c>
      <c r="AN65" s="572">
        <f t="shared" ca="1" si="59"/>
        <v>1961012.2937393158</v>
      </c>
      <c r="AO65" s="572">
        <f t="shared" ca="1" si="59"/>
        <v>1961012.2937393158</v>
      </c>
      <c r="AP65" s="572">
        <f t="shared" ca="1" si="59"/>
        <v>1961012.2937393158</v>
      </c>
      <c r="AQ65" s="572">
        <f t="shared" ca="1" si="59"/>
        <v>0</v>
      </c>
      <c r="AR65" s="572">
        <f t="shared" ca="1" si="59"/>
        <v>0</v>
      </c>
      <c r="AS65" s="572">
        <f t="shared" ca="1" si="59"/>
        <v>0</v>
      </c>
      <c r="AT65" s="572">
        <f t="shared" ca="1" si="59"/>
        <v>0</v>
      </c>
      <c r="AU65" s="572">
        <f t="shared" ca="1" si="59"/>
        <v>0</v>
      </c>
      <c r="AV65" s="572">
        <f t="shared" ca="1" si="59"/>
        <v>0</v>
      </c>
      <c r="AW65" s="572">
        <f t="shared" ca="1" si="60"/>
        <v>0</v>
      </c>
      <c r="AX65" s="572">
        <f t="shared" ca="1" si="60"/>
        <v>0</v>
      </c>
      <c r="AY65" s="572">
        <f t="shared" ca="1" si="60"/>
        <v>0</v>
      </c>
      <c r="AZ65" s="572">
        <f t="shared" ca="1" si="60"/>
        <v>0</v>
      </c>
      <c r="BA65" s="572">
        <f t="shared" ca="1" si="60"/>
        <v>0</v>
      </c>
      <c r="BB65" s="572">
        <f t="shared" ca="1" si="60"/>
        <v>0</v>
      </c>
      <c r="BC65" s="572">
        <f t="shared" ca="1" si="60"/>
        <v>0</v>
      </c>
      <c r="BD65" s="572">
        <f t="shared" ca="1" si="60"/>
        <v>0</v>
      </c>
      <c r="BE65" s="652" t="str">
        <f t="shared" ca="1" si="61"/>
        <v>Residential</v>
      </c>
      <c r="BF65" s="652" t="str">
        <f t="shared" ca="1" si="61"/>
        <v>ResEleTotal - SF Wtd</v>
      </c>
      <c r="BG65" s="652" t="str">
        <f t="shared" ca="1" si="61"/>
        <v>ResSFGasHeat</v>
      </c>
      <c r="BH65" s="652" t="str">
        <f t="shared" ca="1" si="61"/>
        <v>LGE Res</v>
      </c>
      <c r="BI65" s="652" t="str">
        <f t="shared" ca="1" si="61"/>
        <v>LGE Res</v>
      </c>
      <c r="BJ65" s="652">
        <f t="shared" ca="1" si="61"/>
        <v>18</v>
      </c>
      <c r="BK65" s="652">
        <f t="shared" ca="1" si="61"/>
        <v>0</v>
      </c>
      <c r="BL65" s="652">
        <f t="shared" ca="1" si="61"/>
        <v>0</v>
      </c>
      <c r="BM65" s="652">
        <f t="shared" ca="1" si="61"/>
        <v>0</v>
      </c>
      <c r="BN65" s="652">
        <f t="shared" ca="1" si="61"/>
        <v>0</v>
      </c>
      <c r="BO65" s="652">
        <f t="shared" ca="1" si="61"/>
        <v>0</v>
      </c>
      <c r="BP65" s="652">
        <f t="shared" ref="BL65:BQ110" ca="1" si="65">VLOOKUP($C65,INDIRECT("'"&amp;$D65&amp;"'!A6:FR1000"),IF(BP$6="Participation 2023",MATCH("__Participation 2023",INDIRECT("'"&amp;$D65&amp;"'!1:1"),0),IF(BP$6="Participation",MATCH("_Total Plan Summary _Participation",INDIRECT("'"&amp;$D65&amp;"'!1:1"),0),MATCH(BP$4&amp;"_"&amp;BP$5&amp;"_"&amp;BP$6,INDIRECT("'"&amp;$D65&amp;"'!1:1"),0))),0)</f>
        <v>0</v>
      </c>
      <c r="BQ65" s="652">
        <f t="shared" ca="1" si="65"/>
        <v>0</v>
      </c>
      <c r="BR65" s="652">
        <f t="shared" ca="1" si="8"/>
        <v>2326</v>
      </c>
      <c r="BS65" s="572">
        <f t="shared" ca="1" si="60"/>
        <v>2330652</v>
      </c>
      <c r="BT65" s="572">
        <f t="shared" ca="1" si="61"/>
        <v>0</v>
      </c>
      <c r="BU65" s="572">
        <f t="shared" ca="1" si="61"/>
        <v>930400</v>
      </c>
      <c r="BV65" s="572">
        <f t="shared" ca="1" si="61"/>
        <v>0</v>
      </c>
      <c r="BW65" s="572">
        <f t="shared" ca="1" si="61"/>
        <v>9704924.6707184017</v>
      </c>
      <c r="BX65" s="572">
        <f t="shared" ca="1" si="61"/>
        <v>0</v>
      </c>
      <c r="BY65" s="572">
        <f t="shared" ca="1" si="61"/>
        <v>0</v>
      </c>
    </row>
    <row r="66" spans="1:77">
      <c r="A66" s="531" t="str">
        <f t="shared" ca="1" si="0"/>
        <v>Residential Audit OnlineLG&amp;E-HVAC-DWH-Boiler - ENERGY STAR</v>
      </c>
      <c r="B66" s="1297" t="str">
        <f t="shared" si="48"/>
        <v>LG&amp;EResidential Audit Online</v>
      </c>
      <c r="C66" s="661" t="s">
        <v>196</v>
      </c>
      <c r="D66" s="662" t="s">
        <v>61</v>
      </c>
      <c r="E66" s="572" t="str">
        <f t="shared" ca="1" si="62"/>
        <v>LG&amp;E-HVAC-DWH-Boiler - ENERGY STAR</v>
      </c>
      <c r="F66" s="572" t="str">
        <f t="shared" ca="1" si="62"/>
        <v>ENERGY STAR Boiler - 90% AFUE</v>
      </c>
      <c r="G66" s="572" t="str">
        <f t="shared" ca="1" si="62"/>
        <v>Per Unit</v>
      </c>
      <c r="H66" s="572">
        <f t="shared" ca="1" si="64"/>
        <v>0</v>
      </c>
      <c r="I66" s="572">
        <f t="shared" ca="1" si="64"/>
        <v>0</v>
      </c>
      <c r="J66" s="572">
        <f t="shared" ca="1" si="64"/>
        <v>0</v>
      </c>
      <c r="K66" s="572">
        <f t="shared" ca="1" si="64"/>
        <v>0</v>
      </c>
      <c r="L66" s="572">
        <f t="shared" ca="1" si="64"/>
        <v>0</v>
      </c>
      <c r="M66" s="572">
        <f t="shared" ca="1" si="64"/>
        <v>0</v>
      </c>
      <c r="N66" s="572">
        <f t="shared" ca="1" si="64"/>
        <v>0</v>
      </c>
      <c r="O66" s="572">
        <f t="shared" ca="1" si="64"/>
        <v>0</v>
      </c>
      <c r="P66" s="572">
        <f t="shared" ca="1" si="64"/>
        <v>0</v>
      </c>
      <c r="Q66" s="572">
        <f t="shared" ca="1" si="64"/>
        <v>0</v>
      </c>
      <c r="R66" s="572">
        <f t="shared" ca="1" si="64"/>
        <v>0</v>
      </c>
      <c r="S66" s="572">
        <f t="shared" ca="1" si="64"/>
        <v>0</v>
      </c>
      <c r="T66" s="572">
        <f t="shared" ca="1" si="64"/>
        <v>0</v>
      </c>
      <c r="U66" s="572">
        <f t="shared" ca="1" si="64"/>
        <v>0</v>
      </c>
      <c r="V66" s="572">
        <f t="shared" ca="1" si="64"/>
        <v>0</v>
      </c>
      <c r="W66" s="572">
        <f t="shared" ca="1" si="64"/>
        <v>0</v>
      </c>
      <c r="X66" s="572">
        <f t="shared" ca="1" si="63"/>
        <v>0</v>
      </c>
      <c r="Y66" s="572">
        <f t="shared" ca="1" si="63"/>
        <v>0</v>
      </c>
      <c r="Z66" s="572">
        <f t="shared" ca="1" si="63"/>
        <v>0</v>
      </c>
      <c r="AA66" s="572">
        <f t="shared" ca="1" si="63"/>
        <v>0</v>
      </c>
      <c r="AB66" s="572">
        <f t="shared" ca="1" si="63"/>
        <v>0</v>
      </c>
      <c r="AC66" s="572">
        <f t="shared" ca="1" si="63"/>
        <v>0</v>
      </c>
      <c r="AD66" s="572">
        <f t="shared" ca="1" si="63"/>
        <v>0</v>
      </c>
      <c r="AE66" s="572">
        <f t="shared" ca="1" si="63"/>
        <v>0</v>
      </c>
      <c r="AF66" s="572">
        <f t="shared" ca="1" si="63"/>
        <v>0</v>
      </c>
      <c r="AG66" s="572">
        <f t="shared" ca="1" si="63"/>
        <v>0</v>
      </c>
      <c r="AH66" s="572">
        <f t="shared" ca="1" si="63"/>
        <v>0</v>
      </c>
      <c r="AI66" s="572">
        <f t="shared" ca="1" si="63"/>
        <v>0</v>
      </c>
      <c r="AJ66" s="572">
        <f t="shared" ca="1" si="63"/>
        <v>0</v>
      </c>
      <c r="AK66" s="572">
        <f t="shared" ca="1" si="63"/>
        <v>0</v>
      </c>
      <c r="AL66" s="572">
        <f t="shared" ca="1" si="63"/>
        <v>0</v>
      </c>
      <c r="AM66" s="572">
        <f t="shared" ca="1" si="63"/>
        <v>0</v>
      </c>
      <c r="AN66" s="572">
        <f t="shared" ref="AN66:BC69" ca="1" si="66">VLOOKUP($C66,INDIRECT("'"&amp;$D66&amp;"'!A6:FR1000"),IF(AN$6="Participation 2023",MATCH("__Participation 2023",INDIRECT("'"&amp;$D66&amp;"'!1:1"),0),IF(AN$6="Participation",MATCH("_Total Plan Summary _Participation",INDIRECT("'"&amp;$D66&amp;"'!1:1"),0),MATCH(AN$4&amp;"_"&amp;AN$5&amp;"_"&amp;AN$6,INDIRECT("'"&amp;$D66&amp;"'!1:1"),0))),0)</f>
        <v>0</v>
      </c>
      <c r="AO66" s="572">
        <f t="shared" ca="1" si="66"/>
        <v>0</v>
      </c>
      <c r="AP66" s="572">
        <f t="shared" ca="1" si="66"/>
        <v>0</v>
      </c>
      <c r="AQ66" s="572">
        <f t="shared" ca="1" si="66"/>
        <v>0</v>
      </c>
      <c r="AR66" s="572">
        <f t="shared" ca="1" si="66"/>
        <v>0</v>
      </c>
      <c r="AS66" s="572">
        <f t="shared" ca="1" si="66"/>
        <v>0</v>
      </c>
      <c r="AT66" s="572">
        <f t="shared" ca="1" si="66"/>
        <v>0</v>
      </c>
      <c r="AU66" s="572">
        <f t="shared" ca="1" si="66"/>
        <v>0</v>
      </c>
      <c r="AV66" s="572">
        <f t="shared" ca="1" si="66"/>
        <v>0</v>
      </c>
      <c r="AW66" s="572">
        <f t="shared" ca="1" si="60"/>
        <v>0</v>
      </c>
      <c r="AX66" s="572">
        <f t="shared" ca="1" si="60"/>
        <v>0</v>
      </c>
      <c r="AY66" s="572">
        <f t="shared" ca="1" si="60"/>
        <v>0</v>
      </c>
      <c r="AZ66" s="572">
        <f t="shared" ca="1" si="60"/>
        <v>0</v>
      </c>
      <c r="BA66" s="572">
        <f t="shared" ca="1" si="60"/>
        <v>0</v>
      </c>
      <c r="BB66" s="572">
        <f t="shared" ca="1" si="60"/>
        <v>0</v>
      </c>
      <c r="BC66" s="572">
        <f t="shared" ca="1" si="60"/>
        <v>0</v>
      </c>
      <c r="BD66" s="572">
        <f t="shared" ca="1" si="60"/>
        <v>0</v>
      </c>
      <c r="BE66" s="652" t="str">
        <f t="shared" ca="1" si="61"/>
        <v>Residential</v>
      </c>
      <c r="BF66" s="652" t="str">
        <f t="shared" ca="1" si="61"/>
        <v>ResEleTotal - SF Wtd</v>
      </c>
      <c r="BG66" s="652" t="str">
        <f t="shared" ca="1" si="61"/>
        <v>ResSFGasHeat</v>
      </c>
      <c r="BH66" s="652" t="str">
        <f t="shared" ca="1" si="61"/>
        <v>LGE Res</v>
      </c>
      <c r="BI66" s="652" t="str">
        <f t="shared" ca="1" si="61"/>
        <v>LGE Res</v>
      </c>
      <c r="BJ66" s="652">
        <f t="shared" ca="1" si="61"/>
        <v>18</v>
      </c>
      <c r="BK66" s="652">
        <f t="shared" ca="1" si="61"/>
        <v>0</v>
      </c>
      <c r="BL66" s="652">
        <f t="shared" ca="1" si="65"/>
        <v>0</v>
      </c>
      <c r="BM66" s="652">
        <f t="shared" ca="1" si="65"/>
        <v>0</v>
      </c>
      <c r="BN66" s="652">
        <f t="shared" ca="1" si="65"/>
        <v>0</v>
      </c>
      <c r="BO66" s="652">
        <f t="shared" ca="1" si="65"/>
        <v>0</v>
      </c>
      <c r="BP66" s="652">
        <f t="shared" ca="1" si="65"/>
        <v>0</v>
      </c>
      <c r="BQ66" s="652">
        <f t="shared" ca="1" si="65"/>
        <v>0</v>
      </c>
      <c r="BR66" s="652">
        <f t="shared" ca="1" si="8"/>
        <v>0</v>
      </c>
      <c r="BS66" s="572">
        <f t="shared" ca="1" si="60"/>
        <v>0</v>
      </c>
      <c r="BT66" s="572">
        <f t="shared" ca="1" si="61"/>
        <v>0</v>
      </c>
      <c r="BU66" s="572">
        <f t="shared" ca="1" si="61"/>
        <v>0</v>
      </c>
      <c r="BV66" s="572">
        <f t="shared" ca="1" si="61"/>
        <v>0</v>
      </c>
      <c r="BW66" s="572">
        <f t="shared" ca="1" si="61"/>
        <v>0</v>
      </c>
      <c r="BX66" s="572">
        <f t="shared" ca="1" si="61"/>
        <v>0</v>
      </c>
      <c r="BY66" s="572">
        <f t="shared" ca="1" si="61"/>
        <v>0</v>
      </c>
    </row>
    <row r="67" spans="1:77">
      <c r="A67" s="531" t="str">
        <f t="shared" ca="1" si="0"/>
        <v>Residential Audit OnlineLG&amp;E-HVAC-DWH-Furnace - ENERGY STAR</v>
      </c>
      <c r="B67" s="1297" t="str">
        <f t="shared" si="48"/>
        <v>LG&amp;EResidential Audit Online</v>
      </c>
      <c r="C67" s="661" t="s">
        <v>197</v>
      </c>
      <c r="D67" s="662" t="s">
        <v>61</v>
      </c>
      <c r="E67" s="572" t="str">
        <f t="shared" ca="1" si="62"/>
        <v>LG&amp;E-HVAC-DWH-Furnace - ENERGY STAR</v>
      </c>
      <c r="F67" s="572" t="str">
        <f t="shared" ca="1" si="62"/>
        <v>ENERGY STAR Furnace - 95% AFUE</v>
      </c>
      <c r="G67" s="572" t="str">
        <f t="shared" ca="1" si="62"/>
        <v>Per Unit</v>
      </c>
      <c r="H67" s="572">
        <f t="shared" ca="1" si="64"/>
        <v>0</v>
      </c>
      <c r="I67" s="572">
        <f t="shared" ca="1" si="64"/>
        <v>50</v>
      </c>
      <c r="J67" s="572">
        <f t="shared" ca="1" si="64"/>
        <v>100</v>
      </c>
      <c r="K67" s="572">
        <f t="shared" ca="1" si="64"/>
        <v>150</v>
      </c>
      <c r="L67" s="572">
        <f t="shared" ca="1" si="64"/>
        <v>200</v>
      </c>
      <c r="M67" s="572">
        <f t="shared" ca="1" si="64"/>
        <v>0</v>
      </c>
      <c r="N67" s="572">
        <f t="shared" ca="1" si="64"/>
        <v>0</v>
      </c>
      <c r="O67" s="572">
        <f t="shared" ca="1" si="64"/>
        <v>0</v>
      </c>
      <c r="P67" s="572">
        <f t="shared" ca="1" si="64"/>
        <v>48843</v>
      </c>
      <c r="Q67" s="572">
        <f t="shared" ca="1" si="64"/>
        <v>97686</v>
      </c>
      <c r="R67" s="572">
        <f t="shared" ca="1" si="64"/>
        <v>146529</v>
      </c>
      <c r="S67" s="572">
        <f t="shared" ca="1" si="64"/>
        <v>195372</v>
      </c>
      <c r="T67" s="572">
        <f t="shared" ca="1" si="64"/>
        <v>0</v>
      </c>
      <c r="U67" s="572">
        <f t="shared" ca="1" si="64"/>
        <v>0</v>
      </c>
      <c r="V67" s="572">
        <f t="shared" ca="1" si="64"/>
        <v>0</v>
      </c>
      <c r="W67" s="572">
        <f t="shared" ca="1" si="64"/>
        <v>0</v>
      </c>
      <c r="X67" s="572">
        <f t="shared" ca="1" si="63"/>
        <v>0</v>
      </c>
      <c r="Y67" s="572">
        <f t="shared" ca="1" si="63"/>
        <v>0</v>
      </c>
      <c r="Z67" s="572">
        <f t="shared" ca="1" si="63"/>
        <v>0</v>
      </c>
      <c r="AA67" s="572">
        <f t="shared" ca="1" si="63"/>
        <v>0</v>
      </c>
      <c r="AB67" s="572">
        <f t="shared" ca="1" si="63"/>
        <v>0</v>
      </c>
      <c r="AC67" s="572">
        <f t="shared" ca="1" si="63"/>
        <v>0</v>
      </c>
      <c r="AD67" s="572">
        <f t="shared" ca="1" si="63"/>
        <v>12500</v>
      </c>
      <c r="AE67" s="572">
        <f t="shared" ca="1" si="63"/>
        <v>25000</v>
      </c>
      <c r="AF67" s="572">
        <f t="shared" ca="1" si="63"/>
        <v>37500</v>
      </c>
      <c r="AG67" s="572">
        <f t="shared" ca="1" si="63"/>
        <v>50000</v>
      </c>
      <c r="AH67" s="572">
        <f t="shared" ca="1" si="63"/>
        <v>0</v>
      </c>
      <c r="AI67" s="572">
        <f t="shared" ca="1" si="63"/>
        <v>0</v>
      </c>
      <c r="AJ67" s="572">
        <f t="shared" ca="1" si="63"/>
        <v>0</v>
      </c>
      <c r="AK67" s="572">
        <f t="shared" ca="1" si="63"/>
        <v>0</v>
      </c>
      <c r="AL67" s="572">
        <f t="shared" ca="1" si="63"/>
        <v>0</v>
      </c>
      <c r="AM67" s="572">
        <f t="shared" ca="1" si="63"/>
        <v>0</v>
      </c>
      <c r="AN67" s="572">
        <f t="shared" ca="1" si="66"/>
        <v>0</v>
      </c>
      <c r="AO67" s="572">
        <f t="shared" ca="1" si="66"/>
        <v>0</v>
      </c>
      <c r="AP67" s="572">
        <f t="shared" ca="1" si="66"/>
        <v>0</v>
      </c>
      <c r="AQ67" s="572">
        <f t="shared" ca="1" si="66"/>
        <v>0</v>
      </c>
      <c r="AR67" s="572">
        <f t="shared" ca="1" si="66"/>
        <v>0</v>
      </c>
      <c r="AS67" s="572">
        <f t="shared" ca="1" si="66"/>
        <v>0</v>
      </c>
      <c r="AT67" s="572">
        <f t="shared" ca="1" si="66"/>
        <v>0</v>
      </c>
      <c r="AU67" s="572">
        <f t="shared" ca="1" si="66"/>
        <v>0</v>
      </c>
      <c r="AV67" s="572">
        <f t="shared" ca="1" si="66"/>
        <v>0</v>
      </c>
      <c r="AW67" s="572">
        <f t="shared" ca="1" si="66"/>
        <v>0</v>
      </c>
      <c r="AX67" s="572">
        <f t="shared" ca="1" si="66"/>
        <v>0</v>
      </c>
      <c r="AY67" s="572">
        <f t="shared" ca="1" si="66"/>
        <v>3766.8749999999955</v>
      </c>
      <c r="AZ67" s="572">
        <f t="shared" ca="1" si="66"/>
        <v>7533.7499999999909</v>
      </c>
      <c r="BA67" s="572">
        <f t="shared" ca="1" si="66"/>
        <v>11300.624999999985</v>
      </c>
      <c r="BB67" s="572">
        <f t="shared" ca="1" si="66"/>
        <v>15067.499999999982</v>
      </c>
      <c r="BC67" s="572">
        <f t="shared" ca="1" si="66"/>
        <v>0</v>
      </c>
      <c r="BD67" s="572">
        <f t="shared" ref="BA67:BY83" ca="1" si="67">VLOOKUP($C67,INDIRECT("'"&amp;$D67&amp;"'!A6:FR1000"),IF(BD$6="Participation 2023",MATCH("__Participation 2023",INDIRECT("'"&amp;$D67&amp;"'!1:1"),0),IF(BD$6="Participation",MATCH("_Total Plan Summary _Participation",INDIRECT("'"&amp;$D67&amp;"'!1:1"),0),MATCH(BD$4&amp;"_"&amp;BD$5&amp;"_"&amp;BD$6,INDIRECT("'"&amp;$D67&amp;"'!1:1"),0))),0)</f>
        <v>0</v>
      </c>
      <c r="BE67" s="652" t="str">
        <f t="shared" ca="1" si="61"/>
        <v>Residential</v>
      </c>
      <c r="BF67" s="652" t="str">
        <f t="shared" ca="1" si="61"/>
        <v>ResEleTotal - SF Wtd</v>
      </c>
      <c r="BG67" s="652" t="str">
        <f t="shared" ca="1" si="61"/>
        <v>ResSFGasHeat</v>
      </c>
      <c r="BH67" s="652" t="str">
        <f t="shared" ca="1" si="61"/>
        <v>LGE Res</v>
      </c>
      <c r="BI67" s="652" t="str">
        <f t="shared" ca="1" si="61"/>
        <v>LGE Res</v>
      </c>
      <c r="BJ67" s="652">
        <f t="shared" ca="1" si="61"/>
        <v>18</v>
      </c>
      <c r="BK67" s="652">
        <f t="shared" ca="1" si="61"/>
        <v>0</v>
      </c>
      <c r="BL67" s="652">
        <f t="shared" ca="1" si="65"/>
        <v>0</v>
      </c>
      <c r="BM67" s="652">
        <f t="shared" ca="1" si="65"/>
        <v>0</v>
      </c>
      <c r="BN67" s="652">
        <f t="shared" ca="1" si="65"/>
        <v>0</v>
      </c>
      <c r="BO67" s="652">
        <f t="shared" ca="1" si="65"/>
        <v>0</v>
      </c>
      <c r="BP67" s="652">
        <f t="shared" ca="1" si="65"/>
        <v>0</v>
      </c>
      <c r="BQ67" s="652">
        <f t="shared" ca="1" si="65"/>
        <v>0</v>
      </c>
      <c r="BR67" s="652">
        <f t="shared" ca="1" si="8"/>
        <v>500</v>
      </c>
      <c r="BS67" s="572">
        <f t="shared" ca="1" si="67"/>
        <v>488430</v>
      </c>
      <c r="BT67" s="572">
        <f t="shared" ca="1" si="61"/>
        <v>0</v>
      </c>
      <c r="BU67" s="572">
        <f t="shared" ca="1" si="61"/>
        <v>125000</v>
      </c>
      <c r="BV67" s="572">
        <f t="shared" ca="1" si="61"/>
        <v>0</v>
      </c>
      <c r="BW67" s="572">
        <f t="shared" ca="1" si="61"/>
        <v>0</v>
      </c>
      <c r="BX67" s="572">
        <f t="shared" ca="1" si="61"/>
        <v>0</v>
      </c>
      <c r="BY67" s="572">
        <f t="shared" ca="1" si="61"/>
        <v>37668.749999999956</v>
      </c>
    </row>
    <row r="68" spans="1:77">
      <c r="A68" s="531" t="str">
        <f t="shared" ca="1" si="0"/>
        <v>Residential Audit OnlineLG&amp;E-HVAC-DWH-Heat Pump Water Heater - ENERGY STAR</v>
      </c>
      <c r="B68" s="1297" t="str">
        <f t="shared" si="48"/>
        <v>LG&amp;EResidential Audit Online</v>
      </c>
      <c r="C68" s="661" t="s">
        <v>198</v>
      </c>
      <c r="D68" s="662" t="s">
        <v>61</v>
      </c>
      <c r="E68" s="572" t="str">
        <f t="shared" ca="1" si="62"/>
        <v>LG&amp;E-HVAC-DWH-Heat Pump Water Heater - ENERGY STAR</v>
      </c>
      <c r="F68" s="572" t="str">
        <f t="shared" ca="1" si="62"/>
        <v>ENERGY STAR Heat Pump Water Heater ≤ 55 GAL - UEF 2.2</v>
      </c>
      <c r="G68" s="572" t="str">
        <f t="shared" ca="1" si="62"/>
        <v>Per Unit</v>
      </c>
      <c r="H68" s="572">
        <f t="shared" ca="1" si="64"/>
        <v>0</v>
      </c>
      <c r="I68" s="572">
        <f t="shared" ca="1" si="64"/>
        <v>37.5</v>
      </c>
      <c r="J68" s="572">
        <f t="shared" ca="1" si="64"/>
        <v>48.5</v>
      </c>
      <c r="K68" s="572">
        <f t="shared" ca="1" si="64"/>
        <v>60</v>
      </c>
      <c r="L68" s="572">
        <f t="shared" ca="1" si="64"/>
        <v>75</v>
      </c>
      <c r="M68" s="572">
        <f t="shared" ca="1" si="64"/>
        <v>75</v>
      </c>
      <c r="N68" s="572">
        <f t="shared" ca="1" si="64"/>
        <v>75</v>
      </c>
      <c r="O68" s="572">
        <f t="shared" ca="1" si="64"/>
        <v>0</v>
      </c>
      <c r="P68" s="572">
        <f t="shared" ca="1" si="64"/>
        <v>38625</v>
      </c>
      <c r="Q68" s="572">
        <f t="shared" ca="1" si="64"/>
        <v>49955</v>
      </c>
      <c r="R68" s="572">
        <f t="shared" ca="1" si="64"/>
        <v>61800</v>
      </c>
      <c r="S68" s="572">
        <f t="shared" ca="1" si="64"/>
        <v>77250</v>
      </c>
      <c r="T68" s="572">
        <f t="shared" ca="1" si="64"/>
        <v>77250</v>
      </c>
      <c r="U68" s="572">
        <f t="shared" ca="1" si="64"/>
        <v>77250</v>
      </c>
      <c r="V68" s="572">
        <f t="shared" ca="1" si="64"/>
        <v>0</v>
      </c>
      <c r="W68" s="572">
        <f t="shared" ca="1" si="64"/>
        <v>0</v>
      </c>
      <c r="X68" s="572">
        <f t="shared" ca="1" si="63"/>
        <v>0</v>
      </c>
      <c r="Y68" s="572">
        <f t="shared" ca="1" si="63"/>
        <v>0</v>
      </c>
      <c r="Z68" s="572">
        <f t="shared" ca="1" si="63"/>
        <v>0</v>
      </c>
      <c r="AA68" s="572">
        <f t="shared" ca="1" si="63"/>
        <v>0</v>
      </c>
      <c r="AB68" s="572">
        <f t="shared" ca="1" si="63"/>
        <v>0</v>
      </c>
      <c r="AC68" s="572">
        <f t="shared" ca="1" si="63"/>
        <v>0</v>
      </c>
      <c r="AD68" s="572">
        <f t="shared" ca="1" si="63"/>
        <v>11250</v>
      </c>
      <c r="AE68" s="572">
        <f t="shared" ca="1" si="63"/>
        <v>14550</v>
      </c>
      <c r="AF68" s="572">
        <f t="shared" ca="1" si="63"/>
        <v>18000</v>
      </c>
      <c r="AG68" s="572">
        <f t="shared" ca="1" si="63"/>
        <v>22500</v>
      </c>
      <c r="AH68" s="572">
        <f t="shared" ca="1" si="63"/>
        <v>22500</v>
      </c>
      <c r="AI68" s="572">
        <f t="shared" ca="1" si="63"/>
        <v>22500</v>
      </c>
      <c r="AJ68" s="572">
        <f t="shared" ca="1" si="63"/>
        <v>0</v>
      </c>
      <c r="AK68" s="572">
        <f t="shared" ca="1" si="63"/>
        <v>54577.835442001342</v>
      </c>
      <c r="AL68" s="572">
        <f t="shared" ca="1" si="63"/>
        <v>70587.333838321734</v>
      </c>
      <c r="AM68" s="572">
        <f t="shared" ca="1" si="63"/>
        <v>87324.536707202147</v>
      </c>
      <c r="AN68" s="572">
        <f t="shared" ca="1" si="66"/>
        <v>109155.67088400268</v>
      </c>
      <c r="AO68" s="572">
        <f t="shared" ca="1" si="66"/>
        <v>109155.67088400268</v>
      </c>
      <c r="AP68" s="572">
        <f t="shared" ca="1" si="66"/>
        <v>109155.67088400268</v>
      </c>
      <c r="AQ68" s="572">
        <f t="shared" ca="1" si="66"/>
        <v>0</v>
      </c>
      <c r="AR68" s="572">
        <f t="shared" ca="1" si="66"/>
        <v>2.17741935483871</v>
      </c>
      <c r="AS68" s="572">
        <f t="shared" ca="1" si="66"/>
        <v>2.8161290322580648</v>
      </c>
      <c r="AT68" s="572">
        <f t="shared" ca="1" si="66"/>
        <v>3.4838709677419355</v>
      </c>
      <c r="AU68" s="572">
        <f t="shared" ca="1" si="66"/>
        <v>4.3548387096774199</v>
      </c>
      <c r="AV68" s="572">
        <f t="shared" ca="1" si="66"/>
        <v>4.3548387096774199</v>
      </c>
      <c r="AW68" s="572">
        <f t="shared" ca="1" si="66"/>
        <v>4.3548387096774199</v>
      </c>
      <c r="AX68" s="572">
        <f t="shared" ca="1" si="66"/>
        <v>0</v>
      </c>
      <c r="AY68" s="572">
        <f t="shared" ca="1" si="66"/>
        <v>0</v>
      </c>
      <c r="AZ68" s="572">
        <f t="shared" ca="1" si="66"/>
        <v>0</v>
      </c>
      <c r="BA68" s="572">
        <f t="shared" ca="1" si="66"/>
        <v>0</v>
      </c>
      <c r="BB68" s="572">
        <f t="shared" ca="1" si="66"/>
        <v>0</v>
      </c>
      <c r="BC68" s="572">
        <f t="shared" ca="1" si="66"/>
        <v>0</v>
      </c>
      <c r="BD68" s="572">
        <f t="shared" ca="1" si="67"/>
        <v>0</v>
      </c>
      <c r="BE68" s="652" t="str">
        <f t="shared" ca="1" si="61"/>
        <v>Residential</v>
      </c>
      <c r="BF68" s="652" t="str">
        <f t="shared" ca="1" si="61"/>
        <v>ResHotWater - SF Wtd</v>
      </c>
      <c r="BG68" s="652" t="str">
        <f t="shared" ca="1" si="61"/>
        <v>ResSFGasHeat</v>
      </c>
      <c r="BH68" s="652" t="str">
        <f t="shared" ca="1" si="61"/>
        <v>LGE Res</v>
      </c>
      <c r="BI68" s="652" t="str">
        <f t="shared" ca="1" si="61"/>
        <v>LGE Res</v>
      </c>
      <c r="BJ68" s="652">
        <f t="shared" ca="1" si="61"/>
        <v>13</v>
      </c>
      <c r="BK68" s="652">
        <f t="shared" ca="1" si="61"/>
        <v>0</v>
      </c>
      <c r="BL68" s="652">
        <f t="shared" ca="1" si="65"/>
        <v>0</v>
      </c>
      <c r="BM68" s="652">
        <f t="shared" ca="1" si="65"/>
        <v>0</v>
      </c>
      <c r="BN68" s="652">
        <f t="shared" ca="1" si="65"/>
        <v>0</v>
      </c>
      <c r="BO68" s="652">
        <f t="shared" ca="1" si="65"/>
        <v>0</v>
      </c>
      <c r="BP68" s="652">
        <f t="shared" ca="1" si="65"/>
        <v>0</v>
      </c>
      <c r="BQ68" s="652">
        <f t="shared" ca="1" si="65"/>
        <v>0</v>
      </c>
      <c r="BR68" s="652">
        <f t="shared" ca="1" si="8"/>
        <v>371</v>
      </c>
      <c r="BS68" s="572">
        <f t="shared" ca="1" si="67"/>
        <v>382130</v>
      </c>
      <c r="BT68" s="572">
        <f t="shared" ca="1" si="61"/>
        <v>0</v>
      </c>
      <c r="BU68" s="572">
        <f t="shared" ca="1" si="61"/>
        <v>111300</v>
      </c>
      <c r="BV68" s="572">
        <f t="shared" ca="1" si="61"/>
        <v>0</v>
      </c>
      <c r="BW68" s="572">
        <f t="shared" ca="1" si="61"/>
        <v>539956.71863953327</v>
      </c>
      <c r="BX68" s="572">
        <f t="shared" ca="1" si="61"/>
        <v>21.541935483870969</v>
      </c>
      <c r="BY68" s="572">
        <f t="shared" ca="1" si="61"/>
        <v>0</v>
      </c>
    </row>
    <row r="69" spans="1:77">
      <c r="A69" s="425" t="str">
        <f t="shared" ca="1" si="0"/>
        <v>BYOT &amp; BYODKU-Residential - BYOT - Cooling - Summer</v>
      </c>
      <c r="B69" s="1297" t="str">
        <f t="shared" ref="B69:B85" si="68">IF(ISNUMBER(SEARCH("KU",C69)),"KU"&amp;D69,"LG&amp;E"&amp;D69)</f>
        <v>KUBYOT &amp; BYOD</v>
      </c>
      <c r="C69" s="661" t="s">
        <v>171</v>
      </c>
      <c r="D69" s="662" t="s">
        <v>62</v>
      </c>
      <c r="E69" s="652" t="str">
        <f t="shared" ref="E69:G81" ca="1" si="69">VLOOKUP($C69,INDIRECT("'"&amp;$D69&amp;"'!A6:FC1000"),IF(E$6="Participation 2023",MATCH("__Participation 2023",INDIRECT("'"&amp;$D69&amp;"'!1:1"),0),IF(E$6="Participation",MATCH("_Total Plan Summary _Participation",INDIRECT("'"&amp;$D69&amp;"'!1:1"),0),MATCH(E$4&amp;"_"&amp;E$5&amp;"_"&amp;E$6,INDIRECT("'"&amp;$D69&amp;"'!1:1"),0))),0)</f>
        <v>KU-Residential - BYOT - Cooling - Summer</v>
      </c>
      <c r="F69" s="652" t="str">
        <f ca="1">VLOOKUP($C69,INDIRECT("'"&amp;$D69&amp;"'!A6:FC1000"),IF(F$6="Participation 2023",MATCH("__Participation 2023",INDIRECT("'"&amp;$D69&amp;"'!1:1"),0),IF(F$6="Participation",MATCH("_Total Plan Summary _Participation",INDIRECT("'"&amp;$D69&amp;"'!1:1"),0),MATCH(F$4&amp;"_"&amp;F$5&amp;"_"&amp;F$6,INDIRECT("'"&amp;$D69&amp;"'!1:1"),0))),0)</f>
        <v>This product targets customers with smart thermostats and pays participants an incentive to curtail load during events</v>
      </c>
      <c r="G69" s="652" t="str">
        <f ca="1">VLOOKUP($C69,INDIRECT("'"&amp;$D69&amp;"'!A6:FC1000"),IF(G$6="Participation 2023",MATCH("__Participation 2023",INDIRECT("'"&amp;$D69&amp;"'!1:1"),0),IF(G$6="Participation",MATCH("_Total Plan Summary _Participation",INDIRECT("'"&amp;$D69&amp;"'!1:1"),0),MATCH(G$4&amp;"_"&amp;G$5&amp;"_"&amp;G$6,INDIRECT("'"&amp;$D69&amp;"'!1:1"),0))),0)</f>
        <v>Per Customer</v>
      </c>
      <c r="H69" s="652">
        <f t="shared" ca="1" si="64"/>
        <v>616.5</v>
      </c>
      <c r="I69" s="652">
        <f t="shared" ca="1" si="64"/>
        <v>810.5</v>
      </c>
      <c r="J69" s="652">
        <f t="shared" ca="1" si="64"/>
        <v>1309.5</v>
      </c>
      <c r="K69" s="652">
        <f t="shared" ca="1" si="64"/>
        <v>1309.5</v>
      </c>
      <c r="L69" s="652">
        <f t="shared" ca="1" si="64"/>
        <v>1309.5</v>
      </c>
      <c r="M69" s="652">
        <f t="shared" ca="1" si="64"/>
        <v>1309.5</v>
      </c>
      <c r="N69" s="652">
        <f t="shared" ca="1" si="64"/>
        <v>1309.5</v>
      </c>
      <c r="O69" s="652">
        <f t="shared" ca="1" si="64"/>
        <v>0</v>
      </c>
      <c r="P69" s="652">
        <f t="shared" ca="1" si="64"/>
        <v>0</v>
      </c>
      <c r="Q69" s="652">
        <f t="shared" ca="1" si="64"/>
        <v>0</v>
      </c>
      <c r="R69" s="652">
        <f t="shared" ca="1" si="64"/>
        <v>0</v>
      </c>
      <c r="S69" s="652">
        <f t="shared" ca="1" si="64"/>
        <v>0</v>
      </c>
      <c r="T69" s="652">
        <f t="shared" ca="1" si="64"/>
        <v>0</v>
      </c>
      <c r="U69" s="652">
        <f t="shared" ca="1" si="64"/>
        <v>0</v>
      </c>
      <c r="V69" s="652">
        <f t="shared" ca="1" si="22"/>
        <v>0</v>
      </c>
      <c r="W69" s="652">
        <f t="shared" ca="1" si="22"/>
        <v>0</v>
      </c>
      <c r="X69" s="652">
        <f t="shared" ca="1" si="22"/>
        <v>0</v>
      </c>
      <c r="Y69" s="652">
        <f t="shared" ca="1" si="22"/>
        <v>0</v>
      </c>
      <c r="Z69" s="652">
        <f t="shared" ca="1" si="22"/>
        <v>0</v>
      </c>
      <c r="AA69" s="652">
        <f t="shared" ref="Y69:AN86" ca="1" si="70">VLOOKUP($C69,INDIRECT("'"&amp;$D69&amp;"'!A6:FR1000"),IF(AA$6="Participation 2023",MATCH("__Participation 2023",INDIRECT("'"&amp;$D69&amp;"'!1:1"),0),IF(AA$6="Participation",MATCH("_Total Plan Summary _Participation",INDIRECT("'"&amp;$D69&amp;"'!1:1"),0),MATCH(AA$4&amp;"_"&amp;AA$5&amp;"_"&amp;AA$6,INDIRECT("'"&amp;$D69&amp;"'!1:1"),0))),0)</f>
        <v>0</v>
      </c>
      <c r="AB69" s="652">
        <f t="shared" ca="1" si="70"/>
        <v>0</v>
      </c>
      <c r="AC69" s="652">
        <f t="shared" ca="1" si="70"/>
        <v>110970</v>
      </c>
      <c r="AD69" s="652">
        <f t="shared" ca="1" si="70"/>
        <v>115065</v>
      </c>
      <c r="AE69" s="652">
        <f t="shared" ca="1" si="70"/>
        <v>195185</v>
      </c>
      <c r="AF69" s="652">
        <f t="shared" ca="1" si="70"/>
        <v>170235</v>
      </c>
      <c r="AG69" s="652">
        <f t="shared" ca="1" si="70"/>
        <v>170235</v>
      </c>
      <c r="AH69" s="652">
        <f t="shared" ca="1" si="70"/>
        <v>170235</v>
      </c>
      <c r="AI69" s="652">
        <f t="shared" ca="1" si="70"/>
        <v>170235</v>
      </c>
      <c r="AJ69" s="652">
        <f t="shared" ca="1" si="70"/>
        <v>0</v>
      </c>
      <c r="AK69" s="652">
        <f t="shared" ca="1" si="70"/>
        <v>0</v>
      </c>
      <c r="AL69" s="652">
        <f t="shared" ca="1" si="70"/>
        <v>0</v>
      </c>
      <c r="AM69" s="652">
        <f t="shared" ref="AM69:BB83" ca="1" si="71">VLOOKUP($C69,INDIRECT("'"&amp;$D69&amp;"'!A6:FR1000"),IF(AM$6="Participation 2023",MATCH("__Participation 2023",INDIRECT("'"&amp;$D69&amp;"'!1:1"),0),IF(AM$6="Participation",MATCH("_Total Plan Summary _Participation",INDIRECT("'"&amp;$D69&amp;"'!1:1"),0),MATCH(AM$4&amp;"_"&amp;AM$5&amp;"_"&amp;AM$6,INDIRECT("'"&amp;$D69&amp;"'!1:1"),0))),0)</f>
        <v>0</v>
      </c>
      <c r="AN69" s="652">
        <f t="shared" ca="1" si="71"/>
        <v>0</v>
      </c>
      <c r="AO69" s="652">
        <f t="shared" ca="1" si="71"/>
        <v>0</v>
      </c>
      <c r="AP69" s="652">
        <f t="shared" ca="1" si="71"/>
        <v>0</v>
      </c>
      <c r="AQ69" s="652">
        <f t="shared" ca="1" si="71"/>
        <v>295.76226012793182</v>
      </c>
      <c r="AR69" s="652">
        <f t="shared" ca="1" si="71"/>
        <v>388.83262260127935</v>
      </c>
      <c r="AS69" s="652">
        <f t="shared" ca="1" si="71"/>
        <v>628.22494669509604</v>
      </c>
      <c r="AT69" s="652">
        <f t="shared" ca="1" si="71"/>
        <v>628.22494669509604</v>
      </c>
      <c r="AU69" s="652">
        <f t="shared" ca="1" si="71"/>
        <v>628.22494669509604</v>
      </c>
      <c r="AV69" s="652">
        <f t="shared" ca="1" si="71"/>
        <v>628.22494669509604</v>
      </c>
      <c r="AW69" s="652">
        <f t="shared" ca="1" si="71"/>
        <v>628.22494669509604</v>
      </c>
      <c r="AX69" s="652">
        <f t="shared" ca="1" si="71"/>
        <v>0</v>
      </c>
      <c r="AY69" s="652">
        <f t="shared" ca="1" si="71"/>
        <v>0</v>
      </c>
      <c r="AZ69" s="652">
        <f t="shared" ca="1" si="71"/>
        <v>0</v>
      </c>
      <c r="BA69" s="652">
        <f t="shared" ca="1" si="66"/>
        <v>0</v>
      </c>
      <c r="BB69" s="652">
        <f t="shared" ca="1" si="66"/>
        <v>0</v>
      </c>
      <c r="BC69" s="652">
        <f t="shared" ca="1" si="66"/>
        <v>0</v>
      </c>
      <c r="BD69" s="652">
        <f t="shared" ca="1" si="67"/>
        <v>0</v>
      </c>
      <c r="BE69" s="652" t="str">
        <f t="shared" ca="1" si="67"/>
        <v>Residential</v>
      </c>
      <c r="BF69" s="652" t="str">
        <f t="shared" ca="1" si="67"/>
        <v>ResCooling - SF Wtd</v>
      </c>
      <c r="BG69" s="652" t="str">
        <f t="shared" ca="1" si="67"/>
        <v>ResSFGasTotal</v>
      </c>
      <c r="BH69" s="652" t="str">
        <f t="shared" ca="1" si="67"/>
        <v>KU Res</v>
      </c>
      <c r="BI69" s="652" t="str">
        <f t="shared" ca="1" si="67"/>
        <v>KU Res</v>
      </c>
      <c r="BJ69" s="652">
        <f t="shared" ca="1" si="61"/>
        <v>1</v>
      </c>
      <c r="BK69" s="652">
        <f t="shared" ca="1" si="61"/>
        <v>22194</v>
      </c>
      <c r="BL69" s="652">
        <f t="shared" ca="1" si="65"/>
        <v>29178</v>
      </c>
      <c r="BM69" s="652">
        <f t="shared" ca="1" si="65"/>
        <v>47142</v>
      </c>
      <c r="BN69" s="652">
        <f t="shared" ca="1" si="65"/>
        <v>47142</v>
      </c>
      <c r="BO69" s="652">
        <f t="shared" ca="1" si="65"/>
        <v>47142</v>
      </c>
      <c r="BP69" s="652">
        <f t="shared" ca="1" si="65"/>
        <v>47142</v>
      </c>
      <c r="BQ69" s="652">
        <f t="shared" ca="1" si="65"/>
        <v>47142</v>
      </c>
      <c r="BR69" s="652">
        <f t="shared" ca="1" si="8"/>
        <v>7974.5</v>
      </c>
      <c r="BS69" s="652">
        <f t="shared" ca="1" si="67"/>
        <v>0</v>
      </c>
      <c r="BT69" s="652">
        <f t="shared" ca="1" si="67"/>
        <v>0</v>
      </c>
      <c r="BU69" s="652">
        <f t="shared" ca="1" si="67"/>
        <v>1102160</v>
      </c>
      <c r="BV69" s="652">
        <f t="shared" ca="1" si="67"/>
        <v>287082</v>
      </c>
      <c r="BW69" s="652">
        <f t="shared" ca="1" si="67"/>
        <v>0</v>
      </c>
      <c r="BX69" s="652">
        <f t="shared" ca="1" si="67"/>
        <v>628.22494669509604</v>
      </c>
      <c r="BY69" s="652">
        <f t="shared" ca="1" si="67"/>
        <v>0</v>
      </c>
    </row>
    <row r="70" spans="1:77">
      <c r="A70" s="425" t="str">
        <f t="shared" ca="1" si="0"/>
        <v>BYOT &amp; BYODKU-Residential - BYOT - Heating - Winter</v>
      </c>
      <c r="B70" s="1297" t="str">
        <f t="shared" si="68"/>
        <v>KUBYOT &amp; BYOD</v>
      </c>
      <c r="C70" s="661" t="s">
        <v>173</v>
      </c>
      <c r="D70" s="662" t="s">
        <v>62</v>
      </c>
      <c r="E70" s="652" t="str">
        <f t="shared" ca="1" si="69"/>
        <v>KU-Residential - BYOT - Heating - Winter</v>
      </c>
      <c r="F70" s="652" t="str">
        <f t="shared" ca="1" si="69"/>
        <v>This product targets customers with smart thermostats and pays participants an incentive to curtail load during events</v>
      </c>
      <c r="G70" s="652" t="str">
        <f t="shared" ca="1" si="69"/>
        <v>Per Customer</v>
      </c>
      <c r="H70" s="652">
        <f t="shared" ref="H70:W86" ca="1" si="72">VLOOKUP($C70,INDIRECT("'"&amp;$D70&amp;"'!A6:FR1000"),IF(H$6="Participation 2023",MATCH("__Participation 2023",INDIRECT("'"&amp;$D70&amp;"'!1:1"),0),IF(H$6="Participation",MATCH("_Total Plan Summary _Participation",INDIRECT("'"&amp;$D70&amp;"'!1:1"),0),MATCH(H$4&amp;"_"&amp;H$5&amp;"_"&amp;H$6,INDIRECT("'"&amp;$D70&amp;"'!1:1"),0))),0)</f>
        <v>193.3</v>
      </c>
      <c r="I70" s="652">
        <f t="shared" ca="1" si="72"/>
        <v>282.10000000000002</v>
      </c>
      <c r="J70" s="652">
        <f t="shared" ca="1" si="72"/>
        <v>511.90000000000009</v>
      </c>
      <c r="K70" s="652">
        <f t="shared" ca="1" si="72"/>
        <v>511.90000000000009</v>
      </c>
      <c r="L70" s="652">
        <f t="shared" ca="1" si="72"/>
        <v>511.90000000000009</v>
      </c>
      <c r="M70" s="652">
        <f t="shared" ca="1" si="72"/>
        <v>511.90000000000009</v>
      </c>
      <c r="N70" s="652">
        <f t="shared" ca="1" si="72"/>
        <v>511.90000000000009</v>
      </c>
      <c r="O70" s="652">
        <f t="shared" ca="1" si="72"/>
        <v>0</v>
      </c>
      <c r="P70" s="652">
        <f t="shared" ca="1" si="72"/>
        <v>0</v>
      </c>
      <c r="Q70" s="652">
        <f t="shared" ca="1" si="72"/>
        <v>0</v>
      </c>
      <c r="R70" s="652">
        <f t="shared" ca="1" si="72"/>
        <v>0</v>
      </c>
      <c r="S70" s="652">
        <f t="shared" ca="1" si="72"/>
        <v>0</v>
      </c>
      <c r="T70" s="652">
        <f t="shared" ca="1" si="72"/>
        <v>0</v>
      </c>
      <c r="U70" s="652">
        <f t="shared" ca="1" si="72"/>
        <v>0</v>
      </c>
      <c r="V70" s="652">
        <f t="shared" ca="1" si="22"/>
        <v>0</v>
      </c>
      <c r="W70" s="652">
        <f t="shared" ca="1" si="22"/>
        <v>0</v>
      </c>
      <c r="X70" s="652">
        <f t="shared" ca="1" si="22"/>
        <v>0</v>
      </c>
      <c r="Y70" s="652">
        <f t="shared" ca="1" si="70"/>
        <v>0</v>
      </c>
      <c r="Z70" s="652">
        <f t="shared" ca="1" si="70"/>
        <v>0</v>
      </c>
      <c r="AA70" s="652">
        <f t="shared" ca="1" si="70"/>
        <v>0</v>
      </c>
      <c r="AB70" s="652">
        <f t="shared" ca="1" si="70"/>
        <v>0</v>
      </c>
      <c r="AC70" s="652">
        <f t="shared" ca="1" si="70"/>
        <v>23196</v>
      </c>
      <c r="AD70" s="652">
        <f t="shared" ca="1" si="70"/>
        <v>33852</v>
      </c>
      <c r="AE70" s="652">
        <f t="shared" ca="1" si="70"/>
        <v>61428.000000000015</v>
      </c>
      <c r="AF70" s="652">
        <f t="shared" ca="1" si="70"/>
        <v>61428.000000000015</v>
      </c>
      <c r="AG70" s="652">
        <f t="shared" ca="1" si="70"/>
        <v>61428.000000000015</v>
      </c>
      <c r="AH70" s="652">
        <f t="shared" ca="1" si="70"/>
        <v>61428.000000000015</v>
      </c>
      <c r="AI70" s="652">
        <f t="shared" ca="1" si="70"/>
        <v>61428.000000000015</v>
      </c>
      <c r="AJ70" s="652">
        <f t="shared" ca="1" si="70"/>
        <v>0</v>
      </c>
      <c r="AK70" s="652">
        <f t="shared" ca="1" si="70"/>
        <v>0</v>
      </c>
      <c r="AL70" s="652">
        <f t="shared" ca="1" si="70"/>
        <v>0</v>
      </c>
      <c r="AM70" s="652">
        <f t="shared" ca="1" si="71"/>
        <v>0</v>
      </c>
      <c r="AN70" s="652">
        <f t="shared" ca="1" si="71"/>
        <v>0</v>
      </c>
      <c r="AO70" s="652">
        <f t="shared" ca="1" si="71"/>
        <v>0</v>
      </c>
      <c r="AP70" s="652">
        <f t="shared" ca="1" si="71"/>
        <v>0</v>
      </c>
      <c r="AQ70" s="652">
        <f t="shared" ca="1" si="71"/>
        <v>115.91817697228146</v>
      </c>
      <c r="AR70" s="652">
        <f t="shared" ca="1" si="71"/>
        <v>169.169776119403</v>
      </c>
      <c r="AS70" s="652">
        <f t="shared" ca="1" si="71"/>
        <v>306.97627931769728</v>
      </c>
      <c r="AT70" s="652">
        <f t="shared" ca="1" si="71"/>
        <v>306.97627931769728</v>
      </c>
      <c r="AU70" s="652">
        <f t="shared" ca="1" si="71"/>
        <v>306.97627931769728</v>
      </c>
      <c r="AV70" s="652">
        <f t="shared" ca="1" si="71"/>
        <v>306.97627931769728</v>
      </c>
      <c r="AW70" s="652">
        <f t="shared" ca="1" si="71"/>
        <v>306.97627931769728</v>
      </c>
      <c r="AX70" s="652">
        <f t="shared" ca="1" si="71"/>
        <v>0</v>
      </c>
      <c r="AY70" s="652">
        <f t="shared" ca="1" si="71"/>
        <v>0</v>
      </c>
      <c r="AZ70" s="652">
        <f t="shared" ca="1" si="71"/>
        <v>0</v>
      </c>
      <c r="BA70" s="652">
        <f t="shared" ca="1" si="67"/>
        <v>0</v>
      </c>
      <c r="BB70" s="652">
        <f t="shared" ca="1" si="67"/>
        <v>0</v>
      </c>
      <c r="BC70" s="652">
        <f t="shared" ca="1" si="67"/>
        <v>0</v>
      </c>
      <c r="BD70" s="652">
        <f t="shared" ca="1" si="67"/>
        <v>0</v>
      </c>
      <c r="BE70" s="652" t="str">
        <f t="shared" ca="1" si="67"/>
        <v>Residential</v>
      </c>
      <c r="BF70" s="652" t="str">
        <f t="shared" ca="1" si="67"/>
        <v>ResHotWater - SF Wtd</v>
      </c>
      <c r="BG70" s="652" t="str">
        <f t="shared" ca="1" si="67"/>
        <v>ResSFGasTotal</v>
      </c>
      <c r="BH70" s="652" t="str">
        <f t="shared" ca="1" si="67"/>
        <v>KU Res</v>
      </c>
      <c r="BI70" s="652" t="str">
        <f t="shared" ca="1" si="67"/>
        <v>KU Res</v>
      </c>
      <c r="BJ70" s="652">
        <f t="shared" ca="1" si="61"/>
        <v>1</v>
      </c>
      <c r="BK70" s="652">
        <f t="shared" ca="1" si="61"/>
        <v>0</v>
      </c>
      <c r="BL70" s="652">
        <f t="shared" ca="1" si="65"/>
        <v>0</v>
      </c>
      <c r="BM70" s="652">
        <f t="shared" ca="1" si="65"/>
        <v>0</v>
      </c>
      <c r="BN70" s="652">
        <f t="shared" ca="1" si="65"/>
        <v>0</v>
      </c>
      <c r="BO70" s="652">
        <f t="shared" ca="1" si="65"/>
        <v>0</v>
      </c>
      <c r="BP70" s="652">
        <f t="shared" ca="1" si="65"/>
        <v>0</v>
      </c>
      <c r="BQ70" s="652">
        <f t="shared" ca="1" si="65"/>
        <v>0</v>
      </c>
      <c r="BR70" s="652">
        <f t="shared" ca="1" si="8"/>
        <v>3034.9000000000005</v>
      </c>
      <c r="BS70" s="652">
        <f t="shared" ca="1" si="67"/>
        <v>0</v>
      </c>
      <c r="BT70" s="652">
        <f t="shared" ca="1" si="67"/>
        <v>0</v>
      </c>
      <c r="BU70" s="652">
        <f t="shared" ca="1" si="67"/>
        <v>364188.00000000006</v>
      </c>
      <c r="BV70" s="652">
        <f t="shared" ca="1" si="67"/>
        <v>0</v>
      </c>
      <c r="BW70" s="652">
        <f t="shared" ca="1" si="67"/>
        <v>0</v>
      </c>
      <c r="BX70" s="652">
        <f t="shared" ca="1" si="67"/>
        <v>306.97627931769728</v>
      </c>
      <c r="BY70" s="652">
        <f t="shared" ca="1" si="67"/>
        <v>0</v>
      </c>
    </row>
    <row r="71" spans="1:77">
      <c r="A71" s="425" t="str">
        <f t="shared" ref="A71:A136" ca="1" si="73">D71&amp;E71</f>
        <v>BYOT &amp; BYODKU-LI - Cooling</v>
      </c>
      <c r="B71" s="1297" t="str">
        <f t="shared" si="68"/>
        <v>KUBYOT &amp; BYOD</v>
      </c>
      <c r="C71" s="661" t="s">
        <v>175</v>
      </c>
      <c r="D71" s="662" t="s">
        <v>62</v>
      </c>
      <c r="E71" s="652" t="str">
        <f t="shared" ca="1" si="69"/>
        <v>KU-LI - Cooling</v>
      </c>
      <c r="F71" s="652" t="str">
        <f t="shared" ca="1" si="69"/>
        <v>This product targets customers with smart thermostats and pays participants an incentive to curtail load during events</v>
      </c>
      <c r="G71" s="652" t="str">
        <f t="shared" ca="1" si="69"/>
        <v>Per Customer</v>
      </c>
      <c r="H71" s="652">
        <f t="shared" ca="1" si="72"/>
        <v>261</v>
      </c>
      <c r="I71" s="652">
        <f t="shared" ca="1" si="72"/>
        <v>522</v>
      </c>
      <c r="J71" s="652">
        <f t="shared" ca="1" si="72"/>
        <v>783</v>
      </c>
      <c r="K71" s="652">
        <f t="shared" ca="1" si="72"/>
        <v>1044</v>
      </c>
      <c r="L71" s="652">
        <f t="shared" ca="1" si="72"/>
        <v>1305</v>
      </c>
      <c r="M71" s="652">
        <f t="shared" ca="1" si="72"/>
        <v>1566</v>
      </c>
      <c r="N71" s="652">
        <f t="shared" ca="1" si="72"/>
        <v>1827</v>
      </c>
      <c r="O71" s="652">
        <f t="shared" ca="1" si="72"/>
        <v>0</v>
      </c>
      <c r="P71" s="652">
        <f t="shared" ca="1" si="72"/>
        <v>0</v>
      </c>
      <c r="Q71" s="652">
        <f t="shared" ca="1" si="72"/>
        <v>0</v>
      </c>
      <c r="R71" s="652">
        <f t="shared" ca="1" si="72"/>
        <v>0</v>
      </c>
      <c r="S71" s="652">
        <f t="shared" ca="1" si="72"/>
        <v>0</v>
      </c>
      <c r="T71" s="652">
        <f t="shared" ca="1" si="72"/>
        <v>0</v>
      </c>
      <c r="U71" s="652">
        <f t="shared" ca="1" si="72"/>
        <v>0</v>
      </c>
      <c r="V71" s="652">
        <f t="shared" ca="1" si="22"/>
        <v>0</v>
      </c>
      <c r="W71" s="652">
        <f t="shared" ca="1" si="22"/>
        <v>0</v>
      </c>
      <c r="X71" s="652">
        <f t="shared" ca="1" si="22"/>
        <v>0</v>
      </c>
      <c r="Y71" s="652">
        <f t="shared" ca="1" si="70"/>
        <v>0</v>
      </c>
      <c r="Z71" s="652">
        <f t="shared" ca="1" si="70"/>
        <v>0</v>
      </c>
      <c r="AA71" s="652">
        <f t="shared" ca="1" si="70"/>
        <v>0</v>
      </c>
      <c r="AB71" s="652">
        <f t="shared" ca="1" si="70"/>
        <v>0</v>
      </c>
      <c r="AC71" s="652">
        <f t="shared" ca="1" si="70"/>
        <v>46980</v>
      </c>
      <c r="AD71" s="652">
        <f t="shared" ca="1" si="70"/>
        <v>80910</v>
      </c>
      <c r="AE71" s="652">
        <f t="shared" ca="1" si="70"/>
        <v>114839.99999999999</v>
      </c>
      <c r="AF71" s="652">
        <f t="shared" ca="1" si="70"/>
        <v>148770</v>
      </c>
      <c r="AG71" s="652">
        <f t="shared" ca="1" si="70"/>
        <v>182700</v>
      </c>
      <c r="AH71" s="652">
        <f t="shared" ca="1" si="70"/>
        <v>216630.00000000003</v>
      </c>
      <c r="AI71" s="652">
        <f t="shared" ca="1" si="70"/>
        <v>250560</v>
      </c>
      <c r="AJ71" s="652">
        <f t="shared" ca="1" si="70"/>
        <v>0</v>
      </c>
      <c r="AK71" s="652">
        <f t="shared" ca="1" si="70"/>
        <v>0</v>
      </c>
      <c r="AL71" s="652">
        <f t="shared" ca="1" si="70"/>
        <v>0</v>
      </c>
      <c r="AM71" s="652">
        <f t="shared" ca="1" si="71"/>
        <v>0</v>
      </c>
      <c r="AN71" s="652">
        <f t="shared" ca="1" si="71"/>
        <v>0</v>
      </c>
      <c r="AO71" s="652">
        <f t="shared" ca="1" si="71"/>
        <v>0</v>
      </c>
      <c r="AP71" s="652">
        <f t="shared" ca="1" si="71"/>
        <v>0</v>
      </c>
      <c r="AQ71" s="652">
        <f t="shared" ca="1" si="71"/>
        <v>125.2132196162047</v>
      </c>
      <c r="AR71" s="652">
        <f t="shared" ca="1" si="71"/>
        <v>250.42643923240939</v>
      </c>
      <c r="AS71" s="652">
        <f t="shared" ca="1" si="71"/>
        <v>375.63965884861409</v>
      </c>
      <c r="AT71" s="652">
        <f t="shared" ca="1" si="71"/>
        <v>500.85287846481879</v>
      </c>
      <c r="AU71" s="652">
        <f t="shared" ca="1" si="71"/>
        <v>626.06609808102348</v>
      </c>
      <c r="AV71" s="652">
        <f t="shared" ca="1" si="71"/>
        <v>751.27931769722818</v>
      </c>
      <c r="AW71" s="652">
        <f t="shared" ca="1" si="71"/>
        <v>876.49253731343288</v>
      </c>
      <c r="AX71" s="652">
        <f t="shared" ca="1" si="71"/>
        <v>0</v>
      </c>
      <c r="AY71" s="652">
        <f t="shared" ca="1" si="71"/>
        <v>0</v>
      </c>
      <c r="AZ71" s="652">
        <f t="shared" ca="1" si="71"/>
        <v>0</v>
      </c>
      <c r="BA71" s="652">
        <f t="shared" ca="1" si="67"/>
        <v>0</v>
      </c>
      <c r="BB71" s="652">
        <f t="shared" ca="1" si="67"/>
        <v>0</v>
      </c>
      <c r="BC71" s="652">
        <f t="shared" ca="1" si="67"/>
        <v>0</v>
      </c>
      <c r="BD71" s="652">
        <f t="shared" ca="1" si="67"/>
        <v>0</v>
      </c>
      <c r="BE71" s="652" t="str">
        <f t="shared" ca="1" si="67"/>
        <v>Residential</v>
      </c>
      <c r="BF71" s="652" t="str">
        <f t="shared" ca="1" si="67"/>
        <v>ResCooling - SF Wtd</v>
      </c>
      <c r="BG71" s="652" t="str">
        <f t="shared" ca="1" si="67"/>
        <v>ResSFGasTotal</v>
      </c>
      <c r="BH71" s="652" t="str">
        <f t="shared" ca="1" si="67"/>
        <v>KU Res</v>
      </c>
      <c r="BI71" s="652" t="str">
        <f t="shared" ca="1" si="67"/>
        <v>KU Res</v>
      </c>
      <c r="BJ71" s="652">
        <f t="shared" ca="1" si="67"/>
        <v>1</v>
      </c>
      <c r="BK71" s="652">
        <f t="shared" ca="1" si="67"/>
        <v>9396</v>
      </c>
      <c r="BL71" s="652">
        <f t="shared" ca="1" si="65"/>
        <v>18792</v>
      </c>
      <c r="BM71" s="652">
        <f t="shared" ca="1" si="65"/>
        <v>28188</v>
      </c>
      <c r="BN71" s="652">
        <f t="shared" ca="1" si="65"/>
        <v>37584</v>
      </c>
      <c r="BO71" s="652">
        <f t="shared" ca="1" si="65"/>
        <v>46980</v>
      </c>
      <c r="BP71" s="652">
        <f t="shared" ca="1" si="65"/>
        <v>56376</v>
      </c>
      <c r="BQ71" s="652">
        <f t="shared" ca="1" si="65"/>
        <v>65772</v>
      </c>
      <c r="BR71" s="652">
        <f t="shared" ca="1" si="8"/>
        <v>7308</v>
      </c>
      <c r="BS71" s="652">
        <f t="shared" ca="1" si="67"/>
        <v>0</v>
      </c>
      <c r="BT71" s="652">
        <f t="shared" ca="1" si="67"/>
        <v>0</v>
      </c>
      <c r="BU71" s="652">
        <f t="shared" ca="1" si="67"/>
        <v>1041390</v>
      </c>
      <c r="BV71" s="652">
        <f t="shared" ca="1" si="67"/>
        <v>263088</v>
      </c>
      <c r="BW71" s="652">
        <f t="shared" ca="1" si="67"/>
        <v>0</v>
      </c>
      <c r="BX71" s="652">
        <f t="shared" ca="1" si="67"/>
        <v>876.49253731343288</v>
      </c>
      <c r="BY71" s="652">
        <f t="shared" ca="1" si="67"/>
        <v>0</v>
      </c>
    </row>
    <row r="72" spans="1:77">
      <c r="A72" s="425" t="str">
        <f t="shared" ca="1" si="73"/>
        <v>BYOT &amp; BYODKU-LI - Heating</v>
      </c>
      <c r="B72" s="1297" t="str">
        <f t="shared" si="68"/>
        <v>KUBYOT &amp; BYOD</v>
      </c>
      <c r="C72" s="661" t="s">
        <v>176</v>
      </c>
      <c r="D72" s="662" t="s">
        <v>62</v>
      </c>
      <c r="E72" s="652" t="str">
        <f t="shared" ca="1" si="69"/>
        <v>KU-LI - Heating</v>
      </c>
      <c r="F72" s="652" t="str">
        <f t="shared" ca="1" si="69"/>
        <v>This product targets customers with smart thermostats and pays participants an incentive to curtail load during events</v>
      </c>
      <c r="G72" s="652" t="str">
        <f t="shared" ca="1" si="69"/>
        <v>Per Customer</v>
      </c>
      <c r="H72" s="652">
        <f t="shared" ca="1" si="72"/>
        <v>52.2</v>
      </c>
      <c r="I72" s="652">
        <f t="shared" ca="1" si="72"/>
        <v>104.4</v>
      </c>
      <c r="J72" s="652">
        <f t="shared" ca="1" si="72"/>
        <v>156.60000000000002</v>
      </c>
      <c r="K72" s="652">
        <f t="shared" ca="1" si="72"/>
        <v>208.8</v>
      </c>
      <c r="L72" s="652">
        <f t="shared" ca="1" si="72"/>
        <v>261</v>
      </c>
      <c r="M72" s="652">
        <f t="shared" ca="1" si="72"/>
        <v>313.2</v>
      </c>
      <c r="N72" s="652">
        <f t="shared" ca="1" si="72"/>
        <v>365.4</v>
      </c>
      <c r="O72" s="652">
        <f t="shared" ca="1" si="72"/>
        <v>0</v>
      </c>
      <c r="P72" s="652">
        <f t="shared" ca="1" si="72"/>
        <v>0</v>
      </c>
      <c r="Q72" s="652">
        <f t="shared" ca="1" si="72"/>
        <v>0</v>
      </c>
      <c r="R72" s="652">
        <f t="shared" ca="1" si="72"/>
        <v>0</v>
      </c>
      <c r="S72" s="652">
        <f t="shared" ca="1" si="72"/>
        <v>0</v>
      </c>
      <c r="T72" s="652">
        <f t="shared" ca="1" si="72"/>
        <v>0</v>
      </c>
      <c r="U72" s="652">
        <f t="shared" ca="1" si="72"/>
        <v>0</v>
      </c>
      <c r="V72" s="652">
        <f t="shared" ca="1" si="22"/>
        <v>0</v>
      </c>
      <c r="W72" s="652">
        <f t="shared" ca="1" si="22"/>
        <v>0</v>
      </c>
      <c r="X72" s="652">
        <f t="shared" ca="1" si="22"/>
        <v>0</v>
      </c>
      <c r="Y72" s="652">
        <f t="shared" ca="1" si="70"/>
        <v>0</v>
      </c>
      <c r="Z72" s="652">
        <f t="shared" ca="1" si="70"/>
        <v>0</v>
      </c>
      <c r="AA72" s="652">
        <f t="shared" ca="1" si="70"/>
        <v>0</v>
      </c>
      <c r="AB72" s="652">
        <f t="shared" ca="1" si="70"/>
        <v>0</v>
      </c>
      <c r="AC72" s="652">
        <f t="shared" ca="1" si="70"/>
        <v>6264</v>
      </c>
      <c r="AD72" s="652">
        <f t="shared" ca="1" si="70"/>
        <v>12528</v>
      </c>
      <c r="AE72" s="652">
        <f t="shared" ca="1" si="70"/>
        <v>18792.000000000004</v>
      </c>
      <c r="AF72" s="652">
        <f t="shared" ca="1" si="70"/>
        <v>25056</v>
      </c>
      <c r="AG72" s="652">
        <f t="shared" ca="1" si="70"/>
        <v>31320</v>
      </c>
      <c r="AH72" s="652">
        <f t="shared" ca="1" si="70"/>
        <v>37584</v>
      </c>
      <c r="AI72" s="652">
        <f t="shared" ca="1" si="70"/>
        <v>43848</v>
      </c>
      <c r="AJ72" s="652">
        <f t="shared" ca="1" si="70"/>
        <v>0</v>
      </c>
      <c r="AK72" s="652">
        <f t="shared" ca="1" si="70"/>
        <v>0</v>
      </c>
      <c r="AL72" s="652">
        <f t="shared" ca="1" si="70"/>
        <v>0</v>
      </c>
      <c r="AM72" s="652">
        <f t="shared" ca="1" si="71"/>
        <v>0</v>
      </c>
      <c r="AN72" s="652">
        <f t="shared" ca="1" si="71"/>
        <v>0</v>
      </c>
      <c r="AO72" s="652">
        <f t="shared" ca="1" si="71"/>
        <v>0</v>
      </c>
      <c r="AP72" s="652">
        <f t="shared" ca="1" si="71"/>
        <v>0</v>
      </c>
      <c r="AQ72" s="652">
        <f t="shared" ca="1" si="71"/>
        <v>31.303304904051178</v>
      </c>
      <c r="AR72" s="652">
        <f t="shared" ca="1" si="71"/>
        <v>62.606609808102355</v>
      </c>
      <c r="AS72" s="652">
        <f t="shared" ca="1" si="71"/>
        <v>93.909914712153537</v>
      </c>
      <c r="AT72" s="652">
        <f t="shared" ca="1" si="71"/>
        <v>125.21321961620471</v>
      </c>
      <c r="AU72" s="652">
        <f t="shared" ca="1" si="71"/>
        <v>156.51652452025587</v>
      </c>
      <c r="AV72" s="652">
        <f t="shared" ca="1" si="71"/>
        <v>187.81982942430704</v>
      </c>
      <c r="AW72" s="652">
        <f t="shared" ca="1" si="71"/>
        <v>219.12313432835822</v>
      </c>
      <c r="AX72" s="652">
        <f t="shared" ca="1" si="71"/>
        <v>0</v>
      </c>
      <c r="AY72" s="652">
        <f t="shared" ca="1" si="71"/>
        <v>0</v>
      </c>
      <c r="AZ72" s="652">
        <f t="shared" ca="1" si="71"/>
        <v>0</v>
      </c>
      <c r="BA72" s="652">
        <f t="shared" ca="1" si="71"/>
        <v>0</v>
      </c>
      <c r="BB72" s="652">
        <f t="shared" ca="1" si="71"/>
        <v>0</v>
      </c>
      <c r="BC72" s="652">
        <f t="shared" ref="BA72:BY89" ca="1" si="74">VLOOKUP($C72,INDIRECT("'"&amp;$D72&amp;"'!A6:FR1000"),IF(BC$6="Participation 2023",MATCH("__Participation 2023",INDIRECT("'"&amp;$D72&amp;"'!1:1"),0),IF(BC$6="Participation",MATCH("_Total Plan Summary _Participation",INDIRECT("'"&amp;$D72&amp;"'!1:1"),0),MATCH(BC$4&amp;"_"&amp;BC$5&amp;"_"&amp;BC$6,INDIRECT("'"&amp;$D72&amp;"'!1:1"),0))),0)</f>
        <v>0</v>
      </c>
      <c r="BD72" s="652">
        <f t="shared" ca="1" si="74"/>
        <v>0</v>
      </c>
      <c r="BE72" s="652" t="str">
        <f t="shared" ca="1" si="74"/>
        <v>Residential</v>
      </c>
      <c r="BF72" s="652" t="str">
        <f t="shared" ca="1" si="74"/>
        <v>ResHotWater - SF Wtd</v>
      </c>
      <c r="BG72" s="652" t="str">
        <f t="shared" ca="1" si="74"/>
        <v>ResSFGasTotal</v>
      </c>
      <c r="BH72" s="652" t="str">
        <f t="shared" ca="1" si="74"/>
        <v>KU Res</v>
      </c>
      <c r="BI72" s="652" t="str">
        <f t="shared" ca="1" si="74"/>
        <v>KU Res</v>
      </c>
      <c r="BJ72" s="652">
        <f t="shared" ca="1" si="67"/>
        <v>1</v>
      </c>
      <c r="BK72" s="652">
        <f t="shared" ca="1" si="67"/>
        <v>0</v>
      </c>
      <c r="BL72" s="652">
        <f t="shared" ca="1" si="65"/>
        <v>0</v>
      </c>
      <c r="BM72" s="652">
        <f t="shared" ca="1" si="65"/>
        <v>0</v>
      </c>
      <c r="BN72" s="652">
        <f t="shared" ca="1" si="65"/>
        <v>0</v>
      </c>
      <c r="BO72" s="652">
        <f t="shared" ca="1" si="65"/>
        <v>0</v>
      </c>
      <c r="BP72" s="652">
        <f t="shared" ca="1" si="65"/>
        <v>0</v>
      </c>
      <c r="BQ72" s="652">
        <f t="shared" ca="1" si="65"/>
        <v>0</v>
      </c>
      <c r="BR72" s="652">
        <f t="shared" ref="BR72:BR137" ca="1" si="75">SUM(H72:N72)</f>
        <v>1461.6</v>
      </c>
      <c r="BS72" s="652">
        <f t="shared" ca="1" si="74"/>
        <v>0</v>
      </c>
      <c r="BT72" s="652">
        <f t="shared" ca="1" si="74"/>
        <v>0</v>
      </c>
      <c r="BU72" s="652">
        <f t="shared" ca="1" si="74"/>
        <v>175392</v>
      </c>
      <c r="BV72" s="652">
        <f t="shared" ca="1" si="74"/>
        <v>0</v>
      </c>
      <c r="BW72" s="652">
        <f t="shared" ca="1" si="74"/>
        <v>0</v>
      </c>
      <c r="BX72" s="652">
        <f t="shared" ca="1" si="74"/>
        <v>219.12313432835822</v>
      </c>
      <c r="BY72" s="652">
        <f t="shared" ca="1" si="74"/>
        <v>0</v>
      </c>
    </row>
    <row r="73" spans="1:77">
      <c r="A73" s="425" t="str">
        <f t="shared" ca="1" si="73"/>
        <v>BYOT &amp; BYODKU-Marketplace - Cooling</v>
      </c>
      <c r="B73" s="1297" t="str">
        <f t="shared" si="68"/>
        <v>KUBYOT &amp; BYOD</v>
      </c>
      <c r="C73" s="661" t="s">
        <v>177</v>
      </c>
      <c r="D73" s="662" t="s">
        <v>62</v>
      </c>
      <c r="E73" s="652" t="str">
        <f t="shared" ca="1" si="69"/>
        <v>KU-Marketplace - Cooling</v>
      </c>
      <c r="F73" s="652" t="str">
        <f t="shared" ca="1" si="69"/>
        <v>This product targets customers with smart thermostats and pays participants an incentive to curtail load during events</v>
      </c>
      <c r="G73" s="652" t="str">
        <f t="shared" ca="1" si="69"/>
        <v>Per Customer</v>
      </c>
      <c r="H73" s="652">
        <f t="shared" ca="1" si="72"/>
        <v>522.5</v>
      </c>
      <c r="I73" s="652">
        <f t="shared" ca="1" si="72"/>
        <v>1567.5</v>
      </c>
      <c r="J73" s="652">
        <f t="shared" ca="1" si="72"/>
        <v>3507.5</v>
      </c>
      <c r="K73" s="652">
        <f t="shared" ca="1" si="72"/>
        <v>7537.5</v>
      </c>
      <c r="L73" s="652">
        <f t="shared" ca="1" si="72"/>
        <v>13437.5</v>
      </c>
      <c r="M73" s="652">
        <f t="shared" ca="1" si="72"/>
        <v>19337.5</v>
      </c>
      <c r="N73" s="652">
        <f t="shared" ca="1" si="72"/>
        <v>25237.5</v>
      </c>
      <c r="O73" s="652">
        <f t="shared" ca="1" si="72"/>
        <v>0</v>
      </c>
      <c r="P73" s="652">
        <f t="shared" ca="1" si="72"/>
        <v>0</v>
      </c>
      <c r="Q73" s="652">
        <f t="shared" ca="1" si="72"/>
        <v>0</v>
      </c>
      <c r="R73" s="652">
        <f t="shared" ca="1" si="72"/>
        <v>0</v>
      </c>
      <c r="S73" s="652">
        <f t="shared" ca="1" si="72"/>
        <v>0</v>
      </c>
      <c r="T73" s="652">
        <f t="shared" ca="1" si="72"/>
        <v>0</v>
      </c>
      <c r="U73" s="652">
        <f t="shared" ca="1" si="72"/>
        <v>0</v>
      </c>
      <c r="V73" s="652">
        <f t="shared" ca="1" si="22"/>
        <v>0</v>
      </c>
      <c r="W73" s="652">
        <f t="shared" ca="1" si="22"/>
        <v>0</v>
      </c>
      <c r="X73" s="652">
        <f t="shared" ca="1" si="22"/>
        <v>0</v>
      </c>
      <c r="Y73" s="652">
        <f t="shared" ca="1" si="70"/>
        <v>0</v>
      </c>
      <c r="Z73" s="652">
        <f t="shared" ca="1" si="70"/>
        <v>0</v>
      </c>
      <c r="AA73" s="652">
        <f t="shared" ca="1" si="70"/>
        <v>0</v>
      </c>
      <c r="AB73" s="652">
        <f t="shared" ca="1" si="70"/>
        <v>0</v>
      </c>
      <c r="AC73" s="652">
        <f t="shared" ca="1" si="70"/>
        <v>94050</v>
      </c>
      <c r="AD73" s="652">
        <f t="shared" ca="1" si="70"/>
        <v>256025.00000000003</v>
      </c>
      <c r="AE73" s="652">
        <f t="shared" ca="1" si="70"/>
        <v>552975</v>
      </c>
      <c r="AF73" s="652">
        <f t="shared" ca="1" si="70"/>
        <v>1181375</v>
      </c>
      <c r="AG73" s="652">
        <f t="shared" ca="1" si="70"/>
        <v>2041875.0000000002</v>
      </c>
      <c r="AH73" s="652">
        <f t="shared" ca="1" si="70"/>
        <v>2808875</v>
      </c>
      <c r="AI73" s="652">
        <f t="shared" ca="1" si="70"/>
        <v>3575874.9999999995</v>
      </c>
      <c r="AJ73" s="652">
        <f t="shared" ca="1" si="70"/>
        <v>0</v>
      </c>
      <c r="AK73" s="652">
        <f t="shared" ca="1" si="70"/>
        <v>0</v>
      </c>
      <c r="AL73" s="652">
        <f t="shared" ca="1" si="70"/>
        <v>0</v>
      </c>
      <c r="AM73" s="652">
        <f t="shared" ca="1" si="71"/>
        <v>0</v>
      </c>
      <c r="AN73" s="652">
        <f t="shared" ca="1" si="71"/>
        <v>0</v>
      </c>
      <c r="AO73" s="652">
        <f t="shared" ca="1" si="71"/>
        <v>0</v>
      </c>
      <c r="AP73" s="652">
        <f t="shared" ca="1" si="71"/>
        <v>0</v>
      </c>
      <c r="AQ73" s="652">
        <f t="shared" ca="1" si="71"/>
        <v>250.66631130063968</v>
      </c>
      <c r="AR73" s="652">
        <f t="shared" ca="1" si="71"/>
        <v>751.99893390191903</v>
      </c>
      <c r="AS73" s="652">
        <f t="shared" ca="1" si="71"/>
        <v>1682.7025586353946</v>
      </c>
      <c r="AT73" s="652">
        <f t="shared" ca="1" si="71"/>
        <v>3616.0714285714289</v>
      </c>
      <c r="AU73" s="652">
        <f t="shared" ca="1" si="71"/>
        <v>6446.5618336887001</v>
      </c>
      <c r="AV73" s="652">
        <f t="shared" ca="1" si="71"/>
        <v>9277.0522388059708</v>
      </c>
      <c r="AW73" s="652">
        <f t="shared" ca="1" si="71"/>
        <v>12107.542643923241</v>
      </c>
      <c r="AX73" s="652">
        <f t="shared" ca="1" si="71"/>
        <v>0</v>
      </c>
      <c r="AY73" s="652">
        <f t="shared" ca="1" si="71"/>
        <v>0</v>
      </c>
      <c r="AZ73" s="652">
        <f t="shared" ca="1" si="71"/>
        <v>0</v>
      </c>
      <c r="BA73" s="652">
        <f t="shared" ca="1" si="74"/>
        <v>0</v>
      </c>
      <c r="BB73" s="652">
        <f t="shared" ca="1" si="74"/>
        <v>0</v>
      </c>
      <c r="BC73" s="652">
        <f t="shared" ca="1" si="74"/>
        <v>0</v>
      </c>
      <c r="BD73" s="652">
        <f t="shared" ca="1" si="74"/>
        <v>0</v>
      </c>
      <c r="BE73" s="652" t="str">
        <f t="shared" ca="1" si="74"/>
        <v>Residential</v>
      </c>
      <c r="BF73" s="652" t="str">
        <f t="shared" ca="1" si="74"/>
        <v>ResCooling - SF Wtd</v>
      </c>
      <c r="BG73" s="652" t="str">
        <f t="shared" ca="1" si="74"/>
        <v>ResSFGasTotal</v>
      </c>
      <c r="BH73" s="652" t="str">
        <f t="shared" ca="1" si="74"/>
        <v>KU Res</v>
      </c>
      <c r="BI73" s="652" t="str">
        <f t="shared" ca="1" si="74"/>
        <v>KU Res</v>
      </c>
      <c r="BJ73" s="652">
        <f t="shared" ca="1" si="67"/>
        <v>1</v>
      </c>
      <c r="BK73" s="652">
        <f t="shared" ca="1" si="67"/>
        <v>18810</v>
      </c>
      <c r="BL73" s="652">
        <f t="shared" ca="1" si="65"/>
        <v>56430</v>
      </c>
      <c r="BM73" s="652">
        <f t="shared" ca="1" si="65"/>
        <v>126270</v>
      </c>
      <c r="BN73" s="652">
        <f t="shared" ca="1" si="65"/>
        <v>271350</v>
      </c>
      <c r="BO73" s="652">
        <f t="shared" ca="1" si="65"/>
        <v>483750</v>
      </c>
      <c r="BP73" s="652">
        <f t="shared" ca="1" si="65"/>
        <v>696150</v>
      </c>
      <c r="BQ73" s="652">
        <f t="shared" ca="1" si="65"/>
        <v>908550</v>
      </c>
      <c r="BR73" s="652">
        <f t="shared" ca="1" si="75"/>
        <v>71147.5</v>
      </c>
      <c r="BS73" s="652">
        <f t="shared" ca="1" si="74"/>
        <v>0</v>
      </c>
      <c r="BT73" s="652">
        <f t="shared" ca="1" si="74"/>
        <v>0</v>
      </c>
      <c r="BU73" s="652">
        <f t="shared" ca="1" si="74"/>
        <v>10511050</v>
      </c>
      <c r="BV73" s="652">
        <f t="shared" ca="1" si="74"/>
        <v>2561310</v>
      </c>
      <c r="BW73" s="652">
        <f t="shared" ca="1" si="74"/>
        <v>0</v>
      </c>
      <c r="BX73" s="652">
        <f t="shared" ca="1" si="74"/>
        <v>12107.542643923241</v>
      </c>
      <c r="BY73" s="652">
        <f t="shared" ca="1" si="74"/>
        <v>0</v>
      </c>
    </row>
    <row r="74" spans="1:77">
      <c r="A74" s="425" t="str">
        <f t="shared" ca="1" si="73"/>
        <v>BYOT &amp; BYODKU-Marketplace - Heating</v>
      </c>
      <c r="B74" s="1297" t="str">
        <f t="shared" si="68"/>
        <v>KUBYOT &amp; BYOD</v>
      </c>
      <c r="C74" s="661" t="s">
        <v>178</v>
      </c>
      <c r="D74" s="662" t="s">
        <v>62</v>
      </c>
      <c r="E74" s="652" t="str">
        <f t="shared" ca="1" si="69"/>
        <v>KU-Marketplace - Heating</v>
      </c>
      <c r="F74" s="652" t="str">
        <f t="shared" ca="1" si="69"/>
        <v>This product targets customers with smart thermostats and pays participants an incentive to curtail load during events</v>
      </c>
      <c r="G74" s="652" t="str">
        <f t="shared" ca="1" si="69"/>
        <v>Per Customer</v>
      </c>
      <c r="H74" s="652">
        <f t="shared" ca="1" si="72"/>
        <v>104.5</v>
      </c>
      <c r="I74" s="652">
        <f t="shared" ca="1" si="72"/>
        <v>313.5</v>
      </c>
      <c r="J74" s="652">
        <f t="shared" ca="1" si="72"/>
        <v>731.5</v>
      </c>
      <c r="K74" s="652">
        <f t="shared" ca="1" si="72"/>
        <v>1567.5</v>
      </c>
      <c r="L74" s="652">
        <f t="shared" ca="1" si="72"/>
        <v>2767.5</v>
      </c>
      <c r="M74" s="652">
        <f t="shared" ca="1" si="72"/>
        <v>3967.5</v>
      </c>
      <c r="N74" s="652">
        <f t="shared" ca="1" si="72"/>
        <v>5167.5</v>
      </c>
      <c r="O74" s="652">
        <f t="shared" ca="1" si="72"/>
        <v>0</v>
      </c>
      <c r="P74" s="652">
        <f t="shared" ca="1" si="72"/>
        <v>0</v>
      </c>
      <c r="Q74" s="652">
        <f t="shared" ca="1" si="72"/>
        <v>0</v>
      </c>
      <c r="R74" s="652">
        <f t="shared" ca="1" si="72"/>
        <v>0</v>
      </c>
      <c r="S74" s="652">
        <f t="shared" ca="1" si="72"/>
        <v>0</v>
      </c>
      <c r="T74" s="652">
        <f t="shared" ca="1" si="72"/>
        <v>0</v>
      </c>
      <c r="U74" s="652">
        <f t="shared" ca="1" si="72"/>
        <v>0</v>
      </c>
      <c r="V74" s="652">
        <f t="shared" ca="1" si="22"/>
        <v>0</v>
      </c>
      <c r="W74" s="652">
        <f t="shared" ca="1" si="22"/>
        <v>0</v>
      </c>
      <c r="X74" s="652">
        <f t="shared" ca="1" si="22"/>
        <v>0</v>
      </c>
      <c r="Y74" s="652">
        <f t="shared" ca="1" si="70"/>
        <v>0</v>
      </c>
      <c r="Z74" s="652">
        <f t="shared" ca="1" si="70"/>
        <v>0</v>
      </c>
      <c r="AA74" s="652">
        <f t="shared" ca="1" si="70"/>
        <v>0</v>
      </c>
      <c r="AB74" s="652">
        <f t="shared" ca="1" si="70"/>
        <v>0</v>
      </c>
      <c r="AC74" s="652">
        <f t="shared" ca="1" si="70"/>
        <v>12540</v>
      </c>
      <c r="AD74" s="652">
        <f t="shared" ca="1" si="70"/>
        <v>37620</v>
      </c>
      <c r="AE74" s="652">
        <f t="shared" ca="1" si="70"/>
        <v>87780</v>
      </c>
      <c r="AF74" s="652">
        <f t="shared" ca="1" si="70"/>
        <v>188100</v>
      </c>
      <c r="AG74" s="652">
        <f t="shared" ca="1" si="70"/>
        <v>332100</v>
      </c>
      <c r="AH74" s="652">
        <f t="shared" ca="1" si="70"/>
        <v>476100</v>
      </c>
      <c r="AI74" s="652">
        <f t="shared" ca="1" si="70"/>
        <v>620100</v>
      </c>
      <c r="AJ74" s="652">
        <f t="shared" ca="1" si="70"/>
        <v>0</v>
      </c>
      <c r="AK74" s="652">
        <f t="shared" ca="1" si="70"/>
        <v>0</v>
      </c>
      <c r="AL74" s="652">
        <f t="shared" ca="1" si="70"/>
        <v>0</v>
      </c>
      <c r="AM74" s="652">
        <f t="shared" ca="1" si="71"/>
        <v>0</v>
      </c>
      <c r="AN74" s="652">
        <f t="shared" ca="1" si="71"/>
        <v>0</v>
      </c>
      <c r="AO74" s="652">
        <f t="shared" ca="1" si="71"/>
        <v>0</v>
      </c>
      <c r="AP74" s="652">
        <f t="shared" ca="1" si="71"/>
        <v>0</v>
      </c>
      <c r="AQ74" s="652">
        <f t="shared" ca="1" si="71"/>
        <v>62.666577825159919</v>
      </c>
      <c r="AR74" s="652">
        <f t="shared" ca="1" si="71"/>
        <v>187.99973347547976</v>
      </c>
      <c r="AS74" s="652">
        <f t="shared" ca="1" si="71"/>
        <v>438.66604477611941</v>
      </c>
      <c r="AT74" s="652">
        <f t="shared" ca="1" si="71"/>
        <v>939.99866737739876</v>
      </c>
      <c r="AU74" s="652">
        <f t="shared" ca="1" si="71"/>
        <v>1659.6148720682304</v>
      </c>
      <c r="AV74" s="652">
        <f t="shared" ca="1" si="71"/>
        <v>2379.231076759062</v>
      </c>
      <c r="AW74" s="652">
        <f t="shared" ca="1" si="71"/>
        <v>3098.8472814498937</v>
      </c>
      <c r="AX74" s="652">
        <f t="shared" ca="1" si="71"/>
        <v>0</v>
      </c>
      <c r="AY74" s="652">
        <f t="shared" ca="1" si="71"/>
        <v>0</v>
      </c>
      <c r="AZ74" s="652">
        <f t="shared" ca="1" si="71"/>
        <v>0</v>
      </c>
      <c r="BA74" s="652">
        <f t="shared" ca="1" si="74"/>
        <v>0</v>
      </c>
      <c r="BB74" s="652">
        <f t="shared" ca="1" si="74"/>
        <v>0</v>
      </c>
      <c r="BC74" s="652">
        <f t="shared" ca="1" si="74"/>
        <v>0</v>
      </c>
      <c r="BD74" s="652">
        <f t="shared" ca="1" si="74"/>
        <v>0</v>
      </c>
      <c r="BE74" s="652" t="str">
        <f t="shared" ca="1" si="74"/>
        <v>Residential</v>
      </c>
      <c r="BF74" s="652" t="str">
        <f t="shared" ca="1" si="74"/>
        <v>ResHotWater - SF Wtd</v>
      </c>
      <c r="BG74" s="652" t="str">
        <f t="shared" ca="1" si="74"/>
        <v>ResSFGasTotal</v>
      </c>
      <c r="BH74" s="652" t="str">
        <f t="shared" ca="1" si="74"/>
        <v>KU Res</v>
      </c>
      <c r="BI74" s="652" t="str">
        <f t="shared" ca="1" si="74"/>
        <v>KU Res</v>
      </c>
      <c r="BJ74" s="652">
        <f t="shared" ca="1" si="67"/>
        <v>1</v>
      </c>
      <c r="BK74" s="652">
        <f t="shared" ca="1" si="67"/>
        <v>0</v>
      </c>
      <c r="BL74" s="652">
        <f t="shared" ca="1" si="65"/>
        <v>0</v>
      </c>
      <c r="BM74" s="652">
        <f t="shared" ca="1" si="65"/>
        <v>0</v>
      </c>
      <c r="BN74" s="652">
        <f t="shared" ca="1" si="65"/>
        <v>0</v>
      </c>
      <c r="BO74" s="652">
        <f t="shared" ca="1" si="65"/>
        <v>0</v>
      </c>
      <c r="BP74" s="652">
        <f t="shared" ca="1" si="65"/>
        <v>0</v>
      </c>
      <c r="BQ74" s="652">
        <f t="shared" ca="1" si="65"/>
        <v>0</v>
      </c>
      <c r="BR74" s="652">
        <f t="shared" ca="1" si="75"/>
        <v>14619.5</v>
      </c>
      <c r="BS74" s="652">
        <f t="shared" ca="1" si="74"/>
        <v>0</v>
      </c>
      <c r="BT74" s="652">
        <f t="shared" ca="1" si="74"/>
        <v>0</v>
      </c>
      <c r="BU74" s="652">
        <f t="shared" ca="1" si="74"/>
        <v>1754340</v>
      </c>
      <c r="BV74" s="652">
        <f t="shared" ca="1" si="74"/>
        <v>0</v>
      </c>
      <c r="BW74" s="652">
        <f t="shared" ca="1" si="74"/>
        <v>0</v>
      </c>
      <c r="BX74" s="652">
        <f t="shared" ca="1" si="74"/>
        <v>3098.8472814498937</v>
      </c>
      <c r="BY74" s="652">
        <f t="shared" ca="1" si="74"/>
        <v>0</v>
      </c>
    </row>
    <row r="75" spans="1:77">
      <c r="A75" s="425" t="str">
        <f t="shared" ca="1" si="73"/>
        <v>BYOT &amp; BYODKU-Small NonRes - Cooling</v>
      </c>
      <c r="B75" s="1297" t="str">
        <f t="shared" si="68"/>
        <v>KUBYOT &amp; BYOD</v>
      </c>
      <c r="C75" s="661" t="s">
        <v>183</v>
      </c>
      <c r="D75" s="662" t="s">
        <v>62</v>
      </c>
      <c r="E75" s="652" t="str">
        <f t="shared" ca="1" si="69"/>
        <v>KU-Small NonRes - Cooling</v>
      </c>
      <c r="F75" s="652" t="str">
        <f t="shared" ca="1" si="69"/>
        <v>This product targets small non-residential customers with smart thermostats and pays participants an incentive to curtail load during events</v>
      </c>
      <c r="G75" s="652" t="str">
        <f t="shared" ca="1" si="69"/>
        <v>Per Customer</v>
      </c>
      <c r="H75" s="652">
        <f t="shared" ca="1" si="72"/>
        <v>0</v>
      </c>
      <c r="I75" s="652">
        <f t="shared" ca="1" si="72"/>
        <v>0</v>
      </c>
      <c r="J75" s="652">
        <f t="shared" ca="1" si="72"/>
        <v>150</v>
      </c>
      <c r="K75" s="652">
        <f t="shared" ca="1" si="72"/>
        <v>300</v>
      </c>
      <c r="L75" s="652">
        <f t="shared" ca="1" si="72"/>
        <v>400</v>
      </c>
      <c r="M75" s="652">
        <f t="shared" ca="1" si="72"/>
        <v>500</v>
      </c>
      <c r="N75" s="652">
        <f t="shared" ca="1" si="72"/>
        <v>600</v>
      </c>
      <c r="O75" s="652">
        <f t="shared" ca="1" si="72"/>
        <v>0</v>
      </c>
      <c r="P75" s="652">
        <f t="shared" ca="1" si="72"/>
        <v>0</v>
      </c>
      <c r="Q75" s="652">
        <f t="shared" ca="1" si="72"/>
        <v>0</v>
      </c>
      <c r="R75" s="652">
        <f t="shared" ca="1" si="72"/>
        <v>0</v>
      </c>
      <c r="S75" s="652">
        <f t="shared" ca="1" si="72"/>
        <v>0</v>
      </c>
      <c r="T75" s="652">
        <f t="shared" ca="1" si="72"/>
        <v>0</v>
      </c>
      <c r="U75" s="652">
        <f t="shared" ca="1" si="72"/>
        <v>0</v>
      </c>
      <c r="V75" s="652">
        <f t="shared" ca="1" si="22"/>
        <v>0</v>
      </c>
      <c r="W75" s="652">
        <f t="shared" ca="1" si="22"/>
        <v>0</v>
      </c>
      <c r="X75" s="652">
        <f t="shared" ca="1" si="22"/>
        <v>0</v>
      </c>
      <c r="Y75" s="652">
        <f t="shared" ca="1" si="70"/>
        <v>0</v>
      </c>
      <c r="Z75" s="652">
        <f t="shared" ca="1" si="70"/>
        <v>0</v>
      </c>
      <c r="AA75" s="652">
        <f t="shared" ca="1" si="70"/>
        <v>0</v>
      </c>
      <c r="AB75" s="652">
        <f t="shared" ca="1" si="70"/>
        <v>0</v>
      </c>
      <c r="AC75" s="652">
        <f t="shared" ca="1" si="70"/>
        <v>0</v>
      </c>
      <c r="AD75" s="652">
        <f t="shared" ca="1" si="70"/>
        <v>0</v>
      </c>
      <c r="AE75" s="652">
        <f t="shared" ca="1" si="70"/>
        <v>45000</v>
      </c>
      <c r="AF75" s="652">
        <f t="shared" ca="1" si="70"/>
        <v>82500</v>
      </c>
      <c r="AG75" s="652">
        <f t="shared" ca="1" si="70"/>
        <v>105000</v>
      </c>
      <c r="AH75" s="652">
        <f t="shared" ca="1" si="70"/>
        <v>130000</v>
      </c>
      <c r="AI75" s="652">
        <f t="shared" ca="1" si="70"/>
        <v>155000</v>
      </c>
      <c r="AJ75" s="652">
        <f t="shared" ca="1" si="70"/>
        <v>0</v>
      </c>
      <c r="AK75" s="652">
        <f t="shared" ca="1" si="70"/>
        <v>0</v>
      </c>
      <c r="AL75" s="652">
        <f t="shared" ca="1" si="70"/>
        <v>0</v>
      </c>
      <c r="AM75" s="652">
        <f t="shared" ca="1" si="71"/>
        <v>0</v>
      </c>
      <c r="AN75" s="652">
        <f t="shared" ca="1" si="71"/>
        <v>0</v>
      </c>
      <c r="AO75" s="652">
        <f t="shared" ca="1" si="71"/>
        <v>0</v>
      </c>
      <c r="AP75" s="652">
        <f t="shared" ca="1" si="71"/>
        <v>0</v>
      </c>
      <c r="AQ75" s="652">
        <f t="shared" ca="1" si="71"/>
        <v>0</v>
      </c>
      <c r="AR75" s="652">
        <f t="shared" ca="1" si="71"/>
        <v>0</v>
      </c>
      <c r="AS75" s="652">
        <f t="shared" ca="1" si="71"/>
        <v>238.5</v>
      </c>
      <c r="AT75" s="652">
        <f t="shared" ca="1" si="71"/>
        <v>477</v>
      </c>
      <c r="AU75" s="652">
        <f t="shared" ca="1" si="71"/>
        <v>636</v>
      </c>
      <c r="AV75" s="652">
        <f t="shared" ca="1" si="71"/>
        <v>795</v>
      </c>
      <c r="AW75" s="652">
        <f t="shared" ca="1" si="71"/>
        <v>954</v>
      </c>
      <c r="AX75" s="652">
        <f t="shared" ca="1" si="71"/>
        <v>0</v>
      </c>
      <c r="AY75" s="652">
        <f t="shared" ca="1" si="71"/>
        <v>0</v>
      </c>
      <c r="AZ75" s="652">
        <f t="shared" ca="1" si="71"/>
        <v>0</v>
      </c>
      <c r="BA75" s="652">
        <f t="shared" ca="1" si="74"/>
        <v>0</v>
      </c>
      <c r="BB75" s="652">
        <f t="shared" ca="1" si="74"/>
        <v>0</v>
      </c>
      <c r="BC75" s="652">
        <f t="shared" ca="1" si="74"/>
        <v>0</v>
      </c>
      <c r="BD75" s="652">
        <f t="shared" ca="1" si="74"/>
        <v>0</v>
      </c>
      <c r="BE75" s="652" t="str">
        <f t="shared" ca="1" si="74"/>
        <v>Commercial</v>
      </c>
      <c r="BF75" s="652" t="str">
        <f t="shared" ca="1" si="74"/>
        <v>OFFSMCool</v>
      </c>
      <c r="BG75" s="652" t="str">
        <f t="shared" ca="1" si="74"/>
        <v>ResSFGasTotal</v>
      </c>
      <c r="BH75" s="652" t="str">
        <f t="shared" ca="1" si="74"/>
        <v>KU NonRes</v>
      </c>
      <c r="BI75" s="652" t="str">
        <f t="shared" ca="1" si="74"/>
        <v>KU NonRes</v>
      </c>
      <c r="BJ75" s="652">
        <f t="shared" ca="1" si="67"/>
        <v>1</v>
      </c>
      <c r="BK75" s="652">
        <f t="shared" ca="1" si="67"/>
        <v>0</v>
      </c>
      <c r="BL75" s="652">
        <f t="shared" ca="1" si="65"/>
        <v>0</v>
      </c>
      <c r="BM75" s="652">
        <f t="shared" ca="1" si="65"/>
        <v>5400</v>
      </c>
      <c r="BN75" s="652">
        <f t="shared" ca="1" si="65"/>
        <v>10800</v>
      </c>
      <c r="BO75" s="652">
        <f t="shared" ca="1" si="65"/>
        <v>14400</v>
      </c>
      <c r="BP75" s="652">
        <f t="shared" ca="1" si="65"/>
        <v>18000</v>
      </c>
      <c r="BQ75" s="652">
        <f t="shared" ca="1" si="65"/>
        <v>21600</v>
      </c>
      <c r="BR75" s="652">
        <f t="shared" ca="1" si="75"/>
        <v>1950</v>
      </c>
      <c r="BS75" s="652">
        <f t="shared" ca="1" si="74"/>
        <v>0</v>
      </c>
      <c r="BT75" s="652">
        <f t="shared" ca="1" si="74"/>
        <v>0</v>
      </c>
      <c r="BU75" s="652">
        <f t="shared" ca="1" si="74"/>
        <v>517500</v>
      </c>
      <c r="BV75" s="652">
        <f t="shared" ca="1" si="74"/>
        <v>70200</v>
      </c>
      <c r="BW75" s="652">
        <f t="shared" ca="1" si="74"/>
        <v>0</v>
      </c>
      <c r="BX75" s="652">
        <f t="shared" ca="1" si="74"/>
        <v>954</v>
      </c>
      <c r="BY75" s="652">
        <f t="shared" ca="1" si="74"/>
        <v>0</v>
      </c>
    </row>
    <row r="76" spans="1:77">
      <c r="A76" s="425" t="str">
        <f t="shared" ca="1" si="73"/>
        <v>BYOT &amp; BYODKU-Residential - BYOD - Room A/C - Summer</v>
      </c>
      <c r="B76" s="1297" t="str">
        <f t="shared" si="68"/>
        <v>KUBYOT &amp; BYOD</v>
      </c>
      <c r="C76" s="661" t="s">
        <v>184</v>
      </c>
      <c r="D76" s="662" t="s">
        <v>62</v>
      </c>
      <c r="E76" s="652" t="str">
        <f t="shared" ca="1" si="69"/>
        <v>KU-Residential - BYOD - Room A/C - Summer</v>
      </c>
      <c r="F76" s="652" t="str">
        <f t="shared" ca="1" si="69"/>
        <v>This product targets customers with grid connected room A/Cs and pays participants an incentive to curtail load during events</v>
      </c>
      <c r="G76" s="652" t="str">
        <f t="shared" ca="1" si="69"/>
        <v>Per Customer</v>
      </c>
      <c r="H76" s="652">
        <f t="shared" ca="1" si="72"/>
        <v>0</v>
      </c>
      <c r="I76" s="652">
        <f t="shared" ca="1" si="72"/>
        <v>0</v>
      </c>
      <c r="J76" s="652">
        <f t="shared" ca="1" si="72"/>
        <v>5</v>
      </c>
      <c r="K76" s="652">
        <f t="shared" ca="1" si="72"/>
        <v>7.5</v>
      </c>
      <c r="L76" s="652">
        <f t="shared" ca="1" si="72"/>
        <v>11.25</v>
      </c>
      <c r="M76" s="652">
        <f t="shared" ca="1" si="72"/>
        <v>16.875</v>
      </c>
      <c r="N76" s="652">
        <f t="shared" ca="1" si="72"/>
        <v>25.3125</v>
      </c>
      <c r="O76" s="652">
        <f t="shared" ca="1" si="72"/>
        <v>0</v>
      </c>
      <c r="P76" s="652">
        <f t="shared" ca="1" si="72"/>
        <v>0</v>
      </c>
      <c r="Q76" s="652">
        <f t="shared" ca="1" si="72"/>
        <v>0</v>
      </c>
      <c r="R76" s="652">
        <f t="shared" ca="1" si="72"/>
        <v>0</v>
      </c>
      <c r="S76" s="652">
        <f t="shared" ca="1" si="72"/>
        <v>0</v>
      </c>
      <c r="T76" s="652">
        <f t="shared" ca="1" si="72"/>
        <v>0</v>
      </c>
      <c r="U76" s="652">
        <f t="shared" ca="1" si="72"/>
        <v>0</v>
      </c>
      <c r="V76" s="652">
        <f t="shared" ca="1" si="22"/>
        <v>0</v>
      </c>
      <c r="W76" s="652">
        <f t="shared" ca="1" si="22"/>
        <v>0</v>
      </c>
      <c r="X76" s="652">
        <f t="shared" ca="1" si="22"/>
        <v>0</v>
      </c>
      <c r="Y76" s="652">
        <f t="shared" ca="1" si="70"/>
        <v>0</v>
      </c>
      <c r="Z76" s="652">
        <f t="shared" ca="1" si="70"/>
        <v>0</v>
      </c>
      <c r="AA76" s="652">
        <f t="shared" ca="1" si="70"/>
        <v>0</v>
      </c>
      <c r="AB76" s="652">
        <f t="shared" ca="1" si="70"/>
        <v>0</v>
      </c>
      <c r="AC76" s="652">
        <f t="shared" ca="1" si="70"/>
        <v>0</v>
      </c>
      <c r="AD76" s="652">
        <f t="shared" ca="1" si="70"/>
        <v>0</v>
      </c>
      <c r="AE76" s="652">
        <f t="shared" ca="1" si="70"/>
        <v>1500</v>
      </c>
      <c r="AF76" s="652">
        <f t="shared" ca="1" si="70"/>
        <v>2000.0000000000002</v>
      </c>
      <c r="AG76" s="652">
        <f t="shared" ca="1" si="70"/>
        <v>3000</v>
      </c>
      <c r="AH76" s="652">
        <f t="shared" ca="1" si="70"/>
        <v>4500</v>
      </c>
      <c r="AI76" s="652">
        <f t="shared" ca="1" si="70"/>
        <v>6750.0000000000009</v>
      </c>
      <c r="AJ76" s="652">
        <f t="shared" ca="1" si="70"/>
        <v>0</v>
      </c>
      <c r="AK76" s="652">
        <f t="shared" ca="1" si="70"/>
        <v>0</v>
      </c>
      <c r="AL76" s="652">
        <f t="shared" ca="1" si="70"/>
        <v>0</v>
      </c>
      <c r="AM76" s="652">
        <f t="shared" ca="1" si="71"/>
        <v>0</v>
      </c>
      <c r="AN76" s="652">
        <f t="shared" ca="1" si="71"/>
        <v>0</v>
      </c>
      <c r="AO76" s="652">
        <f t="shared" ca="1" si="71"/>
        <v>0</v>
      </c>
      <c r="AP76" s="652">
        <f t="shared" ca="1" si="71"/>
        <v>0</v>
      </c>
      <c r="AQ76" s="652">
        <f t="shared" ca="1" si="71"/>
        <v>0</v>
      </c>
      <c r="AR76" s="652">
        <f t="shared" ca="1" si="71"/>
        <v>0</v>
      </c>
      <c r="AS76" s="652">
        <f t="shared" ca="1" si="71"/>
        <v>2.5</v>
      </c>
      <c r="AT76" s="652">
        <f t="shared" ca="1" si="71"/>
        <v>3.75</v>
      </c>
      <c r="AU76" s="652">
        <f t="shared" ca="1" si="71"/>
        <v>5.625</v>
      </c>
      <c r="AV76" s="652">
        <f t="shared" ca="1" si="71"/>
        <v>8.4375</v>
      </c>
      <c r="AW76" s="652">
        <f t="shared" ca="1" si="71"/>
        <v>12.65625</v>
      </c>
      <c r="AX76" s="652">
        <f t="shared" ca="1" si="71"/>
        <v>0</v>
      </c>
      <c r="AY76" s="652">
        <f t="shared" ca="1" si="71"/>
        <v>0</v>
      </c>
      <c r="AZ76" s="652">
        <f t="shared" ca="1" si="71"/>
        <v>0</v>
      </c>
      <c r="BA76" s="652">
        <f t="shared" ca="1" si="74"/>
        <v>0</v>
      </c>
      <c r="BB76" s="652">
        <f t="shared" ca="1" si="74"/>
        <v>0</v>
      </c>
      <c r="BC76" s="652">
        <f t="shared" ca="1" si="74"/>
        <v>0</v>
      </c>
      <c r="BD76" s="652">
        <f t="shared" ca="1" si="74"/>
        <v>0</v>
      </c>
      <c r="BE76" s="652" t="str">
        <f t="shared" ca="1" si="74"/>
        <v>Residential</v>
      </c>
      <c r="BF76" s="652" t="str">
        <f t="shared" ca="1" si="74"/>
        <v>ResCooling - SF Wtd</v>
      </c>
      <c r="BG76" s="652" t="str">
        <f t="shared" ca="1" si="74"/>
        <v>ResSFGasTotal</v>
      </c>
      <c r="BH76" s="652" t="str">
        <f t="shared" ca="1" si="74"/>
        <v>KU Res</v>
      </c>
      <c r="BI76" s="652" t="str">
        <f t="shared" ca="1" si="74"/>
        <v>KU Res</v>
      </c>
      <c r="BJ76" s="652">
        <f t="shared" ca="1" si="67"/>
        <v>1</v>
      </c>
      <c r="BK76" s="652">
        <f t="shared" ca="1" si="67"/>
        <v>0</v>
      </c>
      <c r="BL76" s="652">
        <f t="shared" ca="1" si="65"/>
        <v>0</v>
      </c>
      <c r="BM76" s="652">
        <f t="shared" ca="1" si="65"/>
        <v>180</v>
      </c>
      <c r="BN76" s="652">
        <f t="shared" ca="1" si="65"/>
        <v>270</v>
      </c>
      <c r="BO76" s="652">
        <f t="shared" ca="1" si="65"/>
        <v>405</v>
      </c>
      <c r="BP76" s="652">
        <f t="shared" ca="1" si="65"/>
        <v>607.5</v>
      </c>
      <c r="BQ76" s="652">
        <f t="shared" ca="1" si="65"/>
        <v>911.25</v>
      </c>
      <c r="BR76" s="652">
        <f t="shared" ca="1" si="75"/>
        <v>65.9375</v>
      </c>
      <c r="BS76" s="652">
        <f t="shared" ca="1" si="74"/>
        <v>0</v>
      </c>
      <c r="BT76" s="652">
        <f t="shared" ca="1" si="74"/>
        <v>0</v>
      </c>
      <c r="BU76" s="652">
        <f t="shared" ca="1" si="74"/>
        <v>17750</v>
      </c>
      <c r="BV76" s="652">
        <f t="shared" ca="1" si="74"/>
        <v>2373.75</v>
      </c>
      <c r="BW76" s="652">
        <f t="shared" ca="1" si="74"/>
        <v>0</v>
      </c>
      <c r="BX76" s="652">
        <f t="shared" ca="1" si="74"/>
        <v>12.65625</v>
      </c>
      <c r="BY76" s="652">
        <f t="shared" ca="1" si="74"/>
        <v>0</v>
      </c>
    </row>
    <row r="77" spans="1:77">
      <c r="A77" s="425" t="str">
        <f t="shared" ca="1" si="73"/>
        <v>BYOT &amp; BYODKU-Residential - BYOD - Water Heating</v>
      </c>
      <c r="B77" s="1297" t="str">
        <f t="shared" si="68"/>
        <v>KUBYOT &amp; BYOD</v>
      </c>
      <c r="C77" s="661" t="s">
        <v>185</v>
      </c>
      <c r="D77" s="662" t="s">
        <v>62</v>
      </c>
      <c r="E77" s="652" t="str">
        <f t="shared" ca="1" si="69"/>
        <v>KU-Residential - BYOD - Water Heating</v>
      </c>
      <c r="F77" s="652" t="str">
        <f t="shared" ca="1" si="69"/>
        <v>This product targets customers with grid connected water heaters and pays participants an incentive to curtail load during events</v>
      </c>
      <c r="G77" s="652" t="str">
        <f t="shared" ca="1" si="69"/>
        <v>Per Customer</v>
      </c>
      <c r="H77" s="652">
        <f t="shared" ca="1" si="72"/>
        <v>0</v>
      </c>
      <c r="I77" s="652">
        <f t="shared" ca="1" si="72"/>
        <v>0</v>
      </c>
      <c r="J77" s="652">
        <f t="shared" ca="1" si="72"/>
        <v>5</v>
      </c>
      <c r="K77" s="652">
        <f t="shared" ca="1" si="72"/>
        <v>7.5</v>
      </c>
      <c r="L77" s="652">
        <f t="shared" ca="1" si="72"/>
        <v>11.25</v>
      </c>
      <c r="M77" s="652">
        <f t="shared" ca="1" si="72"/>
        <v>16.875</v>
      </c>
      <c r="N77" s="652">
        <f t="shared" ca="1" si="72"/>
        <v>25.3125</v>
      </c>
      <c r="O77" s="652">
        <f t="shared" ca="1" si="72"/>
        <v>0</v>
      </c>
      <c r="P77" s="652">
        <f t="shared" ca="1" si="72"/>
        <v>0</v>
      </c>
      <c r="Q77" s="652">
        <f t="shared" ca="1" si="72"/>
        <v>0</v>
      </c>
      <c r="R77" s="652">
        <f t="shared" ca="1" si="72"/>
        <v>0</v>
      </c>
      <c r="S77" s="652">
        <f t="shared" ca="1" si="72"/>
        <v>0</v>
      </c>
      <c r="T77" s="652">
        <f t="shared" ca="1" si="72"/>
        <v>0</v>
      </c>
      <c r="U77" s="652">
        <f t="shared" ca="1" si="72"/>
        <v>0</v>
      </c>
      <c r="V77" s="652">
        <f t="shared" ca="1" si="22"/>
        <v>0</v>
      </c>
      <c r="W77" s="652">
        <f t="shared" ref="W77:X77" ca="1" si="76">VLOOKUP($C77,INDIRECT("'"&amp;$D77&amp;"'!A6:FR1000"),IF(W$6="Participation 2023",MATCH("__Participation 2023",INDIRECT("'"&amp;$D77&amp;"'!1:1"),0),IF(W$6="Participation",MATCH("_Total Plan Summary _Participation",INDIRECT("'"&amp;$D77&amp;"'!1:1"),0),MATCH(W$4&amp;"_"&amp;W$5&amp;"_"&amp;W$6,INDIRECT("'"&amp;$D77&amp;"'!1:1"),0))),0)</f>
        <v>0</v>
      </c>
      <c r="X77" s="652">
        <f t="shared" ca="1" si="76"/>
        <v>0</v>
      </c>
      <c r="Y77" s="652">
        <f t="shared" ca="1" si="70"/>
        <v>0</v>
      </c>
      <c r="Z77" s="652">
        <f t="shared" ca="1" si="70"/>
        <v>0</v>
      </c>
      <c r="AA77" s="652">
        <f t="shared" ca="1" si="70"/>
        <v>0</v>
      </c>
      <c r="AB77" s="652">
        <f t="shared" ca="1" si="70"/>
        <v>0</v>
      </c>
      <c r="AC77" s="652">
        <f t="shared" ca="1" si="70"/>
        <v>0</v>
      </c>
      <c r="AD77" s="652">
        <f t="shared" ca="1" si="70"/>
        <v>0</v>
      </c>
      <c r="AE77" s="652">
        <f t="shared" ca="1" si="70"/>
        <v>875</v>
      </c>
      <c r="AF77" s="652">
        <f t="shared" ca="1" si="70"/>
        <v>1062.5</v>
      </c>
      <c r="AG77" s="652">
        <f t="shared" ca="1" si="70"/>
        <v>1593.75</v>
      </c>
      <c r="AH77" s="652">
        <f t="shared" ca="1" si="70"/>
        <v>2390.625</v>
      </c>
      <c r="AI77" s="652">
        <f t="shared" ca="1" si="70"/>
        <v>3585.9374999999995</v>
      </c>
      <c r="AJ77" s="652">
        <f t="shared" ca="1" si="70"/>
        <v>0</v>
      </c>
      <c r="AK77" s="652">
        <f t="shared" ca="1" si="70"/>
        <v>0</v>
      </c>
      <c r="AL77" s="652">
        <f t="shared" ca="1" si="70"/>
        <v>0</v>
      </c>
      <c r="AM77" s="652">
        <f t="shared" ca="1" si="71"/>
        <v>0</v>
      </c>
      <c r="AN77" s="652">
        <f t="shared" ca="1" si="71"/>
        <v>0</v>
      </c>
      <c r="AO77" s="652">
        <f t="shared" ca="1" si="71"/>
        <v>0</v>
      </c>
      <c r="AP77" s="652">
        <f t="shared" ca="1" si="71"/>
        <v>0</v>
      </c>
      <c r="AQ77" s="652">
        <f t="shared" ca="1" si="71"/>
        <v>0</v>
      </c>
      <c r="AR77" s="652">
        <f t="shared" ca="1" si="71"/>
        <v>0</v>
      </c>
      <c r="AS77" s="652">
        <f t="shared" ca="1" si="71"/>
        <v>2.5</v>
      </c>
      <c r="AT77" s="652">
        <f t="shared" ca="1" si="71"/>
        <v>3.75</v>
      </c>
      <c r="AU77" s="652">
        <f t="shared" ca="1" si="71"/>
        <v>5.625</v>
      </c>
      <c r="AV77" s="652">
        <f t="shared" ca="1" si="71"/>
        <v>8.4375</v>
      </c>
      <c r="AW77" s="652">
        <f t="shared" ca="1" si="71"/>
        <v>12.65625</v>
      </c>
      <c r="AX77" s="652">
        <f t="shared" ca="1" si="71"/>
        <v>0</v>
      </c>
      <c r="AY77" s="652">
        <f t="shared" ca="1" si="71"/>
        <v>0</v>
      </c>
      <c r="AZ77" s="652">
        <f t="shared" ca="1" si="71"/>
        <v>0</v>
      </c>
      <c r="BA77" s="652">
        <f t="shared" ca="1" si="74"/>
        <v>0</v>
      </c>
      <c r="BB77" s="652">
        <f t="shared" ca="1" si="74"/>
        <v>0</v>
      </c>
      <c r="BC77" s="652">
        <f t="shared" ca="1" si="74"/>
        <v>0</v>
      </c>
      <c r="BD77" s="652">
        <f t="shared" ca="1" si="74"/>
        <v>0</v>
      </c>
      <c r="BE77" s="652" t="str">
        <f t="shared" ca="1" si="74"/>
        <v>Residential</v>
      </c>
      <c r="BF77" s="652" t="str">
        <f t="shared" ca="1" si="74"/>
        <v>ResHotWater - SF Wtd</v>
      </c>
      <c r="BG77" s="652" t="str">
        <f t="shared" ca="1" si="74"/>
        <v>ResSFGasTotal</v>
      </c>
      <c r="BH77" s="652" t="str">
        <f t="shared" ca="1" si="74"/>
        <v>KU Res</v>
      </c>
      <c r="BI77" s="652" t="str">
        <f t="shared" ca="1" si="74"/>
        <v>KU Res</v>
      </c>
      <c r="BJ77" s="652">
        <f t="shared" ca="1" si="67"/>
        <v>1</v>
      </c>
      <c r="BK77" s="652">
        <f t="shared" ca="1" si="67"/>
        <v>0</v>
      </c>
      <c r="BL77" s="652">
        <f t="shared" ca="1" si="67"/>
        <v>0</v>
      </c>
      <c r="BM77" s="652">
        <f t="shared" ca="1" si="67"/>
        <v>180</v>
      </c>
      <c r="BN77" s="652">
        <f t="shared" ca="1" si="67"/>
        <v>270</v>
      </c>
      <c r="BO77" s="652">
        <f t="shared" ca="1" si="67"/>
        <v>405</v>
      </c>
      <c r="BP77" s="652">
        <f t="shared" ca="1" si="67"/>
        <v>607.5</v>
      </c>
      <c r="BQ77" s="652">
        <f t="shared" ca="1" si="67"/>
        <v>911.25</v>
      </c>
      <c r="BR77" s="652">
        <f t="shared" ref="BR77" ca="1" si="77">SUM(H77:N77)</f>
        <v>65.9375</v>
      </c>
      <c r="BS77" s="652">
        <f t="shared" ca="1" si="74"/>
        <v>0</v>
      </c>
      <c r="BT77" s="652">
        <f t="shared" ca="1" si="74"/>
        <v>0</v>
      </c>
      <c r="BU77" s="652">
        <f t="shared" ca="1" si="74"/>
        <v>9507.8125</v>
      </c>
      <c r="BV77" s="652">
        <f t="shared" ca="1" si="74"/>
        <v>2373.75</v>
      </c>
      <c r="BW77" s="652">
        <f t="shared" ca="1" si="74"/>
        <v>0</v>
      </c>
      <c r="BX77" s="652">
        <f t="shared" ca="1" si="74"/>
        <v>12.65625</v>
      </c>
      <c r="BY77" s="652">
        <f t="shared" ref="BY77" ca="1" si="78">VLOOKUP($C77,INDIRECT("'"&amp;$D77&amp;"'!A6:FR1000"),IF(BY$6="Participation 2023",MATCH("__Participation 2023",INDIRECT("'"&amp;$D77&amp;"'!1:1"),0),IF(BY$6="Participation",MATCH("_Total Plan Summary _Participation",INDIRECT("'"&amp;$D77&amp;"'!1:1"),0),MATCH(BY$4&amp;"_"&amp;BY$5&amp;"_"&amp;BY$6,INDIRECT("'"&amp;$D77&amp;"'!1:1"),0))),0)</f>
        <v>0</v>
      </c>
    </row>
    <row r="78" spans="1:77">
      <c r="A78" s="425" t="str">
        <f t="shared" ca="1" si="73"/>
        <v>BYOT &amp; BYODLG&amp;E-Residential - BYOT - Cooling - Summer</v>
      </c>
      <c r="B78" s="1297" t="str">
        <f t="shared" si="68"/>
        <v>LG&amp;EBYOT &amp; BYOD</v>
      </c>
      <c r="C78" s="661" t="s">
        <v>172</v>
      </c>
      <c r="D78" s="662" t="s">
        <v>62</v>
      </c>
      <c r="E78" s="652" t="str">
        <f t="shared" ca="1" si="69"/>
        <v>LG&amp;E-Residential - BYOT - Cooling - Summer</v>
      </c>
      <c r="F78" s="652" t="str">
        <f t="shared" ca="1" si="69"/>
        <v>This product targets customers with smart thermostats and pays participants an incentive to curtail load during events</v>
      </c>
      <c r="G78" s="652" t="str">
        <f t="shared" ca="1" si="69"/>
        <v>Per Customer</v>
      </c>
      <c r="H78" s="652">
        <f t="shared" ca="1" si="72"/>
        <v>616.5</v>
      </c>
      <c r="I78" s="652">
        <f t="shared" ca="1" si="72"/>
        <v>810.5</v>
      </c>
      <c r="J78" s="652">
        <f t="shared" ca="1" si="72"/>
        <v>1309.5</v>
      </c>
      <c r="K78" s="652">
        <f t="shared" ca="1" si="72"/>
        <v>1309.5</v>
      </c>
      <c r="L78" s="652">
        <f t="shared" ca="1" si="72"/>
        <v>1309.5</v>
      </c>
      <c r="M78" s="652">
        <f t="shared" ca="1" si="72"/>
        <v>1309.5</v>
      </c>
      <c r="N78" s="652">
        <f t="shared" ca="1" si="72"/>
        <v>1309.5</v>
      </c>
      <c r="O78" s="652">
        <f t="shared" ca="1" si="72"/>
        <v>0</v>
      </c>
      <c r="P78" s="652">
        <f t="shared" ca="1" si="72"/>
        <v>0</v>
      </c>
      <c r="Q78" s="652">
        <f t="shared" ca="1" si="72"/>
        <v>0</v>
      </c>
      <c r="R78" s="652">
        <f t="shared" ca="1" si="72"/>
        <v>0</v>
      </c>
      <c r="S78" s="652">
        <f t="shared" ca="1" si="72"/>
        <v>0</v>
      </c>
      <c r="T78" s="652">
        <f t="shared" ca="1" si="72"/>
        <v>0</v>
      </c>
      <c r="U78" s="652">
        <f t="shared" ca="1" si="72"/>
        <v>0</v>
      </c>
      <c r="V78" s="652">
        <f t="shared" ca="1" si="22"/>
        <v>0</v>
      </c>
      <c r="W78" s="652">
        <f t="shared" ca="1" si="22"/>
        <v>0</v>
      </c>
      <c r="X78" s="652">
        <f t="shared" ca="1" si="22"/>
        <v>0</v>
      </c>
      <c r="Y78" s="652">
        <f t="shared" ca="1" si="70"/>
        <v>0</v>
      </c>
      <c r="Z78" s="652">
        <f t="shared" ca="1" si="70"/>
        <v>0</v>
      </c>
      <c r="AA78" s="652">
        <f t="shared" ca="1" si="70"/>
        <v>0</v>
      </c>
      <c r="AB78" s="652">
        <f t="shared" ca="1" si="70"/>
        <v>0</v>
      </c>
      <c r="AC78" s="652">
        <f t="shared" ca="1" si="70"/>
        <v>110970</v>
      </c>
      <c r="AD78" s="652">
        <f t="shared" ca="1" si="70"/>
        <v>115065</v>
      </c>
      <c r="AE78" s="652">
        <f t="shared" ca="1" si="70"/>
        <v>195185</v>
      </c>
      <c r="AF78" s="652">
        <f t="shared" ca="1" si="70"/>
        <v>170235</v>
      </c>
      <c r="AG78" s="652">
        <f t="shared" ca="1" si="70"/>
        <v>170235</v>
      </c>
      <c r="AH78" s="652">
        <f t="shared" ca="1" si="70"/>
        <v>170235</v>
      </c>
      <c r="AI78" s="652">
        <f t="shared" ca="1" si="70"/>
        <v>170235</v>
      </c>
      <c r="AJ78" s="652">
        <f t="shared" ca="1" si="70"/>
        <v>0</v>
      </c>
      <c r="AK78" s="652">
        <f t="shared" ca="1" si="70"/>
        <v>0</v>
      </c>
      <c r="AL78" s="652">
        <f t="shared" ca="1" si="70"/>
        <v>0</v>
      </c>
      <c r="AM78" s="652">
        <f t="shared" ca="1" si="71"/>
        <v>0</v>
      </c>
      <c r="AN78" s="652">
        <f t="shared" ca="1" si="71"/>
        <v>0</v>
      </c>
      <c r="AO78" s="652">
        <f t="shared" ca="1" si="71"/>
        <v>0</v>
      </c>
      <c r="AP78" s="652">
        <f t="shared" ca="1" si="71"/>
        <v>0</v>
      </c>
      <c r="AQ78" s="652">
        <f t="shared" ca="1" si="71"/>
        <v>295.76226012793182</v>
      </c>
      <c r="AR78" s="652">
        <f t="shared" ca="1" si="71"/>
        <v>388.83262260127935</v>
      </c>
      <c r="AS78" s="652">
        <f t="shared" ca="1" si="71"/>
        <v>628.22494669509604</v>
      </c>
      <c r="AT78" s="652">
        <f t="shared" ca="1" si="71"/>
        <v>628.22494669509604</v>
      </c>
      <c r="AU78" s="652">
        <f t="shared" ca="1" si="71"/>
        <v>628.22494669509604</v>
      </c>
      <c r="AV78" s="652">
        <f t="shared" ca="1" si="71"/>
        <v>628.22494669509604</v>
      </c>
      <c r="AW78" s="652">
        <f t="shared" ca="1" si="71"/>
        <v>628.22494669509604</v>
      </c>
      <c r="AX78" s="652">
        <f t="shared" ca="1" si="71"/>
        <v>0</v>
      </c>
      <c r="AY78" s="652">
        <f t="shared" ca="1" si="71"/>
        <v>0</v>
      </c>
      <c r="AZ78" s="652">
        <f t="shared" ca="1" si="71"/>
        <v>0</v>
      </c>
      <c r="BA78" s="652">
        <f t="shared" ca="1" si="74"/>
        <v>0</v>
      </c>
      <c r="BB78" s="652">
        <f t="shared" ca="1" si="74"/>
        <v>0</v>
      </c>
      <c r="BC78" s="652">
        <f t="shared" ca="1" si="74"/>
        <v>0</v>
      </c>
      <c r="BD78" s="652">
        <f t="shared" ca="1" si="74"/>
        <v>0</v>
      </c>
      <c r="BE78" s="652" t="str">
        <f t="shared" ca="1" si="74"/>
        <v>Residential</v>
      </c>
      <c r="BF78" s="652" t="str">
        <f t="shared" ca="1" si="74"/>
        <v>ResCooling - SF Wtd</v>
      </c>
      <c r="BG78" s="652" t="str">
        <f t="shared" ca="1" si="74"/>
        <v>ResSFGasTotal</v>
      </c>
      <c r="BH78" s="652" t="str">
        <f t="shared" ca="1" si="74"/>
        <v>LGE Res</v>
      </c>
      <c r="BI78" s="652" t="str">
        <f t="shared" ca="1" si="74"/>
        <v>LGE Res</v>
      </c>
      <c r="BJ78" s="652">
        <f t="shared" ca="1" si="67"/>
        <v>1</v>
      </c>
      <c r="BK78" s="652">
        <f t="shared" ca="1" si="67"/>
        <v>22194</v>
      </c>
      <c r="BL78" s="652">
        <f t="shared" ca="1" si="65"/>
        <v>29178</v>
      </c>
      <c r="BM78" s="652">
        <f t="shared" ca="1" si="65"/>
        <v>47142</v>
      </c>
      <c r="BN78" s="652">
        <f t="shared" ca="1" si="65"/>
        <v>47142</v>
      </c>
      <c r="BO78" s="652">
        <f t="shared" ca="1" si="65"/>
        <v>47142</v>
      </c>
      <c r="BP78" s="652">
        <f t="shared" ca="1" si="65"/>
        <v>47142</v>
      </c>
      <c r="BQ78" s="652">
        <f t="shared" ca="1" si="65"/>
        <v>47142</v>
      </c>
      <c r="BR78" s="652">
        <f t="shared" ca="1" si="75"/>
        <v>7974.5</v>
      </c>
      <c r="BS78" s="652">
        <f t="shared" ca="1" si="74"/>
        <v>0</v>
      </c>
      <c r="BT78" s="652">
        <f t="shared" ca="1" si="74"/>
        <v>0</v>
      </c>
      <c r="BU78" s="652">
        <f t="shared" ca="1" si="74"/>
        <v>1102160</v>
      </c>
      <c r="BV78" s="652">
        <f t="shared" ca="1" si="74"/>
        <v>287082</v>
      </c>
      <c r="BW78" s="652">
        <f t="shared" ca="1" si="74"/>
        <v>0</v>
      </c>
      <c r="BX78" s="652">
        <f t="shared" ca="1" si="74"/>
        <v>628.22494669509604</v>
      </c>
      <c r="BY78" s="652">
        <f t="shared" ca="1" si="74"/>
        <v>0</v>
      </c>
    </row>
    <row r="79" spans="1:77">
      <c r="A79" s="425" t="str">
        <f t="shared" ca="1" si="73"/>
        <v>BYOT &amp; BYODLG&amp;E-Residential - BYOT - Heating - Winter</v>
      </c>
      <c r="B79" s="1297" t="str">
        <f t="shared" si="68"/>
        <v>LG&amp;EBYOT &amp; BYOD</v>
      </c>
      <c r="C79" s="661" t="s">
        <v>174</v>
      </c>
      <c r="D79" s="662" t="s">
        <v>62</v>
      </c>
      <c r="E79" s="652" t="str">
        <f t="shared" ca="1" si="69"/>
        <v>LG&amp;E-Residential - BYOT - Heating - Winter</v>
      </c>
      <c r="F79" s="652" t="str">
        <f t="shared" ca="1" si="69"/>
        <v>This product targets customers with smart thermostats and pays participants an incentive to curtail load during events</v>
      </c>
      <c r="G79" s="652" t="str">
        <f t="shared" ca="1" si="69"/>
        <v>Per Customer</v>
      </c>
      <c r="H79" s="652">
        <f t="shared" ca="1" si="72"/>
        <v>193.3</v>
      </c>
      <c r="I79" s="652">
        <f t="shared" ca="1" si="72"/>
        <v>282.10000000000002</v>
      </c>
      <c r="J79" s="652">
        <f t="shared" ca="1" si="72"/>
        <v>511.90000000000009</v>
      </c>
      <c r="K79" s="652">
        <f t="shared" ca="1" si="72"/>
        <v>511.90000000000009</v>
      </c>
      <c r="L79" s="652">
        <f t="shared" ca="1" si="72"/>
        <v>511.90000000000009</v>
      </c>
      <c r="M79" s="652">
        <f t="shared" ca="1" si="72"/>
        <v>511.90000000000009</v>
      </c>
      <c r="N79" s="652">
        <f t="shared" ca="1" si="72"/>
        <v>511.90000000000009</v>
      </c>
      <c r="O79" s="652">
        <f t="shared" ca="1" si="72"/>
        <v>0</v>
      </c>
      <c r="P79" s="652">
        <f t="shared" ca="1" si="72"/>
        <v>0</v>
      </c>
      <c r="Q79" s="652">
        <f t="shared" ca="1" si="72"/>
        <v>0</v>
      </c>
      <c r="R79" s="652">
        <f t="shared" ca="1" si="72"/>
        <v>0</v>
      </c>
      <c r="S79" s="652">
        <f t="shared" ca="1" si="72"/>
        <v>0</v>
      </c>
      <c r="T79" s="652">
        <f t="shared" ca="1" si="72"/>
        <v>0</v>
      </c>
      <c r="U79" s="652">
        <f t="shared" ca="1" si="72"/>
        <v>0</v>
      </c>
      <c r="V79" s="652">
        <f t="shared" ca="1" si="22"/>
        <v>0</v>
      </c>
      <c r="W79" s="652">
        <f t="shared" ca="1" si="22"/>
        <v>0</v>
      </c>
      <c r="X79" s="652">
        <f t="shared" ca="1" si="22"/>
        <v>0</v>
      </c>
      <c r="Y79" s="652">
        <f t="shared" ca="1" si="70"/>
        <v>0</v>
      </c>
      <c r="Z79" s="652">
        <f t="shared" ca="1" si="70"/>
        <v>0</v>
      </c>
      <c r="AA79" s="652">
        <f t="shared" ca="1" si="70"/>
        <v>0</v>
      </c>
      <c r="AB79" s="652">
        <f t="shared" ca="1" si="70"/>
        <v>0</v>
      </c>
      <c r="AC79" s="652">
        <f t="shared" ca="1" si="70"/>
        <v>23196</v>
      </c>
      <c r="AD79" s="652">
        <f t="shared" ca="1" si="70"/>
        <v>33852</v>
      </c>
      <c r="AE79" s="652">
        <f t="shared" ca="1" si="70"/>
        <v>61428.000000000015</v>
      </c>
      <c r="AF79" s="652">
        <f t="shared" ca="1" si="70"/>
        <v>61428.000000000015</v>
      </c>
      <c r="AG79" s="652">
        <f t="shared" ca="1" si="70"/>
        <v>61428.000000000015</v>
      </c>
      <c r="AH79" s="652">
        <f t="shared" ca="1" si="70"/>
        <v>61428.000000000015</v>
      </c>
      <c r="AI79" s="652">
        <f t="shared" ca="1" si="70"/>
        <v>61428.000000000015</v>
      </c>
      <c r="AJ79" s="652">
        <f t="shared" ca="1" si="70"/>
        <v>0</v>
      </c>
      <c r="AK79" s="652">
        <f t="shared" ca="1" si="70"/>
        <v>0</v>
      </c>
      <c r="AL79" s="652">
        <f t="shared" ca="1" si="70"/>
        <v>0</v>
      </c>
      <c r="AM79" s="652">
        <f t="shared" ca="1" si="71"/>
        <v>0</v>
      </c>
      <c r="AN79" s="652">
        <f t="shared" ca="1" si="71"/>
        <v>0</v>
      </c>
      <c r="AO79" s="652">
        <f t="shared" ca="1" si="71"/>
        <v>0</v>
      </c>
      <c r="AP79" s="652">
        <f t="shared" ca="1" si="71"/>
        <v>0</v>
      </c>
      <c r="AQ79" s="652">
        <f t="shared" ca="1" si="71"/>
        <v>115.91817697228146</v>
      </c>
      <c r="AR79" s="652">
        <f t="shared" ca="1" si="71"/>
        <v>169.169776119403</v>
      </c>
      <c r="AS79" s="652">
        <f t="shared" ca="1" si="71"/>
        <v>306.97627931769728</v>
      </c>
      <c r="AT79" s="652">
        <f t="shared" ca="1" si="71"/>
        <v>306.97627931769728</v>
      </c>
      <c r="AU79" s="652">
        <f t="shared" ca="1" si="71"/>
        <v>306.97627931769728</v>
      </c>
      <c r="AV79" s="652">
        <f t="shared" ca="1" si="71"/>
        <v>306.97627931769728</v>
      </c>
      <c r="AW79" s="652">
        <f t="shared" ca="1" si="71"/>
        <v>306.97627931769728</v>
      </c>
      <c r="AX79" s="652">
        <f t="shared" ca="1" si="71"/>
        <v>0</v>
      </c>
      <c r="AY79" s="652">
        <f t="shared" ca="1" si="71"/>
        <v>0</v>
      </c>
      <c r="AZ79" s="652">
        <f t="shared" ca="1" si="71"/>
        <v>0</v>
      </c>
      <c r="BA79" s="652">
        <f t="shared" ca="1" si="74"/>
        <v>0</v>
      </c>
      <c r="BB79" s="652">
        <f t="shared" ca="1" si="74"/>
        <v>0</v>
      </c>
      <c r="BC79" s="652">
        <f t="shared" ca="1" si="74"/>
        <v>0</v>
      </c>
      <c r="BD79" s="652">
        <f t="shared" ca="1" si="74"/>
        <v>0</v>
      </c>
      <c r="BE79" s="652" t="str">
        <f t="shared" ca="1" si="74"/>
        <v>Residential</v>
      </c>
      <c r="BF79" s="652" t="str">
        <f t="shared" ca="1" si="74"/>
        <v>ResHotWater - SF Wtd</v>
      </c>
      <c r="BG79" s="652" t="str">
        <f t="shared" ca="1" si="74"/>
        <v>ResSFGasTotal</v>
      </c>
      <c r="BH79" s="652" t="str">
        <f t="shared" ca="1" si="74"/>
        <v>LGE Res</v>
      </c>
      <c r="BI79" s="652" t="str">
        <f t="shared" ca="1" si="74"/>
        <v>LGE Res</v>
      </c>
      <c r="BJ79" s="652">
        <f t="shared" ca="1" si="67"/>
        <v>1</v>
      </c>
      <c r="BK79" s="652">
        <f t="shared" ca="1" si="67"/>
        <v>0</v>
      </c>
      <c r="BL79" s="652">
        <f t="shared" ca="1" si="65"/>
        <v>0</v>
      </c>
      <c r="BM79" s="652">
        <f t="shared" ca="1" si="65"/>
        <v>0</v>
      </c>
      <c r="BN79" s="652">
        <f t="shared" ca="1" si="65"/>
        <v>0</v>
      </c>
      <c r="BO79" s="652">
        <f t="shared" ca="1" si="65"/>
        <v>0</v>
      </c>
      <c r="BP79" s="652">
        <f t="shared" ca="1" si="65"/>
        <v>0</v>
      </c>
      <c r="BQ79" s="652">
        <f t="shared" ca="1" si="65"/>
        <v>0</v>
      </c>
      <c r="BR79" s="652">
        <f t="shared" ca="1" si="75"/>
        <v>3034.9000000000005</v>
      </c>
      <c r="BS79" s="652">
        <f t="shared" ca="1" si="74"/>
        <v>0</v>
      </c>
      <c r="BT79" s="652">
        <f t="shared" ca="1" si="74"/>
        <v>0</v>
      </c>
      <c r="BU79" s="652">
        <f t="shared" ca="1" si="74"/>
        <v>364188.00000000006</v>
      </c>
      <c r="BV79" s="652">
        <f t="shared" ca="1" si="74"/>
        <v>0</v>
      </c>
      <c r="BW79" s="652">
        <f t="shared" ca="1" si="74"/>
        <v>0</v>
      </c>
      <c r="BX79" s="652">
        <f t="shared" ca="1" si="74"/>
        <v>306.97627931769728</v>
      </c>
      <c r="BY79" s="652">
        <f t="shared" ca="1" si="74"/>
        <v>0</v>
      </c>
    </row>
    <row r="80" spans="1:77">
      <c r="A80" s="425" t="str">
        <f t="shared" ca="1" si="73"/>
        <v>BYOT &amp; BYODLG&amp;E-LI - Cooling</v>
      </c>
      <c r="B80" s="1297" t="str">
        <f t="shared" si="68"/>
        <v>LG&amp;EBYOT &amp; BYOD</v>
      </c>
      <c r="C80" s="661" t="s">
        <v>179</v>
      </c>
      <c r="D80" s="662" t="s">
        <v>62</v>
      </c>
      <c r="E80" s="652" t="str">
        <f t="shared" ca="1" si="69"/>
        <v>LG&amp;E-LI - Cooling</v>
      </c>
      <c r="F80" s="652" t="str">
        <f t="shared" ca="1" si="69"/>
        <v>This product targets customers with smart thermostats and pays participants an incentive to curtail load during events</v>
      </c>
      <c r="G80" s="652" t="str">
        <f t="shared" ca="1" si="69"/>
        <v>Per Customer</v>
      </c>
      <c r="H80" s="652">
        <f t="shared" ca="1" si="72"/>
        <v>261</v>
      </c>
      <c r="I80" s="652">
        <f t="shared" ca="1" si="72"/>
        <v>522</v>
      </c>
      <c r="J80" s="652">
        <f t="shared" ca="1" si="72"/>
        <v>783</v>
      </c>
      <c r="K80" s="652">
        <f t="shared" ca="1" si="72"/>
        <v>1044</v>
      </c>
      <c r="L80" s="652">
        <f t="shared" ca="1" si="72"/>
        <v>1305</v>
      </c>
      <c r="M80" s="652">
        <f t="shared" ca="1" si="72"/>
        <v>1566</v>
      </c>
      <c r="N80" s="652">
        <f t="shared" ca="1" si="72"/>
        <v>1827</v>
      </c>
      <c r="O80" s="652">
        <f t="shared" ca="1" si="72"/>
        <v>0</v>
      </c>
      <c r="P80" s="652">
        <f t="shared" ca="1" si="72"/>
        <v>0</v>
      </c>
      <c r="Q80" s="652">
        <f t="shared" ca="1" si="72"/>
        <v>0</v>
      </c>
      <c r="R80" s="652">
        <f t="shared" ca="1" si="72"/>
        <v>0</v>
      </c>
      <c r="S80" s="652">
        <f t="shared" ca="1" si="72"/>
        <v>0</v>
      </c>
      <c r="T80" s="652">
        <f t="shared" ca="1" si="72"/>
        <v>0</v>
      </c>
      <c r="U80" s="652">
        <f t="shared" ca="1" si="72"/>
        <v>0</v>
      </c>
      <c r="V80" s="652">
        <f t="shared" ca="1" si="22"/>
        <v>0</v>
      </c>
      <c r="W80" s="652">
        <f t="shared" ca="1" si="22"/>
        <v>0</v>
      </c>
      <c r="X80" s="652">
        <f t="shared" ca="1" si="22"/>
        <v>0</v>
      </c>
      <c r="Y80" s="652">
        <f t="shared" ca="1" si="70"/>
        <v>0</v>
      </c>
      <c r="Z80" s="652">
        <f t="shared" ca="1" si="70"/>
        <v>0</v>
      </c>
      <c r="AA80" s="652">
        <f t="shared" ca="1" si="70"/>
        <v>0</v>
      </c>
      <c r="AB80" s="652">
        <f t="shared" ca="1" si="70"/>
        <v>0</v>
      </c>
      <c r="AC80" s="652">
        <f t="shared" ca="1" si="70"/>
        <v>46980</v>
      </c>
      <c r="AD80" s="652">
        <f t="shared" ca="1" si="70"/>
        <v>80910</v>
      </c>
      <c r="AE80" s="652">
        <f t="shared" ca="1" si="70"/>
        <v>114839.99999999999</v>
      </c>
      <c r="AF80" s="652">
        <f t="shared" ca="1" si="70"/>
        <v>148770</v>
      </c>
      <c r="AG80" s="652">
        <f t="shared" ca="1" si="70"/>
        <v>182700</v>
      </c>
      <c r="AH80" s="652">
        <f t="shared" ca="1" si="70"/>
        <v>216630.00000000003</v>
      </c>
      <c r="AI80" s="652">
        <f t="shared" ca="1" si="70"/>
        <v>250560</v>
      </c>
      <c r="AJ80" s="652">
        <f t="shared" ca="1" si="70"/>
        <v>0</v>
      </c>
      <c r="AK80" s="652">
        <f t="shared" ca="1" si="70"/>
        <v>0</v>
      </c>
      <c r="AL80" s="652">
        <f t="shared" ca="1" si="70"/>
        <v>0</v>
      </c>
      <c r="AM80" s="652">
        <f t="shared" ca="1" si="71"/>
        <v>0</v>
      </c>
      <c r="AN80" s="652">
        <f t="shared" ca="1" si="71"/>
        <v>0</v>
      </c>
      <c r="AO80" s="652">
        <f t="shared" ca="1" si="71"/>
        <v>0</v>
      </c>
      <c r="AP80" s="652">
        <f t="shared" ca="1" si="71"/>
        <v>0</v>
      </c>
      <c r="AQ80" s="652">
        <f t="shared" ca="1" si="71"/>
        <v>125.2132196162047</v>
      </c>
      <c r="AR80" s="652">
        <f t="shared" ca="1" si="71"/>
        <v>250.42643923240939</v>
      </c>
      <c r="AS80" s="652">
        <f t="shared" ca="1" si="71"/>
        <v>375.63965884861409</v>
      </c>
      <c r="AT80" s="652">
        <f t="shared" ca="1" si="71"/>
        <v>500.85287846481879</v>
      </c>
      <c r="AU80" s="652">
        <f t="shared" ca="1" si="71"/>
        <v>626.06609808102348</v>
      </c>
      <c r="AV80" s="652">
        <f t="shared" ca="1" si="71"/>
        <v>751.27931769722818</v>
      </c>
      <c r="AW80" s="652">
        <f t="shared" ca="1" si="71"/>
        <v>876.49253731343288</v>
      </c>
      <c r="AX80" s="652">
        <f t="shared" ca="1" si="71"/>
        <v>0</v>
      </c>
      <c r="AY80" s="652">
        <f t="shared" ca="1" si="71"/>
        <v>0</v>
      </c>
      <c r="AZ80" s="652">
        <f t="shared" ca="1" si="71"/>
        <v>0</v>
      </c>
      <c r="BA80" s="652">
        <f t="shared" ca="1" si="74"/>
        <v>0</v>
      </c>
      <c r="BB80" s="652">
        <f t="shared" ca="1" si="74"/>
        <v>0</v>
      </c>
      <c r="BC80" s="652">
        <f t="shared" ca="1" si="74"/>
        <v>0</v>
      </c>
      <c r="BD80" s="652">
        <f t="shared" ca="1" si="74"/>
        <v>0</v>
      </c>
      <c r="BE80" s="652" t="str">
        <f t="shared" ca="1" si="74"/>
        <v>Residential</v>
      </c>
      <c r="BF80" s="652" t="str">
        <f t="shared" ca="1" si="74"/>
        <v>ResCooling - SF Wtd</v>
      </c>
      <c r="BG80" s="652" t="str">
        <f t="shared" ca="1" si="74"/>
        <v>ResSFGasTotal</v>
      </c>
      <c r="BH80" s="652" t="str">
        <f t="shared" ca="1" si="74"/>
        <v>LGE Res</v>
      </c>
      <c r="BI80" s="652" t="str">
        <f t="shared" ca="1" si="74"/>
        <v>LGE Res</v>
      </c>
      <c r="BJ80" s="652">
        <f t="shared" ca="1" si="67"/>
        <v>1</v>
      </c>
      <c r="BK80" s="652">
        <f t="shared" ca="1" si="67"/>
        <v>9396</v>
      </c>
      <c r="BL80" s="652">
        <f t="shared" ca="1" si="65"/>
        <v>18792</v>
      </c>
      <c r="BM80" s="652">
        <f t="shared" ca="1" si="65"/>
        <v>28188</v>
      </c>
      <c r="BN80" s="652">
        <f t="shared" ca="1" si="65"/>
        <v>37584</v>
      </c>
      <c r="BO80" s="652">
        <f t="shared" ca="1" si="65"/>
        <v>46980</v>
      </c>
      <c r="BP80" s="652">
        <f t="shared" ca="1" si="65"/>
        <v>56376</v>
      </c>
      <c r="BQ80" s="652">
        <f t="shared" ca="1" si="65"/>
        <v>65772</v>
      </c>
      <c r="BR80" s="652">
        <f t="shared" ca="1" si="75"/>
        <v>7308</v>
      </c>
      <c r="BS80" s="652">
        <f t="shared" ca="1" si="74"/>
        <v>0</v>
      </c>
      <c r="BT80" s="652">
        <f t="shared" ca="1" si="74"/>
        <v>0</v>
      </c>
      <c r="BU80" s="652">
        <f t="shared" ca="1" si="74"/>
        <v>1041390</v>
      </c>
      <c r="BV80" s="652">
        <f t="shared" ca="1" si="74"/>
        <v>263088</v>
      </c>
      <c r="BW80" s="652">
        <f t="shared" ca="1" si="74"/>
        <v>0</v>
      </c>
      <c r="BX80" s="652">
        <f t="shared" ca="1" si="74"/>
        <v>876.49253731343288</v>
      </c>
      <c r="BY80" s="652">
        <f t="shared" ca="1" si="74"/>
        <v>0</v>
      </c>
    </row>
    <row r="81" spans="1:77">
      <c r="A81" s="425" t="str">
        <f t="shared" ca="1" si="73"/>
        <v>BYOT &amp; BYODLG&amp;E-LI - Heating</v>
      </c>
      <c r="B81" s="1297" t="str">
        <f t="shared" si="68"/>
        <v>LG&amp;EBYOT &amp; BYOD</v>
      </c>
      <c r="C81" s="661" t="s">
        <v>180</v>
      </c>
      <c r="D81" s="662" t="s">
        <v>62</v>
      </c>
      <c r="E81" s="652" t="str">
        <f t="shared" ca="1" si="69"/>
        <v>LG&amp;E-LI - Heating</v>
      </c>
      <c r="F81" s="652" t="str">
        <f t="shared" ca="1" si="69"/>
        <v>This product targets customers with smart thermostats and pays participants an incentive to curtail load during events</v>
      </c>
      <c r="G81" s="652" t="str">
        <f t="shared" ca="1" si="69"/>
        <v>Per Customer</v>
      </c>
      <c r="H81" s="652">
        <f t="shared" ca="1" si="72"/>
        <v>52.2</v>
      </c>
      <c r="I81" s="652">
        <f t="shared" ca="1" si="72"/>
        <v>104.4</v>
      </c>
      <c r="J81" s="652">
        <f t="shared" ca="1" si="72"/>
        <v>156.60000000000002</v>
      </c>
      <c r="K81" s="652">
        <f t="shared" ca="1" si="72"/>
        <v>208.8</v>
      </c>
      <c r="L81" s="652">
        <f t="shared" ca="1" si="72"/>
        <v>261</v>
      </c>
      <c r="M81" s="652">
        <f t="shared" ca="1" si="72"/>
        <v>313.2</v>
      </c>
      <c r="N81" s="652">
        <f t="shared" ca="1" si="72"/>
        <v>365.4</v>
      </c>
      <c r="O81" s="652">
        <f t="shared" ca="1" si="72"/>
        <v>0</v>
      </c>
      <c r="P81" s="652">
        <f t="shared" ca="1" si="72"/>
        <v>0</v>
      </c>
      <c r="Q81" s="652">
        <f t="shared" ca="1" si="72"/>
        <v>0</v>
      </c>
      <c r="R81" s="652">
        <f t="shared" ca="1" si="72"/>
        <v>0</v>
      </c>
      <c r="S81" s="652">
        <f t="shared" ca="1" si="72"/>
        <v>0</v>
      </c>
      <c r="T81" s="652">
        <f t="shared" ca="1" si="72"/>
        <v>0</v>
      </c>
      <c r="U81" s="652">
        <f t="shared" ca="1" si="72"/>
        <v>0</v>
      </c>
      <c r="V81" s="652">
        <f t="shared" ca="1" si="22"/>
        <v>0</v>
      </c>
      <c r="W81" s="652">
        <f t="shared" ca="1" si="22"/>
        <v>0</v>
      </c>
      <c r="X81" s="652">
        <f t="shared" ca="1" si="22"/>
        <v>0</v>
      </c>
      <c r="Y81" s="652">
        <f t="shared" ca="1" si="70"/>
        <v>0</v>
      </c>
      <c r="Z81" s="652">
        <f t="shared" ca="1" si="70"/>
        <v>0</v>
      </c>
      <c r="AA81" s="652">
        <f t="shared" ca="1" si="70"/>
        <v>0</v>
      </c>
      <c r="AB81" s="652">
        <f t="shared" ca="1" si="70"/>
        <v>0</v>
      </c>
      <c r="AC81" s="652">
        <f t="shared" ca="1" si="70"/>
        <v>6264</v>
      </c>
      <c r="AD81" s="652">
        <f t="shared" ca="1" si="70"/>
        <v>12528</v>
      </c>
      <c r="AE81" s="652">
        <f t="shared" ca="1" si="70"/>
        <v>18792.000000000004</v>
      </c>
      <c r="AF81" s="652">
        <f t="shared" ca="1" si="70"/>
        <v>25056</v>
      </c>
      <c r="AG81" s="652">
        <f t="shared" ca="1" si="70"/>
        <v>31320</v>
      </c>
      <c r="AH81" s="652">
        <f t="shared" ca="1" si="70"/>
        <v>37584</v>
      </c>
      <c r="AI81" s="652">
        <f t="shared" ca="1" si="70"/>
        <v>43848</v>
      </c>
      <c r="AJ81" s="652">
        <f t="shared" ca="1" si="70"/>
        <v>0</v>
      </c>
      <c r="AK81" s="652">
        <f t="shared" ca="1" si="70"/>
        <v>0</v>
      </c>
      <c r="AL81" s="652">
        <f t="shared" ca="1" si="70"/>
        <v>0</v>
      </c>
      <c r="AM81" s="652">
        <f t="shared" ca="1" si="71"/>
        <v>0</v>
      </c>
      <c r="AN81" s="652">
        <f t="shared" ca="1" si="71"/>
        <v>0</v>
      </c>
      <c r="AO81" s="652">
        <f t="shared" ca="1" si="71"/>
        <v>0</v>
      </c>
      <c r="AP81" s="652">
        <f t="shared" ca="1" si="71"/>
        <v>0</v>
      </c>
      <c r="AQ81" s="652">
        <f t="shared" ca="1" si="71"/>
        <v>31.303304904051178</v>
      </c>
      <c r="AR81" s="652">
        <f t="shared" ca="1" si="71"/>
        <v>62.606609808102355</v>
      </c>
      <c r="AS81" s="652">
        <f t="shared" ca="1" si="71"/>
        <v>93.909914712153537</v>
      </c>
      <c r="AT81" s="652">
        <f t="shared" ca="1" si="71"/>
        <v>125.21321961620471</v>
      </c>
      <c r="AU81" s="652">
        <f t="shared" ca="1" si="71"/>
        <v>156.51652452025587</v>
      </c>
      <c r="AV81" s="652">
        <f t="shared" ca="1" si="71"/>
        <v>187.81982942430704</v>
      </c>
      <c r="AW81" s="652">
        <f t="shared" ca="1" si="71"/>
        <v>219.12313432835822</v>
      </c>
      <c r="AX81" s="652">
        <f t="shared" ca="1" si="71"/>
        <v>0</v>
      </c>
      <c r="AY81" s="652">
        <f t="shared" ca="1" si="71"/>
        <v>0</v>
      </c>
      <c r="AZ81" s="652">
        <f t="shared" ca="1" si="71"/>
        <v>0</v>
      </c>
      <c r="BA81" s="652">
        <f t="shared" ca="1" si="74"/>
        <v>0</v>
      </c>
      <c r="BB81" s="652">
        <f t="shared" ca="1" si="74"/>
        <v>0</v>
      </c>
      <c r="BC81" s="652">
        <f t="shared" ca="1" si="74"/>
        <v>0</v>
      </c>
      <c r="BD81" s="652">
        <f t="shared" ca="1" si="74"/>
        <v>0</v>
      </c>
      <c r="BE81" s="652" t="str">
        <f t="shared" ca="1" si="74"/>
        <v>Residential</v>
      </c>
      <c r="BF81" s="652" t="str">
        <f t="shared" ca="1" si="74"/>
        <v>ResHotWater - SF Wtd</v>
      </c>
      <c r="BG81" s="652" t="str">
        <f t="shared" ca="1" si="74"/>
        <v>ResSFGasTotal</v>
      </c>
      <c r="BH81" s="652" t="str">
        <f t="shared" ca="1" si="74"/>
        <v>LGE Res</v>
      </c>
      <c r="BI81" s="652" t="str">
        <f t="shared" ca="1" si="74"/>
        <v>LGE Res</v>
      </c>
      <c r="BJ81" s="652">
        <f t="shared" ca="1" si="67"/>
        <v>1</v>
      </c>
      <c r="BK81" s="652">
        <f t="shared" ca="1" si="67"/>
        <v>0</v>
      </c>
      <c r="BL81" s="652">
        <f t="shared" ca="1" si="65"/>
        <v>0</v>
      </c>
      <c r="BM81" s="652">
        <f t="shared" ca="1" si="65"/>
        <v>0</v>
      </c>
      <c r="BN81" s="652">
        <f t="shared" ca="1" si="65"/>
        <v>0</v>
      </c>
      <c r="BO81" s="652">
        <f t="shared" ca="1" si="65"/>
        <v>0</v>
      </c>
      <c r="BP81" s="652">
        <f t="shared" ca="1" si="65"/>
        <v>0</v>
      </c>
      <c r="BQ81" s="652">
        <f t="shared" ca="1" si="65"/>
        <v>0</v>
      </c>
      <c r="BR81" s="652">
        <f t="shared" ca="1" si="75"/>
        <v>1461.6</v>
      </c>
      <c r="BS81" s="652">
        <f t="shared" ca="1" si="74"/>
        <v>0</v>
      </c>
      <c r="BT81" s="652">
        <f t="shared" ca="1" si="74"/>
        <v>0</v>
      </c>
      <c r="BU81" s="652">
        <f t="shared" ca="1" si="74"/>
        <v>175392</v>
      </c>
      <c r="BV81" s="652">
        <f t="shared" ca="1" si="74"/>
        <v>0</v>
      </c>
      <c r="BW81" s="652">
        <f t="shared" ca="1" si="74"/>
        <v>0</v>
      </c>
      <c r="BX81" s="652">
        <f t="shared" ca="1" si="74"/>
        <v>219.12313432835822</v>
      </c>
      <c r="BY81" s="652">
        <f t="shared" ca="1" si="74"/>
        <v>0</v>
      </c>
    </row>
    <row r="82" spans="1:77">
      <c r="A82" s="425" t="str">
        <f t="shared" ca="1" si="73"/>
        <v>BYOT &amp; BYODLG&amp;E-Marketplace - Cooling</v>
      </c>
      <c r="B82" s="1297" t="str">
        <f t="shared" si="68"/>
        <v>LG&amp;EBYOT &amp; BYOD</v>
      </c>
      <c r="C82" s="661" t="s">
        <v>181</v>
      </c>
      <c r="D82" s="662" t="s">
        <v>62</v>
      </c>
      <c r="E82" s="652" t="str">
        <f t="shared" ref="E82:G86" ca="1" si="79">VLOOKUP($C82,INDIRECT("'"&amp;$D82&amp;"'!A6:FC1000"),IF(E$6="Participation 2023",MATCH("__Participation 2023",INDIRECT("'"&amp;$D82&amp;"'!1:1"),0),IF(E$6="Participation",MATCH("_Total Plan Summary _Participation",INDIRECT("'"&amp;$D82&amp;"'!1:1"),0),MATCH(E$4&amp;"_"&amp;E$5&amp;"_"&amp;E$6,INDIRECT("'"&amp;$D82&amp;"'!1:1"),0))),0)</f>
        <v>LG&amp;E-Marketplace - Cooling</v>
      </c>
      <c r="F82" s="652" t="str">
        <f t="shared" ca="1" si="79"/>
        <v>This product targets customers with smart thermostats and pays participants an incentive to curtail load during events</v>
      </c>
      <c r="G82" s="652" t="str">
        <f t="shared" ca="1" si="79"/>
        <v>Per Customer</v>
      </c>
      <c r="H82" s="652">
        <f t="shared" ca="1" si="72"/>
        <v>522.5</v>
      </c>
      <c r="I82" s="652">
        <f t="shared" ca="1" si="72"/>
        <v>1567.5</v>
      </c>
      <c r="J82" s="652">
        <f t="shared" ca="1" si="72"/>
        <v>3507.5</v>
      </c>
      <c r="K82" s="652">
        <f t="shared" ca="1" si="72"/>
        <v>7537.5</v>
      </c>
      <c r="L82" s="652">
        <f t="shared" ca="1" si="72"/>
        <v>13437.5</v>
      </c>
      <c r="M82" s="652">
        <f t="shared" ca="1" si="72"/>
        <v>19337.5</v>
      </c>
      <c r="N82" s="652">
        <f t="shared" ca="1" si="72"/>
        <v>25237.5</v>
      </c>
      <c r="O82" s="652">
        <f t="shared" ca="1" si="72"/>
        <v>0</v>
      </c>
      <c r="P82" s="652">
        <f t="shared" ca="1" si="72"/>
        <v>0</v>
      </c>
      <c r="Q82" s="652">
        <f t="shared" ca="1" si="72"/>
        <v>0</v>
      </c>
      <c r="R82" s="652">
        <f t="shared" ca="1" si="72"/>
        <v>0</v>
      </c>
      <c r="S82" s="652">
        <f t="shared" ca="1" si="72"/>
        <v>0</v>
      </c>
      <c r="T82" s="652">
        <f t="shared" ca="1" si="72"/>
        <v>0</v>
      </c>
      <c r="U82" s="652">
        <f t="shared" ca="1" si="72"/>
        <v>0</v>
      </c>
      <c r="V82" s="652">
        <f t="shared" ca="1" si="22"/>
        <v>0</v>
      </c>
      <c r="W82" s="652">
        <f t="shared" ca="1" si="22"/>
        <v>0</v>
      </c>
      <c r="X82" s="652">
        <f t="shared" ca="1" si="22"/>
        <v>0</v>
      </c>
      <c r="Y82" s="652">
        <f t="shared" ca="1" si="70"/>
        <v>0</v>
      </c>
      <c r="Z82" s="652">
        <f t="shared" ca="1" si="70"/>
        <v>0</v>
      </c>
      <c r="AA82" s="652">
        <f t="shared" ca="1" si="70"/>
        <v>0</v>
      </c>
      <c r="AB82" s="652">
        <f t="shared" ca="1" si="70"/>
        <v>0</v>
      </c>
      <c r="AC82" s="652">
        <f t="shared" ca="1" si="70"/>
        <v>94050</v>
      </c>
      <c r="AD82" s="652">
        <f t="shared" ca="1" si="70"/>
        <v>256025.00000000003</v>
      </c>
      <c r="AE82" s="652">
        <f t="shared" ca="1" si="70"/>
        <v>552975</v>
      </c>
      <c r="AF82" s="652">
        <f t="shared" ca="1" si="70"/>
        <v>1181375</v>
      </c>
      <c r="AG82" s="652">
        <f t="shared" ca="1" si="70"/>
        <v>2041875.0000000002</v>
      </c>
      <c r="AH82" s="652">
        <f t="shared" ca="1" si="70"/>
        <v>2808875</v>
      </c>
      <c r="AI82" s="652">
        <f t="shared" ca="1" si="70"/>
        <v>3575874.9999999995</v>
      </c>
      <c r="AJ82" s="652">
        <f t="shared" ca="1" si="70"/>
        <v>0</v>
      </c>
      <c r="AK82" s="652">
        <f t="shared" ca="1" si="70"/>
        <v>0</v>
      </c>
      <c r="AL82" s="652">
        <f t="shared" ca="1" si="70"/>
        <v>0</v>
      </c>
      <c r="AM82" s="652">
        <f t="shared" ca="1" si="70"/>
        <v>0</v>
      </c>
      <c r="AN82" s="652">
        <f t="shared" ca="1" si="70"/>
        <v>0</v>
      </c>
      <c r="AO82" s="652">
        <f t="shared" ca="1" si="71"/>
        <v>0</v>
      </c>
      <c r="AP82" s="652">
        <f t="shared" ca="1" si="71"/>
        <v>0</v>
      </c>
      <c r="AQ82" s="652">
        <f t="shared" ca="1" si="71"/>
        <v>250.66631130063968</v>
      </c>
      <c r="AR82" s="652">
        <f t="shared" ca="1" si="71"/>
        <v>751.99893390191903</v>
      </c>
      <c r="AS82" s="652">
        <f t="shared" ca="1" si="71"/>
        <v>1682.7025586353946</v>
      </c>
      <c r="AT82" s="652">
        <f t="shared" ca="1" si="71"/>
        <v>3616.0714285714289</v>
      </c>
      <c r="AU82" s="652">
        <f t="shared" ca="1" si="71"/>
        <v>6446.5618336887001</v>
      </c>
      <c r="AV82" s="652">
        <f t="shared" ca="1" si="71"/>
        <v>9277.0522388059708</v>
      </c>
      <c r="AW82" s="652">
        <f t="shared" ca="1" si="71"/>
        <v>12107.542643923241</v>
      </c>
      <c r="AX82" s="652">
        <f t="shared" ca="1" si="71"/>
        <v>0</v>
      </c>
      <c r="AY82" s="652">
        <f t="shared" ca="1" si="71"/>
        <v>0</v>
      </c>
      <c r="AZ82" s="652">
        <f t="shared" ca="1" si="71"/>
        <v>0</v>
      </c>
      <c r="BA82" s="652">
        <f t="shared" ca="1" si="74"/>
        <v>0</v>
      </c>
      <c r="BB82" s="652">
        <f t="shared" ca="1" si="74"/>
        <v>0</v>
      </c>
      <c r="BC82" s="652">
        <f t="shared" ca="1" si="74"/>
        <v>0</v>
      </c>
      <c r="BD82" s="652">
        <f t="shared" ca="1" si="74"/>
        <v>0</v>
      </c>
      <c r="BE82" s="652" t="str">
        <f t="shared" ca="1" si="74"/>
        <v>Residential</v>
      </c>
      <c r="BF82" s="652" t="str">
        <f t="shared" ca="1" si="74"/>
        <v>ResCooling - SF Wtd</v>
      </c>
      <c r="BG82" s="652" t="str">
        <f t="shared" ca="1" si="74"/>
        <v>ResSFGasTotal</v>
      </c>
      <c r="BH82" s="652" t="str">
        <f t="shared" ca="1" si="74"/>
        <v>LGE Res</v>
      </c>
      <c r="BI82" s="652" t="str">
        <f t="shared" ca="1" si="74"/>
        <v>LGE Res</v>
      </c>
      <c r="BJ82" s="652">
        <f t="shared" ca="1" si="67"/>
        <v>1</v>
      </c>
      <c r="BK82" s="652">
        <f t="shared" ca="1" si="67"/>
        <v>18810</v>
      </c>
      <c r="BL82" s="652">
        <f t="shared" ca="1" si="65"/>
        <v>56430</v>
      </c>
      <c r="BM82" s="652">
        <f t="shared" ca="1" si="65"/>
        <v>126270</v>
      </c>
      <c r="BN82" s="652">
        <f t="shared" ca="1" si="65"/>
        <v>271350</v>
      </c>
      <c r="BO82" s="652">
        <f t="shared" ca="1" si="65"/>
        <v>483750</v>
      </c>
      <c r="BP82" s="652">
        <f t="shared" ca="1" si="65"/>
        <v>696150</v>
      </c>
      <c r="BQ82" s="652">
        <f t="shared" ca="1" si="65"/>
        <v>908550</v>
      </c>
      <c r="BR82" s="652">
        <f t="shared" ca="1" si="75"/>
        <v>71147.5</v>
      </c>
      <c r="BS82" s="652">
        <f t="shared" ca="1" si="74"/>
        <v>0</v>
      </c>
      <c r="BT82" s="652">
        <f t="shared" ca="1" si="74"/>
        <v>0</v>
      </c>
      <c r="BU82" s="652">
        <f t="shared" ca="1" si="74"/>
        <v>10511050</v>
      </c>
      <c r="BV82" s="652">
        <f t="shared" ca="1" si="74"/>
        <v>2561310</v>
      </c>
      <c r="BW82" s="652">
        <f t="shared" ca="1" si="74"/>
        <v>0</v>
      </c>
      <c r="BX82" s="652">
        <f t="shared" ca="1" si="74"/>
        <v>12107.542643923241</v>
      </c>
      <c r="BY82" s="652">
        <f t="shared" ca="1" si="74"/>
        <v>0</v>
      </c>
    </row>
    <row r="83" spans="1:77">
      <c r="A83" s="425" t="str">
        <f t="shared" ca="1" si="73"/>
        <v>BYOT &amp; BYODLG&amp;E-Marketplace - Heating</v>
      </c>
      <c r="B83" s="1297" t="str">
        <f t="shared" si="68"/>
        <v>LG&amp;EBYOT &amp; BYOD</v>
      </c>
      <c r="C83" s="661" t="s">
        <v>182</v>
      </c>
      <c r="D83" s="662" t="s">
        <v>62</v>
      </c>
      <c r="E83" s="652" t="str">
        <f t="shared" ca="1" si="79"/>
        <v>LG&amp;E-Marketplace - Heating</v>
      </c>
      <c r="F83" s="652" t="str">
        <f t="shared" ca="1" si="79"/>
        <v>This product targets customers with smart thermostats and pays participants an incentive to curtail load during events</v>
      </c>
      <c r="G83" s="652" t="str">
        <f t="shared" ca="1" si="79"/>
        <v>Per Customer</v>
      </c>
      <c r="H83" s="652">
        <f t="shared" ca="1" si="72"/>
        <v>104.5</v>
      </c>
      <c r="I83" s="652">
        <f t="shared" ca="1" si="72"/>
        <v>313.5</v>
      </c>
      <c r="J83" s="652">
        <f t="shared" ca="1" si="72"/>
        <v>731.5</v>
      </c>
      <c r="K83" s="652">
        <f t="shared" ca="1" si="72"/>
        <v>1567.5</v>
      </c>
      <c r="L83" s="652">
        <f t="shared" ca="1" si="72"/>
        <v>2767.5</v>
      </c>
      <c r="M83" s="652">
        <f t="shared" ca="1" si="72"/>
        <v>3967.5</v>
      </c>
      <c r="N83" s="652">
        <f t="shared" ca="1" si="72"/>
        <v>5167.5</v>
      </c>
      <c r="O83" s="652">
        <f t="shared" ca="1" si="72"/>
        <v>0</v>
      </c>
      <c r="P83" s="652">
        <f t="shared" ca="1" si="72"/>
        <v>0</v>
      </c>
      <c r="Q83" s="652">
        <f t="shared" ca="1" si="72"/>
        <v>0</v>
      </c>
      <c r="R83" s="652">
        <f t="shared" ca="1" si="72"/>
        <v>0</v>
      </c>
      <c r="S83" s="652">
        <f t="shared" ca="1" si="72"/>
        <v>0</v>
      </c>
      <c r="T83" s="652">
        <f t="shared" ca="1" si="72"/>
        <v>0</v>
      </c>
      <c r="U83" s="652">
        <f t="shared" ca="1" si="72"/>
        <v>0</v>
      </c>
      <c r="V83" s="652">
        <f t="shared" ca="1" si="72"/>
        <v>0</v>
      </c>
      <c r="W83" s="652">
        <f t="shared" ca="1" si="72"/>
        <v>0</v>
      </c>
      <c r="X83" s="652">
        <f t="shared" ca="1" si="22"/>
        <v>0</v>
      </c>
      <c r="Y83" s="652">
        <f t="shared" ca="1" si="22"/>
        <v>0</v>
      </c>
      <c r="Z83" s="652">
        <f t="shared" ca="1" si="22"/>
        <v>0</v>
      </c>
      <c r="AA83" s="652">
        <f t="shared" ca="1" si="70"/>
        <v>0</v>
      </c>
      <c r="AB83" s="652">
        <f t="shared" ca="1" si="70"/>
        <v>0</v>
      </c>
      <c r="AC83" s="652">
        <f t="shared" ca="1" si="70"/>
        <v>12540</v>
      </c>
      <c r="AD83" s="652">
        <f t="shared" ca="1" si="70"/>
        <v>37620</v>
      </c>
      <c r="AE83" s="652">
        <f t="shared" ca="1" si="70"/>
        <v>87780</v>
      </c>
      <c r="AF83" s="652">
        <f t="shared" ca="1" si="70"/>
        <v>188100</v>
      </c>
      <c r="AG83" s="652">
        <f t="shared" ca="1" si="70"/>
        <v>332100</v>
      </c>
      <c r="AH83" s="652">
        <f t="shared" ca="1" si="70"/>
        <v>476100</v>
      </c>
      <c r="AI83" s="652">
        <f t="shared" ca="1" si="70"/>
        <v>620100</v>
      </c>
      <c r="AJ83" s="652">
        <f t="shared" ca="1" si="70"/>
        <v>0</v>
      </c>
      <c r="AK83" s="652">
        <f t="shared" ca="1" si="70"/>
        <v>0</v>
      </c>
      <c r="AL83" s="652">
        <f t="shared" ca="1" si="70"/>
        <v>0</v>
      </c>
      <c r="AM83" s="652">
        <f t="shared" ca="1" si="70"/>
        <v>0</v>
      </c>
      <c r="AN83" s="652">
        <f t="shared" ca="1" si="70"/>
        <v>0</v>
      </c>
      <c r="AO83" s="652">
        <f t="shared" ca="1" si="71"/>
        <v>0</v>
      </c>
      <c r="AP83" s="652">
        <f t="shared" ca="1" si="71"/>
        <v>0</v>
      </c>
      <c r="AQ83" s="652">
        <f t="shared" ca="1" si="71"/>
        <v>62.666577825159919</v>
      </c>
      <c r="AR83" s="652">
        <f t="shared" ca="1" si="71"/>
        <v>187.99973347547976</v>
      </c>
      <c r="AS83" s="652">
        <f t="shared" ca="1" si="71"/>
        <v>438.66604477611941</v>
      </c>
      <c r="AT83" s="652">
        <f t="shared" ca="1" si="71"/>
        <v>939.99866737739876</v>
      </c>
      <c r="AU83" s="652">
        <f t="shared" ca="1" si="71"/>
        <v>1659.6148720682304</v>
      </c>
      <c r="AV83" s="652">
        <f t="shared" ca="1" si="71"/>
        <v>2379.231076759062</v>
      </c>
      <c r="AW83" s="652">
        <f t="shared" ca="1" si="71"/>
        <v>3098.8472814498937</v>
      </c>
      <c r="AX83" s="652">
        <f t="shared" ca="1" si="71"/>
        <v>0</v>
      </c>
      <c r="AY83" s="652">
        <f t="shared" ca="1" si="71"/>
        <v>0</v>
      </c>
      <c r="AZ83" s="652">
        <f t="shared" ca="1" si="71"/>
        <v>0</v>
      </c>
      <c r="BA83" s="652">
        <f t="shared" ca="1" si="74"/>
        <v>0</v>
      </c>
      <c r="BB83" s="652">
        <f t="shared" ca="1" si="74"/>
        <v>0</v>
      </c>
      <c r="BC83" s="652">
        <f t="shared" ca="1" si="74"/>
        <v>0</v>
      </c>
      <c r="BD83" s="652">
        <f t="shared" ca="1" si="74"/>
        <v>0</v>
      </c>
      <c r="BE83" s="652" t="str">
        <f t="shared" ca="1" si="74"/>
        <v>Residential</v>
      </c>
      <c r="BF83" s="652" t="str">
        <f t="shared" ca="1" si="74"/>
        <v>ResHotWater - SF Wtd</v>
      </c>
      <c r="BG83" s="652" t="str">
        <f t="shared" ca="1" si="74"/>
        <v>ResSFGasTotal</v>
      </c>
      <c r="BH83" s="652" t="str">
        <f t="shared" ca="1" si="74"/>
        <v>LGE Res</v>
      </c>
      <c r="BI83" s="652" t="str">
        <f t="shared" ca="1" si="74"/>
        <v>LGE Res</v>
      </c>
      <c r="BJ83" s="652">
        <f t="shared" ca="1" si="67"/>
        <v>1</v>
      </c>
      <c r="BK83" s="652">
        <f t="shared" ca="1" si="67"/>
        <v>0</v>
      </c>
      <c r="BL83" s="652">
        <f t="shared" ca="1" si="65"/>
        <v>0</v>
      </c>
      <c r="BM83" s="652">
        <f t="shared" ca="1" si="65"/>
        <v>0</v>
      </c>
      <c r="BN83" s="652">
        <f t="shared" ca="1" si="65"/>
        <v>0</v>
      </c>
      <c r="BO83" s="652">
        <f t="shared" ca="1" si="65"/>
        <v>0</v>
      </c>
      <c r="BP83" s="652">
        <f t="shared" ca="1" si="65"/>
        <v>0</v>
      </c>
      <c r="BQ83" s="652">
        <f t="shared" ca="1" si="65"/>
        <v>0</v>
      </c>
      <c r="BR83" s="652">
        <f t="shared" ca="1" si="75"/>
        <v>14619.5</v>
      </c>
      <c r="BS83" s="652">
        <f t="shared" ca="1" si="74"/>
        <v>0</v>
      </c>
      <c r="BT83" s="652">
        <f t="shared" ca="1" si="74"/>
        <v>0</v>
      </c>
      <c r="BU83" s="652">
        <f t="shared" ca="1" si="74"/>
        <v>1754340</v>
      </c>
      <c r="BV83" s="652">
        <f t="shared" ca="1" si="74"/>
        <v>0</v>
      </c>
      <c r="BW83" s="652">
        <f t="shared" ca="1" si="74"/>
        <v>0</v>
      </c>
      <c r="BX83" s="652">
        <f t="shared" ca="1" si="74"/>
        <v>3098.8472814498937</v>
      </c>
      <c r="BY83" s="652">
        <f t="shared" ca="1" si="74"/>
        <v>0</v>
      </c>
    </row>
    <row r="84" spans="1:77">
      <c r="A84" s="425" t="str">
        <f t="shared" ca="1" si="73"/>
        <v>BYOT &amp; BYODLG&amp;E-Small NonRes - Cooling</v>
      </c>
      <c r="B84" s="1297" t="str">
        <f t="shared" si="68"/>
        <v>LG&amp;EBYOT &amp; BYOD</v>
      </c>
      <c r="C84" s="661" t="s">
        <v>191</v>
      </c>
      <c r="D84" s="662" t="s">
        <v>62</v>
      </c>
      <c r="E84" s="652" t="str">
        <f t="shared" ca="1" si="79"/>
        <v>LG&amp;E-Small NonRes - Cooling</v>
      </c>
      <c r="F84" s="652" t="str">
        <f t="shared" ca="1" si="79"/>
        <v>This product targets small non-residential customers with smart thermostats and pays participants an incentive to curtail load during events</v>
      </c>
      <c r="G84" s="652" t="str">
        <f t="shared" ca="1" si="79"/>
        <v>Per Customer</v>
      </c>
      <c r="H84" s="652">
        <f t="shared" ca="1" si="72"/>
        <v>0</v>
      </c>
      <c r="I84" s="652">
        <f t="shared" ca="1" si="72"/>
        <v>0</v>
      </c>
      <c r="J84" s="652">
        <f t="shared" ca="1" si="72"/>
        <v>150</v>
      </c>
      <c r="K84" s="652">
        <f t="shared" ca="1" si="72"/>
        <v>300</v>
      </c>
      <c r="L84" s="652">
        <f t="shared" ca="1" si="72"/>
        <v>400</v>
      </c>
      <c r="M84" s="652">
        <f t="shared" ca="1" si="72"/>
        <v>500</v>
      </c>
      <c r="N84" s="652">
        <f t="shared" ca="1" si="72"/>
        <v>600</v>
      </c>
      <c r="O84" s="652">
        <f t="shared" ca="1" si="72"/>
        <v>0</v>
      </c>
      <c r="P84" s="652">
        <f t="shared" ca="1" si="72"/>
        <v>0</v>
      </c>
      <c r="Q84" s="652">
        <f t="shared" ca="1" si="72"/>
        <v>0</v>
      </c>
      <c r="R84" s="652">
        <f t="shared" ca="1" si="72"/>
        <v>0</v>
      </c>
      <c r="S84" s="652">
        <f t="shared" ca="1" si="72"/>
        <v>0</v>
      </c>
      <c r="T84" s="652">
        <f t="shared" ca="1" si="72"/>
        <v>0</v>
      </c>
      <c r="U84" s="652">
        <f t="shared" ca="1" si="72"/>
        <v>0</v>
      </c>
      <c r="V84" s="652">
        <f t="shared" ca="1" si="72"/>
        <v>0</v>
      </c>
      <c r="W84" s="652">
        <f t="shared" ca="1" si="72"/>
        <v>0</v>
      </c>
      <c r="X84" s="652">
        <f t="shared" ca="1" si="22"/>
        <v>0</v>
      </c>
      <c r="Y84" s="652">
        <f t="shared" ca="1" si="22"/>
        <v>0</v>
      </c>
      <c r="Z84" s="652">
        <f t="shared" ca="1" si="22"/>
        <v>0</v>
      </c>
      <c r="AA84" s="652">
        <f t="shared" ca="1" si="70"/>
        <v>0</v>
      </c>
      <c r="AB84" s="652">
        <f t="shared" ca="1" si="70"/>
        <v>0</v>
      </c>
      <c r="AC84" s="652">
        <f t="shared" ca="1" si="70"/>
        <v>0</v>
      </c>
      <c r="AD84" s="652">
        <f t="shared" ca="1" si="70"/>
        <v>0</v>
      </c>
      <c r="AE84" s="652">
        <f t="shared" ca="1" si="70"/>
        <v>45000</v>
      </c>
      <c r="AF84" s="652">
        <f t="shared" ca="1" si="70"/>
        <v>82500</v>
      </c>
      <c r="AG84" s="652">
        <f t="shared" ca="1" si="70"/>
        <v>105000</v>
      </c>
      <c r="AH84" s="652">
        <f t="shared" ca="1" si="70"/>
        <v>130000</v>
      </c>
      <c r="AI84" s="652">
        <f t="shared" ca="1" si="70"/>
        <v>155000</v>
      </c>
      <c r="AJ84" s="652">
        <f t="shared" ca="1" si="70"/>
        <v>0</v>
      </c>
      <c r="AK84" s="652">
        <f t="shared" ca="1" si="70"/>
        <v>0</v>
      </c>
      <c r="AL84" s="652">
        <f t="shared" ca="1" si="70"/>
        <v>0</v>
      </c>
      <c r="AM84" s="652">
        <f t="shared" ca="1" si="70"/>
        <v>0</v>
      </c>
      <c r="AN84" s="652">
        <f t="shared" ca="1" si="70"/>
        <v>0</v>
      </c>
      <c r="AO84" s="652">
        <f t="shared" ref="AO84:AZ86" ca="1" si="80">VLOOKUP($C84,INDIRECT("'"&amp;$D84&amp;"'!A6:FR1000"),IF(AO$6="Participation 2023",MATCH("__Participation 2023",INDIRECT("'"&amp;$D84&amp;"'!1:1"),0),IF(AO$6="Participation",MATCH("_Total Plan Summary _Participation",INDIRECT("'"&amp;$D84&amp;"'!1:1"),0),MATCH(AO$4&amp;"_"&amp;AO$5&amp;"_"&amp;AO$6,INDIRECT("'"&amp;$D84&amp;"'!1:1"),0))),0)</f>
        <v>0</v>
      </c>
      <c r="AP84" s="652">
        <f t="shared" ca="1" si="80"/>
        <v>0</v>
      </c>
      <c r="AQ84" s="652">
        <f t="shared" ca="1" si="80"/>
        <v>0</v>
      </c>
      <c r="AR84" s="652">
        <f t="shared" ca="1" si="80"/>
        <v>0</v>
      </c>
      <c r="AS84" s="652">
        <f t="shared" ca="1" si="80"/>
        <v>238.5</v>
      </c>
      <c r="AT84" s="652">
        <f t="shared" ca="1" si="80"/>
        <v>477</v>
      </c>
      <c r="AU84" s="652">
        <f t="shared" ca="1" si="80"/>
        <v>636</v>
      </c>
      <c r="AV84" s="652">
        <f t="shared" ca="1" si="80"/>
        <v>795</v>
      </c>
      <c r="AW84" s="652">
        <f t="shared" ca="1" si="80"/>
        <v>954</v>
      </c>
      <c r="AX84" s="652">
        <f t="shared" ca="1" si="80"/>
        <v>0</v>
      </c>
      <c r="AY84" s="652">
        <f t="shared" ca="1" si="80"/>
        <v>0</v>
      </c>
      <c r="AZ84" s="652">
        <f t="shared" ca="1" si="80"/>
        <v>0</v>
      </c>
      <c r="BA84" s="652">
        <f t="shared" ca="1" si="74"/>
        <v>0</v>
      </c>
      <c r="BB84" s="652">
        <f t="shared" ca="1" si="74"/>
        <v>0</v>
      </c>
      <c r="BC84" s="652">
        <f t="shared" ca="1" si="74"/>
        <v>0</v>
      </c>
      <c r="BD84" s="652">
        <f t="shared" ca="1" si="74"/>
        <v>0</v>
      </c>
      <c r="BE84" s="652" t="str">
        <f t="shared" ca="1" si="74"/>
        <v>Commercial</v>
      </c>
      <c r="BF84" s="652" t="str">
        <f t="shared" ca="1" si="74"/>
        <v>OFFSMCool</v>
      </c>
      <c r="BG84" s="652" t="str">
        <f t="shared" ca="1" si="74"/>
        <v>ResSFGasTotal</v>
      </c>
      <c r="BH84" s="652" t="str">
        <f t="shared" ca="1" si="74"/>
        <v>LGE NonRes</v>
      </c>
      <c r="BI84" s="652" t="str">
        <f t="shared" ca="1" si="74"/>
        <v>LGE NonRes</v>
      </c>
      <c r="BJ84" s="652">
        <f t="shared" ca="1" si="74"/>
        <v>1</v>
      </c>
      <c r="BK84" s="652">
        <f t="shared" ca="1" si="74"/>
        <v>0</v>
      </c>
      <c r="BL84" s="652">
        <f t="shared" ca="1" si="65"/>
        <v>0</v>
      </c>
      <c r="BM84" s="652">
        <f t="shared" ca="1" si="65"/>
        <v>5400</v>
      </c>
      <c r="BN84" s="652">
        <f t="shared" ca="1" si="65"/>
        <v>10800</v>
      </c>
      <c r="BO84" s="652">
        <f t="shared" ca="1" si="65"/>
        <v>14400</v>
      </c>
      <c r="BP84" s="652">
        <f t="shared" ca="1" si="65"/>
        <v>18000</v>
      </c>
      <c r="BQ84" s="652">
        <f t="shared" ca="1" si="65"/>
        <v>21600</v>
      </c>
      <c r="BR84" s="652">
        <f t="shared" ca="1" si="75"/>
        <v>1950</v>
      </c>
      <c r="BS84" s="652">
        <f t="shared" ca="1" si="74"/>
        <v>0</v>
      </c>
      <c r="BT84" s="652">
        <f t="shared" ca="1" si="74"/>
        <v>0</v>
      </c>
      <c r="BU84" s="652">
        <f t="shared" ca="1" si="74"/>
        <v>517500</v>
      </c>
      <c r="BV84" s="652">
        <f t="shared" ca="1" si="74"/>
        <v>70200</v>
      </c>
      <c r="BW84" s="652">
        <f t="shared" ca="1" si="74"/>
        <v>0</v>
      </c>
      <c r="BX84" s="652">
        <f t="shared" ca="1" si="74"/>
        <v>954</v>
      </c>
      <c r="BY84" s="652">
        <f t="shared" ca="1" si="74"/>
        <v>0</v>
      </c>
    </row>
    <row r="85" spans="1:77">
      <c r="A85" s="425" t="str">
        <f t="shared" ca="1" si="73"/>
        <v>BYOT &amp; BYODLG&amp;E-Residential - BYOD - Room A/C - Summer</v>
      </c>
      <c r="B85" s="1297" t="str">
        <f t="shared" si="68"/>
        <v>LG&amp;EBYOT &amp; BYOD</v>
      </c>
      <c r="C85" s="661" t="s">
        <v>192</v>
      </c>
      <c r="D85" s="662" t="s">
        <v>62</v>
      </c>
      <c r="E85" s="652" t="str">
        <f t="shared" ca="1" si="79"/>
        <v>LG&amp;E-Residential - BYOD - Room A/C - Summer</v>
      </c>
      <c r="F85" s="652" t="str">
        <f t="shared" ca="1" si="79"/>
        <v>This product targets customers with grid connected room A/Cs and pays participants an incentive to curtail load during events</v>
      </c>
      <c r="G85" s="652" t="str">
        <f t="shared" ca="1" si="79"/>
        <v>Per Customer</v>
      </c>
      <c r="H85" s="652">
        <f t="shared" ca="1" si="72"/>
        <v>0</v>
      </c>
      <c r="I85" s="652">
        <f t="shared" ca="1" si="72"/>
        <v>0</v>
      </c>
      <c r="J85" s="652">
        <f t="shared" ca="1" si="72"/>
        <v>5</v>
      </c>
      <c r="K85" s="652">
        <f t="shared" ca="1" si="72"/>
        <v>7.5</v>
      </c>
      <c r="L85" s="652">
        <f t="shared" ca="1" si="72"/>
        <v>11.25</v>
      </c>
      <c r="M85" s="652">
        <f t="shared" ca="1" si="72"/>
        <v>16.875</v>
      </c>
      <c r="N85" s="652">
        <f t="shared" ca="1" si="72"/>
        <v>25.3125</v>
      </c>
      <c r="O85" s="652">
        <f t="shared" ca="1" si="72"/>
        <v>0</v>
      </c>
      <c r="P85" s="652">
        <f t="shared" ca="1" si="72"/>
        <v>0</v>
      </c>
      <c r="Q85" s="652">
        <f t="shared" ca="1" si="72"/>
        <v>0</v>
      </c>
      <c r="R85" s="652">
        <f t="shared" ca="1" si="72"/>
        <v>0</v>
      </c>
      <c r="S85" s="652">
        <f t="shared" ca="1" si="72"/>
        <v>0</v>
      </c>
      <c r="T85" s="652">
        <f t="shared" ca="1" si="72"/>
        <v>0</v>
      </c>
      <c r="U85" s="652">
        <f t="shared" ca="1" si="72"/>
        <v>0</v>
      </c>
      <c r="V85" s="652">
        <f t="shared" ca="1" si="72"/>
        <v>0</v>
      </c>
      <c r="W85" s="652">
        <f t="shared" ca="1" si="72"/>
        <v>0</v>
      </c>
      <c r="X85" s="652">
        <f t="shared" ca="1" si="22"/>
        <v>0</v>
      </c>
      <c r="Y85" s="652">
        <f t="shared" ca="1" si="22"/>
        <v>0</v>
      </c>
      <c r="Z85" s="652">
        <f t="shared" ca="1" si="22"/>
        <v>0</v>
      </c>
      <c r="AA85" s="652">
        <f t="shared" ca="1" si="70"/>
        <v>0</v>
      </c>
      <c r="AB85" s="652">
        <f t="shared" ca="1" si="70"/>
        <v>0</v>
      </c>
      <c r="AC85" s="652">
        <f t="shared" ca="1" si="70"/>
        <v>0</v>
      </c>
      <c r="AD85" s="652">
        <f t="shared" ca="1" si="70"/>
        <v>0</v>
      </c>
      <c r="AE85" s="652">
        <f t="shared" ca="1" si="70"/>
        <v>1500</v>
      </c>
      <c r="AF85" s="652">
        <f t="shared" ca="1" si="70"/>
        <v>2000.0000000000002</v>
      </c>
      <c r="AG85" s="652">
        <f t="shared" ca="1" si="70"/>
        <v>3000</v>
      </c>
      <c r="AH85" s="652">
        <f t="shared" ca="1" si="70"/>
        <v>4500</v>
      </c>
      <c r="AI85" s="652">
        <f t="shared" ca="1" si="70"/>
        <v>6750.0000000000009</v>
      </c>
      <c r="AJ85" s="652">
        <f t="shared" ca="1" si="70"/>
        <v>0</v>
      </c>
      <c r="AK85" s="652">
        <f t="shared" ca="1" si="70"/>
        <v>0</v>
      </c>
      <c r="AL85" s="652">
        <f t="shared" ca="1" si="70"/>
        <v>0</v>
      </c>
      <c r="AM85" s="652">
        <f t="shared" ca="1" si="70"/>
        <v>0</v>
      </c>
      <c r="AN85" s="652">
        <f t="shared" ca="1" si="70"/>
        <v>0</v>
      </c>
      <c r="AO85" s="652">
        <f t="shared" ca="1" si="80"/>
        <v>0</v>
      </c>
      <c r="AP85" s="652">
        <f t="shared" ca="1" si="80"/>
        <v>0</v>
      </c>
      <c r="AQ85" s="652">
        <f t="shared" ca="1" si="80"/>
        <v>0</v>
      </c>
      <c r="AR85" s="652">
        <f t="shared" ca="1" si="80"/>
        <v>0</v>
      </c>
      <c r="AS85" s="652">
        <f t="shared" ca="1" si="80"/>
        <v>2.5</v>
      </c>
      <c r="AT85" s="652">
        <f t="shared" ca="1" si="80"/>
        <v>3.75</v>
      </c>
      <c r="AU85" s="652">
        <f t="shared" ca="1" si="80"/>
        <v>5.625</v>
      </c>
      <c r="AV85" s="652">
        <f t="shared" ca="1" si="80"/>
        <v>8.4375</v>
      </c>
      <c r="AW85" s="652">
        <f t="shared" ca="1" si="80"/>
        <v>12.65625</v>
      </c>
      <c r="AX85" s="652">
        <f t="shared" ca="1" si="80"/>
        <v>0</v>
      </c>
      <c r="AY85" s="652">
        <f t="shared" ca="1" si="80"/>
        <v>0</v>
      </c>
      <c r="AZ85" s="652">
        <f t="shared" ca="1" si="80"/>
        <v>0</v>
      </c>
      <c r="BA85" s="652">
        <f t="shared" ca="1" si="74"/>
        <v>0</v>
      </c>
      <c r="BB85" s="652">
        <f t="shared" ca="1" si="74"/>
        <v>0</v>
      </c>
      <c r="BC85" s="652">
        <f t="shared" ca="1" si="74"/>
        <v>0</v>
      </c>
      <c r="BD85" s="652">
        <f t="shared" ca="1" si="74"/>
        <v>0</v>
      </c>
      <c r="BE85" s="652" t="str">
        <f t="shared" ca="1" si="74"/>
        <v>Residential</v>
      </c>
      <c r="BF85" s="652" t="str">
        <f t="shared" ca="1" si="74"/>
        <v>ResCooling - SF Wtd</v>
      </c>
      <c r="BG85" s="652" t="str">
        <f t="shared" ca="1" si="74"/>
        <v>ResSFGasTotal</v>
      </c>
      <c r="BH85" s="652" t="str">
        <f t="shared" ca="1" si="74"/>
        <v>LGE Res</v>
      </c>
      <c r="BI85" s="652" t="str">
        <f t="shared" ca="1" si="74"/>
        <v>LGE Res</v>
      </c>
      <c r="BJ85" s="652">
        <f t="shared" ca="1" si="74"/>
        <v>1</v>
      </c>
      <c r="BK85" s="652">
        <f t="shared" ca="1" si="74"/>
        <v>0</v>
      </c>
      <c r="BL85" s="652">
        <f t="shared" ca="1" si="65"/>
        <v>0</v>
      </c>
      <c r="BM85" s="652">
        <f t="shared" ca="1" si="65"/>
        <v>180</v>
      </c>
      <c r="BN85" s="652">
        <f t="shared" ca="1" si="65"/>
        <v>270</v>
      </c>
      <c r="BO85" s="652">
        <f t="shared" ca="1" si="65"/>
        <v>405</v>
      </c>
      <c r="BP85" s="652">
        <f t="shared" ca="1" si="65"/>
        <v>607.5</v>
      </c>
      <c r="BQ85" s="652">
        <f t="shared" ca="1" si="65"/>
        <v>911.25</v>
      </c>
      <c r="BR85" s="652">
        <f t="shared" ca="1" si="75"/>
        <v>65.9375</v>
      </c>
      <c r="BS85" s="652">
        <f t="shared" ca="1" si="74"/>
        <v>0</v>
      </c>
      <c r="BT85" s="652">
        <f t="shared" ca="1" si="74"/>
        <v>0</v>
      </c>
      <c r="BU85" s="652">
        <f t="shared" ca="1" si="74"/>
        <v>17750</v>
      </c>
      <c r="BV85" s="652">
        <f t="shared" ca="1" si="74"/>
        <v>2373.75</v>
      </c>
      <c r="BW85" s="652">
        <f t="shared" ca="1" si="74"/>
        <v>0</v>
      </c>
      <c r="BX85" s="652">
        <f t="shared" ca="1" si="74"/>
        <v>12.65625</v>
      </c>
      <c r="BY85" s="652">
        <f t="shared" ca="1" si="74"/>
        <v>0</v>
      </c>
    </row>
    <row r="86" spans="1:77">
      <c r="A86" s="425" t="str">
        <f t="shared" ref="A86" ca="1" si="81">D86&amp;E86</f>
        <v>BYOT &amp; BYODLG&amp;E-Residential - BYOD - Water Heating</v>
      </c>
      <c r="B86" s="1297" t="str">
        <f t="shared" ref="B86" si="82">IF(ISNUMBER(SEARCH("KU",C86)),"KU"&amp;D86,"LG&amp;E"&amp;D86)</f>
        <v>LG&amp;EBYOT &amp; BYOD</v>
      </c>
      <c r="C86" s="661" t="s">
        <v>193</v>
      </c>
      <c r="D86" s="662" t="s">
        <v>62</v>
      </c>
      <c r="E86" s="652" t="str">
        <f t="shared" ca="1" si="79"/>
        <v>LG&amp;E-Residential - BYOD - Water Heating</v>
      </c>
      <c r="F86" s="652" t="str">
        <f t="shared" ca="1" si="79"/>
        <v>This product targets customers with grid connected water heaters and pays participants an incentive to curtail load during events</v>
      </c>
      <c r="G86" s="652" t="str">
        <f t="shared" ca="1" si="79"/>
        <v>Per Customer</v>
      </c>
      <c r="H86" s="652">
        <f t="shared" ca="1" si="72"/>
        <v>0</v>
      </c>
      <c r="I86" s="652">
        <f t="shared" ca="1" si="72"/>
        <v>0</v>
      </c>
      <c r="J86" s="652">
        <f t="shared" ca="1" si="72"/>
        <v>5</v>
      </c>
      <c r="K86" s="652">
        <f t="shared" ca="1" si="72"/>
        <v>7.5</v>
      </c>
      <c r="L86" s="652">
        <f t="shared" ca="1" si="72"/>
        <v>11.25</v>
      </c>
      <c r="M86" s="652">
        <f t="shared" ca="1" si="72"/>
        <v>16.875</v>
      </c>
      <c r="N86" s="652">
        <f t="shared" ca="1" si="72"/>
        <v>25.3125</v>
      </c>
      <c r="O86" s="652">
        <f t="shared" ca="1" si="72"/>
        <v>0</v>
      </c>
      <c r="P86" s="652">
        <f t="shared" ca="1" si="72"/>
        <v>0</v>
      </c>
      <c r="Q86" s="652">
        <f t="shared" ca="1" si="72"/>
        <v>0</v>
      </c>
      <c r="R86" s="652">
        <f t="shared" ca="1" si="72"/>
        <v>0</v>
      </c>
      <c r="S86" s="652">
        <f t="shared" ca="1" si="72"/>
        <v>0</v>
      </c>
      <c r="T86" s="652">
        <f t="shared" ca="1" si="72"/>
        <v>0</v>
      </c>
      <c r="U86" s="652">
        <f t="shared" ca="1" si="72"/>
        <v>0</v>
      </c>
      <c r="V86" s="652">
        <f t="shared" ca="1" si="72"/>
        <v>0</v>
      </c>
      <c r="W86" s="652">
        <f t="shared" ca="1" si="72"/>
        <v>0</v>
      </c>
      <c r="X86" s="652">
        <f t="shared" ca="1" si="22"/>
        <v>0</v>
      </c>
      <c r="Y86" s="652">
        <f t="shared" ca="1" si="22"/>
        <v>0</v>
      </c>
      <c r="Z86" s="652">
        <f t="shared" ca="1" si="22"/>
        <v>0</v>
      </c>
      <c r="AA86" s="652">
        <f t="shared" ca="1" si="70"/>
        <v>0</v>
      </c>
      <c r="AB86" s="652">
        <f t="shared" ca="1" si="70"/>
        <v>0</v>
      </c>
      <c r="AC86" s="652">
        <f t="shared" ca="1" si="70"/>
        <v>0</v>
      </c>
      <c r="AD86" s="652">
        <f t="shared" ca="1" si="70"/>
        <v>0</v>
      </c>
      <c r="AE86" s="652">
        <f t="shared" ca="1" si="70"/>
        <v>875</v>
      </c>
      <c r="AF86" s="652">
        <f t="shared" ca="1" si="70"/>
        <v>1062.5</v>
      </c>
      <c r="AG86" s="652">
        <f t="shared" ca="1" si="70"/>
        <v>1593.75</v>
      </c>
      <c r="AH86" s="652">
        <f t="shared" ca="1" si="70"/>
        <v>2390.625</v>
      </c>
      <c r="AI86" s="652">
        <f t="shared" ca="1" si="70"/>
        <v>3585.9374999999995</v>
      </c>
      <c r="AJ86" s="652">
        <f t="shared" ca="1" si="70"/>
        <v>0</v>
      </c>
      <c r="AK86" s="652">
        <f t="shared" ca="1" si="70"/>
        <v>0</v>
      </c>
      <c r="AL86" s="652">
        <f t="shared" ca="1" si="70"/>
        <v>0</v>
      </c>
      <c r="AM86" s="652">
        <f t="shared" ca="1" si="70"/>
        <v>0</v>
      </c>
      <c r="AN86" s="652">
        <f t="shared" ca="1" si="70"/>
        <v>0</v>
      </c>
      <c r="AO86" s="652">
        <f t="shared" ca="1" si="80"/>
        <v>0</v>
      </c>
      <c r="AP86" s="652">
        <f t="shared" ca="1" si="80"/>
        <v>0</v>
      </c>
      <c r="AQ86" s="652">
        <f t="shared" ca="1" si="80"/>
        <v>0</v>
      </c>
      <c r="AR86" s="652">
        <f t="shared" ca="1" si="80"/>
        <v>0</v>
      </c>
      <c r="AS86" s="652">
        <f t="shared" ca="1" si="80"/>
        <v>2.5</v>
      </c>
      <c r="AT86" s="652">
        <f t="shared" ca="1" si="80"/>
        <v>3.75</v>
      </c>
      <c r="AU86" s="652">
        <f t="shared" ca="1" si="80"/>
        <v>5.625</v>
      </c>
      <c r="AV86" s="652">
        <f t="shared" ca="1" si="80"/>
        <v>8.4375</v>
      </c>
      <c r="AW86" s="652">
        <f t="shared" ca="1" si="80"/>
        <v>12.65625</v>
      </c>
      <c r="AX86" s="652">
        <f t="shared" ca="1" si="80"/>
        <v>0</v>
      </c>
      <c r="AY86" s="652">
        <f t="shared" ca="1" si="80"/>
        <v>0</v>
      </c>
      <c r="AZ86" s="652">
        <f t="shared" ca="1" si="80"/>
        <v>0</v>
      </c>
      <c r="BA86" s="652">
        <f t="shared" ca="1" si="74"/>
        <v>0</v>
      </c>
      <c r="BB86" s="652">
        <f t="shared" ca="1" si="74"/>
        <v>0</v>
      </c>
      <c r="BC86" s="652">
        <f t="shared" ca="1" si="74"/>
        <v>0</v>
      </c>
      <c r="BD86" s="652">
        <f t="shared" ca="1" si="74"/>
        <v>0</v>
      </c>
      <c r="BE86" s="652" t="str">
        <f t="shared" ca="1" si="74"/>
        <v>Residential</v>
      </c>
      <c r="BF86" s="652" t="str">
        <f t="shared" ca="1" si="74"/>
        <v>ResHotWater - SF Wtd</v>
      </c>
      <c r="BG86" s="652" t="str">
        <f t="shared" ca="1" si="74"/>
        <v>ResSFGasTotal</v>
      </c>
      <c r="BH86" s="652" t="str">
        <f t="shared" ca="1" si="74"/>
        <v>LGE Res</v>
      </c>
      <c r="BI86" s="652" t="str">
        <f t="shared" ca="1" si="74"/>
        <v>LGE Res</v>
      </c>
      <c r="BJ86" s="652">
        <f t="shared" ca="1" si="74"/>
        <v>1</v>
      </c>
      <c r="BK86" s="652">
        <f t="shared" ca="1" si="74"/>
        <v>0</v>
      </c>
      <c r="BL86" s="652">
        <f t="shared" ca="1" si="74"/>
        <v>0</v>
      </c>
      <c r="BM86" s="652">
        <f t="shared" ca="1" si="74"/>
        <v>180</v>
      </c>
      <c r="BN86" s="652">
        <f t="shared" ca="1" si="74"/>
        <v>270</v>
      </c>
      <c r="BO86" s="652">
        <f t="shared" ca="1" si="74"/>
        <v>405</v>
      </c>
      <c r="BP86" s="652">
        <f t="shared" ca="1" si="74"/>
        <v>607.5</v>
      </c>
      <c r="BQ86" s="652">
        <f t="shared" ca="1" si="74"/>
        <v>911.25</v>
      </c>
      <c r="BR86" s="652">
        <f t="shared" ref="BR86" ca="1" si="83">SUM(H86:N86)</f>
        <v>65.9375</v>
      </c>
      <c r="BS86" s="652">
        <f t="shared" ca="1" si="74"/>
        <v>0</v>
      </c>
      <c r="BT86" s="652">
        <f t="shared" ca="1" si="74"/>
        <v>0</v>
      </c>
      <c r="BU86" s="652">
        <f t="shared" ca="1" si="74"/>
        <v>9507.8125</v>
      </c>
      <c r="BV86" s="652">
        <f t="shared" ca="1" si="74"/>
        <v>2373.75</v>
      </c>
      <c r="BW86" s="652">
        <f t="shared" ca="1" si="74"/>
        <v>0</v>
      </c>
      <c r="BX86" s="652">
        <f t="shared" ca="1" si="74"/>
        <v>12.65625</v>
      </c>
      <c r="BY86" s="652">
        <f t="shared" ca="1" si="74"/>
        <v>0</v>
      </c>
    </row>
    <row r="87" spans="1:77">
      <c r="A87" s="425" t="str">
        <f t="shared" ca="1" si="73"/>
        <v>Business RebatesKU-Commercial Energy Audit</v>
      </c>
      <c r="B87" s="1297" t="str">
        <f t="shared" si="1"/>
        <v>KUBusiness Rebates</v>
      </c>
      <c r="C87" s="662" t="s">
        <v>171</v>
      </c>
      <c r="D87" s="662" t="s">
        <v>63</v>
      </c>
      <c r="E87" s="652" t="str">
        <f t="shared" ref="E87:G101" ca="1" si="84">VLOOKUP($C87,INDIRECT("'"&amp;$D87&amp;"'!A6:FC1000"),IF(E$6="Participation 2023",MATCH("__Participation 2023",INDIRECT("'"&amp;$D87&amp;"'!1:1"),0),IF(E$6="Participation",MATCH("_Total Plan Summary _Participation",INDIRECT("'"&amp;$D87&amp;"'!1:1"),0),MATCH(E$4&amp;"_"&amp;E$5&amp;"_"&amp;E$6,INDIRECT("'"&amp;$D87&amp;"'!1:1"),0))),0)</f>
        <v>KU-Commercial Energy Audit</v>
      </c>
      <c r="F87" s="652" t="str">
        <f ca="1">VLOOKUP($C87,INDIRECT("'"&amp;$D87&amp;"'!A6:FC1000"),IF(F$6="Participation 2023",MATCH("__Participation 2023",INDIRECT("'"&amp;$D87&amp;"'!1:1"),0),IF(F$6="Participation",MATCH("_Total Plan Summary _Participation",INDIRECT("'"&amp;$D87&amp;"'!1:1"),0),MATCH(F$4&amp;"_"&amp;F$5&amp;"_"&amp;F$6,INDIRECT("'"&amp;$D87&amp;"'!1:1"),0))),0)</f>
        <v>Audit</v>
      </c>
      <c r="G87" s="652" t="str">
        <f ca="1">VLOOKUP($C87,INDIRECT("'"&amp;$D87&amp;"'!A6:FC1000"),IF(G$6="Participation 2023",MATCH("__Participation 2023",INDIRECT("'"&amp;$D87&amp;"'!1:1"),0),IF(G$6="Participation",MATCH("_Total Plan Summary _Participation",INDIRECT("'"&amp;$D87&amp;"'!1:1"),0),MATCH(G$4&amp;"_"&amp;G$5&amp;"_"&amp;G$6,INDIRECT("'"&amp;$D87&amp;"'!1:1"),0))),0)</f>
        <v>Per Audit</v>
      </c>
      <c r="H87" s="652">
        <f t="shared" ca="1" si="27"/>
        <v>5</v>
      </c>
      <c r="I87" s="652">
        <f t="shared" ca="1" si="27"/>
        <v>5</v>
      </c>
      <c r="J87" s="652">
        <f t="shared" ca="1" si="27"/>
        <v>5</v>
      </c>
      <c r="K87" s="652">
        <f t="shared" ca="1" si="27"/>
        <v>5</v>
      </c>
      <c r="L87" s="652">
        <f t="shared" ca="1" si="27"/>
        <v>5</v>
      </c>
      <c r="M87" s="652">
        <f t="shared" ca="1" si="27"/>
        <v>5</v>
      </c>
      <c r="N87" s="652">
        <f t="shared" ca="1" si="27"/>
        <v>5</v>
      </c>
      <c r="O87" s="652">
        <f t="shared" ca="1" si="27"/>
        <v>60000</v>
      </c>
      <c r="P87" s="652">
        <f t="shared" ca="1" si="27"/>
        <v>60000</v>
      </c>
      <c r="Q87" s="652">
        <f t="shared" ca="1" si="27"/>
        <v>60000</v>
      </c>
      <c r="R87" s="652">
        <f t="shared" ca="1" si="27"/>
        <v>60000</v>
      </c>
      <c r="S87" s="652">
        <f t="shared" ca="1" si="27"/>
        <v>60000</v>
      </c>
      <c r="T87" s="652">
        <f t="shared" ca="1" si="27"/>
        <v>60000</v>
      </c>
      <c r="U87" s="652">
        <f t="shared" ca="1" si="27"/>
        <v>60000</v>
      </c>
      <c r="V87" s="652">
        <f t="shared" ca="1" si="22"/>
        <v>0</v>
      </c>
      <c r="W87" s="652">
        <f t="shared" ca="1" si="22"/>
        <v>0</v>
      </c>
      <c r="X87" s="652">
        <f t="shared" ca="1" si="22"/>
        <v>0</v>
      </c>
      <c r="Y87" s="652">
        <f t="shared" ca="1" si="23"/>
        <v>0</v>
      </c>
      <c r="Z87" s="652">
        <f t="shared" ca="1" si="23"/>
        <v>0</v>
      </c>
      <c r="AA87" s="652">
        <f t="shared" ca="1" si="23"/>
        <v>0</v>
      </c>
      <c r="AB87" s="652">
        <f t="shared" ca="1" si="23"/>
        <v>0</v>
      </c>
      <c r="AC87" s="652">
        <f t="shared" ca="1" si="23"/>
        <v>15000</v>
      </c>
      <c r="AD87" s="652">
        <f t="shared" ca="1" si="23"/>
        <v>15000</v>
      </c>
      <c r="AE87" s="652">
        <f t="shared" ca="1" si="23"/>
        <v>15000</v>
      </c>
      <c r="AF87" s="652">
        <f t="shared" ca="1" si="23"/>
        <v>15000</v>
      </c>
      <c r="AG87" s="652">
        <f t="shared" ca="1" si="23"/>
        <v>15000</v>
      </c>
      <c r="AH87" s="652">
        <f t="shared" ca="1" si="23"/>
        <v>15000</v>
      </c>
      <c r="AI87" s="652">
        <f t="shared" ca="1" si="23"/>
        <v>15000</v>
      </c>
      <c r="AJ87" s="652">
        <f t="shared" ca="1" si="23"/>
        <v>0</v>
      </c>
      <c r="AK87" s="652">
        <f t="shared" ca="1" si="23"/>
        <v>0</v>
      </c>
      <c r="AL87" s="652">
        <f t="shared" ca="1" si="23"/>
        <v>0</v>
      </c>
      <c r="AM87" s="652">
        <f t="shared" ca="1" si="24"/>
        <v>0</v>
      </c>
      <c r="AN87" s="652">
        <f t="shared" ca="1" si="24"/>
        <v>0</v>
      </c>
      <c r="AO87" s="652">
        <f t="shared" ca="1" si="24"/>
        <v>0</v>
      </c>
      <c r="AP87" s="652">
        <f t="shared" ca="1" si="24"/>
        <v>0</v>
      </c>
      <c r="AQ87" s="652">
        <f t="shared" ca="1" si="24"/>
        <v>0</v>
      </c>
      <c r="AR87" s="652">
        <f t="shared" ca="1" si="24"/>
        <v>0</v>
      </c>
      <c r="AS87" s="652">
        <f t="shared" ca="1" si="24"/>
        <v>0</v>
      </c>
      <c r="AT87" s="652">
        <f t="shared" ca="1" si="24"/>
        <v>0</v>
      </c>
      <c r="AU87" s="652">
        <f t="shared" ca="1" si="24"/>
        <v>0</v>
      </c>
      <c r="AV87" s="652">
        <f t="shared" ca="1" si="24"/>
        <v>0</v>
      </c>
      <c r="AW87" s="652">
        <f t="shared" ca="1" si="24"/>
        <v>0</v>
      </c>
      <c r="AX87" s="652">
        <f t="shared" ca="1" si="24"/>
        <v>0</v>
      </c>
      <c r="AY87" s="652">
        <f t="shared" ca="1" si="24"/>
        <v>0</v>
      </c>
      <c r="AZ87" s="652">
        <f t="shared" ca="1" si="24"/>
        <v>0</v>
      </c>
      <c r="BA87" s="652">
        <f t="shared" ca="1" si="25"/>
        <v>0</v>
      </c>
      <c r="BB87" s="652">
        <f t="shared" ca="1" si="25"/>
        <v>0</v>
      </c>
      <c r="BC87" s="652">
        <f t="shared" ca="1" si="25"/>
        <v>0</v>
      </c>
      <c r="BD87" s="652">
        <f t="shared" ca="1" si="25"/>
        <v>0</v>
      </c>
      <c r="BE87" s="652" t="str">
        <f t="shared" ref="BE87:BK102" ca="1" si="85">VLOOKUP($C87,INDIRECT("'"&amp;$D87&amp;"'!A6:FR1000"),IF(BE$6="Participation 2023",MATCH("__Participation 2023",INDIRECT("'"&amp;$D87&amp;"'!1:1"),0),IF(BE$6="Participation",MATCH("_Total Plan Summary _Participation",INDIRECT("'"&amp;$D87&amp;"'!1:1"),0),MATCH(BE$4&amp;"_"&amp;BE$5&amp;"_"&amp;BE$6,INDIRECT("'"&amp;$D87&amp;"'!1:1"),0))),0)</f>
        <v>Commercial</v>
      </c>
      <c r="BF87" s="652" t="str">
        <f t="shared" ca="1" si="85"/>
        <v>OFFSMCool</v>
      </c>
      <c r="BG87" s="652" t="str">
        <f t="shared" ca="1" si="85"/>
        <v>OFFSMGasHeat</v>
      </c>
      <c r="BH87" s="652" t="str">
        <f t="shared" ca="1" si="85"/>
        <v>KU NonRes</v>
      </c>
      <c r="BI87" s="652" t="str">
        <f t="shared" ca="1" si="85"/>
        <v>KU NonRes</v>
      </c>
      <c r="BJ87" s="652">
        <f t="shared" ca="1" si="74"/>
        <v>1</v>
      </c>
      <c r="BK87" s="652">
        <f t="shared" ca="1" si="74"/>
        <v>0</v>
      </c>
      <c r="BL87" s="652">
        <f t="shared" ca="1" si="65"/>
        <v>0</v>
      </c>
      <c r="BM87" s="652">
        <f t="shared" ca="1" si="65"/>
        <v>0</v>
      </c>
      <c r="BN87" s="652">
        <f t="shared" ca="1" si="65"/>
        <v>0</v>
      </c>
      <c r="BO87" s="652">
        <f t="shared" ca="1" si="65"/>
        <v>0</v>
      </c>
      <c r="BP87" s="652">
        <f t="shared" ca="1" si="65"/>
        <v>0</v>
      </c>
      <c r="BQ87" s="652">
        <f t="shared" ca="1" si="65"/>
        <v>0</v>
      </c>
      <c r="BR87" s="652">
        <f t="shared" ca="1" si="75"/>
        <v>35</v>
      </c>
      <c r="BS87" s="652">
        <f t="shared" ca="1" si="25"/>
        <v>420000</v>
      </c>
      <c r="BT87" s="652">
        <f t="shared" ca="1" si="25"/>
        <v>0</v>
      </c>
      <c r="BU87" s="652">
        <f t="shared" ca="1" si="25"/>
        <v>105000</v>
      </c>
      <c r="BV87" s="652">
        <f t="shared" ca="1" si="25"/>
        <v>0</v>
      </c>
      <c r="BW87" s="652">
        <f t="shared" ca="1" si="25"/>
        <v>0</v>
      </c>
      <c r="BX87" s="652">
        <f t="shared" ca="1" si="25"/>
        <v>0</v>
      </c>
      <c r="BY87" s="652">
        <f t="shared" ca="1" si="25"/>
        <v>0</v>
      </c>
    </row>
    <row r="88" spans="1:77">
      <c r="A88" s="425" t="str">
        <f t="shared" ca="1" si="73"/>
        <v xml:space="preserve">Business RebatesKU-Air Cooled Chiller </v>
      </c>
      <c r="B88" s="1297" t="str">
        <f t="shared" si="1"/>
        <v>KUBusiness Rebates</v>
      </c>
      <c r="C88" s="662" t="s">
        <v>173</v>
      </c>
      <c r="D88" s="662" t="s">
        <v>63</v>
      </c>
      <c r="E88" s="652" t="str">
        <f t="shared" ca="1" si="84"/>
        <v xml:space="preserve">KU-Air Cooled Chiller </v>
      </c>
      <c r="F88" s="652" t="str">
        <f t="shared" ca="1" si="84"/>
        <v>1.18 kW/ton full load (10.1 EER)</v>
      </c>
      <c r="G88" s="652" t="str">
        <f t="shared" ca="1" si="84"/>
        <v>Per Ton</v>
      </c>
      <c r="H88" s="652">
        <f t="shared" ca="1" si="27"/>
        <v>141.5</v>
      </c>
      <c r="I88" s="652">
        <f t="shared" ca="1" si="27"/>
        <v>141.5</v>
      </c>
      <c r="J88" s="652">
        <f t="shared" ca="1" si="27"/>
        <v>141.5</v>
      </c>
      <c r="K88" s="652">
        <f t="shared" ca="1" si="27"/>
        <v>141.5</v>
      </c>
      <c r="L88" s="652">
        <f t="shared" ca="1" si="27"/>
        <v>141.5</v>
      </c>
      <c r="M88" s="652">
        <f t="shared" ca="1" si="27"/>
        <v>141.5</v>
      </c>
      <c r="N88" s="652">
        <f t="shared" ca="1" si="27"/>
        <v>141.5</v>
      </c>
      <c r="O88" s="652">
        <f t="shared" ca="1" si="27"/>
        <v>15423.5</v>
      </c>
      <c r="P88" s="652">
        <f t="shared" ca="1" si="27"/>
        <v>15423.5</v>
      </c>
      <c r="Q88" s="652">
        <f t="shared" ca="1" si="27"/>
        <v>15423.5</v>
      </c>
      <c r="R88" s="652">
        <f t="shared" ca="1" si="27"/>
        <v>15423.5</v>
      </c>
      <c r="S88" s="652">
        <f t="shared" ca="1" si="27"/>
        <v>15423.5</v>
      </c>
      <c r="T88" s="652">
        <f t="shared" ca="1" si="27"/>
        <v>15423.5</v>
      </c>
      <c r="U88" s="652">
        <f t="shared" ca="1" si="27"/>
        <v>15423.5</v>
      </c>
      <c r="V88" s="652">
        <f t="shared" ca="1" si="22"/>
        <v>0</v>
      </c>
      <c r="W88" s="652">
        <f t="shared" ca="1" si="22"/>
        <v>0</v>
      </c>
      <c r="X88" s="652">
        <f t="shared" ca="1" si="22"/>
        <v>0</v>
      </c>
      <c r="Y88" s="652">
        <f t="shared" ca="1" si="23"/>
        <v>0</v>
      </c>
      <c r="Z88" s="652">
        <f t="shared" ca="1" si="23"/>
        <v>0</v>
      </c>
      <c r="AA88" s="652">
        <f t="shared" ca="1" si="23"/>
        <v>0</v>
      </c>
      <c r="AB88" s="652">
        <f t="shared" ca="1" si="23"/>
        <v>0</v>
      </c>
      <c r="AC88" s="652">
        <f t="shared" ca="1" si="23"/>
        <v>707.5</v>
      </c>
      <c r="AD88" s="652">
        <f t="shared" ca="1" si="23"/>
        <v>707.5</v>
      </c>
      <c r="AE88" s="652">
        <f t="shared" ca="1" si="23"/>
        <v>707.5</v>
      </c>
      <c r="AF88" s="652">
        <f t="shared" ca="1" si="23"/>
        <v>707.5</v>
      </c>
      <c r="AG88" s="652">
        <f t="shared" ca="1" si="23"/>
        <v>707.5</v>
      </c>
      <c r="AH88" s="652">
        <f t="shared" ca="1" si="23"/>
        <v>707.5</v>
      </c>
      <c r="AI88" s="652">
        <f t="shared" ca="1" si="23"/>
        <v>707.5</v>
      </c>
      <c r="AJ88" s="652">
        <f t="shared" ca="1" si="23"/>
        <v>12985.65525833482</v>
      </c>
      <c r="AK88" s="652">
        <f t="shared" ca="1" si="23"/>
        <v>12985.65525833482</v>
      </c>
      <c r="AL88" s="652">
        <f t="shared" ca="1" si="23"/>
        <v>12985.65525833482</v>
      </c>
      <c r="AM88" s="652">
        <f t="shared" ca="1" si="24"/>
        <v>12985.65525833482</v>
      </c>
      <c r="AN88" s="652">
        <f t="shared" ca="1" si="24"/>
        <v>12985.65525833482</v>
      </c>
      <c r="AO88" s="652">
        <f t="shared" ca="1" si="24"/>
        <v>12985.65525833482</v>
      </c>
      <c r="AP88" s="652">
        <f t="shared" ca="1" si="24"/>
        <v>12985.65525833482</v>
      </c>
      <c r="AQ88" s="652">
        <f t="shared" ca="1" si="24"/>
        <v>7.6429533570382908</v>
      </c>
      <c r="AR88" s="652">
        <f t="shared" ca="1" si="24"/>
        <v>7.6429533570382908</v>
      </c>
      <c r="AS88" s="652">
        <f t="shared" ca="1" si="24"/>
        <v>7.6429533570382908</v>
      </c>
      <c r="AT88" s="652">
        <f t="shared" ca="1" si="24"/>
        <v>7.6429533570382908</v>
      </c>
      <c r="AU88" s="652">
        <f t="shared" ca="1" si="24"/>
        <v>7.6429533570382908</v>
      </c>
      <c r="AV88" s="652">
        <f t="shared" ca="1" si="24"/>
        <v>7.6429533570382908</v>
      </c>
      <c r="AW88" s="652">
        <f t="shared" ca="1" si="24"/>
        <v>7.6429533570382908</v>
      </c>
      <c r="AX88" s="652">
        <f t="shared" ca="1" si="24"/>
        <v>0</v>
      </c>
      <c r="AY88" s="652">
        <f t="shared" ca="1" si="24"/>
        <v>0</v>
      </c>
      <c r="AZ88" s="652">
        <f t="shared" ca="1" si="24"/>
        <v>0</v>
      </c>
      <c r="BA88" s="652">
        <f t="shared" ca="1" si="25"/>
        <v>0</v>
      </c>
      <c r="BB88" s="652">
        <f t="shared" ca="1" si="25"/>
        <v>0</v>
      </c>
      <c r="BC88" s="652">
        <f t="shared" ca="1" si="25"/>
        <v>0</v>
      </c>
      <c r="BD88" s="652">
        <f t="shared" ca="1" si="25"/>
        <v>0</v>
      </c>
      <c r="BE88" s="652" t="str">
        <f t="shared" ca="1" si="85"/>
        <v>Commercial</v>
      </c>
      <c r="BF88" s="652" t="str">
        <f t="shared" ca="1" si="85"/>
        <v>OFFSMCool</v>
      </c>
      <c r="BG88" s="652" t="str">
        <f t="shared" ca="1" si="85"/>
        <v>OFFSMGasHeat</v>
      </c>
      <c r="BH88" s="652" t="str">
        <f t="shared" ca="1" si="85"/>
        <v>KU NonRes</v>
      </c>
      <c r="BI88" s="652" t="str">
        <f t="shared" ca="1" si="85"/>
        <v>KU NonRes</v>
      </c>
      <c r="BJ88" s="652">
        <f t="shared" ca="1" si="74"/>
        <v>20</v>
      </c>
      <c r="BK88" s="652">
        <f t="shared" ca="1" si="74"/>
        <v>0</v>
      </c>
      <c r="BL88" s="652">
        <f t="shared" ca="1" si="65"/>
        <v>0</v>
      </c>
      <c r="BM88" s="652">
        <f t="shared" ca="1" si="65"/>
        <v>0</v>
      </c>
      <c r="BN88" s="652">
        <f t="shared" ca="1" si="65"/>
        <v>0</v>
      </c>
      <c r="BO88" s="652">
        <f t="shared" ca="1" si="65"/>
        <v>0</v>
      </c>
      <c r="BP88" s="652">
        <f t="shared" ca="1" si="65"/>
        <v>0</v>
      </c>
      <c r="BQ88" s="652">
        <f t="shared" ca="1" si="65"/>
        <v>0</v>
      </c>
      <c r="BR88" s="652">
        <f t="shared" ca="1" si="75"/>
        <v>990.5</v>
      </c>
      <c r="BS88" s="652">
        <f t="shared" ca="1" si="25"/>
        <v>107964.5</v>
      </c>
      <c r="BT88" s="652">
        <f t="shared" ca="1" si="25"/>
        <v>0</v>
      </c>
      <c r="BU88" s="652">
        <f t="shared" ca="1" si="25"/>
        <v>4952.5</v>
      </c>
      <c r="BV88" s="652">
        <f t="shared" ca="1" si="25"/>
        <v>0</v>
      </c>
      <c r="BW88" s="652">
        <f t="shared" ca="1" si="25"/>
        <v>90899.586808343753</v>
      </c>
      <c r="BX88" s="652">
        <f t="shared" ca="1" si="25"/>
        <v>53.500673499268046</v>
      </c>
      <c r="BY88" s="652">
        <f t="shared" ca="1" si="25"/>
        <v>0</v>
      </c>
    </row>
    <row r="89" spans="1:77">
      <c r="A89" s="425" t="str">
        <f t="shared" ca="1" si="73"/>
        <v>Business RebatesKU-Water Cooled Chiller &lt; 150 Tons</v>
      </c>
      <c r="B89" s="1297" t="str">
        <f t="shared" si="1"/>
        <v>KUBusiness Rebates</v>
      </c>
      <c r="C89" s="662" t="s">
        <v>175</v>
      </c>
      <c r="D89" s="662" t="s">
        <v>63</v>
      </c>
      <c r="E89" s="652" t="str">
        <f t="shared" ca="1" si="84"/>
        <v>KU-Water Cooled Chiller &lt; 150 Tons</v>
      </c>
      <c r="F89" s="652" t="str">
        <f t="shared" ca="1" si="84"/>
        <v>0.66 kW/ton (full load); 0.54 kW/ton (IPLV)</v>
      </c>
      <c r="G89" s="652" t="str">
        <f t="shared" ca="1" si="84"/>
        <v>Per Ton</v>
      </c>
      <c r="H89" s="652">
        <f t="shared" ca="1" si="27"/>
        <v>0</v>
      </c>
      <c r="I89" s="652">
        <f t="shared" ca="1" si="27"/>
        <v>0</v>
      </c>
      <c r="J89" s="652">
        <f t="shared" ca="1" si="27"/>
        <v>0.5</v>
      </c>
      <c r="K89" s="652">
        <f t="shared" ca="1" si="27"/>
        <v>0</v>
      </c>
      <c r="L89" s="652">
        <f t="shared" ca="1" si="27"/>
        <v>0</v>
      </c>
      <c r="M89" s="652">
        <f t="shared" ca="1" si="27"/>
        <v>0.5</v>
      </c>
      <c r="N89" s="652">
        <f t="shared" ca="1" si="27"/>
        <v>0</v>
      </c>
      <c r="O89" s="652">
        <f t="shared" ca="1" si="27"/>
        <v>0</v>
      </c>
      <c r="P89" s="652">
        <f t="shared" ca="1" si="27"/>
        <v>0</v>
      </c>
      <c r="Q89" s="652">
        <f t="shared" ca="1" si="27"/>
        <v>5200</v>
      </c>
      <c r="R89" s="652">
        <f t="shared" ca="1" si="27"/>
        <v>0</v>
      </c>
      <c r="S89" s="652">
        <f t="shared" ca="1" si="27"/>
        <v>0</v>
      </c>
      <c r="T89" s="652">
        <f t="shared" ca="1" si="27"/>
        <v>5200</v>
      </c>
      <c r="U89" s="652">
        <f t="shared" ca="1" si="27"/>
        <v>0</v>
      </c>
      <c r="V89" s="652">
        <f t="shared" ca="1" si="22"/>
        <v>0</v>
      </c>
      <c r="W89" s="652">
        <f t="shared" ca="1" si="22"/>
        <v>0</v>
      </c>
      <c r="X89" s="652">
        <f t="shared" ca="1" si="22"/>
        <v>0</v>
      </c>
      <c r="Y89" s="652">
        <f t="shared" ca="1" si="23"/>
        <v>0</v>
      </c>
      <c r="Z89" s="652">
        <f t="shared" ca="1" si="23"/>
        <v>0</v>
      </c>
      <c r="AA89" s="652">
        <f t="shared" ca="1" si="23"/>
        <v>0</v>
      </c>
      <c r="AB89" s="652">
        <f t="shared" ca="1" si="23"/>
        <v>0</v>
      </c>
      <c r="AC89" s="652">
        <f t="shared" ca="1" si="23"/>
        <v>0</v>
      </c>
      <c r="AD89" s="652">
        <f t="shared" ca="1" si="23"/>
        <v>0</v>
      </c>
      <c r="AE89" s="652">
        <f t="shared" ca="1" si="23"/>
        <v>150</v>
      </c>
      <c r="AF89" s="652">
        <f t="shared" ca="1" si="23"/>
        <v>0</v>
      </c>
      <c r="AG89" s="652">
        <f t="shared" ca="1" si="23"/>
        <v>0</v>
      </c>
      <c r="AH89" s="652">
        <f t="shared" ca="1" si="23"/>
        <v>150</v>
      </c>
      <c r="AI89" s="652">
        <f t="shared" ca="1" si="23"/>
        <v>0</v>
      </c>
      <c r="AJ89" s="652">
        <f t="shared" ca="1" si="23"/>
        <v>0</v>
      </c>
      <c r="AK89" s="652">
        <f t="shared" ca="1" si="23"/>
        <v>0</v>
      </c>
      <c r="AL89" s="652">
        <f t="shared" ca="1" si="23"/>
        <v>1091.3788098693767</v>
      </c>
      <c r="AM89" s="652">
        <f t="shared" ca="1" si="24"/>
        <v>0</v>
      </c>
      <c r="AN89" s="652">
        <f t="shared" ca="1" si="24"/>
        <v>0</v>
      </c>
      <c r="AO89" s="652">
        <f t="shared" ca="1" si="24"/>
        <v>1091.3788098693767</v>
      </c>
      <c r="AP89" s="652">
        <f t="shared" ca="1" si="24"/>
        <v>0</v>
      </c>
      <c r="AQ89" s="652">
        <f t="shared" ca="1" si="24"/>
        <v>0</v>
      </c>
      <c r="AR89" s="652">
        <f t="shared" ca="1" si="24"/>
        <v>0</v>
      </c>
      <c r="AS89" s="652">
        <f t="shared" ca="1" si="24"/>
        <v>2.4239999999999977</v>
      </c>
      <c r="AT89" s="652">
        <f t="shared" ca="1" si="24"/>
        <v>0</v>
      </c>
      <c r="AU89" s="652">
        <f t="shared" ca="1" si="24"/>
        <v>0</v>
      </c>
      <c r="AV89" s="652">
        <f t="shared" ca="1" si="24"/>
        <v>2.4239999999999977</v>
      </c>
      <c r="AW89" s="652">
        <f t="shared" ca="1" si="24"/>
        <v>0</v>
      </c>
      <c r="AX89" s="652">
        <f t="shared" ca="1" si="24"/>
        <v>0</v>
      </c>
      <c r="AY89" s="652">
        <f t="shared" ca="1" si="24"/>
        <v>0</v>
      </c>
      <c r="AZ89" s="652">
        <f t="shared" ca="1" si="24"/>
        <v>0</v>
      </c>
      <c r="BA89" s="652">
        <f t="shared" ca="1" si="25"/>
        <v>0</v>
      </c>
      <c r="BB89" s="652">
        <f t="shared" ca="1" si="25"/>
        <v>0</v>
      </c>
      <c r="BC89" s="652">
        <f t="shared" ca="1" si="25"/>
        <v>0</v>
      </c>
      <c r="BD89" s="652">
        <f t="shared" ca="1" si="25"/>
        <v>0</v>
      </c>
      <c r="BE89" s="652" t="str">
        <f t="shared" ca="1" si="85"/>
        <v>Commercial</v>
      </c>
      <c r="BF89" s="652" t="str">
        <f t="shared" ca="1" si="85"/>
        <v>OFFSMCool</v>
      </c>
      <c r="BG89" s="652" t="str">
        <f t="shared" ca="1" si="85"/>
        <v>OFFSMGasHeat</v>
      </c>
      <c r="BH89" s="652" t="str">
        <f t="shared" ca="1" si="85"/>
        <v>KU NonRes</v>
      </c>
      <c r="BI89" s="652" t="str">
        <f t="shared" ca="1" si="85"/>
        <v>KU NonRes</v>
      </c>
      <c r="BJ89" s="652">
        <f t="shared" ca="1" si="74"/>
        <v>20</v>
      </c>
      <c r="BK89" s="652">
        <f t="shared" ca="1" si="74"/>
        <v>0</v>
      </c>
      <c r="BL89" s="652">
        <f t="shared" ca="1" si="65"/>
        <v>0</v>
      </c>
      <c r="BM89" s="652">
        <f t="shared" ca="1" si="65"/>
        <v>0</v>
      </c>
      <c r="BN89" s="652">
        <f t="shared" ca="1" si="65"/>
        <v>0</v>
      </c>
      <c r="BO89" s="652">
        <f t="shared" ca="1" si="65"/>
        <v>0</v>
      </c>
      <c r="BP89" s="652">
        <f t="shared" ca="1" si="65"/>
        <v>0</v>
      </c>
      <c r="BQ89" s="652">
        <f t="shared" ca="1" si="65"/>
        <v>0</v>
      </c>
      <c r="BR89" s="652">
        <f t="shared" ca="1" si="75"/>
        <v>1</v>
      </c>
      <c r="BS89" s="652">
        <f t="shared" ca="1" si="25"/>
        <v>10400</v>
      </c>
      <c r="BT89" s="652">
        <f t="shared" ca="1" si="25"/>
        <v>0</v>
      </c>
      <c r="BU89" s="652">
        <f t="shared" ca="1" si="25"/>
        <v>300</v>
      </c>
      <c r="BV89" s="652">
        <f t="shared" ca="1" si="25"/>
        <v>0</v>
      </c>
      <c r="BW89" s="652">
        <f t="shared" ca="1" si="25"/>
        <v>2182.7576197387534</v>
      </c>
      <c r="BX89" s="652">
        <f t="shared" ca="1" si="25"/>
        <v>4.8479999999999954</v>
      </c>
      <c r="BY89" s="652">
        <f t="shared" ca="1" si="25"/>
        <v>0</v>
      </c>
    </row>
    <row r="90" spans="1:77">
      <c r="A90" s="425" t="str">
        <f t="shared" ca="1" si="73"/>
        <v>Business RebatesKU-Water Cooled Chiller ≥ 150 Tons &amp; ≤ 300 Tons</v>
      </c>
      <c r="B90" s="1297" t="str">
        <f t="shared" si="1"/>
        <v>KUBusiness Rebates</v>
      </c>
      <c r="C90" s="662" t="s">
        <v>176</v>
      </c>
      <c r="D90" s="662" t="s">
        <v>63</v>
      </c>
      <c r="E90" s="652" t="str">
        <f t="shared" ca="1" si="84"/>
        <v>KU-Water Cooled Chiller ≥ 150 Tons &amp; ≤ 300 Tons</v>
      </c>
      <c r="F90" s="652" t="str">
        <f t="shared" ca="1" si="84"/>
        <v>0.58 kW/ton (full load); 0.49 kW/ton (IPLV)</v>
      </c>
      <c r="G90" s="652" t="str">
        <f t="shared" ca="1" si="84"/>
        <v>Per Ton</v>
      </c>
      <c r="H90" s="652">
        <f t="shared" ca="1" si="27"/>
        <v>0.5</v>
      </c>
      <c r="I90" s="652">
        <f t="shared" ca="1" si="27"/>
        <v>0</v>
      </c>
      <c r="J90" s="652">
        <f t="shared" ca="1" si="27"/>
        <v>0</v>
      </c>
      <c r="K90" s="652">
        <f t="shared" ca="1" si="27"/>
        <v>0.5</v>
      </c>
      <c r="L90" s="652">
        <f t="shared" ca="1" si="27"/>
        <v>0</v>
      </c>
      <c r="M90" s="652">
        <f t="shared" ca="1" si="27"/>
        <v>0</v>
      </c>
      <c r="N90" s="652">
        <f t="shared" ca="1" si="27"/>
        <v>0.5</v>
      </c>
      <c r="O90" s="652">
        <f t="shared" ca="1" si="27"/>
        <v>7800</v>
      </c>
      <c r="P90" s="652">
        <f t="shared" ca="1" si="27"/>
        <v>0</v>
      </c>
      <c r="Q90" s="652">
        <f t="shared" ca="1" si="27"/>
        <v>0</v>
      </c>
      <c r="R90" s="652">
        <f t="shared" ca="1" si="27"/>
        <v>7800</v>
      </c>
      <c r="S90" s="652">
        <f t="shared" ca="1" si="27"/>
        <v>0</v>
      </c>
      <c r="T90" s="652">
        <f t="shared" ca="1" si="27"/>
        <v>0</v>
      </c>
      <c r="U90" s="652">
        <f t="shared" ca="1" si="27"/>
        <v>7800</v>
      </c>
      <c r="V90" s="652">
        <f t="shared" ca="1" si="22"/>
        <v>0</v>
      </c>
      <c r="W90" s="652">
        <f t="shared" ca="1" si="22"/>
        <v>0</v>
      </c>
      <c r="X90" s="652">
        <f t="shared" ca="1" si="22"/>
        <v>0</v>
      </c>
      <c r="Y90" s="652">
        <f t="shared" ca="1" si="23"/>
        <v>0</v>
      </c>
      <c r="Z90" s="652">
        <f t="shared" ca="1" si="23"/>
        <v>0</v>
      </c>
      <c r="AA90" s="652">
        <f t="shared" ca="1" si="23"/>
        <v>0</v>
      </c>
      <c r="AB90" s="652">
        <f t="shared" ca="1" si="23"/>
        <v>0</v>
      </c>
      <c r="AC90" s="652">
        <f t="shared" ca="1" si="23"/>
        <v>300</v>
      </c>
      <c r="AD90" s="652">
        <f t="shared" ca="1" si="23"/>
        <v>0</v>
      </c>
      <c r="AE90" s="652">
        <f t="shared" ca="1" si="23"/>
        <v>0</v>
      </c>
      <c r="AF90" s="652">
        <f t="shared" ca="1" si="23"/>
        <v>300</v>
      </c>
      <c r="AG90" s="652">
        <f t="shared" ca="1" si="23"/>
        <v>0</v>
      </c>
      <c r="AH90" s="652">
        <f t="shared" ca="1" si="23"/>
        <v>0</v>
      </c>
      <c r="AI90" s="652">
        <f t="shared" ca="1" si="23"/>
        <v>300</v>
      </c>
      <c r="AJ90" s="652">
        <f t="shared" ca="1" si="23"/>
        <v>5456.8940493468845</v>
      </c>
      <c r="AK90" s="652">
        <f t="shared" ca="1" si="23"/>
        <v>0</v>
      </c>
      <c r="AL90" s="652">
        <f t="shared" ca="1" si="23"/>
        <v>0</v>
      </c>
      <c r="AM90" s="652">
        <f t="shared" ca="1" si="24"/>
        <v>5456.8940493468845</v>
      </c>
      <c r="AN90" s="652">
        <f t="shared" ca="1" si="24"/>
        <v>0</v>
      </c>
      <c r="AO90" s="652">
        <f t="shared" ca="1" si="24"/>
        <v>0</v>
      </c>
      <c r="AP90" s="652">
        <f t="shared" ca="1" si="24"/>
        <v>5456.8940493468845</v>
      </c>
      <c r="AQ90" s="652">
        <f t="shared" ca="1" si="24"/>
        <v>6.4640000000000057</v>
      </c>
      <c r="AR90" s="652">
        <f t="shared" ca="1" si="24"/>
        <v>0</v>
      </c>
      <c r="AS90" s="652">
        <f t="shared" ca="1" si="24"/>
        <v>0</v>
      </c>
      <c r="AT90" s="652">
        <f t="shared" ca="1" si="24"/>
        <v>6.4640000000000057</v>
      </c>
      <c r="AU90" s="652">
        <f t="shared" ca="1" si="24"/>
        <v>0</v>
      </c>
      <c r="AV90" s="652">
        <f t="shared" ca="1" si="24"/>
        <v>0</v>
      </c>
      <c r="AW90" s="652">
        <f t="shared" ca="1" si="24"/>
        <v>6.4640000000000057</v>
      </c>
      <c r="AX90" s="652">
        <f t="shared" ca="1" si="24"/>
        <v>0</v>
      </c>
      <c r="AY90" s="652">
        <f t="shared" ca="1" si="24"/>
        <v>0</v>
      </c>
      <c r="AZ90" s="652">
        <f t="shared" ca="1" si="24"/>
        <v>0</v>
      </c>
      <c r="BA90" s="652">
        <f t="shared" ca="1" si="25"/>
        <v>0</v>
      </c>
      <c r="BB90" s="652">
        <f t="shared" ca="1" si="25"/>
        <v>0</v>
      </c>
      <c r="BC90" s="652">
        <f t="shared" ca="1" si="25"/>
        <v>0</v>
      </c>
      <c r="BD90" s="652">
        <f t="shared" ca="1" si="25"/>
        <v>0</v>
      </c>
      <c r="BE90" s="652" t="str">
        <f t="shared" ca="1" si="85"/>
        <v>Commercial</v>
      </c>
      <c r="BF90" s="652" t="str">
        <f t="shared" ca="1" si="85"/>
        <v>OFFLGCool</v>
      </c>
      <c r="BG90" s="652" t="str">
        <f t="shared" ca="1" si="85"/>
        <v>OFFSMGasHeat</v>
      </c>
      <c r="BH90" s="652" t="str">
        <f t="shared" ca="1" si="85"/>
        <v>KU NonRes</v>
      </c>
      <c r="BI90" s="652" t="str">
        <f t="shared" ca="1" si="85"/>
        <v>KU NonRes</v>
      </c>
      <c r="BJ90" s="652">
        <f t="shared" ca="1" si="85"/>
        <v>20</v>
      </c>
      <c r="BK90" s="652">
        <f t="shared" ca="1" si="85"/>
        <v>0</v>
      </c>
      <c r="BL90" s="652">
        <f t="shared" ca="1" si="65"/>
        <v>0</v>
      </c>
      <c r="BM90" s="652">
        <f t="shared" ca="1" si="65"/>
        <v>0</v>
      </c>
      <c r="BN90" s="652">
        <f t="shared" ca="1" si="65"/>
        <v>0</v>
      </c>
      <c r="BO90" s="652">
        <f t="shared" ca="1" si="65"/>
        <v>0</v>
      </c>
      <c r="BP90" s="652">
        <f t="shared" ca="1" si="65"/>
        <v>0</v>
      </c>
      <c r="BQ90" s="652">
        <f t="shared" ca="1" si="65"/>
        <v>0</v>
      </c>
      <c r="BR90" s="652">
        <f t="shared" ca="1" si="75"/>
        <v>1.5</v>
      </c>
      <c r="BS90" s="652">
        <f t="shared" ca="1" si="25"/>
        <v>23400</v>
      </c>
      <c r="BT90" s="652">
        <f t="shared" ca="1" si="25"/>
        <v>0</v>
      </c>
      <c r="BU90" s="652">
        <f t="shared" ca="1" si="25"/>
        <v>900</v>
      </c>
      <c r="BV90" s="652">
        <f t="shared" ca="1" si="25"/>
        <v>0</v>
      </c>
      <c r="BW90" s="652">
        <f t="shared" ca="1" si="25"/>
        <v>16370.682148040654</v>
      </c>
      <c r="BX90" s="652">
        <f t="shared" ca="1" si="25"/>
        <v>19.392000000000017</v>
      </c>
      <c r="BY90" s="652">
        <f t="shared" ca="1" si="25"/>
        <v>0</v>
      </c>
    </row>
    <row r="91" spans="1:77">
      <c r="A91" s="425" t="str">
        <f t="shared" ca="1" si="73"/>
        <v>Business RebatesKU-Water Cooled Chiller &gt; 300 Tons</v>
      </c>
      <c r="B91" s="1297" t="str">
        <f t="shared" si="1"/>
        <v>KUBusiness Rebates</v>
      </c>
      <c r="C91" s="662" t="s">
        <v>177</v>
      </c>
      <c r="D91" s="662" t="s">
        <v>63</v>
      </c>
      <c r="E91" s="652" t="str">
        <f t="shared" ca="1" si="84"/>
        <v>KU-Water Cooled Chiller &gt; 300 Tons</v>
      </c>
      <c r="F91" s="652" t="str">
        <f t="shared" ca="1" si="84"/>
        <v>0.53 kW/ton (full load); 0.46 kW/ton (IPLV)</v>
      </c>
      <c r="G91" s="652" t="str">
        <f t="shared" ca="1" si="84"/>
        <v>Per Ton</v>
      </c>
      <c r="H91" s="652">
        <f t="shared" ca="1" si="27"/>
        <v>0</v>
      </c>
      <c r="I91" s="652">
        <f t="shared" ca="1" si="27"/>
        <v>0.5</v>
      </c>
      <c r="J91" s="652">
        <f t="shared" ca="1" si="27"/>
        <v>0</v>
      </c>
      <c r="K91" s="652">
        <f t="shared" ca="1" si="27"/>
        <v>0</v>
      </c>
      <c r="L91" s="652">
        <f t="shared" ca="1" si="27"/>
        <v>0.5</v>
      </c>
      <c r="M91" s="652">
        <f t="shared" ca="1" si="27"/>
        <v>0</v>
      </c>
      <c r="N91" s="652">
        <f t="shared" ca="1" si="27"/>
        <v>0</v>
      </c>
      <c r="O91" s="652">
        <f t="shared" ca="1" si="27"/>
        <v>0</v>
      </c>
      <c r="P91" s="652">
        <f t="shared" ca="1" si="27"/>
        <v>2866</v>
      </c>
      <c r="Q91" s="652">
        <f t="shared" ca="1" si="27"/>
        <v>0</v>
      </c>
      <c r="R91" s="652">
        <f t="shared" ca="1" si="27"/>
        <v>0</v>
      </c>
      <c r="S91" s="652">
        <f t="shared" ca="1" si="27"/>
        <v>2866</v>
      </c>
      <c r="T91" s="652">
        <f t="shared" ca="1" si="27"/>
        <v>0</v>
      </c>
      <c r="U91" s="652">
        <f t="shared" ca="1" si="27"/>
        <v>0</v>
      </c>
      <c r="V91" s="652">
        <f t="shared" ca="1" si="22"/>
        <v>0</v>
      </c>
      <c r="W91" s="652">
        <f t="shared" ca="1" si="22"/>
        <v>0</v>
      </c>
      <c r="X91" s="652">
        <f t="shared" ca="1" si="22"/>
        <v>0</v>
      </c>
      <c r="Y91" s="652">
        <f t="shared" ca="1" si="23"/>
        <v>0</v>
      </c>
      <c r="Z91" s="652">
        <f t="shared" ca="1" si="23"/>
        <v>0</v>
      </c>
      <c r="AA91" s="652">
        <f t="shared" ca="1" si="23"/>
        <v>0</v>
      </c>
      <c r="AB91" s="652">
        <f t="shared" ca="1" si="23"/>
        <v>0</v>
      </c>
      <c r="AC91" s="652">
        <f t="shared" ca="1" si="23"/>
        <v>0</v>
      </c>
      <c r="AD91" s="652">
        <f t="shared" ca="1" si="23"/>
        <v>600</v>
      </c>
      <c r="AE91" s="652">
        <f t="shared" ca="1" si="23"/>
        <v>0</v>
      </c>
      <c r="AF91" s="652">
        <f t="shared" ca="1" si="23"/>
        <v>0</v>
      </c>
      <c r="AG91" s="652">
        <f t="shared" ca="1" si="23"/>
        <v>600</v>
      </c>
      <c r="AH91" s="652">
        <f t="shared" ca="1" si="23"/>
        <v>0</v>
      </c>
      <c r="AI91" s="652">
        <f t="shared" ca="1" si="23"/>
        <v>0</v>
      </c>
      <c r="AJ91" s="652">
        <f t="shared" ca="1" si="23"/>
        <v>0</v>
      </c>
      <c r="AK91" s="652">
        <f t="shared" ca="1" si="23"/>
        <v>25660.768452982815</v>
      </c>
      <c r="AL91" s="652">
        <f t="shared" ca="1" si="23"/>
        <v>0</v>
      </c>
      <c r="AM91" s="652">
        <f t="shared" ca="1" si="24"/>
        <v>0</v>
      </c>
      <c r="AN91" s="652">
        <f t="shared" ca="1" si="24"/>
        <v>25660.768452982815</v>
      </c>
      <c r="AO91" s="652">
        <f t="shared" ca="1" si="24"/>
        <v>0</v>
      </c>
      <c r="AP91" s="652">
        <f t="shared" ca="1" si="24"/>
        <v>0</v>
      </c>
      <c r="AQ91" s="652">
        <f t="shared" ca="1" si="24"/>
        <v>0</v>
      </c>
      <c r="AR91" s="652">
        <f t="shared" ca="1" si="24"/>
        <v>10.767441860465116</v>
      </c>
      <c r="AS91" s="652">
        <f t="shared" ca="1" si="24"/>
        <v>0</v>
      </c>
      <c r="AT91" s="652">
        <f t="shared" ca="1" si="24"/>
        <v>0</v>
      </c>
      <c r="AU91" s="652">
        <f t="shared" ca="1" si="24"/>
        <v>10.767441860465116</v>
      </c>
      <c r="AV91" s="652">
        <f t="shared" ca="1" si="24"/>
        <v>0</v>
      </c>
      <c r="AW91" s="652">
        <f t="shared" ca="1" si="24"/>
        <v>0</v>
      </c>
      <c r="AX91" s="652">
        <f t="shared" ca="1" si="24"/>
        <v>0</v>
      </c>
      <c r="AY91" s="652">
        <f t="shared" ca="1" si="24"/>
        <v>0</v>
      </c>
      <c r="AZ91" s="652">
        <f t="shared" ca="1" si="24"/>
        <v>0</v>
      </c>
      <c r="BA91" s="652">
        <f t="shared" ca="1" si="25"/>
        <v>0</v>
      </c>
      <c r="BB91" s="652">
        <f t="shared" ca="1" si="25"/>
        <v>0</v>
      </c>
      <c r="BC91" s="652">
        <f t="shared" ca="1" si="25"/>
        <v>0</v>
      </c>
      <c r="BD91" s="652">
        <f t="shared" ca="1" si="25"/>
        <v>0</v>
      </c>
      <c r="BE91" s="652" t="str">
        <f t="shared" ca="1" si="85"/>
        <v>Commercial</v>
      </c>
      <c r="BF91" s="652" t="str">
        <f t="shared" ca="1" si="85"/>
        <v>OFFLGCool</v>
      </c>
      <c r="BG91" s="652" t="str">
        <f t="shared" ca="1" si="85"/>
        <v>OFFSMGasHeat</v>
      </c>
      <c r="BH91" s="652" t="str">
        <f t="shared" ca="1" si="85"/>
        <v>KU NonRes</v>
      </c>
      <c r="BI91" s="652" t="str">
        <f t="shared" ca="1" si="85"/>
        <v>KU NonRes</v>
      </c>
      <c r="BJ91" s="652">
        <f t="shared" ca="1" si="85"/>
        <v>20</v>
      </c>
      <c r="BK91" s="652">
        <f t="shared" ca="1" si="85"/>
        <v>0</v>
      </c>
      <c r="BL91" s="652">
        <f t="shared" ca="1" si="65"/>
        <v>0</v>
      </c>
      <c r="BM91" s="652">
        <f t="shared" ca="1" si="65"/>
        <v>0</v>
      </c>
      <c r="BN91" s="652">
        <f t="shared" ca="1" si="65"/>
        <v>0</v>
      </c>
      <c r="BO91" s="652">
        <f t="shared" ca="1" si="65"/>
        <v>0</v>
      </c>
      <c r="BP91" s="652">
        <f t="shared" ca="1" si="65"/>
        <v>0</v>
      </c>
      <c r="BQ91" s="652">
        <f t="shared" ca="1" si="65"/>
        <v>0</v>
      </c>
      <c r="BR91" s="652">
        <f t="shared" ca="1" si="75"/>
        <v>1</v>
      </c>
      <c r="BS91" s="652">
        <f t="shared" ca="1" si="25"/>
        <v>5732</v>
      </c>
      <c r="BT91" s="652">
        <f t="shared" ca="1" si="25"/>
        <v>0</v>
      </c>
      <c r="BU91" s="652">
        <f t="shared" ca="1" si="25"/>
        <v>1200</v>
      </c>
      <c r="BV91" s="652">
        <f t="shared" ca="1" si="25"/>
        <v>0</v>
      </c>
      <c r="BW91" s="652">
        <f t="shared" ca="1" si="25"/>
        <v>51321.53690596563</v>
      </c>
      <c r="BX91" s="652">
        <f t="shared" ca="1" si="25"/>
        <v>21.534883720930232</v>
      </c>
      <c r="BY91" s="652">
        <f t="shared" ca="1" si="25"/>
        <v>0</v>
      </c>
    </row>
    <row r="92" spans="1:77">
      <c r="A92" s="425" t="str">
        <f t="shared" ca="1" si="73"/>
        <v>Business RebatesKU-Air Cooled Chilled Water Reset, 0-100 tons</v>
      </c>
      <c r="B92" s="1297" t="str">
        <f t="shared" si="1"/>
        <v>KUBusiness Rebates</v>
      </c>
      <c r="C92" s="662" t="s">
        <v>178</v>
      </c>
      <c r="D92" s="662" t="s">
        <v>63</v>
      </c>
      <c r="E92" s="652" t="str">
        <f t="shared" ca="1" si="84"/>
        <v>KU-Air Cooled Chilled Water Reset, 0-100 tons</v>
      </c>
      <c r="F92" s="652" t="str">
        <f t="shared" ca="1" si="84"/>
        <v>Air Cooled Chilled Water Reset</v>
      </c>
      <c r="G92" s="652" t="str">
        <f t="shared" ca="1" si="84"/>
        <v>Per Unit</v>
      </c>
      <c r="H92" s="652">
        <f t="shared" ca="1" si="27"/>
        <v>0</v>
      </c>
      <c r="I92" s="652">
        <f t="shared" ca="1" si="27"/>
        <v>0.5</v>
      </c>
      <c r="J92" s="652">
        <f t="shared" ca="1" si="27"/>
        <v>0</v>
      </c>
      <c r="K92" s="652">
        <f t="shared" ca="1" si="27"/>
        <v>0</v>
      </c>
      <c r="L92" s="652">
        <f t="shared" ca="1" si="27"/>
        <v>0.5</v>
      </c>
      <c r="M92" s="652">
        <f t="shared" ca="1" si="27"/>
        <v>0</v>
      </c>
      <c r="N92" s="652">
        <f t="shared" ca="1" si="27"/>
        <v>0</v>
      </c>
      <c r="O92" s="652">
        <f t="shared" ca="1" si="27"/>
        <v>0</v>
      </c>
      <c r="P92" s="652">
        <f t="shared" ca="1" si="27"/>
        <v>200</v>
      </c>
      <c r="Q92" s="652">
        <f t="shared" ca="1" si="27"/>
        <v>0</v>
      </c>
      <c r="R92" s="652">
        <f t="shared" ca="1" si="27"/>
        <v>0</v>
      </c>
      <c r="S92" s="652">
        <f t="shared" ca="1" si="27"/>
        <v>200</v>
      </c>
      <c r="T92" s="652">
        <f t="shared" ca="1" si="27"/>
        <v>0</v>
      </c>
      <c r="U92" s="652">
        <f t="shared" ca="1" si="27"/>
        <v>0</v>
      </c>
      <c r="V92" s="652">
        <f t="shared" ca="1" si="22"/>
        <v>0</v>
      </c>
      <c r="W92" s="652">
        <f t="shared" ca="1" si="22"/>
        <v>0</v>
      </c>
      <c r="X92" s="652">
        <f t="shared" ca="1" si="22"/>
        <v>0</v>
      </c>
      <c r="Y92" s="652">
        <f t="shared" ca="1" si="23"/>
        <v>0</v>
      </c>
      <c r="Z92" s="652">
        <f t="shared" ca="1" si="23"/>
        <v>0</v>
      </c>
      <c r="AA92" s="652">
        <f t="shared" ca="1" si="23"/>
        <v>0</v>
      </c>
      <c r="AB92" s="652">
        <f t="shared" ca="1" si="23"/>
        <v>0</v>
      </c>
      <c r="AC92" s="652">
        <f t="shared" ca="1" si="23"/>
        <v>0</v>
      </c>
      <c r="AD92" s="652">
        <f t="shared" ca="1" si="23"/>
        <v>50</v>
      </c>
      <c r="AE92" s="652">
        <f t="shared" ca="1" si="23"/>
        <v>0</v>
      </c>
      <c r="AF92" s="652">
        <f t="shared" ca="1" si="23"/>
        <v>0</v>
      </c>
      <c r="AG92" s="652">
        <f t="shared" ca="1" si="23"/>
        <v>50</v>
      </c>
      <c r="AH92" s="652">
        <f t="shared" ca="1" si="23"/>
        <v>0</v>
      </c>
      <c r="AI92" s="652">
        <f t="shared" ca="1" si="23"/>
        <v>0</v>
      </c>
      <c r="AJ92" s="652">
        <f t="shared" ca="1" si="23"/>
        <v>0</v>
      </c>
      <c r="AK92" s="652">
        <f t="shared" ca="1" si="23"/>
        <v>1412.9100663157894</v>
      </c>
      <c r="AL92" s="652">
        <f t="shared" ca="1" si="23"/>
        <v>0</v>
      </c>
      <c r="AM92" s="652">
        <f t="shared" ca="1" si="24"/>
        <v>0</v>
      </c>
      <c r="AN92" s="652">
        <f t="shared" ca="1" si="24"/>
        <v>1412.9100663157894</v>
      </c>
      <c r="AO92" s="652">
        <f t="shared" ca="1" si="24"/>
        <v>0</v>
      </c>
      <c r="AP92" s="652">
        <f t="shared" ca="1" si="24"/>
        <v>0</v>
      </c>
      <c r="AQ92" s="652">
        <f t="shared" ca="1" si="24"/>
        <v>0</v>
      </c>
      <c r="AR92" s="652">
        <f t="shared" ca="1" si="24"/>
        <v>0.89785555492028002</v>
      </c>
      <c r="AS92" s="652">
        <f t="shared" ca="1" si="24"/>
        <v>0</v>
      </c>
      <c r="AT92" s="652">
        <f t="shared" ca="1" si="24"/>
        <v>0</v>
      </c>
      <c r="AU92" s="652">
        <f t="shared" ca="1" si="24"/>
        <v>0.89785555492028002</v>
      </c>
      <c r="AV92" s="652">
        <f t="shared" ca="1" si="24"/>
        <v>0</v>
      </c>
      <c r="AW92" s="652">
        <f t="shared" ca="1" si="24"/>
        <v>0</v>
      </c>
      <c r="AX92" s="652">
        <f t="shared" ca="1" si="24"/>
        <v>0</v>
      </c>
      <c r="AY92" s="652">
        <f t="shared" ca="1" si="24"/>
        <v>0</v>
      </c>
      <c r="AZ92" s="652">
        <f t="shared" ca="1" si="24"/>
        <v>0</v>
      </c>
      <c r="BA92" s="652">
        <f t="shared" ca="1" si="25"/>
        <v>0</v>
      </c>
      <c r="BB92" s="652">
        <f t="shared" ca="1" si="25"/>
        <v>0</v>
      </c>
      <c r="BC92" s="652">
        <f t="shared" ca="1" si="25"/>
        <v>0</v>
      </c>
      <c r="BD92" s="652">
        <f t="shared" ca="1" si="25"/>
        <v>0</v>
      </c>
      <c r="BE92" s="652" t="str">
        <f t="shared" ca="1" si="85"/>
        <v>Commercial</v>
      </c>
      <c r="BF92" s="652" t="str">
        <f t="shared" ca="1" si="85"/>
        <v>OFFSMCool</v>
      </c>
      <c r="BG92" s="652" t="str">
        <f t="shared" ca="1" si="85"/>
        <v>OFFSMGasHeat</v>
      </c>
      <c r="BH92" s="652" t="str">
        <f t="shared" ca="1" si="85"/>
        <v>KU NonRes</v>
      </c>
      <c r="BI92" s="652" t="str">
        <f t="shared" ca="1" si="85"/>
        <v>KU NonRes</v>
      </c>
      <c r="BJ92" s="652">
        <f t="shared" ca="1" si="85"/>
        <v>10</v>
      </c>
      <c r="BK92" s="652">
        <f t="shared" ca="1" si="85"/>
        <v>0</v>
      </c>
      <c r="BL92" s="652">
        <f t="shared" ca="1" si="65"/>
        <v>0</v>
      </c>
      <c r="BM92" s="652">
        <f t="shared" ca="1" si="65"/>
        <v>0</v>
      </c>
      <c r="BN92" s="652">
        <f t="shared" ca="1" si="65"/>
        <v>0</v>
      </c>
      <c r="BO92" s="652">
        <f t="shared" ca="1" si="65"/>
        <v>0</v>
      </c>
      <c r="BP92" s="652">
        <f t="shared" ca="1" si="65"/>
        <v>0</v>
      </c>
      <c r="BQ92" s="652">
        <f t="shared" ca="1" si="65"/>
        <v>0</v>
      </c>
      <c r="BR92" s="652">
        <f t="shared" ca="1" si="75"/>
        <v>1</v>
      </c>
      <c r="BS92" s="652">
        <f t="shared" ca="1" si="25"/>
        <v>400</v>
      </c>
      <c r="BT92" s="652">
        <f t="shared" ca="1" si="25"/>
        <v>0</v>
      </c>
      <c r="BU92" s="652">
        <f t="shared" ca="1" si="25"/>
        <v>100</v>
      </c>
      <c r="BV92" s="652">
        <f t="shared" ca="1" si="25"/>
        <v>0</v>
      </c>
      <c r="BW92" s="652">
        <f t="shared" ca="1" si="25"/>
        <v>2825.8201326315789</v>
      </c>
      <c r="BX92" s="652">
        <f t="shared" ca="1" si="25"/>
        <v>1.79571110984056</v>
      </c>
      <c r="BY92" s="652">
        <f t="shared" ca="1" si="25"/>
        <v>0</v>
      </c>
    </row>
    <row r="93" spans="1:77">
      <c r="A93" s="425" t="str">
        <f t="shared" ca="1" si="73"/>
        <v>Business RebatesKU-Air Cooled Chilled Water Reset, 100-200 tons</v>
      </c>
      <c r="B93" s="1297" t="str">
        <f t="shared" si="1"/>
        <v>KUBusiness Rebates</v>
      </c>
      <c r="C93" s="662" t="s">
        <v>183</v>
      </c>
      <c r="D93" s="662" t="s">
        <v>63</v>
      </c>
      <c r="E93" s="652" t="str">
        <f t="shared" ca="1" si="84"/>
        <v>KU-Air Cooled Chilled Water Reset, 100-200 tons</v>
      </c>
      <c r="F93" s="652" t="str">
        <f t="shared" ca="1" si="84"/>
        <v>Air Cooled Chilled Water Reset</v>
      </c>
      <c r="G93" s="652" t="str">
        <f t="shared" ca="1" si="84"/>
        <v>Per Unit</v>
      </c>
      <c r="H93" s="652">
        <f t="shared" ca="1" si="27"/>
        <v>0</v>
      </c>
      <c r="I93" s="652">
        <f t="shared" ca="1" si="27"/>
        <v>0</v>
      </c>
      <c r="J93" s="652">
        <f t="shared" ca="1" si="27"/>
        <v>0.5</v>
      </c>
      <c r="K93" s="652">
        <f t="shared" ca="1" si="27"/>
        <v>0</v>
      </c>
      <c r="L93" s="652">
        <f t="shared" ca="1" si="27"/>
        <v>0</v>
      </c>
      <c r="M93" s="652">
        <f t="shared" ca="1" si="27"/>
        <v>0.5</v>
      </c>
      <c r="N93" s="652">
        <f t="shared" ca="1" si="27"/>
        <v>0</v>
      </c>
      <c r="O93" s="652">
        <f t="shared" ca="1" si="27"/>
        <v>0</v>
      </c>
      <c r="P93" s="652">
        <f t="shared" ca="1" si="27"/>
        <v>0</v>
      </c>
      <c r="Q93" s="652">
        <f t="shared" ca="1" si="27"/>
        <v>400</v>
      </c>
      <c r="R93" s="652">
        <f t="shared" ca="1" si="27"/>
        <v>0</v>
      </c>
      <c r="S93" s="652">
        <f t="shared" ca="1" si="27"/>
        <v>0</v>
      </c>
      <c r="T93" s="652">
        <f t="shared" ca="1" si="27"/>
        <v>400</v>
      </c>
      <c r="U93" s="652">
        <f t="shared" ca="1" si="27"/>
        <v>0</v>
      </c>
      <c r="V93" s="652">
        <f t="shared" ca="1" si="22"/>
        <v>0</v>
      </c>
      <c r="W93" s="652">
        <f t="shared" ca="1" si="22"/>
        <v>0</v>
      </c>
      <c r="X93" s="652">
        <f t="shared" ca="1" si="22"/>
        <v>0</v>
      </c>
      <c r="Y93" s="652">
        <f t="shared" ca="1" si="23"/>
        <v>0</v>
      </c>
      <c r="Z93" s="652">
        <f t="shared" ca="1" si="23"/>
        <v>0</v>
      </c>
      <c r="AA93" s="652">
        <f t="shared" ca="1" si="23"/>
        <v>0</v>
      </c>
      <c r="AB93" s="652">
        <f t="shared" ca="1" si="23"/>
        <v>0</v>
      </c>
      <c r="AC93" s="652">
        <f t="shared" ca="1" si="23"/>
        <v>0</v>
      </c>
      <c r="AD93" s="652">
        <f t="shared" ca="1" si="23"/>
        <v>0</v>
      </c>
      <c r="AE93" s="652">
        <f t="shared" ca="1" si="23"/>
        <v>100</v>
      </c>
      <c r="AF93" s="652">
        <f t="shared" ca="1" si="23"/>
        <v>0</v>
      </c>
      <c r="AG93" s="652">
        <f t="shared" ca="1" si="23"/>
        <v>0</v>
      </c>
      <c r="AH93" s="652">
        <f t="shared" ca="1" si="23"/>
        <v>100</v>
      </c>
      <c r="AI93" s="652">
        <f t="shared" ca="1" si="23"/>
        <v>0</v>
      </c>
      <c r="AJ93" s="652">
        <f t="shared" ca="1" si="23"/>
        <v>0</v>
      </c>
      <c r="AK93" s="652">
        <f t="shared" ca="1" si="23"/>
        <v>0</v>
      </c>
      <c r="AL93" s="652">
        <f t="shared" ca="1" si="23"/>
        <v>3352.1712932565788</v>
      </c>
      <c r="AM93" s="652">
        <f t="shared" ca="1" si="24"/>
        <v>0</v>
      </c>
      <c r="AN93" s="652">
        <f t="shared" ca="1" si="24"/>
        <v>0</v>
      </c>
      <c r="AO93" s="652">
        <f t="shared" ca="1" si="24"/>
        <v>3352.1712932565788</v>
      </c>
      <c r="AP93" s="652">
        <f t="shared" ca="1" si="24"/>
        <v>0</v>
      </c>
      <c r="AQ93" s="652">
        <f t="shared" ca="1" si="24"/>
        <v>0</v>
      </c>
      <c r="AR93" s="652">
        <f t="shared" ca="1" si="24"/>
        <v>0</v>
      </c>
      <c r="AS93" s="652">
        <f t="shared" ca="1" si="24"/>
        <v>2.1301890958585803</v>
      </c>
      <c r="AT93" s="652">
        <f t="shared" ca="1" si="24"/>
        <v>0</v>
      </c>
      <c r="AU93" s="652">
        <f t="shared" ca="1" si="24"/>
        <v>0</v>
      </c>
      <c r="AV93" s="652">
        <f t="shared" ca="1" si="24"/>
        <v>2.1301890958585803</v>
      </c>
      <c r="AW93" s="652">
        <f t="shared" ca="1" si="24"/>
        <v>0</v>
      </c>
      <c r="AX93" s="652">
        <f t="shared" ca="1" si="24"/>
        <v>0</v>
      </c>
      <c r="AY93" s="652">
        <f t="shared" ca="1" si="24"/>
        <v>0</v>
      </c>
      <c r="AZ93" s="652">
        <f t="shared" ca="1" si="24"/>
        <v>0</v>
      </c>
      <c r="BA93" s="652">
        <f t="shared" ca="1" si="25"/>
        <v>0</v>
      </c>
      <c r="BB93" s="652">
        <f t="shared" ca="1" si="25"/>
        <v>0</v>
      </c>
      <c r="BC93" s="652">
        <f t="shared" ca="1" si="25"/>
        <v>0</v>
      </c>
      <c r="BD93" s="652">
        <f t="shared" ca="1" si="25"/>
        <v>0</v>
      </c>
      <c r="BE93" s="652" t="str">
        <f t="shared" ca="1" si="85"/>
        <v>Commercial</v>
      </c>
      <c r="BF93" s="652" t="str">
        <f t="shared" ca="1" si="85"/>
        <v>OFFLGCool</v>
      </c>
      <c r="BG93" s="652" t="str">
        <f t="shared" ca="1" si="85"/>
        <v>OFFSMGasHeat</v>
      </c>
      <c r="BH93" s="652" t="str">
        <f t="shared" ca="1" si="85"/>
        <v>KU NonRes</v>
      </c>
      <c r="BI93" s="652" t="str">
        <f t="shared" ca="1" si="85"/>
        <v>KU NonRes</v>
      </c>
      <c r="BJ93" s="652">
        <f t="shared" ca="1" si="85"/>
        <v>10</v>
      </c>
      <c r="BK93" s="652">
        <f t="shared" ca="1" si="85"/>
        <v>0</v>
      </c>
      <c r="BL93" s="652">
        <f t="shared" ca="1" si="65"/>
        <v>0</v>
      </c>
      <c r="BM93" s="652">
        <f t="shared" ca="1" si="65"/>
        <v>0</v>
      </c>
      <c r="BN93" s="652">
        <f t="shared" ca="1" si="65"/>
        <v>0</v>
      </c>
      <c r="BO93" s="652">
        <f t="shared" ca="1" si="65"/>
        <v>0</v>
      </c>
      <c r="BP93" s="652">
        <f t="shared" ca="1" si="65"/>
        <v>0</v>
      </c>
      <c r="BQ93" s="652">
        <f t="shared" ca="1" si="65"/>
        <v>0</v>
      </c>
      <c r="BR93" s="652">
        <f t="shared" ca="1" si="75"/>
        <v>1</v>
      </c>
      <c r="BS93" s="652">
        <f t="shared" ca="1" si="25"/>
        <v>800</v>
      </c>
      <c r="BT93" s="652">
        <f t="shared" ca="1" si="25"/>
        <v>0</v>
      </c>
      <c r="BU93" s="652">
        <f t="shared" ca="1" si="25"/>
        <v>200</v>
      </c>
      <c r="BV93" s="652">
        <f t="shared" ca="1" si="25"/>
        <v>0</v>
      </c>
      <c r="BW93" s="652">
        <f t="shared" ca="1" si="25"/>
        <v>6704.3425865131576</v>
      </c>
      <c r="BX93" s="652">
        <f t="shared" ca="1" si="25"/>
        <v>4.2603781917171606</v>
      </c>
      <c r="BY93" s="652">
        <f t="shared" ca="1" si="25"/>
        <v>0</v>
      </c>
    </row>
    <row r="94" spans="1:77">
      <c r="A94" s="425" t="str">
        <f t="shared" ca="1" si="73"/>
        <v>Business RebatesKU-Air Cooled Chilled Water Reset, 200-300 tons</v>
      </c>
      <c r="B94" s="1297" t="str">
        <f t="shared" si="1"/>
        <v>KUBusiness Rebates</v>
      </c>
      <c r="C94" s="662" t="s">
        <v>184</v>
      </c>
      <c r="D94" s="662" t="s">
        <v>63</v>
      </c>
      <c r="E94" s="652" t="str">
        <f t="shared" ca="1" si="84"/>
        <v>KU-Air Cooled Chilled Water Reset, 200-300 tons</v>
      </c>
      <c r="F94" s="652" t="str">
        <f t="shared" ca="1" si="84"/>
        <v>Air Cooled Chilled Water Reset</v>
      </c>
      <c r="G94" s="652" t="str">
        <f t="shared" ca="1" si="84"/>
        <v>Per Unit</v>
      </c>
      <c r="H94" s="652">
        <f t="shared" ca="1" si="27"/>
        <v>0.5</v>
      </c>
      <c r="I94" s="652">
        <f t="shared" ca="1" si="27"/>
        <v>0</v>
      </c>
      <c r="J94" s="652">
        <f t="shared" ca="1" si="27"/>
        <v>0</v>
      </c>
      <c r="K94" s="652">
        <f t="shared" ca="1" si="27"/>
        <v>0.5</v>
      </c>
      <c r="L94" s="652">
        <f t="shared" ca="1" si="27"/>
        <v>0</v>
      </c>
      <c r="M94" s="652">
        <f t="shared" ca="1" si="27"/>
        <v>0</v>
      </c>
      <c r="N94" s="652">
        <f t="shared" ca="1" si="27"/>
        <v>0.5</v>
      </c>
      <c r="O94" s="652">
        <f t="shared" ca="1" si="27"/>
        <v>600</v>
      </c>
      <c r="P94" s="652">
        <f t="shared" ca="1" si="27"/>
        <v>0</v>
      </c>
      <c r="Q94" s="652">
        <f t="shared" ca="1" si="27"/>
        <v>0</v>
      </c>
      <c r="R94" s="652">
        <f t="shared" ca="1" si="27"/>
        <v>600</v>
      </c>
      <c r="S94" s="652">
        <f t="shared" ca="1" si="27"/>
        <v>0</v>
      </c>
      <c r="T94" s="652">
        <f t="shared" ca="1" si="27"/>
        <v>0</v>
      </c>
      <c r="U94" s="652">
        <f t="shared" ca="1" si="27"/>
        <v>600</v>
      </c>
      <c r="V94" s="652">
        <f t="shared" ca="1" si="22"/>
        <v>0</v>
      </c>
      <c r="W94" s="652">
        <f t="shared" ca="1" si="22"/>
        <v>0</v>
      </c>
      <c r="X94" s="652">
        <f t="shared" ca="1" si="22"/>
        <v>0</v>
      </c>
      <c r="Y94" s="652">
        <f t="shared" ca="1" si="23"/>
        <v>0</v>
      </c>
      <c r="Z94" s="652">
        <f t="shared" ca="1" si="23"/>
        <v>0</v>
      </c>
      <c r="AA94" s="652">
        <f t="shared" ca="1" si="23"/>
        <v>0</v>
      </c>
      <c r="AB94" s="652">
        <f t="shared" ca="1" si="23"/>
        <v>0</v>
      </c>
      <c r="AC94" s="652">
        <f t="shared" ca="1" si="23"/>
        <v>150</v>
      </c>
      <c r="AD94" s="652">
        <f t="shared" ca="1" si="23"/>
        <v>0</v>
      </c>
      <c r="AE94" s="652">
        <f t="shared" ca="1" si="23"/>
        <v>0</v>
      </c>
      <c r="AF94" s="652">
        <f t="shared" ca="1" si="23"/>
        <v>150</v>
      </c>
      <c r="AG94" s="652">
        <f t="shared" ca="1" si="23"/>
        <v>0</v>
      </c>
      <c r="AH94" s="652">
        <f t="shared" ca="1" si="23"/>
        <v>0</v>
      </c>
      <c r="AI94" s="652">
        <f t="shared" ca="1" si="23"/>
        <v>150</v>
      </c>
      <c r="AJ94" s="652">
        <f t="shared" ca="1" si="23"/>
        <v>5070.7209473684215</v>
      </c>
      <c r="AK94" s="652">
        <f t="shared" ca="1" si="23"/>
        <v>0</v>
      </c>
      <c r="AL94" s="652">
        <f t="shared" ca="1" si="23"/>
        <v>0</v>
      </c>
      <c r="AM94" s="652">
        <f t="shared" ca="1" si="24"/>
        <v>5070.7209473684215</v>
      </c>
      <c r="AN94" s="652">
        <f t="shared" ca="1" si="24"/>
        <v>0</v>
      </c>
      <c r="AO94" s="652">
        <f t="shared" ca="1" si="24"/>
        <v>0</v>
      </c>
      <c r="AP94" s="652">
        <f t="shared" ca="1" si="24"/>
        <v>5070.7209473684215</v>
      </c>
      <c r="AQ94" s="652">
        <f t="shared" ca="1" si="24"/>
        <v>3.2222680541280848</v>
      </c>
      <c r="AR94" s="652">
        <f t="shared" ca="1" si="24"/>
        <v>0</v>
      </c>
      <c r="AS94" s="652">
        <f t="shared" ca="1" si="24"/>
        <v>0</v>
      </c>
      <c r="AT94" s="652">
        <f t="shared" ca="1" si="24"/>
        <v>3.2222680541280848</v>
      </c>
      <c r="AU94" s="652">
        <f t="shared" ca="1" si="24"/>
        <v>0</v>
      </c>
      <c r="AV94" s="652">
        <f t="shared" ca="1" si="24"/>
        <v>0</v>
      </c>
      <c r="AW94" s="652">
        <f t="shared" ca="1" si="24"/>
        <v>3.2222680541280848</v>
      </c>
      <c r="AX94" s="652">
        <f t="shared" ca="1" si="24"/>
        <v>0</v>
      </c>
      <c r="AY94" s="652">
        <f t="shared" ca="1" si="24"/>
        <v>0</v>
      </c>
      <c r="AZ94" s="652">
        <f t="shared" ca="1" si="24"/>
        <v>0</v>
      </c>
      <c r="BA94" s="652">
        <f t="shared" ca="1" si="25"/>
        <v>0</v>
      </c>
      <c r="BB94" s="652">
        <f t="shared" ca="1" si="25"/>
        <v>0</v>
      </c>
      <c r="BC94" s="652">
        <f t="shared" ca="1" si="25"/>
        <v>0</v>
      </c>
      <c r="BD94" s="652">
        <f t="shared" ca="1" si="25"/>
        <v>0</v>
      </c>
      <c r="BE94" s="652" t="str">
        <f t="shared" ca="1" si="85"/>
        <v>Commercial</v>
      </c>
      <c r="BF94" s="652" t="str">
        <f t="shared" ca="1" si="85"/>
        <v>OFFLGCool</v>
      </c>
      <c r="BG94" s="652" t="str">
        <f t="shared" ca="1" si="85"/>
        <v>OFFSMGasHeat</v>
      </c>
      <c r="BH94" s="652" t="str">
        <f t="shared" ca="1" si="85"/>
        <v>KU NonRes</v>
      </c>
      <c r="BI94" s="652" t="str">
        <f t="shared" ca="1" si="85"/>
        <v>KU NonRes</v>
      </c>
      <c r="BJ94" s="652">
        <f t="shared" ca="1" si="85"/>
        <v>10</v>
      </c>
      <c r="BK94" s="652">
        <f t="shared" ca="1" si="85"/>
        <v>0</v>
      </c>
      <c r="BL94" s="652">
        <f t="shared" ca="1" si="65"/>
        <v>0</v>
      </c>
      <c r="BM94" s="652">
        <f t="shared" ca="1" si="65"/>
        <v>0</v>
      </c>
      <c r="BN94" s="652">
        <f t="shared" ca="1" si="65"/>
        <v>0</v>
      </c>
      <c r="BO94" s="652">
        <f t="shared" ca="1" si="65"/>
        <v>0</v>
      </c>
      <c r="BP94" s="652">
        <f t="shared" ca="1" si="65"/>
        <v>0</v>
      </c>
      <c r="BQ94" s="652">
        <f t="shared" ca="1" si="65"/>
        <v>0</v>
      </c>
      <c r="BR94" s="652">
        <f t="shared" ca="1" si="75"/>
        <v>1.5</v>
      </c>
      <c r="BS94" s="652">
        <f t="shared" ca="1" si="25"/>
        <v>1800</v>
      </c>
      <c r="BT94" s="652">
        <f t="shared" ca="1" si="25"/>
        <v>0</v>
      </c>
      <c r="BU94" s="652">
        <f t="shared" ca="1" si="25"/>
        <v>450</v>
      </c>
      <c r="BV94" s="652">
        <f t="shared" ca="1" si="25"/>
        <v>0</v>
      </c>
      <c r="BW94" s="652">
        <f t="shared" ca="1" si="25"/>
        <v>15212.162842105265</v>
      </c>
      <c r="BX94" s="652">
        <f t="shared" ca="1" si="25"/>
        <v>9.6668041623842544</v>
      </c>
      <c r="BY94" s="652">
        <f t="shared" ca="1" si="25"/>
        <v>0</v>
      </c>
    </row>
    <row r="95" spans="1:77">
      <c r="A95" s="425" t="str">
        <f t="shared" ca="1" si="73"/>
        <v>Business RebatesKU-Air Cooled Chilled Water Reset, 300-400 tons</v>
      </c>
      <c r="B95" s="1297" t="str">
        <f t="shared" si="1"/>
        <v>KUBusiness Rebates</v>
      </c>
      <c r="C95" s="662" t="s">
        <v>185</v>
      </c>
      <c r="D95" s="662" t="s">
        <v>63</v>
      </c>
      <c r="E95" s="652" t="str">
        <f t="shared" ca="1" si="84"/>
        <v>KU-Air Cooled Chilled Water Reset, 300-400 tons</v>
      </c>
      <c r="F95" s="652" t="str">
        <f t="shared" ca="1" si="84"/>
        <v>Air Cooled Chilled Water Reset</v>
      </c>
      <c r="G95" s="652" t="str">
        <f t="shared" ca="1" si="84"/>
        <v>Per Unit</v>
      </c>
      <c r="H95" s="652">
        <f t="shared" ca="1" si="27"/>
        <v>0</v>
      </c>
      <c r="I95" s="652">
        <f t="shared" ca="1" si="27"/>
        <v>0.5</v>
      </c>
      <c r="J95" s="652">
        <f t="shared" ca="1" si="27"/>
        <v>0</v>
      </c>
      <c r="K95" s="652">
        <f t="shared" ca="1" si="27"/>
        <v>0</v>
      </c>
      <c r="L95" s="652">
        <f t="shared" ca="1" si="27"/>
        <v>0.5</v>
      </c>
      <c r="M95" s="652">
        <f t="shared" ca="1" si="27"/>
        <v>0</v>
      </c>
      <c r="N95" s="652">
        <f t="shared" ca="1" si="27"/>
        <v>0</v>
      </c>
      <c r="O95" s="652">
        <f t="shared" ca="1" si="27"/>
        <v>0</v>
      </c>
      <c r="P95" s="652">
        <f t="shared" ca="1" si="27"/>
        <v>1000</v>
      </c>
      <c r="Q95" s="652">
        <f t="shared" ca="1" si="27"/>
        <v>0</v>
      </c>
      <c r="R95" s="652">
        <f t="shared" ca="1" si="27"/>
        <v>0</v>
      </c>
      <c r="S95" s="652">
        <f t="shared" ca="1" si="27"/>
        <v>1000</v>
      </c>
      <c r="T95" s="652">
        <f t="shared" ca="1" si="27"/>
        <v>0</v>
      </c>
      <c r="U95" s="652">
        <f t="shared" ca="1" si="27"/>
        <v>0</v>
      </c>
      <c r="V95" s="652">
        <f t="shared" ca="1" si="22"/>
        <v>0</v>
      </c>
      <c r="W95" s="652">
        <f t="shared" ca="1" si="22"/>
        <v>0</v>
      </c>
      <c r="X95" s="652">
        <f t="shared" ca="1" si="22"/>
        <v>0</v>
      </c>
      <c r="Y95" s="652">
        <f t="shared" ca="1" si="23"/>
        <v>0</v>
      </c>
      <c r="Z95" s="652">
        <f t="shared" ca="1" si="23"/>
        <v>0</v>
      </c>
      <c r="AA95" s="652">
        <f t="shared" ca="1" si="23"/>
        <v>0</v>
      </c>
      <c r="AB95" s="652">
        <f t="shared" ca="1" si="23"/>
        <v>0</v>
      </c>
      <c r="AC95" s="652">
        <f t="shared" ca="1" si="23"/>
        <v>0</v>
      </c>
      <c r="AD95" s="652">
        <f t="shared" ca="1" si="23"/>
        <v>250</v>
      </c>
      <c r="AE95" s="652">
        <f t="shared" ca="1" si="23"/>
        <v>0</v>
      </c>
      <c r="AF95" s="652">
        <f t="shared" ca="1" si="23"/>
        <v>0</v>
      </c>
      <c r="AG95" s="652">
        <f t="shared" ca="1" si="23"/>
        <v>250</v>
      </c>
      <c r="AH95" s="652">
        <f t="shared" ca="1" si="23"/>
        <v>0</v>
      </c>
      <c r="AI95" s="652">
        <f t="shared" ca="1" si="23"/>
        <v>0</v>
      </c>
      <c r="AJ95" s="652">
        <f t="shared" ca="1" si="23"/>
        <v>0</v>
      </c>
      <c r="AK95" s="652">
        <f t="shared" ca="1" si="23"/>
        <v>7987.1842105263167</v>
      </c>
      <c r="AL95" s="652">
        <f t="shared" ca="1" si="23"/>
        <v>0</v>
      </c>
      <c r="AM95" s="652">
        <f t="shared" ca="1" si="24"/>
        <v>0</v>
      </c>
      <c r="AN95" s="652">
        <f t="shared" ca="1" si="24"/>
        <v>7987.1842105263167</v>
      </c>
      <c r="AO95" s="652">
        <f t="shared" ca="1" si="24"/>
        <v>0</v>
      </c>
      <c r="AP95" s="652">
        <f t="shared" ca="1" si="24"/>
        <v>0</v>
      </c>
      <c r="AQ95" s="652">
        <f t="shared" ca="1" si="24"/>
        <v>0</v>
      </c>
      <c r="AR95" s="652">
        <f t="shared" ca="1" si="24"/>
        <v>5.0755797432260561</v>
      </c>
      <c r="AS95" s="652">
        <f t="shared" ca="1" si="24"/>
        <v>0</v>
      </c>
      <c r="AT95" s="652">
        <f t="shared" ca="1" si="24"/>
        <v>0</v>
      </c>
      <c r="AU95" s="652">
        <f t="shared" ca="1" si="24"/>
        <v>5.0755797432260561</v>
      </c>
      <c r="AV95" s="652">
        <f t="shared" ca="1" si="24"/>
        <v>0</v>
      </c>
      <c r="AW95" s="652">
        <f t="shared" ca="1" si="24"/>
        <v>0</v>
      </c>
      <c r="AX95" s="652">
        <f t="shared" ca="1" si="24"/>
        <v>0</v>
      </c>
      <c r="AY95" s="652">
        <f t="shared" ca="1" si="24"/>
        <v>0</v>
      </c>
      <c r="AZ95" s="652">
        <f t="shared" ca="1" si="24"/>
        <v>0</v>
      </c>
      <c r="BA95" s="652">
        <f t="shared" ca="1" si="25"/>
        <v>0</v>
      </c>
      <c r="BB95" s="652">
        <f t="shared" ca="1" si="25"/>
        <v>0</v>
      </c>
      <c r="BC95" s="652">
        <f t="shared" ca="1" si="25"/>
        <v>0</v>
      </c>
      <c r="BD95" s="652">
        <f t="shared" ca="1" si="25"/>
        <v>0</v>
      </c>
      <c r="BE95" s="652" t="str">
        <f t="shared" ca="1" si="85"/>
        <v>Commercial</v>
      </c>
      <c r="BF95" s="652" t="str">
        <f t="shared" ca="1" si="85"/>
        <v>OFFLGCool</v>
      </c>
      <c r="BG95" s="652" t="str">
        <f t="shared" ca="1" si="85"/>
        <v>OFFSMGasHeat</v>
      </c>
      <c r="BH95" s="652" t="str">
        <f t="shared" ca="1" si="85"/>
        <v>KU NonRes</v>
      </c>
      <c r="BI95" s="652" t="str">
        <f t="shared" ca="1" si="85"/>
        <v>KU NonRes</v>
      </c>
      <c r="BJ95" s="652">
        <f t="shared" ca="1" si="85"/>
        <v>10</v>
      </c>
      <c r="BK95" s="652">
        <f t="shared" ca="1" si="85"/>
        <v>0</v>
      </c>
      <c r="BL95" s="652">
        <f t="shared" ca="1" si="65"/>
        <v>0</v>
      </c>
      <c r="BM95" s="652">
        <f t="shared" ca="1" si="65"/>
        <v>0</v>
      </c>
      <c r="BN95" s="652">
        <f t="shared" ca="1" si="65"/>
        <v>0</v>
      </c>
      <c r="BO95" s="652">
        <f t="shared" ca="1" si="65"/>
        <v>0</v>
      </c>
      <c r="BP95" s="652">
        <f t="shared" ca="1" si="65"/>
        <v>0</v>
      </c>
      <c r="BQ95" s="652">
        <f t="shared" ca="1" si="65"/>
        <v>0</v>
      </c>
      <c r="BR95" s="652">
        <f t="shared" ca="1" si="75"/>
        <v>1</v>
      </c>
      <c r="BS95" s="652">
        <f t="shared" ca="1" si="25"/>
        <v>2000</v>
      </c>
      <c r="BT95" s="652">
        <f t="shared" ca="1" si="25"/>
        <v>0</v>
      </c>
      <c r="BU95" s="652">
        <f t="shared" ca="1" si="25"/>
        <v>500</v>
      </c>
      <c r="BV95" s="652">
        <f t="shared" ca="1" si="25"/>
        <v>0</v>
      </c>
      <c r="BW95" s="652">
        <f t="shared" ca="1" si="25"/>
        <v>15974.368421052633</v>
      </c>
      <c r="BX95" s="652">
        <f t="shared" ca="1" si="25"/>
        <v>10.151159486452112</v>
      </c>
      <c r="BY95" s="652">
        <f t="shared" ca="1" si="25"/>
        <v>0</v>
      </c>
    </row>
    <row r="96" spans="1:77">
      <c r="A96" s="425" t="str">
        <f t="shared" ca="1" si="73"/>
        <v>Business RebatesKU-Air Cooled Chilled Water Reset, 400-500 tons</v>
      </c>
      <c r="B96" s="1297" t="str">
        <f t="shared" si="1"/>
        <v>KUBusiness Rebates</v>
      </c>
      <c r="C96" s="662" t="s">
        <v>186</v>
      </c>
      <c r="D96" s="662" t="s">
        <v>63</v>
      </c>
      <c r="E96" s="652" t="str">
        <f t="shared" ca="1" si="84"/>
        <v>KU-Air Cooled Chilled Water Reset, 400-500 tons</v>
      </c>
      <c r="F96" s="652" t="str">
        <f t="shared" ca="1" si="84"/>
        <v>Air Cooled Chilled Water Reset</v>
      </c>
      <c r="G96" s="652" t="str">
        <f t="shared" ca="1" si="84"/>
        <v>Per Unit</v>
      </c>
      <c r="H96" s="652">
        <f t="shared" ca="1" si="27"/>
        <v>0</v>
      </c>
      <c r="I96" s="652">
        <f t="shared" ca="1" si="27"/>
        <v>0</v>
      </c>
      <c r="J96" s="652">
        <f t="shared" ca="1" si="27"/>
        <v>0.5</v>
      </c>
      <c r="K96" s="652">
        <f t="shared" ca="1" si="27"/>
        <v>0</v>
      </c>
      <c r="L96" s="652">
        <f t="shared" ca="1" si="27"/>
        <v>0</v>
      </c>
      <c r="M96" s="652">
        <f t="shared" ca="1" si="27"/>
        <v>0.5</v>
      </c>
      <c r="N96" s="652">
        <f t="shared" ca="1" si="27"/>
        <v>0</v>
      </c>
      <c r="O96" s="652">
        <f t="shared" ca="1" si="27"/>
        <v>0</v>
      </c>
      <c r="P96" s="652">
        <f t="shared" ca="1" si="27"/>
        <v>0</v>
      </c>
      <c r="Q96" s="652">
        <f t="shared" ca="1" si="27"/>
        <v>1600</v>
      </c>
      <c r="R96" s="652">
        <f t="shared" ca="1" si="27"/>
        <v>0</v>
      </c>
      <c r="S96" s="652">
        <f t="shared" ca="1" si="27"/>
        <v>0</v>
      </c>
      <c r="T96" s="652">
        <f t="shared" ca="1" si="27"/>
        <v>1600</v>
      </c>
      <c r="U96" s="652">
        <f t="shared" ca="1" si="27"/>
        <v>0</v>
      </c>
      <c r="V96" s="652">
        <f t="shared" ca="1" si="22"/>
        <v>0</v>
      </c>
      <c r="W96" s="652">
        <f t="shared" ca="1" si="22"/>
        <v>0</v>
      </c>
      <c r="X96" s="652">
        <f t="shared" ca="1" si="22"/>
        <v>0</v>
      </c>
      <c r="Y96" s="652">
        <f t="shared" ca="1" si="23"/>
        <v>0</v>
      </c>
      <c r="Z96" s="652">
        <f t="shared" ca="1" si="23"/>
        <v>0</v>
      </c>
      <c r="AA96" s="652">
        <f t="shared" ca="1" si="23"/>
        <v>0</v>
      </c>
      <c r="AB96" s="652">
        <f t="shared" ca="1" si="23"/>
        <v>0</v>
      </c>
      <c r="AC96" s="652">
        <f t="shared" ca="1" si="23"/>
        <v>0</v>
      </c>
      <c r="AD96" s="652">
        <f t="shared" ca="1" si="23"/>
        <v>0</v>
      </c>
      <c r="AE96" s="652">
        <f t="shared" ca="1" si="23"/>
        <v>400</v>
      </c>
      <c r="AF96" s="652">
        <f t="shared" ca="1" si="23"/>
        <v>0</v>
      </c>
      <c r="AG96" s="652">
        <f t="shared" ca="1" si="23"/>
        <v>0</v>
      </c>
      <c r="AH96" s="652">
        <f t="shared" ca="1" si="23"/>
        <v>400</v>
      </c>
      <c r="AI96" s="652">
        <f t="shared" ca="1" si="23"/>
        <v>0</v>
      </c>
      <c r="AJ96" s="652">
        <f t="shared" ca="1" si="23"/>
        <v>0</v>
      </c>
      <c r="AK96" s="652">
        <f t="shared" ca="1" si="23"/>
        <v>0</v>
      </c>
      <c r="AL96" s="652">
        <f t="shared" ca="1" si="23"/>
        <v>12667.674157894739</v>
      </c>
      <c r="AM96" s="652">
        <f t="shared" ca="1" si="24"/>
        <v>0</v>
      </c>
      <c r="AN96" s="652">
        <f t="shared" ca="1" si="24"/>
        <v>0</v>
      </c>
      <c r="AO96" s="652">
        <f t="shared" ca="1" si="24"/>
        <v>12667.674157894739</v>
      </c>
      <c r="AP96" s="652">
        <f t="shared" ca="1" si="24"/>
        <v>0</v>
      </c>
      <c r="AQ96" s="652">
        <f t="shared" ca="1" si="24"/>
        <v>0</v>
      </c>
      <c r="AR96" s="652">
        <f t="shared" ca="1" si="24"/>
        <v>0</v>
      </c>
      <c r="AS96" s="652">
        <f t="shared" ca="1" si="24"/>
        <v>8.0498694727565248</v>
      </c>
      <c r="AT96" s="652">
        <f t="shared" ca="1" si="24"/>
        <v>0</v>
      </c>
      <c r="AU96" s="652">
        <f t="shared" ca="1" si="24"/>
        <v>0</v>
      </c>
      <c r="AV96" s="652">
        <f t="shared" ca="1" si="24"/>
        <v>8.0498694727565248</v>
      </c>
      <c r="AW96" s="652">
        <f t="shared" ca="1" si="24"/>
        <v>0</v>
      </c>
      <c r="AX96" s="652">
        <f t="shared" ca="1" si="24"/>
        <v>0</v>
      </c>
      <c r="AY96" s="652">
        <f t="shared" ca="1" si="24"/>
        <v>0</v>
      </c>
      <c r="AZ96" s="652">
        <f t="shared" ca="1" si="24"/>
        <v>0</v>
      </c>
      <c r="BA96" s="652">
        <f t="shared" ca="1" si="25"/>
        <v>0</v>
      </c>
      <c r="BB96" s="652">
        <f t="shared" ca="1" si="25"/>
        <v>0</v>
      </c>
      <c r="BC96" s="652">
        <f t="shared" ca="1" si="25"/>
        <v>0</v>
      </c>
      <c r="BD96" s="652">
        <f t="shared" ca="1" si="25"/>
        <v>0</v>
      </c>
      <c r="BE96" s="652" t="str">
        <f t="shared" ca="1" si="85"/>
        <v>Commercial</v>
      </c>
      <c r="BF96" s="652" t="str">
        <f t="shared" ca="1" si="85"/>
        <v>OFFLGCool</v>
      </c>
      <c r="BG96" s="652" t="str">
        <f t="shared" ca="1" si="85"/>
        <v>OFFSMGasHeat</v>
      </c>
      <c r="BH96" s="652" t="str">
        <f t="shared" ca="1" si="85"/>
        <v>KU NonRes</v>
      </c>
      <c r="BI96" s="652" t="str">
        <f t="shared" ca="1" si="85"/>
        <v>KU NonRes</v>
      </c>
      <c r="BJ96" s="652">
        <f t="shared" ca="1" si="85"/>
        <v>10</v>
      </c>
      <c r="BK96" s="652">
        <f t="shared" ca="1" si="85"/>
        <v>0</v>
      </c>
      <c r="BL96" s="652">
        <f t="shared" ca="1" si="65"/>
        <v>0</v>
      </c>
      <c r="BM96" s="652">
        <f t="shared" ca="1" si="65"/>
        <v>0</v>
      </c>
      <c r="BN96" s="652">
        <f t="shared" ca="1" si="65"/>
        <v>0</v>
      </c>
      <c r="BO96" s="652">
        <f t="shared" ca="1" si="65"/>
        <v>0</v>
      </c>
      <c r="BP96" s="652">
        <f t="shared" ca="1" si="65"/>
        <v>0</v>
      </c>
      <c r="BQ96" s="652">
        <f t="shared" ca="1" si="65"/>
        <v>0</v>
      </c>
      <c r="BR96" s="652">
        <f t="shared" ca="1" si="75"/>
        <v>1</v>
      </c>
      <c r="BS96" s="652">
        <f t="shared" ca="1" si="25"/>
        <v>3200</v>
      </c>
      <c r="BT96" s="652">
        <f t="shared" ca="1" si="25"/>
        <v>0</v>
      </c>
      <c r="BU96" s="652">
        <f t="shared" ca="1" si="25"/>
        <v>800</v>
      </c>
      <c r="BV96" s="652">
        <f t="shared" ca="1" si="25"/>
        <v>0</v>
      </c>
      <c r="BW96" s="652">
        <f t="shared" ca="1" si="25"/>
        <v>25335.348315789477</v>
      </c>
      <c r="BX96" s="652">
        <f t="shared" ca="1" si="25"/>
        <v>16.09973894551305</v>
      </c>
      <c r="BY96" s="652">
        <f t="shared" ca="1" si="25"/>
        <v>0</v>
      </c>
    </row>
    <row r="97" spans="1:77">
      <c r="A97" s="425" t="str">
        <f t="shared" ca="1" si="73"/>
        <v>Business RebatesKU-Water Cooled Chilled Water Reset, 0-1000 tons</v>
      </c>
      <c r="B97" s="1297" t="str">
        <f t="shared" si="1"/>
        <v>KUBusiness Rebates</v>
      </c>
      <c r="C97" s="662" t="s">
        <v>187</v>
      </c>
      <c r="D97" s="662" t="s">
        <v>63</v>
      </c>
      <c r="E97" s="652" t="str">
        <f t="shared" ca="1" si="84"/>
        <v>KU-Water Cooled Chilled Water Reset, 0-1000 tons</v>
      </c>
      <c r="F97" s="652" t="str">
        <f t="shared" ca="1" si="84"/>
        <v>Water Cooled Chilled Water Reset</v>
      </c>
      <c r="G97" s="652" t="str">
        <f t="shared" ca="1" si="84"/>
        <v>Per Unit</v>
      </c>
      <c r="H97" s="652">
        <f t="shared" ca="1" si="27"/>
        <v>0.5</v>
      </c>
      <c r="I97" s="652">
        <f t="shared" ca="1" si="27"/>
        <v>1</v>
      </c>
      <c r="J97" s="652">
        <f t="shared" ca="1" si="27"/>
        <v>0.5</v>
      </c>
      <c r="K97" s="652">
        <f t="shared" ca="1" si="27"/>
        <v>1</v>
      </c>
      <c r="L97" s="652">
        <f t="shared" ca="1" si="27"/>
        <v>0.5</v>
      </c>
      <c r="M97" s="652">
        <f t="shared" ca="1" si="27"/>
        <v>1</v>
      </c>
      <c r="N97" s="652">
        <f t="shared" ca="1" si="27"/>
        <v>0.5</v>
      </c>
      <c r="O97" s="652">
        <f t="shared" ca="1" si="27"/>
        <v>600</v>
      </c>
      <c r="P97" s="652">
        <f t="shared" ca="1" si="27"/>
        <v>1200</v>
      </c>
      <c r="Q97" s="652">
        <f t="shared" ca="1" si="27"/>
        <v>600</v>
      </c>
      <c r="R97" s="652">
        <f t="shared" ca="1" si="27"/>
        <v>1200</v>
      </c>
      <c r="S97" s="652">
        <f t="shared" ca="1" si="27"/>
        <v>600</v>
      </c>
      <c r="T97" s="652">
        <f t="shared" ca="1" si="27"/>
        <v>1200</v>
      </c>
      <c r="U97" s="652">
        <f t="shared" ca="1" si="27"/>
        <v>600</v>
      </c>
      <c r="V97" s="652">
        <f t="shared" ca="1" si="22"/>
        <v>0</v>
      </c>
      <c r="W97" s="652">
        <f t="shared" ca="1" si="22"/>
        <v>0</v>
      </c>
      <c r="X97" s="652">
        <f t="shared" ca="1" si="22"/>
        <v>0</v>
      </c>
      <c r="Y97" s="652">
        <f t="shared" ca="1" si="23"/>
        <v>0</v>
      </c>
      <c r="Z97" s="652">
        <f t="shared" ca="1" si="23"/>
        <v>0</v>
      </c>
      <c r="AA97" s="652">
        <f t="shared" ca="1" si="23"/>
        <v>0</v>
      </c>
      <c r="AB97" s="652">
        <f t="shared" ca="1" si="23"/>
        <v>0</v>
      </c>
      <c r="AC97" s="652">
        <f t="shared" ca="1" si="23"/>
        <v>150</v>
      </c>
      <c r="AD97" s="652">
        <f t="shared" ca="1" si="23"/>
        <v>300</v>
      </c>
      <c r="AE97" s="652">
        <f t="shared" ca="1" si="23"/>
        <v>150</v>
      </c>
      <c r="AF97" s="652">
        <f t="shared" ca="1" si="23"/>
        <v>300</v>
      </c>
      <c r="AG97" s="652">
        <f t="shared" ca="1" si="23"/>
        <v>150</v>
      </c>
      <c r="AH97" s="652">
        <f t="shared" ca="1" si="23"/>
        <v>300</v>
      </c>
      <c r="AI97" s="652">
        <f t="shared" ca="1" si="23"/>
        <v>150</v>
      </c>
      <c r="AJ97" s="652">
        <f t="shared" ca="1" si="23"/>
        <v>6732.569595815361</v>
      </c>
      <c r="AK97" s="652">
        <f t="shared" ca="1" si="23"/>
        <v>13465.139191630722</v>
      </c>
      <c r="AL97" s="652">
        <f t="shared" ca="1" si="23"/>
        <v>6732.569595815361</v>
      </c>
      <c r="AM97" s="652">
        <f t="shared" ca="1" si="24"/>
        <v>13465.139191630722</v>
      </c>
      <c r="AN97" s="652">
        <f t="shared" ca="1" si="24"/>
        <v>6732.569595815361</v>
      </c>
      <c r="AO97" s="652">
        <f t="shared" ca="1" si="24"/>
        <v>13465.139191630722</v>
      </c>
      <c r="AP97" s="652">
        <f t="shared" ca="1" si="24"/>
        <v>6732.569595815361</v>
      </c>
      <c r="AQ97" s="652">
        <f t="shared" ca="1" si="24"/>
        <v>3.9516142524944033</v>
      </c>
      <c r="AR97" s="652">
        <f t="shared" ca="1" si="24"/>
        <v>7.9032285049888067</v>
      </c>
      <c r="AS97" s="652">
        <f t="shared" ca="1" si="24"/>
        <v>3.9516142524944033</v>
      </c>
      <c r="AT97" s="652">
        <f t="shared" ca="1" si="24"/>
        <v>7.9032285049888067</v>
      </c>
      <c r="AU97" s="652">
        <f t="shared" ca="1" si="24"/>
        <v>3.9516142524944033</v>
      </c>
      <c r="AV97" s="652">
        <f t="shared" ca="1" si="24"/>
        <v>7.9032285049888067</v>
      </c>
      <c r="AW97" s="652">
        <f t="shared" ca="1" si="24"/>
        <v>3.9516142524944033</v>
      </c>
      <c r="AX97" s="652">
        <f t="shared" ca="1" si="24"/>
        <v>0</v>
      </c>
      <c r="AY97" s="652">
        <f t="shared" ca="1" si="24"/>
        <v>0</v>
      </c>
      <c r="AZ97" s="652">
        <f t="shared" ca="1" si="24"/>
        <v>0</v>
      </c>
      <c r="BA97" s="652">
        <f t="shared" ca="1" si="25"/>
        <v>0</v>
      </c>
      <c r="BB97" s="652">
        <f t="shared" ca="1" si="25"/>
        <v>0</v>
      </c>
      <c r="BC97" s="652">
        <f t="shared" ca="1" si="25"/>
        <v>0</v>
      </c>
      <c r="BD97" s="652">
        <f t="shared" ca="1" si="25"/>
        <v>0</v>
      </c>
      <c r="BE97" s="652" t="str">
        <f t="shared" ref="BE97:BK112" ca="1" si="86">VLOOKUP($C97,INDIRECT("'"&amp;$D97&amp;"'!A6:FR1000"),IF(BE$6="Participation 2023",MATCH("__Participation 2023",INDIRECT("'"&amp;$D97&amp;"'!1:1"),0),IF(BE$6="Participation",MATCH("_Total Plan Summary _Participation",INDIRECT("'"&amp;$D97&amp;"'!1:1"),0),MATCH(BE$4&amp;"_"&amp;BE$5&amp;"_"&amp;BE$6,INDIRECT("'"&amp;$D97&amp;"'!1:1"),0))),0)</f>
        <v>Commercial</v>
      </c>
      <c r="BF97" s="652" t="str">
        <f t="shared" ca="1" si="86"/>
        <v>OFFLGCool</v>
      </c>
      <c r="BG97" s="652" t="str">
        <f t="shared" ca="1" si="86"/>
        <v>OFFSMGasHeat</v>
      </c>
      <c r="BH97" s="652" t="str">
        <f t="shared" ca="1" si="86"/>
        <v>KU NonRes</v>
      </c>
      <c r="BI97" s="652" t="str">
        <f t="shared" ca="1" si="86"/>
        <v>KU NonRes</v>
      </c>
      <c r="BJ97" s="652">
        <f t="shared" ca="1" si="85"/>
        <v>10</v>
      </c>
      <c r="BK97" s="652">
        <f t="shared" ca="1" si="85"/>
        <v>0</v>
      </c>
      <c r="BL97" s="652">
        <f t="shared" ca="1" si="65"/>
        <v>0</v>
      </c>
      <c r="BM97" s="652">
        <f t="shared" ca="1" si="65"/>
        <v>0</v>
      </c>
      <c r="BN97" s="652">
        <f t="shared" ca="1" si="65"/>
        <v>0</v>
      </c>
      <c r="BO97" s="652">
        <f t="shared" ca="1" si="65"/>
        <v>0</v>
      </c>
      <c r="BP97" s="652">
        <f t="shared" ca="1" si="65"/>
        <v>0</v>
      </c>
      <c r="BQ97" s="652">
        <f t="shared" ca="1" si="65"/>
        <v>0</v>
      </c>
      <c r="BR97" s="652">
        <f t="shared" ca="1" si="75"/>
        <v>5</v>
      </c>
      <c r="BS97" s="652">
        <f t="shared" ca="1" si="25"/>
        <v>6000</v>
      </c>
      <c r="BT97" s="652">
        <f t="shared" ca="1" si="25"/>
        <v>0</v>
      </c>
      <c r="BU97" s="652">
        <f t="shared" ca="1" si="25"/>
        <v>1500</v>
      </c>
      <c r="BV97" s="652">
        <f t="shared" ca="1" si="25"/>
        <v>0</v>
      </c>
      <c r="BW97" s="652">
        <f t="shared" ca="1" si="25"/>
        <v>67325.695958153621</v>
      </c>
      <c r="BX97" s="652">
        <f t="shared" ca="1" si="25"/>
        <v>39.516142524944037</v>
      </c>
      <c r="BY97" s="652">
        <f t="shared" ca="1" si="25"/>
        <v>0</v>
      </c>
    </row>
    <row r="98" spans="1:77">
      <c r="A98" s="425" t="str">
        <f t="shared" ca="1" si="73"/>
        <v>Business RebatesKU-Water Cooled Chilled Water Reset, 1000-2000 tons</v>
      </c>
      <c r="B98" s="1297" t="str">
        <f t="shared" si="1"/>
        <v>KUBusiness Rebates</v>
      </c>
      <c r="C98" s="662" t="s">
        <v>188</v>
      </c>
      <c r="D98" s="662" t="s">
        <v>63</v>
      </c>
      <c r="E98" s="652" t="str">
        <f t="shared" ca="1" si="84"/>
        <v>KU-Water Cooled Chilled Water Reset, 1000-2000 tons</v>
      </c>
      <c r="F98" s="652" t="str">
        <f t="shared" ca="1" si="84"/>
        <v>Water Cooled Chilled Water Reset</v>
      </c>
      <c r="G98" s="652" t="str">
        <f t="shared" ca="1" si="84"/>
        <v>Per Unit</v>
      </c>
      <c r="H98" s="652">
        <f t="shared" ca="1" si="27"/>
        <v>1</v>
      </c>
      <c r="I98" s="652">
        <f t="shared" ca="1" si="27"/>
        <v>0.5</v>
      </c>
      <c r="J98" s="652">
        <f t="shared" ca="1" si="27"/>
        <v>1</v>
      </c>
      <c r="K98" s="652">
        <f t="shared" ca="1" si="27"/>
        <v>0.5</v>
      </c>
      <c r="L98" s="652">
        <f t="shared" ca="1" si="27"/>
        <v>1</v>
      </c>
      <c r="M98" s="652">
        <f t="shared" ca="1" si="27"/>
        <v>0.5</v>
      </c>
      <c r="N98" s="652">
        <f t="shared" ca="1" si="27"/>
        <v>1</v>
      </c>
      <c r="O98" s="652">
        <f t="shared" ca="1" si="27"/>
        <v>3200</v>
      </c>
      <c r="P98" s="652">
        <f t="shared" ca="1" si="27"/>
        <v>1600</v>
      </c>
      <c r="Q98" s="652">
        <f t="shared" ca="1" si="27"/>
        <v>3200</v>
      </c>
      <c r="R98" s="652">
        <f t="shared" ca="1" si="27"/>
        <v>1600</v>
      </c>
      <c r="S98" s="652">
        <f t="shared" ca="1" si="27"/>
        <v>3200</v>
      </c>
      <c r="T98" s="652">
        <f t="shared" ca="1" si="27"/>
        <v>1600</v>
      </c>
      <c r="U98" s="652">
        <f t="shared" ca="1" si="27"/>
        <v>3200</v>
      </c>
      <c r="V98" s="652">
        <f t="shared" ca="1" si="22"/>
        <v>0</v>
      </c>
      <c r="W98" s="652">
        <f t="shared" ca="1" si="22"/>
        <v>0</v>
      </c>
      <c r="X98" s="652">
        <f t="shared" ca="1" si="22"/>
        <v>0</v>
      </c>
      <c r="Y98" s="652">
        <f t="shared" ca="1" si="23"/>
        <v>0</v>
      </c>
      <c r="Z98" s="652">
        <f t="shared" ca="1" si="23"/>
        <v>0</v>
      </c>
      <c r="AA98" s="652">
        <f t="shared" ca="1" si="23"/>
        <v>0</v>
      </c>
      <c r="AB98" s="652">
        <f t="shared" ca="1" si="23"/>
        <v>0</v>
      </c>
      <c r="AC98" s="652">
        <f t="shared" ca="1" si="23"/>
        <v>800</v>
      </c>
      <c r="AD98" s="652">
        <f t="shared" ca="1" si="23"/>
        <v>400</v>
      </c>
      <c r="AE98" s="652">
        <f t="shared" ca="1" si="23"/>
        <v>800</v>
      </c>
      <c r="AF98" s="652">
        <f t="shared" ca="1" si="23"/>
        <v>400</v>
      </c>
      <c r="AG98" s="652">
        <f t="shared" ca="1" si="23"/>
        <v>800</v>
      </c>
      <c r="AH98" s="652">
        <f t="shared" ca="1" si="23"/>
        <v>400</v>
      </c>
      <c r="AI98" s="652">
        <f t="shared" ca="1" si="23"/>
        <v>800</v>
      </c>
      <c r="AJ98" s="652">
        <f t="shared" ca="1" si="23"/>
        <v>39279.830921052635</v>
      </c>
      <c r="AK98" s="652">
        <f t="shared" ca="1" si="23"/>
        <v>19639.915460526317</v>
      </c>
      <c r="AL98" s="652">
        <f t="shared" ca="1" si="23"/>
        <v>39279.830921052635</v>
      </c>
      <c r="AM98" s="652">
        <f t="shared" ca="1" si="24"/>
        <v>19639.915460526317</v>
      </c>
      <c r="AN98" s="652">
        <f t="shared" ca="1" si="24"/>
        <v>39279.830921052635</v>
      </c>
      <c r="AO98" s="652">
        <f t="shared" ca="1" si="24"/>
        <v>19639.915460526317</v>
      </c>
      <c r="AP98" s="652">
        <f t="shared" ca="1" si="24"/>
        <v>39279.830921052635</v>
      </c>
      <c r="AQ98" s="652">
        <f t="shared" ca="1" si="24"/>
        <v>23.054903108566215</v>
      </c>
      <c r="AR98" s="652">
        <f t="shared" ca="1" si="24"/>
        <v>11.527451554283108</v>
      </c>
      <c r="AS98" s="652">
        <f t="shared" ca="1" si="24"/>
        <v>23.054903108566215</v>
      </c>
      <c r="AT98" s="652">
        <f t="shared" ca="1" si="24"/>
        <v>11.527451554283108</v>
      </c>
      <c r="AU98" s="652">
        <f t="shared" ca="1" si="24"/>
        <v>23.054903108566215</v>
      </c>
      <c r="AV98" s="652">
        <f t="shared" ca="1" si="24"/>
        <v>11.527451554283108</v>
      </c>
      <c r="AW98" s="652">
        <f t="shared" ca="1" si="24"/>
        <v>23.054903108566215</v>
      </c>
      <c r="AX98" s="652">
        <f t="shared" ca="1" si="24"/>
        <v>0</v>
      </c>
      <c r="AY98" s="652">
        <f t="shared" ca="1" si="24"/>
        <v>0</v>
      </c>
      <c r="AZ98" s="652">
        <f t="shared" ca="1" si="24"/>
        <v>0</v>
      </c>
      <c r="BA98" s="652">
        <f t="shared" ca="1" si="25"/>
        <v>0</v>
      </c>
      <c r="BB98" s="652">
        <f t="shared" ca="1" si="25"/>
        <v>0</v>
      </c>
      <c r="BC98" s="652">
        <f t="shared" ca="1" si="25"/>
        <v>0</v>
      </c>
      <c r="BD98" s="652">
        <f t="shared" ca="1" si="25"/>
        <v>0</v>
      </c>
      <c r="BE98" s="652" t="str">
        <f t="shared" ca="1" si="86"/>
        <v>Commercial</v>
      </c>
      <c r="BF98" s="652" t="str">
        <f t="shared" ca="1" si="86"/>
        <v>OFFLGCool</v>
      </c>
      <c r="BG98" s="652" t="str">
        <f t="shared" ca="1" si="86"/>
        <v>OFFSMGasHeat</v>
      </c>
      <c r="BH98" s="652" t="str">
        <f t="shared" ca="1" si="86"/>
        <v>KU NonRes</v>
      </c>
      <c r="BI98" s="652" t="str">
        <f t="shared" ca="1" si="86"/>
        <v>KU NonRes</v>
      </c>
      <c r="BJ98" s="652">
        <f t="shared" ca="1" si="85"/>
        <v>10</v>
      </c>
      <c r="BK98" s="652">
        <f t="shared" ca="1" si="85"/>
        <v>0</v>
      </c>
      <c r="BL98" s="652">
        <f t="shared" ca="1" si="65"/>
        <v>0</v>
      </c>
      <c r="BM98" s="652">
        <f t="shared" ca="1" si="65"/>
        <v>0</v>
      </c>
      <c r="BN98" s="652">
        <f t="shared" ca="1" si="65"/>
        <v>0</v>
      </c>
      <c r="BO98" s="652">
        <f t="shared" ca="1" si="65"/>
        <v>0</v>
      </c>
      <c r="BP98" s="652">
        <f t="shared" ca="1" si="65"/>
        <v>0</v>
      </c>
      <c r="BQ98" s="652">
        <f t="shared" ca="1" si="65"/>
        <v>0</v>
      </c>
      <c r="BR98" s="652">
        <f t="shared" ca="1" si="75"/>
        <v>5.5</v>
      </c>
      <c r="BS98" s="652">
        <f t="shared" ca="1" si="25"/>
        <v>17600</v>
      </c>
      <c r="BT98" s="652">
        <f t="shared" ca="1" si="25"/>
        <v>0</v>
      </c>
      <c r="BU98" s="652">
        <f t="shared" ca="1" si="25"/>
        <v>4400</v>
      </c>
      <c r="BV98" s="652">
        <f t="shared" ca="1" si="25"/>
        <v>0</v>
      </c>
      <c r="BW98" s="652">
        <f t="shared" ca="1" si="25"/>
        <v>216039.07006578948</v>
      </c>
      <c r="BX98" s="652">
        <f t="shared" ca="1" si="25"/>
        <v>126.80196709711419</v>
      </c>
      <c r="BY98" s="652">
        <f t="shared" ca="1" si="25"/>
        <v>0</v>
      </c>
    </row>
    <row r="99" spans="1:77">
      <c r="A99" s="425" t="str">
        <f t="shared" ca="1" si="73"/>
        <v>Business RebatesKU-Water Cooled Chilled Water Reset, 2000-3000 tons</v>
      </c>
      <c r="B99" s="1297" t="str">
        <f t="shared" si="1"/>
        <v>KUBusiness Rebates</v>
      </c>
      <c r="C99" s="662" t="s">
        <v>189</v>
      </c>
      <c r="D99" s="662" t="s">
        <v>63</v>
      </c>
      <c r="E99" s="652" t="str">
        <f t="shared" ca="1" si="84"/>
        <v>KU-Water Cooled Chilled Water Reset, 2000-3000 tons</v>
      </c>
      <c r="F99" s="652" t="str">
        <f t="shared" ca="1" si="84"/>
        <v>Water Cooled Chilled Water Reset</v>
      </c>
      <c r="G99" s="652" t="str">
        <f t="shared" ca="1" si="84"/>
        <v>Per Unit</v>
      </c>
      <c r="H99" s="652">
        <f t="shared" ca="1" si="27"/>
        <v>0.5</v>
      </c>
      <c r="I99" s="652">
        <f t="shared" ca="1" si="27"/>
        <v>0</v>
      </c>
      <c r="J99" s="652">
        <f t="shared" ca="1" si="27"/>
        <v>0</v>
      </c>
      <c r="K99" s="652">
        <f t="shared" ca="1" si="27"/>
        <v>0.5</v>
      </c>
      <c r="L99" s="652">
        <f t="shared" ca="1" si="27"/>
        <v>0</v>
      </c>
      <c r="M99" s="652">
        <f t="shared" ca="1" si="27"/>
        <v>0</v>
      </c>
      <c r="N99" s="652">
        <f t="shared" ca="1" si="27"/>
        <v>0.5</v>
      </c>
      <c r="O99" s="652">
        <f t="shared" ca="1" si="27"/>
        <v>4000</v>
      </c>
      <c r="P99" s="652">
        <f t="shared" ca="1" si="27"/>
        <v>0</v>
      </c>
      <c r="Q99" s="652">
        <f t="shared" ca="1" si="27"/>
        <v>0</v>
      </c>
      <c r="R99" s="652">
        <f t="shared" ca="1" si="27"/>
        <v>4000</v>
      </c>
      <c r="S99" s="652">
        <f t="shared" ca="1" si="27"/>
        <v>0</v>
      </c>
      <c r="T99" s="652">
        <f t="shared" ca="1" si="27"/>
        <v>0</v>
      </c>
      <c r="U99" s="652">
        <f t="shared" ca="1" si="27"/>
        <v>4000</v>
      </c>
      <c r="V99" s="652">
        <f t="shared" ca="1" si="22"/>
        <v>0</v>
      </c>
      <c r="W99" s="652">
        <f t="shared" ca="1" si="22"/>
        <v>0</v>
      </c>
      <c r="X99" s="652">
        <f t="shared" ca="1" si="22"/>
        <v>0</v>
      </c>
      <c r="Y99" s="652">
        <f t="shared" ca="1" si="23"/>
        <v>0</v>
      </c>
      <c r="Z99" s="652">
        <f t="shared" ca="1" si="23"/>
        <v>0</v>
      </c>
      <c r="AA99" s="652">
        <f t="shared" ca="1" si="23"/>
        <v>0</v>
      </c>
      <c r="AB99" s="652">
        <f t="shared" ca="1" si="23"/>
        <v>0</v>
      </c>
      <c r="AC99" s="652">
        <f t="shared" ca="1" si="23"/>
        <v>1000</v>
      </c>
      <c r="AD99" s="652">
        <f t="shared" ca="1" si="23"/>
        <v>0</v>
      </c>
      <c r="AE99" s="652">
        <f t="shared" ca="1" si="23"/>
        <v>0</v>
      </c>
      <c r="AF99" s="652">
        <f t="shared" ca="1" si="23"/>
        <v>1000</v>
      </c>
      <c r="AG99" s="652">
        <f t="shared" ca="1" si="23"/>
        <v>0</v>
      </c>
      <c r="AH99" s="652">
        <f t="shared" ca="1" si="23"/>
        <v>0</v>
      </c>
      <c r="AI99" s="652">
        <f t="shared" ca="1" si="23"/>
        <v>1000</v>
      </c>
      <c r="AJ99" s="652">
        <f t="shared" ca="1" si="23"/>
        <v>32733.19243421053</v>
      </c>
      <c r="AK99" s="652">
        <f t="shared" ca="1" si="23"/>
        <v>0</v>
      </c>
      <c r="AL99" s="652">
        <f t="shared" ca="1" si="23"/>
        <v>0</v>
      </c>
      <c r="AM99" s="652">
        <f t="shared" ca="1" si="24"/>
        <v>32733.19243421053</v>
      </c>
      <c r="AN99" s="652">
        <f t="shared" ca="1" si="24"/>
        <v>0</v>
      </c>
      <c r="AO99" s="652">
        <f t="shared" ca="1" si="24"/>
        <v>0</v>
      </c>
      <c r="AP99" s="652">
        <f t="shared" ca="1" si="24"/>
        <v>32733.19243421053</v>
      </c>
      <c r="AQ99" s="652">
        <f t="shared" ca="1" si="24"/>
        <v>19.212419257138514</v>
      </c>
      <c r="AR99" s="652">
        <f t="shared" ca="1" si="24"/>
        <v>0</v>
      </c>
      <c r="AS99" s="652">
        <f t="shared" ca="1" si="24"/>
        <v>0</v>
      </c>
      <c r="AT99" s="652">
        <f t="shared" ca="1" si="24"/>
        <v>19.212419257138514</v>
      </c>
      <c r="AU99" s="652">
        <f t="shared" ca="1" si="24"/>
        <v>0</v>
      </c>
      <c r="AV99" s="652">
        <f t="shared" ca="1" si="24"/>
        <v>0</v>
      </c>
      <c r="AW99" s="652">
        <f t="shared" ca="1" si="24"/>
        <v>19.212419257138514</v>
      </c>
      <c r="AX99" s="652">
        <f t="shared" ca="1" si="24"/>
        <v>0</v>
      </c>
      <c r="AY99" s="652">
        <f t="shared" ca="1" si="24"/>
        <v>0</v>
      </c>
      <c r="AZ99" s="652">
        <f t="shared" ca="1" si="24"/>
        <v>0</v>
      </c>
      <c r="BA99" s="652">
        <f t="shared" ca="1" si="25"/>
        <v>0</v>
      </c>
      <c r="BB99" s="652">
        <f t="shared" ca="1" si="25"/>
        <v>0</v>
      </c>
      <c r="BC99" s="652">
        <f t="shared" ca="1" si="25"/>
        <v>0</v>
      </c>
      <c r="BD99" s="652">
        <f t="shared" ca="1" si="25"/>
        <v>0</v>
      </c>
      <c r="BE99" s="652" t="str">
        <f t="shared" ca="1" si="86"/>
        <v>Commercial</v>
      </c>
      <c r="BF99" s="652" t="str">
        <f t="shared" ca="1" si="86"/>
        <v>OFFLGCool</v>
      </c>
      <c r="BG99" s="652" t="str">
        <f t="shared" ca="1" si="86"/>
        <v>OFFSMGasHeat</v>
      </c>
      <c r="BH99" s="652" t="str">
        <f t="shared" ca="1" si="86"/>
        <v>KU NonRes</v>
      </c>
      <c r="BI99" s="652" t="str">
        <f t="shared" ca="1" si="86"/>
        <v>KU NonRes</v>
      </c>
      <c r="BJ99" s="652">
        <f t="shared" ca="1" si="85"/>
        <v>10</v>
      </c>
      <c r="BK99" s="652">
        <f t="shared" ca="1" si="85"/>
        <v>0</v>
      </c>
      <c r="BL99" s="652">
        <f t="shared" ca="1" si="65"/>
        <v>0</v>
      </c>
      <c r="BM99" s="652">
        <f t="shared" ca="1" si="65"/>
        <v>0</v>
      </c>
      <c r="BN99" s="652">
        <f t="shared" ca="1" si="65"/>
        <v>0</v>
      </c>
      <c r="BO99" s="652">
        <f t="shared" ca="1" si="65"/>
        <v>0</v>
      </c>
      <c r="BP99" s="652">
        <f t="shared" ca="1" si="65"/>
        <v>0</v>
      </c>
      <c r="BQ99" s="652">
        <f t="shared" ca="1" si="65"/>
        <v>0</v>
      </c>
      <c r="BR99" s="652">
        <f t="shared" ca="1" si="75"/>
        <v>1.5</v>
      </c>
      <c r="BS99" s="652">
        <f t="shared" ca="1" si="25"/>
        <v>12000</v>
      </c>
      <c r="BT99" s="652">
        <f t="shared" ca="1" si="25"/>
        <v>0</v>
      </c>
      <c r="BU99" s="652">
        <f t="shared" ca="1" si="25"/>
        <v>3000</v>
      </c>
      <c r="BV99" s="652">
        <f t="shared" ca="1" si="25"/>
        <v>0</v>
      </c>
      <c r="BW99" s="652">
        <f t="shared" ca="1" si="25"/>
        <v>98199.577302631587</v>
      </c>
      <c r="BX99" s="652">
        <f t="shared" ca="1" si="25"/>
        <v>57.637257771415541</v>
      </c>
      <c r="BY99" s="652">
        <f t="shared" ca="1" si="25"/>
        <v>0</v>
      </c>
    </row>
    <row r="100" spans="1:77">
      <c r="A100" s="425" t="str">
        <f t="shared" ca="1" si="73"/>
        <v>Business RebatesKU-Motor - High Efficiency (1 HP - 250 HP)</v>
      </c>
      <c r="B100" s="1297" t="str">
        <f t="shared" si="1"/>
        <v>KUBusiness Rebates</v>
      </c>
      <c r="C100" s="662" t="s">
        <v>190</v>
      </c>
      <c r="D100" s="662" t="s">
        <v>63</v>
      </c>
      <c r="E100" s="652" t="str">
        <f t="shared" ca="1" si="84"/>
        <v>KU-Motor - High Efficiency (1 HP - 250 HP)</v>
      </c>
      <c r="F100" s="652" t="str">
        <f t="shared" ca="1" si="84"/>
        <v>High Efficiency Motors - 1 HP to 250 HP (Open Drip Roof and Totally Enclosed Fan-Cooled)</v>
      </c>
      <c r="G100" s="652" t="str">
        <f t="shared" ca="1" si="84"/>
        <v>Per HP</v>
      </c>
      <c r="H100" s="652">
        <f t="shared" ca="1" si="27"/>
        <v>403.5</v>
      </c>
      <c r="I100" s="652">
        <f t="shared" ca="1" si="27"/>
        <v>403.5</v>
      </c>
      <c r="J100" s="652">
        <f t="shared" ca="1" si="27"/>
        <v>403.5</v>
      </c>
      <c r="K100" s="652">
        <f t="shared" ca="1" si="27"/>
        <v>403.5</v>
      </c>
      <c r="L100" s="652">
        <f t="shared" ca="1" si="27"/>
        <v>403.5</v>
      </c>
      <c r="M100" s="652">
        <f t="shared" ca="1" si="27"/>
        <v>403.5</v>
      </c>
      <c r="N100" s="652">
        <f t="shared" ca="1" si="27"/>
        <v>403.5</v>
      </c>
      <c r="O100" s="652">
        <f t="shared" ca="1" si="27"/>
        <v>34848.157501134476</v>
      </c>
      <c r="P100" s="652">
        <f t="shared" ca="1" si="27"/>
        <v>34848.157501134476</v>
      </c>
      <c r="Q100" s="652">
        <f t="shared" ca="1" si="27"/>
        <v>34848.157501134476</v>
      </c>
      <c r="R100" s="652">
        <f t="shared" ca="1" si="27"/>
        <v>34848.157501134476</v>
      </c>
      <c r="S100" s="652">
        <f t="shared" ca="1" si="27"/>
        <v>34848.157501134476</v>
      </c>
      <c r="T100" s="652">
        <f t="shared" ca="1" si="27"/>
        <v>34848.157501134476</v>
      </c>
      <c r="U100" s="652">
        <f t="shared" ca="1" si="27"/>
        <v>34848.157501134476</v>
      </c>
      <c r="V100" s="652">
        <f t="shared" ca="1" si="22"/>
        <v>0</v>
      </c>
      <c r="W100" s="652">
        <f t="shared" ca="1" si="22"/>
        <v>0</v>
      </c>
      <c r="X100" s="652">
        <f t="shared" ca="1" si="22"/>
        <v>0</v>
      </c>
      <c r="Y100" s="652">
        <f t="shared" ca="1" si="23"/>
        <v>0</v>
      </c>
      <c r="Z100" s="652">
        <f t="shared" ca="1" si="23"/>
        <v>0</v>
      </c>
      <c r="AA100" s="652">
        <f t="shared" ca="1" si="23"/>
        <v>0</v>
      </c>
      <c r="AB100" s="652">
        <f t="shared" ca="1" si="23"/>
        <v>0</v>
      </c>
      <c r="AC100" s="652">
        <f t="shared" ca="1" si="23"/>
        <v>807</v>
      </c>
      <c r="AD100" s="652">
        <f t="shared" ca="1" si="23"/>
        <v>807</v>
      </c>
      <c r="AE100" s="652">
        <f t="shared" ca="1" si="23"/>
        <v>807</v>
      </c>
      <c r="AF100" s="652">
        <f t="shared" ca="1" si="23"/>
        <v>807</v>
      </c>
      <c r="AG100" s="652">
        <f t="shared" ca="1" si="23"/>
        <v>807</v>
      </c>
      <c r="AH100" s="652">
        <f t="shared" ca="1" si="23"/>
        <v>807</v>
      </c>
      <c r="AI100" s="652">
        <f t="shared" ca="1" si="23"/>
        <v>807</v>
      </c>
      <c r="AJ100" s="652">
        <f t="shared" ca="1" si="23"/>
        <v>12195.283125000002</v>
      </c>
      <c r="AK100" s="652">
        <f t="shared" ca="1" si="23"/>
        <v>12195.283125000002</v>
      </c>
      <c r="AL100" s="652">
        <f t="shared" ref="AL100:AY115" ca="1" si="87">VLOOKUP($C100,INDIRECT("'"&amp;$D100&amp;"'!A6:FR1000"),IF(AL$6="Participation 2023",MATCH("__Participation 2023",INDIRECT("'"&amp;$D100&amp;"'!1:1"),0),IF(AL$6="Participation",MATCH("_Total Plan Summary _Participation",INDIRECT("'"&amp;$D100&amp;"'!1:1"),0),MATCH(AL$4&amp;"_"&amp;AL$5&amp;"_"&amp;AL$6,INDIRECT("'"&amp;$D100&amp;"'!1:1"),0))),0)</f>
        <v>12195.283125000002</v>
      </c>
      <c r="AM100" s="652">
        <f t="shared" ca="1" si="87"/>
        <v>12195.283125000002</v>
      </c>
      <c r="AN100" s="652">
        <f t="shared" ca="1" si="87"/>
        <v>12195.283125000002</v>
      </c>
      <c r="AO100" s="652">
        <f t="shared" ca="1" si="87"/>
        <v>12195.283125000002</v>
      </c>
      <c r="AP100" s="652">
        <f t="shared" ca="1" si="87"/>
        <v>12195.283125000002</v>
      </c>
      <c r="AQ100" s="652">
        <f t="shared" ca="1" si="87"/>
        <v>2.5435070833333331</v>
      </c>
      <c r="AR100" s="652">
        <f t="shared" ca="1" si="87"/>
        <v>2.5435070833333331</v>
      </c>
      <c r="AS100" s="652">
        <f t="shared" ca="1" si="87"/>
        <v>2.5435070833333331</v>
      </c>
      <c r="AT100" s="652">
        <f t="shared" ca="1" si="87"/>
        <v>2.5435070833333331</v>
      </c>
      <c r="AU100" s="652">
        <f t="shared" ca="1" si="87"/>
        <v>2.5435070833333331</v>
      </c>
      <c r="AV100" s="652">
        <f t="shared" ca="1" si="87"/>
        <v>2.5435070833333331</v>
      </c>
      <c r="AW100" s="652">
        <f t="shared" ca="1" si="87"/>
        <v>2.5435070833333331</v>
      </c>
      <c r="AX100" s="652">
        <f t="shared" ca="1" si="87"/>
        <v>0</v>
      </c>
      <c r="AY100" s="652">
        <f t="shared" ca="1" si="87"/>
        <v>0</v>
      </c>
      <c r="AZ100" s="652">
        <f t="shared" ca="1" si="24"/>
        <v>0</v>
      </c>
      <c r="BA100" s="652">
        <f t="shared" ca="1" si="25"/>
        <v>0</v>
      </c>
      <c r="BB100" s="652">
        <f t="shared" ca="1" si="25"/>
        <v>0</v>
      </c>
      <c r="BC100" s="652">
        <f t="shared" ca="1" si="25"/>
        <v>0</v>
      </c>
      <c r="BD100" s="652">
        <f t="shared" ca="1" si="25"/>
        <v>0</v>
      </c>
      <c r="BE100" s="652" t="str">
        <f t="shared" ca="1" si="86"/>
        <v>Commercial</v>
      </c>
      <c r="BF100" s="652" t="str">
        <f t="shared" ca="1" si="86"/>
        <v>OFFLGCool</v>
      </c>
      <c r="BG100" s="652" t="str">
        <f t="shared" ca="1" si="86"/>
        <v>OFFSMGasHeat</v>
      </c>
      <c r="BH100" s="652" t="str">
        <f t="shared" ca="1" si="86"/>
        <v>KU NonRes</v>
      </c>
      <c r="BI100" s="652" t="str">
        <f t="shared" ca="1" si="86"/>
        <v>KU NonRes</v>
      </c>
      <c r="BJ100" s="652">
        <f t="shared" ca="1" si="85"/>
        <v>20</v>
      </c>
      <c r="BK100" s="652">
        <f t="shared" ca="1" si="85"/>
        <v>0</v>
      </c>
      <c r="BL100" s="652">
        <f t="shared" ca="1" si="65"/>
        <v>0</v>
      </c>
      <c r="BM100" s="652">
        <f t="shared" ca="1" si="65"/>
        <v>0</v>
      </c>
      <c r="BN100" s="652">
        <f t="shared" ca="1" si="65"/>
        <v>0</v>
      </c>
      <c r="BO100" s="652">
        <f t="shared" ca="1" si="65"/>
        <v>0</v>
      </c>
      <c r="BP100" s="652">
        <f t="shared" ca="1" si="65"/>
        <v>0</v>
      </c>
      <c r="BQ100" s="652">
        <f t="shared" ca="1" si="65"/>
        <v>0</v>
      </c>
      <c r="BR100" s="652">
        <f t="shared" ca="1" si="75"/>
        <v>2824.5</v>
      </c>
      <c r="BS100" s="652">
        <f t="shared" ca="1" si="25"/>
        <v>243937.10250794131</v>
      </c>
      <c r="BT100" s="652">
        <f t="shared" ca="1" si="25"/>
        <v>0</v>
      </c>
      <c r="BU100" s="652">
        <f t="shared" ca="1" si="25"/>
        <v>5649</v>
      </c>
      <c r="BV100" s="652">
        <f t="shared" ca="1" si="25"/>
        <v>0</v>
      </c>
      <c r="BW100" s="652">
        <f t="shared" ca="1" si="25"/>
        <v>85366.981875000012</v>
      </c>
      <c r="BX100" s="652">
        <f t="shared" ca="1" si="25"/>
        <v>17.804549583333333</v>
      </c>
      <c r="BY100" s="652">
        <f t="shared" ca="1" si="25"/>
        <v>0</v>
      </c>
    </row>
    <row r="101" spans="1:77">
      <c r="A101" s="425" t="str">
        <f t="shared" ca="1" si="73"/>
        <v>Business RebatesKU-Pump - High Efficiency (7.5 HP)</v>
      </c>
      <c r="B101" s="1297" t="str">
        <f t="shared" si="1"/>
        <v>KUBusiness Rebates</v>
      </c>
      <c r="C101" s="662" t="s">
        <v>199</v>
      </c>
      <c r="D101" s="662" t="s">
        <v>63</v>
      </c>
      <c r="E101" s="652" t="str">
        <f t="shared" ca="1" si="84"/>
        <v>KU-Pump - High Efficiency (7.5 HP)</v>
      </c>
      <c r="F101" s="652" t="str">
        <f t="shared" ca="1" si="84"/>
        <v xml:space="preserve">Efficiency of 73% or more for system </v>
      </c>
      <c r="G101" s="652" t="str">
        <f t="shared" ca="1" si="84"/>
        <v>Per Pump</v>
      </c>
      <c r="H101" s="652">
        <f t="shared" ca="1" si="27"/>
        <v>1.5357142857142856</v>
      </c>
      <c r="I101" s="652">
        <f t="shared" ca="1" si="27"/>
        <v>1.5357142857142856</v>
      </c>
      <c r="J101" s="652">
        <f t="shared" ca="1" si="27"/>
        <v>1.5357142857142856</v>
      </c>
      <c r="K101" s="652">
        <f t="shared" ca="1" si="27"/>
        <v>1.5357142857142856</v>
      </c>
      <c r="L101" s="652">
        <f t="shared" ca="1" si="27"/>
        <v>1.5357142857142856</v>
      </c>
      <c r="M101" s="652">
        <f t="shared" ca="1" si="27"/>
        <v>1.5357142857142856</v>
      </c>
      <c r="N101" s="652">
        <f t="shared" ca="1" si="27"/>
        <v>1.5357142857142856</v>
      </c>
      <c r="O101" s="652">
        <f t="shared" ca="1" si="27"/>
        <v>1344.9135560355983</v>
      </c>
      <c r="P101" s="652">
        <f t="shared" ca="1" si="27"/>
        <v>1344.9135560355983</v>
      </c>
      <c r="Q101" s="652">
        <f t="shared" ref="Q101:AD116" ca="1" si="88">VLOOKUP($C101,INDIRECT("'"&amp;$D101&amp;"'!A6:FR1000"),IF(Q$6="Participation 2023",MATCH("__Participation 2023",INDIRECT("'"&amp;$D101&amp;"'!1:1"),0),IF(Q$6="Participation",MATCH("_Total Plan Summary _Participation",INDIRECT("'"&amp;$D101&amp;"'!1:1"),0),MATCH(Q$4&amp;"_"&amp;Q$5&amp;"_"&amp;Q$6,INDIRECT("'"&amp;$D101&amp;"'!1:1"),0))),0)</f>
        <v>1344.9135560355983</v>
      </c>
      <c r="R101" s="652">
        <f t="shared" ca="1" si="88"/>
        <v>1344.9135560355983</v>
      </c>
      <c r="S101" s="652">
        <f t="shared" ca="1" si="88"/>
        <v>1344.9135560355983</v>
      </c>
      <c r="T101" s="652">
        <f t="shared" ca="1" si="88"/>
        <v>1344.9135560355983</v>
      </c>
      <c r="U101" s="652">
        <f t="shared" ca="1" si="88"/>
        <v>1344.9135560355983</v>
      </c>
      <c r="V101" s="652">
        <f t="shared" ca="1" si="88"/>
        <v>0</v>
      </c>
      <c r="W101" s="652">
        <f t="shared" ca="1" si="88"/>
        <v>0</v>
      </c>
      <c r="X101" s="652">
        <f t="shared" ca="1" si="88"/>
        <v>0</v>
      </c>
      <c r="Y101" s="652">
        <f t="shared" ca="1" si="88"/>
        <v>0</v>
      </c>
      <c r="Z101" s="652">
        <f t="shared" ca="1" si="88"/>
        <v>0</v>
      </c>
      <c r="AA101" s="652">
        <f t="shared" ca="1" si="88"/>
        <v>0</v>
      </c>
      <c r="AB101" s="652">
        <f t="shared" ca="1" si="88"/>
        <v>0</v>
      </c>
      <c r="AC101" s="652">
        <f t="shared" ca="1" si="88"/>
        <v>76.785714285714278</v>
      </c>
      <c r="AD101" s="652">
        <f t="shared" ca="1" si="88"/>
        <v>76.785714285714278</v>
      </c>
      <c r="AE101" s="652">
        <f t="shared" ref="AE101:AR116" ca="1" si="89">VLOOKUP($C101,INDIRECT("'"&amp;$D101&amp;"'!A6:FR1000"),IF(AE$6="Participation 2023",MATCH("__Participation 2023",INDIRECT("'"&amp;$D101&amp;"'!1:1"),0),IF(AE$6="Participation",MATCH("_Total Plan Summary _Participation",INDIRECT("'"&amp;$D101&amp;"'!1:1"),0),MATCH(AE$4&amp;"_"&amp;AE$5&amp;"_"&amp;AE$6,INDIRECT("'"&amp;$D101&amp;"'!1:1"),0))),0)</f>
        <v>76.785714285714278</v>
      </c>
      <c r="AF101" s="652">
        <f t="shared" ca="1" si="89"/>
        <v>76.785714285714278</v>
      </c>
      <c r="AG101" s="652">
        <f t="shared" ca="1" si="89"/>
        <v>76.785714285714278</v>
      </c>
      <c r="AH101" s="652">
        <f t="shared" ca="1" si="89"/>
        <v>76.785714285714278</v>
      </c>
      <c r="AI101" s="652">
        <f t="shared" ca="1" si="89"/>
        <v>76.785714285714278</v>
      </c>
      <c r="AJ101" s="652">
        <f t="shared" ca="1" si="89"/>
        <v>2585.4709821428569</v>
      </c>
      <c r="AK101" s="652">
        <f t="shared" ca="1" si="89"/>
        <v>2585.4709821428569</v>
      </c>
      <c r="AL101" s="652">
        <f t="shared" ca="1" si="89"/>
        <v>2585.4709821428569</v>
      </c>
      <c r="AM101" s="652">
        <f t="shared" ca="1" si="89"/>
        <v>2585.4709821428569</v>
      </c>
      <c r="AN101" s="652">
        <f t="shared" ca="1" si="89"/>
        <v>2585.4709821428569</v>
      </c>
      <c r="AO101" s="652">
        <f t="shared" ca="1" si="89"/>
        <v>2585.4709821428569</v>
      </c>
      <c r="AP101" s="652">
        <f t="shared" ca="1" si="89"/>
        <v>2585.4709821428569</v>
      </c>
      <c r="AQ101" s="652">
        <f t="shared" ca="1" si="89"/>
        <v>0.86671874999999987</v>
      </c>
      <c r="AR101" s="652">
        <f t="shared" ca="1" si="89"/>
        <v>0.86671874999999987</v>
      </c>
      <c r="AS101" s="652">
        <f t="shared" ca="1" si="87"/>
        <v>0.86671874999999987</v>
      </c>
      <c r="AT101" s="652">
        <f t="shared" ca="1" si="87"/>
        <v>0.86671874999999987</v>
      </c>
      <c r="AU101" s="652">
        <f t="shared" ca="1" si="87"/>
        <v>0.86671874999999987</v>
      </c>
      <c r="AV101" s="652">
        <f t="shared" ca="1" si="87"/>
        <v>0.86671874999999987</v>
      </c>
      <c r="AW101" s="652">
        <f t="shared" ca="1" si="87"/>
        <v>0.86671874999999987</v>
      </c>
      <c r="AX101" s="652">
        <f t="shared" ca="1" si="87"/>
        <v>0</v>
      </c>
      <c r="AY101" s="652">
        <f t="shared" ca="1" si="87"/>
        <v>0</v>
      </c>
      <c r="AZ101" s="652">
        <f t="shared" ca="1" si="24"/>
        <v>0</v>
      </c>
      <c r="BA101" s="652">
        <f t="shared" ca="1" si="25"/>
        <v>0</v>
      </c>
      <c r="BB101" s="652">
        <f t="shared" ca="1" si="25"/>
        <v>0</v>
      </c>
      <c r="BC101" s="652">
        <f t="shared" ca="1" si="25"/>
        <v>0</v>
      </c>
      <c r="BD101" s="652">
        <f t="shared" ca="1" si="25"/>
        <v>0</v>
      </c>
      <c r="BE101" s="652" t="str">
        <f t="shared" ca="1" si="86"/>
        <v>Commercial</v>
      </c>
      <c r="BF101" s="652" t="str">
        <f t="shared" ca="1" si="86"/>
        <v>OFFLGCool</v>
      </c>
      <c r="BG101" s="652" t="str">
        <f t="shared" ca="1" si="86"/>
        <v>OFFSMGasHeat</v>
      </c>
      <c r="BH101" s="652" t="str">
        <f t="shared" ca="1" si="86"/>
        <v>KU NonRes</v>
      </c>
      <c r="BI101" s="652" t="str">
        <f t="shared" ca="1" si="86"/>
        <v>KU NonRes</v>
      </c>
      <c r="BJ101" s="652">
        <f t="shared" ca="1" si="85"/>
        <v>20</v>
      </c>
      <c r="BK101" s="652">
        <f t="shared" ca="1" si="85"/>
        <v>0</v>
      </c>
      <c r="BL101" s="652">
        <f t="shared" ca="1" si="65"/>
        <v>0</v>
      </c>
      <c r="BM101" s="652">
        <f t="shared" ca="1" si="65"/>
        <v>0</v>
      </c>
      <c r="BN101" s="652">
        <f t="shared" ca="1" si="65"/>
        <v>0</v>
      </c>
      <c r="BO101" s="652">
        <f t="shared" ca="1" si="65"/>
        <v>0</v>
      </c>
      <c r="BP101" s="652">
        <f t="shared" ca="1" si="65"/>
        <v>0</v>
      </c>
      <c r="BQ101" s="652">
        <f t="shared" ca="1" si="65"/>
        <v>0</v>
      </c>
      <c r="BR101" s="652">
        <f t="shared" ca="1" si="75"/>
        <v>10.75</v>
      </c>
      <c r="BS101" s="652">
        <f t="shared" ca="1" si="25"/>
        <v>9414.3948922491873</v>
      </c>
      <c r="BT101" s="652">
        <f t="shared" ca="1" si="25"/>
        <v>0</v>
      </c>
      <c r="BU101" s="652">
        <f t="shared" ca="1" si="25"/>
        <v>537.5</v>
      </c>
      <c r="BV101" s="652">
        <f t="shared" ca="1" si="25"/>
        <v>0</v>
      </c>
      <c r="BW101" s="652">
        <f t="shared" ca="1" si="25"/>
        <v>18098.296875</v>
      </c>
      <c r="BX101" s="652">
        <f t="shared" ca="1" si="25"/>
        <v>6.0670312499999985</v>
      </c>
      <c r="BY101" s="652">
        <f t="shared" ca="1" si="25"/>
        <v>0</v>
      </c>
    </row>
    <row r="102" spans="1:77">
      <c r="A102" s="425" t="str">
        <f t="shared" ca="1" si="73"/>
        <v>Business RebatesKU-Pump - High Efficiency (10 HP)</v>
      </c>
      <c r="B102" s="1297" t="str">
        <f t="shared" si="1"/>
        <v>KUBusiness Rebates</v>
      </c>
      <c r="C102" s="662" t="s">
        <v>200</v>
      </c>
      <c r="D102" s="662" t="s">
        <v>63</v>
      </c>
      <c r="E102" s="652" t="str">
        <f t="shared" ref="E102:G117" ca="1" si="90">VLOOKUP($C102,INDIRECT("'"&amp;$D102&amp;"'!A6:FC1000"),IF(E$6="Participation 2023",MATCH("__Participation 2023",INDIRECT("'"&amp;$D102&amp;"'!1:1"),0),IF(E$6="Participation",MATCH("_Total Plan Summary _Participation",INDIRECT("'"&amp;$D102&amp;"'!1:1"),0),MATCH(E$4&amp;"_"&amp;E$5&amp;"_"&amp;E$6,INDIRECT("'"&amp;$D102&amp;"'!1:1"),0))),0)</f>
        <v>KU-Pump - High Efficiency (10 HP)</v>
      </c>
      <c r="F102" s="652" t="str">
        <f t="shared" ca="1" si="90"/>
        <v xml:space="preserve">Efficiency of 75% or more for system </v>
      </c>
      <c r="G102" s="652" t="str">
        <f t="shared" ca="1" si="90"/>
        <v>Per Pump</v>
      </c>
      <c r="H102" s="652">
        <f t="shared" ref="H102:U117" ca="1" si="91">VLOOKUP($C102,INDIRECT("'"&amp;$D102&amp;"'!A6:FR1000"),IF(H$6="Participation 2023",MATCH("__Participation 2023",INDIRECT("'"&amp;$D102&amp;"'!1:1"),0),IF(H$6="Participation",MATCH("_Total Plan Summary _Participation",INDIRECT("'"&amp;$D102&amp;"'!1:1"),0),MATCH(H$4&amp;"_"&amp;H$5&amp;"_"&amp;H$6,INDIRECT("'"&amp;$D102&amp;"'!1:1"),0))),0)</f>
        <v>2.5714285714285712</v>
      </c>
      <c r="I102" s="652">
        <f t="shared" ca="1" si="91"/>
        <v>2.5714285714285712</v>
      </c>
      <c r="J102" s="652">
        <f t="shared" ca="1" si="91"/>
        <v>2.5714285714285712</v>
      </c>
      <c r="K102" s="652">
        <f t="shared" ca="1" si="91"/>
        <v>2.5714285714285712</v>
      </c>
      <c r="L102" s="652">
        <f t="shared" ca="1" si="91"/>
        <v>2.5714285714285712</v>
      </c>
      <c r="M102" s="652">
        <f t="shared" ca="1" si="91"/>
        <v>2.5714285714285712</v>
      </c>
      <c r="N102" s="652">
        <f t="shared" ca="1" si="91"/>
        <v>2.5714285714285712</v>
      </c>
      <c r="O102" s="652">
        <f t="shared" ca="1" si="91"/>
        <v>2432.9290858271638</v>
      </c>
      <c r="P102" s="652">
        <f t="shared" ca="1" si="91"/>
        <v>2432.9290858271638</v>
      </c>
      <c r="Q102" s="652">
        <f t="shared" ca="1" si="91"/>
        <v>2432.9290858271638</v>
      </c>
      <c r="R102" s="652">
        <f t="shared" ca="1" si="91"/>
        <v>2432.9290858271638</v>
      </c>
      <c r="S102" s="652">
        <f t="shared" ca="1" si="91"/>
        <v>2432.9290858271638</v>
      </c>
      <c r="T102" s="652">
        <f t="shared" ca="1" si="91"/>
        <v>2432.9290858271638</v>
      </c>
      <c r="U102" s="652">
        <f t="shared" ca="1" si="91"/>
        <v>2432.9290858271638</v>
      </c>
      <c r="V102" s="652">
        <f t="shared" ca="1" si="88"/>
        <v>0</v>
      </c>
      <c r="W102" s="652">
        <f t="shared" ca="1" si="88"/>
        <v>0</v>
      </c>
      <c r="X102" s="652">
        <f t="shared" ca="1" si="88"/>
        <v>0</v>
      </c>
      <c r="Y102" s="652">
        <f t="shared" ca="1" si="88"/>
        <v>0</v>
      </c>
      <c r="Z102" s="652">
        <f t="shared" ca="1" si="88"/>
        <v>0</v>
      </c>
      <c r="AA102" s="652">
        <f t="shared" ca="1" si="88"/>
        <v>0</v>
      </c>
      <c r="AB102" s="652">
        <f t="shared" ca="1" si="88"/>
        <v>0</v>
      </c>
      <c r="AC102" s="652">
        <f t="shared" ca="1" si="88"/>
        <v>154.28571428571428</v>
      </c>
      <c r="AD102" s="652">
        <f t="shared" ca="1" si="88"/>
        <v>154.28571428571428</v>
      </c>
      <c r="AE102" s="652">
        <f t="shared" ca="1" si="89"/>
        <v>154.28571428571428</v>
      </c>
      <c r="AF102" s="652">
        <f t="shared" ca="1" si="89"/>
        <v>154.28571428571428</v>
      </c>
      <c r="AG102" s="652">
        <f t="shared" ca="1" si="89"/>
        <v>154.28571428571428</v>
      </c>
      <c r="AH102" s="652">
        <f t="shared" ca="1" si="89"/>
        <v>154.28571428571428</v>
      </c>
      <c r="AI102" s="652">
        <f t="shared" ca="1" si="89"/>
        <v>154.28571428571428</v>
      </c>
      <c r="AJ102" s="652">
        <f t="shared" ca="1" si="89"/>
        <v>5772.2142857142853</v>
      </c>
      <c r="AK102" s="652">
        <f t="shared" ca="1" si="89"/>
        <v>5772.2142857142853</v>
      </c>
      <c r="AL102" s="652">
        <f t="shared" ca="1" si="89"/>
        <v>5772.2142857142853</v>
      </c>
      <c r="AM102" s="652">
        <f t="shared" ca="1" si="89"/>
        <v>5772.2142857142853</v>
      </c>
      <c r="AN102" s="652">
        <f t="shared" ca="1" si="89"/>
        <v>5772.2142857142853</v>
      </c>
      <c r="AO102" s="652">
        <f t="shared" ca="1" si="89"/>
        <v>5772.2142857142853</v>
      </c>
      <c r="AP102" s="652">
        <f t="shared" ca="1" si="89"/>
        <v>5772.2142857142853</v>
      </c>
      <c r="AQ102" s="652">
        <f t="shared" ca="1" si="89"/>
        <v>1.9349999999999996</v>
      </c>
      <c r="AR102" s="652">
        <f t="shared" ca="1" si="89"/>
        <v>1.9349999999999996</v>
      </c>
      <c r="AS102" s="652">
        <f t="shared" ca="1" si="87"/>
        <v>1.9349999999999996</v>
      </c>
      <c r="AT102" s="652">
        <f t="shared" ca="1" si="87"/>
        <v>1.9349999999999996</v>
      </c>
      <c r="AU102" s="652">
        <f t="shared" ca="1" si="87"/>
        <v>1.9349999999999996</v>
      </c>
      <c r="AV102" s="652">
        <f t="shared" ca="1" si="87"/>
        <v>1.9349999999999996</v>
      </c>
      <c r="AW102" s="652">
        <f t="shared" ca="1" si="87"/>
        <v>1.9349999999999996</v>
      </c>
      <c r="AX102" s="652">
        <f t="shared" ca="1" si="87"/>
        <v>0</v>
      </c>
      <c r="AY102" s="652">
        <f t="shared" ca="1" si="87"/>
        <v>0</v>
      </c>
      <c r="AZ102" s="652">
        <f t="shared" ca="1" si="24"/>
        <v>0</v>
      </c>
      <c r="BA102" s="652">
        <f t="shared" ca="1" si="25"/>
        <v>0</v>
      </c>
      <c r="BB102" s="652">
        <f t="shared" ca="1" si="25"/>
        <v>0</v>
      </c>
      <c r="BC102" s="652">
        <f t="shared" ca="1" si="25"/>
        <v>0</v>
      </c>
      <c r="BD102" s="652">
        <f t="shared" ca="1" si="25"/>
        <v>0</v>
      </c>
      <c r="BE102" s="652" t="str">
        <f t="shared" ca="1" si="86"/>
        <v>Commercial</v>
      </c>
      <c r="BF102" s="652" t="str">
        <f t="shared" ca="1" si="86"/>
        <v>OFFLGCool</v>
      </c>
      <c r="BG102" s="652" t="str">
        <f t="shared" ca="1" si="86"/>
        <v>OFFSMGasHeat</v>
      </c>
      <c r="BH102" s="652" t="str">
        <f t="shared" ca="1" si="86"/>
        <v>KU NonRes</v>
      </c>
      <c r="BI102" s="652" t="str">
        <f t="shared" ca="1" si="86"/>
        <v>KU NonRes</v>
      </c>
      <c r="BJ102" s="652">
        <f t="shared" ca="1" si="85"/>
        <v>20</v>
      </c>
      <c r="BK102" s="652">
        <f t="shared" ca="1" si="85"/>
        <v>0</v>
      </c>
      <c r="BL102" s="652">
        <f t="shared" ca="1" si="65"/>
        <v>0</v>
      </c>
      <c r="BM102" s="652">
        <f t="shared" ca="1" si="65"/>
        <v>0</v>
      </c>
      <c r="BN102" s="652">
        <f t="shared" ca="1" si="65"/>
        <v>0</v>
      </c>
      <c r="BO102" s="652">
        <f t="shared" ca="1" si="65"/>
        <v>0</v>
      </c>
      <c r="BP102" s="652">
        <f t="shared" ca="1" si="65"/>
        <v>0</v>
      </c>
      <c r="BQ102" s="652">
        <f t="shared" ca="1" si="65"/>
        <v>0</v>
      </c>
      <c r="BR102" s="652">
        <f t="shared" ca="1" si="75"/>
        <v>18</v>
      </c>
      <c r="BS102" s="652">
        <f t="shared" ca="1" si="25"/>
        <v>17030.503600790147</v>
      </c>
      <c r="BT102" s="652">
        <f t="shared" ca="1" si="25"/>
        <v>0</v>
      </c>
      <c r="BU102" s="652">
        <f t="shared" ca="1" si="25"/>
        <v>1079.9999999999998</v>
      </c>
      <c r="BV102" s="652">
        <f t="shared" ca="1" si="25"/>
        <v>0</v>
      </c>
      <c r="BW102" s="652">
        <f t="shared" ca="1" si="25"/>
        <v>40405.499999999993</v>
      </c>
      <c r="BX102" s="652">
        <f t="shared" ca="1" si="25"/>
        <v>13.544999999999995</v>
      </c>
      <c r="BY102" s="652">
        <f t="shared" ca="1" si="25"/>
        <v>0</v>
      </c>
    </row>
    <row r="103" spans="1:77">
      <c r="A103" s="425" t="str">
        <f t="shared" ca="1" si="73"/>
        <v>Business RebatesKU-Pump - High Efficiency (15 HP)</v>
      </c>
      <c r="B103" s="1297" t="str">
        <f t="shared" si="1"/>
        <v>KUBusiness Rebates</v>
      </c>
      <c r="C103" s="662" t="s">
        <v>201</v>
      </c>
      <c r="D103" s="662" t="s">
        <v>63</v>
      </c>
      <c r="E103" s="652" t="str">
        <f t="shared" ca="1" si="90"/>
        <v>KU-Pump - High Efficiency (15 HP)</v>
      </c>
      <c r="F103" s="652" t="str">
        <f t="shared" ca="1" si="90"/>
        <v xml:space="preserve">Efficiency of 77% or more for system </v>
      </c>
      <c r="G103" s="652" t="str">
        <f t="shared" ca="1" si="90"/>
        <v>Per Pump</v>
      </c>
      <c r="H103" s="652">
        <f t="shared" ca="1" si="91"/>
        <v>0.25</v>
      </c>
      <c r="I103" s="652">
        <f t="shared" ca="1" si="91"/>
        <v>0.25</v>
      </c>
      <c r="J103" s="652">
        <f t="shared" ca="1" si="91"/>
        <v>0.25</v>
      </c>
      <c r="K103" s="652">
        <f t="shared" ca="1" si="91"/>
        <v>0.25</v>
      </c>
      <c r="L103" s="652">
        <f t="shared" ca="1" si="91"/>
        <v>0.25</v>
      </c>
      <c r="M103" s="652">
        <f t="shared" ca="1" si="91"/>
        <v>0.25</v>
      </c>
      <c r="N103" s="652">
        <f t="shared" ca="1" si="91"/>
        <v>0.25</v>
      </c>
      <c r="O103" s="652">
        <f t="shared" ca="1" si="91"/>
        <v>263.76108178213474</v>
      </c>
      <c r="P103" s="652">
        <f t="shared" ca="1" si="91"/>
        <v>263.76108178213474</v>
      </c>
      <c r="Q103" s="652">
        <f t="shared" ca="1" si="91"/>
        <v>263.76108178213474</v>
      </c>
      <c r="R103" s="652">
        <f t="shared" ca="1" si="91"/>
        <v>263.76108178213474</v>
      </c>
      <c r="S103" s="652">
        <f t="shared" ca="1" si="91"/>
        <v>263.76108178213474</v>
      </c>
      <c r="T103" s="652">
        <f t="shared" ca="1" si="91"/>
        <v>263.76108178213474</v>
      </c>
      <c r="U103" s="652">
        <f t="shared" ca="1" si="91"/>
        <v>263.76108178213474</v>
      </c>
      <c r="V103" s="652">
        <f t="shared" ca="1" si="88"/>
        <v>0</v>
      </c>
      <c r="W103" s="652">
        <f t="shared" ca="1" si="88"/>
        <v>0</v>
      </c>
      <c r="X103" s="652">
        <f t="shared" ca="1" si="88"/>
        <v>0</v>
      </c>
      <c r="Y103" s="652">
        <f t="shared" ca="1" si="88"/>
        <v>0</v>
      </c>
      <c r="Z103" s="652">
        <f t="shared" ca="1" si="88"/>
        <v>0</v>
      </c>
      <c r="AA103" s="652">
        <f t="shared" ca="1" si="88"/>
        <v>0</v>
      </c>
      <c r="AB103" s="652">
        <f t="shared" ca="1" si="88"/>
        <v>0</v>
      </c>
      <c r="AC103" s="652">
        <f t="shared" ca="1" si="88"/>
        <v>25</v>
      </c>
      <c r="AD103" s="652">
        <f t="shared" ca="1" si="88"/>
        <v>25</v>
      </c>
      <c r="AE103" s="652">
        <f t="shared" ca="1" si="89"/>
        <v>25</v>
      </c>
      <c r="AF103" s="652">
        <f t="shared" ca="1" si="89"/>
        <v>25</v>
      </c>
      <c r="AG103" s="652">
        <f t="shared" ca="1" si="89"/>
        <v>25</v>
      </c>
      <c r="AH103" s="652">
        <f t="shared" ca="1" si="89"/>
        <v>25</v>
      </c>
      <c r="AI103" s="652">
        <f t="shared" ca="1" si="89"/>
        <v>25</v>
      </c>
      <c r="AJ103" s="652">
        <f t="shared" ca="1" si="89"/>
        <v>841.78125</v>
      </c>
      <c r="AK103" s="652">
        <f t="shared" ca="1" si="89"/>
        <v>841.78125</v>
      </c>
      <c r="AL103" s="652">
        <f t="shared" ca="1" si="89"/>
        <v>841.78125</v>
      </c>
      <c r="AM103" s="652">
        <f t="shared" ca="1" si="89"/>
        <v>841.78125</v>
      </c>
      <c r="AN103" s="652">
        <f t="shared" ca="1" si="89"/>
        <v>841.78125</v>
      </c>
      <c r="AO103" s="652">
        <f t="shared" ca="1" si="89"/>
        <v>841.78125</v>
      </c>
      <c r="AP103" s="652">
        <f t="shared" ca="1" si="89"/>
        <v>841.78125</v>
      </c>
      <c r="AQ103" s="652">
        <f t="shared" ca="1" si="89"/>
        <v>0.28218749999999998</v>
      </c>
      <c r="AR103" s="652">
        <f t="shared" ca="1" si="89"/>
        <v>0.28218749999999998</v>
      </c>
      <c r="AS103" s="652">
        <f t="shared" ca="1" si="87"/>
        <v>0.28218749999999998</v>
      </c>
      <c r="AT103" s="652">
        <f t="shared" ca="1" si="87"/>
        <v>0.28218749999999998</v>
      </c>
      <c r="AU103" s="652">
        <f t="shared" ca="1" si="87"/>
        <v>0.28218749999999998</v>
      </c>
      <c r="AV103" s="652">
        <f t="shared" ca="1" si="87"/>
        <v>0.28218749999999998</v>
      </c>
      <c r="AW103" s="652">
        <f t="shared" ca="1" si="87"/>
        <v>0.28218749999999998</v>
      </c>
      <c r="AX103" s="652">
        <f t="shared" ca="1" si="87"/>
        <v>0</v>
      </c>
      <c r="AY103" s="652">
        <f t="shared" ca="1" si="87"/>
        <v>0</v>
      </c>
      <c r="AZ103" s="652">
        <f t="shared" ca="1" si="24"/>
        <v>0</v>
      </c>
      <c r="BA103" s="652">
        <f t="shared" ca="1" si="25"/>
        <v>0</v>
      </c>
      <c r="BB103" s="652">
        <f t="shared" ca="1" si="25"/>
        <v>0</v>
      </c>
      <c r="BC103" s="652">
        <f t="shared" ca="1" si="25"/>
        <v>0</v>
      </c>
      <c r="BD103" s="652">
        <f t="shared" ca="1" si="25"/>
        <v>0</v>
      </c>
      <c r="BE103" s="652" t="str">
        <f t="shared" ca="1" si="86"/>
        <v>Commercial</v>
      </c>
      <c r="BF103" s="652" t="str">
        <f t="shared" ca="1" si="86"/>
        <v>OFFLGCool</v>
      </c>
      <c r="BG103" s="652" t="str">
        <f t="shared" ca="1" si="86"/>
        <v>OFFSMGasHeat</v>
      </c>
      <c r="BH103" s="652" t="str">
        <f t="shared" ca="1" si="86"/>
        <v>KU NonRes</v>
      </c>
      <c r="BI103" s="652" t="str">
        <f t="shared" ca="1" si="86"/>
        <v>KU NonRes</v>
      </c>
      <c r="BJ103" s="652">
        <f t="shared" ca="1" si="86"/>
        <v>20</v>
      </c>
      <c r="BK103" s="652">
        <f t="shared" ca="1" si="86"/>
        <v>0</v>
      </c>
      <c r="BL103" s="652">
        <f t="shared" ca="1" si="65"/>
        <v>0</v>
      </c>
      <c r="BM103" s="652">
        <f t="shared" ca="1" si="65"/>
        <v>0</v>
      </c>
      <c r="BN103" s="652">
        <f t="shared" ca="1" si="65"/>
        <v>0</v>
      </c>
      <c r="BO103" s="652">
        <f t="shared" ca="1" si="65"/>
        <v>0</v>
      </c>
      <c r="BP103" s="652">
        <f t="shared" ca="1" si="65"/>
        <v>0</v>
      </c>
      <c r="BQ103" s="652">
        <f t="shared" ca="1" si="65"/>
        <v>0</v>
      </c>
      <c r="BR103" s="652">
        <f t="shared" ca="1" si="75"/>
        <v>1.75</v>
      </c>
      <c r="BS103" s="652">
        <f t="shared" ca="1" si="25"/>
        <v>1846.3275724749428</v>
      </c>
      <c r="BT103" s="652">
        <f t="shared" ca="1" si="25"/>
        <v>0</v>
      </c>
      <c r="BU103" s="652">
        <f t="shared" ca="1" si="25"/>
        <v>175</v>
      </c>
      <c r="BV103" s="652">
        <f t="shared" ca="1" si="25"/>
        <v>0</v>
      </c>
      <c r="BW103" s="652">
        <f t="shared" ca="1" si="25"/>
        <v>5892.46875</v>
      </c>
      <c r="BX103" s="652">
        <f t="shared" ca="1" si="25"/>
        <v>1.9753125</v>
      </c>
      <c r="BY103" s="652">
        <f t="shared" ca="1" si="25"/>
        <v>0</v>
      </c>
    </row>
    <row r="104" spans="1:77">
      <c r="A104" s="425" t="str">
        <f t="shared" ca="1" si="73"/>
        <v>Business RebatesKU-Pump - High Efficiency (20 HP)</v>
      </c>
      <c r="B104" s="1297" t="str">
        <f t="shared" si="1"/>
        <v>KUBusiness Rebates</v>
      </c>
      <c r="C104" s="662" t="s">
        <v>202</v>
      </c>
      <c r="D104" s="662" t="s">
        <v>63</v>
      </c>
      <c r="E104" s="652" t="str">
        <f t="shared" ca="1" si="90"/>
        <v>KU-Pump - High Efficiency (20 HP)</v>
      </c>
      <c r="F104" s="652" t="str">
        <f t="shared" ca="1" si="90"/>
        <v xml:space="preserve">Efficiency of 77% or more for system </v>
      </c>
      <c r="G104" s="652" t="str">
        <f t="shared" ca="1" si="90"/>
        <v>Per Pump</v>
      </c>
      <c r="H104" s="652">
        <f t="shared" ca="1" si="91"/>
        <v>3.0357142857142856</v>
      </c>
      <c r="I104" s="652">
        <f t="shared" ca="1" si="91"/>
        <v>3.0357142857142856</v>
      </c>
      <c r="J104" s="652">
        <f t="shared" ca="1" si="91"/>
        <v>3.0357142857142856</v>
      </c>
      <c r="K104" s="652">
        <f t="shared" ca="1" si="91"/>
        <v>3.0357142857142856</v>
      </c>
      <c r="L104" s="652">
        <f t="shared" ca="1" si="91"/>
        <v>3.0357142857142856</v>
      </c>
      <c r="M104" s="652">
        <f t="shared" ca="1" si="91"/>
        <v>3.0357142857142856</v>
      </c>
      <c r="N104" s="652">
        <f t="shared" ca="1" si="91"/>
        <v>3.0357142857142856</v>
      </c>
      <c r="O104" s="652">
        <f t="shared" ca="1" si="91"/>
        <v>3460.2114553452316</v>
      </c>
      <c r="P104" s="652">
        <f t="shared" ca="1" si="91"/>
        <v>3460.2114553452316</v>
      </c>
      <c r="Q104" s="652">
        <f t="shared" ca="1" si="91"/>
        <v>3460.2114553452316</v>
      </c>
      <c r="R104" s="652">
        <f t="shared" ca="1" si="91"/>
        <v>3460.2114553452316</v>
      </c>
      <c r="S104" s="652">
        <f t="shared" ca="1" si="91"/>
        <v>3460.2114553452316</v>
      </c>
      <c r="T104" s="652">
        <f t="shared" ca="1" si="91"/>
        <v>3460.2114553452316</v>
      </c>
      <c r="U104" s="652">
        <f t="shared" ca="1" si="91"/>
        <v>3460.2114553452316</v>
      </c>
      <c r="V104" s="652">
        <f t="shared" ca="1" si="88"/>
        <v>0</v>
      </c>
      <c r="W104" s="652">
        <f t="shared" ca="1" si="88"/>
        <v>0</v>
      </c>
      <c r="X104" s="652">
        <f t="shared" ca="1" si="88"/>
        <v>0</v>
      </c>
      <c r="Y104" s="652">
        <f t="shared" ca="1" si="88"/>
        <v>0</v>
      </c>
      <c r="Z104" s="652">
        <f t="shared" ca="1" si="88"/>
        <v>0</v>
      </c>
      <c r="AA104" s="652">
        <f t="shared" ca="1" si="88"/>
        <v>0</v>
      </c>
      <c r="AB104" s="652">
        <f t="shared" ca="1" si="88"/>
        <v>0</v>
      </c>
      <c r="AC104" s="652">
        <f t="shared" ca="1" si="88"/>
        <v>455.35714285714283</v>
      </c>
      <c r="AD104" s="652">
        <f t="shared" ca="1" si="88"/>
        <v>455.35714285714283</v>
      </c>
      <c r="AE104" s="652">
        <f t="shared" ca="1" si="89"/>
        <v>455.35714285714283</v>
      </c>
      <c r="AF104" s="652">
        <f t="shared" ca="1" si="89"/>
        <v>455.35714285714283</v>
      </c>
      <c r="AG104" s="652">
        <f t="shared" ca="1" si="89"/>
        <v>455.35714285714283</v>
      </c>
      <c r="AH104" s="652">
        <f t="shared" ca="1" si="89"/>
        <v>455.35714285714283</v>
      </c>
      <c r="AI104" s="652">
        <f t="shared" ca="1" si="89"/>
        <v>455.35714285714283</v>
      </c>
      <c r="AJ104" s="652">
        <f t="shared" ca="1" si="89"/>
        <v>13628.839285714284</v>
      </c>
      <c r="AK104" s="652">
        <f t="shared" ca="1" si="89"/>
        <v>13628.839285714284</v>
      </c>
      <c r="AL104" s="652">
        <f t="shared" ca="1" si="89"/>
        <v>13628.839285714284</v>
      </c>
      <c r="AM104" s="652">
        <f t="shared" ca="1" si="89"/>
        <v>13628.839285714284</v>
      </c>
      <c r="AN104" s="652">
        <f t="shared" ca="1" si="89"/>
        <v>13628.839285714284</v>
      </c>
      <c r="AO104" s="652">
        <f t="shared" ca="1" si="89"/>
        <v>13628.839285714284</v>
      </c>
      <c r="AP104" s="652">
        <f t="shared" ca="1" si="89"/>
        <v>13628.839285714284</v>
      </c>
      <c r="AQ104" s="652">
        <f t="shared" ca="1" si="89"/>
        <v>4.5687499999999996</v>
      </c>
      <c r="AR104" s="652">
        <f t="shared" ca="1" si="89"/>
        <v>4.5687499999999996</v>
      </c>
      <c r="AS104" s="652">
        <f t="shared" ca="1" si="87"/>
        <v>4.5687499999999996</v>
      </c>
      <c r="AT104" s="652">
        <f t="shared" ca="1" si="87"/>
        <v>4.5687499999999996</v>
      </c>
      <c r="AU104" s="652">
        <f t="shared" ca="1" si="87"/>
        <v>4.5687499999999996</v>
      </c>
      <c r="AV104" s="652">
        <f t="shared" ca="1" si="87"/>
        <v>4.5687499999999996</v>
      </c>
      <c r="AW104" s="652">
        <f t="shared" ca="1" si="87"/>
        <v>4.5687499999999996</v>
      </c>
      <c r="AX104" s="652">
        <f t="shared" ca="1" si="87"/>
        <v>0</v>
      </c>
      <c r="AY104" s="652">
        <f t="shared" ca="1" si="87"/>
        <v>0</v>
      </c>
      <c r="AZ104" s="652">
        <f t="shared" ca="1" si="24"/>
        <v>0</v>
      </c>
      <c r="BA104" s="652">
        <f t="shared" ca="1" si="25"/>
        <v>0</v>
      </c>
      <c r="BB104" s="652">
        <f t="shared" ca="1" si="25"/>
        <v>0</v>
      </c>
      <c r="BC104" s="652">
        <f t="shared" ca="1" si="25"/>
        <v>0</v>
      </c>
      <c r="BD104" s="652">
        <f t="shared" ca="1" si="25"/>
        <v>0</v>
      </c>
      <c r="BE104" s="652" t="str">
        <f t="shared" ca="1" si="86"/>
        <v>Commercial</v>
      </c>
      <c r="BF104" s="652" t="str">
        <f t="shared" ca="1" si="86"/>
        <v>OFFLGCool</v>
      </c>
      <c r="BG104" s="652" t="str">
        <f t="shared" ca="1" si="86"/>
        <v>OFFSMGasHeat</v>
      </c>
      <c r="BH104" s="652" t="str">
        <f t="shared" ca="1" si="86"/>
        <v>KU NonRes</v>
      </c>
      <c r="BI104" s="652" t="str">
        <f t="shared" ca="1" si="86"/>
        <v>KU NonRes</v>
      </c>
      <c r="BJ104" s="652">
        <f t="shared" ca="1" si="86"/>
        <v>20</v>
      </c>
      <c r="BK104" s="652">
        <f t="shared" ca="1" si="86"/>
        <v>0</v>
      </c>
      <c r="BL104" s="652">
        <f t="shared" ca="1" si="65"/>
        <v>0</v>
      </c>
      <c r="BM104" s="652">
        <f t="shared" ca="1" si="65"/>
        <v>0</v>
      </c>
      <c r="BN104" s="652">
        <f t="shared" ca="1" si="65"/>
        <v>0</v>
      </c>
      <c r="BO104" s="652">
        <f t="shared" ca="1" si="65"/>
        <v>0</v>
      </c>
      <c r="BP104" s="652">
        <f t="shared" ca="1" si="65"/>
        <v>0</v>
      </c>
      <c r="BQ104" s="652">
        <f t="shared" ca="1" si="65"/>
        <v>0</v>
      </c>
      <c r="BR104" s="652">
        <f t="shared" ca="1" si="75"/>
        <v>21.249999999999996</v>
      </c>
      <c r="BS104" s="652">
        <f t="shared" ca="1" si="25"/>
        <v>24221.480187416619</v>
      </c>
      <c r="BT104" s="652">
        <f t="shared" ca="1" si="25"/>
        <v>0</v>
      </c>
      <c r="BU104" s="652">
        <f t="shared" ca="1" si="25"/>
        <v>3187.4999999999995</v>
      </c>
      <c r="BV104" s="652">
        <f t="shared" ca="1" si="25"/>
        <v>0</v>
      </c>
      <c r="BW104" s="652">
        <f t="shared" ca="1" si="25"/>
        <v>95401.875</v>
      </c>
      <c r="BX104" s="652">
        <f t="shared" ca="1" si="25"/>
        <v>31.981250000000003</v>
      </c>
      <c r="BY104" s="652">
        <f t="shared" ca="1" si="25"/>
        <v>0</v>
      </c>
    </row>
    <row r="105" spans="1:77">
      <c r="A105" s="425" t="str">
        <f t="shared" ca="1" si="73"/>
        <v>Business RebatesKU-Pump - High Efficiency (30 HP)</v>
      </c>
      <c r="B105" s="1297" t="str">
        <f t="shared" si="1"/>
        <v>KUBusiness Rebates</v>
      </c>
      <c r="C105" s="662" t="s">
        <v>203</v>
      </c>
      <c r="D105" s="662" t="s">
        <v>63</v>
      </c>
      <c r="E105" s="652" t="str">
        <f t="shared" ca="1" si="90"/>
        <v>KU-Pump - High Efficiency (30 HP)</v>
      </c>
      <c r="F105" s="652" t="str">
        <f t="shared" ca="1" si="90"/>
        <v xml:space="preserve">Efficiency of 77% or more for system </v>
      </c>
      <c r="G105" s="652" t="str">
        <f t="shared" ca="1" si="90"/>
        <v>Per Pump</v>
      </c>
      <c r="H105" s="652">
        <f t="shared" ca="1" si="91"/>
        <v>0.75</v>
      </c>
      <c r="I105" s="652">
        <f t="shared" ca="1" si="91"/>
        <v>0.75</v>
      </c>
      <c r="J105" s="652">
        <f t="shared" ca="1" si="91"/>
        <v>0.75</v>
      </c>
      <c r="K105" s="652">
        <f t="shared" ca="1" si="91"/>
        <v>0.75</v>
      </c>
      <c r="L105" s="652">
        <f t="shared" ca="1" si="91"/>
        <v>0.75</v>
      </c>
      <c r="M105" s="652">
        <f t="shared" ca="1" si="91"/>
        <v>0.75</v>
      </c>
      <c r="N105" s="652">
        <f t="shared" ca="1" si="91"/>
        <v>0.75</v>
      </c>
      <c r="O105" s="652">
        <f t="shared" ca="1" si="91"/>
        <v>953.27615514624688</v>
      </c>
      <c r="P105" s="652">
        <f t="shared" ca="1" si="91"/>
        <v>953.27615514624688</v>
      </c>
      <c r="Q105" s="652">
        <f t="shared" ca="1" si="91"/>
        <v>953.27615514624688</v>
      </c>
      <c r="R105" s="652">
        <f t="shared" ca="1" si="91"/>
        <v>953.27615514624688</v>
      </c>
      <c r="S105" s="652">
        <f t="shared" ca="1" si="91"/>
        <v>953.27615514624688</v>
      </c>
      <c r="T105" s="652">
        <f t="shared" ca="1" si="91"/>
        <v>953.27615514624688</v>
      </c>
      <c r="U105" s="652">
        <f t="shared" ca="1" si="91"/>
        <v>953.27615514624688</v>
      </c>
      <c r="V105" s="652">
        <f t="shared" ca="1" si="88"/>
        <v>0</v>
      </c>
      <c r="W105" s="652">
        <f t="shared" ca="1" si="88"/>
        <v>0</v>
      </c>
      <c r="X105" s="652">
        <f t="shared" ca="1" si="88"/>
        <v>0</v>
      </c>
      <c r="Y105" s="652">
        <f t="shared" ca="1" si="88"/>
        <v>0</v>
      </c>
      <c r="Z105" s="652">
        <f t="shared" ca="1" si="88"/>
        <v>0</v>
      </c>
      <c r="AA105" s="652">
        <f t="shared" ca="1" si="88"/>
        <v>0</v>
      </c>
      <c r="AB105" s="652">
        <f t="shared" ca="1" si="88"/>
        <v>0</v>
      </c>
      <c r="AC105" s="652">
        <f t="shared" ca="1" si="88"/>
        <v>150</v>
      </c>
      <c r="AD105" s="652">
        <f t="shared" ca="1" si="88"/>
        <v>150</v>
      </c>
      <c r="AE105" s="652">
        <f t="shared" ca="1" si="89"/>
        <v>150</v>
      </c>
      <c r="AF105" s="652">
        <f t="shared" ca="1" si="89"/>
        <v>150</v>
      </c>
      <c r="AG105" s="652">
        <f t="shared" ca="1" si="89"/>
        <v>150</v>
      </c>
      <c r="AH105" s="652">
        <f t="shared" ca="1" si="89"/>
        <v>150</v>
      </c>
      <c r="AI105" s="652">
        <f t="shared" ca="1" si="89"/>
        <v>150</v>
      </c>
      <c r="AJ105" s="652">
        <f t="shared" ca="1" si="89"/>
        <v>5050.6875</v>
      </c>
      <c r="AK105" s="652">
        <f t="shared" ca="1" si="89"/>
        <v>5050.6875</v>
      </c>
      <c r="AL105" s="652">
        <f t="shared" ca="1" si="89"/>
        <v>5050.6875</v>
      </c>
      <c r="AM105" s="652">
        <f t="shared" ca="1" si="89"/>
        <v>5050.6875</v>
      </c>
      <c r="AN105" s="652">
        <f t="shared" ca="1" si="89"/>
        <v>5050.6875</v>
      </c>
      <c r="AO105" s="652">
        <f t="shared" ca="1" si="89"/>
        <v>5050.6875</v>
      </c>
      <c r="AP105" s="652">
        <f t="shared" ca="1" si="89"/>
        <v>5050.6875</v>
      </c>
      <c r="AQ105" s="652">
        <f t="shared" ca="1" si="89"/>
        <v>1.6931249999999998</v>
      </c>
      <c r="AR105" s="652">
        <f t="shared" ca="1" si="89"/>
        <v>1.6931249999999998</v>
      </c>
      <c r="AS105" s="652">
        <f t="shared" ca="1" si="87"/>
        <v>1.6931249999999998</v>
      </c>
      <c r="AT105" s="652">
        <f t="shared" ca="1" si="87"/>
        <v>1.6931249999999998</v>
      </c>
      <c r="AU105" s="652">
        <f t="shared" ca="1" si="87"/>
        <v>1.6931249999999998</v>
      </c>
      <c r="AV105" s="652">
        <f t="shared" ca="1" si="87"/>
        <v>1.6931249999999998</v>
      </c>
      <c r="AW105" s="652">
        <f t="shared" ca="1" si="87"/>
        <v>1.6931249999999998</v>
      </c>
      <c r="AX105" s="652">
        <f t="shared" ca="1" si="87"/>
        <v>0</v>
      </c>
      <c r="AY105" s="652">
        <f t="shared" ca="1" si="87"/>
        <v>0</v>
      </c>
      <c r="AZ105" s="652">
        <f t="shared" ca="1" si="24"/>
        <v>0</v>
      </c>
      <c r="BA105" s="652">
        <f t="shared" ca="1" si="25"/>
        <v>0</v>
      </c>
      <c r="BB105" s="652">
        <f t="shared" ca="1" si="25"/>
        <v>0</v>
      </c>
      <c r="BC105" s="652">
        <f t="shared" ca="1" si="25"/>
        <v>0</v>
      </c>
      <c r="BD105" s="652">
        <f t="shared" ca="1" si="25"/>
        <v>0</v>
      </c>
      <c r="BE105" s="652" t="str">
        <f t="shared" ca="1" si="86"/>
        <v>Commercial</v>
      </c>
      <c r="BF105" s="652" t="str">
        <f t="shared" ca="1" si="86"/>
        <v>OFFLGCool</v>
      </c>
      <c r="BG105" s="652" t="str">
        <f t="shared" ca="1" si="86"/>
        <v>OFFSMGasHeat</v>
      </c>
      <c r="BH105" s="652" t="str">
        <f t="shared" ca="1" si="86"/>
        <v>KU NonRes</v>
      </c>
      <c r="BI105" s="652" t="str">
        <f t="shared" ca="1" si="86"/>
        <v>KU NonRes</v>
      </c>
      <c r="BJ105" s="652">
        <f t="shared" ca="1" si="86"/>
        <v>20</v>
      </c>
      <c r="BK105" s="652">
        <f t="shared" ca="1" si="86"/>
        <v>0</v>
      </c>
      <c r="BL105" s="652">
        <f t="shared" ca="1" si="65"/>
        <v>0</v>
      </c>
      <c r="BM105" s="652">
        <f t="shared" ca="1" si="65"/>
        <v>0</v>
      </c>
      <c r="BN105" s="652">
        <f t="shared" ca="1" si="65"/>
        <v>0</v>
      </c>
      <c r="BO105" s="652">
        <f t="shared" ca="1" si="65"/>
        <v>0</v>
      </c>
      <c r="BP105" s="652">
        <f t="shared" ca="1" si="65"/>
        <v>0</v>
      </c>
      <c r="BQ105" s="652">
        <f t="shared" ca="1" si="65"/>
        <v>0</v>
      </c>
      <c r="BR105" s="652">
        <f t="shared" ca="1" si="75"/>
        <v>5.25</v>
      </c>
      <c r="BS105" s="652">
        <f t="shared" ca="1" si="25"/>
        <v>6672.9330860237287</v>
      </c>
      <c r="BT105" s="652">
        <f t="shared" ca="1" si="25"/>
        <v>0</v>
      </c>
      <c r="BU105" s="652">
        <f t="shared" ca="1" si="25"/>
        <v>1050</v>
      </c>
      <c r="BV105" s="652">
        <f t="shared" ca="1" si="25"/>
        <v>0</v>
      </c>
      <c r="BW105" s="652">
        <f t="shared" ca="1" si="25"/>
        <v>35354.8125</v>
      </c>
      <c r="BX105" s="652">
        <f t="shared" ca="1" si="25"/>
        <v>11.851875</v>
      </c>
      <c r="BY105" s="652">
        <f t="shared" ca="1" si="25"/>
        <v>0</v>
      </c>
    </row>
    <row r="106" spans="1:77">
      <c r="A106" s="425" t="str">
        <f t="shared" ca="1" si="73"/>
        <v>Business RebatesKU-Pump - High Efficiency (40 HP)</v>
      </c>
      <c r="B106" s="1297" t="str">
        <f t="shared" si="1"/>
        <v>KUBusiness Rebates</v>
      </c>
      <c r="C106" s="662" t="s">
        <v>204</v>
      </c>
      <c r="D106" s="662" t="s">
        <v>63</v>
      </c>
      <c r="E106" s="652" t="str">
        <f t="shared" ca="1" si="90"/>
        <v>KU-Pump - High Efficiency (40 HP)</v>
      </c>
      <c r="F106" s="652" t="str">
        <f t="shared" ca="1" si="90"/>
        <v xml:space="preserve">Efficiency of 77% or more for system </v>
      </c>
      <c r="G106" s="652" t="str">
        <f t="shared" ca="1" si="90"/>
        <v>Per Pump</v>
      </c>
      <c r="H106" s="652">
        <f t="shared" ca="1" si="91"/>
        <v>1.2857142857142856</v>
      </c>
      <c r="I106" s="652">
        <f t="shared" ca="1" si="91"/>
        <v>1.2857142857142856</v>
      </c>
      <c r="J106" s="652">
        <f t="shared" ca="1" si="91"/>
        <v>1.2857142857142856</v>
      </c>
      <c r="K106" s="652">
        <f t="shared" ca="1" si="91"/>
        <v>1.2857142857142856</v>
      </c>
      <c r="L106" s="652">
        <f t="shared" ca="1" si="91"/>
        <v>1.2857142857142856</v>
      </c>
      <c r="M106" s="652">
        <f t="shared" ca="1" si="91"/>
        <v>1.2857142857142856</v>
      </c>
      <c r="N106" s="652">
        <f t="shared" ca="1" si="91"/>
        <v>1.2857142857142856</v>
      </c>
      <c r="O106" s="652">
        <f t="shared" ca="1" si="91"/>
        <v>1765.5213528979152</v>
      </c>
      <c r="P106" s="652">
        <f t="shared" ca="1" si="91"/>
        <v>1765.5213528979152</v>
      </c>
      <c r="Q106" s="652">
        <f t="shared" ca="1" si="91"/>
        <v>1765.5213528979152</v>
      </c>
      <c r="R106" s="652">
        <f t="shared" ca="1" si="91"/>
        <v>1765.5213528979152</v>
      </c>
      <c r="S106" s="652">
        <f t="shared" ca="1" si="91"/>
        <v>1765.5213528979152</v>
      </c>
      <c r="T106" s="652">
        <f t="shared" ca="1" si="91"/>
        <v>1765.5213528979152</v>
      </c>
      <c r="U106" s="652">
        <f t="shared" ca="1" si="91"/>
        <v>1765.5213528979152</v>
      </c>
      <c r="V106" s="652">
        <f t="shared" ca="1" si="88"/>
        <v>0</v>
      </c>
      <c r="W106" s="652">
        <f t="shared" ca="1" si="88"/>
        <v>0</v>
      </c>
      <c r="X106" s="652">
        <f t="shared" ca="1" si="88"/>
        <v>0</v>
      </c>
      <c r="Y106" s="652">
        <f t="shared" ca="1" si="88"/>
        <v>0</v>
      </c>
      <c r="Z106" s="652">
        <f t="shared" ca="1" si="88"/>
        <v>0</v>
      </c>
      <c r="AA106" s="652">
        <f t="shared" ca="1" si="88"/>
        <v>0</v>
      </c>
      <c r="AB106" s="652">
        <f t="shared" ca="1" si="88"/>
        <v>0</v>
      </c>
      <c r="AC106" s="652">
        <f t="shared" ca="1" si="88"/>
        <v>321.42857142857139</v>
      </c>
      <c r="AD106" s="652">
        <f t="shared" ca="1" si="88"/>
        <v>321.42857142857139</v>
      </c>
      <c r="AE106" s="652">
        <f t="shared" ca="1" si="89"/>
        <v>321.42857142857139</v>
      </c>
      <c r="AF106" s="652">
        <f t="shared" ca="1" si="89"/>
        <v>321.42857142857139</v>
      </c>
      <c r="AG106" s="652">
        <f t="shared" ca="1" si="89"/>
        <v>321.42857142857139</v>
      </c>
      <c r="AH106" s="652">
        <f t="shared" ca="1" si="89"/>
        <v>321.42857142857139</v>
      </c>
      <c r="AI106" s="652">
        <f t="shared" ca="1" si="89"/>
        <v>321.42857142857139</v>
      </c>
      <c r="AJ106" s="652">
        <f t="shared" ca="1" si="89"/>
        <v>11544.428571428571</v>
      </c>
      <c r="AK106" s="652">
        <f t="shared" ca="1" si="89"/>
        <v>11544.428571428571</v>
      </c>
      <c r="AL106" s="652">
        <f t="shared" ca="1" si="89"/>
        <v>11544.428571428571</v>
      </c>
      <c r="AM106" s="652">
        <f t="shared" ca="1" si="89"/>
        <v>11544.428571428571</v>
      </c>
      <c r="AN106" s="652">
        <f t="shared" ca="1" si="89"/>
        <v>11544.428571428571</v>
      </c>
      <c r="AO106" s="652">
        <f t="shared" ca="1" si="89"/>
        <v>11544.428571428571</v>
      </c>
      <c r="AP106" s="652">
        <f t="shared" ca="1" si="89"/>
        <v>11544.428571428571</v>
      </c>
      <c r="AQ106" s="652">
        <f t="shared" ca="1" si="89"/>
        <v>3.8699999999999992</v>
      </c>
      <c r="AR106" s="652">
        <f t="shared" ca="1" si="89"/>
        <v>3.8699999999999992</v>
      </c>
      <c r="AS106" s="652">
        <f t="shared" ca="1" si="87"/>
        <v>3.8699999999999992</v>
      </c>
      <c r="AT106" s="652">
        <f t="shared" ca="1" si="87"/>
        <v>3.8699999999999992</v>
      </c>
      <c r="AU106" s="652">
        <f t="shared" ca="1" si="87"/>
        <v>3.8699999999999992</v>
      </c>
      <c r="AV106" s="652">
        <f t="shared" ca="1" si="87"/>
        <v>3.8699999999999992</v>
      </c>
      <c r="AW106" s="652">
        <f t="shared" ca="1" si="87"/>
        <v>3.8699999999999992</v>
      </c>
      <c r="AX106" s="652">
        <f t="shared" ca="1" si="87"/>
        <v>0</v>
      </c>
      <c r="AY106" s="652">
        <f t="shared" ca="1" si="87"/>
        <v>0</v>
      </c>
      <c r="AZ106" s="652">
        <f t="shared" ca="1" si="24"/>
        <v>0</v>
      </c>
      <c r="BA106" s="652">
        <f t="shared" ca="1" si="25"/>
        <v>0</v>
      </c>
      <c r="BB106" s="652">
        <f t="shared" ca="1" si="25"/>
        <v>0</v>
      </c>
      <c r="BC106" s="652">
        <f t="shared" ca="1" si="25"/>
        <v>0</v>
      </c>
      <c r="BD106" s="652">
        <f t="shared" ref="BD106:BY106" ca="1" si="92">VLOOKUP($C106,INDIRECT("'"&amp;$D106&amp;"'!A6:FR1000"),IF(BD$6="Participation 2023",MATCH("__Participation 2023",INDIRECT("'"&amp;$D106&amp;"'!1:1"),0),IF(BD$6="Participation",MATCH("_Total Plan Summary _Participation",INDIRECT("'"&amp;$D106&amp;"'!1:1"),0),MATCH(BD$4&amp;"_"&amp;BD$5&amp;"_"&amp;BD$6,INDIRECT("'"&amp;$D106&amp;"'!1:1"),0))),0)</f>
        <v>0</v>
      </c>
      <c r="BE106" s="652" t="str">
        <f t="shared" ca="1" si="86"/>
        <v>Commercial</v>
      </c>
      <c r="BF106" s="652" t="str">
        <f t="shared" ca="1" si="86"/>
        <v>OFFLGCool</v>
      </c>
      <c r="BG106" s="652" t="str">
        <f t="shared" ca="1" si="86"/>
        <v>OFFSMGasHeat</v>
      </c>
      <c r="BH106" s="652" t="str">
        <f t="shared" ca="1" si="86"/>
        <v>KU NonRes</v>
      </c>
      <c r="BI106" s="652" t="str">
        <f t="shared" ca="1" si="86"/>
        <v>KU NonRes</v>
      </c>
      <c r="BJ106" s="652">
        <f t="shared" ca="1" si="86"/>
        <v>20</v>
      </c>
      <c r="BK106" s="652">
        <f t="shared" ca="1" si="86"/>
        <v>0</v>
      </c>
      <c r="BL106" s="652">
        <f t="shared" ca="1" si="65"/>
        <v>0</v>
      </c>
      <c r="BM106" s="652">
        <f t="shared" ca="1" si="65"/>
        <v>0</v>
      </c>
      <c r="BN106" s="652">
        <f t="shared" ca="1" si="65"/>
        <v>0</v>
      </c>
      <c r="BO106" s="652">
        <f t="shared" ca="1" si="65"/>
        <v>0</v>
      </c>
      <c r="BP106" s="652">
        <f t="shared" ca="1" si="65"/>
        <v>0</v>
      </c>
      <c r="BQ106" s="652">
        <f t="shared" ca="1" si="65"/>
        <v>0</v>
      </c>
      <c r="BR106" s="652">
        <f t="shared" ca="1" si="75"/>
        <v>9</v>
      </c>
      <c r="BS106" s="652">
        <f t="shared" ca="1" si="92"/>
        <v>12358.649470285405</v>
      </c>
      <c r="BT106" s="652">
        <f t="shared" ca="1" si="92"/>
        <v>0</v>
      </c>
      <c r="BU106" s="652">
        <f t="shared" ca="1" si="92"/>
        <v>2249.9999999999995</v>
      </c>
      <c r="BV106" s="652">
        <f t="shared" ca="1" si="92"/>
        <v>0</v>
      </c>
      <c r="BW106" s="652">
        <f t="shared" ca="1" si="92"/>
        <v>80810.999999999985</v>
      </c>
      <c r="BX106" s="652">
        <f t="shared" ca="1" si="92"/>
        <v>27.089999999999989</v>
      </c>
      <c r="BY106" s="652">
        <f t="shared" ca="1" si="92"/>
        <v>0</v>
      </c>
    </row>
    <row r="107" spans="1:77">
      <c r="A107" s="425" t="str">
        <f t="shared" ca="1" si="73"/>
        <v>Business RebatesKU-Pump - High Efficiency (50 HP)</v>
      </c>
      <c r="B107" s="1297" t="str">
        <f t="shared" si="1"/>
        <v>KUBusiness Rebates</v>
      </c>
      <c r="C107" s="662" t="s">
        <v>205</v>
      </c>
      <c r="D107" s="662" t="s">
        <v>63</v>
      </c>
      <c r="E107" s="652" t="str">
        <f t="shared" ca="1" si="90"/>
        <v>KU-Pump - High Efficiency (50 HP)</v>
      </c>
      <c r="F107" s="652" t="str">
        <f t="shared" ca="1" si="90"/>
        <v xml:space="preserve">Efficiency of 77% or more for system </v>
      </c>
      <c r="G107" s="652" t="str">
        <f t="shared" ca="1" si="90"/>
        <v>Per Pump</v>
      </c>
      <c r="H107" s="652">
        <f t="shared" ca="1" si="91"/>
        <v>1</v>
      </c>
      <c r="I107" s="652">
        <f t="shared" ca="1" si="91"/>
        <v>1</v>
      </c>
      <c r="J107" s="652">
        <f t="shared" ca="1" si="91"/>
        <v>1</v>
      </c>
      <c r="K107" s="652">
        <f t="shared" ca="1" si="91"/>
        <v>1</v>
      </c>
      <c r="L107" s="652">
        <f t="shared" ca="1" si="91"/>
        <v>1</v>
      </c>
      <c r="M107" s="652">
        <f t="shared" ca="1" si="91"/>
        <v>1</v>
      </c>
      <c r="N107" s="652">
        <f t="shared" ca="1" si="91"/>
        <v>1</v>
      </c>
      <c r="O107" s="652">
        <f t="shared" ca="1" si="91"/>
        <v>1458.0359273368367</v>
      </c>
      <c r="P107" s="652">
        <f t="shared" ca="1" si="91"/>
        <v>1458.0359273368367</v>
      </c>
      <c r="Q107" s="652">
        <f t="shared" ca="1" si="91"/>
        <v>1458.0359273368367</v>
      </c>
      <c r="R107" s="652">
        <f t="shared" ca="1" si="91"/>
        <v>1458.0359273368367</v>
      </c>
      <c r="S107" s="652">
        <f t="shared" ca="1" si="91"/>
        <v>1458.0359273368367</v>
      </c>
      <c r="T107" s="652">
        <f t="shared" ca="1" si="91"/>
        <v>1458.0359273368367</v>
      </c>
      <c r="U107" s="652">
        <f t="shared" ca="1" si="91"/>
        <v>1458.0359273368367</v>
      </c>
      <c r="V107" s="652">
        <f t="shared" ca="1" si="88"/>
        <v>0</v>
      </c>
      <c r="W107" s="652">
        <f t="shared" ca="1" si="88"/>
        <v>0</v>
      </c>
      <c r="X107" s="652">
        <f t="shared" ca="1" si="88"/>
        <v>0</v>
      </c>
      <c r="Y107" s="652">
        <f t="shared" ca="1" si="88"/>
        <v>0</v>
      </c>
      <c r="Z107" s="652">
        <f t="shared" ca="1" si="88"/>
        <v>0</v>
      </c>
      <c r="AA107" s="652">
        <f t="shared" ca="1" si="88"/>
        <v>0</v>
      </c>
      <c r="AB107" s="652">
        <f t="shared" ca="1" si="88"/>
        <v>0</v>
      </c>
      <c r="AC107" s="652">
        <f t="shared" ca="1" si="88"/>
        <v>300</v>
      </c>
      <c r="AD107" s="652">
        <f t="shared" ca="1" si="88"/>
        <v>300</v>
      </c>
      <c r="AE107" s="652">
        <f t="shared" ca="1" si="89"/>
        <v>300</v>
      </c>
      <c r="AF107" s="652">
        <f t="shared" ca="1" si="89"/>
        <v>300</v>
      </c>
      <c r="AG107" s="652">
        <f t="shared" ca="1" si="89"/>
        <v>300</v>
      </c>
      <c r="AH107" s="652">
        <f t="shared" ca="1" si="89"/>
        <v>300</v>
      </c>
      <c r="AI107" s="652">
        <f t="shared" ca="1" si="89"/>
        <v>300</v>
      </c>
      <c r="AJ107" s="652">
        <f t="shared" ca="1" si="89"/>
        <v>11223.75</v>
      </c>
      <c r="AK107" s="652">
        <f t="shared" ca="1" si="89"/>
        <v>11223.75</v>
      </c>
      <c r="AL107" s="652">
        <f t="shared" ca="1" si="89"/>
        <v>11223.75</v>
      </c>
      <c r="AM107" s="652">
        <f t="shared" ca="1" si="89"/>
        <v>11223.75</v>
      </c>
      <c r="AN107" s="652">
        <f t="shared" ca="1" si="89"/>
        <v>11223.75</v>
      </c>
      <c r="AO107" s="652">
        <f t="shared" ca="1" si="89"/>
        <v>11223.75</v>
      </c>
      <c r="AP107" s="652">
        <f t="shared" ca="1" si="89"/>
        <v>11223.75</v>
      </c>
      <c r="AQ107" s="652">
        <f t="shared" ca="1" si="89"/>
        <v>3.7624999999999997</v>
      </c>
      <c r="AR107" s="652">
        <f t="shared" ca="1" si="89"/>
        <v>3.7624999999999997</v>
      </c>
      <c r="AS107" s="652">
        <f t="shared" ca="1" si="87"/>
        <v>3.7624999999999997</v>
      </c>
      <c r="AT107" s="652">
        <f t="shared" ca="1" si="87"/>
        <v>3.7624999999999997</v>
      </c>
      <c r="AU107" s="652">
        <f t="shared" ca="1" si="87"/>
        <v>3.7624999999999997</v>
      </c>
      <c r="AV107" s="652">
        <f t="shared" ca="1" si="87"/>
        <v>3.7624999999999997</v>
      </c>
      <c r="AW107" s="652">
        <f t="shared" ca="1" si="87"/>
        <v>3.7624999999999997</v>
      </c>
      <c r="AX107" s="652">
        <f t="shared" ca="1" si="87"/>
        <v>0</v>
      </c>
      <c r="AY107" s="652">
        <f t="shared" ca="1" si="87"/>
        <v>0</v>
      </c>
      <c r="AZ107" s="652">
        <f t="shared" ca="1" si="24"/>
        <v>0</v>
      </c>
      <c r="BA107" s="652">
        <f t="shared" ref="BA107:BY122" ca="1" si="93">VLOOKUP($C107,INDIRECT("'"&amp;$D107&amp;"'!A6:FR1000"),IF(BA$6="Participation 2023",MATCH("__Participation 2023",INDIRECT("'"&amp;$D107&amp;"'!1:1"),0),IF(BA$6="Participation",MATCH("_Total Plan Summary _Participation",INDIRECT("'"&amp;$D107&amp;"'!1:1"),0),MATCH(BA$4&amp;"_"&amp;BA$5&amp;"_"&amp;BA$6,INDIRECT("'"&amp;$D107&amp;"'!1:1"),0))),0)</f>
        <v>0</v>
      </c>
      <c r="BB107" s="652">
        <f t="shared" ca="1" si="93"/>
        <v>0</v>
      </c>
      <c r="BC107" s="652">
        <f t="shared" ca="1" si="93"/>
        <v>0</v>
      </c>
      <c r="BD107" s="652">
        <f t="shared" ca="1" si="93"/>
        <v>0</v>
      </c>
      <c r="BE107" s="652" t="str">
        <f t="shared" ca="1" si="93"/>
        <v>Commercial</v>
      </c>
      <c r="BF107" s="652" t="str">
        <f t="shared" ca="1" si="93"/>
        <v>OFFLGCool</v>
      </c>
      <c r="BG107" s="652" t="str">
        <f t="shared" ca="1" si="93"/>
        <v>OFFSMGasHeat</v>
      </c>
      <c r="BH107" s="652" t="str">
        <f t="shared" ca="1" si="93"/>
        <v>KU NonRes</v>
      </c>
      <c r="BI107" s="652" t="str">
        <f t="shared" ca="1" si="93"/>
        <v>KU NonRes</v>
      </c>
      <c r="BJ107" s="652">
        <f t="shared" ca="1" si="86"/>
        <v>20</v>
      </c>
      <c r="BK107" s="652">
        <f t="shared" ca="1" si="86"/>
        <v>0</v>
      </c>
      <c r="BL107" s="652">
        <f t="shared" ca="1" si="65"/>
        <v>0</v>
      </c>
      <c r="BM107" s="652">
        <f t="shared" ca="1" si="65"/>
        <v>0</v>
      </c>
      <c r="BN107" s="652">
        <f t="shared" ca="1" si="65"/>
        <v>0</v>
      </c>
      <c r="BO107" s="652">
        <f t="shared" ca="1" si="65"/>
        <v>0</v>
      </c>
      <c r="BP107" s="652">
        <f t="shared" ca="1" si="65"/>
        <v>0</v>
      </c>
      <c r="BQ107" s="652">
        <f t="shared" ca="1" si="65"/>
        <v>0</v>
      </c>
      <c r="BR107" s="652">
        <f t="shared" ca="1" si="75"/>
        <v>7</v>
      </c>
      <c r="BS107" s="652">
        <f t="shared" ca="1" si="93"/>
        <v>10206.251491357856</v>
      </c>
      <c r="BT107" s="652">
        <f t="shared" ca="1" si="93"/>
        <v>0</v>
      </c>
      <c r="BU107" s="652">
        <f t="shared" ca="1" si="93"/>
        <v>2100</v>
      </c>
      <c r="BV107" s="652">
        <f t="shared" ca="1" si="93"/>
        <v>0</v>
      </c>
      <c r="BW107" s="652">
        <f t="shared" ca="1" si="93"/>
        <v>78566.25</v>
      </c>
      <c r="BX107" s="652">
        <f t="shared" ca="1" si="93"/>
        <v>26.337499999999999</v>
      </c>
      <c r="BY107" s="652">
        <f t="shared" ca="1" si="93"/>
        <v>0</v>
      </c>
    </row>
    <row r="108" spans="1:77">
      <c r="A108" s="425" t="str">
        <f t="shared" ca="1" si="73"/>
        <v>Business RebatesKU-Variable Frequency Drives</v>
      </c>
      <c r="B108" s="1297" t="str">
        <f t="shared" si="1"/>
        <v>KUBusiness Rebates</v>
      </c>
      <c r="C108" s="662" t="s">
        <v>206</v>
      </c>
      <c r="D108" s="662" t="s">
        <v>63</v>
      </c>
      <c r="E108" s="652" t="str">
        <f t="shared" ca="1" si="90"/>
        <v>KU-Variable Frequency Drives</v>
      </c>
      <c r="F108" s="652" t="str">
        <f t="shared" ca="1" si="90"/>
        <v>Variable Frequency Drives (VFDs) - All Sizes</v>
      </c>
      <c r="G108" s="652" t="str">
        <f t="shared" ca="1" si="90"/>
        <v>Per HP</v>
      </c>
      <c r="H108" s="652">
        <f t="shared" ca="1" si="91"/>
        <v>1547.6071428571427</v>
      </c>
      <c r="I108" s="652">
        <f t="shared" ca="1" si="91"/>
        <v>1547.6071428571427</v>
      </c>
      <c r="J108" s="652">
        <f t="shared" ca="1" si="91"/>
        <v>1547.6071428571427</v>
      </c>
      <c r="K108" s="652">
        <f t="shared" ca="1" si="91"/>
        <v>1547.6071428571427</v>
      </c>
      <c r="L108" s="652">
        <f t="shared" ca="1" si="91"/>
        <v>1547.6071428571427</v>
      </c>
      <c r="M108" s="652">
        <f t="shared" ca="1" si="91"/>
        <v>1547.6071428571427</v>
      </c>
      <c r="N108" s="652">
        <f t="shared" ca="1" si="91"/>
        <v>1547.6071428571427</v>
      </c>
      <c r="O108" s="652">
        <f t="shared" ca="1" si="91"/>
        <v>257676.58928571426</v>
      </c>
      <c r="P108" s="652">
        <f t="shared" ca="1" si="91"/>
        <v>257676.58928571426</v>
      </c>
      <c r="Q108" s="652">
        <f t="shared" ca="1" si="91"/>
        <v>257676.58928571426</v>
      </c>
      <c r="R108" s="652">
        <f t="shared" ca="1" si="91"/>
        <v>257676.58928571426</v>
      </c>
      <c r="S108" s="652">
        <f t="shared" ca="1" si="91"/>
        <v>257676.58928571426</v>
      </c>
      <c r="T108" s="652">
        <f t="shared" ca="1" si="91"/>
        <v>257676.58928571426</v>
      </c>
      <c r="U108" s="652">
        <f t="shared" ca="1" si="91"/>
        <v>257676.58928571426</v>
      </c>
      <c r="V108" s="652">
        <f t="shared" ca="1" si="88"/>
        <v>0</v>
      </c>
      <c r="W108" s="652">
        <f t="shared" ca="1" si="88"/>
        <v>0</v>
      </c>
      <c r="X108" s="652">
        <f t="shared" ca="1" si="88"/>
        <v>0</v>
      </c>
      <c r="Y108" s="652">
        <f t="shared" ca="1" si="88"/>
        <v>0</v>
      </c>
      <c r="Z108" s="652">
        <f t="shared" ca="1" si="88"/>
        <v>0</v>
      </c>
      <c r="AA108" s="652">
        <f t="shared" ca="1" si="88"/>
        <v>0</v>
      </c>
      <c r="AB108" s="652">
        <f t="shared" ca="1" si="88"/>
        <v>0</v>
      </c>
      <c r="AC108" s="652">
        <f t="shared" ca="1" si="88"/>
        <v>24761.714285714283</v>
      </c>
      <c r="AD108" s="652">
        <f t="shared" ca="1" si="88"/>
        <v>24761.714285714283</v>
      </c>
      <c r="AE108" s="652">
        <f t="shared" ca="1" si="89"/>
        <v>24761.714285714283</v>
      </c>
      <c r="AF108" s="652">
        <f t="shared" ca="1" si="89"/>
        <v>24761.714285714283</v>
      </c>
      <c r="AG108" s="652">
        <f t="shared" ca="1" si="89"/>
        <v>24761.714285714283</v>
      </c>
      <c r="AH108" s="652">
        <f t="shared" ca="1" si="89"/>
        <v>24761.714285714283</v>
      </c>
      <c r="AI108" s="652">
        <f t="shared" ca="1" si="89"/>
        <v>24761.714285714283</v>
      </c>
      <c r="AJ108" s="652">
        <f t="shared" ca="1" si="89"/>
        <v>783124.66507049825</v>
      </c>
      <c r="AK108" s="652">
        <f t="shared" ca="1" si="89"/>
        <v>783124.66507049825</v>
      </c>
      <c r="AL108" s="652">
        <f t="shared" ca="1" si="89"/>
        <v>783124.66507049825</v>
      </c>
      <c r="AM108" s="652">
        <f t="shared" ca="1" si="89"/>
        <v>783124.66507049825</v>
      </c>
      <c r="AN108" s="652">
        <f t="shared" ca="1" si="89"/>
        <v>783124.66507049825</v>
      </c>
      <c r="AO108" s="652">
        <f t="shared" ca="1" si="89"/>
        <v>783124.66507049825</v>
      </c>
      <c r="AP108" s="652">
        <f t="shared" ca="1" si="89"/>
        <v>783124.66507049825</v>
      </c>
      <c r="AQ108" s="652">
        <f t="shared" ca="1" si="89"/>
        <v>172.34141196843447</v>
      </c>
      <c r="AR108" s="652">
        <f t="shared" ca="1" si="89"/>
        <v>172.34141196843447</v>
      </c>
      <c r="AS108" s="652">
        <f t="shared" ca="1" si="87"/>
        <v>172.34141196843447</v>
      </c>
      <c r="AT108" s="652">
        <f t="shared" ca="1" si="87"/>
        <v>172.34141196843447</v>
      </c>
      <c r="AU108" s="652">
        <f t="shared" ca="1" si="87"/>
        <v>172.34141196843447</v>
      </c>
      <c r="AV108" s="652">
        <f t="shared" ca="1" si="87"/>
        <v>172.34141196843447</v>
      </c>
      <c r="AW108" s="652">
        <f t="shared" ca="1" si="87"/>
        <v>172.34141196843447</v>
      </c>
      <c r="AX108" s="652">
        <f t="shared" ca="1" si="87"/>
        <v>0</v>
      </c>
      <c r="AY108" s="652">
        <f t="shared" ca="1" si="87"/>
        <v>0</v>
      </c>
      <c r="AZ108" s="652">
        <f t="shared" ca="1" si="24"/>
        <v>0</v>
      </c>
      <c r="BA108" s="652">
        <f t="shared" ca="1" si="93"/>
        <v>0</v>
      </c>
      <c r="BB108" s="652">
        <f t="shared" ca="1" si="93"/>
        <v>0</v>
      </c>
      <c r="BC108" s="652">
        <f t="shared" ca="1" si="93"/>
        <v>0</v>
      </c>
      <c r="BD108" s="652">
        <f t="shared" ca="1" si="93"/>
        <v>0</v>
      </c>
      <c r="BE108" s="652" t="str">
        <f t="shared" ca="1" si="93"/>
        <v>Commercial</v>
      </c>
      <c r="BF108" s="652" t="str">
        <f t="shared" ca="1" si="93"/>
        <v>OFFLGCool</v>
      </c>
      <c r="BG108" s="652" t="str">
        <f t="shared" ca="1" si="93"/>
        <v>OFFSMGasHeat</v>
      </c>
      <c r="BH108" s="652" t="str">
        <f t="shared" ca="1" si="93"/>
        <v>KU NonRes</v>
      </c>
      <c r="BI108" s="652" t="str">
        <f t="shared" ca="1" si="93"/>
        <v>KU NonRes</v>
      </c>
      <c r="BJ108" s="652">
        <f t="shared" ca="1" si="86"/>
        <v>15</v>
      </c>
      <c r="BK108" s="652">
        <f t="shared" ca="1" si="86"/>
        <v>0</v>
      </c>
      <c r="BL108" s="652">
        <f t="shared" ca="1" si="65"/>
        <v>0</v>
      </c>
      <c r="BM108" s="652">
        <f t="shared" ca="1" si="65"/>
        <v>0</v>
      </c>
      <c r="BN108" s="652">
        <f t="shared" ca="1" si="65"/>
        <v>0</v>
      </c>
      <c r="BO108" s="652">
        <f t="shared" ca="1" si="65"/>
        <v>0</v>
      </c>
      <c r="BP108" s="652">
        <f t="shared" ca="1" si="65"/>
        <v>0</v>
      </c>
      <c r="BQ108" s="652">
        <f t="shared" ca="1" si="65"/>
        <v>0</v>
      </c>
      <c r="BR108" s="652">
        <f t="shared" ca="1" si="75"/>
        <v>10833.25</v>
      </c>
      <c r="BS108" s="652">
        <f t="shared" ca="1" si="93"/>
        <v>1803736.125</v>
      </c>
      <c r="BT108" s="652">
        <f t="shared" ca="1" si="93"/>
        <v>0</v>
      </c>
      <c r="BU108" s="652">
        <f t="shared" ca="1" si="93"/>
        <v>173332</v>
      </c>
      <c r="BV108" s="652">
        <f t="shared" ca="1" si="93"/>
        <v>0</v>
      </c>
      <c r="BW108" s="652">
        <f t="shared" ca="1" si="93"/>
        <v>5481872.6554934876</v>
      </c>
      <c r="BX108" s="652">
        <f t="shared" ca="1" si="93"/>
        <v>1206.3898837790412</v>
      </c>
      <c r="BY108" s="652">
        <f t="shared" ca="1" si="93"/>
        <v>0</v>
      </c>
    </row>
    <row r="109" spans="1:77">
      <c r="A109" s="425" t="str">
        <f t="shared" ca="1" si="73"/>
        <v>Business RebatesKU-LED Refrigerated Display Light</v>
      </c>
      <c r="B109" s="1297" t="str">
        <f t="shared" si="1"/>
        <v>KUBusiness Rebates</v>
      </c>
      <c r="C109" s="662" t="s">
        <v>207</v>
      </c>
      <c r="D109" s="662" t="s">
        <v>63</v>
      </c>
      <c r="E109" s="652" t="str">
        <f t="shared" ca="1" si="90"/>
        <v>KU-LED Refrigerated Display Light</v>
      </c>
      <c r="F109" s="652" t="str">
        <f t="shared" ca="1" si="90"/>
        <v>LED Refrigerated Display Light</v>
      </c>
      <c r="G109" s="652" t="str">
        <f t="shared" ca="1" si="90"/>
        <v>Per Unit</v>
      </c>
      <c r="H109" s="652">
        <f t="shared" ca="1" si="91"/>
        <v>317.67857142857144</v>
      </c>
      <c r="I109" s="652">
        <f t="shared" ca="1" si="91"/>
        <v>317.67857142857144</v>
      </c>
      <c r="J109" s="652">
        <f t="shared" ca="1" si="91"/>
        <v>317.67857142857144</v>
      </c>
      <c r="K109" s="652">
        <f t="shared" ca="1" si="91"/>
        <v>317.67857142857144</v>
      </c>
      <c r="L109" s="652">
        <f t="shared" ca="1" si="91"/>
        <v>317.67857142857144</v>
      </c>
      <c r="M109" s="652">
        <f t="shared" ca="1" si="91"/>
        <v>317.67857142857144</v>
      </c>
      <c r="N109" s="652">
        <f t="shared" ca="1" si="91"/>
        <v>317.67857142857144</v>
      </c>
      <c r="O109" s="652">
        <f t="shared" ca="1" si="91"/>
        <v>36533.035714285717</v>
      </c>
      <c r="P109" s="652">
        <f t="shared" ca="1" si="91"/>
        <v>36533.035714285717</v>
      </c>
      <c r="Q109" s="652">
        <f t="shared" ca="1" si="91"/>
        <v>36533.035714285717</v>
      </c>
      <c r="R109" s="652">
        <f t="shared" ca="1" si="91"/>
        <v>36533.035714285717</v>
      </c>
      <c r="S109" s="652">
        <f t="shared" ca="1" si="91"/>
        <v>36533.035714285717</v>
      </c>
      <c r="T109" s="652">
        <f t="shared" ca="1" si="91"/>
        <v>36533.035714285717</v>
      </c>
      <c r="U109" s="652">
        <f t="shared" ca="1" si="91"/>
        <v>36533.035714285717</v>
      </c>
      <c r="V109" s="652">
        <f t="shared" ca="1" si="88"/>
        <v>-229.78749999999999</v>
      </c>
      <c r="W109" s="652">
        <f t="shared" ca="1" si="88"/>
        <v>-229.78749999999999</v>
      </c>
      <c r="X109" s="652">
        <f t="shared" ca="1" si="88"/>
        <v>-229.78749999999999</v>
      </c>
      <c r="Y109" s="652">
        <f t="shared" ca="1" si="88"/>
        <v>-229.78749999999999</v>
      </c>
      <c r="Z109" s="652">
        <f t="shared" ca="1" si="88"/>
        <v>-229.78749999999999</v>
      </c>
      <c r="AA109" s="652">
        <f t="shared" ca="1" si="88"/>
        <v>-229.78749999999999</v>
      </c>
      <c r="AB109" s="652">
        <f t="shared" ca="1" si="88"/>
        <v>-229.78749999999999</v>
      </c>
      <c r="AC109" s="652">
        <f t="shared" ca="1" si="88"/>
        <v>2859.1071428571431</v>
      </c>
      <c r="AD109" s="652">
        <f t="shared" ca="1" si="88"/>
        <v>2859.1071428571431</v>
      </c>
      <c r="AE109" s="652">
        <f t="shared" ca="1" si="89"/>
        <v>2859.1071428571431</v>
      </c>
      <c r="AF109" s="652">
        <f t="shared" ca="1" si="89"/>
        <v>2859.1071428571431</v>
      </c>
      <c r="AG109" s="652">
        <f t="shared" ca="1" si="89"/>
        <v>2859.1071428571431</v>
      </c>
      <c r="AH109" s="652">
        <f t="shared" ca="1" si="89"/>
        <v>2859.1071428571431</v>
      </c>
      <c r="AI109" s="652">
        <f t="shared" ca="1" si="89"/>
        <v>2859.1071428571431</v>
      </c>
      <c r="AJ109" s="652">
        <f t="shared" ca="1" si="89"/>
        <v>109736.45547321429</v>
      </c>
      <c r="AK109" s="652">
        <f t="shared" ca="1" si="89"/>
        <v>109736.45547321429</v>
      </c>
      <c r="AL109" s="652">
        <f t="shared" ca="1" si="89"/>
        <v>109736.45547321429</v>
      </c>
      <c r="AM109" s="652">
        <f t="shared" ca="1" si="89"/>
        <v>109736.45547321429</v>
      </c>
      <c r="AN109" s="652">
        <f t="shared" ca="1" si="89"/>
        <v>109736.45547321429</v>
      </c>
      <c r="AO109" s="652">
        <f t="shared" ca="1" si="89"/>
        <v>109736.45547321429</v>
      </c>
      <c r="AP109" s="652">
        <f t="shared" ca="1" si="89"/>
        <v>109736.45547321429</v>
      </c>
      <c r="AQ109" s="652">
        <f t="shared" ca="1" si="89"/>
        <v>16.861870285714286</v>
      </c>
      <c r="AR109" s="652">
        <f t="shared" ca="1" si="89"/>
        <v>16.861870285714286</v>
      </c>
      <c r="AS109" s="652">
        <f t="shared" ca="1" si="87"/>
        <v>16.861870285714286</v>
      </c>
      <c r="AT109" s="652">
        <f t="shared" ca="1" si="87"/>
        <v>16.861870285714286</v>
      </c>
      <c r="AU109" s="652">
        <f t="shared" ca="1" si="87"/>
        <v>16.861870285714286</v>
      </c>
      <c r="AV109" s="652">
        <f t="shared" ca="1" si="87"/>
        <v>16.861870285714286</v>
      </c>
      <c r="AW109" s="652">
        <f t="shared" ca="1" si="87"/>
        <v>16.861870285714286</v>
      </c>
      <c r="AX109" s="652">
        <f t="shared" ca="1" si="87"/>
        <v>0</v>
      </c>
      <c r="AY109" s="652">
        <f t="shared" ca="1" si="87"/>
        <v>0</v>
      </c>
      <c r="AZ109" s="652">
        <f t="shared" ca="1" si="24"/>
        <v>0</v>
      </c>
      <c r="BA109" s="652">
        <f t="shared" ca="1" si="93"/>
        <v>0</v>
      </c>
      <c r="BB109" s="652">
        <f t="shared" ca="1" si="93"/>
        <v>0</v>
      </c>
      <c r="BC109" s="652">
        <f t="shared" ca="1" si="93"/>
        <v>0</v>
      </c>
      <c r="BD109" s="652">
        <f t="shared" ca="1" si="93"/>
        <v>0</v>
      </c>
      <c r="BE109" s="652" t="str">
        <f t="shared" ca="1" si="93"/>
        <v>Commercial</v>
      </c>
      <c r="BF109" s="652" t="str">
        <f t="shared" ca="1" si="93"/>
        <v>Grocery InLight</v>
      </c>
      <c r="BG109" s="652" t="str">
        <f t="shared" ca="1" si="93"/>
        <v>OFFSMGasHeat</v>
      </c>
      <c r="BH109" s="652" t="str">
        <f t="shared" ca="1" si="93"/>
        <v>KU NonRes</v>
      </c>
      <c r="BI109" s="652" t="str">
        <f t="shared" ca="1" si="93"/>
        <v>KU NonRes</v>
      </c>
      <c r="BJ109" s="652">
        <f t="shared" ca="1" si="86"/>
        <v>8</v>
      </c>
      <c r="BK109" s="652">
        <f t="shared" ca="1" si="86"/>
        <v>0</v>
      </c>
      <c r="BL109" s="652">
        <f t="shared" ca="1" si="65"/>
        <v>0</v>
      </c>
      <c r="BM109" s="652">
        <f t="shared" ca="1" si="65"/>
        <v>0</v>
      </c>
      <c r="BN109" s="652">
        <f t="shared" ca="1" si="65"/>
        <v>0</v>
      </c>
      <c r="BO109" s="652">
        <f t="shared" ca="1" si="65"/>
        <v>0</v>
      </c>
      <c r="BP109" s="652">
        <f t="shared" ca="1" si="65"/>
        <v>0</v>
      </c>
      <c r="BQ109" s="652">
        <f t="shared" ca="1" si="65"/>
        <v>0</v>
      </c>
      <c r="BR109" s="652">
        <f t="shared" ca="1" si="75"/>
        <v>2223.7500000000005</v>
      </c>
      <c r="BS109" s="652">
        <f t="shared" ca="1" si="93"/>
        <v>255731.25</v>
      </c>
      <c r="BT109" s="652">
        <f t="shared" ca="1" si="93"/>
        <v>-1608.5124999999998</v>
      </c>
      <c r="BU109" s="652">
        <f t="shared" ca="1" si="93"/>
        <v>20013.75</v>
      </c>
      <c r="BV109" s="652">
        <f t="shared" ca="1" si="93"/>
        <v>0</v>
      </c>
      <c r="BW109" s="652">
        <f t="shared" ca="1" si="93"/>
        <v>768155.18831250002</v>
      </c>
      <c r="BX109" s="652">
        <f t="shared" ca="1" si="93"/>
        <v>118.03309200000001</v>
      </c>
      <c r="BY109" s="652">
        <f t="shared" ca="1" si="93"/>
        <v>0</v>
      </c>
    </row>
    <row r="110" spans="1:77">
      <c r="A110" s="425" t="str">
        <f t="shared" ca="1" si="73"/>
        <v>Business RebatesKU-LED Exit Signs (replacement)</v>
      </c>
      <c r="B110" s="1297" t="str">
        <f t="shared" si="1"/>
        <v>KUBusiness Rebates</v>
      </c>
      <c r="C110" s="662" t="s">
        <v>208</v>
      </c>
      <c r="D110" s="662" t="s">
        <v>63</v>
      </c>
      <c r="E110" s="652" t="str">
        <f t="shared" ca="1" si="90"/>
        <v>KU-LED Exit Signs (replacement)</v>
      </c>
      <c r="F110" s="652" t="str">
        <f t="shared" ca="1" si="90"/>
        <v>LED Exit Signs (replacement)</v>
      </c>
      <c r="G110" s="652" t="str">
        <f t="shared" ca="1" si="90"/>
        <v>Per Unit</v>
      </c>
      <c r="H110" s="652">
        <f t="shared" ca="1" si="91"/>
        <v>687.75</v>
      </c>
      <c r="I110" s="652">
        <f t="shared" ca="1" si="91"/>
        <v>687.75</v>
      </c>
      <c r="J110" s="652">
        <f t="shared" ca="1" si="91"/>
        <v>687.75</v>
      </c>
      <c r="K110" s="652">
        <f t="shared" ca="1" si="91"/>
        <v>687.75</v>
      </c>
      <c r="L110" s="652">
        <f t="shared" ca="1" si="91"/>
        <v>687.75</v>
      </c>
      <c r="M110" s="652">
        <f t="shared" ca="1" si="91"/>
        <v>687.75</v>
      </c>
      <c r="N110" s="652">
        <f t="shared" ca="1" si="91"/>
        <v>687.75</v>
      </c>
      <c r="O110" s="652">
        <f t="shared" ca="1" si="91"/>
        <v>24071.25</v>
      </c>
      <c r="P110" s="652">
        <f t="shared" ca="1" si="91"/>
        <v>24071.25</v>
      </c>
      <c r="Q110" s="652">
        <f t="shared" ca="1" si="91"/>
        <v>24071.25</v>
      </c>
      <c r="R110" s="652">
        <f t="shared" ca="1" si="91"/>
        <v>24071.25</v>
      </c>
      <c r="S110" s="652">
        <f t="shared" ca="1" si="91"/>
        <v>24071.25</v>
      </c>
      <c r="T110" s="652">
        <f t="shared" ca="1" si="91"/>
        <v>24071.25</v>
      </c>
      <c r="U110" s="652">
        <f t="shared" ca="1" si="91"/>
        <v>24071.25</v>
      </c>
      <c r="V110" s="652">
        <f t="shared" ca="1" si="88"/>
        <v>0</v>
      </c>
      <c r="W110" s="652">
        <f t="shared" ca="1" si="88"/>
        <v>0</v>
      </c>
      <c r="X110" s="652">
        <f t="shared" ca="1" si="88"/>
        <v>0</v>
      </c>
      <c r="Y110" s="652">
        <f t="shared" ca="1" si="88"/>
        <v>0</v>
      </c>
      <c r="Z110" s="652">
        <f t="shared" ca="1" si="88"/>
        <v>0</v>
      </c>
      <c r="AA110" s="652">
        <f t="shared" ca="1" si="88"/>
        <v>0</v>
      </c>
      <c r="AB110" s="652">
        <f t="shared" ca="1" si="88"/>
        <v>0</v>
      </c>
      <c r="AC110" s="652">
        <f t="shared" ca="1" si="88"/>
        <v>6877.5</v>
      </c>
      <c r="AD110" s="652">
        <f t="shared" ca="1" si="88"/>
        <v>6877.5</v>
      </c>
      <c r="AE110" s="652">
        <f t="shared" ca="1" si="89"/>
        <v>6877.5</v>
      </c>
      <c r="AF110" s="652">
        <f t="shared" ca="1" si="89"/>
        <v>6877.5</v>
      </c>
      <c r="AG110" s="652">
        <f t="shared" ca="1" si="89"/>
        <v>6877.5</v>
      </c>
      <c r="AH110" s="652">
        <f t="shared" ca="1" si="89"/>
        <v>6877.5</v>
      </c>
      <c r="AI110" s="652">
        <f t="shared" ca="1" si="89"/>
        <v>6877.5</v>
      </c>
      <c r="AJ110" s="652">
        <f t="shared" ca="1" si="89"/>
        <v>209312.78969780216</v>
      </c>
      <c r="AK110" s="652">
        <f t="shared" ca="1" si="89"/>
        <v>209312.78969780216</v>
      </c>
      <c r="AL110" s="652">
        <f t="shared" ca="1" si="89"/>
        <v>209312.78969780216</v>
      </c>
      <c r="AM110" s="652">
        <f t="shared" ca="1" si="89"/>
        <v>209312.78969780216</v>
      </c>
      <c r="AN110" s="652">
        <f t="shared" ca="1" si="89"/>
        <v>209312.78969780216</v>
      </c>
      <c r="AO110" s="652">
        <f t="shared" ca="1" si="89"/>
        <v>209312.78969780216</v>
      </c>
      <c r="AP110" s="652">
        <f t="shared" ca="1" si="89"/>
        <v>209312.78969780216</v>
      </c>
      <c r="AQ110" s="652">
        <f t="shared" ca="1" si="89"/>
        <v>32.382372252747246</v>
      </c>
      <c r="AR110" s="652">
        <f t="shared" ca="1" si="89"/>
        <v>32.382372252747246</v>
      </c>
      <c r="AS110" s="652">
        <f t="shared" ca="1" si="87"/>
        <v>32.382372252747246</v>
      </c>
      <c r="AT110" s="652">
        <f t="shared" ca="1" si="87"/>
        <v>32.382372252747246</v>
      </c>
      <c r="AU110" s="652">
        <f t="shared" ca="1" si="87"/>
        <v>32.382372252747246</v>
      </c>
      <c r="AV110" s="652">
        <f t="shared" ca="1" si="87"/>
        <v>32.382372252747246</v>
      </c>
      <c r="AW110" s="652">
        <f t="shared" ca="1" si="87"/>
        <v>32.382372252747246</v>
      </c>
      <c r="AX110" s="652">
        <f t="shared" ca="1" si="87"/>
        <v>0</v>
      </c>
      <c r="AY110" s="652">
        <f t="shared" ca="1" si="87"/>
        <v>0</v>
      </c>
      <c r="AZ110" s="652">
        <f t="shared" ca="1" si="24"/>
        <v>0</v>
      </c>
      <c r="BA110" s="652">
        <f t="shared" ca="1" si="93"/>
        <v>0</v>
      </c>
      <c r="BB110" s="652">
        <f t="shared" ca="1" si="93"/>
        <v>0</v>
      </c>
      <c r="BC110" s="652">
        <f t="shared" ca="1" si="93"/>
        <v>0</v>
      </c>
      <c r="BD110" s="652">
        <f t="shared" ca="1" si="93"/>
        <v>0</v>
      </c>
      <c r="BE110" s="652" t="str">
        <f t="shared" ca="1" si="93"/>
        <v>Commercial</v>
      </c>
      <c r="BF110" s="652" t="str">
        <f t="shared" ca="1" si="93"/>
        <v>OFFLGInLight</v>
      </c>
      <c r="BG110" s="652" t="str">
        <f t="shared" ca="1" si="93"/>
        <v>OFFSMGasHeat</v>
      </c>
      <c r="BH110" s="652" t="str">
        <f t="shared" ca="1" si="93"/>
        <v>KU NonRes</v>
      </c>
      <c r="BI110" s="652" t="str">
        <f t="shared" ca="1" si="93"/>
        <v>KU NonRes</v>
      </c>
      <c r="BJ110" s="652">
        <f t="shared" ca="1" si="86"/>
        <v>16</v>
      </c>
      <c r="BK110" s="652">
        <f t="shared" ca="1" si="86"/>
        <v>0</v>
      </c>
      <c r="BL110" s="652">
        <f t="shared" ca="1" si="65"/>
        <v>0</v>
      </c>
      <c r="BM110" s="652">
        <f t="shared" ref="BL110:BQ152" ca="1" si="94">VLOOKUP($C110,INDIRECT("'"&amp;$D110&amp;"'!A6:FR1000"),IF(BM$6="Participation 2023",MATCH("__Participation 2023",INDIRECT("'"&amp;$D110&amp;"'!1:1"),0),IF(BM$6="Participation",MATCH("_Total Plan Summary _Participation",INDIRECT("'"&amp;$D110&amp;"'!1:1"),0),MATCH(BM$4&amp;"_"&amp;BM$5&amp;"_"&amp;BM$6,INDIRECT("'"&amp;$D110&amp;"'!1:1"),0))),0)</f>
        <v>0</v>
      </c>
      <c r="BN110" s="652">
        <f t="shared" ca="1" si="94"/>
        <v>0</v>
      </c>
      <c r="BO110" s="652">
        <f t="shared" ca="1" si="94"/>
        <v>0</v>
      </c>
      <c r="BP110" s="652">
        <f t="shared" ca="1" si="94"/>
        <v>0</v>
      </c>
      <c r="BQ110" s="652">
        <f t="shared" ca="1" si="94"/>
        <v>0</v>
      </c>
      <c r="BR110" s="652">
        <f t="shared" ca="1" si="75"/>
        <v>4814.25</v>
      </c>
      <c r="BS110" s="652">
        <f t="shared" ca="1" si="93"/>
        <v>168498.75</v>
      </c>
      <c r="BT110" s="652">
        <f t="shared" ca="1" si="93"/>
        <v>0</v>
      </c>
      <c r="BU110" s="652">
        <f t="shared" ca="1" si="93"/>
        <v>48142.5</v>
      </c>
      <c r="BV110" s="652">
        <f t="shared" ca="1" si="93"/>
        <v>0</v>
      </c>
      <c r="BW110" s="652">
        <f t="shared" ca="1" si="93"/>
        <v>1465189.5278846151</v>
      </c>
      <c r="BX110" s="652">
        <f t="shared" ca="1" si="93"/>
        <v>226.67660576923072</v>
      </c>
      <c r="BY110" s="652">
        <f t="shared" ca="1" si="93"/>
        <v>0</v>
      </c>
    </row>
    <row r="111" spans="1:77">
      <c r="A111" s="425" t="str">
        <f t="shared" ca="1" si="73"/>
        <v>Business RebatesKU-Efficient Lighting Controls - Occupancy Sensor</v>
      </c>
      <c r="B111" s="1297" t="str">
        <f t="shared" si="1"/>
        <v>KUBusiness Rebates</v>
      </c>
      <c r="C111" s="662" t="s">
        <v>209</v>
      </c>
      <c r="D111" s="662" t="s">
        <v>63</v>
      </c>
      <c r="E111" s="652" t="str">
        <f t="shared" ca="1" si="90"/>
        <v>KU-Efficient Lighting Controls - Occupancy Sensor</v>
      </c>
      <c r="F111" s="652" t="str">
        <f t="shared" ca="1" si="90"/>
        <v>Occupancy Sensor ($0.03 per Controlled Watt)</v>
      </c>
      <c r="G111" s="652" t="str">
        <f t="shared" ca="1" si="90"/>
        <v>Per Controlled Watt</v>
      </c>
      <c r="H111" s="652">
        <f t="shared" ca="1" si="91"/>
        <v>188316.03571428571</v>
      </c>
      <c r="I111" s="652">
        <f t="shared" ca="1" si="91"/>
        <v>188316.03571428571</v>
      </c>
      <c r="J111" s="652">
        <f t="shared" ca="1" si="91"/>
        <v>188316.03571428571</v>
      </c>
      <c r="K111" s="652">
        <f t="shared" ca="1" si="91"/>
        <v>188316.03571428571</v>
      </c>
      <c r="L111" s="652">
        <f t="shared" ca="1" si="91"/>
        <v>188316.03571428571</v>
      </c>
      <c r="M111" s="652">
        <f t="shared" ca="1" si="91"/>
        <v>188316.03571428571</v>
      </c>
      <c r="N111" s="652">
        <f t="shared" ca="1" si="91"/>
        <v>188316.03571428571</v>
      </c>
      <c r="O111" s="652">
        <f t="shared" ca="1" si="91"/>
        <v>139182.46391543021</v>
      </c>
      <c r="P111" s="652">
        <f t="shared" ca="1" si="91"/>
        <v>139182.46391543021</v>
      </c>
      <c r="Q111" s="652">
        <f t="shared" ca="1" si="91"/>
        <v>139182.46391543021</v>
      </c>
      <c r="R111" s="652">
        <f t="shared" ca="1" si="91"/>
        <v>139182.46391543021</v>
      </c>
      <c r="S111" s="652">
        <f t="shared" ca="1" si="91"/>
        <v>139182.46391543021</v>
      </c>
      <c r="T111" s="652">
        <f t="shared" ca="1" si="91"/>
        <v>139182.46391543021</v>
      </c>
      <c r="U111" s="652">
        <f t="shared" ca="1" si="91"/>
        <v>139182.46391543021</v>
      </c>
      <c r="V111" s="652">
        <f t="shared" ca="1" si="88"/>
        <v>0</v>
      </c>
      <c r="W111" s="652">
        <f t="shared" ca="1" si="88"/>
        <v>0</v>
      </c>
      <c r="X111" s="652">
        <f t="shared" ca="1" si="88"/>
        <v>0</v>
      </c>
      <c r="Y111" s="652">
        <f t="shared" ca="1" si="88"/>
        <v>0</v>
      </c>
      <c r="Z111" s="652">
        <f t="shared" ca="1" si="88"/>
        <v>0</v>
      </c>
      <c r="AA111" s="652">
        <f t="shared" ca="1" si="88"/>
        <v>0</v>
      </c>
      <c r="AB111" s="652">
        <f t="shared" ca="1" si="88"/>
        <v>0</v>
      </c>
      <c r="AC111" s="652">
        <f t="shared" ca="1" si="88"/>
        <v>5649.4810714285713</v>
      </c>
      <c r="AD111" s="652">
        <f t="shared" ca="1" si="88"/>
        <v>5649.4810714285713</v>
      </c>
      <c r="AE111" s="652">
        <f t="shared" ca="1" si="89"/>
        <v>5649.4810714285713</v>
      </c>
      <c r="AF111" s="652">
        <f t="shared" ca="1" si="89"/>
        <v>5649.4810714285713</v>
      </c>
      <c r="AG111" s="652">
        <f t="shared" ca="1" si="89"/>
        <v>5649.4810714285713</v>
      </c>
      <c r="AH111" s="652">
        <f t="shared" ca="1" si="89"/>
        <v>5649.4810714285713</v>
      </c>
      <c r="AI111" s="652">
        <f t="shared" ca="1" si="89"/>
        <v>5649.4810714285713</v>
      </c>
      <c r="AJ111" s="652">
        <f t="shared" ca="1" si="89"/>
        <v>216568.82856903429</v>
      </c>
      <c r="AK111" s="652">
        <f t="shared" ca="1" si="89"/>
        <v>216568.82856903429</v>
      </c>
      <c r="AL111" s="652">
        <f t="shared" ca="1" si="89"/>
        <v>216568.82856903429</v>
      </c>
      <c r="AM111" s="652">
        <f t="shared" ca="1" si="89"/>
        <v>216568.82856903429</v>
      </c>
      <c r="AN111" s="652">
        <f t="shared" ca="1" si="89"/>
        <v>216568.82856903429</v>
      </c>
      <c r="AO111" s="652">
        <f t="shared" ca="1" si="89"/>
        <v>216568.82856903429</v>
      </c>
      <c r="AP111" s="652">
        <f t="shared" ca="1" si="89"/>
        <v>216568.82856903429</v>
      </c>
      <c r="AQ111" s="652">
        <f t="shared" ca="1" si="89"/>
        <v>24.625382496312664</v>
      </c>
      <c r="AR111" s="652">
        <f t="shared" ca="1" si="89"/>
        <v>24.625382496312664</v>
      </c>
      <c r="AS111" s="652">
        <f t="shared" ca="1" si="87"/>
        <v>24.625382496312664</v>
      </c>
      <c r="AT111" s="652">
        <f t="shared" ca="1" si="87"/>
        <v>24.625382496312664</v>
      </c>
      <c r="AU111" s="652">
        <f t="shared" ca="1" si="87"/>
        <v>24.625382496312664</v>
      </c>
      <c r="AV111" s="652">
        <f t="shared" ca="1" si="87"/>
        <v>24.625382496312664</v>
      </c>
      <c r="AW111" s="652">
        <f t="shared" ca="1" si="87"/>
        <v>24.625382496312664</v>
      </c>
      <c r="AX111" s="652">
        <f t="shared" ca="1" si="87"/>
        <v>0</v>
      </c>
      <c r="AY111" s="652">
        <f t="shared" ca="1" si="87"/>
        <v>0</v>
      </c>
      <c r="AZ111" s="652">
        <f t="shared" ca="1" si="24"/>
        <v>0</v>
      </c>
      <c r="BA111" s="652">
        <f t="shared" ca="1" si="93"/>
        <v>0</v>
      </c>
      <c r="BB111" s="652">
        <f t="shared" ca="1" si="93"/>
        <v>0</v>
      </c>
      <c r="BC111" s="652">
        <f t="shared" ca="1" si="93"/>
        <v>0</v>
      </c>
      <c r="BD111" s="652">
        <f t="shared" ca="1" si="93"/>
        <v>0</v>
      </c>
      <c r="BE111" s="652" t="str">
        <f t="shared" ca="1" si="93"/>
        <v>Commercial</v>
      </c>
      <c r="BF111" s="652" t="str">
        <f t="shared" ca="1" si="93"/>
        <v>OFFLGInLight</v>
      </c>
      <c r="BG111" s="652" t="str">
        <f t="shared" ca="1" si="93"/>
        <v>OFFSMGasHeat</v>
      </c>
      <c r="BH111" s="652" t="str">
        <f t="shared" ca="1" si="93"/>
        <v>KU NonRes</v>
      </c>
      <c r="BI111" s="652" t="str">
        <f t="shared" ca="1" si="93"/>
        <v>KU NonRes</v>
      </c>
      <c r="BJ111" s="652">
        <f t="shared" ca="1" si="86"/>
        <v>8</v>
      </c>
      <c r="BK111" s="652">
        <f t="shared" ca="1" si="86"/>
        <v>0</v>
      </c>
      <c r="BL111" s="652">
        <f t="shared" ca="1" si="94"/>
        <v>0</v>
      </c>
      <c r="BM111" s="652">
        <f t="shared" ca="1" si="94"/>
        <v>0</v>
      </c>
      <c r="BN111" s="652">
        <f t="shared" ca="1" si="94"/>
        <v>0</v>
      </c>
      <c r="BO111" s="652">
        <f t="shared" ca="1" si="94"/>
        <v>0</v>
      </c>
      <c r="BP111" s="652">
        <f t="shared" ca="1" si="94"/>
        <v>0</v>
      </c>
      <c r="BQ111" s="652">
        <f t="shared" ca="1" si="94"/>
        <v>0</v>
      </c>
      <c r="BR111" s="652">
        <f t="shared" ca="1" si="75"/>
        <v>1318212.25</v>
      </c>
      <c r="BS111" s="652">
        <f t="shared" ca="1" si="93"/>
        <v>974277.24740801158</v>
      </c>
      <c r="BT111" s="652">
        <f t="shared" ca="1" si="93"/>
        <v>0</v>
      </c>
      <c r="BU111" s="652">
        <f t="shared" ca="1" si="93"/>
        <v>39546.3675</v>
      </c>
      <c r="BV111" s="652">
        <f t="shared" ca="1" si="93"/>
        <v>0</v>
      </c>
      <c r="BW111" s="652">
        <f t="shared" ca="1" si="93"/>
        <v>1515981.7999832402</v>
      </c>
      <c r="BX111" s="652">
        <f t="shared" ca="1" si="93"/>
        <v>172.37767747418863</v>
      </c>
      <c r="BY111" s="652">
        <f t="shared" ca="1" si="93"/>
        <v>0</v>
      </c>
    </row>
    <row r="112" spans="1:77">
      <c r="A112" s="425" t="str">
        <f t="shared" ca="1" si="73"/>
        <v>Business RebatesKU-Efficient Lighting Controls - Daylight Dimming-Continuous Fixtures</v>
      </c>
      <c r="B112" s="1297" t="str">
        <f t="shared" si="1"/>
        <v>KUBusiness Rebates</v>
      </c>
      <c r="C112" s="662" t="s">
        <v>210</v>
      </c>
      <c r="D112" s="662" t="s">
        <v>63</v>
      </c>
      <c r="E112" s="652" t="str">
        <f t="shared" ca="1" si="90"/>
        <v>KU-Efficient Lighting Controls - Daylight Dimming-Continuous Fixtures</v>
      </c>
      <c r="F112" s="652" t="str">
        <f t="shared" ca="1" si="90"/>
        <v>Daylight Dimming-Continuous Fixtures ($0.03 per Controlled Watt)</v>
      </c>
      <c r="G112" s="652" t="str">
        <f t="shared" ca="1" si="90"/>
        <v>Per Controlled Watt</v>
      </c>
      <c r="H112" s="652">
        <f t="shared" ca="1" si="91"/>
        <v>0</v>
      </c>
      <c r="I112" s="652">
        <f t="shared" ca="1" si="91"/>
        <v>0.5</v>
      </c>
      <c r="J112" s="652">
        <f t="shared" ca="1" si="91"/>
        <v>0</v>
      </c>
      <c r="K112" s="652">
        <f t="shared" ca="1" si="91"/>
        <v>0</v>
      </c>
      <c r="L112" s="652">
        <f t="shared" ca="1" si="91"/>
        <v>0.5</v>
      </c>
      <c r="M112" s="652">
        <f t="shared" ca="1" si="91"/>
        <v>0</v>
      </c>
      <c r="N112" s="652">
        <f t="shared" ca="1" si="91"/>
        <v>0</v>
      </c>
      <c r="O112" s="652">
        <f t="shared" ca="1" si="91"/>
        <v>0</v>
      </c>
      <c r="P112" s="652">
        <f t="shared" ca="1" si="91"/>
        <v>1259.0907839682889</v>
      </c>
      <c r="Q112" s="652">
        <f t="shared" ca="1" si="91"/>
        <v>0</v>
      </c>
      <c r="R112" s="652">
        <f t="shared" ca="1" si="91"/>
        <v>0</v>
      </c>
      <c r="S112" s="652">
        <f t="shared" ca="1" si="91"/>
        <v>1259.0907839682889</v>
      </c>
      <c r="T112" s="652">
        <f t="shared" ca="1" si="91"/>
        <v>0</v>
      </c>
      <c r="U112" s="652">
        <f t="shared" ca="1" si="91"/>
        <v>0</v>
      </c>
      <c r="V112" s="652">
        <f t="shared" ca="1" si="88"/>
        <v>0</v>
      </c>
      <c r="W112" s="652">
        <f t="shared" ca="1" si="88"/>
        <v>0</v>
      </c>
      <c r="X112" s="652">
        <f t="shared" ca="1" si="88"/>
        <v>0</v>
      </c>
      <c r="Y112" s="652">
        <f t="shared" ca="1" si="88"/>
        <v>0</v>
      </c>
      <c r="Z112" s="652">
        <f t="shared" ca="1" si="88"/>
        <v>0</v>
      </c>
      <c r="AA112" s="652">
        <f t="shared" ca="1" si="88"/>
        <v>0</v>
      </c>
      <c r="AB112" s="652">
        <f t="shared" ca="1" si="88"/>
        <v>0</v>
      </c>
      <c r="AC112" s="652">
        <f t="shared" ca="1" si="88"/>
        <v>0</v>
      </c>
      <c r="AD112" s="652">
        <f t="shared" ca="1" si="88"/>
        <v>94.634999999999991</v>
      </c>
      <c r="AE112" s="652">
        <f t="shared" ca="1" si="89"/>
        <v>0</v>
      </c>
      <c r="AF112" s="652">
        <f t="shared" ca="1" si="89"/>
        <v>0</v>
      </c>
      <c r="AG112" s="652">
        <f t="shared" ca="1" si="89"/>
        <v>94.634999999999991</v>
      </c>
      <c r="AH112" s="652">
        <f t="shared" ca="1" si="89"/>
        <v>0</v>
      </c>
      <c r="AI112" s="652">
        <f t="shared" ca="1" si="89"/>
        <v>0</v>
      </c>
      <c r="AJ112" s="652">
        <f t="shared" ca="1" si="89"/>
        <v>0</v>
      </c>
      <c r="AK112" s="652">
        <f t="shared" ca="1" si="89"/>
        <v>3334.9071168000005</v>
      </c>
      <c r="AL112" s="652">
        <f t="shared" ca="1" si="89"/>
        <v>0</v>
      </c>
      <c r="AM112" s="652">
        <f t="shared" ca="1" si="89"/>
        <v>0</v>
      </c>
      <c r="AN112" s="652">
        <f t="shared" ca="1" si="89"/>
        <v>3334.9071168000005</v>
      </c>
      <c r="AO112" s="652">
        <f t="shared" ca="1" si="89"/>
        <v>0</v>
      </c>
      <c r="AP112" s="652">
        <f t="shared" ca="1" si="89"/>
        <v>0</v>
      </c>
      <c r="AQ112" s="652">
        <f t="shared" ca="1" si="89"/>
        <v>0</v>
      </c>
      <c r="AR112" s="652">
        <f t="shared" ca="1" si="89"/>
        <v>2.0914335000000004</v>
      </c>
      <c r="AS112" s="652">
        <f t="shared" ca="1" si="87"/>
        <v>0</v>
      </c>
      <c r="AT112" s="652">
        <f t="shared" ca="1" si="87"/>
        <v>0</v>
      </c>
      <c r="AU112" s="652">
        <f t="shared" ca="1" si="87"/>
        <v>2.0914335000000004</v>
      </c>
      <c r="AV112" s="652">
        <f t="shared" ca="1" si="87"/>
        <v>0</v>
      </c>
      <c r="AW112" s="652">
        <f t="shared" ca="1" si="87"/>
        <v>0</v>
      </c>
      <c r="AX112" s="652">
        <f t="shared" ca="1" si="87"/>
        <v>0</v>
      </c>
      <c r="AY112" s="652">
        <f t="shared" ca="1" si="87"/>
        <v>0</v>
      </c>
      <c r="AZ112" s="652">
        <f t="shared" ca="1" si="24"/>
        <v>0</v>
      </c>
      <c r="BA112" s="652">
        <f t="shared" ca="1" si="93"/>
        <v>0</v>
      </c>
      <c r="BB112" s="652">
        <f t="shared" ca="1" si="93"/>
        <v>0</v>
      </c>
      <c r="BC112" s="652">
        <f t="shared" ca="1" si="93"/>
        <v>0</v>
      </c>
      <c r="BD112" s="652">
        <f t="shared" ca="1" si="93"/>
        <v>0</v>
      </c>
      <c r="BE112" s="652" t="str">
        <f t="shared" ca="1" si="93"/>
        <v>Commercial</v>
      </c>
      <c r="BF112" s="652" t="str">
        <f t="shared" ca="1" si="93"/>
        <v>OFFLGInLight</v>
      </c>
      <c r="BG112" s="652" t="str">
        <f t="shared" ca="1" si="93"/>
        <v>OFFSMGasHeat</v>
      </c>
      <c r="BH112" s="652" t="str">
        <f t="shared" ca="1" si="93"/>
        <v>KU NonRes</v>
      </c>
      <c r="BI112" s="652" t="str">
        <f t="shared" ca="1" si="93"/>
        <v>KU NonRes</v>
      </c>
      <c r="BJ112" s="652">
        <f t="shared" ca="1" si="86"/>
        <v>8</v>
      </c>
      <c r="BK112" s="652">
        <f t="shared" ca="1" si="86"/>
        <v>0</v>
      </c>
      <c r="BL112" s="652">
        <f t="shared" ca="1" si="94"/>
        <v>0</v>
      </c>
      <c r="BM112" s="652">
        <f t="shared" ca="1" si="94"/>
        <v>0</v>
      </c>
      <c r="BN112" s="652">
        <f t="shared" ca="1" si="94"/>
        <v>0</v>
      </c>
      <c r="BO112" s="652">
        <f t="shared" ca="1" si="94"/>
        <v>0</v>
      </c>
      <c r="BP112" s="652">
        <f t="shared" ca="1" si="94"/>
        <v>0</v>
      </c>
      <c r="BQ112" s="652">
        <f t="shared" ca="1" si="94"/>
        <v>0</v>
      </c>
      <c r="BR112" s="652">
        <f t="shared" ca="1" si="75"/>
        <v>1</v>
      </c>
      <c r="BS112" s="652">
        <f t="shared" ca="1" si="93"/>
        <v>2518.1815679365777</v>
      </c>
      <c r="BT112" s="652">
        <f t="shared" ca="1" si="93"/>
        <v>0</v>
      </c>
      <c r="BU112" s="652">
        <f t="shared" ca="1" si="93"/>
        <v>189.26999999999998</v>
      </c>
      <c r="BV112" s="652">
        <f t="shared" ca="1" si="93"/>
        <v>0</v>
      </c>
      <c r="BW112" s="652">
        <f t="shared" ca="1" si="93"/>
        <v>6669.814233600001</v>
      </c>
      <c r="BX112" s="652">
        <f t="shared" ca="1" si="93"/>
        <v>4.1828670000000008</v>
      </c>
      <c r="BY112" s="652">
        <f t="shared" ca="1" si="93"/>
        <v>0</v>
      </c>
    </row>
    <row r="113" spans="1:77">
      <c r="A113" s="425" t="str">
        <f t="shared" ca="1" si="73"/>
        <v>Business RebatesKU-Efficient Lighting Controls - Occupancy/Daylight Dual Control</v>
      </c>
      <c r="B113" s="1297" t="str">
        <f t="shared" si="1"/>
        <v>KUBusiness Rebates</v>
      </c>
      <c r="C113" s="662" t="s">
        <v>211</v>
      </c>
      <c r="D113" s="662" t="s">
        <v>63</v>
      </c>
      <c r="E113" s="652" t="str">
        <f t="shared" ca="1" si="90"/>
        <v>KU-Efficient Lighting Controls - Occupancy/Daylight Dual Control</v>
      </c>
      <c r="F113" s="652" t="str">
        <f t="shared" ca="1" si="90"/>
        <v>Occupancy/Daylight Dual Control ($0.03 per Controlled Watt)</v>
      </c>
      <c r="G113" s="652" t="str">
        <f t="shared" ca="1" si="90"/>
        <v>Per Controlled Watt</v>
      </c>
      <c r="H113" s="652">
        <f t="shared" ca="1" si="91"/>
        <v>0</v>
      </c>
      <c r="I113" s="652">
        <f t="shared" ca="1" si="91"/>
        <v>0</v>
      </c>
      <c r="J113" s="652">
        <f t="shared" ca="1" si="91"/>
        <v>0.5</v>
      </c>
      <c r="K113" s="652">
        <f t="shared" ca="1" si="91"/>
        <v>0</v>
      </c>
      <c r="L113" s="652">
        <f t="shared" ca="1" si="91"/>
        <v>0</v>
      </c>
      <c r="M113" s="652">
        <f t="shared" ca="1" si="91"/>
        <v>0.5</v>
      </c>
      <c r="N113" s="652">
        <f t="shared" ca="1" si="91"/>
        <v>0</v>
      </c>
      <c r="O113" s="652">
        <f t="shared" ca="1" si="91"/>
        <v>0</v>
      </c>
      <c r="P113" s="652">
        <f t="shared" ca="1" si="91"/>
        <v>0</v>
      </c>
      <c r="Q113" s="652">
        <f t="shared" ca="1" si="91"/>
        <v>4818.4168261345003</v>
      </c>
      <c r="R113" s="652">
        <f t="shared" ca="1" si="91"/>
        <v>0</v>
      </c>
      <c r="S113" s="652">
        <f t="shared" ca="1" si="91"/>
        <v>0</v>
      </c>
      <c r="T113" s="652">
        <f t="shared" ca="1" si="91"/>
        <v>4818.4168261345003</v>
      </c>
      <c r="U113" s="652">
        <f t="shared" ca="1" si="91"/>
        <v>0</v>
      </c>
      <c r="V113" s="652">
        <f t="shared" ca="1" si="88"/>
        <v>0</v>
      </c>
      <c r="W113" s="652">
        <f t="shared" ca="1" si="88"/>
        <v>0</v>
      </c>
      <c r="X113" s="652">
        <f t="shared" ca="1" si="88"/>
        <v>0</v>
      </c>
      <c r="Y113" s="652">
        <f t="shared" ca="1" si="88"/>
        <v>0</v>
      </c>
      <c r="Z113" s="652">
        <f t="shared" ca="1" si="88"/>
        <v>0</v>
      </c>
      <c r="AA113" s="652">
        <f t="shared" ca="1" si="88"/>
        <v>0</v>
      </c>
      <c r="AB113" s="652">
        <f t="shared" ca="1" si="88"/>
        <v>0</v>
      </c>
      <c r="AC113" s="652">
        <f t="shared" ca="1" si="88"/>
        <v>0</v>
      </c>
      <c r="AD113" s="652">
        <f t="shared" ca="1" si="88"/>
        <v>0</v>
      </c>
      <c r="AE113" s="652">
        <f t="shared" ca="1" si="89"/>
        <v>94.634999999999991</v>
      </c>
      <c r="AF113" s="652">
        <f t="shared" ca="1" si="89"/>
        <v>0</v>
      </c>
      <c r="AG113" s="652">
        <f t="shared" ca="1" si="89"/>
        <v>0</v>
      </c>
      <c r="AH113" s="652">
        <f t="shared" ca="1" si="89"/>
        <v>94.634999999999991</v>
      </c>
      <c r="AI113" s="652">
        <f t="shared" ca="1" si="89"/>
        <v>0</v>
      </c>
      <c r="AJ113" s="652">
        <f t="shared" ca="1" si="89"/>
        <v>0</v>
      </c>
      <c r="AK113" s="652">
        <f t="shared" ca="1" si="89"/>
        <v>0</v>
      </c>
      <c r="AL113" s="652">
        <f t="shared" ca="1" si="89"/>
        <v>4525.9453728000008</v>
      </c>
      <c r="AM113" s="652">
        <f t="shared" ca="1" si="89"/>
        <v>0</v>
      </c>
      <c r="AN113" s="652">
        <f t="shared" ca="1" si="89"/>
        <v>0</v>
      </c>
      <c r="AO113" s="652">
        <f t="shared" ca="1" si="89"/>
        <v>4525.9453728000008</v>
      </c>
      <c r="AP113" s="652">
        <f t="shared" ca="1" si="89"/>
        <v>0</v>
      </c>
      <c r="AQ113" s="652">
        <f t="shared" ca="1" si="89"/>
        <v>0</v>
      </c>
      <c r="AR113" s="652">
        <f t="shared" ca="1" si="89"/>
        <v>0</v>
      </c>
      <c r="AS113" s="652">
        <f t="shared" ca="1" si="87"/>
        <v>2.0914335000000004</v>
      </c>
      <c r="AT113" s="652">
        <f t="shared" ca="1" si="87"/>
        <v>0</v>
      </c>
      <c r="AU113" s="652">
        <f t="shared" ca="1" si="87"/>
        <v>0</v>
      </c>
      <c r="AV113" s="652">
        <f t="shared" ca="1" si="87"/>
        <v>2.0914335000000004</v>
      </c>
      <c r="AW113" s="652">
        <f t="shared" ca="1" si="87"/>
        <v>0</v>
      </c>
      <c r="AX113" s="652">
        <f t="shared" ca="1" si="87"/>
        <v>0</v>
      </c>
      <c r="AY113" s="652">
        <f t="shared" ca="1" si="87"/>
        <v>0</v>
      </c>
      <c r="AZ113" s="652">
        <f t="shared" ca="1" si="24"/>
        <v>0</v>
      </c>
      <c r="BA113" s="652">
        <f t="shared" ca="1" si="93"/>
        <v>0</v>
      </c>
      <c r="BB113" s="652">
        <f t="shared" ca="1" si="93"/>
        <v>0</v>
      </c>
      <c r="BC113" s="652">
        <f t="shared" ca="1" si="93"/>
        <v>0</v>
      </c>
      <c r="BD113" s="652">
        <f t="shared" ca="1" si="93"/>
        <v>0</v>
      </c>
      <c r="BE113" s="652" t="str">
        <f t="shared" ca="1" si="93"/>
        <v>Commercial</v>
      </c>
      <c r="BF113" s="652" t="str">
        <f t="shared" ca="1" si="93"/>
        <v>OFFLGInLight</v>
      </c>
      <c r="BG113" s="652" t="str">
        <f t="shared" ca="1" si="93"/>
        <v>OFFSMGasHeat</v>
      </c>
      <c r="BH113" s="652" t="str">
        <f t="shared" ca="1" si="93"/>
        <v>KU NonRes</v>
      </c>
      <c r="BI113" s="652" t="str">
        <f t="shared" ca="1" si="93"/>
        <v>KU NonRes</v>
      </c>
      <c r="BJ113" s="652">
        <f t="shared" ca="1" si="93"/>
        <v>8</v>
      </c>
      <c r="BK113" s="652">
        <f t="shared" ca="1" si="93"/>
        <v>0</v>
      </c>
      <c r="BL113" s="652">
        <f t="shared" ca="1" si="94"/>
        <v>0</v>
      </c>
      <c r="BM113" s="652">
        <f t="shared" ca="1" si="94"/>
        <v>0</v>
      </c>
      <c r="BN113" s="652">
        <f t="shared" ca="1" si="94"/>
        <v>0</v>
      </c>
      <c r="BO113" s="652">
        <f t="shared" ca="1" si="94"/>
        <v>0</v>
      </c>
      <c r="BP113" s="652">
        <f t="shared" ca="1" si="94"/>
        <v>0</v>
      </c>
      <c r="BQ113" s="652">
        <f t="shared" ca="1" si="94"/>
        <v>0</v>
      </c>
      <c r="BR113" s="652">
        <f t="shared" ca="1" si="75"/>
        <v>1</v>
      </c>
      <c r="BS113" s="652">
        <f t="shared" ca="1" si="93"/>
        <v>9636.8336522690006</v>
      </c>
      <c r="BT113" s="652">
        <f t="shared" ca="1" si="93"/>
        <v>0</v>
      </c>
      <c r="BU113" s="652">
        <f t="shared" ca="1" si="93"/>
        <v>189.26999999999998</v>
      </c>
      <c r="BV113" s="652">
        <f t="shared" ca="1" si="93"/>
        <v>0</v>
      </c>
      <c r="BW113" s="652">
        <f t="shared" ca="1" si="93"/>
        <v>9051.8907456000015</v>
      </c>
      <c r="BX113" s="652">
        <f t="shared" ca="1" si="93"/>
        <v>4.1828670000000008</v>
      </c>
      <c r="BY113" s="652">
        <f t="shared" ca="1" si="93"/>
        <v>0</v>
      </c>
    </row>
    <row r="114" spans="1:77">
      <c r="A114" s="425" t="str">
        <f t="shared" ca="1" si="73"/>
        <v>Business RebatesKU-Custom Projects</v>
      </c>
      <c r="B114" s="1297" t="str">
        <f t="shared" si="1"/>
        <v>KUBusiness Rebates</v>
      </c>
      <c r="C114" s="662" t="s">
        <v>212</v>
      </c>
      <c r="D114" s="662" t="s">
        <v>63</v>
      </c>
      <c r="E114" s="652" t="str">
        <f t="shared" ca="1" si="90"/>
        <v>KU-Custom Projects</v>
      </c>
      <c r="F114" s="652" t="str">
        <f t="shared" ca="1" si="90"/>
        <v>Custom Projects - Saves 1 kW of Demand or More</v>
      </c>
      <c r="G114" s="652" t="str">
        <f t="shared" ca="1" si="90"/>
        <v>Per Saved kWh (first year savings only)</v>
      </c>
      <c r="H114" s="652">
        <f t="shared" ca="1" si="91"/>
        <v>5000000</v>
      </c>
      <c r="I114" s="652">
        <f t="shared" ca="1" si="91"/>
        <v>8000000</v>
      </c>
      <c r="J114" s="652">
        <f t="shared" ca="1" si="91"/>
        <v>12000000</v>
      </c>
      <c r="K114" s="652">
        <f t="shared" ca="1" si="91"/>
        <v>12000000</v>
      </c>
      <c r="L114" s="652">
        <f t="shared" ca="1" si="91"/>
        <v>12000000</v>
      </c>
      <c r="M114" s="652">
        <f t="shared" ca="1" si="91"/>
        <v>12000000</v>
      </c>
      <c r="N114" s="652">
        <f t="shared" ca="1" si="91"/>
        <v>12000000</v>
      </c>
      <c r="O114" s="652">
        <f t="shared" ca="1" si="91"/>
        <v>1105893.7648836002</v>
      </c>
      <c r="P114" s="652">
        <f t="shared" ca="1" si="91"/>
        <v>1769430.0238137601</v>
      </c>
      <c r="Q114" s="652">
        <f t="shared" ca="1" si="91"/>
        <v>2654145.0357206403</v>
      </c>
      <c r="R114" s="652">
        <f t="shared" ca="1" si="91"/>
        <v>2654145.0357206403</v>
      </c>
      <c r="S114" s="652">
        <f t="shared" ca="1" si="91"/>
        <v>2654145.0357206403</v>
      </c>
      <c r="T114" s="652">
        <f t="shared" ca="1" si="91"/>
        <v>2654145.0357206403</v>
      </c>
      <c r="U114" s="652">
        <f t="shared" ca="1" si="91"/>
        <v>2654145.0357206403</v>
      </c>
      <c r="V114" s="652">
        <f t="shared" ca="1" si="88"/>
        <v>0</v>
      </c>
      <c r="W114" s="652">
        <f t="shared" ca="1" si="88"/>
        <v>0</v>
      </c>
      <c r="X114" s="652">
        <f t="shared" ca="1" si="88"/>
        <v>0</v>
      </c>
      <c r="Y114" s="652">
        <f t="shared" ca="1" si="88"/>
        <v>0</v>
      </c>
      <c r="Z114" s="652">
        <f t="shared" ca="1" si="88"/>
        <v>0</v>
      </c>
      <c r="AA114" s="652">
        <f t="shared" ca="1" si="88"/>
        <v>0</v>
      </c>
      <c r="AB114" s="652">
        <f t="shared" ca="1" si="88"/>
        <v>0</v>
      </c>
      <c r="AC114" s="652">
        <f t="shared" ca="1" si="88"/>
        <v>420702.44811630691</v>
      </c>
      <c r="AD114" s="652">
        <f t="shared" ca="1" si="88"/>
        <v>673123.91698609106</v>
      </c>
      <c r="AE114" s="652">
        <f t="shared" ca="1" si="89"/>
        <v>1009685.8754791366</v>
      </c>
      <c r="AF114" s="652">
        <f t="shared" ca="1" si="89"/>
        <v>1009685.8754791366</v>
      </c>
      <c r="AG114" s="652">
        <f t="shared" ca="1" si="89"/>
        <v>1009685.8754791366</v>
      </c>
      <c r="AH114" s="652">
        <f t="shared" ca="1" si="89"/>
        <v>1009685.8754791366</v>
      </c>
      <c r="AI114" s="652">
        <f t="shared" ca="1" si="89"/>
        <v>1009685.8754791366</v>
      </c>
      <c r="AJ114" s="652">
        <f t="shared" ca="1" si="89"/>
        <v>5000000</v>
      </c>
      <c r="AK114" s="652">
        <f t="shared" ca="1" si="89"/>
        <v>8000000</v>
      </c>
      <c r="AL114" s="652">
        <f t="shared" ca="1" si="89"/>
        <v>12000000</v>
      </c>
      <c r="AM114" s="652">
        <f t="shared" ca="1" si="89"/>
        <v>12000000</v>
      </c>
      <c r="AN114" s="652">
        <f t="shared" ca="1" si="89"/>
        <v>12000000</v>
      </c>
      <c r="AO114" s="652">
        <f t="shared" ca="1" si="89"/>
        <v>12000000</v>
      </c>
      <c r="AP114" s="652">
        <f t="shared" ca="1" si="89"/>
        <v>12000000</v>
      </c>
      <c r="AQ114" s="652">
        <f t="shared" ca="1" si="89"/>
        <v>1365.6195849304554</v>
      </c>
      <c r="AR114" s="652">
        <f t="shared" ca="1" si="89"/>
        <v>2184.9913358887284</v>
      </c>
      <c r="AS114" s="652">
        <f t="shared" ca="1" si="87"/>
        <v>3277.4870038330928</v>
      </c>
      <c r="AT114" s="652">
        <f t="shared" ca="1" si="87"/>
        <v>3277.4870038330928</v>
      </c>
      <c r="AU114" s="652">
        <f t="shared" ca="1" si="87"/>
        <v>3277.4870038330928</v>
      </c>
      <c r="AV114" s="652">
        <f t="shared" ca="1" si="87"/>
        <v>3277.4870038330928</v>
      </c>
      <c r="AW114" s="652">
        <f t="shared" ca="1" si="87"/>
        <v>3277.4870038330928</v>
      </c>
      <c r="AX114" s="652">
        <f t="shared" ca="1" si="87"/>
        <v>0</v>
      </c>
      <c r="AY114" s="652">
        <f t="shared" ca="1" si="87"/>
        <v>0</v>
      </c>
      <c r="AZ114" s="652">
        <f t="shared" ca="1" si="24"/>
        <v>0</v>
      </c>
      <c r="BA114" s="652">
        <f t="shared" ca="1" si="93"/>
        <v>0</v>
      </c>
      <c r="BB114" s="652">
        <f t="shared" ca="1" si="93"/>
        <v>0</v>
      </c>
      <c r="BC114" s="652">
        <f t="shared" ca="1" si="93"/>
        <v>0</v>
      </c>
      <c r="BD114" s="652">
        <f t="shared" ca="1" si="93"/>
        <v>0</v>
      </c>
      <c r="BE114" s="652" t="str">
        <f t="shared" ca="1" si="93"/>
        <v>Commercial</v>
      </c>
      <c r="BF114" s="652" t="str">
        <f t="shared" ca="1" si="93"/>
        <v>OFFLGElecTotl</v>
      </c>
      <c r="BG114" s="652" t="str">
        <f t="shared" ca="1" si="93"/>
        <v>OFFSMGasHeat</v>
      </c>
      <c r="BH114" s="652" t="str">
        <f t="shared" ca="1" si="93"/>
        <v>KU NonRes</v>
      </c>
      <c r="BI114" s="652" t="str">
        <f t="shared" ca="1" si="93"/>
        <v>KU NonRes</v>
      </c>
      <c r="BJ114" s="652">
        <f t="shared" ca="1" si="93"/>
        <v>15</v>
      </c>
      <c r="BK114" s="652">
        <f t="shared" ca="1" si="93"/>
        <v>0</v>
      </c>
      <c r="BL114" s="652">
        <f t="shared" ca="1" si="94"/>
        <v>0</v>
      </c>
      <c r="BM114" s="652">
        <f t="shared" ca="1" si="94"/>
        <v>0</v>
      </c>
      <c r="BN114" s="652">
        <f t="shared" ca="1" si="94"/>
        <v>0</v>
      </c>
      <c r="BO114" s="652">
        <f t="shared" ca="1" si="94"/>
        <v>0</v>
      </c>
      <c r="BP114" s="652">
        <f t="shared" ca="1" si="94"/>
        <v>0</v>
      </c>
      <c r="BQ114" s="652">
        <f t="shared" ca="1" si="94"/>
        <v>0</v>
      </c>
      <c r="BR114" s="652">
        <f t="shared" ca="1" si="75"/>
        <v>73000000</v>
      </c>
      <c r="BS114" s="652">
        <f t="shared" ca="1" si="93"/>
        <v>16146048.967300564</v>
      </c>
      <c r="BT114" s="652">
        <f t="shared" ca="1" si="93"/>
        <v>0</v>
      </c>
      <c r="BU114" s="652">
        <f t="shared" ca="1" si="93"/>
        <v>6142255.7424980812</v>
      </c>
      <c r="BV114" s="652">
        <f t="shared" ca="1" si="93"/>
        <v>0</v>
      </c>
      <c r="BW114" s="652">
        <f t="shared" ca="1" si="93"/>
        <v>73000000</v>
      </c>
      <c r="BX114" s="652">
        <f t="shared" ca="1" si="93"/>
        <v>19938.045939984644</v>
      </c>
      <c r="BY114" s="652">
        <f t="shared" ca="1" si="93"/>
        <v>0</v>
      </c>
    </row>
    <row r="115" spans="1:77">
      <c r="A115" s="425" t="str">
        <f t="shared" ca="1" si="73"/>
        <v>Business RebatesKU-Commercial New Construction Tier 1 &lt;25,000 sqft</v>
      </c>
      <c r="B115" s="1297" t="str">
        <f t="shared" si="1"/>
        <v>KUBusiness Rebates</v>
      </c>
      <c r="C115" s="662" t="s">
        <v>213</v>
      </c>
      <c r="D115" s="662" t="s">
        <v>63</v>
      </c>
      <c r="E115" s="652" t="str">
        <f t="shared" ca="1" si="90"/>
        <v>KU-Commercial New Construction Tier 1 &lt;25,000 sqft</v>
      </c>
      <c r="F115" s="652" t="str">
        <f t="shared" ca="1" si="90"/>
        <v>Commercial New Construction Tier 1 - 10% Over Code</v>
      </c>
      <c r="G115" s="652" t="str">
        <f t="shared" ca="1" si="90"/>
        <v>Per Project</v>
      </c>
      <c r="H115" s="652">
        <f t="shared" ca="1" si="91"/>
        <v>0</v>
      </c>
      <c r="I115" s="652">
        <f t="shared" ca="1" si="91"/>
        <v>0.5</v>
      </c>
      <c r="J115" s="652">
        <f t="shared" ca="1" si="91"/>
        <v>0</v>
      </c>
      <c r="K115" s="652">
        <f t="shared" ca="1" si="91"/>
        <v>0</v>
      </c>
      <c r="L115" s="652">
        <f t="shared" ca="1" si="91"/>
        <v>0.5</v>
      </c>
      <c r="M115" s="652">
        <f t="shared" ca="1" si="91"/>
        <v>0</v>
      </c>
      <c r="N115" s="652">
        <f t="shared" ca="1" si="91"/>
        <v>0</v>
      </c>
      <c r="O115" s="652">
        <f t="shared" ca="1" si="91"/>
        <v>0</v>
      </c>
      <c r="P115" s="652">
        <f t="shared" ca="1" si="91"/>
        <v>5490.0990063881454</v>
      </c>
      <c r="Q115" s="652">
        <f t="shared" ca="1" si="91"/>
        <v>0</v>
      </c>
      <c r="R115" s="652">
        <f t="shared" ca="1" si="91"/>
        <v>0</v>
      </c>
      <c r="S115" s="652">
        <f t="shared" ca="1" si="91"/>
        <v>5490.0990063881454</v>
      </c>
      <c r="T115" s="652">
        <f t="shared" ca="1" si="91"/>
        <v>0</v>
      </c>
      <c r="U115" s="652">
        <f t="shared" ca="1" si="91"/>
        <v>0</v>
      </c>
      <c r="V115" s="652">
        <f t="shared" ca="1" si="88"/>
        <v>0</v>
      </c>
      <c r="W115" s="652">
        <f t="shared" ca="1" si="88"/>
        <v>0</v>
      </c>
      <c r="X115" s="652">
        <f t="shared" ca="1" si="88"/>
        <v>0</v>
      </c>
      <c r="Y115" s="652">
        <f t="shared" ca="1" si="88"/>
        <v>0</v>
      </c>
      <c r="Z115" s="652">
        <f t="shared" ca="1" si="88"/>
        <v>0</v>
      </c>
      <c r="AA115" s="652">
        <f t="shared" ca="1" si="88"/>
        <v>0</v>
      </c>
      <c r="AB115" s="652">
        <f t="shared" ca="1" si="88"/>
        <v>0</v>
      </c>
      <c r="AC115" s="652">
        <f t="shared" ca="1" si="88"/>
        <v>0</v>
      </c>
      <c r="AD115" s="652">
        <f t="shared" ca="1" si="88"/>
        <v>750</v>
      </c>
      <c r="AE115" s="652">
        <f t="shared" ca="1" si="89"/>
        <v>0</v>
      </c>
      <c r="AF115" s="652">
        <f t="shared" ca="1" si="89"/>
        <v>0</v>
      </c>
      <c r="AG115" s="652">
        <f t="shared" ca="1" si="89"/>
        <v>750</v>
      </c>
      <c r="AH115" s="652">
        <f t="shared" ca="1" si="89"/>
        <v>0</v>
      </c>
      <c r="AI115" s="652">
        <f t="shared" ca="1" si="89"/>
        <v>0</v>
      </c>
      <c r="AJ115" s="652">
        <f t="shared" ca="1" si="89"/>
        <v>0</v>
      </c>
      <c r="AK115" s="652">
        <f t="shared" ca="1" si="89"/>
        <v>24822.000000000004</v>
      </c>
      <c r="AL115" s="652">
        <f t="shared" ca="1" si="89"/>
        <v>0</v>
      </c>
      <c r="AM115" s="652">
        <f t="shared" ca="1" si="89"/>
        <v>0</v>
      </c>
      <c r="AN115" s="652">
        <f t="shared" ca="1" si="89"/>
        <v>24822.000000000004</v>
      </c>
      <c r="AO115" s="652">
        <f t="shared" ca="1" si="89"/>
        <v>0</v>
      </c>
      <c r="AP115" s="652">
        <f t="shared" ca="1" si="89"/>
        <v>0</v>
      </c>
      <c r="AQ115" s="652">
        <f t="shared" ca="1" si="89"/>
        <v>0</v>
      </c>
      <c r="AR115" s="652">
        <f t="shared" ca="1" si="89"/>
        <v>3.8714285714285714</v>
      </c>
      <c r="AS115" s="652">
        <f t="shared" ca="1" si="87"/>
        <v>0</v>
      </c>
      <c r="AT115" s="652">
        <f t="shared" ca="1" si="87"/>
        <v>0</v>
      </c>
      <c r="AU115" s="652">
        <f t="shared" ca="1" si="87"/>
        <v>3.8714285714285714</v>
      </c>
      <c r="AV115" s="652">
        <f t="shared" ca="1" si="87"/>
        <v>0</v>
      </c>
      <c r="AW115" s="652">
        <f t="shared" ca="1" si="87"/>
        <v>0</v>
      </c>
      <c r="AX115" s="652">
        <f t="shared" ca="1" si="87"/>
        <v>0</v>
      </c>
      <c r="AY115" s="652">
        <f t="shared" ca="1" si="87"/>
        <v>0</v>
      </c>
      <c r="AZ115" s="652">
        <f t="shared" ref="AZ115:BY136" ca="1" si="95">VLOOKUP($C115,INDIRECT("'"&amp;$D115&amp;"'!A6:FR1000"),IF(AZ$6="Participation 2023",MATCH("__Participation 2023",INDIRECT("'"&amp;$D115&amp;"'!1:1"),0),IF(AZ$6="Participation",MATCH("_Total Plan Summary _Participation",INDIRECT("'"&amp;$D115&amp;"'!1:1"),0),MATCH(AZ$4&amp;"_"&amp;AZ$5&amp;"_"&amp;AZ$6,INDIRECT("'"&amp;$D115&amp;"'!1:1"),0))),0)</f>
        <v>0</v>
      </c>
      <c r="BA115" s="652">
        <f t="shared" ca="1" si="95"/>
        <v>0</v>
      </c>
      <c r="BB115" s="652">
        <f t="shared" ca="1" si="95"/>
        <v>0</v>
      </c>
      <c r="BC115" s="652">
        <f t="shared" ca="1" si="95"/>
        <v>0</v>
      </c>
      <c r="BD115" s="652">
        <f t="shared" ca="1" si="95"/>
        <v>0</v>
      </c>
      <c r="BE115" s="652" t="str">
        <f t="shared" ca="1" si="95"/>
        <v>Commercial</v>
      </c>
      <c r="BF115" s="652" t="str">
        <f t="shared" ca="1" si="95"/>
        <v>OFFLGElecTotl</v>
      </c>
      <c r="BG115" s="652" t="str">
        <f t="shared" ca="1" si="95"/>
        <v>OFFSMGasHeat</v>
      </c>
      <c r="BH115" s="652" t="str">
        <f t="shared" ca="1" si="95"/>
        <v>KU NonRes</v>
      </c>
      <c r="BI115" s="652" t="str">
        <f t="shared" ca="1" si="95"/>
        <v>KU NonRes</v>
      </c>
      <c r="BJ115" s="652">
        <f t="shared" ca="1" si="93"/>
        <v>15</v>
      </c>
      <c r="BK115" s="652">
        <f t="shared" ca="1" si="93"/>
        <v>0</v>
      </c>
      <c r="BL115" s="652">
        <f t="shared" ca="1" si="94"/>
        <v>0</v>
      </c>
      <c r="BM115" s="652">
        <f t="shared" ca="1" si="94"/>
        <v>0</v>
      </c>
      <c r="BN115" s="652">
        <f t="shared" ca="1" si="94"/>
        <v>0</v>
      </c>
      <c r="BO115" s="652">
        <f t="shared" ca="1" si="94"/>
        <v>0</v>
      </c>
      <c r="BP115" s="652">
        <f t="shared" ca="1" si="94"/>
        <v>0</v>
      </c>
      <c r="BQ115" s="652">
        <f t="shared" ca="1" si="94"/>
        <v>0</v>
      </c>
      <c r="BR115" s="652">
        <f t="shared" ca="1" si="75"/>
        <v>1</v>
      </c>
      <c r="BS115" s="652">
        <f t="shared" ca="1" si="95"/>
        <v>10980.198012776291</v>
      </c>
      <c r="BT115" s="652">
        <f t="shared" ca="1" si="95"/>
        <v>0</v>
      </c>
      <c r="BU115" s="652">
        <f t="shared" ca="1" si="95"/>
        <v>1500</v>
      </c>
      <c r="BV115" s="652">
        <f t="shared" ca="1" si="95"/>
        <v>0</v>
      </c>
      <c r="BW115" s="652">
        <f t="shared" ca="1" si="95"/>
        <v>49644.000000000007</v>
      </c>
      <c r="BX115" s="652">
        <f t="shared" ca="1" si="95"/>
        <v>7.7428571428571429</v>
      </c>
      <c r="BY115" s="652">
        <f t="shared" ca="1" si="95"/>
        <v>0</v>
      </c>
    </row>
    <row r="116" spans="1:77">
      <c r="A116" s="425" t="str">
        <f t="shared" ca="1" si="73"/>
        <v>Business RebatesKU-Commercial New Construction Tier 2 &lt;25,000 sqft</v>
      </c>
      <c r="B116" s="1297" t="str">
        <f t="shared" si="1"/>
        <v>KUBusiness Rebates</v>
      </c>
      <c r="C116" s="662" t="s">
        <v>214</v>
      </c>
      <c r="D116" s="662" t="s">
        <v>63</v>
      </c>
      <c r="E116" s="652" t="str">
        <f t="shared" ca="1" si="90"/>
        <v>KU-Commercial New Construction Tier 2 &lt;25,000 sqft</v>
      </c>
      <c r="F116" s="652" t="str">
        <f t="shared" ca="1" si="90"/>
        <v>Commercial New Construction Tier 2 - 15% Over Code</v>
      </c>
      <c r="G116" s="652" t="str">
        <f t="shared" ca="1" si="90"/>
        <v>Per Project</v>
      </c>
      <c r="H116" s="652">
        <f t="shared" ca="1" si="91"/>
        <v>0.5</v>
      </c>
      <c r="I116" s="652">
        <f t="shared" ca="1" si="91"/>
        <v>0</v>
      </c>
      <c r="J116" s="652">
        <f t="shared" ca="1" si="91"/>
        <v>0.5</v>
      </c>
      <c r="K116" s="652">
        <f t="shared" ca="1" si="91"/>
        <v>0</v>
      </c>
      <c r="L116" s="652">
        <f t="shared" ca="1" si="91"/>
        <v>0.5</v>
      </c>
      <c r="M116" s="652">
        <f t="shared" ca="1" si="91"/>
        <v>0</v>
      </c>
      <c r="N116" s="652">
        <f t="shared" ca="1" si="91"/>
        <v>0.5</v>
      </c>
      <c r="O116" s="652">
        <f t="shared" ca="1" si="91"/>
        <v>8235.1485095822172</v>
      </c>
      <c r="P116" s="652">
        <f t="shared" ca="1" si="91"/>
        <v>0</v>
      </c>
      <c r="Q116" s="652">
        <f t="shared" ca="1" si="91"/>
        <v>8235.1485095822172</v>
      </c>
      <c r="R116" s="652">
        <f t="shared" ca="1" si="91"/>
        <v>0</v>
      </c>
      <c r="S116" s="652">
        <f t="shared" ca="1" si="91"/>
        <v>8235.1485095822172</v>
      </c>
      <c r="T116" s="652">
        <f t="shared" ca="1" si="91"/>
        <v>0</v>
      </c>
      <c r="U116" s="652">
        <f t="shared" ca="1" si="91"/>
        <v>8235.1485095822172</v>
      </c>
      <c r="V116" s="652">
        <f t="shared" ca="1" si="88"/>
        <v>0</v>
      </c>
      <c r="W116" s="652">
        <f t="shared" ca="1" si="88"/>
        <v>0</v>
      </c>
      <c r="X116" s="652">
        <f t="shared" ca="1" si="88"/>
        <v>0</v>
      </c>
      <c r="Y116" s="652">
        <f t="shared" ca="1" si="88"/>
        <v>0</v>
      </c>
      <c r="Z116" s="652">
        <f t="shared" ca="1" si="88"/>
        <v>0</v>
      </c>
      <c r="AA116" s="652">
        <f t="shared" ca="1" si="88"/>
        <v>0</v>
      </c>
      <c r="AB116" s="652">
        <f t="shared" ca="1" si="88"/>
        <v>0</v>
      </c>
      <c r="AC116" s="652">
        <f t="shared" ca="1" si="88"/>
        <v>1150</v>
      </c>
      <c r="AD116" s="652">
        <f t="shared" ca="1" si="88"/>
        <v>0</v>
      </c>
      <c r="AE116" s="652">
        <f t="shared" ca="1" si="89"/>
        <v>1150</v>
      </c>
      <c r="AF116" s="652">
        <f t="shared" ca="1" si="89"/>
        <v>0</v>
      </c>
      <c r="AG116" s="652">
        <f t="shared" ca="1" si="89"/>
        <v>1150</v>
      </c>
      <c r="AH116" s="652">
        <f t="shared" ca="1" si="89"/>
        <v>0</v>
      </c>
      <c r="AI116" s="652">
        <f t="shared" ca="1" si="89"/>
        <v>1150</v>
      </c>
      <c r="AJ116" s="652">
        <f t="shared" ca="1" si="89"/>
        <v>37233</v>
      </c>
      <c r="AK116" s="652">
        <f t="shared" ca="1" si="89"/>
        <v>0</v>
      </c>
      <c r="AL116" s="652">
        <f t="shared" ca="1" si="89"/>
        <v>37233</v>
      </c>
      <c r="AM116" s="652">
        <f t="shared" ca="1" si="89"/>
        <v>0</v>
      </c>
      <c r="AN116" s="652">
        <f t="shared" ca="1" si="89"/>
        <v>37233</v>
      </c>
      <c r="AO116" s="652">
        <f t="shared" ca="1" si="89"/>
        <v>0</v>
      </c>
      <c r="AP116" s="652">
        <f t="shared" ca="1" si="89"/>
        <v>37233</v>
      </c>
      <c r="AQ116" s="652">
        <f t="shared" ca="1" si="89"/>
        <v>5.8071428571428569</v>
      </c>
      <c r="AR116" s="652">
        <f t="shared" ref="AR116:BS131" ca="1" si="96">VLOOKUP($C116,INDIRECT("'"&amp;$D116&amp;"'!A6:FR1000"),IF(AR$6="Participation 2023",MATCH("__Participation 2023",INDIRECT("'"&amp;$D116&amp;"'!1:1"),0),IF(AR$6="Participation",MATCH("_Total Plan Summary _Participation",INDIRECT("'"&amp;$D116&amp;"'!1:1"),0),MATCH(AR$4&amp;"_"&amp;AR$5&amp;"_"&amp;AR$6,INDIRECT("'"&amp;$D116&amp;"'!1:1"),0))),0)</f>
        <v>0</v>
      </c>
      <c r="AS116" s="652">
        <f t="shared" ca="1" si="96"/>
        <v>5.8071428571428569</v>
      </c>
      <c r="AT116" s="652">
        <f t="shared" ca="1" si="96"/>
        <v>0</v>
      </c>
      <c r="AU116" s="652">
        <f t="shared" ca="1" si="96"/>
        <v>5.8071428571428569</v>
      </c>
      <c r="AV116" s="652">
        <f t="shared" ca="1" si="96"/>
        <v>0</v>
      </c>
      <c r="AW116" s="652">
        <f t="shared" ca="1" si="96"/>
        <v>5.8071428571428569</v>
      </c>
      <c r="AX116" s="652">
        <f t="shared" ca="1" si="96"/>
        <v>0</v>
      </c>
      <c r="AY116" s="652">
        <f t="shared" ca="1" si="96"/>
        <v>0</v>
      </c>
      <c r="AZ116" s="652">
        <f t="shared" ca="1" si="96"/>
        <v>0</v>
      </c>
      <c r="BA116" s="652">
        <f t="shared" ca="1" si="96"/>
        <v>0</v>
      </c>
      <c r="BB116" s="652">
        <f t="shared" ca="1" si="96"/>
        <v>0</v>
      </c>
      <c r="BC116" s="652">
        <f t="shared" ca="1" si="96"/>
        <v>0</v>
      </c>
      <c r="BD116" s="652">
        <f t="shared" ca="1" si="96"/>
        <v>0</v>
      </c>
      <c r="BE116" s="652" t="str">
        <f t="shared" ca="1" si="95"/>
        <v>Commercial</v>
      </c>
      <c r="BF116" s="652" t="str">
        <f t="shared" ca="1" si="95"/>
        <v>OFFLGElecTotl</v>
      </c>
      <c r="BG116" s="652" t="str">
        <f t="shared" ca="1" si="95"/>
        <v>OFFSMGasHeat</v>
      </c>
      <c r="BH116" s="652" t="str">
        <f t="shared" ca="1" si="95"/>
        <v>KU NonRes</v>
      </c>
      <c r="BI116" s="652" t="str">
        <f t="shared" ca="1" si="95"/>
        <v>KU NonRes</v>
      </c>
      <c r="BJ116" s="652">
        <f t="shared" ca="1" si="93"/>
        <v>15</v>
      </c>
      <c r="BK116" s="652">
        <f t="shared" ca="1" si="93"/>
        <v>0</v>
      </c>
      <c r="BL116" s="652">
        <f t="shared" ca="1" si="94"/>
        <v>0</v>
      </c>
      <c r="BM116" s="652">
        <f t="shared" ca="1" si="94"/>
        <v>0</v>
      </c>
      <c r="BN116" s="652">
        <f t="shared" ca="1" si="94"/>
        <v>0</v>
      </c>
      <c r="BO116" s="652">
        <f t="shared" ca="1" si="94"/>
        <v>0</v>
      </c>
      <c r="BP116" s="652">
        <f t="shared" ca="1" si="94"/>
        <v>0</v>
      </c>
      <c r="BQ116" s="652">
        <f t="shared" ca="1" si="94"/>
        <v>0</v>
      </c>
      <c r="BR116" s="652">
        <f t="shared" ca="1" si="75"/>
        <v>2</v>
      </c>
      <c r="BS116" s="652">
        <f t="shared" ca="1" si="96"/>
        <v>32940.594038328869</v>
      </c>
      <c r="BT116" s="652">
        <f t="shared" ca="1" si="95"/>
        <v>0</v>
      </c>
      <c r="BU116" s="652">
        <f t="shared" ca="1" si="95"/>
        <v>4600</v>
      </c>
      <c r="BV116" s="652">
        <f t="shared" ca="1" si="95"/>
        <v>0</v>
      </c>
      <c r="BW116" s="652">
        <f t="shared" ca="1" si="95"/>
        <v>148932</v>
      </c>
      <c r="BX116" s="652">
        <f t="shared" ca="1" si="95"/>
        <v>23.228571428571428</v>
      </c>
      <c r="BY116" s="652">
        <f t="shared" ca="1" si="95"/>
        <v>0</v>
      </c>
    </row>
    <row r="117" spans="1:77">
      <c r="A117" s="425" t="str">
        <f t="shared" ca="1" si="73"/>
        <v>Business RebatesKU-Commercial New Construction Tier 3 &lt;25,000 sqft</v>
      </c>
      <c r="B117" s="1297" t="str">
        <f t="shared" si="1"/>
        <v>KUBusiness Rebates</v>
      </c>
      <c r="C117" s="662" t="s">
        <v>215</v>
      </c>
      <c r="D117" s="662" t="s">
        <v>63</v>
      </c>
      <c r="E117" s="652" t="str">
        <f t="shared" ca="1" si="90"/>
        <v>KU-Commercial New Construction Tier 3 &lt;25,000 sqft</v>
      </c>
      <c r="F117" s="652" t="str">
        <f t="shared" ca="1" si="90"/>
        <v>Commercial New Construction Tier 3 - 20% Over Code</v>
      </c>
      <c r="G117" s="652" t="str">
        <f t="shared" ca="1" si="90"/>
        <v>Per Project</v>
      </c>
      <c r="H117" s="652">
        <f t="shared" ca="1" si="91"/>
        <v>0</v>
      </c>
      <c r="I117" s="652">
        <f t="shared" ca="1" si="91"/>
        <v>0</v>
      </c>
      <c r="J117" s="652">
        <f t="shared" ca="1" si="91"/>
        <v>0.5</v>
      </c>
      <c r="K117" s="652">
        <f t="shared" ca="1" si="91"/>
        <v>0</v>
      </c>
      <c r="L117" s="652">
        <f t="shared" ca="1" si="91"/>
        <v>0</v>
      </c>
      <c r="M117" s="652">
        <f t="shared" ca="1" si="91"/>
        <v>0.5</v>
      </c>
      <c r="N117" s="652">
        <f t="shared" ca="1" si="91"/>
        <v>0</v>
      </c>
      <c r="O117" s="652">
        <f t="shared" ca="1" si="91"/>
        <v>0</v>
      </c>
      <c r="P117" s="652">
        <f t="shared" ca="1" si="91"/>
        <v>0</v>
      </c>
      <c r="Q117" s="652">
        <f t="shared" ca="1" si="91"/>
        <v>10980.198012776291</v>
      </c>
      <c r="R117" s="652">
        <f t="shared" ca="1" si="91"/>
        <v>0</v>
      </c>
      <c r="S117" s="652">
        <f t="shared" ca="1" si="91"/>
        <v>0</v>
      </c>
      <c r="T117" s="652">
        <f t="shared" ca="1" si="91"/>
        <v>10980.198012776291</v>
      </c>
      <c r="U117" s="652">
        <f t="shared" ref="U117:AH132" ca="1" si="97">VLOOKUP($C117,INDIRECT("'"&amp;$D117&amp;"'!A6:FR1000"),IF(U$6="Participation 2023",MATCH("__Participation 2023",INDIRECT("'"&amp;$D117&amp;"'!1:1"),0),IF(U$6="Participation",MATCH("_Total Plan Summary _Participation",INDIRECT("'"&amp;$D117&amp;"'!1:1"),0),MATCH(U$4&amp;"_"&amp;U$5&amp;"_"&amp;U$6,INDIRECT("'"&amp;$D117&amp;"'!1:1"),0))),0)</f>
        <v>0</v>
      </c>
      <c r="V117" s="652">
        <f t="shared" ca="1" si="97"/>
        <v>0</v>
      </c>
      <c r="W117" s="652">
        <f t="shared" ca="1" si="97"/>
        <v>0</v>
      </c>
      <c r="X117" s="652">
        <f t="shared" ca="1" si="97"/>
        <v>0</v>
      </c>
      <c r="Y117" s="652">
        <f t="shared" ca="1" si="97"/>
        <v>0</v>
      </c>
      <c r="Z117" s="652">
        <f t="shared" ca="1" si="97"/>
        <v>0</v>
      </c>
      <c r="AA117" s="652">
        <f t="shared" ca="1" si="97"/>
        <v>0</v>
      </c>
      <c r="AB117" s="652">
        <f t="shared" ca="1" si="97"/>
        <v>0</v>
      </c>
      <c r="AC117" s="652">
        <f t="shared" ca="1" si="97"/>
        <v>0</v>
      </c>
      <c r="AD117" s="652">
        <f t="shared" ca="1" si="97"/>
        <v>0</v>
      </c>
      <c r="AE117" s="652">
        <f t="shared" ca="1" si="97"/>
        <v>1500</v>
      </c>
      <c r="AF117" s="652">
        <f t="shared" ca="1" si="97"/>
        <v>0</v>
      </c>
      <c r="AG117" s="652">
        <f t="shared" ca="1" si="97"/>
        <v>0</v>
      </c>
      <c r="AH117" s="652">
        <f t="shared" ca="1" si="97"/>
        <v>1500</v>
      </c>
      <c r="AI117" s="652">
        <f t="shared" ref="AI117:AV132" ca="1" si="98">VLOOKUP($C117,INDIRECT("'"&amp;$D117&amp;"'!A6:FR1000"),IF(AI$6="Participation 2023",MATCH("__Participation 2023",INDIRECT("'"&amp;$D117&amp;"'!1:1"),0),IF(AI$6="Participation",MATCH("_Total Plan Summary _Participation",INDIRECT("'"&amp;$D117&amp;"'!1:1"),0),MATCH(AI$4&amp;"_"&amp;AI$5&amp;"_"&amp;AI$6,INDIRECT("'"&amp;$D117&amp;"'!1:1"),0))),0)</f>
        <v>0</v>
      </c>
      <c r="AJ117" s="652">
        <f t="shared" ca="1" si="98"/>
        <v>0</v>
      </c>
      <c r="AK117" s="652">
        <f t="shared" ca="1" si="98"/>
        <v>0</v>
      </c>
      <c r="AL117" s="652">
        <f t="shared" ca="1" si="98"/>
        <v>49644.000000000007</v>
      </c>
      <c r="AM117" s="652">
        <f t="shared" ca="1" si="98"/>
        <v>0</v>
      </c>
      <c r="AN117" s="652">
        <f t="shared" ca="1" si="98"/>
        <v>0</v>
      </c>
      <c r="AO117" s="652">
        <f t="shared" ca="1" si="98"/>
        <v>49644.000000000007</v>
      </c>
      <c r="AP117" s="652">
        <f t="shared" ca="1" si="98"/>
        <v>0</v>
      </c>
      <c r="AQ117" s="652">
        <f t="shared" ca="1" si="98"/>
        <v>0</v>
      </c>
      <c r="AR117" s="652">
        <f t="shared" ca="1" si="98"/>
        <v>0</v>
      </c>
      <c r="AS117" s="652">
        <f t="shared" ca="1" si="98"/>
        <v>7.7428571428571429</v>
      </c>
      <c r="AT117" s="652">
        <f t="shared" ca="1" si="98"/>
        <v>0</v>
      </c>
      <c r="AU117" s="652">
        <f t="shared" ca="1" si="98"/>
        <v>0</v>
      </c>
      <c r="AV117" s="652">
        <f t="shared" ca="1" si="98"/>
        <v>7.7428571428571429</v>
      </c>
      <c r="AW117" s="652">
        <f t="shared" ca="1" si="96"/>
        <v>0</v>
      </c>
      <c r="AX117" s="652">
        <f t="shared" ca="1" si="96"/>
        <v>0</v>
      </c>
      <c r="AY117" s="652">
        <f t="shared" ca="1" si="96"/>
        <v>0</v>
      </c>
      <c r="AZ117" s="652">
        <f t="shared" ca="1" si="96"/>
        <v>0</v>
      </c>
      <c r="BA117" s="652">
        <f t="shared" ca="1" si="96"/>
        <v>0</v>
      </c>
      <c r="BB117" s="652">
        <f t="shared" ca="1" si="96"/>
        <v>0</v>
      </c>
      <c r="BC117" s="652">
        <f t="shared" ca="1" si="96"/>
        <v>0</v>
      </c>
      <c r="BD117" s="652">
        <f t="shared" ca="1" si="96"/>
        <v>0</v>
      </c>
      <c r="BE117" s="652" t="str">
        <f t="shared" ca="1" si="95"/>
        <v>Commercial</v>
      </c>
      <c r="BF117" s="652" t="str">
        <f t="shared" ca="1" si="95"/>
        <v>OFFLGElecTotl</v>
      </c>
      <c r="BG117" s="652" t="str">
        <f t="shared" ca="1" si="95"/>
        <v>OFFSMGasHeat</v>
      </c>
      <c r="BH117" s="652" t="str">
        <f t="shared" ca="1" si="95"/>
        <v>KU NonRes</v>
      </c>
      <c r="BI117" s="652" t="str">
        <f t="shared" ca="1" si="95"/>
        <v>KU NonRes</v>
      </c>
      <c r="BJ117" s="652">
        <f t="shared" ca="1" si="93"/>
        <v>15</v>
      </c>
      <c r="BK117" s="652">
        <f t="shared" ca="1" si="93"/>
        <v>0</v>
      </c>
      <c r="BL117" s="652">
        <f t="shared" ca="1" si="94"/>
        <v>0</v>
      </c>
      <c r="BM117" s="652">
        <f t="shared" ca="1" si="94"/>
        <v>0</v>
      </c>
      <c r="BN117" s="652">
        <f t="shared" ca="1" si="94"/>
        <v>0</v>
      </c>
      <c r="BO117" s="652">
        <f t="shared" ca="1" si="94"/>
        <v>0</v>
      </c>
      <c r="BP117" s="652">
        <f t="shared" ca="1" si="94"/>
        <v>0</v>
      </c>
      <c r="BQ117" s="652">
        <f t="shared" ca="1" si="94"/>
        <v>0</v>
      </c>
      <c r="BR117" s="652">
        <f t="shared" ca="1" si="75"/>
        <v>1</v>
      </c>
      <c r="BS117" s="652">
        <f t="shared" ca="1" si="96"/>
        <v>21960.396025552582</v>
      </c>
      <c r="BT117" s="652">
        <f t="shared" ca="1" si="95"/>
        <v>0</v>
      </c>
      <c r="BU117" s="652">
        <f t="shared" ca="1" si="95"/>
        <v>3000</v>
      </c>
      <c r="BV117" s="652">
        <f t="shared" ca="1" si="95"/>
        <v>0</v>
      </c>
      <c r="BW117" s="652">
        <f t="shared" ca="1" si="95"/>
        <v>99288.000000000015</v>
      </c>
      <c r="BX117" s="652">
        <f t="shared" ca="1" si="95"/>
        <v>15.485714285714286</v>
      </c>
      <c r="BY117" s="652">
        <f t="shared" ca="1" si="95"/>
        <v>0</v>
      </c>
    </row>
    <row r="118" spans="1:77">
      <c r="A118" s="425" t="str">
        <f t="shared" ca="1" si="73"/>
        <v>Business RebatesKU-Commercial New Construction Tier 4 &lt;25,000 sqft</v>
      </c>
      <c r="B118" s="1297" t="str">
        <f t="shared" si="1"/>
        <v>KUBusiness Rebates</v>
      </c>
      <c r="C118" s="662" t="s">
        <v>216</v>
      </c>
      <c r="D118" s="662" t="s">
        <v>63</v>
      </c>
      <c r="E118" s="652" t="str">
        <f t="shared" ref="E118:G133" ca="1" si="99">VLOOKUP($C118,INDIRECT("'"&amp;$D118&amp;"'!A6:FC1000"),IF(E$6="Participation 2023",MATCH("__Participation 2023",INDIRECT("'"&amp;$D118&amp;"'!1:1"),0),IF(E$6="Participation",MATCH("_Total Plan Summary _Participation",INDIRECT("'"&amp;$D118&amp;"'!1:1"),0),MATCH(E$4&amp;"_"&amp;E$5&amp;"_"&amp;E$6,INDIRECT("'"&amp;$D118&amp;"'!1:1"),0))),0)</f>
        <v>KU-Commercial New Construction Tier 4 &lt;25,000 sqft</v>
      </c>
      <c r="F118" s="652" t="str">
        <f t="shared" ca="1" si="99"/>
        <v>Commercial New Construction Tier 4 - 25% Over Code</v>
      </c>
      <c r="G118" s="652" t="str">
        <f t="shared" ca="1" si="99"/>
        <v>Per Project</v>
      </c>
      <c r="H118" s="652">
        <f t="shared" ref="H118:U133" ca="1" si="100">VLOOKUP($C118,INDIRECT("'"&amp;$D118&amp;"'!A6:FR1000"),IF(H$6="Participation 2023",MATCH("__Participation 2023",INDIRECT("'"&amp;$D118&amp;"'!1:1"),0),IF(H$6="Participation",MATCH("_Total Plan Summary _Participation",INDIRECT("'"&amp;$D118&amp;"'!1:1"),0),MATCH(H$4&amp;"_"&amp;H$5&amp;"_"&amp;H$6,INDIRECT("'"&amp;$D118&amp;"'!1:1"),0))),0)</f>
        <v>0.5</v>
      </c>
      <c r="I118" s="652">
        <f t="shared" ca="1" si="100"/>
        <v>0.5</v>
      </c>
      <c r="J118" s="652">
        <f t="shared" ca="1" si="100"/>
        <v>0.5</v>
      </c>
      <c r="K118" s="652">
        <f t="shared" ca="1" si="100"/>
        <v>0.5</v>
      </c>
      <c r="L118" s="652">
        <f t="shared" ca="1" si="100"/>
        <v>0.5</v>
      </c>
      <c r="M118" s="652">
        <f t="shared" ca="1" si="100"/>
        <v>0.5</v>
      </c>
      <c r="N118" s="652">
        <f t="shared" ca="1" si="100"/>
        <v>0.5</v>
      </c>
      <c r="O118" s="652">
        <f t="shared" ca="1" si="100"/>
        <v>13725.247515970361</v>
      </c>
      <c r="P118" s="652">
        <f t="shared" ca="1" si="100"/>
        <v>13725.247515970361</v>
      </c>
      <c r="Q118" s="652">
        <f t="shared" ca="1" si="100"/>
        <v>13725.247515970361</v>
      </c>
      <c r="R118" s="652">
        <f t="shared" ca="1" si="100"/>
        <v>13725.247515970361</v>
      </c>
      <c r="S118" s="652">
        <f t="shared" ca="1" si="100"/>
        <v>13725.247515970361</v>
      </c>
      <c r="T118" s="652">
        <f t="shared" ca="1" si="100"/>
        <v>13725.247515970361</v>
      </c>
      <c r="U118" s="652">
        <f t="shared" ca="1" si="100"/>
        <v>13725.247515970361</v>
      </c>
      <c r="V118" s="652">
        <f t="shared" ca="1" si="97"/>
        <v>0</v>
      </c>
      <c r="W118" s="652">
        <f t="shared" ca="1" si="97"/>
        <v>0</v>
      </c>
      <c r="X118" s="652">
        <f t="shared" ca="1" si="97"/>
        <v>0</v>
      </c>
      <c r="Y118" s="652">
        <f t="shared" ca="1" si="97"/>
        <v>0</v>
      </c>
      <c r="Z118" s="652">
        <f t="shared" ca="1" si="97"/>
        <v>0</v>
      </c>
      <c r="AA118" s="652">
        <f t="shared" ca="1" si="97"/>
        <v>0</v>
      </c>
      <c r="AB118" s="652">
        <f t="shared" ca="1" si="97"/>
        <v>0</v>
      </c>
      <c r="AC118" s="652">
        <f t="shared" ca="1" si="97"/>
        <v>1900</v>
      </c>
      <c r="AD118" s="652">
        <f t="shared" ca="1" si="97"/>
        <v>1900</v>
      </c>
      <c r="AE118" s="652">
        <f t="shared" ca="1" si="97"/>
        <v>1900</v>
      </c>
      <c r="AF118" s="652">
        <f t="shared" ca="1" si="97"/>
        <v>1900</v>
      </c>
      <c r="AG118" s="652">
        <f t="shared" ca="1" si="97"/>
        <v>1900</v>
      </c>
      <c r="AH118" s="652">
        <f t="shared" ca="1" si="97"/>
        <v>1900</v>
      </c>
      <c r="AI118" s="652">
        <f t="shared" ca="1" si="98"/>
        <v>1900</v>
      </c>
      <c r="AJ118" s="652">
        <f t="shared" ca="1" si="98"/>
        <v>62055</v>
      </c>
      <c r="AK118" s="652">
        <f t="shared" ca="1" si="98"/>
        <v>62055</v>
      </c>
      <c r="AL118" s="652">
        <f t="shared" ca="1" si="98"/>
        <v>62055</v>
      </c>
      <c r="AM118" s="652">
        <f t="shared" ca="1" si="98"/>
        <v>62055</v>
      </c>
      <c r="AN118" s="652">
        <f t="shared" ca="1" si="98"/>
        <v>62055</v>
      </c>
      <c r="AO118" s="652">
        <f t="shared" ca="1" si="98"/>
        <v>62055</v>
      </c>
      <c r="AP118" s="652">
        <f t="shared" ca="1" si="98"/>
        <v>62055</v>
      </c>
      <c r="AQ118" s="652">
        <f t="shared" ca="1" si="98"/>
        <v>9.6785714285714288</v>
      </c>
      <c r="AR118" s="652">
        <f t="shared" ca="1" si="98"/>
        <v>9.6785714285714288</v>
      </c>
      <c r="AS118" s="652">
        <f t="shared" ca="1" si="98"/>
        <v>9.6785714285714288</v>
      </c>
      <c r="AT118" s="652">
        <f t="shared" ca="1" si="98"/>
        <v>9.6785714285714288</v>
      </c>
      <c r="AU118" s="652">
        <f t="shared" ca="1" si="98"/>
        <v>9.6785714285714288</v>
      </c>
      <c r="AV118" s="652">
        <f t="shared" ca="1" si="98"/>
        <v>9.6785714285714288</v>
      </c>
      <c r="AW118" s="652">
        <f t="shared" ca="1" si="96"/>
        <v>9.6785714285714288</v>
      </c>
      <c r="AX118" s="652">
        <f t="shared" ca="1" si="96"/>
        <v>0</v>
      </c>
      <c r="AY118" s="652">
        <f t="shared" ca="1" si="96"/>
        <v>0</v>
      </c>
      <c r="AZ118" s="652">
        <f t="shared" ca="1" si="96"/>
        <v>0</v>
      </c>
      <c r="BA118" s="652">
        <f t="shared" ca="1" si="96"/>
        <v>0</v>
      </c>
      <c r="BB118" s="652">
        <f t="shared" ca="1" si="96"/>
        <v>0</v>
      </c>
      <c r="BC118" s="652">
        <f t="shared" ca="1" si="96"/>
        <v>0</v>
      </c>
      <c r="BD118" s="652">
        <f t="shared" ca="1" si="96"/>
        <v>0</v>
      </c>
      <c r="BE118" s="652" t="str">
        <f t="shared" ca="1" si="95"/>
        <v>Commercial</v>
      </c>
      <c r="BF118" s="652" t="str">
        <f t="shared" ca="1" si="95"/>
        <v>OFFLGElecTotl</v>
      </c>
      <c r="BG118" s="652" t="str">
        <f t="shared" ca="1" si="95"/>
        <v>OFFSMGasHeat</v>
      </c>
      <c r="BH118" s="652" t="str">
        <f t="shared" ca="1" si="95"/>
        <v>KU NonRes</v>
      </c>
      <c r="BI118" s="652" t="str">
        <f t="shared" ca="1" si="95"/>
        <v>KU NonRes</v>
      </c>
      <c r="BJ118" s="652">
        <f t="shared" ca="1" si="93"/>
        <v>15</v>
      </c>
      <c r="BK118" s="652">
        <f t="shared" ca="1" si="93"/>
        <v>0</v>
      </c>
      <c r="BL118" s="652">
        <f t="shared" ca="1" si="94"/>
        <v>0</v>
      </c>
      <c r="BM118" s="652">
        <f t="shared" ca="1" si="94"/>
        <v>0</v>
      </c>
      <c r="BN118" s="652">
        <f t="shared" ca="1" si="94"/>
        <v>0</v>
      </c>
      <c r="BO118" s="652">
        <f t="shared" ca="1" si="94"/>
        <v>0</v>
      </c>
      <c r="BP118" s="652">
        <f t="shared" ca="1" si="94"/>
        <v>0</v>
      </c>
      <c r="BQ118" s="652">
        <f t="shared" ca="1" si="94"/>
        <v>0</v>
      </c>
      <c r="BR118" s="652">
        <f t="shared" ca="1" si="75"/>
        <v>3.5</v>
      </c>
      <c r="BS118" s="652">
        <f t="shared" ca="1" si="96"/>
        <v>96076.732611792526</v>
      </c>
      <c r="BT118" s="652">
        <f t="shared" ca="1" si="95"/>
        <v>0</v>
      </c>
      <c r="BU118" s="652">
        <f t="shared" ca="1" si="95"/>
        <v>13300</v>
      </c>
      <c r="BV118" s="652">
        <f t="shared" ca="1" si="95"/>
        <v>0</v>
      </c>
      <c r="BW118" s="652">
        <f t="shared" ca="1" si="95"/>
        <v>434385</v>
      </c>
      <c r="BX118" s="652">
        <f t="shared" ca="1" si="95"/>
        <v>67.75</v>
      </c>
      <c r="BY118" s="652">
        <f t="shared" ca="1" si="95"/>
        <v>0</v>
      </c>
    </row>
    <row r="119" spans="1:77">
      <c r="A119" s="425" t="str">
        <f t="shared" ca="1" si="73"/>
        <v>Business RebatesKU-Commercial New Construction Tier 1 ≥25,000 sqft</v>
      </c>
      <c r="B119" s="1297" t="str">
        <f t="shared" si="1"/>
        <v>KUBusiness Rebates</v>
      </c>
      <c r="C119" s="662" t="s">
        <v>217</v>
      </c>
      <c r="D119" s="662" t="s">
        <v>63</v>
      </c>
      <c r="E119" s="652" t="str">
        <f t="shared" ca="1" si="99"/>
        <v>KU-Commercial New Construction Tier 1 ≥25,000 sqft</v>
      </c>
      <c r="F119" s="652" t="str">
        <f t="shared" ca="1" si="99"/>
        <v>Commercial New Construction Tier 1 - 10% Over Code</v>
      </c>
      <c r="G119" s="652" t="str">
        <f t="shared" ca="1" si="99"/>
        <v>Per Project</v>
      </c>
      <c r="H119" s="652">
        <f t="shared" ca="1" si="100"/>
        <v>0.5</v>
      </c>
      <c r="I119" s="652">
        <f t="shared" ca="1" si="100"/>
        <v>0</v>
      </c>
      <c r="J119" s="652">
        <f t="shared" ca="1" si="100"/>
        <v>0</v>
      </c>
      <c r="K119" s="652">
        <f t="shared" ca="1" si="100"/>
        <v>0.5</v>
      </c>
      <c r="L119" s="652">
        <f t="shared" ca="1" si="100"/>
        <v>0</v>
      </c>
      <c r="M119" s="652">
        <f t="shared" ca="1" si="100"/>
        <v>0</v>
      </c>
      <c r="N119" s="652">
        <f t="shared" ca="1" si="100"/>
        <v>0.5</v>
      </c>
      <c r="O119" s="652">
        <f t="shared" ca="1" si="100"/>
        <v>16470.297019164434</v>
      </c>
      <c r="P119" s="652">
        <f t="shared" ca="1" si="100"/>
        <v>0</v>
      </c>
      <c r="Q119" s="652">
        <f t="shared" ca="1" si="100"/>
        <v>0</v>
      </c>
      <c r="R119" s="652">
        <f t="shared" ca="1" si="100"/>
        <v>16470.297019164434</v>
      </c>
      <c r="S119" s="652">
        <f t="shared" ca="1" si="100"/>
        <v>0</v>
      </c>
      <c r="T119" s="652">
        <f t="shared" ca="1" si="100"/>
        <v>0</v>
      </c>
      <c r="U119" s="652">
        <f t="shared" ca="1" si="100"/>
        <v>16470.297019164434</v>
      </c>
      <c r="V119" s="652">
        <f t="shared" ca="1" si="97"/>
        <v>0</v>
      </c>
      <c r="W119" s="652">
        <f t="shared" ca="1" si="97"/>
        <v>0</v>
      </c>
      <c r="X119" s="652">
        <f t="shared" ca="1" si="97"/>
        <v>0</v>
      </c>
      <c r="Y119" s="652">
        <f t="shared" ca="1" si="97"/>
        <v>0</v>
      </c>
      <c r="Z119" s="652">
        <f t="shared" ca="1" si="97"/>
        <v>0</v>
      </c>
      <c r="AA119" s="652">
        <f t="shared" ca="1" si="97"/>
        <v>0</v>
      </c>
      <c r="AB119" s="652">
        <f t="shared" ca="1" si="97"/>
        <v>0</v>
      </c>
      <c r="AC119" s="652">
        <f t="shared" ca="1" si="97"/>
        <v>2250</v>
      </c>
      <c r="AD119" s="652">
        <f t="shared" ca="1" si="97"/>
        <v>0</v>
      </c>
      <c r="AE119" s="652">
        <f t="shared" ca="1" si="97"/>
        <v>0</v>
      </c>
      <c r="AF119" s="652">
        <f t="shared" ca="1" si="97"/>
        <v>2250</v>
      </c>
      <c r="AG119" s="652">
        <f t="shared" ca="1" si="97"/>
        <v>0</v>
      </c>
      <c r="AH119" s="652">
        <f t="shared" ca="1" si="97"/>
        <v>0</v>
      </c>
      <c r="AI119" s="652">
        <f t="shared" ca="1" si="98"/>
        <v>2250</v>
      </c>
      <c r="AJ119" s="652">
        <f t="shared" ca="1" si="98"/>
        <v>74466</v>
      </c>
      <c r="AK119" s="652">
        <f t="shared" ca="1" si="98"/>
        <v>0</v>
      </c>
      <c r="AL119" s="652">
        <f t="shared" ca="1" si="98"/>
        <v>0</v>
      </c>
      <c r="AM119" s="652">
        <f t="shared" ca="1" si="98"/>
        <v>74466</v>
      </c>
      <c r="AN119" s="652">
        <f t="shared" ca="1" si="98"/>
        <v>0</v>
      </c>
      <c r="AO119" s="652">
        <f t="shared" ca="1" si="98"/>
        <v>0</v>
      </c>
      <c r="AP119" s="652">
        <f t="shared" ca="1" si="98"/>
        <v>74466</v>
      </c>
      <c r="AQ119" s="652">
        <f t="shared" ca="1" si="98"/>
        <v>11.614285714285714</v>
      </c>
      <c r="AR119" s="652">
        <f t="shared" ca="1" si="98"/>
        <v>0</v>
      </c>
      <c r="AS119" s="652">
        <f t="shared" ca="1" si="98"/>
        <v>0</v>
      </c>
      <c r="AT119" s="652">
        <f t="shared" ca="1" si="98"/>
        <v>11.614285714285714</v>
      </c>
      <c r="AU119" s="652">
        <f t="shared" ca="1" si="98"/>
        <v>0</v>
      </c>
      <c r="AV119" s="652">
        <f t="shared" ca="1" si="98"/>
        <v>0</v>
      </c>
      <c r="AW119" s="652">
        <f t="shared" ca="1" si="96"/>
        <v>11.614285714285714</v>
      </c>
      <c r="AX119" s="652">
        <f t="shared" ca="1" si="96"/>
        <v>0</v>
      </c>
      <c r="AY119" s="652">
        <f t="shared" ca="1" si="96"/>
        <v>0</v>
      </c>
      <c r="AZ119" s="652">
        <f t="shared" ca="1" si="96"/>
        <v>0</v>
      </c>
      <c r="BA119" s="652">
        <f t="shared" ca="1" si="96"/>
        <v>0</v>
      </c>
      <c r="BB119" s="652">
        <f t="shared" ca="1" si="96"/>
        <v>0</v>
      </c>
      <c r="BC119" s="652">
        <f t="shared" ca="1" si="96"/>
        <v>0</v>
      </c>
      <c r="BD119" s="652">
        <f t="shared" ca="1" si="96"/>
        <v>0</v>
      </c>
      <c r="BE119" s="652" t="str">
        <f t="shared" ca="1" si="95"/>
        <v>Commercial</v>
      </c>
      <c r="BF119" s="652" t="str">
        <f t="shared" ca="1" si="95"/>
        <v>OFFLGElecTotl</v>
      </c>
      <c r="BG119" s="652" t="str">
        <f t="shared" ca="1" si="95"/>
        <v>OFFSMGasHeat</v>
      </c>
      <c r="BH119" s="652" t="str">
        <f t="shared" ca="1" si="95"/>
        <v>KU NonRes</v>
      </c>
      <c r="BI119" s="652" t="str">
        <f t="shared" ca="1" si="95"/>
        <v>KU NonRes</v>
      </c>
      <c r="BJ119" s="652">
        <f t="shared" ca="1" si="93"/>
        <v>15</v>
      </c>
      <c r="BK119" s="652">
        <f t="shared" ca="1" si="93"/>
        <v>0</v>
      </c>
      <c r="BL119" s="652">
        <f t="shared" ca="1" si="94"/>
        <v>0</v>
      </c>
      <c r="BM119" s="652">
        <f t="shared" ca="1" si="94"/>
        <v>0</v>
      </c>
      <c r="BN119" s="652">
        <f t="shared" ca="1" si="94"/>
        <v>0</v>
      </c>
      <c r="BO119" s="652">
        <f t="shared" ca="1" si="94"/>
        <v>0</v>
      </c>
      <c r="BP119" s="652">
        <f t="shared" ca="1" si="94"/>
        <v>0</v>
      </c>
      <c r="BQ119" s="652">
        <f t="shared" ca="1" si="94"/>
        <v>0</v>
      </c>
      <c r="BR119" s="652">
        <f t="shared" ca="1" si="75"/>
        <v>1.5</v>
      </c>
      <c r="BS119" s="652">
        <f t="shared" ca="1" si="96"/>
        <v>49410.891057493303</v>
      </c>
      <c r="BT119" s="652">
        <f t="shared" ca="1" si="95"/>
        <v>0</v>
      </c>
      <c r="BU119" s="652">
        <f t="shared" ca="1" si="95"/>
        <v>6750</v>
      </c>
      <c r="BV119" s="652">
        <f t="shared" ca="1" si="95"/>
        <v>0</v>
      </c>
      <c r="BW119" s="652">
        <f t="shared" ca="1" si="95"/>
        <v>223398</v>
      </c>
      <c r="BX119" s="652">
        <f t="shared" ca="1" si="95"/>
        <v>34.842857142857142</v>
      </c>
      <c r="BY119" s="652">
        <f t="shared" ca="1" si="95"/>
        <v>0</v>
      </c>
    </row>
    <row r="120" spans="1:77">
      <c r="A120" s="425" t="str">
        <f t="shared" ca="1" si="73"/>
        <v>Business RebatesKU-Commercial New Construction Tier 2 ≥25,000 sqft</v>
      </c>
      <c r="B120" s="1297" t="str">
        <f t="shared" si="1"/>
        <v>KUBusiness Rebates</v>
      </c>
      <c r="C120" s="662" t="s">
        <v>218</v>
      </c>
      <c r="D120" s="662" t="s">
        <v>63</v>
      </c>
      <c r="E120" s="652" t="str">
        <f t="shared" ca="1" si="99"/>
        <v>KU-Commercial New Construction Tier 2 ≥25,000 sqft</v>
      </c>
      <c r="F120" s="652" t="str">
        <f t="shared" ca="1" si="99"/>
        <v>Commercial New Construction Tier 2 - 15% Over Code</v>
      </c>
      <c r="G120" s="652" t="str">
        <f t="shared" ca="1" si="99"/>
        <v>Per Project</v>
      </c>
      <c r="H120" s="652">
        <f t="shared" ca="1" si="100"/>
        <v>0</v>
      </c>
      <c r="I120" s="652">
        <f t="shared" ca="1" si="100"/>
        <v>0.5</v>
      </c>
      <c r="J120" s="652">
        <f t="shared" ca="1" si="100"/>
        <v>0</v>
      </c>
      <c r="K120" s="652">
        <f t="shared" ca="1" si="100"/>
        <v>0</v>
      </c>
      <c r="L120" s="652">
        <f t="shared" ca="1" si="100"/>
        <v>0.5</v>
      </c>
      <c r="M120" s="652">
        <f t="shared" ca="1" si="100"/>
        <v>0</v>
      </c>
      <c r="N120" s="652">
        <f t="shared" ca="1" si="100"/>
        <v>0</v>
      </c>
      <c r="O120" s="652">
        <f t="shared" ca="1" si="100"/>
        <v>0</v>
      </c>
      <c r="P120" s="652">
        <f t="shared" ca="1" si="100"/>
        <v>24705.445528746652</v>
      </c>
      <c r="Q120" s="652">
        <f t="shared" ca="1" si="100"/>
        <v>0</v>
      </c>
      <c r="R120" s="652">
        <f t="shared" ca="1" si="100"/>
        <v>0</v>
      </c>
      <c r="S120" s="652">
        <f t="shared" ca="1" si="100"/>
        <v>24705.445528746652</v>
      </c>
      <c r="T120" s="652">
        <f t="shared" ca="1" si="100"/>
        <v>0</v>
      </c>
      <c r="U120" s="652">
        <f t="shared" ca="1" si="100"/>
        <v>0</v>
      </c>
      <c r="V120" s="652">
        <f t="shared" ca="1" si="97"/>
        <v>0</v>
      </c>
      <c r="W120" s="652">
        <f t="shared" ca="1" si="97"/>
        <v>0</v>
      </c>
      <c r="X120" s="652">
        <f t="shared" ca="1" si="97"/>
        <v>0</v>
      </c>
      <c r="Y120" s="652">
        <f t="shared" ca="1" si="97"/>
        <v>0</v>
      </c>
      <c r="Z120" s="652">
        <f t="shared" ca="1" si="97"/>
        <v>0</v>
      </c>
      <c r="AA120" s="652">
        <f t="shared" ca="1" si="97"/>
        <v>0</v>
      </c>
      <c r="AB120" s="652">
        <f t="shared" ca="1" si="97"/>
        <v>0</v>
      </c>
      <c r="AC120" s="652">
        <f t="shared" ca="1" si="97"/>
        <v>0</v>
      </c>
      <c r="AD120" s="652">
        <f t="shared" ca="1" si="97"/>
        <v>3400</v>
      </c>
      <c r="AE120" s="652">
        <f t="shared" ca="1" si="97"/>
        <v>0</v>
      </c>
      <c r="AF120" s="652">
        <f t="shared" ca="1" si="97"/>
        <v>0</v>
      </c>
      <c r="AG120" s="652">
        <f t="shared" ca="1" si="97"/>
        <v>3400</v>
      </c>
      <c r="AH120" s="652">
        <f t="shared" ca="1" si="97"/>
        <v>0</v>
      </c>
      <c r="AI120" s="652">
        <f t="shared" ca="1" si="98"/>
        <v>0</v>
      </c>
      <c r="AJ120" s="652">
        <f t="shared" ca="1" si="98"/>
        <v>0</v>
      </c>
      <c r="AK120" s="652">
        <f t="shared" ca="1" si="98"/>
        <v>111699.00000000001</v>
      </c>
      <c r="AL120" s="652">
        <f t="shared" ca="1" si="98"/>
        <v>0</v>
      </c>
      <c r="AM120" s="652">
        <f t="shared" ca="1" si="98"/>
        <v>0</v>
      </c>
      <c r="AN120" s="652">
        <f t="shared" ca="1" si="98"/>
        <v>111699.00000000001</v>
      </c>
      <c r="AO120" s="652">
        <f t="shared" ca="1" si="98"/>
        <v>0</v>
      </c>
      <c r="AP120" s="652">
        <f t="shared" ca="1" si="98"/>
        <v>0</v>
      </c>
      <c r="AQ120" s="652">
        <f t="shared" ca="1" si="98"/>
        <v>0</v>
      </c>
      <c r="AR120" s="652">
        <f t="shared" ca="1" si="98"/>
        <v>17.421428571428571</v>
      </c>
      <c r="AS120" s="652">
        <f t="shared" ca="1" si="98"/>
        <v>0</v>
      </c>
      <c r="AT120" s="652">
        <f t="shared" ca="1" si="98"/>
        <v>0</v>
      </c>
      <c r="AU120" s="652">
        <f t="shared" ca="1" si="98"/>
        <v>17.421428571428571</v>
      </c>
      <c r="AV120" s="652">
        <f t="shared" ca="1" si="98"/>
        <v>0</v>
      </c>
      <c r="AW120" s="652">
        <f t="shared" ca="1" si="96"/>
        <v>0</v>
      </c>
      <c r="AX120" s="652">
        <f t="shared" ca="1" si="96"/>
        <v>0</v>
      </c>
      <c r="AY120" s="652">
        <f t="shared" ca="1" si="96"/>
        <v>0</v>
      </c>
      <c r="AZ120" s="652">
        <f t="shared" ca="1" si="96"/>
        <v>0</v>
      </c>
      <c r="BA120" s="652">
        <f t="shared" ca="1" si="96"/>
        <v>0</v>
      </c>
      <c r="BB120" s="652">
        <f t="shared" ca="1" si="96"/>
        <v>0</v>
      </c>
      <c r="BC120" s="652">
        <f t="shared" ca="1" si="96"/>
        <v>0</v>
      </c>
      <c r="BD120" s="652">
        <f t="shared" ca="1" si="96"/>
        <v>0</v>
      </c>
      <c r="BE120" s="652" t="str">
        <f t="shared" ca="1" si="95"/>
        <v>Commercial</v>
      </c>
      <c r="BF120" s="652" t="str">
        <f t="shared" ca="1" si="95"/>
        <v>OFFLGElecTotl</v>
      </c>
      <c r="BG120" s="652" t="str">
        <f t="shared" ca="1" si="95"/>
        <v>OFFSMGasHeat</v>
      </c>
      <c r="BH120" s="652" t="str">
        <f t="shared" ca="1" si="95"/>
        <v>KU NonRes</v>
      </c>
      <c r="BI120" s="652" t="str">
        <f t="shared" ca="1" si="95"/>
        <v>KU NonRes</v>
      </c>
      <c r="BJ120" s="652">
        <f t="shared" ca="1" si="93"/>
        <v>15</v>
      </c>
      <c r="BK120" s="652">
        <f t="shared" ca="1" si="93"/>
        <v>0</v>
      </c>
      <c r="BL120" s="652">
        <f t="shared" ca="1" si="94"/>
        <v>0</v>
      </c>
      <c r="BM120" s="652">
        <f t="shared" ca="1" si="94"/>
        <v>0</v>
      </c>
      <c r="BN120" s="652">
        <f t="shared" ca="1" si="94"/>
        <v>0</v>
      </c>
      <c r="BO120" s="652">
        <f t="shared" ca="1" si="94"/>
        <v>0</v>
      </c>
      <c r="BP120" s="652">
        <f t="shared" ca="1" si="94"/>
        <v>0</v>
      </c>
      <c r="BQ120" s="652">
        <f t="shared" ca="1" si="94"/>
        <v>0</v>
      </c>
      <c r="BR120" s="652">
        <f t="shared" ca="1" si="75"/>
        <v>1</v>
      </c>
      <c r="BS120" s="652">
        <f t="shared" ca="1" si="96"/>
        <v>49410.891057493303</v>
      </c>
      <c r="BT120" s="652">
        <f t="shared" ca="1" si="95"/>
        <v>0</v>
      </c>
      <c r="BU120" s="652">
        <f t="shared" ca="1" si="95"/>
        <v>6800</v>
      </c>
      <c r="BV120" s="652">
        <f t="shared" ca="1" si="95"/>
        <v>0</v>
      </c>
      <c r="BW120" s="652">
        <f t="shared" ca="1" si="95"/>
        <v>223398.00000000003</v>
      </c>
      <c r="BX120" s="652">
        <f t="shared" ca="1" si="95"/>
        <v>34.842857142857142</v>
      </c>
      <c r="BY120" s="652">
        <f t="shared" ca="1" si="95"/>
        <v>0</v>
      </c>
    </row>
    <row r="121" spans="1:77">
      <c r="A121" s="425" t="str">
        <f t="shared" ca="1" si="73"/>
        <v>Business RebatesKU-Commercial New Construction Tier 3 ≥25,000 sqft</v>
      </c>
      <c r="B121" s="1297" t="str">
        <f t="shared" si="1"/>
        <v>KUBusiness Rebates</v>
      </c>
      <c r="C121" s="662" t="s">
        <v>219</v>
      </c>
      <c r="D121" s="662" t="s">
        <v>63</v>
      </c>
      <c r="E121" s="652" t="str">
        <f t="shared" ca="1" si="99"/>
        <v>KU-Commercial New Construction Tier 3 ≥25,000 sqft</v>
      </c>
      <c r="F121" s="652" t="str">
        <f t="shared" ca="1" si="99"/>
        <v>Commercial New Construction Tier 3 - 20% Over Code</v>
      </c>
      <c r="G121" s="652" t="str">
        <f t="shared" ca="1" si="99"/>
        <v>Per Project</v>
      </c>
      <c r="H121" s="652">
        <f t="shared" ca="1" si="100"/>
        <v>0</v>
      </c>
      <c r="I121" s="652">
        <f t="shared" ca="1" si="100"/>
        <v>0</v>
      </c>
      <c r="J121" s="652">
        <f t="shared" ca="1" si="100"/>
        <v>0.5</v>
      </c>
      <c r="K121" s="652">
        <f t="shared" ca="1" si="100"/>
        <v>0</v>
      </c>
      <c r="L121" s="652">
        <f t="shared" ca="1" si="100"/>
        <v>0</v>
      </c>
      <c r="M121" s="652">
        <f t="shared" ca="1" si="100"/>
        <v>0.5</v>
      </c>
      <c r="N121" s="652">
        <f t="shared" ca="1" si="100"/>
        <v>0</v>
      </c>
      <c r="O121" s="652">
        <f t="shared" ca="1" si="100"/>
        <v>0</v>
      </c>
      <c r="P121" s="652">
        <f t="shared" ca="1" si="100"/>
        <v>0</v>
      </c>
      <c r="Q121" s="652">
        <f t="shared" ca="1" si="100"/>
        <v>32940.594038328869</v>
      </c>
      <c r="R121" s="652">
        <f t="shared" ca="1" si="100"/>
        <v>0</v>
      </c>
      <c r="S121" s="652">
        <f t="shared" ca="1" si="100"/>
        <v>0</v>
      </c>
      <c r="T121" s="652">
        <f t="shared" ca="1" si="100"/>
        <v>32940.594038328869</v>
      </c>
      <c r="U121" s="652">
        <f t="shared" ca="1" si="100"/>
        <v>0</v>
      </c>
      <c r="V121" s="652">
        <f t="shared" ca="1" si="97"/>
        <v>0</v>
      </c>
      <c r="W121" s="652">
        <f t="shared" ca="1" si="97"/>
        <v>0</v>
      </c>
      <c r="X121" s="652">
        <f t="shared" ca="1" si="97"/>
        <v>0</v>
      </c>
      <c r="Y121" s="652">
        <f t="shared" ca="1" si="97"/>
        <v>0</v>
      </c>
      <c r="Z121" s="652">
        <f t="shared" ca="1" si="97"/>
        <v>0</v>
      </c>
      <c r="AA121" s="652">
        <f t="shared" ca="1" si="97"/>
        <v>0</v>
      </c>
      <c r="AB121" s="652">
        <f t="shared" ca="1" si="97"/>
        <v>0</v>
      </c>
      <c r="AC121" s="652">
        <f t="shared" ca="1" si="97"/>
        <v>0</v>
      </c>
      <c r="AD121" s="652">
        <f t="shared" ca="1" si="97"/>
        <v>0</v>
      </c>
      <c r="AE121" s="652">
        <f t="shared" ca="1" si="97"/>
        <v>4500</v>
      </c>
      <c r="AF121" s="652">
        <f t="shared" ca="1" si="97"/>
        <v>0</v>
      </c>
      <c r="AG121" s="652">
        <f t="shared" ca="1" si="97"/>
        <v>0</v>
      </c>
      <c r="AH121" s="652">
        <f t="shared" ca="1" si="97"/>
        <v>4500</v>
      </c>
      <c r="AI121" s="652">
        <f t="shared" ca="1" si="98"/>
        <v>0</v>
      </c>
      <c r="AJ121" s="652">
        <f t="shared" ca="1" si="98"/>
        <v>0</v>
      </c>
      <c r="AK121" s="652">
        <f t="shared" ca="1" si="98"/>
        <v>0</v>
      </c>
      <c r="AL121" s="652">
        <f t="shared" ca="1" si="98"/>
        <v>148932</v>
      </c>
      <c r="AM121" s="652">
        <f t="shared" ca="1" si="98"/>
        <v>0</v>
      </c>
      <c r="AN121" s="652">
        <f t="shared" ca="1" si="98"/>
        <v>0</v>
      </c>
      <c r="AO121" s="652">
        <f t="shared" ca="1" si="98"/>
        <v>148932</v>
      </c>
      <c r="AP121" s="652">
        <f t="shared" ca="1" si="98"/>
        <v>0</v>
      </c>
      <c r="AQ121" s="652">
        <f t="shared" ca="1" si="98"/>
        <v>0</v>
      </c>
      <c r="AR121" s="652">
        <f t="shared" ca="1" si="98"/>
        <v>0</v>
      </c>
      <c r="AS121" s="652">
        <f t="shared" ca="1" si="98"/>
        <v>23.228571428571428</v>
      </c>
      <c r="AT121" s="652">
        <f t="shared" ca="1" si="98"/>
        <v>0</v>
      </c>
      <c r="AU121" s="652">
        <f t="shared" ca="1" si="98"/>
        <v>0</v>
      </c>
      <c r="AV121" s="652">
        <f t="shared" ca="1" si="98"/>
        <v>23.228571428571428</v>
      </c>
      <c r="AW121" s="652">
        <f t="shared" ca="1" si="96"/>
        <v>0</v>
      </c>
      <c r="AX121" s="652">
        <f t="shared" ca="1" si="96"/>
        <v>0</v>
      </c>
      <c r="AY121" s="652">
        <f t="shared" ca="1" si="96"/>
        <v>0</v>
      </c>
      <c r="AZ121" s="652">
        <f t="shared" ca="1" si="96"/>
        <v>0</v>
      </c>
      <c r="BA121" s="652">
        <f t="shared" ca="1" si="96"/>
        <v>0</v>
      </c>
      <c r="BB121" s="652">
        <f t="shared" ca="1" si="96"/>
        <v>0</v>
      </c>
      <c r="BC121" s="652">
        <f t="shared" ca="1" si="96"/>
        <v>0</v>
      </c>
      <c r="BD121" s="652">
        <f t="shared" ca="1" si="96"/>
        <v>0</v>
      </c>
      <c r="BE121" s="652" t="str">
        <f t="shared" ca="1" si="95"/>
        <v>Commercial</v>
      </c>
      <c r="BF121" s="652" t="str">
        <f t="shared" ca="1" si="95"/>
        <v>OFFLGElecTotl</v>
      </c>
      <c r="BG121" s="652" t="str">
        <f t="shared" ca="1" si="95"/>
        <v>OFFSMGasHeat</v>
      </c>
      <c r="BH121" s="652" t="str">
        <f t="shared" ca="1" si="95"/>
        <v>KU NonRes</v>
      </c>
      <c r="BI121" s="652" t="str">
        <f t="shared" ca="1" si="95"/>
        <v>KU NonRes</v>
      </c>
      <c r="BJ121" s="652">
        <f t="shared" ca="1" si="93"/>
        <v>15</v>
      </c>
      <c r="BK121" s="652">
        <f t="shared" ca="1" si="93"/>
        <v>0</v>
      </c>
      <c r="BL121" s="652">
        <f t="shared" ca="1" si="94"/>
        <v>0</v>
      </c>
      <c r="BM121" s="652">
        <f t="shared" ca="1" si="94"/>
        <v>0</v>
      </c>
      <c r="BN121" s="652">
        <f t="shared" ca="1" si="94"/>
        <v>0</v>
      </c>
      <c r="BO121" s="652">
        <f t="shared" ca="1" si="94"/>
        <v>0</v>
      </c>
      <c r="BP121" s="652">
        <f t="shared" ca="1" si="94"/>
        <v>0</v>
      </c>
      <c r="BQ121" s="652">
        <f t="shared" ca="1" si="94"/>
        <v>0</v>
      </c>
      <c r="BR121" s="652">
        <f t="shared" ca="1" si="75"/>
        <v>1</v>
      </c>
      <c r="BS121" s="652">
        <f t="shared" ca="1" si="96"/>
        <v>65881.188076657738</v>
      </c>
      <c r="BT121" s="652">
        <f t="shared" ca="1" si="95"/>
        <v>0</v>
      </c>
      <c r="BU121" s="652">
        <f t="shared" ca="1" si="95"/>
        <v>9000</v>
      </c>
      <c r="BV121" s="652">
        <f t="shared" ca="1" si="95"/>
        <v>0</v>
      </c>
      <c r="BW121" s="652">
        <f t="shared" ca="1" si="95"/>
        <v>297864</v>
      </c>
      <c r="BX121" s="652">
        <f t="shared" ca="1" si="95"/>
        <v>46.457142857142856</v>
      </c>
      <c r="BY121" s="652">
        <f t="shared" ca="1" si="95"/>
        <v>0</v>
      </c>
    </row>
    <row r="122" spans="1:77">
      <c r="A122" s="425" t="str">
        <f t="shared" ca="1" si="73"/>
        <v>Business RebatesKU-Commercial New Construction Tier 4 ≥25,000 sqft</v>
      </c>
      <c r="B122" s="1297" t="str">
        <f t="shared" si="1"/>
        <v>KUBusiness Rebates</v>
      </c>
      <c r="C122" s="662" t="s">
        <v>220</v>
      </c>
      <c r="D122" s="662" t="s">
        <v>63</v>
      </c>
      <c r="E122" s="652" t="str">
        <f t="shared" ca="1" si="99"/>
        <v>KU-Commercial New Construction Tier 4 ≥25,000 sqft</v>
      </c>
      <c r="F122" s="652" t="str">
        <f t="shared" ca="1" si="99"/>
        <v>Commercial New Construction Tier 4 - 25% Over Code</v>
      </c>
      <c r="G122" s="652" t="str">
        <f t="shared" ca="1" si="99"/>
        <v>Per Project</v>
      </c>
      <c r="H122" s="652">
        <f t="shared" ca="1" si="100"/>
        <v>0</v>
      </c>
      <c r="I122" s="652">
        <f t="shared" ca="1" si="100"/>
        <v>0</v>
      </c>
      <c r="J122" s="652">
        <f t="shared" ca="1" si="100"/>
        <v>0</v>
      </c>
      <c r="K122" s="652">
        <f t="shared" ca="1" si="100"/>
        <v>0</v>
      </c>
      <c r="L122" s="652">
        <f t="shared" ca="1" si="100"/>
        <v>0</v>
      </c>
      <c r="M122" s="652">
        <f t="shared" ca="1" si="100"/>
        <v>0</v>
      </c>
      <c r="N122" s="652">
        <f t="shared" ca="1" si="100"/>
        <v>0</v>
      </c>
      <c r="O122" s="652">
        <f t="shared" ca="1" si="100"/>
        <v>0</v>
      </c>
      <c r="P122" s="652">
        <f t="shared" ca="1" si="100"/>
        <v>0</v>
      </c>
      <c r="Q122" s="652">
        <f t="shared" ca="1" si="100"/>
        <v>0</v>
      </c>
      <c r="R122" s="652">
        <f t="shared" ca="1" si="100"/>
        <v>0</v>
      </c>
      <c r="S122" s="652">
        <f t="shared" ca="1" si="100"/>
        <v>0</v>
      </c>
      <c r="T122" s="652">
        <f t="shared" ca="1" si="100"/>
        <v>0</v>
      </c>
      <c r="U122" s="652">
        <f t="shared" ca="1" si="100"/>
        <v>0</v>
      </c>
      <c r="V122" s="652">
        <f t="shared" ca="1" si="97"/>
        <v>0</v>
      </c>
      <c r="W122" s="652">
        <f t="shared" ca="1" si="97"/>
        <v>0</v>
      </c>
      <c r="X122" s="652">
        <f t="shared" ca="1" si="97"/>
        <v>0</v>
      </c>
      <c r="Y122" s="652">
        <f t="shared" ca="1" si="97"/>
        <v>0</v>
      </c>
      <c r="Z122" s="652">
        <f t="shared" ca="1" si="97"/>
        <v>0</v>
      </c>
      <c r="AA122" s="652">
        <f t="shared" ca="1" si="97"/>
        <v>0</v>
      </c>
      <c r="AB122" s="652">
        <f t="shared" ca="1" si="97"/>
        <v>0</v>
      </c>
      <c r="AC122" s="652">
        <f t="shared" ca="1" si="97"/>
        <v>0</v>
      </c>
      <c r="AD122" s="652">
        <f t="shared" ca="1" si="97"/>
        <v>0</v>
      </c>
      <c r="AE122" s="652">
        <f t="shared" ca="1" si="97"/>
        <v>0</v>
      </c>
      <c r="AF122" s="652">
        <f t="shared" ca="1" si="97"/>
        <v>0</v>
      </c>
      <c r="AG122" s="652">
        <f t="shared" ca="1" si="97"/>
        <v>0</v>
      </c>
      <c r="AH122" s="652">
        <f t="shared" ca="1" si="97"/>
        <v>0</v>
      </c>
      <c r="AI122" s="652">
        <f t="shared" ca="1" si="98"/>
        <v>0</v>
      </c>
      <c r="AJ122" s="652">
        <f t="shared" ca="1" si="98"/>
        <v>0</v>
      </c>
      <c r="AK122" s="652">
        <f t="shared" ca="1" si="98"/>
        <v>0</v>
      </c>
      <c r="AL122" s="652">
        <f t="shared" ca="1" si="98"/>
        <v>0</v>
      </c>
      <c r="AM122" s="652">
        <f t="shared" ca="1" si="98"/>
        <v>0</v>
      </c>
      <c r="AN122" s="652">
        <f t="shared" ca="1" si="98"/>
        <v>0</v>
      </c>
      <c r="AO122" s="652">
        <f t="shared" ca="1" si="98"/>
        <v>0</v>
      </c>
      <c r="AP122" s="652">
        <f t="shared" ca="1" si="98"/>
        <v>0</v>
      </c>
      <c r="AQ122" s="652">
        <f t="shared" ca="1" si="98"/>
        <v>0</v>
      </c>
      <c r="AR122" s="652">
        <f t="shared" ca="1" si="98"/>
        <v>0</v>
      </c>
      <c r="AS122" s="652">
        <f t="shared" ca="1" si="98"/>
        <v>0</v>
      </c>
      <c r="AT122" s="652">
        <f t="shared" ca="1" si="98"/>
        <v>0</v>
      </c>
      <c r="AU122" s="652">
        <f t="shared" ca="1" si="98"/>
        <v>0</v>
      </c>
      <c r="AV122" s="652">
        <f t="shared" ca="1" si="98"/>
        <v>0</v>
      </c>
      <c r="AW122" s="652">
        <f t="shared" ca="1" si="96"/>
        <v>0</v>
      </c>
      <c r="AX122" s="652">
        <f t="shared" ca="1" si="96"/>
        <v>0</v>
      </c>
      <c r="AY122" s="652">
        <f t="shared" ca="1" si="96"/>
        <v>0</v>
      </c>
      <c r="AZ122" s="652">
        <f t="shared" ca="1" si="96"/>
        <v>0</v>
      </c>
      <c r="BA122" s="652">
        <f t="shared" ca="1" si="96"/>
        <v>0</v>
      </c>
      <c r="BB122" s="652">
        <f t="shared" ca="1" si="96"/>
        <v>0</v>
      </c>
      <c r="BC122" s="652">
        <f t="shared" ca="1" si="96"/>
        <v>0</v>
      </c>
      <c r="BD122" s="652">
        <f t="shared" ca="1" si="96"/>
        <v>0</v>
      </c>
      <c r="BE122" s="652" t="str">
        <f t="shared" ca="1" si="95"/>
        <v>Commercial</v>
      </c>
      <c r="BF122" s="652" t="str">
        <f t="shared" ca="1" si="95"/>
        <v>OFFLGElecTotl</v>
      </c>
      <c r="BG122" s="652" t="str">
        <f t="shared" ca="1" si="95"/>
        <v>OFFSMGasHeat</v>
      </c>
      <c r="BH122" s="652" t="str">
        <f t="shared" ca="1" si="95"/>
        <v>KU NonRes</v>
      </c>
      <c r="BI122" s="652" t="str">
        <f t="shared" ca="1" si="95"/>
        <v>KU NonRes</v>
      </c>
      <c r="BJ122" s="652">
        <f t="shared" ca="1" si="93"/>
        <v>15</v>
      </c>
      <c r="BK122" s="652">
        <f t="shared" ca="1" si="93"/>
        <v>0</v>
      </c>
      <c r="BL122" s="652">
        <f t="shared" ca="1" si="94"/>
        <v>0</v>
      </c>
      <c r="BM122" s="652">
        <f t="shared" ca="1" si="94"/>
        <v>0</v>
      </c>
      <c r="BN122" s="652">
        <f t="shared" ca="1" si="94"/>
        <v>0</v>
      </c>
      <c r="BO122" s="652">
        <f t="shared" ca="1" si="94"/>
        <v>0</v>
      </c>
      <c r="BP122" s="652">
        <f t="shared" ca="1" si="94"/>
        <v>0</v>
      </c>
      <c r="BQ122" s="652">
        <f t="shared" ca="1" si="94"/>
        <v>0</v>
      </c>
      <c r="BR122" s="652">
        <f t="shared" ca="1" si="75"/>
        <v>0</v>
      </c>
      <c r="BS122" s="652">
        <f t="shared" ca="1" si="96"/>
        <v>0</v>
      </c>
      <c r="BT122" s="652">
        <f t="shared" ca="1" si="95"/>
        <v>0</v>
      </c>
      <c r="BU122" s="652">
        <f t="shared" ca="1" si="95"/>
        <v>0</v>
      </c>
      <c r="BV122" s="652">
        <f t="shared" ca="1" si="95"/>
        <v>0</v>
      </c>
      <c r="BW122" s="652">
        <f t="shared" ca="1" si="95"/>
        <v>0</v>
      </c>
      <c r="BX122" s="652">
        <f t="shared" ca="1" si="95"/>
        <v>0</v>
      </c>
      <c r="BY122" s="652">
        <f t="shared" ca="1" si="95"/>
        <v>0</v>
      </c>
    </row>
    <row r="123" spans="1:77">
      <c r="A123" s="425" t="str">
        <f t="shared" ca="1" si="73"/>
        <v>Business RebatesKU-Commercial New Construction LEED 1 to 5 Points &lt;25,000 sqft</v>
      </c>
      <c r="B123" s="1297" t="str">
        <f t="shared" si="1"/>
        <v>KUBusiness Rebates</v>
      </c>
      <c r="C123" s="662" t="s">
        <v>221</v>
      </c>
      <c r="D123" s="662" t="s">
        <v>63</v>
      </c>
      <c r="E123" s="652" t="str">
        <f t="shared" ca="1" si="99"/>
        <v>KU-Commercial New Construction LEED 1 to 5 Points &lt;25,000 sqft</v>
      </c>
      <c r="F123" s="652" t="str">
        <f t="shared" ca="1" si="99"/>
        <v>Commercial New Construction LEED 1 to 5 Points - LEED Energy &amp; Atmosphere, Credit 1 Category Optimize Energy Efficiency Performance</v>
      </c>
      <c r="G123" s="652" t="str">
        <f t="shared" ca="1" si="99"/>
        <v>Per Project</v>
      </c>
      <c r="H123" s="652">
        <f t="shared" ca="1" si="100"/>
        <v>0.5</v>
      </c>
      <c r="I123" s="652">
        <f t="shared" ca="1" si="100"/>
        <v>0</v>
      </c>
      <c r="J123" s="652">
        <f t="shared" ca="1" si="100"/>
        <v>0</v>
      </c>
      <c r="K123" s="652">
        <f t="shared" ca="1" si="100"/>
        <v>0.5</v>
      </c>
      <c r="L123" s="652">
        <f t="shared" ca="1" si="100"/>
        <v>0</v>
      </c>
      <c r="M123" s="652">
        <f t="shared" ca="1" si="100"/>
        <v>0</v>
      </c>
      <c r="N123" s="652">
        <f t="shared" ca="1" si="100"/>
        <v>0.5</v>
      </c>
      <c r="O123" s="652">
        <f t="shared" ca="1" si="100"/>
        <v>18600</v>
      </c>
      <c r="P123" s="652">
        <f t="shared" ca="1" si="100"/>
        <v>0</v>
      </c>
      <c r="Q123" s="652">
        <f t="shared" ca="1" si="100"/>
        <v>0</v>
      </c>
      <c r="R123" s="652">
        <f t="shared" ca="1" si="100"/>
        <v>18600</v>
      </c>
      <c r="S123" s="652">
        <f t="shared" ca="1" si="100"/>
        <v>0</v>
      </c>
      <c r="T123" s="652">
        <f t="shared" ca="1" si="100"/>
        <v>0</v>
      </c>
      <c r="U123" s="652">
        <f t="shared" ca="1" si="100"/>
        <v>18600</v>
      </c>
      <c r="V123" s="652">
        <f t="shared" ca="1" si="97"/>
        <v>0</v>
      </c>
      <c r="W123" s="652">
        <f t="shared" ca="1" si="97"/>
        <v>0</v>
      </c>
      <c r="X123" s="652">
        <f t="shared" ca="1" si="97"/>
        <v>0</v>
      </c>
      <c r="Y123" s="652">
        <f t="shared" ca="1" si="97"/>
        <v>0</v>
      </c>
      <c r="Z123" s="652">
        <f t="shared" ca="1" si="97"/>
        <v>0</v>
      </c>
      <c r="AA123" s="652">
        <f t="shared" ca="1" si="97"/>
        <v>0</v>
      </c>
      <c r="AB123" s="652">
        <f t="shared" ca="1" si="97"/>
        <v>0</v>
      </c>
      <c r="AC123" s="652">
        <f t="shared" ca="1" si="97"/>
        <v>1000</v>
      </c>
      <c r="AD123" s="652">
        <f t="shared" ca="1" si="97"/>
        <v>0</v>
      </c>
      <c r="AE123" s="652">
        <f t="shared" ca="1" si="97"/>
        <v>0</v>
      </c>
      <c r="AF123" s="652">
        <f t="shared" ca="1" si="97"/>
        <v>1000</v>
      </c>
      <c r="AG123" s="652">
        <f t="shared" ca="1" si="97"/>
        <v>0</v>
      </c>
      <c r="AH123" s="652">
        <f t="shared" ca="1" si="97"/>
        <v>0</v>
      </c>
      <c r="AI123" s="652">
        <f t="shared" ca="1" si="98"/>
        <v>1000</v>
      </c>
      <c r="AJ123" s="652">
        <f t="shared" ca="1" si="98"/>
        <v>0</v>
      </c>
      <c r="AK123" s="652">
        <f t="shared" ca="1" si="98"/>
        <v>0</v>
      </c>
      <c r="AL123" s="652">
        <f t="shared" ca="1" si="98"/>
        <v>0</v>
      </c>
      <c r="AM123" s="652">
        <f t="shared" ca="1" si="98"/>
        <v>0</v>
      </c>
      <c r="AN123" s="652">
        <f t="shared" ca="1" si="98"/>
        <v>0</v>
      </c>
      <c r="AO123" s="652">
        <f t="shared" ca="1" si="98"/>
        <v>0</v>
      </c>
      <c r="AP123" s="652">
        <f t="shared" ca="1" si="98"/>
        <v>0</v>
      </c>
      <c r="AQ123" s="652">
        <f t="shared" ca="1" si="98"/>
        <v>0</v>
      </c>
      <c r="AR123" s="652">
        <f t="shared" ca="1" si="98"/>
        <v>0</v>
      </c>
      <c r="AS123" s="652">
        <f t="shared" ca="1" si="98"/>
        <v>0</v>
      </c>
      <c r="AT123" s="652">
        <f t="shared" ca="1" si="98"/>
        <v>0</v>
      </c>
      <c r="AU123" s="652">
        <f t="shared" ca="1" si="98"/>
        <v>0</v>
      </c>
      <c r="AV123" s="652">
        <f t="shared" ca="1" si="98"/>
        <v>0</v>
      </c>
      <c r="AW123" s="652">
        <f t="shared" ca="1" si="96"/>
        <v>0</v>
      </c>
      <c r="AX123" s="652">
        <f t="shared" ca="1" si="96"/>
        <v>0</v>
      </c>
      <c r="AY123" s="652">
        <f t="shared" ca="1" si="96"/>
        <v>0</v>
      </c>
      <c r="AZ123" s="652">
        <f t="shared" ca="1" si="96"/>
        <v>0</v>
      </c>
      <c r="BA123" s="652">
        <f t="shared" ca="1" si="96"/>
        <v>0</v>
      </c>
      <c r="BB123" s="652">
        <f t="shared" ca="1" si="96"/>
        <v>0</v>
      </c>
      <c r="BC123" s="652">
        <f t="shared" ca="1" si="96"/>
        <v>0</v>
      </c>
      <c r="BD123" s="652">
        <f t="shared" ca="1" si="96"/>
        <v>0</v>
      </c>
      <c r="BE123" s="652" t="str">
        <f t="shared" ca="1" si="95"/>
        <v>Commercial</v>
      </c>
      <c r="BF123" s="652" t="str">
        <f t="shared" ca="1" si="95"/>
        <v>OFFLGElecTotl</v>
      </c>
      <c r="BG123" s="652" t="str">
        <f t="shared" ca="1" si="95"/>
        <v>OFFSMGasHeat</v>
      </c>
      <c r="BH123" s="652" t="str">
        <f t="shared" ca="1" si="95"/>
        <v>KU NonRes</v>
      </c>
      <c r="BI123" s="652" t="str">
        <f t="shared" ca="1" si="95"/>
        <v>KU NonRes</v>
      </c>
      <c r="BJ123" s="652">
        <f t="shared" ca="1" si="95"/>
        <v>15</v>
      </c>
      <c r="BK123" s="652">
        <f t="shared" ca="1" si="95"/>
        <v>0</v>
      </c>
      <c r="BL123" s="652">
        <f t="shared" ca="1" si="94"/>
        <v>0</v>
      </c>
      <c r="BM123" s="652">
        <f t="shared" ca="1" si="94"/>
        <v>0</v>
      </c>
      <c r="BN123" s="652">
        <f t="shared" ca="1" si="94"/>
        <v>0</v>
      </c>
      <c r="BO123" s="652">
        <f t="shared" ca="1" si="94"/>
        <v>0</v>
      </c>
      <c r="BP123" s="652">
        <f t="shared" ca="1" si="94"/>
        <v>0</v>
      </c>
      <c r="BQ123" s="652">
        <f t="shared" ca="1" si="94"/>
        <v>0</v>
      </c>
      <c r="BR123" s="652">
        <f t="shared" ca="1" si="75"/>
        <v>1.5</v>
      </c>
      <c r="BS123" s="652">
        <f t="shared" ca="1" si="96"/>
        <v>55800</v>
      </c>
      <c r="BT123" s="652">
        <f t="shared" ca="1" si="95"/>
        <v>0</v>
      </c>
      <c r="BU123" s="652">
        <f t="shared" ca="1" si="95"/>
        <v>3000</v>
      </c>
      <c r="BV123" s="652">
        <f t="shared" ca="1" si="95"/>
        <v>0</v>
      </c>
      <c r="BW123" s="652">
        <f t="shared" ca="1" si="95"/>
        <v>0</v>
      </c>
      <c r="BX123" s="652">
        <f t="shared" ca="1" si="95"/>
        <v>0</v>
      </c>
      <c r="BY123" s="652">
        <f t="shared" ca="1" si="95"/>
        <v>0</v>
      </c>
    </row>
    <row r="124" spans="1:77">
      <c r="A124" s="425" t="str">
        <f t="shared" ca="1" si="73"/>
        <v>Business RebatesKU-Commercial New Construction LEED 6 to 10 Points &lt;25,000 sqft</v>
      </c>
      <c r="B124" s="1297" t="str">
        <f t="shared" si="1"/>
        <v>KUBusiness Rebates</v>
      </c>
      <c r="C124" s="662" t="s">
        <v>222</v>
      </c>
      <c r="D124" s="662" t="s">
        <v>63</v>
      </c>
      <c r="E124" s="652" t="str">
        <f t="shared" ca="1" si="99"/>
        <v>KU-Commercial New Construction LEED 6 to 10 Points &lt;25,000 sqft</v>
      </c>
      <c r="F124" s="652" t="str">
        <f t="shared" ca="1" si="99"/>
        <v>Commercial New Construction LEED 6 to 10 Points - LEED Energy &amp; Atmosphere, Credit 1 Category Optimize Energy Efficiency Performance</v>
      </c>
      <c r="G124" s="652" t="str">
        <f t="shared" ca="1" si="99"/>
        <v>Per Project</v>
      </c>
      <c r="H124" s="652">
        <f t="shared" ca="1" si="100"/>
        <v>0</v>
      </c>
      <c r="I124" s="652">
        <f t="shared" ca="1" si="100"/>
        <v>0.5</v>
      </c>
      <c r="J124" s="652">
        <f t="shared" ca="1" si="100"/>
        <v>0</v>
      </c>
      <c r="K124" s="652">
        <f t="shared" ca="1" si="100"/>
        <v>0</v>
      </c>
      <c r="L124" s="652">
        <f t="shared" ca="1" si="100"/>
        <v>0.5</v>
      </c>
      <c r="M124" s="652">
        <f t="shared" ca="1" si="100"/>
        <v>0</v>
      </c>
      <c r="N124" s="652">
        <f t="shared" ca="1" si="100"/>
        <v>0</v>
      </c>
      <c r="O124" s="652">
        <f t="shared" ca="1" si="100"/>
        <v>0</v>
      </c>
      <c r="P124" s="652">
        <f t="shared" ca="1" si="100"/>
        <v>18600</v>
      </c>
      <c r="Q124" s="652">
        <f t="shared" ca="1" si="100"/>
        <v>0</v>
      </c>
      <c r="R124" s="652">
        <f t="shared" ca="1" si="100"/>
        <v>0</v>
      </c>
      <c r="S124" s="652">
        <f t="shared" ca="1" si="100"/>
        <v>18600</v>
      </c>
      <c r="T124" s="652">
        <f t="shared" ca="1" si="100"/>
        <v>0</v>
      </c>
      <c r="U124" s="652">
        <f t="shared" ca="1" si="100"/>
        <v>0</v>
      </c>
      <c r="V124" s="652">
        <f t="shared" ca="1" si="97"/>
        <v>0</v>
      </c>
      <c r="W124" s="652">
        <f t="shared" ca="1" si="97"/>
        <v>0</v>
      </c>
      <c r="X124" s="652">
        <f t="shared" ca="1" si="97"/>
        <v>0</v>
      </c>
      <c r="Y124" s="652">
        <f t="shared" ca="1" si="97"/>
        <v>0</v>
      </c>
      <c r="Z124" s="652">
        <f t="shared" ca="1" si="97"/>
        <v>0</v>
      </c>
      <c r="AA124" s="652">
        <f t="shared" ca="1" si="97"/>
        <v>0</v>
      </c>
      <c r="AB124" s="652">
        <f t="shared" ca="1" si="97"/>
        <v>0</v>
      </c>
      <c r="AC124" s="652">
        <f t="shared" ca="1" si="97"/>
        <v>0</v>
      </c>
      <c r="AD124" s="652">
        <f t="shared" ca="1" si="97"/>
        <v>1250</v>
      </c>
      <c r="AE124" s="652">
        <f t="shared" ca="1" si="97"/>
        <v>0</v>
      </c>
      <c r="AF124" s="652">
        <f t="shared" ca="1" si="97"/>
        <v>0</v>
      </c>
      <c r="AG124" s="652">
        <f t="shared" ca="1" si="97"/>
        <v>1250</v>
      </c>
      <c r="AH124" s="652">
        <f t="shared" ca="1" si="97"/>
        <v>0</v>
      </c>
      <c r="AI124" s="652">
        <f t="shared" ca="1" si="98"/>
        <v>0</v>
      </c>
      <c r="AJ124" s="652">
        <f t="shared" ca="1" si="98"/>
        <v>0</v>
      </c>
      <c r="AK124" s="652">
        <f t="shared" ca="1" si="98"/>
        <v>0</v>
      </c>
      <c r="AL124" s="652">
        <f t="shared" ca="1" si="98"/>
        <v>0</v>
      </c>
      <c r="AM124" s="652">
        <f t="shared" ca="1" si="98"/>
        <v>0</v>
      </c>
      <c r="AN124" s="652">
        <f t="shared" ca="1" si="98"/>
        <v>0</v>
      </c>
      <c r="AO124" s="652">
        <f t="shared" ca="1" si="98"/>
        <v>0</v>
      </c>
      <c r="AP124" s="652">
        <f t="shared" ca="1" si="98"/>
        <v>0</v>
      </c>
      <c r="AQ124" s="652">
        <f t="shared" ca="1" si="98"/>
        <v>0</v>
      </c>
      <c r="AR124" s="652">
        <f t="shared" ca="1" si="98"/>
        <v>0</v>
      </c>
      <c r="AS124" s="652">
        <f t="shared" ca="1" si="98"/>
        <v>0</v>
      </c>
      <c r="AT124" s="652">
        <f t="shared" ca="1" si="98"/>
        <v>0</v>
      </c>
      <c r="AU124" s="652">
        <f t="shared" ca="1" si="98"/>
        <v>0</v>
      </c>
      <c r="AV124" s="652">
        <f t="shared" ca="1" si="98"/>
        <v>0</v>
      </c>
      <c r="AW124" s="652">
        <f t="shared" ca="1" si="96"/>
        <v>0</v>
      </c>
      <c r="AX124" s="652">
        <f t="shared" ca="1" si="96"/>
        <v>0</v>
      </c>
      <c r="AY124" s="652">
        <f t="shared" ca="1" si="96"/>
        <v>0</v>
      </c>
      <c r="AZ124" s="652">
        <f t="shared" ca="1" si="96"/>
        <v>0</v>
      </c>
      <c r="BA124" s="652">
        <f t="shared" ca="1" si="96"/>
        <v>0</v>
      </c>
      <c r="BB124" s="652">
        <f t="shared" ca="1" si="96"/>
        <v>0</v>
      </c>
      <c r="BC124" s="652">
        <f t="shared" ca="1" si="96"/>
        <v>0</v>
      </c>
      <c r="BD124" s="652">
        <f t="shared" ca="1" si="96"/>
        <v>0</v>
      </c>
      <c r="BE124" s="652" t="str">
        <f t="shared" ca="1" si="95"/>
        <v>Commercial</v>
      </c>
      <c r="BF124" s="652" t="str">
        <f t="shared" ca="1" si="95"/>
        <v>OFFLGElecTotl</v>
      </c>
      <c r="BG124" s="652" t="str">
        <f t="shared" ca="1" si="95"/>
        <v>OFFSMGasHeat</v>
      </c>
      <c r="BH124" s="652" t="str">
        <f t="shared" ca="1" si="95"/>
        <v>KU NonRes</v>
      </c>
      <c r="BI124" s="652" t="str">
        <f t="shared" ca="1" si="95"/>
        <v>KU NonRes</v>
      </c>
      <c r="BJ124" s="652">
        <f t="shared" ca="1" si="95"/>
        <v>15</v>
      </c>
      <c r="BK124" s="652">
        <f t="shared" ca="1" si="95"/>
        <v>0</v>
      </c>
      <c r="BL124" s="652">
        <f t="shared" ca="1" si="94"/>
        <v>0</v>
      </c>
      <c r="BM124" s="652">
        <f t="shared" ca="1" si="94"/>
        <v>0</v>
      </c>
      <c r="BN124" s="652">
        <f t="shared" ca="1" si="94"/>
        <v>0</v>
      </c>
      <c r="BO124" s="652">
        <f t="shared" ca="1" si="94"/>
        <v>0</v>
      </c>
      <c r="BP124" s="652">
        <f t="shared" ca="1" si="94"/>
        <v>0</v>
      </c>
      <c r="BQ124" s="652">
        <f t="shared" ca="1" si="94"/>
        <v>0</v>
      </c>
      <c r="BR124" s="652">
        <f t="shared" ca="1" si="75"/>
        <v>1</v>
      </c>
      <c r="BS124" s="652">
        <f t="shared" ca="1" si="96"/>
        <v>37200</v>
      </c>
      <c r="BT124" s="652">
        <f t="shared" ca="1" si="95"/>
        <v>0</v>
      </c>
      <c r="BU124" s="652">
        <f t="shared" ca="1" si="95"/>
        <v>2500</v>
      </c>
      <c r="BV124" s="652">
        <f t="shared" ca="1" si="95"/>
        <v>0</v>
      </c>
      <c r="BW124" s="652">
        <f t="shared" ca="1" si="95"/>
        <v>0</v>
      </c>
      <c r="BX124" s="652">
        <f t="shared" ca="1" si="95"/>
        <v>0</v>
      </c>
      <c r="BY124" s="652">
        <f t="shared" ca="1" si="95"/>
        <v>0</v>
      </c>
    </row>
    <row r="125" spans="1:77">
      <c r="A125" s="425" t="str">
        <f t="shared" ca="1" si="73"/>
        <v>Business RebatesKU-Commercial New Construction LEED 11 to 15 Points &lt;25,000 sqft</v>
      </c>
      <c r="B125" s="1297" t="str">
        <f t="shared" si="1"/>
        <v>KUBusiness Rebates</v>
      </c>
      <c r="C125" s="662" t="s">
        <v>223</v>
      </c>
      <c r="D125" s="662" t="s">
        <v>63</v>
      </c>
      <c r="E125" s="652" t="str">
        <f t="shared" ca="1" si="99"/>
        <v>KU-Commercial New Construction LEED 11 to 15 Points &lt;25,000 sqft</v>
      </c>
      <c r="F125" s="652" t="str">
        <f t="shared" ca="1" si="99"/>
        <v>Commercial New Construction LEED 11 to 15 Points - LEED Energy &amp; Atmosphere, Credit 1 Category Optimize Energy Efficiency Performance</v>
      </c>
      <c r="G125" s="652" t="str">
        <f t="shared" ca="1" si="99"/>
        <v>Per Project</v>
      </c>
      <c r="H125" s="652">
        <f t="shared" ca="1" si="100"/>
        <v>0</v>
      </c>
      <c r="I125" s="652">
        <f t="shared" ca="1" si="100"/>
        <v>0</v>
      </c>
      <c r="J125" s="652">
        <f t="shared" ca="1" si="100"/>
        <v>0.5</v>
      </c>
      <c r="K125" s="652">
        <f t="shared" ca="1" si="100"/>
        <v>0</v>
      </c>
      <c r="L125" s="652">
        <f t="shared" ca="1" si="100"/>
        <v>0</v>
      </c>
      <c r="M125" s="652">
        <f t="shared" ca="1" si="100"/>
        <v>0.5</v>
      </c>
      <c r="N125" s="652">
        <f t="shared" ca="1" si="100"/>
        <v>0</v>
      </c>
      <c r="O125" s="652">
        <f t="shared" ca="1" si="100"/>
        <v>0</v>
      </c>
      <c r="P125" s="652">
        <f t="shared" ca="1" si="100"/>
        <v>0</v>
      </c>
      <c r="Q125" s="652">
        <f t="shared" ca="1" si="100"/>
        <v>18600</v>
      </c>
      <c r="R125" s="652">
        <f t="shared" ca="1" si="100"/>
        <v>0</v>
      </c>
      <c r="S125" s="652">
        <f t="shared" ca="1" si="100"/>
        <v>0</v>
      </c>
      <c r="T125" s="652">
        <f t="shared" ca="1" si="100"/>
        <v>18600</v>
      </c>
      <c r="U125" s="652">
        <f t="shared" ca="1" si="100"/>
        <v>0</v>
      </c>
      <c r="V125" s="652">
        <f t="shared" ca="1" si="97"/>
        <v>0</v>
      </c>
      <c r="W125" s="652">
        <f t="shared" ca="1" si="97"/>
        <v>0</v>
      </c>
      <c r="X125" s="652">
        <f t="shared" ca="1" si="97"/>
        <v>0</v>
      </c>
      <c r="Y125" s="652">
        <f t="shared" ca="1" si="97"/>
        <v>0</v>
      </c>
      <c r="Z125" s="652">
        <f t="shared" ca="1" si="97"/>
        <v>0</v>
      </c>
      <c r="AA125" s="652">
        <f t="shared" ca="1" si="97"/>
        <v>0</v>
      </c>
      <c r="AB125" s="652">
        <f t="shared" ca="1" si="97"/>
        <v>0</v>
      </c>
      <c r="AC125" s="652">
        <f t="shared" ca="1" si="97"/>
        <v>0</v>
      </c>
      <c r="AD125" s="652">
        <f t="shared" ca="1" si="97"/>
        <v>0</v>
      </c>
      <c r="AE125" s="652">
        <f t="shared" ca="1" si="97"/>
        <v>1500</v>
      </c>
      <c r="AF125" s="652">
        <f t="shared" ca="1" si="97"/>
        <v>0</v>
      </c>
      <c r="AG125" s="652">
        <f t="shared" ca="1" si="97"/>
        <v>0</v>
      </c>
      <c r="AH125" s="652">
        <f t="shared" ca="1" si="97"/>
        <v>1500</v>
      </c>
      <c r="AI125" s="652">
        <f t="shared" ca="1" si="98"/>
        <v>0</v>
      </c>
      <c r="AJ125" s="652">
        <f t="shared" ca="1" si="98"/>
        <v>0</v>
      </c>
      <c r="AK125" s="652">
        <f t="shared" ca="1" si="98"/>
        <v>0</v>
      </c>
      <c r="AL125" s="652">
        <f t="shared" ca="1" si="98"/>
        <v>0</v>
      </c>
      <c r="AM125" s="652">
        <f t="shared" ca="1" si="98"/>
        <v>0</v>
      </c>
      <c r="AN125" s="652">
        <f t="shared" ca="1" si="98"/>
        <v>0</v>
      </c>
      <c r="AO125" s="652">
        <f t="shared" ca="1" si="98"/>
        <v>0</v>
      </c>
      <c r="AP125" s="652">
        <f t="shared" ca="1" si="98"/>
        <v>0</v>
      </c>
      <c r="AQ125" s="652">
        <f t="shared" ca="1" si="98"/>
        <v>0</v>
      </c>
      <c r="AR125" s="652">
        <f t="shared" ca="1" si="98"/>
        <v>0</v>
      </c>
      <c r="AS125" s="652">
        <f t="shared" ca="1" si="98"/>
        <v>0</v>
      </c>
      <c r="AT125" s="652">
        <f t="shared" ca="1" si="98"/>
        <v>0</v>
      </c>
      <c r="AU125" s="652">
        <f t="shared" ca="1" si="98"/>
        <v>0</v>
      </c>
      <c r="AV125" s="652">
        <f t="shared" ca="1" si="98"/>
        <v>0</v>
      </c>
      <c r="AW125" s="652">
        <f t="shared" ca="1" si="96"/>
        <v>0</v>
      </c>
      <c r="AX125" s="652">
        <f t="shared" ca="1" si="96"/>
        <v>0</v>
      </c>
      <c r="AY125" s="652">
        <f t="shared" ca="1" si="96"/>
        <v>0</v>
      </c>
      <c r="AZ125" s="652">
        <f t="shared" ca="1" si="96"/>
        <v>0</v>
      </c>
      <c r="BA125" s="652">
        <f t="shared" ca="1" si="96"/>
        <v>0</v>
      </c>
      <c r="BB125" s="652">
        <f t="shared" ca="1" si="96"/>
        <v>0</v>
      </c>
      <c r="BC125" s="652">
        <f t="shared" ca="1" si="96"/>
        <v>0</v>
      </c>
      <c r="BD125" s="652">
        <f t="shared" ca="1" si="96"/>
        <v>0</v>
      </c>
      <c r="BE125" s="652" t="str">
        <f t="shared" ca="1" si="95"/>
        <v>Commercial</v>
      </c>
      <c r="BF125" s="652" t="str">
        <f t="shared" ca="1" si="95"/>
        <v>OFFLGElecTotl</v>
      </c>
      <c r="BG125" s="652" t="str">
        <f t="shared" ca="1" si="95"/>
        <v>OFFSMGasHeat</v>
      </c>
      <c r="BH125" s="652" t="str">
        <f t="shared" ca="1" si="95"/>
        <v>KU NonRes</v>
      </c>
      <c r="BI125" s="652" t="str">
        <f t="shared" ca="1" si="95"/>
        <v>KU NonRes</v>
      </c>
      <c r="BJ125" s="652">
        <f t="shared" ca="1" si="95"/>
        <v>15</v>
      </c>
      <c r="BK125" s="652">
        <f t="shared" ca="1" si="95"/>
        <v>0</v>
      </c>
      <c r="BL125" s="652">
        <f t="shared" ca="1" si="94"/>
        <v>0</v>
      </c>
      <c r="BM125" s="652">
        <f t="shared" ca="1" si="94"/>
        <v>0</v>
      </c>
      <c r="BN125" s="652">
        <f t="shared" ca="1" si="94"/>
        <v>0</v>
      </c>
      <c r="BO125" s="652">
        <f t="shared" ca="1" si="94"/>
        <v>0</v>
      </c>
      <c r="BP125" s="652">
        <f t="shared" ca="1" si="94"/>
        <v>0</v>
      </c>
      <c r="BQ125" s="652">
        <f t="shared" ca="1" si="94"/>
        <v>0</v>
      </c>
      <c r="BR125" s="652">
        <f t="shared" ca="1" si="75"/>
        <v>1</v>
      </c>
      <c r="BS125" s="652">
        <f t="shared" ca="1" si="96"/>
        <v>37200</v>
      </c>
      <c r="BT125" s="652">
        <f t="shared" ca="1" si="95"/>
        <v>0</v>
      </c>
      <c r="BU125" s="652">
        <f t="shared" ca="1" si="95"/>
        <v>3000</v>
      </c>
      <c r="BV125" s="652">
        <f t="shared" ca="1" si="95"/>
        <v>0</v>
      </c>
      <c r="BW125" s="652">
        <f t="shared" ca="1" si="95"/>
        <v>0</v>
      </c>
      <c r="BX125" s="652">
        <f t="shared" ca="1" si="95"/>
        <v>0</v>
      </c>
      <c r="BY125" s="652">
        <f t="shared" ca="1" si="95"/>
        <v>0</v>
      </c>
    </row>
    <row r="126" spans="1:77">
      <c r="A126" s="425" t="str">
        <f t="shared" ca="1" si="73"/>
        <v>Business RebatesKU-Commercial New Construction LEED 16+ Points &lt;25,000 sqft</v>
      </c>
      <c r="B126" s="1297" t="str">
        <f t="shared" si="1"/>
        <v>KUBusiness Rebates</v>
      </c>
      <c r="C126" s="662" t="s">
        <v>224</v>
      </c>
      <c r="D126" s="662" t="s">
        <v>63</v>
      </c>
      <c r="E126" s="652" t="str">
        <f t="shared" ca="1" si="99"/>
        <v>KU-Commercial New Construction LEED 16+ Points &lt;25,000 sqft</v>
      </c>
      <c r="F126" s="652" t="str">
        <f t="shared" ca="1" si="99"/>
        <v>Commercial New Construction LEED 16+ Points - LEED Energy &amp; Atmosphere, Credit 1 Category Optimize Energy Efficiency Performance</v>
      </c>
      <c r="G126" s="652" t="str">
        <f t="shared" ca="1" si="99"/>
        <v>Per Project</v>
      </c>
      <c r="H126" s="652">
        <f t="shared" ca="1" si="100"/>
        <v>0.5</v>
      </c>
      <c r="I126" s="652">
        <f t="shared" ca="1" si="100"/>
        <v>0</v>
      </c>
      <c r="J126" s="652">
        <f t="shared" ca="1" si="100"/>
        <v>0</v>
      </c>
      <c r="K126" s="652">
        <f t="shared" ca="1" si="100"/>
        <v>0.5</v>
      </c>
      <c r="L126" s="652">
        <f t="shared" ca="1" si="100"/>
        <v>0</v>
      </c>
      <c r="M126" s="652">
        <f t="shared" ca="1" si="100"/>
        <v>0</v>
      </c>
      <c r="N126" s="652">
        <f t="shared" ca="1" si="100"/>
        <v>0.5</v>
      </c>
      <c r="O126" s="652">
        <f t="shared" ca="1" si="100"/>
        <v>18600</v>
      </c>
      <c r="P126" s="652">
        <f t="shared" ca="1" si="100"/>
        <v>0</v>
      </c>
      <c r="Q126" s="652">
        <f t="shared" ca="1" si="100"/>
        <v>0</v>
      </c>
      <c r="R126" s="652">
        <f t="shared" ca="1" si="100"/>
        <v>18600</v>
      </c>
      <c r="S126" s="652">
        <f t="shared" ca="1" si="100"/>
        <v>0</v>
      </c>
      <c r="T126" s="652">
        <f t="shared" ca="1" si="100"/>
        <v>0</v>
      </c>
      <c r="U126" s="652">
        <f t="shared" ca="1" si="100"/>
        <v>18600</v>
      </c>
      <c r="V126" s="652">
        <f t="shared" ca="1" si="97"/>
        <v>0</v>
      </c>
      <c r="W126" s="652">
        <f t="shared" ca="1" si="97"/>
        <v>0</v>
      </c>
      <c r="X126" s="652">
        <f t="shared" ca="1" si="97"/>
        <v>0</v>
      </c>
      <c r="Y126" s="652">
        <f t="shared" ca="1" si="97"/>
        <v>0</v>
      </c>
      <c r="Z126" s="652">
        <f t="shared" ca="1" si="97"/>
        <v>0</v>
      </c>
      <c r="AA126" s="652">
        <f t="shared" ca="1" si="97"/>
        <v>0</v>
      </c>
      <c r="AB126" s="652">
        <f t="shared" ca="1" si="97"/>
        <v>0</v>
      </c>
      <c r="AC126" s="652">
        <f t="shared" ca="1" si="97"/>
        <v>1750</v>
      </c>
      <c r="AD126" s="652">
        <f t="shared" ca="1" si="97"/>
        <v>0</v>
      </c>
      <c r="AE126" s="652">
        <f t="shared" ca="1" si="97"/>
        <v>0</v>
      </c>
      <c r="AF126" s="652">
        <f t="shared" ca="1" si="97"/>
        <v>1750</v>
      </c>
      <c r="AG126" s="652">
        <f t="shared" ca="1" si="97"/>
        <v>0</v>
      </c>
      <c r="AH126" s="652">
        <f t="shared" ca="1" si="97"/>
        <v>0</v>
      </c>
      <c r="AI126" s="652">
        <f t="shared" ca="1" si="98"/>
        <v>1750</v>
      </c>
      <c r="AJ126" s="652">
        <f t="shared" ca="1" si="98"/>
        <v>0</v>
      </c>
      <c r="AK126" s="652">
        <f t="shared" ca="1" si="98"/>
        <v>0</v>
      </c>
      <c r="AL126" s="652">
        <f t="shared" ca="1" si="98"/>
        <v>0</v>
      </c>
      <c r="AM126" s="652">
        <f t="shared" ca="1" si="98"/>
        <v>0</v>
      </c>
      <c r="AN126" s="652">
        <f t="shared" ca="1" si="98"/>
        <v>0</v>
      </c>
      <c r="AO126" s="652">
        <f t="shared" ca="1" si="98"/>
        <v>0</v>
      </c>
      <c r="AP126" s="652">
        <f t="shared" ca="1" si="98"/>
        <v>0</v>
      </c>
      <c r="AQ126" s="652">
        <f t="shared" ca="1" si="98"/>
        <v>0</v>
      </c>
      <c r="AR126" s="652">
        <f t="shared" ca="1" si="98"/>
        <v>0</v>
      </c>
      <c r="AS126" s="652">
        <f t="shared" ca="1" si="98"/>
        <v>0</v>
      </c>
      <c r="AT126" s="652">
        <f t="shared" ca="1" si="98"/>
        <v>0</v>
      </c>
      <c r="AU126" s="652">
        <f t="shared" ca="1" si="98"/>
        <v>0</v>
      </c>
      <c r="AV126" s="652">
        <f t="shared" ca="1" si="98"/>
        <v>0</v>
      </c>
      <c r="AW126" s="652">
        <f t="shared" ca="1" si="96"/>
        <v>0</v>
      </c>
      <c r="AX126" s="652">
        <f t="shared" ca="1" si="96"/>
        <v>0</v>
      </c>
      <c r="AY126" s="652">
        <f t="shared" ca="1" si="96"/>
        <v>0</v>
      </c>
      <c r="AZ126" s="652">
        <f t="shared" ca="1" si="96"/>
        <v>0</v>
      </c>
      <c r="BA126" s="652">
        <f t="shared" ca="1" si="96"/>
        <v>0</v>
      </c>
      <c r="BB126" s="652">
        <f t="shared" ca="1" si="96"/>
        <v>0</v>
      </c>
      <c r="BC126" s="652">
        <f t="shared" ca="1" si="96"/>
        <v>0</v>
      </c>
      <c r="BD126" s="652">
        <f t="shared" ca="1" si="96"/>
        <v>0</v>
      </c>
      <c r="BE126" s="652" t="str">
        <f t="shared" ca="1" si="95"/>
        <v>Commercial</v>
      </c>
      <c r="BF126" s="652" t="str">
        <f t="shared" ca="1" si="95"/>
        <v>OFFLGElecTotl</v>
      </c>
      <c r="BG126" s="652" t="str">
        <f t="shared" ca="1" si="95"/>
        <v>OFFSMGasHeat</v>
      </c>
      <c r="BH126" s="652" t="str">
        <f t="shared" ca="1" si="95"/>
        <v>KU NonRes</v>
      </c>
      <c r="BI126" s="652" t="str">
        <f t="shared" ca="1" si="95"/>
        <v>KU NonRes</v>
      </c>
      <c r="BJ126" s="652">
        <f t="shared" ca="1" si="95"/>
        <v>15</v>
      </c>
      <c r="BK126" s="652">
        <f t="shared" ca="1" si="95"/>
        <v>0</v>
      </c>
      <c r="BL126" s="652">
        <f t="shared" ca="1" si="94"/>
        <v>0</v>
      </c>
      <c r="BM126" s="652">
        <f t="shared" ca="1" si="94"/>
        <v>0</v>
      </c>
      <c r="BN126" s="652">
        <f t="shared" ca="1" si="94"/>
        <v>0</v>
      </c>
      <c r="BO126" s="652">
        <f t="shared" ca="1" si="94"/>
        <v>0</v>
      </c>
      <c r="BP126" s="652">
        <f t="shared" ca="1" si="94"/>
        <v>0</v>
      </c>
      <c r="BQ126" s="652">
        <f t="shared" ca="1" si="94"/>
        <v>0</v>
      </c>
      <c r="BR126" s="652">
        <f t="shared" ca="1" si="75"/>
        <v>1.5</v>
      </c>
      <c r="BS126" s="652">
        <f t="shared" ca="1" si="96"/>
        <v>55800</v>
      </c>
      <c r="BT126" s="652">
        <f t="shared" ca="1" si="95"/>
        <v>0</v>
      </c>
      <c r="BU126" s="652">
        <f t="shared" ca="1" si="95"/>
        <v>5250</v>
      </c>
      <c r="BV126" s="652">
        <f t="shared" ca="1" si="95"/>
        <v>0</v>
      </c>
      <c r="BW126" s="652">
        <f t="shared" ca="1" si="95"/>
        <v>0</v>
      </c>
      <c r="BX126" s="652">
        <f t="shared" ca="1" si="95"/>
        <v>0</v>
      </c>
      <c r="BY126" s="652">
        <f t="shared" ca="1" si="95"/>
        <v>0</v>
      </c>
    </row>
    <row r="127" spans="1:77">
      <c r="A127" s="425" t="str">
        <f t="shared" ca="1" si="73"/>
        <v>Business RebatesKU-Commercial New Construction LEED 1 to 5 Points ≥25,000 sqft</v>
      </c>
      <c r="B127" s="1297" t="str">
        <f t="shared" si="1"/>
        <v>KUBusiness Rebates</v>
      </c>
      <c r="C127" s="662" t="s">
        <v>225</v>
      </c>
      <c r="D127" s="662" t="s">
        <v>63</v>
      </c>
      <c r="E127" s="652" t="str">
        <f t="shared" ca="1" si="99"/>
        <v>KU-Commercial New Construction LEED 1 to 5 Points ≥25,000 sqft</v>
      </c>
      <c r="F127" s="652" t="str">
        <f t="shared" ca="1" si="99"/>
        <v>Commercial New Construction LEED 1 to 5 Points - LEED Energy &amp; Atmosphere, Credit 1 Category Optimize Energy Efficiency Performance</v>
      </c>
      <c r="G127" s="652" t="str">
        <f t="shared" ca="1" si="99"/>
        <v>Per Project</v>
      </c>
      <c r="H127" s="652">
        <f t="shared" ca="1" si="100"/>
        <v>0</v>
      </c>
      <c r="I127" s="652">
        <f t="shared" ca="1" si="100"/>
        <v>0.5</v>
      </c>
      <c r="J127" s="652">
        <f t="shared" ca="1" si="100"/>
        <v>0</v>
      </c>
      <c r="K127" s="652">
        <f t="shared" ca="1" si="100"/>
        <v>0</v>
      </c>
      <c r="L127" s="652">
        <f t="shared" ca="1" si="100"/>
        <v>0.5</v>
      </c>
      <c r="M127" s="652">
        <f t="shared" ca="1" si="100"/>
        <v>0</v>
      </c>
      <c r="N127" s="652">
        <f t="shared" ca="1" si="100"/>
        <v>0</v>
      </c>
      <c r="O127" s="652">
        <f t="shared" ca="1" si="100"/>
        <v>0</v>
      </c>
      <c r="P127" s="652">
        <f t="shared" ca="1" si="100"/>
        <v>18600</v>
      </c>
      <c r="Q127" s="652">
        <f t="shared" ca="1" si="100"/>
        <v>0</v>
      </c>
      <c r="R127" s="652">
        <f t="shared" ca="1" si="100"/>
        <v>0</v>
      </c>
      <c r="S127" s="652">
        <f t="shared" ca="1" si="100"/>
        <v>18600</v>
      </c>
      <c r="T127" s="652">
        <f t="shared" ca="1" si="100"/>
        <v>0</v>
      </c>
      <c r="U127" s="652">
        <f t="shared" ca="1" si="100"/>
        <v>0</v>
      </c>
      <c r="V127" s="652">
        <f t="shared" ca="1" si="97"/>
        <v>0</v>
      </c>
      <c r="W127" s="652">
        <f t="shared" ca="1" si="97"/>
        <v>0</v>
      </c>
      <c r="X127" s="652">
        <f t="shared" ca="1" si="97"/>
        <v>0</v>
      </c>
      <c r="Y127" s="652">
        <f t="shared" ca="1" si="97"/>
        <v>0</v>
      </c>
      <c r="Z127" s="652">
        <f t="shared" ca="1" si="97"/>
        <v>0</v>
      </c>
      <c r="AA127" s="652">
        <f t="shared" ca="1" si="97"/>
        <v>0</v>
      </c>
      <c r="AB127" s="652">
        <f t="shared" ca="1" si="97"/>
        <v>0</v>
      </c>
      <c r="AC127" s="652">
        <f t="shared" ca="1" si="97"/>
        <v>0</v>
      </c>
      <c r="AD127" s="652">
        <f t="shared" ca="1" si="97"/>
        <v>2000</v>
      </c>
      <c r="AE127" s="652">
        <f t="shared" ca="1" si="97"/>
        <v>0</v>
      </c>
      <c r="AF127" s="652">
        <f t="shared" ca="1" si="97"/>
        <v>0</v>
      </c>
      <c r="AG127" s="652">
        <f t="shared" ca="1" si="97"/>
        <v>2000</v>
      </c>
      <c r="AH127" s="652">
        <f t="shared" ca="1" si="97"/>
        <v>0</v>
      </c>
      <c r="AI127" s="652">
        <f t="shared" ca="1" si="98"/>
        <v>0</v>
      </c>
      <c r="AJ127" s="652">
        <f t="shared" ca="1" si="98"/>
        <v>0</v>
      </c>
      <c r="AK127" s="652">
        <f t="shared" ca="1" si="98"/>
        <v>0</v>
      </c>
      <c r="AL127" s="652">
        <f t="shared" ca="1" si="98"/>
        <v>0</v>
      </c>
      <c r="AM127" s="652">
        <f t="shared" ca="1" si="98"/>
        <v>0</v>
      </c>
      <c r="AN127" s="652">
        <f t="shared" ca="1" si="98"/>
        <v>0</v>
      </c>
      <c r="AO127" s="652">
        <f t="shared" ca="1" si="98"/>
        <v>0</v>
      </c>
      <c r="AP127" s="652">
        <f t="shared" ca="1" si="98"/>
        <v>0</v>
      </c>
      <c r="AQ127" s="652">
        <f t="shared" ca="1" si="98"/>
        <v>0</v>
      </c>
      <c r="AR127" s="652">
        <f t="shared" ca="1" si="98"/>
        <v>0</v>
      </c>
      <c r="AS127" s="652">
        <f t="shared" ca="1" si="98"/>
        <v>0</v>
      </c>
      <c r="AT127" s="652">
        <f t="shared" ca="1" si="98"/>
        <v>0</v>
      </c>
      <c r="AU127" s="652">
        <f t="shared" ca="1" si="98"/>
        <v>0</v>
      </c>
      <c r="AV127" s="652">
        <f t="shared" ca="1" si="98"/>
        <v>0</v>
      </c>
      <c r="AW127" s="652">
        <f t="shared" ca="1" si="96"/>
        <v>0</v>
      </c>
      <c r="AX127" s="652">
        <f t="shared" ca="1" si="96"/>
        <v>0</v>
      </c>
      <c r="AY127" s="652">
        <f t="shared" ca="1" si="96"/>
        <v>0</v>
      </c>
      <c r="AZ127" s="652">
        <f t="shared" ca="1" si="96"/>
        <v>0</v>
      </c>
      <c r="BA127" s="652">
        <f t="shared" ca="1" si="96"/>
        <v>0</v>
      </c>
      <c r="BB127" s="652">
        <f t="shared" ca="1" si="96"/>
        <v>0</v>
      </c>
      <c r="BC127" s="652">
        <f t="shared" ca="1" si="96"/>
        <v>0</v>
      </c>
      <c r="BD127" s="652">
        <f t="shared" ca="1" si="96"/>
        <v>0</v>
      </c>
      <c r="BE127" s="652" t="str">
        <f t="shared" ca="1" si="95"/>
        <v>Commercial</v>
      </c>
      <c r="BF127" s="652" t="str">
        <f t="shared" ca="1" si="95"/>
        <v>OFFLGElecTotl</v>
      </c>
      <c r="BG127" s="652" t="str">
        <f t="shared" ca="1" si="95"/>
        <v>OFFSMGasHeat</v>
      </c>
      <c r="BH127" s="652" t="str">
        <f t="shared" ca="1" si="95"/>
        <v>KU NonRes</v>
      </c>
      <c r="BI127" s="652" t="str">
        <f t="shared" ca="1" si="95"/>
        <v>KU NonRes</v>
      </c>
      <c r="BJ127" s="652">
        <f t="shared" ca="1" si="95"/>
        <v>15</v>
      </c>
      <c r="BK127" s="652">
        <f t="shared" ca="1" si="95"/>
        <v>0</v>
      </c>
      <c r="BL127" s="652">
        <f t="shared" ca="1" si="94"/>
        <v>0</v>
      </c>
      <c r="BM127" s="652">
        <f t="shared" ca="1" si="94"/>
        <v>0</v>
      </c>
      <c r="BN127" s="652">
        <f t="shared" ca="1" si="94"/>
        <v>0</v>
      </c>
      <c r="BO127" s="652">
        <f t="shared" ca="1" si="94"/>
        <v>0</v>
      </c>
      <c r="BP127" s="652">
        <f t="shared" ca="1" si="94"/>
        <v>0</v>
      </c>
      <c r="BQ127" s="652">
        <f t="shared" ca="1" si="94"/>
        <v>0</v>
      </c>
      <c r="BR127" s="652">
        <f t="shared" ca="1" si="75"/>
        <v>1</v>
      </c>
      <c r="BS127" s="652">
        <f t="shared" ca="1" si="96"/>
        <v>37200</v>
      </c>
      <c r="BT127" s="652">
        <f t="shared" ca="1" si="95"/>
        <v>0</v>
      </c>
      <c r="BU127" s="652">
        <f t="shared" ca="1" si="95"/>
        <v>4000</v>
      </c>
      <c r="BV127" s="652">
        <f t="shared" ca="1" si="95"/>
        <v>0</v>
      </c>
      <c r="BW127" s="652">
        <f t="shared" ca="1" si="95"/>
        <v>0</v>
      </c>
      <c r="BX127" s="652">
        <f t="shared" ca="1" si="95"/>
        <v>0</v>
      </c>
      <c r="BY127" s="652">
        <f t="shared" ca="1" si="95"/>
        <v>0</v>
      </c>
    </row>
    <row r="128" spans="1:77">
      <c r="A128" s="425" t="str">
        <f t="shared" ca="1" si="73"/>
        <v>Business RebatesKU-Commercial New Construction LEED 6 to 10 Points ≥25,000 sqft</v>
      </c>
      <c r="B128" s="1297" t="str">
        <f t="shared" si="1"/>
        <v>KUBusiness Rebates</v>
      </c>
      <c r="C128" s="662" t="s">
        <v>226</v>
      </c>
      <c r="D128" s="662" t="s">
        <v>63</v>
      </c>
      <c r="E128" s="652" t="str">
        <f t="shared" ca="1" si="99"/>
        <v>KU-Commercial New Construction LEED 6 to 10 Points ≥25,000 sqft</v>
      </c>
      <c r="F128" s="652" t="str">
        <f t="shared" ca="1" si="99"/>
        <v>Commercial New Construction LEED 6 to 10 Points - LEED Energy &amp; Atmosphere, Credit 1 Category Optimize Energy Efficiency Performance</v>
      </c>
      <c r="G128" s="652" t="str">
        <f t="shared" ca="1" si="99"/>
        <v>Per Project</v>
      </c>
      <c r="H128" s="652">
        <f t="shared" ca="1" si="100"/>
        <v>0</v>
      </c>
      <c r="I128" s="652">
        <f t="shared" ca="1" si="100"/>
        <v>0.5</v>
      </c>
      <c r="J128" s="652">
        <f t="shared" ca="1" si="100"/>
        <v>0</v>
      </c>
      <c r="K128" s="652">
        <f t="shared" ca="1" si="100"/>
        <v>0.5</v>
      </c>
      <c r="L128" s="652">
        <f t="shared" ca="1" si="100"/>
        <v>0</v>
      </c>
      <c r="M128" s="652">
        <f t="shared" ca="1" si="100"/>
        <v>0.5</v>
      </c>
      <c r="N128" s="652">
        <f t="shared" ca="1" si="100"/>
        <v>0</v>
      </c>
      <c r="O128" s="652">
        <f t="shared" ca="1" si="100"/>
        <v>0</v>
      </c>
      <c r="P128" s="652">
        <f t="shared" ca="1" si="100"/>
        <v>18600</v>
      </c>
      <c r="Q128" s="652">
        <f t="shared" ca="1" si="100"/>
        <v>0</v>
      </c>
      <c r="R128" s="652">
        <f t="shared" ca="1" si="100"/>
        <v>18600</v>
      </c>
      <c r="S128" s="652">
        <f t="shared" ca="1" si="100"/>
        <v>0</v>
      </c>
      <c r="T128" s="652">
        <f t="shared" ca="1" si="100"/>
        <v>18600</v>
      </c>
      <c r="U128" s="652">
        <f t="shared" ca="1" si="100"/>
        <v>0</v>
      </c>
      <c r="V128" s="652">
        <f t="shared" ca="1" si="97"/>
        <v>0</v>
      </c>
      <c r="W128" s="652">
        <f t="shared" ca="1" si="97"/>
        <v>0</v>
      </c>
      <c r="X128" s="652">
        <f t="shared" ca="1" si="97"/>
        <v>0</v>
      </c>
      <c r="Y128" s="652">
        <f t="shared" ca="1" si="97"/>
        <v>0</v>
      </c>
      <c r="Z128" s="652">
        <f t="shared" ca="1" si="97"/>
        <v>0</v>
      </c>
      <c r="AA128" s="652">
        <f t="shared" ca="1" si="97"/>
        <v>0</v>
      </c>
      <c r="AB128" s="652">
        <f t="shared" ca="1" si="97"/>
        <v>0</v>
      </c>
      <c r="AC128" s="652">
        <f t="shared" ca="1" si="97"/>
        <v>0</v>
      </c>
      <c r="AD128" s="652">
        <f t="shared" ca="1" si="97"/>
        <v>3000</v>
      </c>
      <c r="AE128" s="652">
        <f t="shared" ca="1" si="97"/>
        <v>0</v>
      </c>
      <c r="AF128" s="652">
        <f t="shared" ca="1" si="97"/>
        <v>3000</v>
      </c>
      <c r="AG128" s="652">
        <f t="shared" ca="1" si="97"/>
        <v>0</v>
      </c>
      <c r="AH128" s="652">
        <f t="shared" ca="1" si="97"/>
        <v>3000</v>
      </c>
      <c r="AI128" s="652">
        <f t="shared" ca="1" si="98"/>
        <v>0</v>
      </c>
      <c r="AJ128" s="652">
        <f t="shared" ca="1" si="98"/>
        <v>0</v>
      </c>
      <c r="AK128" s="652">
        <f t="shared" ca="1" si="98"/>
        <v>0</v>
      </c>
      <c r="AL128" s="652">
        <f t="shared" ca="1" si="98"/>
        <v>0</v>
      </c>
      <c r="AM128" s="652">
        <f t="shared" ca="1" si="98"/>
        <v>0</v>
      </c>
      <c r="AN128" s="652">
        <f t="shared" ca="1" si="98"/>
        <v>0</v>
      </c>
      <c r="AO128" s="652">
        <f t="shared" ca="1" si="98"/>
        <v>0</v>
      </c>
      <c r="AP128" s="652">
        <f t="shared" ca="1" si="98"/>
        <v>0</v>
      </c>
      <c r="AQ128" s="652">
        <f t="shared" ca="1" si="98"/>
        <v>0</v>
      </c>
      <c r="AR128" s="652">
        <f t="shared" ca="1" si="98"/>
        <v>0</v>
      </c>
      <c r="AS128" s="652">
        <f t="shared" ca="1" si="98"/>
        <v>0</v>
      </c>
      <c r="AT128" s="652">
        <f t="shared" ca="1" si="98"/>
        <v>0</v>
      </c>
      <c r="AU128" s="652">
        <f t="shared" ca="1" si="98"/>
        <v>0</v>
      </c>
      <c r="AV128" s="652">
        <f t="shared" ca="1" si="98"/>
        <v>0</v>
      </c>
      <c r="AW128" s="652">
        <f t="shared" ca="1" si="96"/>
        <v>0</v>
      </c>
      <c r="AX128" s="652">
        <f t="shared" ca="1" si="96"/>
        <v>0</v>
      </c>
      <c r="AY128" s="652">
        <f t="shared" ca="1" si="96"/>
        <v>0</v>
      </c>
      <c r="AZ128" s="652">
        <f t="shared" ca="1" si="96"/>
        <v>0</v>
      </c>
      <c r="BA128" s="652">
        <f t="shared" ca="1" si="96"/>
        <v>0</v>
      </c>
      <c r="BB128" s="652">
        <f t="shared" ca="1" si="96"/>
        <v>0</v>
      </c>
      <c r="BC128" s="652">
        <f t="shared" ca="1" si="96"/>
        <v>0</v>
      </c>
      <c r="BD128" s="652">
        <f t="shared" ca="1" si="96"/>
        <v>0</v>
      </c>
      <c r="BE128" s="652" t="str">
        <f t="shared" ca="1" si="95"/>
        <v>Commercial</v>
      </c>
      <c r="BF128" s="652" t="str">
        <f t="shared" ca="1" si="95"/>
        <v>OFFLGElecTotl</v>
      </c>
      <c r="BG128" s="652" t="str">
        <f t="shared" ca="1" si="95"/>
        <v>OFFSMGasHeat</v>
      </c>
      <c r="BH128" s="652" t="str">
        <f t="shared" ca="1" si="95"/>
        <v>KU NonRes</v>
      </c>
      <c r="BI128" s="652" t="str">
        <f t="shared" ca="1" si="95"/>
        <v>KU NonRes</v>
      </c>
      <c r="BJ128" s="652">
        <f t="shared" ca="1" si="95"/>
        <v>15</v>
      </c>
      <c r="BK128" s="652">
        <f t="shared" ca="1" si="95"/>
        <v>0</v>
      </c>
      <c r="BL128" s="652">
        <f t="shared" ca="1" si="94"/>
        <v>0</v>
      </c>
      <c r="BM128" s="652">
        <f t="shared" ca="1" si="94"/>
        <v>0</v>
      </c>
      <c r="BN128" s="652">
        <f t="shared" ca="1" si="94"/>
        <v>0</v>
      </c>
      <c r="BO128" s="652">
        <f t="shared" ca="1" si="94"/>
        <v>0</v>
      </c>
      <c r="BP128" s="652">
        <f t="shared" ca="1" si="94"/>
        <v>0</v>
      </c>
      <c r="BQ128" s="652">
        <f t="shared" ca="1" si="94"/>
        <v>0</v>
      </c>
      <c r="BR128" s="652">
        <f t="shared" ca="1" si="75"/>
        <v>1.5</v>
      </c>
      <c r="BS128" s="652">
        <f t="shared" ca="1" si="96"/>
        <v>55800</v>
      </c>
      <c r="BT128" s="652">
        <f t="shared" ca="1" si="95"/>
        <v>0</v>
      </c>
      <c r="BU128" s="652">
        <f t="shared" ca="1" si="95"/>
        <v>9000</v>
      </c>
      <c r="BV128" s="652">
        <f t="shared" ca="1" si="95"/>
        <v>0</v>
      </c>
      <c r="BW128" s="652">
        <f t="shared" ca="1" si="95"/>
        <v>0</v>
      </c>
      <c r="BX128" s="652">
        <f t="shared" ca="1" si="95"/>
        <v>0</v>
      </c>
      <c r="BY128" s="652">
        <f t="shared" ca="1" si="95"/>
        <v>0</v>
      </c>
    </row>
    <row r="129" spans="1:77">
      <c r="A129" s="425" t="str">
        <f t="shared" ca="1" si="73"/>
        <v>Business RebatesKU-Commercial New Construction LEED 11 to 15 Points ≥25,000 sqft</v>
      </c>
      <c r="B129" s="1297" t="str">
        <f t="shared" ref="B129:B193" si="101">IF(ISNUMBER(SEARCH("KU",C129)),"KU"&amp;D129,"LG&amp;E"&amp;D129)</f>
        <v>KUBusiness Rebates</v>
      </c>
      <c r="C129" s="662" t="s">
        <v>227</v>
      </c>
      <c r="D129" s="662" t="s">
        <v>63</v>
      </c>
      <c r="E129" s="652" t="str">
        <f t="shared" ca="1" si="99"/>
        <v>KU-Commercial New Construction LEED 11 to 15 Points ≥25,000 sqft</v>
      </c>
      <c r="F129" s="652" t="str">
        <f t="shared" ca="1" si="99"/>
        <v>Commercial New Construction LEED 11 to 15 Points - LEED Energy &amp; Atmosphere, Credit 1 Category Optimize Energy Efficiency Performance</v>
      </c>
      <c r="G129" s="652" t="str">
        <f t="shared" ca="1" si="99"/>
        <v>Per Project</v>
      </c>
      <c r="H129" s="652">
        <f t="shared" ca="1" si="100"/>
        <v>0.5</v>
      </c>
      <c r="I129" s="652">
        <f t="shared" ca="1" si="100"/>
        <v>0</v>
      </c>
      <c r="J129" s="652">
        <f t="shared" ca="1" si="100"/>
        <v>0.5</v>
      </c>
      <c r="K129" s="652">
        <f t="shared" ca="1" si="100"/>
        <v>0</v>
      </c>
      <c r="L129" s="652">
        <f t="shared" ca="1" si="100"/>
        <v>0.5</v>
      </c>
      <c r="M129" s="652">
        <f t="shared" ca="1" si="100"/>
        <v>0</v>
      </c>
      <c r="N129" s="652">
        <f t="shared" ca="1" si="100"/>
        <v>0.5</v>
      </c>
      <c r="O129" s="652">
        <f t="shared" ca="1" si="100"/>
        <v>18600</v>
      </c>
      <c r="P129" s="652">
        <f t="shared" ca="1" si="100"/>
        <v>0</v>
      </c>
      <c r="Q129" s="652">
        <f t="shared" ca="1" si="100"/>
        <v>18600</v>
      </c>
      <c r="R129" s="652">
        <f t="shared" ca="1" si="100"/>
        <v>0</v>
      </c>
      <c r="S129" s="652">
        <f t="shared" ca="1" si="100"/>
        <v>18600</v>
      </c>
      <c r="T129" s="652">
        <f t="shared" ca="1" si="100"/>
        <v>0</v>
      </c>
      <c r="U129" s="652">
        <f t="shared" ca="1" si="100"/>
        <v>18600</v>
      </c>
      <c r="V129" s="652">
        <f t="shared" ca="1" si="97"/>
        <v>0</v>
      </c>
      <c r="W129" s="652">
        <f t="shared" ca="1" si="97"/>
        <v>0</v>
      </c>
      <c r="X129" s="652">
        <f t="shared" ca="1" si="97"/>
        <v>0</v>
      </c>
      <c r="Y129" s="652">
        <f t="shared" ca="1" si="97"/>
        <v>0</v>
      </c>
      <c r="Z129" s="652">
        <f t="shared" ca="1" si="97"/>
        <v>0</v>
      </c>
      <c r="AA129" s="652">
        <f t="shared" ca="1" si="97"/>
        <v>0</v>
      </c>
      <c r="AB129" s="652">
        <f t="shared" ca="1" si="97"/>
        <v>0</v>
      </c>
      <c r="AC129" s="652">
        <f t="shared" ca="1" si="97"/>
        <v>4000</v>
      </c>
      <c r="AD129" s="652">
        <f t="shared" ca="1" si="97"/>
        <v>0</v>
      </c>
      <c r="AE129" s="652">
        <f t="shared" ca="1" si="97"/>
        <v>4000</v>
      </c>
      <c r="AF129" s="652">
        <f t="shared" ca="1" si="97"/>
        <v>0</v>
      </c>
      <c r="AG129" s="652">
        <f t="shared" ca="1" si="97"/>
        <v>4000</v>
      </c>
      <c r="AH129" s="652">
        <f t="shared" ca="1" si="97"/>
        <v>0</v>
      </c>
      <c r="AI129" s="652">
        <f t="shared" ca="1" si="98"/>
        <v>4000</v>
      </c>
      <c r="AJ129" s="652">
        <f t="shared" ca="1" si="98"/>
        <v>0</v>
      </c>
      <c r="AK129" s="652">
        <f t="shared" ca="1" si="98"/>
        <v>0</v>
      </c>
      <c r="AL129" s="652">
        <f t="shared" ca="1" si="98"/>
        <v>0</v>
      </c>
      <c r="AM129" s="652">
        <f t="shared" ca="1" si="98"/>
        <v>0</v>
      </c>
      <c r="AN129" s="652">
        <f t="shared" ca="1" si="98"/>
        <v>0</v>
      </c>
      <c r="AO129" s="652">
        <f t="shared" ca="1" si="98"/>
        <v>0</v>
      </c>
      <c r="AP129" s="652">
        <f t="shared" ca="1" si="98"/>
        <v>0</v>
      </c>
      <c r="AQ129" s="652">
        <f t="shared" ca="1" si="98"/>
        <v>0</v>
      </c>
      <c r="AR129" s="652">
        <f t="shared" ca="1" si="98"/>
        <v>0</v>
      </c>
      <c r="AS129" s="652">
        <f t="shared" ca="1" si="98"/>
        <v>0</v>
      </c>
      <c r="AT129" s="652">
        <f t="shared" ca="1" si="98"/>
        <v>0</v>
      </c>
      <c r="AU129" s="652">
        <f t="shared" ca="1" si="98"/>
        <v>0</v>
      </c>
      <c r="AV129" s="652">
        <f t="shared" ca="1" si="98"/>
        <v>0</v>
      </c>
      <c r="AW129" s="652">
        <f t="shared" ca="1" si="96"/>
        <v>0</v>
      </c>
      <c r="AX129" s="652">
        <f t="shared" ca="1" si="96"/>
        <v>0</v>
      </c>
      <c r="AY129" s="652">
        <f t="shared" ca="1" si="96"/>
        <v>0</v>
      </c>
      <c r="AZ129" s="652">
        <f t="shared" ca="1" si="96"/>
        <v>0</v>
      </c>
      <c r="BA129" s="652">
        <f t="shared" ca="1" si="96"/>
        <v>0</v>
      </c>
      <c r="BB129" s="652">
        <f t="shared" ca="1" si="96"/>
        <v>0</v>
      </c>
      <c r="BC129" s="652">
        <f t="shared" ca="1" si="96"/>
        <v>0</v>
      </c>
      <c r="BD129" s="652">
        <f t="shared" ca="1" si="96"/>
        <v>0</v>
      </c>
      <c r="BE129" s="652" t="str">
        <f t="shared" ca="1" si="95"/>
        <v>Commercial</v>
      </c>
      <c r="BF129" s="652" t="str">
        <f t="shared" ca="1" si="95"/>
        <v>OFFLGElecTotl</v>
      </c>
      <c r="BG129" s="652" t="str">
        <f t="shared" ca="1" si="95"/>
        <v>OFFSMGasHeat</v>
      </c>
      <c r="BH129" s="652" t="str">
        <f t="shared" ca="1" si="95"/>
        <v>KU NonRes</v>
      </c>
      <c r="BI129" s="652" t="str">
        <f t="shared" ca="1" si="95"/>
        <v>KU NonRes</v>
      </c>
      <c r="BJ129" s="652">
        <f t="shared" ca="1" si="95"/>
        <v>15</v>
      </c>
      <c r="BK129" s="652">
        <f t="shared" ca="1" si="95"/>
        <v>0</v>
      </c>
      <c r="BL129" s="652">
        <f t="shared" ca="1" si="94"/>
        <v>0</v>
      </c>
      <c r="BM129" s="652">
        <f t="shared" ca="1" si="94"/>
        <v>0</v>
      </c>
      <c r="BN129" s="652">
        <f t="shared" ca="1" si="94"/>
        <v>0</v>
      </c>
      <c r="BO129" s="652">
        <f t="shared" ca="1" si="94"/>
        <v>0</v>
      </c>
      <c r="BP129" s="652">
        <f t="shared" ca="1" si="94"/>
        <v>0</v>
      </c>
      <c r="BQ129" s="652">
        <f t="shared" ca="1" si="94"/>
        <v>0</v>
      </c>
      <c r="BR129" s="652">
        <f t="shared" ca="1" si="75"/>
        <v>2</v>
      </c>
      <c r="BS129" s="652">
        <f t="shared" ca="1" si="96"/>
        <v>74400</v>
      </c>
      <c r="BT129" s="652">
        <f t="shared" ca="1" si="95"/>
        <v>0</v>
      </c>
      <c r="BU129" s="652">
        <f t="shared" ca="1" si="95"/>
        <v>16000</v>
      </c>
      <c r="BV129" s="652">
        <f t="shared" ca="1" si="95"/>
        <v>0</v>
      </c>
      <c r="BW129" s="652">
        <f t="shared" ca="1" si="95"/>
        <v>0</v>
      </c>
      <c r="BX129" s="652">
        <f t="shared" ca="1" si="95"/>
        <v>0</v>
      </c>
      <c r="BY129" s="652">
        <f t="shared" ca="1" si="95"/>
        <v>0</v>
      </c>
    </row>
    <row r="130" spans="1:77">
      <c r="A130" s="425" t="str">
        <f t="shared" ca="1" si="73"/>
        <v>Business RebatesKU-Commercial New Construction LEED 16+ Points ≥25,000 sqft</v>
      </c>
      <c r="B130" s="1297" t="str">
        <f t="shared" si="101"/>
        <v>KUBusiness Rebates</v>
      </c>
      <c r="C130" s="662" t="s">
        <v>228</v>
      </c>
      <c r="D130" s="662" t="s">
        <v>63</v>
      </c>
      <c r="E130" s="652" t="str">
        <f t="shared" ca="1" si="99"/>
        <v>KU-Commercial New Construction LEED 16+ Points ≥25,000 sqft</v>
      </c>
      <c r="F130" s="652" t="str">
        <f t="shared" ca="1" si="99"/>
        <v>Commercial New Construction LEED 16+ Points - LEED Energy &amp; Atmosphere, Credit 1 Category Optimize Energy Efficiency Performance</v>
      </c>
      <c r="G130" s="652" t="str">
        <f t="shared" ca="1" si="99"/>
        <v>Per Project</v>
      </c>
      <c r="H130" s="652">
        <f t="shared" ca="1" si="100"/>
        <v>0</v>
      </c>
      <c r="I130" s="652">
        <f t="shared" ca="1" si="100"/>
        <v>0</v>
      </c>
      <c r="J130" s="652">
        <f t="shared" ca="1" si="100"/>
        <v>0.5</v>
      </c>
      <c r="K130" s="652">
        <f t="shared" ca="1" si="100"/>
        <v>0</v>
      </c>
      <c r="L130" s="652">
        <f t="shared" ca="1" si="100"/>
        <v>0</v>
      </c>
      <c r="M130" s="652">
        <f t="shared" ca="1" si="100"/>
        <v>0.5</v>
      </c>
      <c r="N130" s="652">
        <f t="shared" ca="1" si="100"/>
        <v>0</v>
      </c>
      <c r="O130" s="652">
        <f t="shared" ca="1" si="100"/>
        <v>0</v>
      </c>
      <c r="P130" s="652">
        <f t="shared" ca="1" si="100"/>
        <v>0</v>
      </c>
      <c r="Q130" s="652">
        <f t="shared" ca="1" si="100"/>
        <v>18600</v>
      </c>
      <c r="R130" s="652">
        <f t="shared" ca="1" si="100"/>
        <v>0</v>
      </c>
      <c r="S130" s="652">
        <f t="shared" ca="1" si="100"/>
        <v>0</v>
      </c>
      <c r="T130" s="652">
        <f t="shared" ca="1" si="100"/>
        <v>18600</v>
      </c>
      <c r="U130" s="652">
        <f t="shared" ca="1" si="100"/>
        <v>0</v>
      </c>
      <c r="V130" s="652">
        <f t="shared" ca="1" si="97"/>
        <v>0</v>
      </c>
      <c r="W130" s="652">
        <f t="shared" ca="1" si="97"/>
        <v>0</v>
      </c>
      <c r="X130" s="652">
        <f t="shared" ca="1" si="97"/>
        <v>0</v>
      </c>
      <c r="Y130" s="652">
        <f t="shared" ca="1" si="97"/>
        <v>0</v>
      </c>
      <c r="Z130" s="652">
        <f t="shared" ca="1" si="97"/>
        <v>0</v>
      </c>
      <c r="AA130" s="652">
        <f t="shared" ca="1" si="97"/>
        <v>0</v>
      </c>
      <c r="AB130" s="652">
        <f t="shared" ca="1" si="97"/>
        <v>0</v>
      </c>
      <c r="AC130" s="652">
        <f t="shared" ca="1" si="97"/>
        <v>0</v>
      </c>
      <c r="AD130" s="652">
        <f t="shared" ca="1" si="97"/>
        <v>0</v>
      </c>
      <c r="AE130" s="652">
        <f t="shared" ca="1" si="97"/>
        <v>5000</v>
      </c>
      <c r="AF130" s="652">
        <f t="shared" ca="1" si="97"/>
        <v>0</v>
      </c>
      <c r="AG130" s="652">
        <f t="shared" ca="1" si="97"/>
        <v>0</v>
      </c>
      <c r="AH130" s="652">
        <f t="shared" ca="1" si="97"/>
        <v>5000</v>
      </c>
      <c r="AI130" s="652">
        <f t="shared" ca="1" si="98"/>
        <v>0</v>
      </c>
      <c r="AJ130" s="652">
        <f t="shared" ca="1" si="98"/>
        <v>0</v>
      </c>
      <c r="AK130" s="652">
        <f t="shared" ca="1" si="98"/>
        <v>0</v>
      </c>
      <c r="AL130" s="652">
        <f t="shared" ca="1" si="98"/>
        <v>0</v>
      </c>
      <c r="AM130" s="652">
        <f t="shared" ca="1" si="98"/>
        <v>0</v>
      </c>
      <c r="AN130" s="652">
        <f t="shared" ca="1" si="98"/>
        <v>0</v>
      </c>
      <c r="AO130" s="652">
        <f t="shared" ca="1" si="98"/>
        <v>0</v>
      </c>
      <c r="AP130" s="652">
        <f t="shared" ca="1" si="98"/>
        <v>0</v>
      </c>
      <c r="AQ130" s="652">
        <f t="shared" ca="1" si="98"/>
        <v>0</v>
      </c>
      <c r="AR130" s="652">
        <f t="shared" ca="1" si="98"/>
        <v>0</v>
      </c>
      <c r="AS130" s="652">
        <f t="shared" ca="1" si="98"/>
        <v>0</v>
      </c>
      <c r="AT130" s="652">
        <f t="shared" ca="1" si="98"/>
        <v>0</v>
      </c>
      <c r="AU130" s="652">
        <f t="shared" ca="1" si="98"/>
        <v>0</v>
      </c>
      <c r="AV130" s="652">
        <f t="shared" ca="1" si="98"/>
        <v>0</v>
      </c>
      <c r="AW130" s="652">
        <f t="shared" ca="1" si="96"/>
        <v>0</v>
      </c>
      <c r="AX130" s="652">
        <f t="shared" ca="1" si="96"/>
        <v>0</v>
      </c>
      <c r="AY130" s="652">
        <f t="shared" ca="1" si="96"/>
        <v>0</v>
      </c>
      <c r="AZ130" s="652">
        <f t="shared" ca="1" si="96"/>
        <v>0</v>
      </c>
      <c r="BA130" s="652">
        <f t="shared" ca="1" si="96"/>
        <v>0</v>
      </c>
      <c r="BB130" s="652">
        <f t="shared" ca="1" si="96"/>
        <v>0</v>
      </c>
      <c r="BC130" s="652">
        <f t="shared" ca="1" si="96"/>
        <v>0</v>
      </c>
      <c r="BD130" s="652">
        <f t="shared" ca="1" si="96"/>
        <v>0</v>
      </c>
      <c r="BE130" s="652" t="str">
        <f t="shared" ca="1" si="95"/>
        <v>Commercial</v>
      </c>
      <c r="BF130" s="652" t="str">
        <f t="shared" ca="1" si="95"/>
        <v>OFFLGElecTotl</v>
      </c>
      <c r="BG130" s="652" t="str">
        <f t="shared" ca="1" si="95"/>
        <v>OFFSMGasHeat</v>
      </c>
      <c r="BH130" s="652" t="str">
        <f t="shared" ca="1" si="95"/>
        <v>KU NonRes</v>
      </c>
      <c r="BI130" s="652" t="str">
        <f t="shared" ca="1" si="95"/>
        <v>KU NonRes</v>
      </c>
      <c r="BJ130" s="652">
        <f t="shared" ca="1" si="95"/>
        <v>15</v>
      </c>
      <c r="BK130" s="652">
        <f t="shared" ca="1" si="95"/>
        <v>0</v>
      </c>
      <c r="BL130" s="652">
        <f t="shared" ca="1" si="94"/>
        <v>0</v>
      </c>
      <c r="BM130" s="652">
        <f t="shared" ca="1" si="94"/>
        <v>0</v>
      </c>
      <c r="BN130" s="652">
        <f t="shared" ca="1" si="94"/>
        <v>0</v>
      </c>
      <c r="BO130" s="652">
        <f t="shared" ca="1" si="94"/>
        <v>0</v>
      </c>
      <c r="BP130" s="652">
        <f t="shared" ca="1" si="94"/>
        <v>0</v>
      </c>
      <c r="BQ130" s="652">
        <f t="shared" ca="1" si="94"/>
        <v>0</v>
      </c>
      <c r="BR130" s="652">
        <f t="shared" ca="1" si="75"/>
        <v>1</v>
      </c>
      <c r="BS130" s="652">
        <f t="shared" ca="1" si="96"/>
        <v>37200</v>
      </c>
      <c r="BT130" s="652">
        <f t="shared" ca="1" si="95"/>
        <v>0</v>
      </c>
      <c r="BU130" s="652">
        <f t="shared" ca="1" si="95"/>
        <v>10000</v>
      </c>
      <c r="BV130" s="652">
        <f t="shared" ca="1" si="95"/>
        <v>0</v>
      </c>
      <c r="BW130" s="652">
        <f t="shared" ca="1" si="95"/>
        <v>0</v>
      </c>
      <c r="BX130" s="652">
        <f t="shared" ca="1" si="95"/>
        <v>0</v>
      </c>
      <c r="BY130" s="652">
        <f t="shared" ca="1" si="95"/>
        <v>0</v>
      </c>
    </row>
    <row r="131" spans="1:77">
      <c r="A131" s="425" t="str">
        <f t="shared" ca="1" si="73"/>
        <v>Business RebatesKU-LED Troffer</v>
      </c>
      <c r="B131" s="1297" t="str">
        <f t="shared" si="101"/>
        <v>KUBusiness Rebates</v>
      </c>
      <c r="C131" s="662" t="s">
        <v>229</v>
      </c>
      <c r="D131" s="662" t="s">
        <v>63</v>
      </c>
      <c r="E131" s="652" t="str">
        <f t="shared" ca="1" si="99"/>
        <v>KU-LED Troffer</v>
      </c>
      <c r="F131" s="652" t="str">
        <f t="shared" ca="1" si="99"/>
        <v>Any LED lamps or ballasts must also be ENERGY STAR® certified or listed on the Design Lights Consortium (DLC) qualified list.</v>
      </c>
      <c r="G131" s="652" t="str">
        <f t="shared" ca="1" si="99"/>
        <v>Per Unit</v>
      </c>
      <c r="H131" s="652">
        <f t="shared" ca="1" si="100"/>
        <v>0.5</v>
      </c>
      <c r="I131" s="652">
        <f t="shared" ca="1" si="100"/>
        <v>0.5</v>
      </c>
      <c r="J131" s="652">
        <f t="shared" ca="1" si="100"/>
        <v>0.1</v>
      </c>
      <c r="K131" s="652">
        <f t="shared" ca="1" si="100"/>
        <v>0</v>
      </c>
      <c r="L131" s="652">
        <f t="shared" ca="1" si="100"/>
        <v>0</v>
      </c>
      <c r="M131" s="652">
        <f t="shared" ca="1" si="100"/>
        <v>0</v>
      </c>
      <c r="N131" s="652">
        <f t="shared" ca="1" si="100"/>
        <v>0</v>
      </c>
      <c r="O131" s="652">
        <f t="shared" ca="1" si="100"/>
        <v>33.5625</v>
      </c>
      <c r="P131" s="652">
        <f t="shared" ca="1" si="100"/>
        <v>33.5625</v>
      </c>
      <c r="Q131" s="652">
        <f t="shared" ca="1" si="100"/>
        <v>6.7125000000000004</v>
      </c>
      <c r="R131" s="652">
        <f t="shared" ca="1" si="100"/>
        <v>0</v>
      </c>
      <c r="S131" s="652">
        <f t="shared" ca="1" si="100"/>
        <v>0</v>
      </c>
      <c r="T131" s="652">
        <f t="shared" ca="1" si="100"/>
        <v>0</v>
      </c>
      <c r="U131" s="652">
        <f t="shared" ca="1" si="100"/>
        <v>0</v>
      </c>
      <c r="V131" s="652">
        <f t="shared" ca="1" si="97"/>
        <v>0</v>
      </c>
      <c r="W131" s="652">
        <f t="shared" ca="1" si="97"/>
        <v>0</v>
      </c>
      <c r="X131" s="652">
        <f t="shared" ca="1" si="97"/>
        <v>0</v>
      </c>
      <c r="Y131" s="652">
        <f t="shared" ca="1" si="97"/>
        <v>0</v>
      </c>
      <c r="Z131" s="652">
        <f t="shared" ca="1" si="97"/>
        <v>0</v>
      </c>
      <c r="AA131" s="652">
        <f t="shared" ca="1" si="97"/>
        <v>0</v>
      </c>
      <c r="AB131" s="652">
        <f t="shared" ca="1" si="97"/>
        <v>0</v>
      </c>
      <c r="AC131" s="652">
        <f t="shared" ca="1" si="97"/>
        <v>5</v>
      </c>
      <c r="AD131" s="652">
        <f t="shared" ca="1" si="97"/>
        <v>5</v>
      </c>
      <c r="AE131" s="652">
        <f t="shared" ca="1" si="97"/>
        <v>1</v>
      </c>
      <c r="AF131" s="652">
        <f t="shared" ca="1" si="97"/>
        <v>0</v>
      </c>
      <c r="AG131" s="652">
        <f t="shared" ca="1" si="97"/>
        <v>0</v>
      </c>
      <c r="AH131" s="652">
        <f t="shared" ca="1" si="97"/>
        <v>0</v>
      </c>
      <c r="AI131" s="652">
        <f t="shared" ca="1" si="98"/>
        <v>0</v>
      </c>
      <c r="AJ131" s="652">
        <f t="shared" ca="1" si="98"/>
        <v>57.294688932</v>
      </c>
      <c r="AK131" s="652">
        <f t="shared" ca="1" si="98"/>
        <v>57.294688932</v>
      </c>
      <c r="AL131" s="652">
        <f t="shared" ca="1" si="98"/>
        <v>11.4589377864</v>
      </c>
      <c r="AM131" s="652">
        <f t="shared" ca="1" si="98"/>
        <v>0</v>
      </c>
      <c r="AN131" s="652">
        <f t="shared" ca="1" si="98"/>
        <v>0</v>
      </c>
      <c r="AO131" s="652">
        <f t="shared" ca="1" si="98"/>
        <v>0</v>
      </c>
      <c r="AP131" s="652">
        <f t="shared" ca="1" si="98"/>
        <v>0</v>
      </c>
      <c r="AQ131" s="652">
        <f t="shared" ca="1" si="98"/>
        <v>1.36747871E-2</v>
      </c>
      <c r="AR131" s="652">
        <f t="shared" ca="1" si="98"/>
        <v>1.36747871E-2</v>
      </c>
      <c r="AS131" s="652">
        <f t="shared" ca="1" si="98"/>
        <v>2.7349574200000002E-3</v>
      </c>
      <c r="AT131" s="652">
        <f t="shared" ca="1" si="98"/>
        <v>0</v>
      </c>
      <c r="AU131" s="652">
        <f t="shared" ca="1" si="98"/>
        <v>0</v>
      </c>
      <c r="AV131" s="652">
        <f t="shared" ca="1" si="98"/>
        <v>0</v>
      </c>
      <c r="AW131" s="652">
        <f t="shared" ca="1" si="96"/>
        <v>0</v>
      </c>
      <c r="AX131" s="652">
        <f t="shared" ca="1" si="96"/>
        <v>0</v>
      </c>
      <c r="AY131" s="652">
        <f t="shared" ca="1" si="96"/>
        <v>0</v>
      </c>
      <c r="AZ131" s="652">
        <f t="shared" ca="1" si="96"/>
        <v>0</v>
      </c>
      <c r="BA131" s="652">
        <f t="shared" ca="1" si="96"/>
        <v>0</v>
      </c>
      <c r="BB131" s="652">
        <f t="shared" ca="1" si="96"/>
        <v>0</v>
      </c>
      <c r="BC131" s="652">
        <f t="shared" ca="1" si="96"/>
        <v>0</v>
      </c>
      <c r="BD131" s="652">
        <f t="shared" ca="1" si="96"/>
        <v>0</v>
      </c>
      <c r="BE131" s="652" t="str">
        <f t="shared" ca="1" si="95"/>
        <v>Commercial</v>
      </c>
      <c r="BF131" s="652" t="str">
        <f t="shared" ca="1" si="95"/>
        <v>OFFLGInLight</v>
      </c>
      <c r="BG131" s="652" t="str">
        <f t="shared" ca="1" si="95"/>
        <v>OFFSMGasHeat</v>
      </c>
      <c r="BH131" s="652" t="str">
        <f t="shared" ca="1" si="95"/>
        <v>KU NonRes</v>
      </c>
      <c r="BI131" s="652" t="str">
        <f t="shared" ca="1" si="95"/>
        <v>KU NonRes</v>
      </c>
      <c r="BJ131" s="652">
        <f t="shared" ca="1" si="95"/>
        <v>20</v>
      </c>
      <c r="BK131" s="652">
        <f t="shared" ca="1" si="95"/>
        <v>0</v>
      </c>
      <c r="BL131" s="652">
        <f t="shared" ca="1" si="94"/>
        <v>0</v>
      </c>
      <c r="BM131" s="652">
        <f t="shared" ca="1" si="94"/>
        <v>0</v>
      </c>
      <c r="BN131" s="652">
        <f t="shared" ca="1" si="94"/>
        <v>0</v>
      </c>
      <c r="BO131" s="652">
        <f t="shared" ca="1" si="94"/>
        <v>0</v>
      </c>
      <c r="BP131" s="652">
        <f t="shared" ca="1" si="94"/>
        <v>0</v>
      </c>
      <c r="BQ131" s="652">
        <f t="shared" ca="1" si="94"/>
        <v>0</v>
      </c>
      <c r="BR131" s="652">
        <f t="shared" ca="1" si="75"/>
        <v>1.1000000000000001</v>
      </c>
      <c r="BS131" s="652">
        <f t="shared" ca="1" si="96"/>
        <v>73.837500000000006</v>
      </c>
      <c r="BT131" s="652">
        <f t="shared" ca="1" si="95"/>
        <v>0</v>
      </c>
      <c r="BU131" s="652">
        <f t="shared" ca="1" si="95"/>
        <v>11</v>
      </c>
      <c r="BV131" s="652">
        <f t="shared" ca="1" si="95"/>
        <v>0</v>
      </c>
      <c r="BW131" s="652">
        <f t="shared" ca="1" si="95"/>
        <v>126.0483156504</v>
      </c>
      <c r="BX131" s="652">
        <f t="shared" ca="1" si="95"/>
        <v>3.008453162E-2</v>
      </c>
      <c r="BY131" s="652">
        <f t="shared" ca="1" si="95"/>
        <v>0</v>
      </c>
    </row>
    <row r="132" spans="1:77">
      <c r="A132" s="425" t="str">
        <f t="shared" ca="1" si="73"/>
        <v>Business RebatesKU-LED High Bay</v>
      </c>
      <c r="B132" s="1297" t="str">
        <f t="shared" si="101"/>
        <v>KUBusiness Rebates</v>
      </c>
      <c r="C132" s="662" t="s">
        <v>230</v>
      </c>
      <c r="D132" s="662" t="s">
        <v>63</v>
      </c>
      <c r="E132" s="652" t="str">
        <f t="shared" ca="1" si="99"/>
        <v>KU-LED High Bay</v>
      </c>
      <c r="F132" s="652" t="str">
        <f t="shared" ca="1" si="99"/>
        <v>Any LED lamps or ballasts must also be ENERGY STAR® certified or listed on the Design Lights Consortium (DLC) qualified list.</v>
      </c>
      <c r="G132" s="652" t="str">
        <f t="shared" ca="1" si="99"/>
        <v>Per Unit</v>
      </c>
      <c r="H132" s="652">
        <f t="shared" ca="1" si="100"/>
        <v>0</v>
      </c>
      <c r="I132" s="652">
        <f t="shared" ca="1" si="100"/>
        <v>0</v>
      </c>
      <c r="J132" s="652">
        <f t="shared" ca="1" si="100"/>
        <v>0</v>
      </c>
      <c r="K132" s="652">
        <f t="shared" ca="1" si="100"/>
        <v>0</v>
      </c>
      <c r="L132" s="652">
        <f t="shared" ca="1" si="100"/>
        <v>0</v>
      </c>
      <c r="M132" s="652">
        <f t="shared" ca="1" si="100"/>
        <v>0</v>
      </c>
      <c r="N132" s="652">
        <f t="shared" ca="1" si="100"/>
        <v>0</v>
      </c>
      <c r="O132" s="652">
        <f t="shared" ca="1" si="100"/>
        <v>0</v>
      </c>
      <c r="P132" s="652">
        <f t="shared" ca="1" si="100"/>
        <v>0</v>
      </c>
      <c r="Q132" s="652">
        <f t="shared" ca="1" si="100"/>
        <v>0</v>
      </c>
      <c r="R132" s="652">
        <f t="shared" ca="1" si="100"/>
        <v>0</v>
      </c>
      <c r="S132" s="652">
        <f t="shared" ca="1" si="100"/>
        <v>0</v>
      </c>
      <c r="T132" s="652">
        <f t="shared" ca="1" si="100"/>
        <v>0</v>
      </c>
      <c r="U132" s="652">
        <f t="shared" ca="1" si="100"/>
        <v>0</v>
      </c>
      <c r="V132" s="652">
        <f t="shared" ca="1" si="97"/>
        <v>0</v>
      </c>
      <c r="W132" s="652">
        <f t="shared" ca="1" si="97"/>
        <v>0</v>
      </c>
      <c r="X132" s="652">
        <f t="shared" ca="1" si="97"/>
        <v>0</v>
      </c>
      <c r="Y132" s="652">
        <f t="shared" ca="1" si="97"/>
        <v>0</v>
      </c>
      <c r="Z132" s="652">
        <f t="shared" ca="1" si="97"/>
        <v>0</v>
      </c>
      <c r="AA132" s="652">
        <f t="shared" ca="1" si="97"/>
        <v>0</v>
      </c>
      <c r="AB132" s="652">
        <f t="shared" ca="1" si="97"/>
        <v>0</v>
      </c>
      <c r="AC132" s="652">
        <f t="shared" ca="1" si="97"/>
        <v>0</v>
      </c>
      <c r="AD132" s="652">
        <f t="shared" ca="1" si="97"/>
        <v>0</v>
      </c>
      <c r="AE132" s="652">
        <f t="shared" ca="1" si="97"/>
        <v>0</v>
      </c>
      <c r="AF132" s="652">
        <f t="shared" ca="1" si="97"/>
        <v>0</v>
      </c>
      <c r="AG132" s="652">
        <f t="shared" ca="1" si="97"/>
        <v>0</v>
      </c>
      <c r="AH132" s="652">
        <f t="shared" ca="1" si="97"/>
        <v>0</v>
      </c>
      <c r="AI132" s="652">
        <f t="shared" ca="1" si="98"/>
        <v>0</v>
      </c>
      <c r="AJ132" s="652">
        <f t="shared" ca="1" si="98"/>
        <v>0</v>
      </c>
      <c r="AK132" s="652">
        <f t="shared" ca="1" si="98"/>
        <v>0</v>
      </c>
      <c r="AL132" s="652">
        <f t="shared" ca="1" si="98"/>
        <v>0</v>
      </c>
      <c r="AM132" s="652">
        <f t="shared" ca="1" si="98"/>
        <v>0</v>
      </c>
      <c r="AN132" s="652">
        <f t="shared" ca="1" si="98"/>
        <v>0</v>
      </c>
      <c r="AO132" s="652">
        <f t="shared" ca="1" si="98"/>
        <v>0</v>
      </c>
      <c r="AP132" s="652">
        <f t="shared" ca="1" si="98"/>
        <v>0</v>
      </c>
      <c r="AQ132" s="652">
        <f t="shared" ca="1" si="98"/>
        <v>0</v>
      </c>
      <c r="AR132" s="652">
        <f t="shared" ca="1" si="98"/>
        <v>0</v>
      </c>
      <c r="AS132" s="652">
        <f t="shared" ca="1" si="98"/>
        <v>0</v>
      </c>
      <c r="AT132" s="652">
        <f t="shared" ca="1" si="98"/>
        <v>0</v>
      </c>
      <c r="AU132" s="652">
        <f t="shared" ca="1" si="98"/>
        <v>0</v>
      </c>
      <c r="AV132" s="652">
        <f t="shared" ref="AV132:BW147" ca="1" si="102">VLOOKUP($C132,INDIRECT("'"&amp;$D132&amp;"'!A6:FR1000"),IF(AV$6="Participation 2023",MATCH("__Participation 2023",INDIRECT("'"&amp;$D132&amp;"'!1:1"),0),IF(AV$6="Participation",MATCH("_Total Plan Summary _Participation",INDIRECT("'"&amp;$D132&amp;"'!1:1"),0),MATCH(AV$4&amp;"_"&amp;AV$5&amp;"_"&amp;AV$6,INDIRECT("'"&amp;$D132&amp;"'!1:1"),0))),0)</f>
        <v>0</v>
      </c>
      <c r="AW132" s="652">
        <f t="shared" ca="1" si="102"/>
        <v>0</v>
      </c>
      <c r="AX132" s="652">
        <f t="shared" ca="1" si="102"/>
        <v>0</v>
      </c>
      <c r="AY132" s="652">
        <f t="shared" ca="1" si="102"/>
        <v>0</v>
      </c>
      <c r="AZ132" s="652">
        <f t="shared" ca="1" si="102"/>
        <v>0</v>
      </c>
      <c r="BA132" s="652">
        <f t="shared" ca="1" si="102"/>
        <v>0</v>
      </c>
      <c r="BB132" s="652">
        <f t="shared" ca="1" si="102"/>
        <v>0</v>
      </c>
      <c r="BC132" s="652">
        <f t="shared" ca="1" si="102"/>
        <v>0</v>
      </c>
      <c r="BD132" s="652">
        <f t="shared" ca="1" si="102"/>
        <v>0</v>
      </c>
      <c r="BE132" s="652" t="str">
        <f t="shared" ca="1" si="95"/>
        <v>Commercial</v>
      </c>
      <c r="BF132" s="652" t="str">
        <f t="shared" ca="1" si="95"/>
        <v>OFFLGInLight</v>
      </c>
      <c r="BG132" s="652" t="str">
        <f t="shared" ca="1" si="95"/>
        <v>OFFSMGasHeat</v>
      </c>
      <c r="BH132" s="652" t="str">
        <f t="shared" ca="1" si="95"/>
        <v>KU NonRes</v>
      </c>
      <c r="BI132" s="652" t="str">
        <f t="shared" ca="1" si="95"/>
        <v>KU NonRes</v>
      </c>
      <c r="BJ132" s="652">
        <f t="shared" ca="1" si="95"/>
        <v>20</v>
      </c>
      <c r="BK132" s="652">
        <f t="shared" ca="1" si="95"/>
        <v>0</v>
      </c>
      <c r="BL132" s="652">
        <f t="shared" ca="1" si="94"/>
        <v>0</v>
      </c>
      <c r="BM132" s="652">
        <f t="shared" ca="1" si="94"/>
        <v>0</v>
      </c>
      <c r="BN132" s="652">
        <f t="shared" ca="1" si="94"/>
        <v>0</v>
      </c>
      <c r="BO132" s="652">
        <f t="shared" ca="1" si="94"/>
        <v>0</v>
      </c>
      <c r="BP132" s="652">
        <f t="shared" ca="1" si="94"/>
        <v>0</v>
      </c>
      <c r="BQ132" s="652">
        <f t="shared" ca="1" si="94"/>
        <v>0</v>
      </c>
      <c r="BR132" s="652">
        <f t="shared" ca="1" si="75"/>
        <v>0</v>
      </c>
      <c r="BS132" s="652">
        <f t="shared" ca="1" si="102"/>
        <v>0</v>
      </c>
      <c r="BT132" s="652">
        <f t="shared" ca="1" si="102"/>
        <v>0</v>
      </c>
      <c r="BU132" s="652">
        <f t="shared" ca="1" si="102"/>
        <v>0</v>
      </c>
      <c r="BV132" s="652">
        <f t="shared" ca="1" si="102"/>
        <v>0</v>
      </c>
      <c r="BW132" s="652">
        <f t="shared" ca="1" si="102"/>
        <v>0</v>
      </c>
      <c r="BX132" s="652">
        <f t="shared" ca="1" si="95"/>
        <v>0</v>
      </c>
      <c r="BY132" s="652">
        <f t="shared" ca="1" si="95"/>
        <v>0</v>
      </c>
    </row>
    <row r="133" spans="1:77">
      <c r="A133" s="425" t="str">
        <f t="shared" ca="1" si="73"/>
        <v>Business RebatesKU-LED Tube</v>
      </c>
      <c r="B133" s="1297" t="str">
        <f t="shared" si="101"/>
        <v>KUBusiness Rebates</v>
      </c>
      <c r="C133" s="662" t="s">
        <v>231</v>
      </c>
      <c r="D133" s="662" t="s">
        <v>63</v>
      </c>
      <c r="E133" s="652" t="str">
        <f t="shared" ca="1" si="99"/>
        <v>KU-LED Tube</v>
      </c>
      <c r="F133" s="652" t="str">
        <f t="shared" ca="1" si="99"/>
        <v>Any LED lamps or ballasts must also be ENERGY STAR® certified or listed on the Design Lights Consortium (DLC) qualified list.</v>
      </c>
      <c r="G133" s="652" t="str">
        <f t="shared" ca="1" si="99"/>
        <v>Per Unit</v>
      </c>
      <c r="H133" s="652">
        <f t="shared" ca="1" si="100"/>
        <v>3035.5</v>
      </c>
      <c r="I133" s="652">
        <f t="shared" ca="1" si="100"/>
        <v>3035.5</v>
      </c>
      <c r="J133" s="652">
        <f t="shared" ca="1" si="100"/>
        <v>728.52</v>
      </c>
      <c r="K133" s="652">
        <f t="shared" ca="1" si="100"/>
        <v>0</v>
      </c>
      <c r="L133" s="652">
        <f t="shared" ca="1" si="100"/>
        <v>0</v>
      </c>
      <c r="M133" s="652">
        <f t="shared" ca="1" si="100"/>
        <v>0</v>
      </c>
      <c r="N133" s="652">
        <f t="shared" ca="1" si="100"/>
        <v>0</v>
      </c>
      <c r="O133" s="652">
        <f t="shared" ca="1" si="100"/>
        <v>91687.277500000011</v>
      </c>
      <c r="P133" s="652">
        <f t="shared" ca="1" si="100"/>
        <v>91687.277500000011</v>
      </c>
      <c r="Q133" s="652">
        <f t="shared" ca="1" si="100"/>
        <v>22004.946599999999</v>
      </c>
      <c r="R133" s="652">
        <f t="shared" ca="1" si="100"/>
        <v>0</v>
      </c>
      <c r="S133" s="652">
        <f t="shared" ca="1" si="100"/>
        <v>0</v>
      </c>
      <c r="T133" s="652">
        <f t="shared" ca="1" si="100"/>
        <v>0</v>
      </c>
      <c r="U133" s="652">
        <f t="shared" ref="U133:AH148" ca="1" si="103">VLOOKUP($C133,INDIRECT("'"&amp;$D133&amp;"'!A6:FR1000"),IF(U$6="Participation 2023",MATCH("__Participation 2023",INDIRECT("'"&amp;$D133&amp;"'!1:1"),0),IF(U$6="Participation",MATCH("_Total Plan Summary _Participation",INDIRECT("'"&amp;$D133&amp;"'!1:1"),0),MATCH(U$4&amp;"_"&amp;U$5&amp;"_"&amp;U$6,INDIRECT("'"&amp;$D133&amp;"'!1:1"),0))),0)</f>
        <v>0</v>
      </c>
      <c r="V133" s="652">
        <f t="shared" ca="1" si="103"/>
        <v>0</v>
      </c>
      <c r="W133" s="652">
        <f t="shared" ca="1" si="103"/>
        <v>0</v>
      </c>
      <c r="X133" s="652">
        <f t="shared" ca="1" si="103"/>
        <v>0</v>
      </c>
      <c r="Y133" s="652">
        <f t="shared" ca="1" si="103"/>
        <v>0</v>
      </c>
      <c r="Z133" s="652">
        <f t="shared" ca="1" si="103"/>
        <v>0</v>
      </c>
      <c r="AA133" s="652">
        <f t="shared" ca="1" si="103"/>
        <v>0</v>
      </c>
      <c r="AB133" s="652">
        <f t="shared" ca="1" si="103"/>
        <v>0</v>
      </c>
      <c r="AC133" s="652">
        <f t="shared" ca="1" si="103"/>
        <v>9106.5</v>
      </c>
      <c r="AD133" s="652">
        <f t="shared" ca="1" si="103"/>
        <v>9106.5</v>
      </c>
      <c r="AE133" s="652">
        <f t="shared" ca="1" si="103"/>
        <v>2185.56</v>
      </c>
      <c r="AF133" s="652">
        <f t="shared" ca="1" si="103"/>
        <v>0</v>
      </c>
      <c r="AG133" s="652">
        <f t="shared" ca="1" si="103"/>
        <v>0</v>
      </c>
      <c r="AH133" s="652">
        <f t="shared" ca="1" si="103"/>
        <v>0</v>
      </c>
      <c r="AI133" s="652">
        <f t="shared" ref="AI133:AV148" ca="1" si="104">VLOOKUP($C133,INDIRECT("'"&amp;$D133&amp;"'!A6:FR1000"),IF(AI$6="Participation 2023",MATCH("__Participation 2023",INDIRECT("'"&amp;$D133&amp;"'!1:1"),0),IF(AI$6="Participation",MATCH("_Total Plan Summary _Participation",INDIRECT("'"&amp;$D133&amp;"'!1:1"),0),MATCH(AI$4&amp;"_"&amp;AI$5&amp;"_"&amp;AI$6,INDIRECT("'"&amp;$D133&amp;"'!1:1"),0))),0)</f>
        <v>0</v>
      </c>
      <c r="AJ133" s="652">
        <f t="shared" ca="1" si="104"/>
        <v>119864.30624999999</v>
      </c>
      <c r="AK133" s="652">
        <f t="shared" ca="1" si="104"/>
        <v>119864.30624999999</v>
      </c>
      <c r="AL133" s="652">
        <f t="shared" ca="1" si="104"/>
        <v>28767.433499999996</v>
      </c>
      <c r="AM133" s="652">
        <f t="shared" ca="1" si="104"/>
        <v>0</v>
      </c>
      <c r="AN133" s="652">
        <f t="shared" ca="1" si="104"/>
        <v>0</v>
      </c>
      <c r="AO133" s="652">
        <f t="shared" ca="1" si="104"/>
        <v>0</v>
      </c>
      <c r="AP133" s="652">
        <f t="shared" ca="1" si="104"/>
        <v>0</v>
      </c>
      <c r="AQ133" s="652">
        <f t="shared" ca="1" si="104"/>
        <v>18.497578125</v>
      </c>
      <c r="AR133" s="652">
        <f t="shared" ca="1" si="104"/>
        <v>18.497578125</v>
      </c>
      <c r="AS133" s="652">
        <f t="shared" ca="1" si="104"/>
        <v>4.4394187499999997</v>
      </c>
      <c r="AT133" s="652">
        <f t="shared" ca="1" si="104"/>
        <v>0</v>
      </c>
      <c r="AU133" s="652">
        <f t="shared" ca="1" si="104"/>
        <v>0</v>
      </c>
      <c r="AV133" s="652">
        <f t="shared" ca="1" si="104"/>
        <v>0</v>
      </c>
      <c r="AW133" s="652">
        <f t="shared" ca="1" si="102"/>
        <v>0</v>
      </c>
      <c r="AX133" s="652">
        <f t="shared" ca="1" si="102"/>
        <v>0</v>
      </c>
      <c r="AY133" s="652">
        <f t="shared" ca="1" si="102"/>
        <v>0</v>
      </c>
      <c r="AZ133" s="652">
        <f t="shared" ca="1" si="102"/>
        <v>0</v>
      </c>
      <c r="BA133" s="652">
        <f t="shared" ca="1" si="102"/>
        <v>0</v>
      </c>
      <c r="BB133" s="652">
        <f t="shared" ca="1" si="102"/>
        <v>0</v>
      </c>
      <c r="BC133" s="652">
        <f t="shared" ca="1" si="102"/>
        <v>0</v>
      </c>
      <c r="BD133" s="652">
        <f t="shared" ca="1" si="102"/>
        <v>0</v>
      </c>
      <c r="BE133" s="652" t="str">
        <f t="shared" ca="1" si="95"/>
        <v>Commercial</v>
      </c>
      <c r="BF133" s="652" t="str">
        <f t="shared" ca="1" si="95"/>
        <v>OFFLGInLight</v>
      </c>
      <c r="BG133" s="652" t="str">
        <f t="shared" ca="1" si="95"/>
        <v>OFFSMGasHeat</v>
      </c>
      <c r="BH133" s="652" t="str">
        <f t="shared" ca="1" si="95"/>
        <v>KU NonRes</v>
      </c>
      <c r="BI133" s="652" t="str">
        <f t="shared" ca="1" si="95"/>
        <v>KU NonRes</v>
      </c>
      <c r="BJ133" s="652">
        <f t="shared" ca="1" si="95"/>
        <v>20</v>
      </c>
      <c r="BK133" s="652">
        <f t="shared" ca="1" si="95"/>
        <v>0</v>
      </c>
      <c r="BL133" s="652">
        <f t="shared" ca="1" si="94"/>
        <v>0</v>
      </c>
      <c r="BM133" s="652">
        <f t="shared" ca="1" si="94"/>
        <v>0</v>
      </c>
      <c r="BN133" s="652">
        <f t="shared" ca="1" si="94"/>
        <v>0</v>
      </c>
      <c r="BO133" s="652">
        <f t="shared" ca="1" si="94"/>
        <v>0</v>
      </c>
      <c r="BP133" s="652">
        <f t="shared" ca="1" si="94"/>
        <v>0</v>
      </c>
      <c r="BQ133" s="652">
        <f t="shared" ca="1" si="94"/>
        <v>0</v>
      </c>
      <c r="BR133" s="652">
        <f t="shared" ca="1" si="75"/>
        <v>6799.52</v>
      </c>
      <c r="BS133" s="652">
        <f t="shared" ca="1" si="102"/>
        <v>205379.50160000002</v>
      </c>
      <c r="BT133" s="652">
        <f t="shared" ca="1" si="102"/>
        <v>0</v>
      </c>
      <c r="BU133" s="652">
        <f t="shared" ca="1" si="102"/>
        <v>20398.560000000001</v>
      </c>
      <c r="BV133" s="652">
        <f t="shared" ca="1" si="102"/>
        <v>0</v>
      </c>
      <c r="BW133" s="652">
        <f t="shared" ca="1" si="102"/>
        <v>268496.04599999997</v>
      </c>
      <c r="BX133" s="652">
        <f t="shared" ca="1" si="95"/>
        <v>41.434575000000002</v>
      </c>
      <c r="BY133" s="652">
        <f t="shared" ca="1" si="95"/>
        <v>0</v>
      </c>
    </row>
    <row r="134" spans="1:77">
      <c r="A134" s="425" t="str">
        <f t="shared" ca="1" si="73"/>
        <v>Business RebatesKU-Interior ≤ 10W</v>
      </c>
      <c r="B134" s="1297" t="str">
        <f t="shared" si="101"/>
        <v>KUBusiness Rebates</v>
      </c>
      <c r="C134" s="662" t="s">
        <v>232</v>
      </c>
      <c r="D134" s="662" t="s">
        <v>63</v>
      </c>
      <c r="E134" s="652" t="str">
        <f t="shared" ref="E134:G150" ca="1" si="105">VLOOKUP($C134,INDIRECT("'"&amp;$D134&amp;"'!A6:FC1000"),IF(E$6="Participation 2023",MATCH("__Participation 2023",INDIRECT("'"&amp;$D134&amp;"'!1:1"),0),IF(E$6="Participation",MATCH("_Total Plan Summary _Participation",INDIRECT("'"&amp;$D134&amp;"'!1:1"),0),MATCH(E$4&amp;"_"&amp;E$5&amp;"_"&amp;E$6,INDIRECT("'"&amp;$D134&amp;"'!1:1"),0))),0)</f>
        <v>KU-Interior ≤ 10W</v>
      </c>
      <c r="F134" s="652" t="str">
        <f t="shared" ca="1" si="105"/>
        <v>Any LED lamps or ballasts must also be ENERGY STAR® certified or listed on the Design Lights Consortium (DLC) qualified list.</v>
      </c>
      <c r="G134" s="652" t="str">
        <f t="shared" ca="1" si="105"/>
        <v>Per Unit</v>
      </c>
      <c r="H134" s="652">
        <f t="shared" ref="H134:U149" ca="1" si="106">VLOOKUP($C134,INDIRECT("'"&amp;$D134&amp;"'!A6:FR1000"),IF(H$6="Participation 2023",MATCH("__Participation 2023",INDIRECT("'"&amp;$D134&amp;"'!1:1"),0),IF(H$6="Participation",MATCH("_Total Plan Summary _Participation",INDIRECT("'"&amp;$D134&amp;"'!1:1"),0),MATCH(H$4&amp;"_"&amp;H$5&amp;"_"&amp;H$6,INDIRECT("'"&amp;$D134&amp;"'!1:1"),0))),0)</f>
        <v>7365.5</v>
      </c>
      <c r="I134" s="652">
        <f t="shared" ca="1" si="106"/>
        <v>7365.5</v>
      </c>
      <c r="J134" s="652">
        <f t="shared" ca="1" si="106"/>
        <v>1767.7200000000003</v>
      </c>
      <c r="K134" s="652">
        <f t="shared" ca="1" si="106"/>
        <v>0</v>
      </c>
      <c r="L134" s="652">
        <f t="shared" ca="1" si="106"/>
        <v>0</v>
      </c>
      <c r="M134" s="652">
        <f t="shared" ca="1" si="106"/>
        <v>0</v>
      </c>
      <c r="N134" s="652">
        <f t="shared" ca="1" si="106"/>
        <v>0</v>
      </c>
      <c r="O134" s="652">
        <f t="shared" ca="1" si="106"/>
        <v>265158</v>
      </c>
      <c r="P134" s="652">
        <f t="shared" ca="1" si="106"/>
        <v>265158</v>
      </c>
      <c r="Q134" s="652">
        <f t="shared" ca="1" si="106"/>
        <v>63637.920000000013</v>
      </c>
      <c r="R134" s="652">
        <f t="shared" ca="1" si="106"/>
        <v>0</v>
      </c>
      <c r="S134" s="652">
        <f t="shared" ca="1" si="106"/>
        <v>0</v>
      </c>
      <c r="T134" s="652">
        <f t="shared" ca="1" si="106"/>
        <v>0</v>
      </c>
      <c r="U134" s="652">
        <f t="shared" ca="1" si="106"/>
        <v>0</v>
      </c>
      <c r="V134" s="652">
        <f t="shared" ca="1" si="103"/>
        <v>0</v>
      </c>
      <c r="W134" s="652">
        <f t="shared" ca="1" si="103"/>
        <v>0</v>
      </c>
      <c r="X134" s="652">
        <f t="shared" ca="1" si="103"/>
        <v>0</v>
      </c>
      <c r="Y134" s="652">
        <f t="shared" ca="1" si="103"/>
        <v>0</v>
      </c>
      <c r="Z134" s="652">
        <f t="shared" ca="1" si="103"/>
        <v>0</v>
      </c>
      <c r="AA134" s="652">
        <f t="shared" ca="1" si="103"/>
        <v>0</v>
      </c>
      <c r="AB134" s="652">
        <f t="shared" ca="1" si="103"/>
        <v>0</v>
      </c>
      <c r="AC134" s="652">
        <f t="shared" ca="1" si="103"/>
        <v>36827.5</v>
      </c>
      <c r="AD134" s="652">
        <f t="shared" ca="1" si="103"/>
        <v>36827.5</v>
      </c>
      <c r="AE134" s="652">
        <f t="shared" ca="1" si="103"/>
        <v>8838.6000000000022</v>
      </c>
      <c r="AF134" s="652">
        <f t="shared" ca="1" si="103"/>
        <v>0</v>
      </c>
      <c r="AG134" s="652">
        <f t="shared" ca="1" si="103"/>
        <v>0</v>
      </c>
      <c r="AH134" s="652">
        <f t="shared" ca="1" si="103"/>
        <v>0</v>
      </c>
      <c r="AI134" s="652">
        <f t="shared" ca="1" si="104"/>
        <v>0</v>
      </c>
      <c r="AJ134" s="652">
        <f t="shared" ca="1" si="104"/>
        <v>1230976.9698787155</v>
      </c>
      <c r="AK134" s="652">
        <f t="shared" ca="1" si="104"/>
        <v>1230976.9698787155</v>
      </c>
      <c r="AL134" s="652">
        <f t="shared" ca="1" si="104"/>
        <v>295434.47277089173</v>
      </c>
      <c r="AM134" s="652">
        <f t="shared" ca="1" si="104"/>
        <v>0</v>
      </c>
      <c r="AN134" s="652">
        <f t="shared" ca="1" si="104"/>
        <v>0</v>
      </c>
      <c r="AO134" s="652">
        <f t="shared" ca="1" si="104"/>
        <v>0</v>
      </c>
      <c r="AP134" s="652">
        <f t="shared" ca="1" si="104"/>
        <v>0</v>
      </c>
      <c r="AQ134" s="652">
        <f t="shared" ca="1" si="104"/>
        <v>283.92183871681982</v>
      </c>
      <c r="AR134" s="652">
        <f t="shared" ca="1" si="104"/>
        <v>283.92183871681982</v>
      </c>
      <c r="AS134" s="652">
        <f t="shared" ca="1" si="104"/>
        <v>68.141241292036767</v>
      </c>
      <c r="AT134" s="652">
        <f t="shared" ca="1" si="104"/>
        <v>0</v>
      </c>
      <c r="AU134" s="652">
        <f t="shared" ca="1" si="104"/>
        <v>0</v>
      </c>
      <c r="AV134" s="652">
        <f t="shared" ca="1" si="104"/>
        <v>0</v>
      </c>
      <c r="AW134" s="652">
        <f t="shared" ca="1" si="102"/>
        <v>0</v>
      </c>
      <c r="AX134" s="652">
        <f t="shared" ca="1" si="102"/>
        <v>0</v>
      </c>
      <c r="AY134" s="652">
        <f t="shared" ca="1" si="102"/>
        <v>0</v>
      </c>
      <c r="AZ134" s="652">
        <f t="shared" ca="1" si="102"/>
        <v>0</v>
      </c>
      <c r="BA134" s="652">
        <f t="shared" ca="1" si="102"/>
        <v>0</v>
      </c>
      <c r="BB134" s="652">
        <f t="shared" ca="1" si="102"/>
        <v>0</v>
      </c>
      <c r="BC134" s="652">
        <f t="shared" ca="1" si="102"/>
        <v>0</v>
      </c>
      <c r="BD134" s="652">
        <f t="shared" ca="1" si="102"/>
        <v>0</v>
      </c>
      <c r="BE134" s="652" t="str">
        <f t="shared" ca="1" si="95"/>
        <v>Commercial</v>
      </c>
      <c r="BF134" s="652" t="str">
        <f t="shared" ca="1" si="95"/>
        <v>OFFLGInLight</v>
      </c>
      <c r="BG134" s="652" t="str">
        <f t="shared" ca="1" si="95"/>
        <v>OFFSMGasHeat</v>
      </c>
      <c r="BH134" s="652" t="str">
        <f t="shared" ca="1" si="95"/>
        <v>KU NonRes</v>
      </c>
      <c r="BI134" s="652" t="str">
        <f t="shared" ca="1" si="95"/>
        <v>KU NonRes</v>
      </c>
      <c r="BJ134" s="652">
        <f t="shared" ca="1" si="95"/>
        <v>12</v>
      </c>
      <c r="BK134" s="652">
        <f t="shared" ca="1" si="95"/>
        <v>0</v>
      </c>
      <c r="BL134" s="652">
        <f t="shared" ca="1" si="94"/>
        <v>0</v>
      </c>
      <c r="BM134" s="652">
        <f t="shared" ca="1" si="94"/>
        <v>0</v>
      </c>
      <c r="BN134" s="652">
        <f t="shared" ca="1" si="94"/>
        <v>0</v>
      </c>
      <c r="BO134" s="652">
        <f t="shared" ca="1" si="94"/>
        <v>0</v>
      </c>
      <c r="BP134" s="652">
        <f t="shared" ca="1" si="94"/>
        <v>0</v>
      </c>
      <c r="BQ134" s="652">
        <f t="shared" ca="1" si="94"/>
        <v>0</v>
      </c>
      <c r="BR134" s="652">
        <f t="shared" ca="1" si="75"/>
        <v>16498.72</v>
      </c>
      <c r="BS134" s="652">
        <f t="shared" ca="1" si="102"/>
        <v>593953.92000000004</v>
      </c>
      <c r="BT134" s="652">
        <f t="shared" ca="1" si="102"/>
        <v>0</v>
      </c>
      <c r="BU134" s="652">
        <f t="shared" ca="1" si="102"/>
        <v>82493.600000000006</v>
      </c>
      <c r="BV134" s="652">
        <f t="shared" ca="1" si="102"/>
        <v>0</v>
      </c>
      <c r="BW134" s="652">
        <f t="shared" ca="1" si="102"/>
        <v>2757388.4125283225</v>
      </c>
      <c r="BX134" s="652">
        <f t="shared" ca="1" si="95"/>
        <v>635.98491872567638</v>
      </c>
      <c r="BY134" s="652">
        <f t="shared" ca="1" si="95"/>
        <v>0</v>
      </c>
    </row>
    <row r="135" spans="1:77">
      <c r="A135" s="425" t="str">
        <f t="shared" ca="1" si="73"/>
        <v>Business RebatesKU-Interior &gt; 10W and &lt; 50W</v>
      </c>
      <c r="B135" s="1297" t="str">
        <f t="shared" si="101"/>
        <v>KUBusiness Rebates</v>
      </c>
      <c r="C135" s="662" t="s">
        <v>233</v>
      </c>
      <c r="D135" s="662" t="s">
        <v>63</v>
      </c>
      <c r="E135" s="652" t="str">
        <f t="shared" ca="1" si="105"/>
        <v>KU-Interior &gt; 10W and &lt; 50W</v>
      </c>
      <c r="F135" s="652" t="str">
        <f t="shared" ca="1" si="105"/>
        <v>Any LED lamps or ballasts must also be ENERGY STAR® certified or listed on the Design Lights Consortium (DLC) qualified list.</v>
      </c>
      <c r="G135" s="652" t="str">
        <f t="shared" ca="1" si="105"/>
        <v>Per Unit</v>
      </c>
      <c r="H135" s="652">
        <f t="shared" ca="1" si="106"/>
        <v>98232</v>
      </c>
      <c r="I135" s="652">
        <f t="shared" ca="1" si="106"/>
        <v>98232</v>
      </c>
      <c r="J135" s="652">
        <f t="shared" ca="1" si="106"/>
        <v>23575.68</v>
      </c>
      <c r="K135" s="652">
        <f t="shared" ca="1" si="106"/>
        <v>0</v>
      </c>
      <c r="L135" s="652">
        <f t="shared" ca="1" si="106"/>
        <v>0</v>
      </c>
      <c r="M135" s="652">
        <f t="shared" ca="1" si="106"/>
        <v>0</v>
      </c>
      <c r="N135" s="652">
        <f t="shared" ca="1" si="106"/>
        <v>0</v>
      </c>
      <c r="O135" s="652">
        <f t="shared" ca="1" si="106"/>
        <v>3564418.2857142854</v>
      </c>
      <c r="P135" s="652">
        <f t="shared" ca="1" si="106"/>
        <v>3564418.2857142854</v>
      </c>
      <c r="Q135" s="652">
        <f t="shared" ca="1" si="106"/>
        <v>855460.3885714286</v>
      </c>
      <c r="R135" s="652">
        <f t="shared" ca="1" si="106"/>
        <v>0</v>
      </c>
      <c r="S135" s="652">
        <f t="shared" ca="1" si="106"/>
        <v>0</v>
      </c>
      <c r="T135" s="652">
        <f t="shared" ca="1" si="106"/>
        <v>0</v>
      </c>
      <c r="U135" s="652">
        <f t="shared" ca="1" si="106"/>
        <v>0</v>
      </c>
      <c r="V135" s="652">
        <f t="shared" ca="1" si="103"/>
        <v>0</v>
      </c>
      <c r="W135" s="652">
        <f t="shared" ca="1" si="103"/>
        <v>0</v>
      </c>
      <c r="X135" s="652">
        <f t="shared" ca="1" si="103"/>
        <v>0</v>
      </c>
      <c r="Y135" s="652">
        <f t="shared" ca="1" si="103"/>
        <v>0</v>
      </c>
      <c r="Z135" s="652">
        <f t="shared" ca="1" si="103"/>
        <v>0</v>
      </c>
      <c r="AA135" s="652">
        <f t="shared" ca="1" si="103"/>
        <v>0</v>
      </c>
      <c r="AB135" s="652">
        <f t="shared" ca="1" si="103"/>
        <v>0</v>
      </c>
      <c r="AC135" s="652">
        <f t="shared" ca="1" si="103"/>
        <v>491160</v>
      </c>
      <c r="AD135" s="652">
        <f t="shared" ca="1" si="103"/>
        <v>491160</v>
      </c>
      <c r="AE135" s="652">
        <f t="shared" ca="1" si="103"/>
        <v>117878.39999999999</v>
      </c>
      <c r="AF135" s="652">
        <f t="shared" ca="1" si="103"/>
        <v>0</v>
      </c>
      <c r="AG135" s="652">
        <f t="shared" ca="1" si="103"/>
        <v>0</v>
      </c>
      <c r="AH135" s="652">
        <f t="shared" ca="1" si="103"/>
        <v>0</v>
      </c>
      <c r="AI135" s="652">
        <f t="shared" ca="1" si="104"/>
        <v>0</v>
      </c>
      <c r="AJ135" s="652">
        <f t="shared" ca="1" si="104"/>
        <v>12683724.278762713</v>
      </c>
      <c r="AK135" s="652">
        <f t="shared" ca="1" si="104"/>
        <v>12683724.278762713</v>
      </c>
      <c r="AL135" s="652">
        <f t="shared" ca="1" si="104"/>
        <v>3044093.8269030512</v>
      </c>
      <c r="AM135" s="652">
        <f t="shared" ca="1" si="104"/>
        <v>0</v>
      </c>
      <c r="AN135" s="652">
        <f t="shared" ca="1" si="104"/>
        <v>0</v>
      </c>
      <c r="AO135" s="652">
        <f t="shared" ca="1" si="104"/>
        <v>0</v>
      </c>
      <c r="AP135" s="652">
        <f t="shared" ca="1" si="104"/>
        <v>0</v>
      </c>
      <c r="AQ135" s="652">
        <f t="shared" ca="1" si="104"/>
        <v>6134.3227624744068</v>
      </c>
      <c r="AR135" s="652">
        <f t="shared" ca="1" si="104"/>
        <v>6134.3227624744068</v>
      </c>
      <c r="AS135" s="652">
        <f t="shared" ca="1" si="104"/>
        <v>1472.2374629938577</v>
      </c>
      <c r="AT135" s="652">
        <f t="shared" ca="1" si="104"/>
        <v>0</v>
      </c>
      <c r="AU135" s="652">
        <f t="shared" ca="1" si="104"/>
        <v>0</v>
      </c>
      <c r="AV135" s="652">
        <f t="shared" ca="1" si="104"/>
        <v>0</v>
      </c>
      <c r="AW135" s="652">
        <f t="shared" ca="1" si="102"/>
        <v>0</v>
      </c>
      <c r="AX135" s="652">
        <f t="shared" ca="1" si="102"/>
        <v>0</v>
      </c>
      <c r="AY135" s="652">
        <f t="shared" ca="1" si="102"/>
        <v>0</v>
      </c>
      <c r="AZ135" s="652">
        <f t="shared" ca="1" si="102"/>
        <v>0</v>
      </c>
      <c r="BA135" s="652">
        <f t="shared" ca="1" si="102"/>
        <v>0</v>
      </c>
      <c r="BB135" s="652">
        <f t="shared" ca="1" si="102"/>
        <v>0</v>
      </c>
      <c r="BC135" s="652">
        <f t="shared" ca="1" si="102"/>
        <v>0</v>
      </c>
      <c r="BD135" s="652">
        <f t="shared" ca="1" si="102"/>
        <v>0</v>
      </c>
      <c r="BE135" s="652" t="str">
        <f t="shared" ca="1" si="95"/>
        <v>Commercial</v>
      </c>
      <c r="BF135" s="652" t="str">
        <f t="shared" ca="1" si="95"/>
        <v>OFFLGInLight</v>
      </c>
      <c r="BG135" s="652" t="str">
        <f t="shared" ca="1" si="95"/>
        <v>OFFSMGasHeat</v>
      </c>
      <c r="BH135" s="652" t="str">
        <f t="shared" ca="1" si="95"/>
        <v>KU NonRes</v>
      </c>
      <c r="BI135" s="652" t="str">
        <f t="shared" ca="1" si="95"/>
        <v>KU NonRes</v>
      </c>
      <c r="BJ135" s="652">
        <f t="shared" ca="1" si="95"/>
        <v>12</v>
      </c>
      <c r="BK135" s="652">
        <f t="shared" ca="1" si="95"/>
        <v>0</v>
      </c>
      <c r="BL135" s="652">
        <f t="shared" ca="1" si="94"/>
        <v>0</v>
      </c>
      <c r="BM135" s="652">
        <f t="shared" ca="1" si="94"/>
        <v>0</v>
      </c>
      <c r="BN135" s="652">
        <f t="shared" ca="1" si="94"/>
        <v>0</v>
      </c>
      <c r="BO135" s="652">
        <f t="shared" ca="1" si="94"/>
        <v>0</v>
      </c>
      <c r="BP135" s="652">
        <f t="shared" ca="1" si="94"/>
        <v>0</v>
      </c>
      <c r="BQ135" s="652">
        <f t="shared" ca="1" si="94"/>
        <v>0</v>
      </c>
      <c r="BR135" s="652">
        <f t="shared" ca="1" si="75"/>
        <v>220039.67999999999</v>
      </c>
      <c r="BS135" s="652">
        <f t="shared" ca="1" si="102"/>
        <v>7984296.959999999</v>
      </c>
      <c r="BT135" s="652">
        <f t="shared" ca="1" si="102"/>
        <v>0</v>
      </c>
      <c r="BU135" s="652">
        <f t="shared" ca="1" si="102"/>
        <v>1100198.3999999999</v>
      </c>
      <c r="BV135" s="652">
        <f t="shared" ca="1" si="102"/>
        <v>0</v>
      </c>
      <c r="BW135" s="652">
        <f t="shared" ca="1" si="102"/>
        <v>28411542.384428479</v>
      </c>
      <c r="BX135" s="652">
        <f t="shared" ca="1" si="95"/>
        <v>13740.88298794267</v>
      </c>
      <c r="BY135" s="652">
        <f t="shared" ca="1" si="95"/>
        <v>0</v>
      </c>
    </row>
    <row r="136" spans="1:77">
      <c r="A136" s="425" t="str">
        <f t="shared" ca="1" si="73"/>
        <v>Business RebatesKU-Interior ≥ 50W</v>
      </c>
      <c r="B136" s="1297" t="str">
        <f t="shared" si="101"/>
        <v>KUBusiness Rebates</v>
      </c>
      <c r="C136" s="662" t="s">
        <v>234</v>
      </c>
      <c r="D136" s="662" t="s">
        <v>63</v>
      </c>
      <c r="E136" s="652" t="str">
        <f t="shared" ca="1" si="105"/>
        <v>KU-Interior ≥ 50W</v>
      </c>
      <c r="F136" s="652" t="str">
        <f t="shared" ca="1" si="105"/>
        <v>Any LED lamps or ballasts must also be ENERGY STAR® certified or listed on the Design Lights Consortium (DLC) qualified list.</v>
      </c>
      <c r="G136" s="652" t="str">
        <f t="shared" ca="1" si="105"/>
        <v>Per Unit</v>
      </c>
      <c r="H136" s="652">
        <f t="shared" ca="1" si="106"/>
        <v>12185</v>
      </c>
      <c r="I136" s="652">
        <f t="shared" ca="1" si="106"/>
        <v>12185</v>
      </c>
      <c r="J136" s="652">
        <f t="shared" ca="1" si="106"/>
        <v>2924.4</v>
      </c>
      <c r="K136" s="652">
        <f t="shared" ca="1" si="106"/>
        <v>0</v>
      </c>
      <c r="L136" s="652">
        <f t="shared" ca="1" si="106"/>
        <v>0</v>
      </c>
      <c r="M136" s="652">
        <f t="shared" ca="1" si="106"/>
        <v>0</v>
      </c>
      <c r="N136" s="652">
        <f t="shared" ca="1" si="106"/>
        <v>0</v>
      </c>
      <c r="O136" s="652">
        <f t="shared" ca="1" si="106"/>
        <v>1852120</v>
      </c>
      <c r="P136" s="652">
        <f t="shared" ca="1" si="106"/>
        <v>1852120</v>
      </c>
      <c r="Q136" s="652">
        <f t="shared" ca="1" si="106"/>
        <v>444508.8</v>
      </c>
      <c r="R136" s="652">
        <f t="shared" ca="1" si="106"/>
        <v>0</v>
      </c>
      <c r="S136" s="652">
        <f t="shared" ca="1" si="106"/>
        <v>0</v>
      </c>
      <c r="T136" s="652">
        <f t="shared" ca="1" si="106"/>
        <v>0</v>
      </c>
      <c r="U136" s="652">
        <f t="shared" ca="1" si="106"/>
        <v>0</v>
      </c>
      <c r="V136" s="652">
        <f t="shared" ca="1" si="103"/>
        <v>0</v>
      </c>
      <c r="W136" s="652">
        <f t="shared" ca="1" si="103"/>
        <v>0</v>
      </c>
      <c r="X136" s="652">
        <f t="shared" ca="1" si="103"/>
        <v>0</v>
      </c>
      <c r="Y136" s="652">
        <f t="shared" ca="1" si="103"/>
        <v>0</v>
      </c>
      <c r="Z136" s="652">
        <f t="shared" ca="1" si="103"/>
        <v>0</v>
      </c>
      <c r="AA136" s="652">
        <f t="shared" ca="1" si="103"/>
        <v>0</v>
      </c>
      <c r="AB136" s="652">
        <f t="shared" ca="1" si="103"/>
        <v>0</v>
      </c>
      <c r="AC136" s="652">
        <f t="shared" ca="1" si="103"/>
        <v>73110</v>
      </c>
      <c r="AD136" s="652">
        <f t="shared" ca="1" si="103"/>
        <v>73110</v>
      </c>
      <c r="AE136" s="652">
        <f t="shared" ca="1" si="103"/>
        <v>17546.400000000001</v>
      </c>
      <c r="AF136" s="652">
        <f t="shared" ca="1" si="103"/>
        <v>0</v>
      </c>
      <c r="AG136" s="652">
        <f t="shared" ca="1" si="103"/>
        <v>0</v>
      </c>
      <c r="AH136" s="652">
        <f t="shared" ca="1" si="103"/>
        <v>0</v>
      </c>
      <c r="AI136" s="652">
        <f t="shared" ca="1" si="104"/>
        <v>0</v>
      </c>
      <c r="AJ136" s="652">
        <f t="shared" ca="1" si="104"/>
        <v>2538760.0450853533</v>
      </c>
      <c r="AK136" s="652">
        <f t="shared" ca="1" si="104"/>
        <v>2538760.0450853533</v>
      </c>
      <c r="AL136" s="652">
        <f t="shared" ca="1" si="104"/>
        <v>609302.41082048486</v>
      </c>
      <c r="AM136" s="652">
        <f t="shared" ca="1" si="104"/>
        <v>0</v>
      </c>
      <c r="AN136" s="652">
        <f t="shared" ca="1" si="104"/>
        <v>0</v>
      </c>
      <c r="AO136" s="652">
        <f t="shared" ca="1" si="104"/>
        <v>0</v>
      </c>
      <c r="AP136" s="652">
        <f t="shared" ca="1" si="104"/>
        <v>0</v>
      </c>
      <c r="AQ136" s="652">
        <f t="shared" ca="1" si="104"/>
        <v>540.87477058528748</v>
      </c>
      <c r="AR136" s="652">
        <f t="shared" ca="1" si="104"/>
        <v>540.87477058528748</v>
      </c>
      <c r="AS136" s="652">
        <f t="shared" ca="1" si="104"/>
        <v>129.80994494046902</v>
      </c>
      <c r="AT136" s="652">
        <f t="shared" ca="1" si="104"/>
        <v>0</v>
      </c>
      <c r="AU136" s="652">
        <f t="shared" ca="1" si="104"/>
        <v>0</v>
      </c>
      <c r="AV136" s="652">
        <f t="shared" ca="1" si="104"/>
        <v>0</v>
      </c>
      <c r="AW136" s="652">
        <f t="shared" ca="1" si="102"/>
        <v>0</v>
      </c>
      <c r="AX136" s="652">
        <f t="shared" ca="1" si="102"/>
        <v>0</v>
      </c>
      <c r="AY136" s="652">
        <f t="shared" ca="1" si="102"/>
        <v>0</v>
      </c>
      <c r="AZ136" s="652">
        <f t="shared" ca="1" si="102"/>
        <v>0</v>
      </c>
      <c r="BA136" s="652">
        <f t="shared" ca="1" si="102"/>
        <v>0</v>
      </c>
      <c r="BB136" s="652">
        <f t="shared" ca="1" si="102"/>
        <v>0</v>
      </c>
      <c r="BC136" s="652">
        <f t="shared" ca="1" si="102"/>
        <v>0</v>
      </c>
      <c r="BD136" s="652">
        <f t="shared" ca="1" si="102"/>
        <v>0</v>
      </c>
      <c r="BE136" s="652" t="str">
        <f t="shared" ca="1" si="95"/>
        <v>Commercial</v>
      </c>
      <c r="BF136" s="652" t="str">
        <f t="shared" ca="1" si="95"/>
        <v>OFFLGInLight</v>
      </c>
      <c r="BG136" s="652" t="str">
        <f t="shared" ca="1" si="95"/>
        <v>OFFSMGasHeat</v>
      </c>
      <c r="BH136" s="652" t="str">
        <f t="shared" ca="1" si="95"/>
        <v>KU NonRes</v>
      </c>
      <c r="BI136" s="652" t="str">
        <f t="shared" ca="1" si="95"/>
        <v>KU NonRes</v>
      </c>
      <c r="BJ136" s="652">
        <f t="shared" ca="1" si="95"/>
        <v>12</v>
      </c>
      <c r="BK136" s="652">
        <f t="shared" ca="1" si="95"/>
        <v>0</v>
      </c>
      <c r="BL136" s="652">
        <f t="shared" ca="1" si="94"/>
        <v>0</v>
      </c>
      <c r="BM136" s="652">
        <f t="shared" ca="1" si="94"/>
        <v>0</v>
      </c>
      <c r="BN136" s="652">
        <f t="shared" ca="1" si="94"/>
        <v>0</v>
      </c>
      <c r="BO136" s="652">
        <f t="shared" ca="1" si="94"/>
        <v>0</v>
      </c>
      <c r="BP136" s="652">
        <f t="shared" ca="1" si="94"/>
        <v>0</v>
      </c>
      <c r="BQ136" s="652">
        <f t="shared" ca="1" si="94"/>
        <v>0</v>
      </c>
      <c r="BR136" s="652">
        <f t="shared" ca="1" si="75"/>
        <v>27294.400000000001</v>
      </c>
      <c r="BS136" s="652">
        <f t="shared" ca="1" si="102"/>
        <v>4148748.8</v>
      </c>
      <c r="BT136" s="652">
        <f t="shared" ca="1" si="102"/>
        <v>0</v>
      </c>
      <c r="BU136" s="652">
        <f t="shared" ca="1" si="102"/>
        <v>163766.39999999999</v>
      </c>
      <c r="BV136" s="652">
        <f t="shared" ca="1" si="102"/>
        <v>0</v>
      </c>
      <c r="BW136" s="652">
        <f t="shared" ca="1" si="102"/>
        <v>5686822.5009911917</v>
      </c>
      <c r="BX136" s="652">
        <f t="shared" ca="1" si="95"/>
        <v>1211.559486111044</v>
      </c>
      <c r="BY136" s="652">
        <f t="shared" ref="BE136:BY165" ca="1" si="107">VLOOKUP($C136,INDIRECT("'"&amp;$D136&amp;"'!A6:FR1000"),IF(BY$6="Participation 2023",MATCH("__Participation 2023",INDIRECT("'"&amp;$D136&amp;"'!1:1"),0),IF(BY$6="Participation",MATCH("_Total Plan Summary _Participation",INDIRECT("'"&amp;$D136&amp;"'!1:1"),0),MATCH(BY$4&amp;"_"&amp;BY$5&amp;"_"&amp;BY$6,INDIRECT("'"&amp;$D136&amp;"'!1:1"),0))),0)</f>
        <v>0</v>
      </c>
    </row>
    <row r="137" spans="1:77">
      <c r="A137" s="425" t="str">
        <f t="shared" ref="A137:A200" ca="1" si="108">D137&amp;E137</f>
        <v>Business RebatesKU-Exterior: LED Other</v>
      </c>
      <c r="B137" s="1297" t="str">
        <f t="shared" si="101"/>
        <v>KUBusiness Rebates</v>
      </c>
      <c r="C137" s="662" t="s">
        <v>235</v>
      </c>
      <c r="D137" s="662" t="s">
        <v>63</v>
      </c>
      <c r="E137" s="652" t="str">
        <f t="shared" ca="1" si="105"/>
        <v>KU-Exterior: LED Other</v>
      </c>
      <c r="F137" s="652" t="str">
        <f t="shared" ca="1" si="105"/>
        <v>Any LED lamps or ballasts must also be ENERGY STAR® certified or listed on the Design Lights Consortium (DLC) qualified list.</v>
      </c>
      <c r="G137" s="652" t="str">
        <f t="shared" ca="1" si="105"/>
        <v>Per Unit</v>
      </c>
      <c r="H137" s="652">
        <f t="shared" ca="1" si="106"/>
        <v>28447</v>
      </c>
      <c r="I137" s="652">
        <f t="shared" ca="1" si="106"/>
        <v>28447</v>
      </c>
      <c r="J137" s="652">
        <f t="shared" ca="1" si="106"/>
        <v>6827.2800000000007</v>
      </c>
      <c r="K137" s="652">
        <f t="shared" ca="1" si="106"/>
        <v>0</v>
      </c>
      <c r="L137" s="652">
        <f t="shared" ca="1" si="106"/>
        <v>0</v>
      </c>
      <c r="M137" s="652">
        <f t="shared" ca="1" si="106"/>
        <v>0</v>
      </c>
      <c r="N137" s="652">
        <f t="shared" ca="1" si="106"/>
        <v>0</v>
      </c>
      <c r="O137" s="652">
        <f t="shared" ca="1" si="106"/>
        <v>526269.5</v>
      </c>
      <c r="P137" s="652">
        <f t="shared" ca="1" si="106"/>
        <v>526269.5</v>
      </c>
      <c r="Q137" s="652">
        <f t="shared" ca="1" si="106"/>
        <v>126304.68000000001</v>
      </c>
      <c r="R137" s="652">
        <f t="shared" ca="1" si="106"/>
        <v>0</v>
      </c>
      <c r="S137" s="652">
        <f t="shared" ca="1" si="106"/>
        <v>0</v>
      </c>
      <c r="T137" s="652">
        <f t="shared" ca="1" si="106"/>
        <v>0</v>
      </c>
      <c r="U137" s="652">
        <f t="shared" ca="1" si="106"/>
        <v>0</v>
      </c>
      <c r="V137" s="652">
        <f t="shared" ca="1" si="103"/>
        <v>0</v>
      </c>
      <c r="W137" s="652">
        <f t="shared" ca="1" si="103"/>
        <v>0</v>
      </c>
      <c r="X137" s="652">
        <f t="shared" ca="1" si="103"/>
        <v>0</v>
      </c>
      <c r="Y137" s="652">
        <f t="shared" ca="1" si="103"/>
        <v>0</v>
      </c>
      <c r="Z137" s="652">
        <f t="shared" ca="1" si="103"/>
        <v>0</v>
      </c>
      <c r="AA137" s="652">
        <f t="shared" ca="1" si="103"/>
        <v>0</v>
      </c>
      <c r="AB137" s="652">
        <f t="shared" ca="1" si="103"/>
        <v>0</v>
      </c>
      <c r="AC137" s="652">
        <f t="shared" ca="1" si="103"/>
        <v>369811</v>
      </c>
      <c r="AD137" s="652">
        <f t="shared" ca="1" si="103"/>
        <v>369811</v>
      </c>
      <c r="AE137" s="652">
        <f t="shared" ca="1" si="103"/>
        <v>88754.640000000014</v>
      </c>
      <c r="AF137" s="652">
        <f t="shared" ca="1" si="103"/>
        <v>0</v>
      </c>
      <c r="AG137" s="652">
        <f t="shared" ca="1" si="103"/>
        <v>0</v>
      </c>
      <c r="AH137" s="652">
        <f t="shared" ca="1" si="103"/>
        <v>0</v>
      </c>
      <c r="AI137" s="652">
        <f t="shared" ca="1" si="104"/>
        <v>0</v>
      </c>
      <c r="AJ137" s="652">
        <f t="shared" ca="1" si="104"/>
        <v>18049756.063182533</v>
      </c>
      <c r="AK137" s="652">
        <f t="shared" ca="1" si="104"/>
        <v>18049756.063182533</v>
      </c>
      <c r="AL137" s="652">
        <f t="shared" ca="1" si="104"/>
        <v>4331941.4551638085</v>
      </c>
      <c r="AM137" s="652">
        <f t="shared" ca="1" si="104"/>
        <v>0</v>
      </c>
      <c r="AN137" s="652">
        <f t="shared" ca="1" si="104"/>
        <v>0</v>
      </c>
      <c r="AO137" s="652">
        <f t="shared" ca="1" si="104"/>
        <v>0</v>
      </c>
      <c r="AP137" s="652">
        <f t="shared" ca="1" si="104"/>
        <v>0</v>
      </c>
      <c r="AQ137" s="652">
        <f t="shared" ca="1" si="104"/>
        <v>0</v>
      </c>
      <c r="AR137" s="652">
        <f t="shared" ca="1" si="104"/>
        <v>0</v>
      </c>
      <c r="AS137" s="652">
        <f t="shared" ca="1" si="104"/>
        <v>0</v>
      </c>
      <c r="AT137" s="652">
        <f t="shared" ca="1" si="104"/>
        <v>0</v>
      </c>
      <c r="AU137" s="652">
        <f t="shared" ca="1" si="104"/>
        <v>0</v>
      </c>
      <c r="AV137" s="652">
        <f t="shared" ca="1" si="104"/>
        <v>0</v>
      </c>
      <c r="AW137" s="652">
        <f t="shared" ca="1" si="102"/>
        <v>0</v>
      </c>
      <c r="AX137" s="652">
        <f t="shared" ca="1" si="102"/>
        <v>0</v>
      </c>
      <c r="AY137" s="652">
        <f t="shared" ca="1" si="102"/>
        <v>0</v>
      </c>
      <c r="AZ137" s="652">
        <f t="shared" ca="1" si="102"/>
        <v>0</v>
      </c>
      <c r="BA137" s="652">
        <f t="shared" ca="1" si="102"/>
        <v>0</v>
      </c>
      <c r="BB137" s="652">
        <f t="shared" ca="1" si="102"/>
        <v>0</v>
      </c>
      <c r="BC137" s="652">
        <f t="shared" ca="1" si="102"/>
        <v>0</v>
      </c>
      <c r="BD137" s="652">
        <f t="shared" ca="1" si="102"/>
        <v>0</v>
      </c>
      <c r="BE137" s="652" t="str">
        <f t="shared" ca="1" si="107"/>
        <v>Commercial</v>
      </c>
      <c r="BF137" s="652" t="str">
        <f t="shared" ca="1" si="107"/>
        <v>OFFLGInLight</v>
      </c>
      <c r="BG137" s="652" t="str">
        <f t="shared" ca="1" si="107"/>
        <v>OFFSMGasHeat</v>
      </c>
      <c r="BH137" s="652" t="str">
        <f t="shared" ca="1" si="107"/>
        <v>KU NonRes</v>
      </c>
      <c r="BI137" s="652" t="str">
        <f t="shared" ca="1" si="107"/>
        <v>KU NonRes</v>
      </c>
      <c r="BJ137" s="652">
        <f t="shared" ca="1" si="107"/>
        <v>20</v>
      </c>
      <c r="BK137" s="652">
        <f t="shared" ca="1" si="107"/>
        <v>0</v>
      </c>
      <c r="BL137" s="652">
        <f t="shared" ca="1" si="94"/>
        <v>0</v>
      </c>
      <c r="BM137" s="652">
        <f t="shared" ca="1" si="94"/>
        <v>0</v>
      </c>
      <c r="BN137" s="652">
        <f t="shared" ca="1" si="94"/>
        <v>0</v>
      </c>
      <c r="BO137" s="652">
        <f t="shared" ca="1" si="94"/>
        <v>0</v>
      </c>
      <c r="BP137" s="652">
        <f t="shared" ca="1" si="94"/>
        <v>0</v>
      </c>
      <c r="BQ137" s="652">
        <f t="shared" ca="1" si="94"/>
        <v>0</v>
      </c>
      <c r="BR137" s="652">
        <f t="shared" ca="1" si="75"/>
        <v>63721.279999999999</v>
      </c>
      <c r="BS137" s="652">
        <f t="shared" ca="1" si="102"/>
        <v>1178843.68</v>
      </c>
      <c r="BT137" s="652">
        <f t="shared" ca="1" si="102"/>
        <v>0</v>
      </c>
      <c r="BU137" s="652">
        <f t="shared" ca="1" si="102"/>
        <v>828376.64</v>
      </c>
      <c r="BV137" s="652">
        <f t="shared" ca="1" si="102"/>
        <v>0</v>
      </c>
      <c r="BW137" s="652">
        <f t="shared" ca="1" si="102"/>
        <v>40431453.581528872</v>
      </c>
      <c r="BX137" s="652">
        <f t="shared" ca="1" si="107"/>
        <v>0</v>
      </c>
      <c r="BY137" s="652">
        <f t="shared" ca="1" si="107"/>
        <v>0</v>
      </c>
    </row>
    <row r="138" spans="1:77">
      <c r="A138" s="425" t="str">
        <f t="shared" ca="1" si="108"/>
        <v>Business RebatesKU-Wall Pack &amp; Canopy Fixtures ≤ 150W</v>
      </c>
      <c r="B138" s="1297" t="str">
        <f t="shared" si="101"/>
        <v>KUBusiness Rebates</v>
      </c>
      <c r="C138" s="662" t="s">
        <v>236</v>
      </c>
      <c r="D138" s="662" t="s">
        <v>63</v>
      </c>
      <c r="E138" s="652" t="str">
        <f t="shared" ca="1" si="105"/>
        <v>KU-Wall Pack &amp; Canopy Fixtures ≤ 150W</v>
      </c>
      <c r="F138" s="652" t="str">
        <f t="shared" ca="1" si="105"/>
        <v>Any LED lamps or ballasts must also be ENERGY STAR® certified or listed on the Design Lights Consortium (DLC) qualified list.</v>
      </c>
      <c r="G138" s="652" t="str">
        <f t="shared" ca="1" si="105"/>
        <v>Per Unit</v>
      </c>
      <c r="H138" s="652">
        <f t="shared" ca="1" si="106"/>
        <v>4529</v>
      </c>
      <c r="I138" s="652">
        <f t="shared" ca="1" si="106"/>
        <v>4529</v>
      </c>
      <c r="J138" s="652">
        <f t="shared" ca="1" si="106"/>
        <v>1086.96</v>
      </c>
      <c r="K138" s="652">
        <f t="shared" ca="1" si="106"/>
        <v>0</v>
      </c>
      <c r="L138" s="652">
        <f t="shared" ca="1" si="106"/>
        <v>0</v>
      </c>
      <c r="M138" s="652">
        <f t="shared" ca="1" si="106"/>
        <v>0</v>
      </c>
      <c r="N138" s="652">
        <f t="shared" ca="1" si="106"/>
        <v>0</v>
      </c>
      <c r="O138" s="652">
        <f t="shared" ca="1" si="106"/>
        <v>2857799</v>
      </c>
      <c r="P138" s="652">
        <f t="shared" ca="1" si="106"/>
        <v>2857799</v>
      </c>
      <c r="Q138" s="652">
        <f t="shared" ca="1" si="106"/>
        <v>685871.76</v>
      </c>
      <c r="R138" s="652">
        <f t="shared" ca="1" si="106"/>
        <v>0</v>
      </c>
      <c r="S138" s="652">
        <f t="shared" ca="1" si="106"/>
        <v>0</v>
      </c>
      <c r="T138" s="652">
        <f t="shared" ca="1" si="106"/>
        <v>0</v>
      </c>
      <c r="U138" s="652">
        <f t="shared" ca="1" si="106"/>
        <v>0</v>
      </c>
      <c r="V138" s="652">
        <f t="shared" ca="1" si="103"/>
        <v>-12977.094666666666</v>
      </c>
      <c r="W138" s="652">
        <f t="shared" ca="1" si="103"/>
        <v>-12977.094666666666</v>
      </c>
      <c r="X138" s="652">
        <f t="shared" ca="1" si="103"/>
        <v>-3114.50272</v>
      </c>
      <c r="Y138" s="652">
        <f t="shared" ca="1" si="103"/>
        <v>0</v>
      </c>
      <c r="Z138" s="652">
        <f t="shared" ca="1" si="103"/>
        <v>0</v>
      </c>
      <c r="AA138" s="652">
        <f t="shared" ca="1" si="103"/>
        <v>0</v>
      </c>
      <c r="AB138" s="652">
        <f t="shared" ca="1" si="103"/>
        <v>0</v>
      </c>
      <c r="AC138" s="652">
        <f t="shared" ca="1" si="103"/>
        <v>90580</v>
      </c>
      <c r="AD138" s="652">
        <f t="shared" ca="1" si="103"/>
        <v>90580</v>
      </c>
      <c r="AE138" s="652">
        <f t="shared" ca="1" si="103"/>
        <v>21739.200000000001</v>
      </c>
      <c r="AF138" s="652">
        <f t="shared" ca="1" si="103"/>
        <v>0</v>
      </c>
      <c r="AG138" s="652">
        <f t="shared" ca="1" si="103"/>
        <v>0</v>
      </c>
      <c r="AH138" s="652">
        <f t="shared" ca="1" si="103"/>
        <v>0</v>
      </c>
      <c r="AI138" s="652">
        <f t="shared" ca="1" si="104"/>
        <v>0</v>
      </c>
      <c r="AJ138" s="652">
        <f t="shared" ca="1" si="104"/>
        <v>2109485.9169999999</v>
      </c>
      <c r="AK138" s="652">
        <f t="shared" ca="1" si="104"/>
        <v>2109485.9169999999</v>
      </c>
      <c r="AL138" s="652">
        <f t="shared" ca="1" si="104"/>
        <v>506276.62007999996</v>
      </c>
      <c r="AM138" s="652">
        <f t="shared" ca="1" si="104"/>
        <v>0</v>
      </c>
      <c r="AN138" s="652">
        <f t="shared" ca="1" si="104"/>
        <v>0</v>
      </c>
      <c r="AO138" s="652">
        <f t="shared" ca="1" si="104"/>
        <v>0</v>
      </c>
      <c r="AP138" s="652">
        <f t="shared" ca="1" si="104"/>
        <v>0</v>
      </c>
      <c r="AQ138" s="652">
        <f t="shared" ca="1" si="104"/>
        <v>174.3665</v>
      </c>
      <c r="AR138" s="652">
        <f t="shared" ca="1" si="104"/>
        <v>174.3665</v>
      </c>
      <c r="AS138" s="652">
        <f t="shared" ca="1" si="104"/>
        <v>41.84796</v>
      </c>
      <c r="AT138" s="652">
        <f t="shared" ca="1" si="104"/>
        <v>0</v>
      </c>
      <c r="AU138" s="652">
        <f t="shared" ca="1" si="104"/>
        <v>0</v>
      </c>
      <c r="AV138" s="652">
        <f t="shared" ca="1" si="104"/>
        <v>0</v>
      </c>
      <c r="AW138" s="652">
        <f t="shared" ca="1" si="102"/>
        <v>0</v>
      </c>
      <c r="AX138" s="652">
        <f t="shared" ca="1" si="102"/>
        <v>0</v>
      </c>
      <c r="AY138" s="652">
        <f t="shared" ca="1" si="102"/>
        <v>0</v>
      </c>
      <c r="AZ138" s="652">
        <f t="shared" ca="1" si="102"/>
        <v>0</v>
      </c>
      <c r="BA138" s="652">
        <f t="shared" ca="1" si="102"/>
        <v>0</v>
      </c>
      <c r="BB138" s="652">
        <f t="shared" ca="1" si="102"/>
        <v>0</v>
      </c>
      <c r="BC138" s="652">
        <f t="shared" ca="1" si="102"/>
        <v>0</v>
      </c>
      <c r="BD138" s="652">
        <f t="shared" ca="1" si="102"/>
        <v>0</v>
      </c>
      <c r="BE138" s="652" t="str">
        <f t="shared" ca="1" si="107"/>
        <v>Commercial</v>
      </c>
      <c r="BF138" s="652" t="str">
        <f t="shared" ca="1" si="107"/>
        <v>OFFLGInLight</v>
      </c>
      <c r="BG138" s="652" t="str">
        <f t="shared" ca="1" si="107"/>
        <v>OFFSMGasHeat</v>
      </c>
      <c r="BH138" s="652" t="str">
        <f t="shared" ca="1" si="107"/>
        <v>KU NonRes</v>
      </c>
      <c r="BI138" s="652" t="str">
        <f t="shared" ca="1" si="107"/>
        <v>KU NonRes</v>
      </c>
      <c r="BJ138" s="652">
        <f t="shared" ca="1" si="107"/>
        <v>8</v>
      </c>
      <c r="BK138" s="652">
        <f t="shared" ca="1" si="107"/>
        <v>0</v>
      </c>
      <c r="BL138" s="652">
        <f t="shared" ca="1" si="94"/>
        <v>0</v>
      </c>
      <c r="BM138" s="652">
        <f t="shared" ca="1" si="94"/>
        <v>0</v>
      </c>
      <c r="BN138" s="652">
        <f t="shared" ca="1" si="94"/>
        <v>0</v>
      </c>
      <c r="BO138" s="652">
        <f t="shared" ca="1" si="94"/>
        <v>0</v>
      </c>
      <c r="BP138" s="652">
        <f t="shared" ca="1" si="94"/>
        <v>0</v>
      </c>
      <c r="BQ138" s="652">
        <f t="shared" ca="1" si="94"/>
        <v>0</v>
      </c>
      <c r="BR138" s="652">
        <f t="shared" ref="BR138:BR201" ca="1" si="109">SUM(H138:N138)</f>
        <v>10144.959999999999</v>
      </c>
      <c r="BS138" s="652">
        <f t="shared" ca="1" si="102"/>
        <v>6401469.7599999998</v>
      </c>
      <c r="BT138" s="652">
        <f t="shared" ca="1" si="102"/>
        <v>-29068.692053333332</v>
      </c>
      <c r="BU138" s="652">
        <f t="shared" ca="1" si="102"/>
        <v>202899.20000000001</v>
      </c>
      <c r="BV138" s="652">
        <f t="shared" ca="1" si="102"/>
        <v>0</v>
      </c>
      <c r="BW138" s="652">
        <f t="shared" ca="1" si="102"/>
        <v>4725248.4540799996</v>
      </c>
      <c r="BX138" s="652">
        <f t="shared" ca="1" si="107"/>
        <v>390.58096</v>
      </c>
      <c r="BY138" s="652">
        <f t="shared" ca="1" si="107"/>
        <v>0</v>
      </c>
    </row>
    <row r="139" spans="1:77">
      <c r="A139" s="425" t="str">
        <f t="shared" ca="1" si="108"/>
        <v>Business RebatesKU-Wall Pack &amp; Canopy Fixtures &gt; 150W</v>
      </c>
      <c r="B139" s="1297" t="str">
        <f t="shared" si="101"/>
        <v>KUBusiness Rebates</v>
      </c>
      <c r="C139" s="662" t="s">
        <v>237</v>
      </c>
      <c r="D139" s="662" t="s">
        <v>63</v>
      </c>
      <c r="E139" s="652" t="str">
        <f t="shared" ca="1" si="105"/>
        <v>KU-Wall Pack &amp; Canopy Fixtures &gt; 150W</v>
      </c>
      <c r="F139" s="652" t="str">
        <f t="shared" ca="1" si="105"/>
        <v>Any LED lamps or ballasts must also be ENERGY STAR® certified or listed on the Design Lights Consortium (DLC) qualified list.</v>
      </c>
      <c r="G139" s="652" t="str">
        <f t="shared" ca="1" si="105"/>
        <v>Per Unit</v>
      </c>
      <c r="H139" s="652">
        <f t="shared" ca="1" si="106"/>
        <v>0.5</v>
      </c>
      <c r="I139" s="652">
        <f t="shared" ca="1" si="106"/>
        <v>0.5</v>
      </c>
      <c r="J139" s="652">
        <f t="shared" ca="1" si="106"/>
        <v>0.12</v>
      </c>
      <c r="K139" s="652">
        <f t="shared" ca="1" si="106"/>
        <v>0</v>
      </c>
      <c r="L139" s="652">
        <f t="shared" ca="1" si="106"/>
        <v>0</v>
      </c>
      <c r="M139" s="652">
        <f t="shared" ca="1" si="106"/>
        <v>0</v>
      </c>
      <c r="N139" s="652">
        <f t="shared" ca="1" si="106"/>
        <v>0</v>
      </c>
      <c r="O139" s="652">
        <f t="shared" ca="1" si="106"/>
        <v>923</v>
      </c>
      <c r="P139" s="652">
        <f t="shared" ca="1" si="106"/>
        <v>923</v>
      </c>
      <c r="Q139" s="652">
        <f t="shared" ca="1" si="106"/>
        <v>221.51999999999998</v>
      </c>
      <c r="R139" s="652">
        <f t="shared" ca="1" si="106"/>
        <v>0</v>
      </c>
      <c r="S139" s="652">
        <f t="shared" ca="1" si="106"/>
        <v>0</v>
      </c>
      <c r="T139" s="652">
        <f t="shared" ca="1" si="106"/>
        <v>0</v>
      </c>
      <c r="U139" s="652">
        <f t="shared" ca="1" si="106"/>
        <v>0</v>
      </c>
      <c r="V139" s="652">
        <f t="shared" ca="1" si="103"/>
        <v>-1.4326666666666665</v>
      </c>
      <c r="W139" s="652">
        <f t="shared" ca="1" si="103"/>
        <v>-1.4326666666666665</v>
      </c>
      <c r="X139" s="652">
        <f t="shared" ca="1" si="103"/>
        <v>-0.34383999999999998</v>
      </c>
      <c r="Y139" s="652">
        <f t="shared" ca="1" si="103"/>
        <v>0</v>
      </c>
      <c r="Z139" s="652">
        <f t="shared" ca="1" si="103"/>
        <v>0</v>
      </c>
      <c r="AA139" s="652">
        <f t="shared" ca="1" si="103"/>
        <v>0</v>
      </c>
      <c r="AB139" s="652">
        <f t="shared" ca="1" si="103"/>
        <v>0</v>
      </c>
      <c r="AC139" s="652">
        <f t="shared" ca="1" si="103"/>
        <v>15</v>
      </c>
      <c r="AD139" s="652">
        <f t="shared" ca="1" si="103"/>
        <v>15</v>
      </c>
      <c r="AE139" s="652">
        <f t="shared" ca="1" si="103"/>
        <v>3.5999999999999996</v>
      </c>
      <c r="AF139" s="652">
        <f t="shared" ca="1" si="103"/>
        <v>0</v>
      </c>
      <c r="AG139" s="652">
        <f t="shared" ca="1" si="103"/>
        <v>0</v>
      </c>
      <c r="AH139" s="652">
        <f t="shared" ca="1" si="103"/>
        <v>0</v>
      </c>
      <c r="AI139" s="652">
        <f t="shared" ca="1" si="104"/>
        <v>0</v>
      </c>
      <c r="AJ139" s="652">
        <f t="shared" ca="1" si="104"/>
        <v>499.04250000000002</v>
      </c>
      <c r="AK139" s="652">
        <f t="shared" ca="1" si="104"/>
        <v>499.04250000000002</v>
      </c>
      <c r="AL139" s="652">
        <f t="shared" ca="1" si="104"/>
        <v>119.7702</v>
      </c>
      <c r="AM139" s="652">
        <f t="shared" ca="1" si="104"/>
        <v>0</v>
      </c>
      <c r="AN139" s="652">
        <f t="shared" ca="1" si="104"/>
        <v>0</v>
      </c>
      <c r="AO139" s="652">
        <f t="shared" ca="1" si="104"/>
        <v>0</v>
      </c>
      <c r="AP139" s="652">
        <f t="shared" ca="1" si="104"/>
        <v>0</v>
      </c>
      <c r="AQ139" s="652">
        <f t="shared" ca="1" si="104"/>
        <v>4.1250000000000002E-2</v>
      </c>
      <c r="AR139" s="652">
        <f t="shared" ca="1" si="104"/>
        <v>4.1250000000000002E-2</v>
      </c>
      <c r="AS139" s="652">
        <f t="shared" ca="1" si="104"/>
        <v>9.9000000000000008E-3</v>
      </c>
      <c r="AT139" s="652">
        <f t="shared" ca="1" si="104"/>
        <v>0</v>
      </c>
      <c r="AU139" s="652">
        <f t="shared" ca="1" si="104"/>
        <v>0</v>
      </c>
      <c r="AV139" s="652">
        <f t="shared" ca="1" si="104"/>
        <v>0</v>
      </c>
      <c r="AW139" s="652">
        <f t="shared" ca="1" si="102"/>
        <v>0</v>
      </c>
      <c r="AX139" s="652">
        <f t="shared" ca="1" si="102"/>
        <v>0</v>
      </c>
      <c r="AY139" s="652">
        <f t="shared" ca="1" si="102"/>
        <v>0</v>
      </c>
      <c r="AZ139" s="652">
        <f t="shared" ca="1" si="102"/>
        <v>0</v>
      </c>
      <c r="BA139" s="652">
        <f t="shared" ca="1" si="102"/>
        <v>0</v>
      </c>
      <c r="BB139" s="652">
        <f t="shared" ca="1" si="102"/>
        <v>0</v>
      </c>
      <c r="BC139" s="652">
        <f t="shared" ca="1" si="102"/>
        <v>0</v>
      </c>
      <c r="BD139" s="652">
        <f t="shared" ca="1" si="102"/>
        <v>0</v>
      </c>
      <c r="BE139" s="652" t="str">
        <f t="shared" ca="1" si="107"/>
        <v>Commercial</v>
      </c>
      <c r="BF139" s="652" t="str">
        <f t="shared" ca="1" si="107"/>
        <v>OFFLGInLight</v>
      </c>
      <c r="BG139" s="652" t="str">
        <f t="shared" ca="1" si="107"/>
        <v>OFFSMGasHeat</v>
      </c>
      <c r="BH139" s="652" t="str">
        <f t="shared" ca="1" si="107"/>
        <v>KU NonRes</v>
      </c>
      <c r="BI139" s="652" t="str">
        <f t="shared" ca="1" si="107"/>
        <v>KU NonRes</v>
      </c>
      <c r="BJ139" s="652">
        <f t="shared" ca="1" si="107"/>
        <v>8</v>
      </c>
      <c r="BK139" s="652">
        <f t="shared" ca="1" si="107"/>
        <v>0</v>
      </c>
      <c r="BL139" s="652">
        <f t="shared" ca="1" si="94"/>
        <v>0</v>
      </c>
      <c r="BM139" s="652">
        <f t="shared" ca="1" si="94"/>
        <v>0</v>
      </c>
      <c r="BN139" s="652">
        <f t="shared" ca="1" si="94"/>
        <v>0</v>
      </c>
      <c r="BO139" s="652">
        <f t="shared" ca="1" si="94"/>
        <v>0</v>
      </c>
      <c r="BP139" s="652">
        <f t="shared" ca="1" si="94"/>
        <v>0</v>
      </c>
      <c r="BQ139" s="652">
        <f t="shared" ca="1" si="94"/>
        <v>0</v>
      </c>
      <c r="BR139" s="652">
        <f t="shared" ca="1" si="109"/>
        <v>1.1200000000000001</v>
      </c>
      <c r="BS139" s="652">
        <f t="shared" ca="1" si="102"/>
        <v>2067.52</v>
      </c>
      <c r="BT139" s="652">
        <f t="shared" ca="1" si="102"/>
        <v>-3.2091733333333332</v>
      </c>
      <c r="BU139" s="652">
        <f t="shared" ca="1" si="102"/>
        <v>33.6</v>
      </c>
      <c r="BV139" s="652">
        <f t="shared" ca="1" si="102"/>
        <v>0</v>
      </c>
      <c r="BW139" s="652">
        <f t="shared" ca="1" si="102"/>
        <v>1117.8552</v>
      </c>
      <c r="BX139" s="652">
        <f t="shared" ca="1" si="107"/>
        <v>9.240000000000001E-2</v>
      </c>
      <c r="BY139" s="652">
        <f t="shared" ca="1" si="107"/>
        <v>0</v>
      </c>
    </row>
    <row r="140" spans="1:77">
      <c r="A140" s="425" t="str">
        <f t="shared" ca="1" si="108"/>
        <v>Business RebatesKU-Small Business Kits</v>
      </c>
      <c r="B140" s="1297" t="str">
        <f t="shared" si="101"/>
        <v>KUBusiness Rebates</v>
      </c>
      <c r="C140" s="662" t="s">
        <v>238</v>
      </c>
      <c r="D140" s="662" t="s">
        <v>63</v>
      </c>
      <c r="E140" s="652" t="str">
        <f t="shared" ca="1" si="105"/>
        <v>KU-Small Business Kits</v>
      </c>
      <c r="F140" s="652" t="str">
        <f t="shared" ca="1" si="105"/>
        <v>Small Business Kits</v>
      </c>
      <c r="G140" s="652" t="str">
        <f t="shared" ca="1" si="105"/>
        <v>Per Unit</v>
      </c>
      <c r="H140" s="652">
        <f t="shared" ca="1" si="106"/>
        <v>0</v>
      </c>
      <c r="I140" s="652">
        <f t="shared" ca="1" si="106"/>
        <v>0</v>
      </c>
      <c r="J140" s="652">
        <f t="shared" ca="1" si="106"/>
        <v>0</v>
      </c>
      <c r="K140" s="652">
        <f t="shared" ca="1" si="106"/>
        <v>0</v>
      </c>
      <c r="L140" s="652">
        <f t="shared" ca="1" si="106"/>
        <v>0</v>
      </c>
      <c r="M140" s="652">
        <f t="shared" ca="1" si="106"/>
        <v>0</v>
      </c>
      <c r="N140" s="652">
        <f t="shared" ca="1" si="106"/>
        <v>0</v>
      </c>
      <c r="O140" s="652">
        <f t="shared" ca="1" si="106"/>
        <v>0</v>
      </c>
      <c r="P140" s="652">
        <f t="shared" ca="1" si="106"/>
        <v>0</v>
      </c>
      <c r="Q140" s="652">
        <f t="shared" ca="1" si="106"/>
        <v>0</v>
      </c>
      <c r="R140" s="652">
        <f t="shared" ca="1" si="106"/>
        <v>0</v>
      </c>
      <c r="S140" s="652">
        <f t="shared" ca="1" si="106"/>
        <v>0</v>
      </c>
      <c r="T140" s="652">
        <f t="shared" ca="1" si="106"/>
        <v>0</v>
      </c>
      <c r="U140" s="652">
        <f t="shared" ca="1" si="106"/>
        <v>0</v>
      </c>
      <c r="V140" s="652">
        <f t="shared" ca="1" si="103"/>
        <v>0</v>
      </c>
      <c r="W140" s="652">
        <f t="shared" ca="1" si="103"/>
        <v>0</v>
      </c>
      <c r="X140" s="652">
        <f t="shared" ca="1" si="103"/>
        <v>0</v>
      </c>
      <c r="Y140" s="652">
        <f t="shared" ca="1" si="103"/>
        <v>0</v>
      </c>
      <c r="Z140" s="652">
        <f t="shared" ca="1" si="103"/>
        <v>0</v>
      </c>
      <c r="AA140" s="652">
        <f t="shared" ca="1" si="103"/>
        <v>0</v>
      </c>
      <c r="AB140" s="652">
        <f t="shared" ca="1" si="103"/>
        <v>0</v>
      </c>
      <c r="AC140" s="652">
        <f t="shared" ca="1" si="103"/>
        <v>0</v>
      </c>
      <c r="AD140" s="652">
        <f t="shared" ca="1" si="103"/>
        <v>0</v>
      </c>
      <c r="AE140" s="652">
        <f t="shared" ca="1" si="103"/>
        <v>0</v>
      </c>
      <c r="AF140" s="652">
        <f t="shared" ca="1" si="103"/>
        <v>0</v>
      </c>
      <c r="AG140" s="652">
        <f t="shared" ca="1" si="103"/>
        <v>0</v>
      </c>
      <c r="AH140" s="652">
        <f t="shared" ca="1" si="103"/>
        <v>0</v>
      </c>
      <c r="AI140" s="652">
        <f t="shared" ca="1" si="104"/>
        <v>0</v>
      </c>
      <c r="AJ140" s="652">
        <f t="shared" ca="1" si="104"/>
        <v>0</v>
      </c>
      <c r="AK140" s="652">
        <f t="shared" ca="1" si="104"/>
        <v>0</v>
      </c>
      <c r="AL140" s="652">
        <f t="shared" ca="1" si="104"/>
        <v>0</v>
      </c>
      <c r="AM140" s="652">
        <f t="shared" ca="1" si="104"/>
        <v>0</v>
      </c>
      <c r="AN140" s="652">
        <f t="shared" ca="1" si="104"/>
        <v>0</v>
      </c>
      <c r="AO140" s="652">
        <f t="shared" ca="1" si="104"/>
        <v>0</v>
      </c>
      <c r="AP140" s="652">
        <f t="shared" ca="1" si="104"/>
        <v>0</v>
      </c>
      <c r="AQ140" s="652">
        <f t="shared" ca="1" si="104"/>
        <v>0</v>
      </c>
      <c r="AR140" s="652">
        <f t="shared" ca="1" si="104"/>
        <v>0</v>
      </c>
      <c r="AS140" s="652">
        <f t="shared" ca="1" si="104"/>
        <v>0</v>
      </c>
      <c r="AT140" s="652">
        <f t="shared" ca="1" si="104"/>
        <v>0</v>
      </c>
      <c r="AU140" s="652">
        <f t="shared" ca="1" si="104"/>
        <v>0</v>
      </c>
      <c r="AV140" s="652">
        <f t="shared" ca="1" si="104"/>
        <v>0</v>
      </c>
      <c r="AW140" s="652">
        <f t="shared" ca="1" si="102"/>
        <v>0</v>
      </c>
      <c r="AX140" s="652">
        <f t="shared" ca="1" si="102"/>
        <v>0</v>
      </c>
      <c r="AY140" s="652">
        <f t="shared" ca="1" si="102"/>
        <v>0</v>
      </c>
      <c r="AZ140" s="652">
        <f t="shared" ca="1" si="102"/>
        <v>0</v>
      </c>
      <c r="BA140" s="652">
        <f t="shared" ca="1" si="102"/>
        <v>0</v>
      </c>
      <c r="BB140" s="652">
        <f t="shared" ca="1" si="102"/>
        <v>0</v>
      </c>
      <c r="BC140" s="652">
        <f t="shared" ca="1" si="102"/>
        <v>0</v>
      </c>
      <c r="BD140" s="652">
        <f t="shared" ca="1" si="102"/>
        <v>0</v>
      </c>
      <c r="BE140" s="652" t="str">
        <f t="shared" ca="1" si="107"/>
        <v>Commercial</v>
      </c>
      <c r="BF140" s="652" t="str">
        <f t="shared" ca="1" si="107"/>
        <v>OFFLGInLight</v>
      </c>
      <c r="BG140" s="652" t="str">
        <f t="shared" ca="1" si="107"/>
        <v>OFFSMGasHeat</v>
      </c>
      <c r="BH140" s="652" t="str">
        <f t="shared" ca="1" si="107"/>
        <v>KU NonRes</v>
      </c>
      <c r="BI140" s="652" t="str">
        <f t="shared" ca="1" si="107"/>
        <v>KU NonRes</v>
      </c>
      <c r="BJ140" s="652">
        <f t="shared" ca="1" si="107"/>
        <v>8</v>
      </c>
      <c r="BK140" s="652">
        <f t="shared" ca="1" si="107"/>
        <v>0</v>
      </c>
      <c r="BL140" s="652">
        <f t="shared" ca="1" si="94"/>
        <v>0</v>
      </c>
      <c r="BM140" s="652">
        <f t="shared" ca="1" si="94"/>
        <v>0</v>
      </c>
      <c r="BN140" s="652">
        <f t="shared" ca="1" si="94"/>
        <v>0</v>
      </c>
      <c r="BO140" s="652">
        <f t="shared" ca="1" si="94"/>
        <v>0</v>
      </c>
      <c r="BP140" s="652">
        <f t="shared" ca="1" si="94"/>
        <v>0</v>
      </c>
      <c r="BQ140" s="652">
        <f t="shared" ca="1" si="94"/>
        <v>0</v>
      </c>
      <c r="BR140" s="652">
        <f t="shared" ca="1" si="109"/>
        <v>0</v>
      </c>
      <c r="BS140" s="652">
        <f t="shared" ca="1" si="102"/>
        <v>0</v>
      </c>
      <c r="BT140" s="652">
        <f t="shared" ca="1" si="102"/>
        <v>0</v>
      </c>
      <c r="BU140" s="652">
        <f t="shared" ca="1" si="102"/>
        <v>0</v>
      </c>
      <c r="BV140" s="652">
        <f t="shared" ca="1" si="102"/>
        <v>0</v>
      </c>
      <c r="BW140" s="652">
        <f t="shared" ca="1" si="102"/>
        <v>0</v>
      </c>
      <c r="BX140" s="652">
        <f t="shared" ca="1" si="107"/>
        <v>0</v>
      </c>
      <c r="BY140" s="652">
        <f t="shared" ca="1" si="107"/>
        <v>0</v>
      </c>
    </row>
    <row r="141" spans="1:77">
      <c r="A141" s="425" t="str">
        <f t="shared" ca="1" si="108"/>
        <v>Business RebatesKU-LED Pole Light ≤ 250W</v>
      </c>
      <c r="B141" s="1297" t="str">
        <f t="shared" si="101"/>
        <v>KUBusiness Rebates</v>
      </c>
      <c r="C141" s="662" t="s">
        <v>239</v>
      </c>
      <c r="D141" s="662" t="s">
        <v>63</v>
      </c>
      <c r="E141" s="652" t="str">
        <f t="shared" ca="1" si="105"/>
        <v>KU-LED Pole Light ≤ 250W</v>
      </c>
      <c r="F141" s="652" t="str">
        <f t="shared" ca="1" si="105"/>
        <v>Any LED lamps or ballasts must also be ENERGY STAR® certified or listed on the Design Lights Consortium (DLC) qualified list.</v>
      </c>
      <c r="G141" s="652" t="str">
        <f t="shared" ca="1" si="105"/>
        <v>Per Unit</v>
      </c>
      <c r="H141" s="652">
        <f t="shared" ca="1" si="106"/>
        <v>0</v>
      </c>
      <c r="I141" s="652">
        <f t="shared" ca="1" si="106"/>
        <v>0</v>
      </c>
      <c r="J141" s="652">
        <f t="shared" ca="1" si="106"/>
        <v>0</v>
      </c>
      <c r="K141" s="652">
        <f t="shared" ca="1" si="106"/>
        <v>0</v>
      </c>
      <c r="L141" s="652">
        <f t="shared" ca="1" si="106"/>
        <v>0</v>
      </c>
      <c r="M141" s="652">
        <f t="shared" ca="1" si="106"/>
        <v>0</v>
      </c>
      <c r="N141" s="652">
        <f t="shared" ca="1" si="106"/>
        <v>0</v>
      </c>
      <c r="O141" s="652">
        <f t="shared" ca="1" si="106"/>
        <v>0</v>
      </c>
      <c r="P141" s="652">
        <f t="shared" ca="1" si="106"/>
        <v>0</v>
      </c>
      <c r="Q141" s="652">
        <f t="shared" ca="1" si="106"/>
        <v>0</v>
      </c>
      <c r="R141" s="652">
        <f t="shared" ca="1" si="106"/>
        <v>0</v>
      </c>
      <c r="S141" s="652">
        <f t="shared" ca="1" si="106"/>
        <v>0</v>
      </c>
      <c r="T141" s="652">
        <f t="shared" ca="1" si="106"/>
        <v>0</v>
      </c>
      <c r="U141" s="652">
        <f t="shared" ca="1" si="106"/>
        <v>0</v>
      </c>
      <c r="V141" s="652">
        <f t="shared" ca="1" si="103"/>
        <v>0</v>
      </c>
      <c r="W141" s="652">
        <f t="shared" ca="1" si="103"/>
        <v>0</v>
      </c>
      <c r="X141" s="652">
        <f t="shared" ca="1" si="103"/>
        <v>0</v>
      </c>
      <c r="Y141" s="652">
        <f t="shared" ca="1" si="103"/>
        <v>0</v>
      </c>
      <c r="Z141" s="652">
        <f t="shared" ca="1" si="103"/>
        <v>0</v>
      </c>
      <c r="AA141" s="652">
        <f t="shared" ca="1" si="103"/>
        <v>0</v>
      </c>
      <c r="AB141" s="652">
        <f t="shared" ca="1" si="103"/>
        <v>0</v>
      </c>
      <c r="AC141" s="652">
        <f t="shared" ca="1" si="103"/>
        <v>0</v>
      </c>
      <c r="AD141" s="652">
        <f t="shared" ca="1" si="103"/>
        <v>0</v>
      </c>
      <c r="AE141" s="652">
        <f t="shared" ca="1" si="103"/>
        <v>0</v>
      </c>
      <c r="AF141" s="652">
        <f t="shared" ca="1" si="103"/>
        <v>0</v>
      </c>
      <c r="AG141" s="652">
        <f t="shared" ca="1" si="103"/>
        <v>0</v>
      </c>
      <c r="AH141" s="652">
        <f t="shared" ca="1" si="103"/>
        <v>0</v>
      </c>
      <c r="AI141" s="652">
        <f t="shared" ca="1" si="104"/>
        <v>0</v>
      </c>
      <c r="AJ141" s="652">
        <f t="shared" ca="1" si="104"/>
        <v>0</v>
      </c>
      <c r="AK141" s="652">
        <f t="shared" ca="1" si="104"/>
        <v>0</v>
      </c>
      <c r="AL141" s="652">
        <f t="shared" ca="1" si="104"/>
        <v>0</v>
      </c>
      <c r="AM141" s="652">
        <f t="shared" ca="1" si="104"/>
        <v>0</v>
      </c>
      <c r="AN141" s="652">
        <f t="shared" ca="1" si="104"/>
        <v>0</v>
      </c>
      <c r="AO141" s="652">
        <f t="shared" ca="1" si="104"/>
        <v>0</v>
      </c>
      <c r="AP141" s="652">
        <f t="shared" ca="1" si="104"/>
        <v>0</v>
      </c>
      <c r="AQ141" s="652">
        <f t="shared" ca="1" si="104"/>
        <v>0</v>
      </c>
      <c r="AR141" s="652">
        <f t="shared" ca="1" si="104"/>
        <v>0</v>
      </c>
      <c r="AS141" s="652">
        <f t="shared" ca="1" si="104"/>
        <v>0</v>
      </c>
      <c r="AT141" s="652">
        <f t="shared" ca="1" si="104"/>
        <v>0</v>
      </c>
      <c r="AU141" s="652">
        <f t="shared" ca="1" si="104"/>
        <v>0</v>
      </c>
      <c r="AV141" s="652">
        <f t="shared" ca="1" si="104"/>
        <v>0</v>
      </c>
      <c r="AW141" s="652">
        <f t="shared" ca="1" si="102"/>
        <v>0</v>
      </c>
      <c r="AX141" s="652">
        <f t="shared" ca="1" si="102"/>
        <v>0</v>
      </c>
      <c r="AY141" s="652">
        <f t="shared" ca="1" si="102"/>
        <v>0</v>
      </c>
      <c r="AZ141" s="652">
        <f t="shared" ca="1" si="102"/>
        <v>0</v>
      </c>
      <c r="BA141" s="652">
        <f t="shared" ca="1" si="102"/>
        <v>0</v>
      </c>
      <c r="BB141" s="652">
        <f t="shared" ca="1" si="102"/>
        <v>0</v>
      </c>
      <c r="BC141" s="652">
        <f t="shared" ca="1" si="102"/>
        <v>0</v>
      </c>
      <c r="BD141" s="652">
        <f t="shared" ca="1" si="102"/>
        <v>0</v>
      </c>
      <c r="BE141" s="652" t="str">
        <f t="shared" ca="1" si="107"/>
        <v>Commercial</v>
      </c>
      <c r="BF141" s="652" t="str">
        <f t="shared" ca="1" si="107"/>
        <v>OFFLGInLight</v>
      </c>
      <c r="BG141" s="652" t="str">
        <f t="shared" ca="1" si="107"/>
        <v>OFFSMGasHeat</v>
      </c>
      <c r="BH141" s="652" t="str">
        <f t="shared" ca="1" si="107"/>
        <v>KU NonRes</v>
      </c>
      <c r="BI141" s="652" t="str">
        <f t="shared" ca="1" si="107"/>
        <v>KU NonRes</v>
      </c>
      <c r="BJ141" s="652">
        <f t="shared" ca="1" si="107"/>
        <v>19</v>
      </c>
      <c r="BK141" s="652">
        <f t="shared" ca="1" si="107"/>
        <v>0</v>
      </c>
      <c r="BL141" s="652">
        <f t="shared" ca="1" si="94"/>
        <v>0</v>
      </c>
      <c r="BM141" s="652">
        <f t="shared" ca="1" si="94"/>
        <v>0</v>
      </c>
      <c r="BN141" s="652">
        <f t="shared" ca="1" si="94"/>
        <v>0</v>
      </c>
      <c r="BO141" s="652">
        <f t="shared" ca="1" si="94"/>
        <v>0</v>
      </c>
      <c r="BP141" s="652">
        <f t="shared" ca="1" si="94"/>
        <v>0</v>
      </c>
      <c r="BQ141" s="652">
        <f t="shared" ca="1" si="94"/>
        <v>0</v>
      </c>
      <c r="BR141" s="652">
        <f t="shared" ca="1" si="109"/>
        <v>0</v>
      </c>
      <c r="BS141" s="652">
        <f t="shared" ca="1" si="102"/>
        <v>0</v>
      </c>
      <c r="BT141" s="652">
        <f t="shared" ca="1" si="102"/>
        <v>0</v>
      </c>
      <c r="BU141" s="652">
        <f t="shared" ca="1" si="102"/>
        <v>0</v>
      </c>
      <c r="BV141" s="652">
        <f t="shared" ca="1" si="102"/>
        <v>0</v>
      </c>
      <c r="BW141" s="652">
        <f t="shared" ca="1" si="102"/>
        <v>0</v>
      </c>
      <c r="BX141" s="652">
        <f t="shared" ca="1" si="107"/>
        <v>0</v>
      </c>
      <c r="BY141" s="652">
        <f t="shared" ca="1" si="107"/>
        <v>0</v>
      </c>
    </row>
    <row r="142" spans="1:77">
      <c r="A142" s="425" t="str">
        <f t="shared" ca="1" si="108"/>
        <v>Business RebatesKU-LED Pole Light &gt; 250W</v>
      </c>
      <c r="B142" s="1297" t="str">
        <f t="shared" si="101"/>
        <v>KUBusiness Rebates</v>
      </c>
      <c r="C142" s="662" t="s">
        <v>240</v>
      </c>
      <c r="D142" s="662" t="s">
        <v>63</v>
      </c>
      <c r="E142" s="652" t="str">
        <f t="shared" ref="E142:G142" ca="1" si="110">VLOOKUP($C142,INDIRECT("'"&amp;$D142&amp;"'!A6:FC1000"),IF(E$6="Participation 2023",MATCH("__Participation 2023",INDIRECT("'"&amp;$D142&amp;"'!1:1"),0),IF(E$6="Participation",MATCH("_Total Plan Summary _Participation",INDIRECT("'"&amp;$D142&amp;"'!1:1"),0),MATCH(E$4&amp;"_"&amp;E$5&amp;"_"&amp;E$6,INDIRECT("'"&amp;$D142&amp;"'!1:1"),0))),0)</f>
        <v>KU-LED Pole Light &gt; 250W</v>
      </c>
      <c r="F142" s="652" t="str">
        <f t="shared" ca="1" si="110"/>
        <v>Any LED lamps or ballasts must also be ENERGY STAR® certified or listed on the Design Lights Consortium (DLC) qualified list.</v>
      </c>
      <c r="G142" s="652" t="str">
        <f t="shared" ca="1" si="110"/>
        <v>Per Unit</v>
      </c>
      <c r="H142" s="652">
        <f t="shared" ca="1" si="106"/>
        <v>375.5</v>
      </c>
      <c r="I142" s="652">
        <f t="shared" ca="1" si="106"/>
        <v>375.5</v>
      </c>
      <c r="J142" s="652">
        <f t="shared" ca="1" si="106"/>
        <v>375.5</v>
      </c>
      <c r="K142" s="652">
        <f t="shared" ca="1" si="106"/>
        <v>375.5</v>
      </c>
      <c r="L142" s="652">
        <f t="shared" ca="1" si="106"/>
        <v>375.5</v>
      </c>
      <c r="M142" s="652">
        <f t="shared" ca="1" si="106"/>
        <v>375.5</v>
      </c>
      <c r="N142" s="652">
        <f t="shared" ca="1" si="106"/>
        <v>375.5</v>
      </c>
      <c r="O142" s="652">
        <f t="shared" ca="1" si="106"/>
        <v>281625</v>
      </c>
      <c r="P142" s="652">
        <f t="shared" ca="1" si="106"/>
        <v>281625</v>
      </c>
      <c r="Q142" s="652">
        <f t="shared" ca="1" si="106"/>
        <v>281625</v>
      </c>
      <c r="R142" s="652">
        <f t="shared" ca="1" si="106"/>
        <v>281625</v>
      </c>
      <c r="S142" s="652">
        <f t="shared" ca="1" si="106"/>
        <v>281625</v>
      </c>
      <c r="T142" s="652">
        <f t="shared" ca="1" si="106"/>
        <v>281625</v>
      </c>
      <c r="U142" s="652">
        <f t="shared" ca="1" si="106"/>
        <v>281625</v>
      </c>
      <c r="V142" s="652">
        <f t="shared" ca="1" si="103"/>
        <v>-762.26499999999987</v>
      </c>
      <c r="W142" s="652">
        <f t="shared" ca="1" si="103"/>
        <v>-762.26499999999987</v>
      </c>
      <c r="X142" s="652">
        <f t="shared" ca="1" si="103"/>
        <v>-762.26499999999987</v>
      </c>
      <c r="Y142" s="652">
        <f t="shared" ca="1" si="103"/>
        <v>-762.26499999999987</v>
      </c>
      <c r="Z142" s="652">
        <f t="shared" ca="1" si="103"/>
        <v>-762.26499999999987</v>
      </c>
      <c r="AA142" s="652">
        <f t="shared" ca="1" si="103"/>
        <v>-762.26499999999987</v>
      </c>
      <c r="AB142" s="652">
        <f t="shared" ca="1" si="103"/>
        <v>-762.26499999999987</v>
      </c>
      <c r="AC142" s="652">
        <f t="shared" ca="1" si="103"/>
        <v>20652.5</v>
      </c>
      <c r="AD142" s="652">
        <f t="shared" ca="1" si="103"/>
        <v>20652.5</v>
      </c>
      <c r="AE142" s="652">
        <f t="shared" ca="1" si="103"/>
        <v>20652.5</v>
      </c>
      <c r="AF142" s="652">
        <f t="shared" ca="1" si="103"/>
        <v>20652.5</v>
      </c>
      <c r="AG142" s="652">
        <f t="shared" ca="1" si="103"/>
        <v>20652.5</v>
      </c>
      <c r="AH142" s="652">
        <f t="shared" ca="1" si="103"/>
        <v>20652.5</v>
      </c>
      <c r="AI142" s="652">
        <f t="shared" ca="1" si="104"/>
        <v>20652.5</v>
      </c>
      <c r="AJ142" s="652">
        <f t="shared" ca="1" si="104"/>
        <v>357851.12449999998</v>
      </c>
      <c r="AK142" s="652">
        <f t="shared" ca="1" si="104"/>
        <v>357851.12449999998</v>
      </c>
      <c r="AL142" s="652">
        <f t="shared" ca="1" si="104"/>
        <v>357851.12449999998</v>
      </c>
      <c r="AM142" s="652">
        <f t="shared" ca="1" si="104"/>
        <v>357851.12449999998</v>
      </c>
      <c r="AN142" s="652">
        <f t="shared" ca="1" si="104"/>
        <v>357851.12449999998</v>
      </c>
      <c r="AO142" s="652">
        <f t="shared" ca="1" si="104"/>
        <v>357851.12449999998</v>
      </c>
      <c r="AP142" s="652">
        <f t="shared" ca="1" si="104"/>
        <v>357851.12449999998</v>
      </c>
      <c r="AQ142" s="652">
        <f t="shared" ca="1" si="104"/>
        <v>0</v>
      </c>
      <c r="AR142" s="652">
        <f t="shared" ca="1" si="104"/>
        <v>0</v>
      </c>
      <c r="AS142" s="652">
        <f t="shared" ca="1" si="104"/>
        <v>0</v>
      </c>
      <c r="AT142" s="652">
        <f t="shared" ca="1" si="104"/>
        <v>0</v>
      </c>
      <c r="AU142" s="652">
        <f t="shared" ca="1" si="104"/>
        <v>0</v>
      </c>
      <c r="AV142" s="652">
        <f t="shared" ca="1" si="104"/>
        <v>0</v>
      </c>
      <c r="AW142" s="652">
        <f t="shared" ca="1" si="102"/>
        <v>0</v>
      </c>
      <c r="AX142" s="652">
        <f t="shared" ca="1" si="102"/>
        <v>0</v>
      </c>
      <c r="AY142" s="652">
        <f t="shared" ca="1" si="102"/>
        <v>0</v>
      </c>
      <c r="AZ142" s="652">
        <f t="shared" ca="1" si="102"/>
        <v>0</v>
      </c>
      <c r="BA142" s="652">
        <f t="shared" ca="1" si="102"/>
        <v>0</v>
      </c>
      <c r="BB142" s="652">
        <f t="shared" ca="1" si="102"/>
        <v>0</v>
      </c>
      <c r="BC142" s="652">
        <f t="shared" ca="1" si="102"/>
        <v>0</v>
      </c>
      <c r="BD142" s="652">
        <f t="shared" ca="1" si="102"/>
        <v>0</v>
      </c>
      <c r="BE142" s="652" t="str">
        <f t="shared" ca="1" si="107"/>
        <v>Commercial</v>
      </c>
      <c r="BF142" s="652" t="str">
        <f t="shared" ca="1" si="107"/>
        <v>OFFLGInLight</v>
      </c>
      <c r="BG142" s="652" t="str">
        <f t="shared" ca="1" si="107"/>
        <v>OFFSMGasHeat</v>
      </c>
      <c r="BH142" s="652" t="str">
        <f t="shared" ca="1" si="107"/>
        <v>KU NonRes</v>
      </c>
      <c r="BI142" s="652" t="str">
        <f t="shared" ca="1" si="107"/>
        <v>KU NonRes</v>
      </c>
      <c r="BJ142" s="652">
        <f t="shared" ca="1" si="107"/>
        <v>19</v>
      </c>
      <c r="BK142" s="652">
        <f t="shared" ca="1" si="107"/>
        <v>0</v>
      </c>
      <c r="BL142" s="652">
        <f t="shared" ca="1" si="94"/>
        <v>0</v>
      </c>
      <c r="BM142" s="652">
        <f t="shared" ca="1" si="94"/>
        <v>0</v>
      </c>
      <c r="BN142" s="652">
        <f t="shared" ca="1" si="94"/>
        <v>0</v>
      </c>
      <c r="BO142" s="652">
        <f t="shared" ca="1" si="94"/>
        <v>0</v>
      </c>
      <c r="BP142" s="652">
        <f t="shared" ca="1" si="94"/>
        <v>0</v>
      </c>
      <c r="BQ142" s="652">
        <f t="shared" ca="1" si="94"/>
        <v>0</v>
      </c>
      <c r="BR142" s="652">
        <f t="shared" ca="1" si="109"/>
        <v>2628.5</v>
      </c>
      <c r="BS142" s="652">
        <f t="shared" ca="1" si="102"/>
        <v>1971375</v>
      </c>
      <c r="BT142" s="652">
        <f t="shared" ca="1" si="102"/>
        <v>-5335.8549999999996</v>
      </c>
      <c r="BU142" s="652">
        <f t="shared" ca="1" si="102"/>
        <v>144567.5</v>
      </c>
      <c r="BV142" s="652">
        <f t="shared" ca="1" si="102"/>
        <v>0</v>
      </c>
      <c r="BW142" s="652">
        <f t="shared" ca="1" si="102"/>
        <v>2504957.8714999999</v>
      </c>
      <c r="BX142" s="652">
        <f t="shared" ca="1" si="107"/>
        <v>0</v>
      </c>
      <c r="BY142" s="652">
        <f t="shared" ca="1" si="107"/>
        <v>0</v>
      </c>
    </row>
    <row r="143" spans="1:77">
      <c r="A143" s="425" t="str">
        <f t="shared" ca="1" si="108"/>
        <v>Business RebatesLG&amp;E-Commercial Energy Audit</v>
      </c>
      <c r="B143" s="1297" t="str">
        <f t="shared" si="101"/>
        <v>LG&amp;EBusiness Rebates</v>
      </c>
      <c r="C143" s="662" t="s">
        <v>172</v>
      </c>
      <c r="D143" s="662" t="s">
        <v>63</v>
      </c>
      <c r="E143" s="652" t="str">
        <f t="shared" ca="1" si="105"/>
        <v>LG&amp;E-Commercial Energy Audit</v>
      </c>
      <c r="F143" s="652" t="str">
        <f t="shared" ca="1" si="105"/>
        <v>Audit</v>
      </c>
      <c r="G143" s="652" t="str">
        <f t="shared" ca="1" si="105"/>
        <v>Per Audit</v>
      </c>
      <c r="H143" s="652">
        <f t="shared" ca="1" si="106"/>
        <v>5</v>
      </c>
      <c r="I143" s="652">
        <f t="shared" ca="1" si="106"/>
        <v>5</v>
      </c>
      <c r="J143" s="652">
        <f t="shared" ca="1" si="106"/>
        <v>5</v>
      </c>
      <c r="K143" s="652">
        <f t="shared" ca="1" si="106"/>
        <v>5</v>
      </c>
      <c r="L143" s="652">
        <f t="shared" ca="1" si="106"/>
        <v>5</v>
      </c>
      <c r="M143" s="652">
        <f t="shared" ca="1" si="106"/>
        <v>5</v>
      </c>
      <c r="N143" s="652">
        <f t="shared" ca="1" si="106"/>
        <v>5</v>
      </c>
      <c r="O143" s="652">
        <f t="shared" ca="1" si="106"/>
        <v>60000</v>
      </c>
      <c r="P143" s="652">
        <f t="shared" ca="1" si="106"/>
        <v>60000</v>
      </c>
      <c r="Q143" s="652">
        <f t="shared" ca="1" si="106"/>
        <v>60000</v>
      </c>
      <c r="R143" s="652">
        <f t="shared" ca="1" si="106"/>
        <v>60000</v>
      </c>
      <c r="S143" s="652">
        <f t="shared" ca="1" si="106"/>
        <v>60000</v>
      </c>
      <c r="T143" s="652">
        <f t="shared" ca="1" si="106"/>
        <v>60000</v>
      </c>
      <c r="U143" s="652">
        <f t="shared" ca="1" si="106"/>
        <v>60000</v>
      </c>
      <c r="V143" s="652">
        <f t="shared" ca="1" si="103"/>
        <v>0</v>
      </c>
      <c r="W143" s="652">
        <f t="shared" ca="1" si="103"/>
        <v>0</v>
      </c>
      <c r="X143" s="652">
        <f t="shared" ca="1" si="103"/>
        <v>0</v>
      </c>
      <c r="Y143" s="652">
        <f t="shared" ca="1" si="103"/>
        <v>0</v>
      </c>
      <c r="Z143" s="652">
        <f t="shared" ca="1" si="103"/>
        <v>0</v>
      </c>
      <c r="AA143" s="652">
        <f t="shared" ca="1" si="103"/>
        <v>0</v>
      </c>
      <c r="AB143" s="652">
        <f t="shared" ca="1" si="103"/>
        <v>0</v>
      </c>
      <c r="AC143" s="652">
        <f t="shared" ca="1" si="103"/>
        <v>15000</v>
      </c>
      <c r="AD143" s="652">
        <f t="shared" ca="1" si="103"/>
        <v>15000</v>
      </c>
      <c r="AE143" s="652">
        <f t="shared" ca="1" si="103"/>
        <v>15000</v>
      </c>
      <c r="AF143" s="652">
        <f t="shared" ca="1" si="103"/>
        <v>15000</v>
      </c>
      <c r="AG143" s="652">
        <f t="shared" ca="1" si="103"/>
        <v>15000</v>
      </c>
      <c r="AH143" s="652">
        <f t="shared" ca="1" si="103"/>
        <v>15000</v>
      </c>
      <c r="AI143" s="652">
        <f t="shared" ca="1" si="104"/>
        <v>15000</v>
      </c>
      <c r="AJ143" s="652">
        <f t="shared" ca="1" si="104"/>
        <v>0</v>
      </c>
      <c r="AK143" s="652">
        <f t="shared" ca="1" si="104"/>
        <v>0</v>
      </c>
      <c r="AL143" s="652">
        <f t="shared" ca="1" si="104"/>
        <v>0</v>
      </c>
      <c r="AM143" s="652">
        <f t="shared" ca="1" si="104"/>
        <v>0</v>
      </c>
      <c r="AN143" s="652">
        <f t="shared" ca="1" si="104"/>
        <v>0</v>
      </c>
      <c r="AO143" s="652">
        <f t="shared" ca="1" si="104"/>
        <v>0</v>
      </c>
      <c r="AP143" s="652">
        <f t="shared" ca="1" si="104"/>
        <v>0</v>
      </c>
      <c r="AQ143" s="652">
        <f t="shared" ca="1" si="104"/>
        <v>0</v>
      </c>
      <c r="AR143" s="652">
        <f t="shared" ca="1" si="104"/>
        <v>0</v>
      </c>
      <c r="AS143" s="652">
        <f t="shared" ca="1" si="104"/>
        <v>0</v>
      </c>
      <c r="AT143" s="652">
        <f t="shared" ca="1" si="104"/>
        <v>0</v>
      </c>
      <c r="AU143" s="652">
        <f t="shared" ca="1" si="104"/>
        <v>0</v>
      </c>
      <c r="AV143" s="652">
        <f t="shared" ca="1" si="104"/>
        <v>0</v>
      </c>
      <c r="AW143" s="652">
        <f t="shared" ca="1" si="102"/>
        <v>0</v>
      </c>
      <c r="AX143" s="652">
        <f t="shared" ca="1" si="102"/>
        <v>0</v>
      </c>
      <c r="AY143" s="652">
        <f t="shared" ca="1" si="102"/>
        <v>0</v>
      </c>
      <c r="AZ143" s="652">
        <f t="shared" ca="1" si="102"/>
        <v>0</v>
      </c>
      <c r="BA143" s="652">
        <f t="shared" ca="1" si="102"/>
        <v>0</v>
      </c>
      <c r="BB143" s="652">
        <f t="shared" ca="1" si="102"/>
        <v>0</v>
      </c>
      <c r="BC143" s="652">
        <f t="shared" ca="1" si="102"/>
        <v>0</v>
      </c>
      <c r="BD143" s="652">
        <f t="shared" ca="1" si="102"/>
        <v>0</v>
      </c>
      <c r="BE143" s="652" t="str">
        <f t="shared" ca="1" si="107"/>
        <v>Commercial</v>
      </c>
      <c r="BF143" s="652" t="str">
        <f t="shared" ca="1" si="107"/>
        <v>OFFSMCool</v>
      </c>
      <c r="BG143" s="652" t="str">
        <f t="shared" ca="1" si="107"/>
        <v>OFFSMGasHeat</v>
      </c>
      <c r="BH143" s="652" t="str">
        <f t="shared" ca="1" si="107"/>
        <v>LGE NonRes</v>
      </c>
      <c r="BI143" s="652" t="str">
        <f t="shared" ca="1" si="107"/>
        <v>LGE NonRes</v>
      </c>
      <c r="BJ143" s="652">
        <f t="shared" ca="1" si="107"/>
        <v>1</v>
      </c>
      <c r="BK143" s="652">
        <f t="shared" ca="1" si="107"/>
        <v>0</v>
      </c>
      <c r="BL143" s="652">
        <f t="shared" ca="1" si="94"/>
        <v>0</v>
      </c>
      <c r="BM143" s="652">
        <f t="shared" ca="1" si="94"/>
        <v>0</v>
      </c>
      <c r="BN143" s="652">
        <f t="shared" ca="1" si="94"/>
        <v>0</v>
      </c>
      <c r="BO143" s="652">
        <f t="shared" ca="1" si="94"/>
        <v>0</v>
      </c>
      <c r="BP143" s="652">
        <f t="shared" ca="1" si="94"/>
        <v>0</v>
      </c>
      <c r="BQ143" s="652">
        <f t="shared" ca="1" si="94"/>
        <v>0</v>
      </c>
      <c r="BR143" s="652">
        <f t="shared" ca="1" si="109"/>
        <v>35</v>
      </c>
      <c r="BS143" s="652">
        <f t="shared" ca="1" si="102"/>
        <v>420000</v>
      </c>
      <c r="BT143" s="652">
        <f t="shared" ca="1" si="102"/>
        <v>0</v>
      </c>
      <c r="BU143" s="652">
        <f t="shared" ca="1" si="102"/>
        <v>105000</v>
      </c>
      <c r="BV143" s="652">
        <f t="shared" ca="1" si="102"/>
        <v>0</v>
      </c>
      <c r="BW143" s="652">
        <f t="shared" ca="1" si="102"/>
        <v>0</v>
      </c>
      <c r="BX143" s="652">
        <f t="shared" ca="1" si="107"/>
        <v>0</v>
      </c>
      <c r="BY143" s="652">
        <f t="shared" ca="1" si="107"/>
        <v>0</v>
      </c>
    </row>
    <row r="144" spans="1:77">
      <c r="A144" s="425" t="str">
        <f t="shared" ca="1" si="108"/>
        <v xml:space="preserve">Business RebatesLG&amp;E-Air Cooled Chiller </v>
      </c>
      <c r="B144" s="1297" t="str">
        <f t="shared" si="101"/>
        <v>LG&amp;EBusiness Rebates</v>
      </c>
      <c r="C144" s="662" t="s">
        <v>174</v>
      </c>
      <c r="D144" s="662" t="s">
        <v>63</v>
      </c>
      <c r="E144" s="652" t="str">
        <f t="shared" ca="1" si="105"/>
        <v xml:space="preserve">LG&amp;E-Air Cooled Chiller </v>
      </c>
      <c r="F144" s="652" t="str">
        <f t="shared" ca="1" si="105"/>
        <v>1.18 kW/ton full load (10.1 EER)</v>
      </c>
      <c r="G144" s="652" t="str">
        <f t="shared" ca="1" si="105"/>
        <v>Per Ton</v>
      </c>
      <c r="H144" s="652">
        <f t="shared" ca="1" si="106"/>
        <v>141.5</v>
      </c>
      <c r="I144" s="652">
        <f t="shared" ca="1" si="106"/>
        <v>141.5</v>
      </c>
      <c r="J144" s="652">
        <f t="shared" ca="1" si="106"/>
        <v>141.5</v>
      </c>
      <c r="K144" s="652">
        <f t="shared" ca="1" si="106"/>
        <v>141.5</v>
      </c>
      <c r="L144" s="652">
        <f t="shared" ca="1" si="106"/>
        <v>141.5</v>
      </c>
      <c r="M144" s="652">
        <f t="shared" ca="1" si="106"/>
        <v>141.5</v>
      </c>
      <c r="N144" s="652">
        <f t="shared" ca="1" si="106"/>
        <v>141.5</v>
      </c>
      <c r="O144" s="652">
        <f t="shared" ca="1" si="106"/>
        <v>15423.5</v>
      </c>
      <c r="P144" s="652">
        <f t="shared" ca="1" si="106"/>
        <v>15423.5</v>
      </c>
      <c r="Q144" s="652">
        <f t="shared" ca="1" si="106"/>
        <v>15423.5</v>
      </c>
      <c r="R144" s="652">
        <f t="shared" ca="1" si="106"/>
        <v>15423.5</v>
      </c>
      <c r="S144" s="652">
        <f t="shared" ca="1" si="106"/>
        <v>15423.5</v>
      </c>
      <c r="T144" s="652">
        <f t="shared" ca="1" si="106"/>
        <v>15423.5</v>
      </c>
      <c r="U144" s="652">
        <f t="shared" ca="1" si="106"/>
        <v>15423.5</v>
      </c>
      <c r="V144" s="652">
        <f t="shared" ca="1" si="103"/>
        <v>0</v>
      </c>
      <c r="W144" s="652">
        <f t="shared" ca="1" si="103"/>
        <v>0</v>
      </c>
      <c r="X144" s="652">
        <f t="shared" ca="1" si="103"/>
        <v>0</v>
      </c>
      <c r="Y144" s="652">
        <f t="shared" ca="1" si="103"/>
        <v>0</v>
      </c>
      <c r="Z144" s="652">
        <f t="shared" ca="1" si="103"/>
        <v>0</v>
      </c>
      <c r="AA144" s="652">
        <f t="shared" ca="1" si="103"/>
        <v>0</v>
      </c>
      <c r="AB144" s="652">
        <f t="shared" ca="1" si="103"/>
        <v>0</v>
      </c>
      <c r="AC144" s="652">
        <f t="shared" ca="1" si="103"/>
        <v>707.5</v>
      </c>
      <c r="AD144" s="652">
        <f t="shared" ca="1" si="103"/>
        <v>707.5</v>
      </c>
      <c r="AE144" s="652">
        <f t="shared" ca="1" si="103"/>
        <v>707.5</v>
      </c>
      <c r="AF144" s="652">
        <f t="shared" ca="1" si="103"/>
        <v>707.5</v>
      </c>
      <c r="AG144" s="652">
        <f t="shared" ca="1" si="103"/>
        <v>707.5</v>
      </c>
      <c r="AH144" s="652">
        <f t="shared" ca="1" si="103"/>
        <v>707.5</v>
      </c>
      <c r="AI144" s="652">
        <f t="shared" ca="1" si="104"/>
        <v>707.5</v>
      </c>
      <c r="AJ144" s="652">
        <f t="shared" ca="1" si="104"/>
        <v>12985.65525833482</v>
      </c>
      <c r="AK144" s="652">
        <f t="shared" ca="1" si="104"/>
        <v>12985.65525833482</v>
      </c>
      <c r="AL144" s="652">
        <f t="shared" ca="1" si="104"/>
        <v>12985.65525833482</v>
      </c>
      <c r="AM144" s="652">
        <f t="shared" ca="1" si="104"/>
        <v>12985.65525833482</v>
      </c>
      <c r="AN144" s="652">
        <f t="shared" ca="1" si="104"/>
        <v>12985.65525833482</v>
      </c>
      <c r="AO144" s="652">
        <f t="shared" ca="1" si="104"/>
        <v>12985.65525833482</v>
      </c>
      <c r="AP144" s="652">
        <f t="shared" ca="1" si="104"/>
        <v>12985.65525833482</v>
      </c>
      <c r="AQ144" s="652">
        <f t="shared" ca="1" si="104"/>
        <v>7.6429533570382908</v>
      </c>
      <c r="AR144" s="652">
        <f t="shared" ca="1" si="104"/>
        <v>7.6429533570382908</v>
      </c>
      <c r="AS144" s="652">
        <f t="shared" ca="1" si="104"/>
        <v>7.6429533570382908</v>
      </c>
      <c r="AT144" s="652">
        <f t="shared" ca="1" si="104"/>
        <v>7.6429533570382908</v>
      </c>
      <c r="AU144" s="652">
        <f t="shared" ca="1" si="104"/>
        <v>7.6429533570382908</v>
      </c>
      <c r="AV144" s="652">
        <f t="shared" ca="1" si="104"/>
        <v>7.6429533570382908</v>
      </c>
      <c r="AW144" s="652">
        <f t="shared" ca="1" si="102"/>
        <v>7.6429533570382908</v>
      </c>
      <c r="AX144" s="652">
        <f t="shared" ca="1" si="102"/>
        <v>0</v>
      </c>
      <c r="AY144" s="652">
        <f t="shared" ca="1" si="102"/>
        <v>0</v>
      </c>
      <c r="AZ144" s="652">
        <f t="shared" ca="1" si="102"/>
        <v>0</v>
      </c>
      <c r="BA144" s="652">
        <f t="shared" ca="1" si="102"/>
        <v>0</v>
      </c>
      <c r="BB144" s="652">
        <f t="shared" ca="1" si="102"/>
        <v>0</v>
      </c>
      <c r="BC144" s="652">
        <f t="shared" ca="1" si="102"/>
        <v>0</v>
      </c>
      <c r="BD144" s="652">
        <f t="shared" ca="1" si="102"/>
        <v>0</v>
      </c>
      <c r="BE144" s="652" t="str">
        <f t="shared" ca="1" si="107"/>
        <v>Commercial</v>
      </c>
      <c r="BF144" s="652" t="str">
        <f t="shared" ca="1" si="107"/>
        <v>OFFSMCool</v>
      </c>
      <c r="BG144" s="652" t="str">
        <f t="shared" ca="1" si="107"/>
        <v>OFFSMGasHeat</v>
      </c>
      <c r="BH144" s="652" t="str">
        <f t="shared" ca="1" si="107"/>
        <v>LGE NonRes</v>
      </c>
      <c r="BI144" s="652" t="str">
        <f t="shared" ca="1" si="107"/>
        <v>LGE NonRes</v>
      </c>
      <c r="BJ144" s="652">
        <f t="shared" ca="1" si="107"/>
        <v>20</v>
      </c>
      <c r="BK144" s="652">
        <f t="shared" ca="1" si="107"/>
        <v>0</v>
      </c>
      <c r="BL144" s="652">
        <f t="shared" ca="1" si="94"/>
        <v>0</v>
      </c>
      <c r="BM144" s="652">
        <f t="shared" ca="1" si="94"/>
        <v>0</v>
      </c>
      <c r="BN144" s="652">
        <f t="shared" ca="1" si="94"/>
        <v>0</v>
      </c>
      <c r="BO144" s="652">
        <f t="shared" ca="1" si="94"/>
        <v>0</v>
      </c>
      <c r="BP144" s="652">
        <f t="shared" ca="1" si="94"/>
        <v>0</v>
      </c>
      <c r="BQ144" s="652">
        <f t="shared" ca="1" si="94"/>
        <v>0</v>
      </c>
      <c r="BR144" s="652">
        <f t="shared" ca="1" si="109"/>
        <v>990.5</v>
      </c>
      <c r="BS144" s="652">
        <f t="shared" ca="1" si="102"/>
        <v>107964.5</v>
      </c>
      <c r="BT144" s="652">
        <f t="shared" ca="1" si="102"/>
        <v>0</v>
      </c>
      <c r="BU144" s="652">
        <f t="shared" ca="1" si="102"/>
        <v>4952.5</v>
      </c>
      <c r="BV144" s="652">
        <f t="shared" ca="1" si="102"/>
        <v>0</v>
      </c>
      <c r="BW144" s="652">
        <f t="shared" ca="1" si="102"/>
        <v>90899.586808343753</v>
      </c>
      <c r="BX144" s="652">
        <f t="shared" ca="1" si="107"/>
        <v>53.500673499268046</v>
      </c>
      <c r="BY144" s="652">
        <f t="shared" ca="1" si="107"/>
        <v>0</v>
      </c>
    </row>
    <row r="145" spans="1:77">
      <c r="A145" s="425" t="str">
        <f t="shared" ca="1" si="108"/>
        <v>Business RebatesLG&amp;E-Water Cooled Chiller &lt; 150 Tons</v>
      </c>
      <c r="B145" s="1297" t="str">
        <f t="shared" si="101"/>
        <v>LG&amp;EBusiness Rebates</v>
      </c>
      <c r="C145" s="662" t="s">
        <v>179</v>
      </c>
      <c r="D145" s="662" t="s">
        <v>63</v>
      </c>
      <c r="E145" s="652" t="str">
        <f t="shared" ca="1" si="105"/>
        <v>LG&amp;E-Water Cooled Chiller &lt; 150 Tons</v>
      </c>
      <c r="F145" s="652" t="str">
        <f t="shared" ca="1" si="105"/>
        <v>0.66 kW/ton (full load); 0.54 kW/ton (IPLV)</v>
      </c>
      <c r="G145" s="652" t="str">
        <f t="shared" ca="1" si="105"/>
        <v>Per Ton</v>
      </c>
      <c r="H145" s="652">
        <f t="shared" ca="1" si="106"/>
        <v>0</v>
      </c>
      <c r="I145" s="652">
        <f t="shared" ca="1" si="106"/>
        <v>0</v>
      </c>
      <c r="J145" s="652">
        <f t="shared" ca="1" si="106"/>
        <v>0.5</v>
      </c>
      <c r="K145" s="652">
        <f t="shared" ca="1" si="106"/>
        <v>0</v>
      </c>
      <c r="L145" s="652">
        <f t="shared" ca="1" si="106"/>
        <v>0</v>
      </c>
      <c r="M145" s="652">
        <f t="shared" ca="1" si="106"/>
        <v>0.5</v>
      </c>
      <c r="N145" s="652">
        <f t="shared" ca="1" si="106"/>
        <v>0</v>
      </c>
      <c r="O145" s="652">
        <f t="shared" ca="1" si="106"/>
        <v>0</v>
      </c>
      <c r="P145" s="652">
        <f t="shared" ca="1" si="106"/>
        <v>0</v>
      </c>
      <c r="Q145" s="652">
        <f t="shared" ca="1" si="106"/>
        <v>5200</v>
      </c>
      <c r="R145" s="652">
        <f t="shared" ca="1" si="106"/>
        <v>0</v>
      </c>
      <c r="S145" s="652">
        <f t="shared" ca="1" si="106"/>
        <v>0</v>
      </c>
      <c r="T145" s="652">
        <f t="shared" ca="1" si="106"/>
        <v>5200</v>
      </c>
      <c r="U145" s="652">
        <f t="shared" ca="1" si="106"/>
        <v>0</v>
      </c>
      <c r="V145" s="652">
        <f t="shared" ca="1" si="103"/>
        <v>0</v>
      </c>
      <c r="W145" s="652">
        <f t="shared" ca="1" si="103"/>
        <v>0</v>
      </c>
      <c r="X145" s="652">
        <f t="shared" ca="1" si="103"/>
        <v>0</v>
      </c>
      <c r="Y145" s="652">
        <f t="shared" ca="1" si="103"/>
        <v>0</v>
      </c>
      <c r="Z145" s="652">
        <f t="shared" ca="1" si="103"/>
        <v>0</v>
      </c>
      <c r="AA145" s="652">
        <f t="shared" ca="1" si="103"/>
        <v>0</v>
      </c>
      <c r="AB145" s="652">
        <f t="shared" ca="1" si="103"/>
        <v>0</v>
      </c>
      <c r="AC145" s="652">
        <f t="shared" ca="1" si="103"/>
        <v>0</v>
      </c>
      <c r="AD145" s="652">
        <f t="shared" ca="1" si="103"/>
        <v>0</v>
      </c>
      <c r="AE145" s="652">
        <f t="shared" ca="1" si="103"/>
        <v>150</v>
      </c>
      <c r="AF145" s="652">
        <f t="shared" ca="1" si="103"/>
        <v>0</v>
      </c>
      <c r="AG145" s="652">
        <f t="shared" ca="1" si="103"/>
        <v>0</v>
      </c>
      <c r="AH145" s="652">
        <f t="shared" ca="1" si="103"/>
        <v>150</v>
      </c>
      <c r="AI145" s="652">
        <f t="shared" ca="1" si="104"/>
        <v>0</v>
      </c>
      <c r="AJ145" s="652">
        <f t="shared" ca="1" si="104"/>
        <v>0</v>
      </c>
      <c r="AK145" s="652">
        <f t="shared" ca="1" si="104"/>
        <v>0</v>
      </c>
      <c r="AL145" s="652">
        <f t="shared" ca="1" si="104"/>
        <v>1091.3788098693767</v>
      </c>
      <c r="AM145" s="652">
        <f t="shared" ca="1" si="104"/>
        <v>0</v>
      </c>
      <c r="AN145" s="652">
        <f t="shared" ca="1" si="104"/>
        <v>0</v>
      </c>
      <c r="AO145" s="652">
        <f t="shared" ca="1" si="104"/>
        <v>1091.3788098693767</v>
      </c>
      <c r="AP145" s="652">
        <f t="shared" ca="1" si="104"/>
        <v>0</v>
      </c>
      <c r="AQ145" s="652">
        <f t="shared" ca="1" si="104"/>
        <v>0</v>
      </c>
      <c r="AR145" s="652">
        <f t="shared" ca="1" si="104"/>
        <v>0</v>
      </c>
      <c r="AS145" s="652">
        <f t="shared" ca="1" si="104"/>
        <v>2.4239999999999977</v>
      </c>
      <c r="AT145" s="652">
        <f t="shared" ca="1" si="104"/>
        <v>0</v>
      </c>
      <c r="AU145" s="652">
        <f t="shared" ca="1" si="104"/>
        <v>0</v>
      </c>
      <c r="AV145" s="652">
        <f t="shared" ca="1" si="104"/>
        <v>2.4239999999999977</v>
      </c>
      <c r="AW145" s="652">
        <f t="shared" ca="1" si="102"/>
        <v>0</v>
      </c>
      <c r="AX145" s="652">
        <f t="shared" ca="1" si="102"/>
        <v>0</v>
      </c>
      <c r="AY145" s="652">
        <f t="shared" ca="1" si="102"/>
        <v>0</v>
      </c>
      <c r="AZ145" s="652">
        <f t="shared" ca="1" si="102"/>
        <v>0</v>
      </c>
      <c r="BA145" s="652">
        <f t="shared" ca="1" si="102"/>
        <v>0</v>
      </c>
      <c r="BB145" s="652">
        <f t="shared" ca="1" si="102"/>
        <v>0</v>
      </c>
      <c r="BC145" s="652">
        <f t="shared" ca="1" si="102"/>
        <v>0</v>
      </c>
      <c r="BD145" s="652">
        <f t="shared" ca="1" si="102"/>
        <v>0</v>
      </c>
      <c r="BE145" s="652" t="str">
        <f t="shared" ca="1" si="107"/>
        <v>Commercial</v>
      </c>
      <c r="BF145" s="652" t="str">
        <f t="shared" ca="1" si="107"/>
        <v>OFFSMCool</v>
      </c>
      <c r="BG145" s="652" t="str">
        <f t="shared" ca="1" si="107"/>
        <v>OFFSMGasHeat</v>
      </c>
      <c r="BH145" s="652" t="str">
        <f t="shared" ca="1" si="107"/>
        <v>LGE NonRes</v>
      </c>
      <c r="BI145" s="652" t="str">
        <f t="shared" ca="1" si="107"/>
        <v>LGE NonRes</v>
      </c>
      <c r="BJ145" s="652">
        <f t="shared" ca="1" si="107"/>
        <v>20</v>
      </c>
      <c r="BK145" s="652">
        <f t="shared" ca="1" si="107"/>
        <v>0</v>
      </c>
      <c r="BL145" s="652">
        <f t="shared" ca="1" si="94"/>
        <v>0</v>
      </c>
      <c r="BM145" s="652">
        <f t="shared" ca="1" si="94"/>
        <v>0</v>
      </c>
      <c r="BN145" s="652">
        <f t="shared" ca="1" si="94"/>
        <v>0</v>
      </c>
      <c r="BO145" s="652">
        <f t="shared" ca="1" si="94"/>
        <v>0</v>
      </c>
      <c r="BP145" s="652">
        <f t="shared" ca="1" si="94"/>
        <v>0</v>
      </c>
      <c r="BQ145" s="652">
        <f t="shared" ca="1" si="94"/>
        <v>0</v>
      </c>
      <c r="BR145" s="652">
        <f t="shared" ca="1" si="109"/>
        <v>1</v>
      </c>
      <c r="BS145" s="652">
        <f t="shared" ca="1" si="102"/>
        <v>10400</v>
      </c>
      <c r="BT145" s="652">
        <f t="shared" ca="1" si="102"/>
        <v>0</v>
      </c>
      <c r="BU145" s="652">
        <f t="shared" ca="1" si="102"/>
        <v>300</v>
      </c>
      <c r="BV145" s="652">
        <f t="shared" ca="1" si="102"/>
        <v>0</v>
      </c>
      <c r="BW145" s="652">
        <f t="shared" ca="1" si="102"/>
        <v>2182.7576197387534</v>
      </c>
      <c r="BX145" s="652">
        <f t="shared" ca="1" si="107"/>
        <v>4.8479999999999954</v>
      </c>
      <c r="BY145" s="652">
        <f t="shared" ca="1" si="107"/>
        <v>0</v>
      </c>
    </row>
    <row r="146" spans="1:77">
      <c r="A146" s="425" t="str">
        <f t="shared" ca="1" si="108"/>
        <v>Business RebatesLG&amp;E-Water Cooled Chiller ≥ 150 Tons &amp; ≤ 300 Tons</v>
      </c>
      <c r="B146" s="1297" t="str">
        <f t="shared" si="101"/>
        <v>LG&amp;EBusiness Rebates</v>
      </c>
      <c r="C146" s="662" t="s">
        <v>180</v>
      </c>
      <c r="D146" s="662" t="s">
        <v>63</v>
      </c>
      <c r="E146" s="652" t="str">
        <f t="shared" ca="1" si="105"/>
        <v>LG&amp;E-Water Cooled Chiller ≥ 150 Tons &amp; ≤ 300 Tons</v>
      </c>
      <c r="F146" s="652" t="str">
        <f t="shared" ca="1" si="105"/>
        <v>0.58 kW/ton (full load); 0.49 kW/ton (IPLV)</v>
      </c>
      <c r="G146" s="652" t="str">
        <f t="shared" ca="1" si="105"/>
        <v>Per Ton</v>
      </c>
      <c r="H146" s="652">
        <f t="shared" ca="1" si="106"/>
        <v>0.5</v>
      </c>
      <c r="I146" s="652">
        <f t="shared" ca="1" si="106"/>
        <v>0</v>
      </c>
      <c r="J146" s="652">
        <f t="shared" ca="1" si="106"/>
        <v>0</v>
      </c>
      <c r="K146" s="652">
        <f t="shared" ca="1" si="106"/>
        <v>0.5</v>
      </c>
      <c r="L146" s="652">
        <f t="shared" ca="1" si="106"/>
        <v>0</v>
      </c>
      <c r="M146" s="652">
        <f t="shared" ca="1" si="106"/>
        <v>0</v>
      </c>
      <c r="N146" s="652">
        <f t="shared" ca="1" si="106"/>
        <v>0.5</v>
      </c>
      <c r="O146" s="652">
        <f t="shared" ca="1" si="106"/>
        <v>7800</v>
      </c>
      <c r="P146" s="652">
        <f t="shared" ca="1" si="106"/>
        <v>0</v>
      </c>
      <c r="Q146" s="652">
        <f t="shared" ca="1" si="106"/>
        <v>0</v>
      </c>
      <c r="R146" s="652">
        <f t="shared" ca="1" si="106"/>
        <v>7800</v>
      </c>
      <c r="S146" s="652">
        <f t="shared" ca="1" si="106"/>
        <v>0</v>
      </c>
      <c r="T146" s="652">
        <f t="shared" ca="1" si="106"/>
        <v>0</v>
      </c>
      <c r="U146" s="652">
        <f t="shared" ca="1" si="106"/>
        <v>7800</v>
      </c>
      <c r="V146" s="652">
        <f t="shared" ca="1" si="103"/>
        <v>0</v>
      </c>
      <c r="W146" s="652">
        <f t="shared" ca="1" si="103"/>
        <v>0</v>
      </c>
      <c r="X146" s="652">
        <f t="shared" ca="1" si="103"/>
        <v>0</v>
      </c>
      <c r="Y146" s="652">
        <f t="shared" ca="1" si="103"/>
        <v>0</v>
      </c>
      <c r="Z146" s="652">
        <f t="shared" ca="1" si="103"/>
        <v>0</v>
      </c>
      <c r="AA146" s="652">
        <f t="shared" ca="1" si="103"/>
        <v>0</v>
      </c>
      <c r="AB146" s="652">
        <f t="shared" ca="1" si="103"/>
        <v>0</v>
      </c>
      <c r="AC146" s="652">
        <f t="shared" ca="1" si="103"/>
        <v>300</v>
      </c>
      <c r="AD146" s="652">
        <f t="shared" ca="1" si="103"/>
        <v>0</v>
      </c>
      <c r="AE146" s="652">
        <f t="shared" ca="1" si="103"/>
        <v>0</v>
      </c>
      <c r="AF146" s="652">
        <f t="shared" ca="1" si="103"/>
        <v>300</v>
      </c>
      <c r="AG146" s="652">
        <f t="shared" ca="1" si="103"/>
        <v>0</v>
      </c>
      <c r="AH146" s="652">
        <f t="shared" ca="1" si="103"/>
        <v>0</v>
      </c>
      <c r="AI146" s="652">
        <f t="shared" ca="1" si="104"/>
        <v>300</v>
      </c>
      <c r="AJ146" s="652">
        <f t="shared" ca="1" si="104"/>
        <v>5456.8940493468845</v>
      </c>
      <c r="AK146" s="652">
        <f t="shared" ca="1" si="104"/>
        <v>0</v>
      </c>
      <c r="AL146" s="652">
        <f t="shared" ca="1" si="104"/>
        <v>0</v>
      </c>
      <c r="AM146" s="652">
        <f t="shared" ca="1" si="104"/>
        <v>5456.8940493468845</v>
      </c>
      <c r="AN146" s="652">
        <f t="shared" ca="1" si="104"/>
        <v>0</v>
      </c>
      <c r="AO146" s="652">
        <f t="shared" ca="1" si="104"/>
        <v>0</v>
      </c>
      <c r="AP146" s="652">
        <f t="shared" ca="1" si="104"/>
        <v>5456.8940493468845</v>
      </c>
      <c r="AQ146" s="652">
        <f t="shared" ca="1" si="104"/>
        <v>6.4640000000000057</v>
      </c>
      <c r="AR146" s="652">
        <f t="shared" ca="1" si="104"/>
        <v>0</v>
      </c>
      <c r="AS146" s="652">
        <f t="shared" ca="1" si="104"/>
        <v>0</v>
      </c>
      <c r="AT146" s="652">
        <f t="shared" ca="1" si="104"/>
        <v>6.4640000000000057</v>
      </c>
      <c r="AU146" s="652">
        <f t="shared" ca="1" si="104"/>
        <v>0</v>
      </c>
      <c r="AV146" s="652">
        <f t="shared" ca="1" si="104"/>
        <v>0</v>
      </c>
      <c r="AW146" s="652">
        <f t="shared" ca="1" si="102"/>
        <v>6.4640000000000057</v>
      </c>
      <c r="AX146" s="652">
        <f t="shared" ca="1" si="102"/>
        <v>0</v>
      </c>
      <c r="AY146" s="652">
        <f t="shared" ca="1" si="102"/>
        <v>0</v>
      </c>
      <c r="AZ146" s="652">
        <f t="shared" ca="1" si="102"/>
        <v>0</v>
      </c>
      <c r="BA146" s="652">
        <f t="shared" ca="1" si="102"/>
        <v>0</v>
      </c>
      <c r="BB146" s="652">
        <f t="shared" ca="1" si="102"/>
        <v>0</v>
      </c>
      <c r="BC146" s="652">
        <f t="shared" ca="1" si="102"/>
        <v>0</v>
      </c>
      <c r="BD146" s="652">
        <f t="shared" ca="1" si="102"/>
        <v>0</v>
      </c>
      <c r="BE146" s="652" t="str">
        <f t="shared" ca="1" si="107"/>
        <v>Commercial</v>
      </c>
      <c r="BF146" s="652" t="str">
        <f t="shared" ca="1" si="107"/>
        <v>OFFLGCool</v>
      </c>
      <c r="BG146" s="652" t="str">
        <f t="shared" ca="1" si="107"/>
        <v>OFFSMGasHeat</v>
      </c>
      <c r="BH146" s="652" t="str">
        <f t="shared" ca="1" si="107"/>
        <v>LGE NonRes</v>
      </c>
      <c r="BI146" s="652" t="str">
        <f t="shared" ca="1" si="107"/>
        <v>LGE NonRes</v>
      </c>
      <c r="BJ146" s="652">
        <f t="shared" ca="1" si="107"/>
        <v>20</v>
      </c>
      <c r="BK146" s="652">
        <f t="shared" ca="1" si="107"/>
        <v>0</v>
      </c>
      <c r="BL146" s="652">
        <f t="shared" ca="1" si="94"/>
        <v>0</v>
      </c>
      <c r="BM146" s="652">
        <f t="shared" ca="1" si="94"/>
        <v>0</v>
      </c>
      <c r="BN146" s="652">
        <f t="shared" ca="1" si="94"/>
        <v>0</v>
      </c>
      <c r="BO146" s="652">
        <f t="shared" ca="1" si="94"/>
        <v>0</v>
      </c>
      <c r="BP146" s="652">
        <f t="shared" ca="1" si="94"/>
        <v>0</v>
      </c>
      <c r="BQ146" s="652">
        <f t="shared" ca="1" si="94"/>
        <v>0</v>
      </c>
      <c r="BR146" s="652">
        <f t="shared" ca="1" si="109"/>
        <v>1.5</v>
      </c>
      <c r="BS146" s="652">
        <f t="shared" ca="1" si="102"/>
        <v>23400</v>
      </c>
      <c r="BT146" s="652">
        <f t="shared" ca="1" si="102"/>
        <v>0</v>
      </c>
      <c r="BU146" s="652">
        <f t="shared" ca="1" si="102"/>
        <v>900</v>
      </c>
      <c r="BV146" s="652">
        <f t="shared" ca="1" si="102"/>
        <v>0</v>
      </c>
      <c r="BW146" s="652">
        <f t="shared" ca="1" si="102"/>
        <v>16370.682148040654</v>
      </c>
      <c r="BX146" s="652">
        <f t="shared" ca="1" si="107"/>
        <v>19.392000000000017</v>
      </c>
      <c r="BY146" s="652">
        <f t="shared" ca="1" si="107"/>
        <v>0</v>
      </c>
    </row>
    <row r="147" spans="1:77">
      <c r="A147" s="425" t="str">
        <f t="shared" ca="1" si="108"/>
        <v>Business RebatesLG&amp;E-Water Cooled Chiller &gt; 300 Tons</v>
      </c>
      <c r="B147" s="1297" t="str">
        <f t="shared" si="101"/>
        <v>LG&amp;EBusiness Rebates</v>
      </c>
      <c r="C147" s="662" t="s">
        <v>181</v>
      </c>
      <c r="D147" s="662" t="s">
        <v>63</v>
      </c>
      <c r="E147" s="652" t="str">
        <f t="shared" ca="1" si="105"/>
        <v>LG&amp;E-Water Cooled Chiller &gt; 300 Tons</v>
      </c>
      <c r="F147" s="652" t="str">
        <f t="shared" ca="1" si="105"/>
        <v>0.53 kW/ton (full load); 0.46 kW/ton (IPLV)</v>
      </c>
      <c r="G147" s="652" t="str">
        <f t="shared" ca="1" si="105"/>
        <v>Per Ton</v>
      </c>
      <c r="H147" s="652">
        <f t="shared" ca="1" si="106"/>
        <v>0</v>
      </c>
      <c r="I147" s="652">
        <f t="shared" ca="1" si="106"/>
        <v>0.5</v>
      </c>
      <c r="J147" s="652">
        <f t="shared" ca="1" si="106"/>
        <v>0</v>
      </c>
      <c r="K147" s="652">
        <f t="shared" ca="1" si="106"/>
        <v>0</v>
      </c>
      <c r="L147" s="652">
        <f t="shared" ca="1" si="106"/>
        <v>0.5</v>
      </c>
      <c r="M147" s="652">
        <f t="shared" ca="1" si="106"/>
        <v>0</v>
      </c>
      <c r="N147" s="652">
        <f t="shared" ca="1" si="106"/>
        <v>0</v>
      </c>
      <c r="O147" s="652">
        <f t="shared" ca="1" si="106"/>
        <v>0</v>
      </c>
      <c r="P147" s="652">
        <f t="shared" ca="1" si="106"/>
        <v>2866</v>
      </c>
      <c r="Q147" s="652">
        <f t="shared" ca="1" si="106"/>
        <v>0</v>
      </c>
      <c r="R147" s="652">
        <f t="shared" ca="1" si="106"/>
        <v>0</v>
      </c>
      <c r="S147" s="652">
        <f t="shared" ca="1" si="106"/>
        <v>2866</v>
      </c>
      <c r="T147" s="652">
        <f t="shared" ca="1" si="106"/>
        <v>0</v>
      </c>
      <c r="U147" s="652">
        <f t="shared" ca="1" si="106"/>
        <v>0</v>
      </c>
      <c r="V147" s="652">
        <f t="shared" ca="1" si="103"/>
        <v>0</v>
      </c>
      <c r="W147" s="652">
        <f t="shared" ca="1" si="103"/>
        <v>0</v>
      </c>
      <c r="X147" s="652">
        <f t="shared" ca="1" si="103"/>
        <v>0</v>
      </c>
      <c r="Y147" s="652">
        <f t="shared" ca="1" si="103"/>
        <v>0</v>
      </c>
      <c r="Z147" s="652">
        <f t="shared" ca="1" si="103"/>
        <v>0</v>
      </c>
      <c r="AA147" s="652">
        <f t="shared" ca="1" si="103"/>
        <v>0</v>
      </c>
      <c r="AB147" s="652">
        <f t="shared" ca="1" si="103"/>
        <v>0</v>
      </c>
      <c r="AC147" s="652">
        <f t="shared" ca="1" si="103"/>
        <v>0</v>
      </c>
      <c r="AD147" s="652">
        <f t="shared" ca="1" si="103"/>
        <v>600</v>
      </c>
      <c r="AE147" s="652">
        <f t="shared" ca="1" si="103"/>
        <v>0</v>
      </c>
      <c r="AF147" s="652">
        <f t="shared" ca="1" si="103"/>
        <v>0</v>
      </c>
      <c r="AG147" s="652">
        <f t="shared" ca="1" si="103"/>
        <v>600</v>
      </c>
      <c r="AH147" s="652">
        <f t="shared" ca="1" si="103"/>
        <v>0</v>
      </c>
      <c r="AI147" s="652">
        <f t="shared" ca="1" si="104"/>
        <v>0</v>
      </c>
      <c r="AJ147" s="652">
        <f t="shared" ca="1" si="104"/>
        <v>0</v>
      </c>
      <c r="AK147" s="652">
        <f t="shared" ca="1" si="104"/>
        <v>25660.768452982815</v>
      </c>
      <c r="AL147" s="652">
        <f t="shared" ca="1" si="104"/>
        <v>0</v>
      </c>
      <c r="AM147" s="652">
        <f t="shared" ca="1" si="104"/>
        <v>0</v>
      </c>
      <c r="AN147" s="652">
        <f t="shared" ca="1" si="104"/>
        <v>25660.768452982815</v>
      </c>
      <c r="AO147" s="652">
        <f t="shared" ca="1" si="104"/>
        <v>0</v>
      </c>
      <c r="AP147" s="652">
        <f t="shared" ca="1" si="104"/>
        <v>0</v>
      </c>
      <c r="AQ147" s="652">
        <f t="shared" ca="1" si="104"/>
        <v>0</v>
      </c>
      <c r="AR147" s="652">
        <f t="shared" ca="1" si="104"/>
        <v>10.767441860465116</v>
      </c>
      <c r="AS147" s="652">
        <f t="shared" ca="1" si="104"/>
        <v>0</v>
      </c>
      <c r="AT147" s="652">
        <f t="shared" ca="1" si="104"/>
        <v>0</v>
      </c>
      <c r="AU147" s="652">
        <f t="shared" ca="1" si="104"/>
        <v>10.767441860465116</v>
      </c>
      <c r="AV147" s="652">
        <f t="shared" ca="1" si="104"/>
        <v>0</v>
      </c>
      <c r="AW147" s="652">
        <f t="shared" ca="1" si="102"/>
        <v>0</v>
      </c>
      <c r="AX147" s="652">
        <f t="shared" ca="1" si="102"/>
        <v>0</v>
      </c>
      <c r="AY147" s="652">
        <f t="shared" ca="1" si="102"/>
        <v>0</v>
      </c>
      <c r="AZ147" s="652">
        <f t="shared" ca="1" si="102"/>
        <v>0</v>
      </c>
      <c r="BA147" s="652">
        <f t="shared" ca="1" si="102"/>
        <v>0</v>
      </c>
      <c r="BB147" s="652">
        <f t="shared" ca="1" si="102"/>
        <v>0</v>
      </c>
      <c r="BC147" s="652">
        <f t="shared" ca="1" si="102"/>
        <v>0</v>
      </c>
      <c r="BD147" s="652">
        <f t="shared" ca="1" si="102"/>
        <v>0</v>
      </c>
      <c r="BE147" s="652" t="str">
        <f t="shared" ca="1" si="107"/>
        <v>Commercial</v>
      </c>
      <c r="BF147" s="652" t="str">
        <f t="shared" ca="1" si="107"/>
        <v>OFFLGCool</v>
      </c>
      <c r="BG147" s="652" t="str">
        <f t="shared" ca="1" si="107"/>
        <v>OFFSMGasHeat</v>
      </c>
      <c r="BH147" s="652" t="str">
        <f t="shared" ca="1" si="107"/>
        <v>LGE NonRes</v>
      </c>
      <c r="BI147" s="652" t="str">
        <f t="shared" ca="1" si="107"/>
        <v>LGE NonRes</v>
      </c>
      <c r="BJ147" s="652">
        <f t="shared" ca="1" si="107"/>
        <v>20</v>
      </c>
      <c r="BK147" s="652">
        <f t="shared" ca="1" si="107"/>
        <v>0</v>
      </c>
      <c r="BL147" s="652">
        <f t="shared" ca="1" si="94"/>
        <v>0</v>
      </c>
      <c r="BM147" s="652">
        <f t="shared" ca="1" si="94"/>
        <v>0</v>
      </c>
      <c r="BN147" s="652">
        <f t="shared" ca="1" si="94"/>
        <v>0</v>
      </c>
      <c r="BO147" s="652">
        <f t="shared" ca="1" si="94"/>
        <v>0</v>
      </c>
      <c r="BP147" s="652">
        <f t="shared" ca="1" si="94"/>
        <v>0</v>
      </c>
      <c r="BQ147" s="652">
        <f t="shared" ca="1" si="94"/>
        <v>0</v>
      </c>
      <c r="BR147" s="652">
        <f t="shared" ca="1" si="109"/>
        <v>1</v>
      </c>
      <c r="BS147" s="652">
        <f t="shared" ca="1" si="102"/>
        <v>5732</v>
      </c>
      <c r="BT147" s="652">
        <f t="shared" ca="1" si="102"/>
        <v>0</v>
      </c>
      <c r="BU147" s="652">
        <f t="shared" ca="1" si="102"/>
        <v>1200</v>
      </c>
      <c r="BV147" s="652">
        <f t="shared" ca="1" si="102"/>
        <v>0</v>
      </c>
      <c r="BW147" s="652">
        <f t="shared" ca="1" si="102"/>
        <v>51321.53690596563</v>
      </c>
      <c r="BX147" s="652">
        <f t="shared" ca="1" si="107"/>
        <v>21.534883720930232</v>
      </c>
      <c r="BY147" s="652">
        <f t="shared" ca="1" si="107"/>
        <v>0</v>
      </c>
    </row>
    <row r="148" spans="1:77">
      <c r="A148" s="425" t="str">
        <f t="shared" ca="1" si="108"/>
        <v>Business RebatesLG&amp;E-Air Cooled Chilled Water Reset, 0-100 tons</v>
      </c>
      <c r="B148" s="1297" t="str">
        <f t="shared" si="101"/>
        <v>LG&amp;EBusiness Rebates</v>
      </c>
      <c r="C148" s="662" t="s">
        <v>182</v>
      </c>
      <c r="D148" s="662" t="s">
        <v>63</v>
      </c>
      <c r="E148" s="652" t="str">
        <f t="shared" ca="1" si="105"/>
        <v>LG&amp;E-Air Cooled Chilled Water Reset, 0-100 tons</v>
      </c>
      <c r="F148" s="652" t="str">
        <f t="shared" ca="1" si="105"/>
        <v>Air Cooled Chilled Water Reset</v>
      </c>
      <c r="G148" s="652" t="str">
        <f t="shared" ca="1" si="105"/>
        <v>Per Unit</v>
      </c>
      <c r="H148" s="652">
        <f t="shared" ca="1" si="106"/>
        <v>0</v>
      </c>
      <c r="I148" s="652">
        <f t="shared" ca="1" si="106"/>
        <v>0.5</v>
      </c>
      <c r="J148" s="652">
        <f t="shared" ca="1" si="106"/>
        <v>0</v>
      </c>
      <c r="K148" s="652">
        <f t="shared" ca="1" si="106"/>
        <v>0</v>
      </c>
      <c r="L148" s="652">
        <f t="shared" ca="1" si="106"/>
        <v>0.5</v>
      </c>
      <c r="M148" s="652">
        <f t="shared" ca="1" si="106"/>
        <v>0</v>
      </c>
      <c r="N148" s="652">
        <f t="shared" ca="1" si="106"/>
        <v>0</v>
      </c>
      <c r="O148" s="652">
        <f t="shared" ca="1" si="106"/>
        <v>0</v>
      </c>
      <c r="P148" s="652">
        <f t="shared" ca="1" si="106"/>
        <v>200</v>
      </c>
      <c r="Q148" s="652">
        <f t="shared" ca="1" si="106"/>
        <v>0</v>
      </c>
      <c r="R148" s="652">
        <f t="shared" ca="1" si="106"/>
        <v>0</v>
      </c>
      <c r="S148" s="652">
        <f t="shared" ca="1" si="106"/>
        <v>200</v>
      </c>
      <c r="T148" s="652">
        <f t="shared" ca="1" si="106"/>
        <v>0</v>
      </c>
      <c r="U148" s="652">
        <f t="shared" ca="1" si="106"/>
        <v>0</v>
      </c>
      <c r="V148" s="652">
        <f t="shared" ca="1" si="103"/>
        <v>0</v>
      </c>
      <c r="W148" s="652">
        <f t="shared" ca="1" si="103"/>
        <v>0</v>
      </c>
      <c r="X148" s="652">
        <f t="shared" ca="1" si="103"/>
        <v>0</v>
      </c>
      <c r="Y148" s="652">
        <f t="shared" ca="1" si="103"/>
        <v>0</v>
      </c>
      <c r="Z148" s="652">
        <f t="shared" ca="1" si="103"/>
        <v>0</v>
      </c>
      <c r="AA148" s="652">
        <f t="shared" ca="1" si="103"/>
        <v>0</v>
      </c>
      <c r="AB148" s="652">
        <f t="shared" ca="1" si="103"/>
        <v>0</v>
      </c>
      <c r="AC148" s="652">
        <f t="shared" ca="1" si="103"/>
        <v>0</v>
      </c>
      <c r="AD148" s="652">
        <f t="shared" ca="1" si="103"/>
        <v>50</v>
      </c>
      <c r="AE148" s="652">
        <f t="shared" ca="1" si="103"/>
        <v>0</v>
      </c>
      <c r="AF148" s="652">
        <f t="shared" ca="1" si="103"/>
        <v>0</v>
      </c>
      <c r="AG148" s="652">
        <f t="shared" ca="1" si="103"/>
        <v>50</v>
      </c>
      <c r="AH148" s="652">
        <f t="shared" ca="1" si="103"/>
        <v>0</v>
      </c>
      <c r="AI148" s="652">
        <f t="shared" ca="1" si="104"/>
        <v>0</v>
      </c>
      <c r="AJ148" s="652">
        <f t="shared" ca="1" si="104"/>
        <v>0</v>
      </c>
      <c r="AK148" s="652">
        <f t="shared" ca="1" si="104"/>
        <v>1412.9100663157894</v>
      </c>
      <c r="AL148" s="652">
        <f t="shared" ca="1" si="104"/>
        <v>0</v>
      </c>
      <c r="AM148" s="652">
        <f t="shared" ca="1" si="104"/>
        <v>0</v>
      </c>
      <c r="AN148" s="652">
        <f t="shared" ca="1" si="104"/>
        <v>1412.9100663157894</v>
      </c>
      <c r="AO148" s="652">
        <f t="shared" ca="1" si="104"/>
        <v>0</v>
      </c>
      <c r="AP148" s="652">
        <f t="shared" ca="1" si="104"/>
        <v>0</v>
      </c>
      <c r="AQ148" s="652">
        <f t="shared" ca="1" si="104"/>
        <v>0</v>
      </c>
      <c r="AR148" s="652">
        <f t="shared" ca="1" si="104"/>
        <v>0.89785555492028002</v>
      </c>
      <c r="AS148" s="652">
        <f t="shared" ca="1" si="104"/>
        <v>0</v>
      </c>
      <c r="AT148" s="652">
        <f t="shared" ca="1" si="104"/>
        <v>0</v>
      </c>
      <c r="AU148" s="652">
        <f t="shared" ca="1" si="104"/>
        <v>0.89785555492028002</v>
      </c>
      <c r="AV148" s="652">
        <f t="shared" ref="AV148:BW163" ca="1" si="111">VLOOKUP($C148,INDIRECT("'"&amp;$D148&amp;"'!A6:FR1000"),IF(AV$6="Participation 2023",MATCH("__Participation 2023",INDIRECT("'"&amp;$D148&amp;"'!1:1"),0),IF(AV$6="Participation",MATCH("_Total Plan Summary _Participation",INDIRECT("'"&amp;$D148&amp;"'!1:1"),0),MATCH(AV$4&amp;"_"&amp;AV$5&amp;"_"&amp;AV$6,INDIRECT("'"&amp;$D148&amp;"'!1:1"),0))),0)</f>
        <v>0</v>
      </c>
      <c r="AW148" s="652">
        <f t="shared" ca="1" si="111"/>
        <v>0</v>
      </c>
      <c r="AX148" s="652">
        <f t="shared" ca="1" si="111"/>
        <v>0</v>
      </c>
      <c r="AY148" s="652">
        <f t="shared" ca="1" si="111"/>
        <v>0</v>
      </c>
      <c r="AZ148" s="652">
        <f t="shared" ca="1" si="111"/>
        <v>0</v>
      </c>
      <c r="BA148" s="652">
        <f t="shared" ca="1" si="111"/>
        <v>0</v>
      </c>
      <c r="BB148" s="652">
        <f t="shared" ca="1" si="111"/>
        <v>0</v>
      </c>
      <c r="BC148" s="652">
        <f t="shared" ca="1" si="111"/>
        <v>0</v>
      </c>
      <c r="BD148" s="652">
        <f t="shared" ca="1" si="111"/>
        <v>0</v>
      </c>
      <c r="BE148" s="652" t="str">
        <f t="shared" ca="1" si="107"/>
        <v>Commercial</v>
      </c>
      <c r="BF148" s="652" t="str">
        <f t="shared" ca="1" si="107"/>
        <v>OFFSMCool</v>
      </c>
      <c r="BG148" s="652" t="str">
        <f t="shared" ca="1" si="107"/>
        <v>OFFSMGasHeat</v>
      </c>
      <c r="BH148" s="652" t="str">
        <f t="shared" ca="1" si="107"/>
        <v>LGE NonRes</v>
      </c>
      <c r="BI148" s="652" t="str">
        <f t="shared" ca="1" si="107"/>
        <v>LGE NonRes</v>
      </c>
      <c r="BJ148" s="652">
        <f t="shared" ca="1" si="107"/>
        <v>10</v>
      </c>
      <c r="BK148" s="652">
        <f t="shared" ca="1" si="107"/>
        <v>0</v>
      </c>
      <c r="BL148" s="652">
        <f t="shared" ca="1" si="94"/>
        <v>0</v>
      </c>
      <c r="BM148" s="652">
        <f t="shared" ca="1" si="94"/>
        <v>0</v>
      </c>
      <c r="BN148" s="652">
        <f t="shared" ca="1" si="94"/>
        <v>0</v>
      </c>
      <c r="BO148" s="652">
        <f t="shared" ca="1" si="94"/>
        <v>0</v>
      </c>
      <c r="BP148" s="652">
        <f t="shared" ca="1" si="94"/>
        <v>0</v>
      </c>
      <c r="BQ148" s="652">
        <f t="shared" ca="1" si="94"/>
        <v>0</v>
      </c>
      <c r="BR148" s="652">
        <f t="shared" ca="1" si="109"/>
        <v>1</v>
      </c>
      <c r="BS148" s="652">
        <f t="shared" ca="1" si="111"/>
        <v>400</v>
      </c>
      <c r="BT148" s="652">
        <f t="shared" ca="1" si="111"/>
        <v>0</v>
      </c>
      <c r="BU148" s="652">
        <f t="shared" ca="1" si="111"/>
        <v>100</v>
      </c>
      <c r="BV148" s="652">
        <f t="shared" ca="1" si="111"/>
        <v>0</v>
      </c>
      <c r="BW148" s="652">
        <f t="shared" ca="1" si="111"/>
        <v>2825.8201326315789</v>
      </c>
      <c r="BX148" s="652">
        <f t="shared" ca="1" si="107"/>
        <v>1.79571110984056</v>
      </c>
      <c r="BY148" s="652">
        <f t="shared" ca="1" si="107"/>
        <v>0</v>
      </c>
    </row>
    <row r="149" spans="1:77">
      <c r="A149" s="425" t="str">
        <f t="shared" ca="1" si="108"/>
        <v>Business RebatesLG&amp;E-Air Cooled Chilled Water Reset, 100-200 tons</v>
      </c>
      <c r="B149" s="1297" t="str">
        <f t="shared" si="101"/>
        <v>LG&amp;EBusiness Rebates</v>
      </c>
      <c r="C149" s="662" t="s">
        <v>191</v>
      </c>
      <c r="D149" s="662" t="s">
        <v>63</v>
      </c>
      <c r="E149" s="652" t="str">
        <f t="shared" ca="1" si="105"/>
        <v>LG&amp;E-Air Cooled Chilled Water Reset, 100-200 tons</v>
      </c>
      <c r="F149" s="652" t="str">
        <f t="shared" ca="1" si="105"/>
        <v>Air Cooled Chilled Water Reset</v>
      </c>
      <c r="G149" s="652" t="str">
        <f t="shared" ca="1" si="105"/>
        <v>Per Unit</v>
      </c>
      <c r="H149" s="652">
        <f t="shared" ca="1" si="106"/>
        <v>0</v>
      </c>
      <c r="I149" s="652">
        <f t="shared" ca="1" si="106"/>
        <v>0</v>
      </c>
      <c r="J149" s="652">
        <f t="shared" ca="1" si="106"/>
        <v>0.5</v>
      </c>
      <c r="K149" s="652">
        <f t="shared" ca="1" si="106"/>
        <v>0</v>
      </c>
      <c r="L149" s="652">
        <f t="shared" ca="1" si="106"/>
        <v>0</v>
      </c>
      <c r="M149" s="652">
        <f t="shared" ca="1" si="106"/>
        <v>0.5</v>
      </c>
      <c r="N149" s="652">
        <f t="shared" ca="1" si="106"/>
        <v>0</v>
      </c>
      <c r="O149" s="652">
        <f t="shared" ca="1" si="106"/>
        <v>0</v>
      </c>
      <c r="P149" s="652">
        <f t="shared" ca="1" si="106"/>
        <v>0</v>
      </c>
      <c r="Q149" s="652">
        <f t="shared" ca="1" si="106"/>
        <v>400</v>
      </c>
      <c r="R149" s="652">
        <f t="shared" ca="1" si="106"/>
        <v>0</v>
      </c>
      <c r="S149" s="652">
        <f t="shared" ca="1" si="106"/>
        <v>0</v>
      </c>
      <c r="T149" s="652">
        <f t="shared" ca="1" si="106"/>
        <v>400</v>
      </c>
      <c r="U149" s="652">
        <f t="shared" ref="U149:AH164" ca="1" si="112">VLOOKUP($C149,INDIRECT("'"&amp;$D149&amp;"'!A6:FR1000"),IF(U$6="Participation 2023",MATCH("__Participation 2023",INDIRECT("'"&amp;$D149&amp;"'!1:1"),0),IF(U$6="Participation",MATCH("_Total Plan Summary _Participation",INDIRECT("'"&amp;$D149&amp;"'!1:1"),0),MATCH(U$4&amp;"_"&amp;U$5&amp;"_"&amp;U$6,INDIRECT("'"&amp;$D149&amp;"'!1:1"),0))),0)</f>
        <v>0</v>
      </c>
      <c r="V149" s="652">
        <f t="shared" ca="1" si="112"/>
        <v>0</v>
      </c>
      <c r="W149" s="652">
        <f t="shared" ca="1" si="112"/>
        <v>0</v>
      </c>
      <c r="X149" s="652">
        <f t="shared" ca="1" si="112"/>
        <v>0</v>
      </c>
      <c r="Y149" s="652">
        <f t="shared" ca="1" si="112"/>
        <v>0</v>
      </c>
      <c r="Z149" s="652">
        <f t="shared" ca="1" si="112"/>
        <v>0</v>
      </c>
      <c r="AA149" s="652">
        <f t="shared" ca="1" si="112"/>
        <v>0</v>
      </c>
      <c r="AB149" s="652">
        <f t="shared" ca="1" si="112"/>
        <v>0</v>
      </c>
      <c r="AC149" s="652">
        <f t="shared" ca="1" si="112"/>
        <v>0</v>
      </c>
      <c r="AD149" s="652">
        <f t="shared" ca="1" si="112"/>
        <v>0</v>
      </c>
      <c r="AE149" s="652">
        <f t="shared" ca="1" si="112"/>
        <v>100</v>
      </c>
      <c r="AF149" s="652">
        <f t="shared" ca="1" si="112"/>
        <v>0</v>
      </c>
      <c r="AG149" s="652">
        <f t="shared" ca="1" si="112"/>
        <v>0</v>
      </c>
      <c r="AH149" s="652">
        <f t="shared" ca="1" si="112"/>
        <v>100</v>
      </c>
      <c r="AI149" s="652">
        <f t="shared" ref="AI149:AV164" ca="1" si="113">VLOOKUP($C149,INDIRECT("'"&amp;$D149&amp;"'!A6:FR1000"),IF(AI$6="Participation 2023",MATCH("__Participation 2023",INDIRECT("'"&amp;$D149&amp;"'!1:1"),0),IF(AI$6="Participation",MATCH("_Total Plan Summary _Participation",INDIRECT("'"&amp;$D149&amp;"'!1:1"),0),MATCH(AI$4&amp;"_"&amp;AI$5&amp;"_"&amp;AI$6,INDIRECT("'"&amp;$D149&amp;"'!1:1"),0))),0)</f>
        <v>0</v>
      </c>
      <c r="AJ149" s="652">
        <f t="shared" ca="1" si="113"/>
        <v>0</v>
      </c>
      <c r="AK149" s="652">
        <f t="shared" ca="1" si="113"/>
        <v>0</v>
      </c>
      <c r="AL149" s="652">
        <f t="shared" ca="1" si="113"/>
        <v>3352.1712932565788</v>
      </c>
      <c r="AM149" s="652">
        <f t="shared" ca="1" si="113"/>
        <v>0</v>
      </c>
      <c r="AN149" s="652">
        <f t="shared" ca="1" si="113"/>
        <v>0</v>
      </c>
      <c r="AO149" s="652">
        <f t="shared" ca="1" si="113"/>
        <v>3352.1712932565788</v>
      </c>
      <c r="AP149" s="652">
        <f t="shared" ca="1" si="113"/>
        <v>0</v>
      </c>
      <c r="AQ149" s="652">
        <f t="shared" ca="1" si="113"/>
        <v>0</v>
      </c>
      <c r="AR149" s="652">
        <f t="shared" ca="1" si="113"/>
        <v>0</v>
      </c>
      <c r="AS149" s="652">
        <f t="shared" ca="1" si="113"/>
        <v>2.1301890958585803</v>
      </c>
      <c r="AT149" s="652">
        <f t="shared" ca="1" si="113"/>
        <v>0</v>
      </c>
      <c r="AU149" s="652">
        <f t="shared" ca="1" si="113"/>
        <v>0</v>
      </c>
      <c r="AV149" s="652">
        <f t="shared" ca="1" si="113"/>
        <v>2.1301890958585803</v>
      </c>
      <c r="AW149" s="652">
        <f t="shared" ca="1" si="111"/>
        <v>0</v>
      </c>
      <c r="AX149" s="652">
        <f t="shared" ca="1" si="111"/>
        <v>0</v>
      </c>
      <c r="AY149" s="652">
        <f t="shared" ca="1" si="111"/>
        <v>0</v>
      </c>
      <c r="AZ149" s="652">
        <f t="shared" ca="1" si="111"/>
        <v>0</v>
      </c>
      <c r="BA149" s="652">
        <f t="shared" ca="1" si="111"/>
        <v>0</v>
      </c>
      <c r="BB149" s="652">
        <f t="shared" ca="1" si="111"/>
        <v>0</v>
      </c>
      <c r="BC149" s="652">
        <f t="shared" ca="1" si="111"/>
        <v>0</v>
      </c>
      <c r="BD149" s="652">
        <f t="shared" ca="1" si="111"/>
        <v>0</v>
      </c>
      <c r="BE149" s="652" t="str">
        <f t="shared" ca="1" si="107"/>
        <v>Commercial</v>
      </c>
      <c r="BF149" s="652" t="str">
        <f t="shared" ca="1" si="107"/>
        <v>OFFLGCool</v>
      </c>
      <c r="BG149" s="652" t="str">
        <f t="shared" ca="1" si="107"/>
        <v>OFFSMGasHeat</v>
      </c>
      <c r="BH149" s="652" t="str">
        <f t="shared" ca="1" si="107"/>
        <v>LGE NonRes</v>
      </c>
      <c r="BI149" s="652" t="str">
        <f t="shared" ca="1" si="107"/>
        <v>LGE NonRes</v>
      </c>
      <c r="BJ149" s="652">
        <f t="shared" ca="1" si="107"/>
        <v>10</v>
      </c>
      <c r="BK149" s="652">
        <f t="shared" ca="1" si="107"/>
        <v>0</v>
      </c>
      <c r="BL149" s="652">
        <f t="shared" ca="1" si="94"/>
        <v>0</v>
      </c>
      <c r="BM149" s="652">
        <f t="shared" ca="1" si="94"/>
        <v>0</v>
      </c>
      <c r="BN149" s="652">
        <f t="shared" ca="1" si="94"/>
        <v>0</v>
      </c>
      <c r="BO149" s="652">
        <f t="shared" ca="1" si="94"/>
        <v>0</v>
      </c>
      <c r="BP149" s="652">
        <f t="shared" ca="1" si="94"/>
        <v>0</v>
      </c>
      <c r="BQ149" s="652">
        <f t="shared" ca="1" si="94"/>
        <v>0</v>
      </c>
      <c r="BR149" s="652">
        <f t="shared" ca="1" si="109"/>
        <v>1</v>
      </c>
      <c r="BS149" s="652">
        <f t="shared" ca="1" si="111"/>
        <v>800</v>
      </c>
      <c r="BT149" s="652">
        <f t="shared" ca="1" si="111"/>
        <v>0</v>
      </c>
      <c r="BU149" s="652">
        <f t="shared" ca="1" si="111"/>
        <v>200</v>
      </c>
      <c r="BV149" s="652">
        <f t="shared" ca="1" si="111"/>
        <v>0</v>
      </c>
      <c r="BW149" s="652">
        <f t="shared" ca="1" si="111"/>
        <v>6704.3425865131576</v>
      </c>
      <c r="BX149" s="652">
        <f t="shared" ca="1" si="107"/>
        <v>4.2603781917171606</v>
      </c>
      <c r="BY149" s="652">
        <f t="shared" ca="1" si="107"/>
        <v>0</v>
      </c>
    </row>
    <row r="150" spans="1:77">
      <c r="A150" s="425" t="str">
        <f t="shared" ca="1" si="108"/>
        <v>Business RebatesLG&amp;E-Air Cooled Chilled Water Reset, 200-300 tons</v>
      </c>
      <c r="B150" s="1297" t="str">
        <f t="shared" si="101"/>
        <v>LG&amp;EBusiness Rebates</v>
      </c>
      <c r="C150" s="662" t="s">
        <v>192</v>
      </c>
      <c r="D150" s="662" t="s">
        <v>63</v>
      </c>
      <c r="E150" s="652" t="str">
        <f t="shared" ca="1" si="105"/>
        <v>LG&amp;E-Air Cooled Chilled Water Reset, 200-300 tons</v>
      </c>
      <c r="F150" s="652" t="str">
        <f t="shared" ca="1" si="105"/>
        <v>Air Cooled Chilled Water Reset</v>
      </c>
      <c r="G150" s="652" t="str">
        <f t="shared" ca="1" si="105"/>
        <v>Per Unit</v>
      </c>
      <c r="H150" s="652">
        <f t="shared" ref="H150:U165" ca="1" si="114">VLOOKUP($C150,INDIRECT("'"&amp;$D150&amp;"'!A6:FR1000"),IF(H$6="Participation 2023",MATCH("__Participation 2023",INDIRECT("'"&amp;$D150&amp;"'!1:1"),0),IF(H$6="Participation",MATCH("_Total Plan Summary _Participation",INDIRECT("'"&amp;$D150&amp;"'!1:1"),0),MATCH(H$4&amp;"_"&amp;H$5&amp;"_"&amp;H$6,INDIRECT("'"&amp;$D150&amp;"'!1:1"),0))),0)</f>
        <v>0.5</v>
      </c>
      <c r="I150" s="652">
        <f t="shared" ca="1" si="114"/>
        <v>0</v>
      </c>
      <c r="J150" s="652">
        <f t="shared" ca="1" si="114"/>
        <v>0</v>
      </c>
      <c r="K150" s="652">
        <f t="shared" ca="1" si="114"/>
        <v>0.5</v>
      </c>
      <c r="L150" s="652">
        <f t="shared" ca="1" si="114"/>
        <v>0</v>
      </c>
      <c r="M150" s="652">
        <f t="shared" ca="1" si="114"/>
        <v>0</v>
      </c>
      <c r="N150" s="652">
        <f t="shared" ca="1" si="114"/>
        <v>0.5</v>
      </c>
      <c r="O150" s="652">
        <f t="shared" ca="1" si="114"/>
        <v>600</v>
      </c>
      <c r="P150" s="652">
        <f t="shared" ca="1" si="114"/>
        <v>0</v>
      </c>
      <c r="Q150" s="652">
        <f t="shared" ca="1" si="114"/>
        <v>0</v>
      </c>
      <c r="R150" s="652">
        <f t="shared" ca="1" si="114"/>
        <v>600</v>
      </c>
      <c r="S150" s="652">
        <f t="shared" ca="1" si="114"/>
        <v>0</v>
      </c>
      <c r="T150" s="652">
        <f t="shared" ca="1" si="114"/>
        <v>0</v>
      </c>
      <c r="U150" s="652">
        <f t="shared" ca="1" si="114"/>
        <v>600</v>
      </c>
      <c r="V150" s="652">
        <f t="shared" ca="1" si="112"/>
        <v>0</v>
      </c>
      <c r="W150" s="652">
        <f t="shared" ca="1" si="112"/>
        <v>0</v>
      </c>
      <c r="X150" s="652">
        <f t="shared" ca="1" si="112"/>
        <v>0</v>
      </c>
      <c r="Y150" s="652">
        <f t="shared" ca="1" si="112"/>
        <v>0</v>
      </c>
      <c r="Z150" s="652">
        <f t="shared" ca="1" si="112"/>
        <v>0</v>
      </c>
      <c r="AA150" s="652">
        <f t="shared" ca="1" si="112"/>
        <v>0</v>
      </c>
      <c r="AB150" s="652">
        <f t="shared" ca="1" si="112"/>
        <v>0</v>
      </c>
      <c r="AC150" s="652">
        <f t="shared" ca="1" si="112"/>
        <v>150</v>
      </c>
      <c r="AD150" s="652">
        <f t="shared" ca="1" si="112"/>
        <v>0</v>
      </c>
      <c r="AE150" s="652">
        <f t="shared" ca="1" si="112"/>
        <v>0</v>
      </c>
      <c r="AF150" s="652">
        <f t="shared" ca="1" si="112"/>
        <v>150</v>
      </c>
      <c r="AG150" s="652">
        <f t="shared" ca="1" si="112"/>
        <v>0</v>
      </c>
      <c r="AH150" s="652">
        <f t="shared" ca="1" si="112"/>
        <v>0</v>
      </c>
      <c r="AI150" s="652">
        <f t="shared" ca="1" si="113"/>
        <v>150</v>
      </c>
      <c r="AJ150" s="652">
        <f t="shared" ca="1" si="113"/>
        <v>5070.7209473684215</v>
      </c>
      <c r="AK150" s="652">
        <f t="shared" ca="1" si="113"/>
        <v>0</v>
      </c>
      <c r="AL150" s="652">
        <f t="shared" ca="1" si="113"/>
        <v>0</v>
      </c>
      <c r="AM150" s="652">
        <f t="shared" ca="1" si="113"/>
        <v>5070.7209473684215</v>
      </c>
      <c r="AN150" s="652">
        <f t="shared" ca="1" si="113"/>
        <v>0</v>
      </c>
      <c r="AO150" s="652">
        <f t="shared" ca="1" si="113"/>
        <v>0</v>
      </c>
      <c r="AP150" s="652">
        <f t="shared" ca="1" si="113"/>
        <v>5070.7209473684215</v>
      </c>
      <c r="AQ150" s="652">
        <f t="shared" ca="1" si="113"/>
        <v>3.2222680541280848</v>
      </c>
      <c r="AR150" s="652">
        <f t="shared" ca="1" si="113"/>
        <v>0</v>
      </c>
      <c r="AS150" s="652">
        <f t="shared" ca="1" si="113"/>
        <v>0</v>
      </c>
      <c r="AT150" s="652">
        <f t="shared" ca="1" si="113"/>
        <v>3.2222680541280848</v>
      </c>
      <c r="AU150" s="652">
        <f t="shared" ca="1" si="113"/>
        <v>0</v>
      </c>
      <c r="AV150" s="652">
        <f t="shared" ca="1" si="113"/>
        <v>0</v>
      </c>
      <c r="AW150" s="652">
        <f t="shared" ca="1" si="111"/>
        <v>3.2222680541280848</v>
      </c>
      <c r="AX150" s="652">
        <f t="shared" ca="1" si="111"/>
        <v>0</v>
      </c>
      <c r="AY150" s="652">
        <f t="shared" ca="1" si="111"/>
        <v>0</v>
      </c>
      <c r="AZ150" s="652">
        <f t="shared" ca="1" si="111"/>
        <v>0</v>
      </c>
      <c r="BA150" s="652">
        <f t="shared" ca="1" si="111"/>
        <v>0</v>
      </c>
      <c r="BB150" s="652">
        <f t="shared" ca="1" si="111"/>
        <v>0</v>
      </c>
      <c r="BC150" s="652">
        <f t="shared" ca="1" si="111"/>
        <v>0</v>
      </c>
      <c r="BD150" s="652">
        <f t="shared" ca="1" si="111"/>
        <v>0</v>
      </c>
      <c r="BE150" s="652" t="str">
        <f t="shared" ca="1" si="107"/>
        <v>Commercial</v>
      </c>
      <c r="BF150" s="652" t="str">
        <f t="shared" ca="1" si="107"/>
        <v>OFFLGCool</v>
      </c>
      <c r="BG150" s="652" t="str">
        <f t="shared" ca="1" si="107"/>
        <v>OFFSMGasHeat</v>
      </c>
      <c r="BH150" s="652" t="str">
        <f t="shared" ca="1" si="107"/>
        <v>LGE NonRes</v>
      </c>
      <c r="BI150" s="652" t="str">
        <f t="shared" ca="1" si="107"/>
        <v>LGE NonRes</v>
      </c>
      <c r="BJ150" s="652">
        <f t="shared" ca="1" si="107"/>
        <v>10</v>
      </c>
      <c r="BK150" s="652">
        <f t="shared" ca="1" si="107"/>
        <v>0</v>
      </c>
      <c r="BL150" s="652">
        <f t="shared" ca="1" si="94"/>
        <v>0</v>
      </c>
      <c r="BM150" s="652">
        <f t="shared" ca="1" si="94"/>
        <v>0</v>
      </c>
      <c r="BN150" s="652">
        <f t="shared" ca="1" si="94"/>
        <v>0</v>
      </c>
      <c r="BO150" s="652">
        <f t="shared" ca="1" si="94"/>
        <v>0</v>
      </c>
      <c r="BP150" s="652">
        <f t="shared" ca="1" si="94"/>
        <v>0</v>
      </c>
      <c r="BQ150" s="652">
        <f t="shared" ca="1" si="94"/>
        <v>0</v>
      </c>
      <c r="BR150" s="652">
        <f t="shared" ca="1" si="109"/>
        <v>1.5</v>
      </c>
      <c r="BS150" s="652">
        <f t="shared" ca="1" si="111"/>
        <v>1800</v>
      </c>
      <c r="BT150" s="652">
        <f t="shared" ca="1" si="111"/>
        <v>0</v>
      </c>
      <c r="BU150" s="652">
        <f t="shared" ca="1" si="111"/>
        <v>450</v>
      </c>
      <c r="BV150" s="652">
        <f t="shared" ca="1" si="111"/>
        <v>0</v>
      </c>
      <c r="BW150" s="652">
        <f t="shared" ca="1" si="111"/>
        <v>15212.162842105265</v>
      </c>
      <c r="BX150" s="652">
        <f t="shared" ca="1" si="107"/>
        <v>9.6668041623842544</v>
      </c>
      <c r="BY150" s="652">
        <f t="shared" ca="1" si="107"/>
        <v>0</v>
      </c>
    </row>
    <row r="151" spans="1:77">
      <c r="A151" s="425" t="str">
        <f t="shared" ca="1" si="108"/>
        <v>Business RebatesLG&amp;E-Air Cooled Chilled Water Reset, 300-400 tons</v>
      </c>
      <c r="B151" s="1297" t="str">
        <f t="shared" si="101"/>
        <v>LG&amp;EBusiness Rebates</v>
      </c>
      <c r="C151" s="662" t="s">
        <v>193</v>
      </c>
      <c r="D151" s="662" t="s">
        <v>63</v>
      </c>
      <c r="E151" s="652" t="str">
        <f t="shared" ref="E151:G166" ca="1" si="115">VLOOKUP($C151,INDIRECT("'"&amp;$D151&amp;"'!A6:FC1000"),IF(E$6="Participation 2023",MATCH("__Participation 2023",INDIRECT("'"&amp;$D151&amp;"'!1:1"),0),IF(E$6="Participation",MATCH("_Total Plan Summary _Participation",INDIRECT("'"&amp;$D151&amp;"'!1:1"),0),MATCH(E$4&amp;"_"&amp;E$5&amp;"_"&amp;E$6,INDIRECT("'"&amp;$D151&amp;"'!1:1"),0))),0)</f>
        <v>LG&amp;E-Air Cooled Chilled Water Reset, 300-400 tons</v>
      </c>
      <c r="F151" s="652" t="str">
        <f t="shared" ca="1" si="115"/>
        <v>Air Cooled Chilled Water Reset</v>
      </c>
      <c r="G151" s="652" t="str">
        <f t="shared" ca="1" si="115"/>
        <v>Per Unit</v>
      </c>
      <c r="H151" s="652">
        <f t="shared" ca="1" si="114"/>
        <v>0</v>
      </c>
      <c r="I151" s="652">
        <f t="shared" ca="1" si="114"/>
        <v>0.5</v>
      </c>
      <c r="J151" s="652">
        <f t="shared" ca="1" si="114"/>
        <v>0</v>
      </c>
      <c r="K151" s="652">
        <f t="shared" ca="1" si="114"/>
        <v>0</v>
      </c>
      <c r="L151" s="652">
        <f t="shared" ca="1" si="114"/>
        <v>0.5</v>
      </c>
      <c r="M151" s="652">
        <f t="shared" ca="1" si="114"/>
        <v>0</v>
      </c>
      <c r="N151" s="652">
        <f t="shared" ca="1" si="114"/>
        <v>0</v>
      </c>
      <c r="O151" s="652">
        <f t="shared" ca="1" si="114"/>
        <v>0</v>
      </c>
      <c r="P151" s="652">
        <f t="shared" ca="1" si="114"/>
        <v>1000</v>
      </c>
      <c r="Q151" s="652">
        <f t="shared" ca="1" si="114"/>
        <v>0</v>
      </c>
      <c r="R151" s="652">
        <f t="shared" ca="1" si="114"/>
        <v>0</v>
      </c>
      <c r="S151" s="652">
        <f t="shared" ca="1" si="114"/>
        <v>1000</v>
      </c>
      <c r="T151" s="652">
        <f t="shared" ca="1" si="114"/>
        <v>0</v>
      </c>
      <c r="U151" s="652">
        <f t="shared" ca="1" si="114"/>
        <v>0</v>
      </c>
      <c r="V151" s="652">
        <f t="shared" ca="1" si="112"/>
        <v>0</v>
      </c>
      <c r="W151" s="652">
        <f t="shared" ca="1" si="112"/>
        <v>0</v>
      </c>
      <c r="X151" s="652">
        <f t="shared" ca="1" si="112"/>
        <v>0</v>
      </c>
      <c r="Y151" s="652">
        <f t="shared" ca="1" si="112"/>
        <v>0</v>
      </c>
      <c r="Z151" s="652">
        <f t="shared" ca="1" si="112"/>
        <v>0</v>
      </c>
      <c r="AA151" s="652">
        <f t="shared" ca="1" si="112"/>
        <v>0</v>
      </c>
      <c r="AB151" s="652">
        <f t="shared" ca="1" si="112"/>
        <v>0</v>
      </c>
      <c r="AC151" s="652">
        <f t="shared" ca="1" si="112"/>
        <v>0</v>
      </c>
      <c r="AD151" s="652">
        <f t="shared" ca="1" si="112"/>
        <v>250</v>
      </c>
      <c r="AE151" s="652">
        <f t="shared" ca="1" si="112"/>
        <v>0</v>
      </c>
      <c r="AF151" s="652">
        <f t="shared" ca="1" si="112"/>
        <v>0</v>
      </c>
      <c r="AG151" s="652">
        <f t="shared" ca="1" si="112"/>
        <v>250</v>
      </c>
      <c r="AH151" s="652">
        <f t="shared" ca="1" si="112"/>
        <v>0</v>
      </c>
      <c r="AI151" s="652">
        <f t="shared" ca="1" si="113"/>
        <v>0</v>
      </c>
      <c r="AJ151" s="652">
        <f t="shared" ca="1" si="113"/>
        <v>0</v>
      </c>
      <c r="AK151" s="652">
        <f t="shared" ca="1" si="113"/>
        <v>7987.1842105263167</v>
      </c>
      <c r="AL151" s="652">
        <f t="shared" ca="1" si="113"/>
        <v>0</v>
      </c>
      <c r="AM151" s="652">
        <f t="shared" ca="1" si="113"/>
        <v>0</v>
      </c>
      <c r="AN151" s="652">
        <f t="shared" ca="1" si="113"/>
        <v>7987.1842105263167</v>
      </c>
      <c r="AO151" s="652">
        <f t="shared" ca="1" si="113"/>
        <v>0</v>
      </c>
      <c r="AP151" s="652">
        <f t="shared" ca="1" si="113"/>
        <v>0</v>
      </c>
      <c r="AQ151" s="652">
        <f t="shared" ca="1" si="113"/>
        <v>0</v>
      </c>
      <c r="AR151" s="652">
        <f t="shared" ca="1" si="113"/>
        <v>5.0755797432260561</v>
      </c>
      <c r="AS151" s="652">
        <f t="shared" ca="1" si="113"/>
        <v>0</v>
      </c>
      <c r="AT151" s="652">
        <f t="shared" ca="1" si="113"/>
        <v>0</v>
      </c>
      <c r="AU151" s="652">
        <f t="shared" ca="1" si="113"/>
        <v>5.0755797432260561</v>
      </c>
      <c r="AV151" s="652">
        <f t="shared" ca="1" si="113"/>
        <v>0</v>
      </c>
      <c r="AW151" s="652">
        <f t="shared" ca="1" si="111"/>
        <v>0</v>
      </c>
      <c r="AX151" s="652">
        <f t="shared" ca="1" si="111"/>
        <v>0</v>
      </c>
      <c r="AY151" s="652">
        <f t="shared" ca="1" si="111"/>
        <v>0</v>
      </c>
      <c r="AZ151" s="652">
        <f t="shared" ca="1" si="111"/>
        <v>0</v>
      </c>
      <c r="BA151" s="652">
        <f t="shared" ca="1" si="111"/>
        <v>0</v>
      </c>
      <c r="BB151" s="652">
        <f t="shared" ca="1" si="111"/>
        <v>0</v>
      </c>
      <c r="BC151" s="652">
        <f t="shared" ca="1" si="111"/>
        <v>0</v>
      </c>
      <c r="BD151" s="652">
        <f t="shared" ca="1" si="111"/>
        <v>0</v>
      </c>
      <c r="BE151" s="652" t="str">
        <f t="shared" ca="1" si="107"/>
        <v>Commercial</v>
      </c>
      <c r="BF151" s="652" t="str">
        <f t="shared" ca="1" si="107"/>
        <v>OFFLGCool</v>
      </c>
      <c r="BG151" s="652" t="str">
        <f t="shared" ca="1" si="107"/>
        <v>OFFSMGasHeat</v>
      </c>
      <c r="BH151" s="652" t="str">
        <f t="shared" ca="1" si="107"/>
        <v>LGE NonRes</v>
      </c>
      <c r="BI151" s="652" t="str">
        <f t="shared" ca="1" si="107"/>
        <v>LGE NonRes</v>
      </c>
      <c r="BJ151" s="652">
        <f t="shared" ca="1" si="107"/>
        <v>10</v>
      </c>
      <c r="BK151" s="652">
        <f t="shared" ca="1" si="107"/>
        <v>0</v>
      </c>
      <c r="BL151" s="652">
        <f t="shared" ca="1" si="94"/>
        <v>0</v>
      </c>
      <c r="BM151" s="652">
        <f t="shared" ca="1" si="94"/>
        <v>0</v>
      </c>
      <c r="BN151" s="652">
        <f t="shared" ca="1" si="94"/>
        <v>0</v>
      </c>
      <c r="BO151" s="652">
        <f t="shared" ca="1" si="94"/>
        <v>0</v>
      </c>
      <c r="BP151" s="652">
        <f t="shared" ca="1" si="94"/>
        <v>0</v>
      </c>
      <c r="BQ151" s="652">
        <f t="shared" ca="1" si="94"/>
        <v>0</v>
      </c>
      <c r="BR151" s="652">
        <f t="shared" ca="1" si="109"/>
        <v>1</v>
      </c>
      <c r="BS151" s="652">
        <f t="shared" ca="1" si="111"/>
        <v>2000</v>
      </c>
      <c r="BT151" s="652">
        <f t="shared" ca="1" si="111"/>
        <v>0</v>
      </c>
      <c r="BU151" s="652">
        <f t="shared" ca="1" si="111"/>
        <v>500</v>
      </c>
      <c r="BV151" s="652">
        <f t="shared" ca="1" si="111"/>
        <v>0</v>
      </c>
      <c r="BW151" s="652">
        <f t="shared" ca="1" si="111"/>
        <v>15974.368421052633</v>
      </c>
      <c r="BX151" s="652">
        <f t="shared" ca="1" si="107"/>
        <v>10.151159486452112</v>
      </c>
      <c r="BY151" s="652">
        <f t="shared" ca="1" si="107"/>
        <v>0</v>
      </c>
    </row>
    <row r="152" spans="1:77">
      <c r="A152" s="425" t="str">
        <f t="shared" ca="1" si="108"/>
        <v>Business RebatesLG&amp;E-Air Cooled Chilled Water Reset, 400-500 tons</v>
      </c>
      <c r="B152" s="1297" t="str">
        <f t="shared" si="101"/>
        <v>LG&amp;EBusiness Rebates</v>
      </c>
      <c r="C152" s="662" t="s">
        <v>194</v>
      </c>
      <c r="D152" s="662" t="s">
        <v>63</v>
      </c>
      <c r="E152" s="652" t="str">
        <f t="shared" ca="1" si="115"/>
        <v>LG&amp;E-Air Cooled Chilled Water Reset, 400-500 tons</v>
      </c>
      <c r="F152" s="652" t="str">
        <f t="shared" ca="1" si="115"/>
        <v>Air Cooled Chilled Water Reset</v>
      </c>
      <c r="G152" s="652" t="str">
        <f t="shared" ca="1" si="115"/>
        <v>Per Unit</v>
      </c>
      <c r="H152" s="652">
        <f t="shared" ca="1" si="114"/>
        <v>0</v>
      </c>
      <c r="I152" s="652">
        <f t="shared" ca="1" si="114"/>
        <v>0</v>
      </c>
      <c r="J152" s="652">
        <f t="shared" ca="1" si="114"/>
        <v>0.5</v>
      </c>
      <c r="K152" s="652">
        <f t="shared" ca="1" si="114"/>
        <v>0</v>
      </c>
      <c r="L152" s="652">
        <f t="shared" ca="1" si="114"/>
        <v>0</v>
      </c>
      <c r="M152" s="652">
        <f t="shared" ca="1" si="114"/>
        <v>0.5</v>
      </c>
      <c r="N152" s="652">
        <f t="shared" ca="1" si="114"/>
        <v>0</v>
      </c>
      <c r="O152" s="652">
        <f t="shared" ca="1" si="114"/>
        <v>0</v>
      </c>
      <c r="P152" s="652">
        <f t="shared" ca="1" si="114"/>
        <v>0</v>
      </c>
      <c r="Q152" s="652">
        <f t="shared" ca="1" si="114"/>
        <v>1600</v>
      </c>
      <c r="R152" s="652">
        <f t="shared" ca="1" si="114"/>
        <v>0</v>
      </c>
      <c r="S152" s="652">
        <f t="shared" ca="1" si="114"/>
        <v>0</v>
      </c>
      <c r="T152" s="652">
        <f t="shared" ca="1" si="114"/>
        <v>1600</v>
      </c>
      <c r="U152" s="652">
        <f t="shared" ca="1" si="114"/>
        <v>0</v>
      </c>
      <c r="V152" s="652">
        <f t="shared" ca="1" si="112"/>
        <v>0</v>
      </c>
      <c r="W152" s="652">
        <f t="shared" ca="1" si="112"/>
        <v>0</v>
      </c>
      <c r="X152" s="652">
        <f t="shared" ca="1" si="112"/>
        <v>0</v>
      </c>
      <c r="Y152" s="652">
        <f t="shared" ca="1" si="112"/>
        <v>0</v>
      </c>
      <c r="Z152" s="652">
        <f t="shared" ca="1" si="112"/>
        <v>0</v>
      </c>
      <c r="AA152" s="652">
        <f t="shared" ca="1" si="112"/>
        <v>0</v>
      </c>
      <c r="AB152" s="652">
        <f t="shared" ca="1" si="112"/>
        <v>0</v>
      </c>
      <c r="AC152" s="652">
        <f t="shared" ca="1" si="112"/>
        <v>0</v>
      </c>
      <c r="AD152" s="652">
        <f t="shared" ca="1" si="112"/>
        <v>0</v>
      </c>
      <c r="AE152" s="652">
        <f t="shared" ca="1" si="112"/>
        <v>400</v>
      </c>
      <c r="AF152" s="652">
        <f t="shared" ca="1" si="112"/>
        <v>0</v>
      </c>
      <c r="AG152" s="652">
        <f t="shared" ca="1" si="112"/>
        <v>0</v>
      </c>
      <c r="AH152" s="652">
        <f t="shared" ca="1" si="112"/>
        <v>400</v>
      </c>
      <c r="AI152" s="652">
        <f t="shared" ca="1" si="113"/>
        <v>0</v>
      </c>
      <c r="AJ152" s="652">
        <f t="shared" ca="1" si="113"/>
        <v>0</v>
      </c>
      <c r="AK152" s="652">
        <f t="shared" ca="1" si="113"/>
        <v>0</v>
      </c>
      <c r="AL152" s="652">
        <f t="shared" ca="1" si="113"/>
        <v>12667.674157894739</v>
      </c>
      <c r="AM152" s="652">
        <f t="shared" ca="1" si="113"/>
        <v>0</v>
      </c>
      <c r="AN152" s="652">
        <f t="shared" ca="1" si="113"/>
        <v>0</v>
      </c>
      <c r="AO152" s="652">
        <f t="shared" ca="1" si="113"/>
        <v>12667.674157894739</v>
      </c>
      <c r="AP152" s="652">
        <f t="shared" ca="1" si="113"/>
        <v>0</v>
      </c>
      <c r="AQ152" s="652">
        <f t="shared" ca="1" si="113"/>
        <v>0</v>
      </c>
      <c r="AR152" s="652">
        <f t="shared" ca="1" si="113"/>
        <v>0</v>
      </c>
      <c r="AS152" s="652">
        <f t="shared" ca="1" si="113"/>
        <v>8.0498694727565248</v>
      </c>
      <c r="AT152" s="652">
        <f t="shared" ca="1" si="113"/>
        <v>0</v>
      </c>
      <c r="AU152" s="652">
        <f t="shared" ca="1" si="113"/>
        <v>0</v>
      </c>
      <c r="AV152" s="652">
        <f t="shared" ca="1" si="113"/>
        <v>8.0498694727565248</v>
      </c>
      <c r="AW152" s="652">
        <f t="shared" ca="1" si="111"/>
        <v>0</v>
      </c>
      <c r="AX152" s="652">
        <f t="shared" ca="1" si="111"/>
        <v>0</v>
      </c>
      <c r="AY152" s="652">
        <f t="shared" ca="1" si="111"/>
        <v>0</v>
      </c>
      <c r="AZ152" s="652">
        <f t="shared" ca="1" si="111"/>
        <v>0</v>
      </c>
      <c r="BA152" s="652">
        <f t="shared" ca="1" si="111"/>
        <v>0</v>
      </c>
      <c r="BB152" s="652">
        <f t="shared" ca="1" si="111"/>
        <v>0</v>
      </c>
      <c r="BC152" s="652">
        <f t="shared" ca="1" si="111"/>
        <v>0</v>
      </c>
      <c r="BD152" s="652">
        <f t="shared" ca="1" si="111"/>
        <v>0</v>
      </c>
      <c r="BE152" s="652" t="str">
        <f t="shared" ca="1" si="107"/>
        <v>Commercial</v>
      </c>
      <c r="BF152" s="652" t="str">
        <f t="shared" ca="1" si="107"/>
        <v>OFFLGCool</v>
      </c>
      <c r="BG152" s="652" t="str">
        <f t="shared" ca="1" si="107"/>
        <v>OFFSMGasHeat</v>
      </c>
      <c r="BH152" s="652" t="str">
        <f t="shared" ca="1" si="107"/>
        <v>LGE NonRes</v>
      </c>
      <c r="BI152" s="652" t="str">
        <f t="shared" ca="1" si="107"/>
        <v>LGE NonRes</v>
      </c>
      <c r="BJ152" s="652">
        <f t="shared" ca="1" si="107"/>
        <v>10</v>
      </c>
      <c r="BK152" s="652">
        <f t="shared" ca="1" si="107"/>
        <v>0</v>
      </c>
      <c r="BL152" s="652">
        <f t="shared" ca="1" si="94"/>
        <v>0</v>
      </c>
      <c r="BM152" s="652">
        <f t="shared" ca="1" si="94"/>
        <v>0</v>
      </c>
      <c r="BN152" s="652">
        <f t="shared" ca="1" si="94"/>
        <v>0</v>
      </c>
      <c r="BO152" s="652">
        <f t="shared" ca="1" si="94"/>
        <v>0</v>
      </c>
      <c r="BP152" s="652">
        <f t="shared" ref="BL152:BQ195" ca="1" si="116">VLOOKUP($C152,INDIRECT("'"&amp;$D152&amp;"'!A6:FR1000"),IF(BP$6="Participation 2023",MATCH("__Participation 2023",INDIRECT("'"&amp;$D152&amp;"'!1:1"),0),IF(BP$6="Participation",MATCH("_Total Plan Summary _Participation",INDIRECT("'"&amp;$D152&amp;"'!1:1"),0),MATCH(BP$4&amp;"_"&amp;BP$5&amp;"_"&amp;BP$6,INDIRECT("'"&amp;$D152&amp;"'!1:1"),0))),0)</f>
        <v>0</v>
      </c>
      <c r="BQ152" s="652">
        <f t="shared" ca="1" si="116"/>
        <v>0</v>
      </c>
      <c r="BR152" s="652">
        <f t="shared" ca="1" si="109"/>
        <v>1</v>
      </c>
      <c r="BS152" s="652">
        <f t="shared" ca="1" si="111"/>
        <v>3200</v>
      </c>
      <c r="BT152" s="652">
        <f t="shared" ca="1" si="111"/>
        <v>0</v>
      </c>
      <c r="BU152" s="652">
        <f t="shared" ca="1" si="111"/>
        <v>800</v>
      </c>
      <c r="BV152" s="652">
        <f t="shared" ca="1" si="111"/>
        <v>0</v>
      </c>
      <c r="BW152" s="652">
        <f t="shared" ca="1" si="111"/>
        <v>25335.348315789477</v>
      </c>
      <c r="BX152" s="652">
        <f t="shared" ca="1" si="107"/>
        <v>16.09973894551305</v>
      </c>
      <c r="BY152" s="652">
        <f t="shared" ca="1" si="107"/>
        <v>0</v>
      </c>
    </row>
    <row r="153" spans="1:77">
      <c r="A153" s="425" t="str">
        <f t="shared" ca="1" si="108"/>
        <v>Business RebatesLG&amp;E-Water Cooled Chilled Water Reset, 0-1000 tons</v>
      </c>
      <c r="B153" s="1297" t="str">
        <f t="shared" si="101"/>
        <v>LG&amp;EBusiness Rebates</v>
      </c>
      <c r="C153" s="662" t="s">
        <v>195</v>
      </c>
      <c r="D153" s="662" t="s">
        <v>63</v>
      </c>
      <c r="E153" s="652" t="str">
        <f t="shared" ca="1" si="115"/>
        <v>LG&amp;E-Water Cooled Chilled Water Reset, 0-1000 tons</v>
      </c>
      <c r="F153" s="652" t="str">
        <f t="shared" ca="1" si="115"/>
        <v>Water Cooled Chilled Water Reset</v>
      </c>
      <c r="G153" s="652" t="str">
        <f t="shared" ca="1" si="115"/>
        <v>Per Unit</v>
      </c>
      <c r="H153" s="652">
        <f t="shared" ca="1" si="114"/>
        <v>0.5</v>
      </c>
      <c r="I153" s="652">
        <f t="shared" ca="1" si="114"/>
        <v>1</v>
      </c>
      <c r="J153" s="652">
        <f t="shared" ca="1" si="114"/>
        <v>0.5</v>
      </c>
      <c r="K153" s="652">
        <f t="shared" ca="1" si="114"/>
        <v>1</v>
      </c>
      <c r="L153" s="652">
        <f t="shared" ca="1" si="114"/>
        <v>0.5</v>
      </c>
      <c r="M153" s="652">
        <f t="shared" ca="1" si="114"/>
        <v>1</v>
      </c>
      <c r="N153" s="652">
        <f t="shared" ca="1" si="114"/>
        <v>0.5</v>
      </c>
      <c r="O153" s="652">
        <f t="shared" ca="1" si="114"/>
        <v>600</v>
      </c>
      <c r="P153" s="652">
        <f t="shared" ca="1" si="114"/>
        <v>1200</v>
      </c>
      <c r="Q153" s="652">
        <f t="shared" ca="1" si="114"/>
        <v>600</v>
      </c>
      <c r="R153" s="652">
        <f t="shared" ca="1" si="114"/>
        <v>1200</v>
      </c>
      <c r="S153" s="652">
        <f t="shared" ca="1" si="114"/>
        <v>600</v>
      </c>
      <c r="T153" s="652">
        <f t="shared" ca="1" si="114"/>
        <v>1200</v>
      </c>
      <c r="U153" s="652">
        <f t="shared" ca="1" si="114"/>
        <v>600</v>
      </c>
      <c r="V153" s="652">
        <f t="shared" ca="1" si="112"/>
        <v>0</v>
      </c>
      <c r="W153" s="652">
        <f t="shared" ca="1" si="112"/>
        <v>0</v>
      </c>
      <c r="X153" s="652">
        <f t="shared" ca="1" si="112"/>
        <v>0</v>
      </c>
      <c r="Y153" s="652">
        <f t="shared" ca="1" si="112"/>
        <v>0</v>
      </c>
      <c r="Z153" s="652">
        <f t="shared" ca="1" si="112"/>
        <v>0</v>
      </c>
      <c r="AA153" s="652">
        <f t="shared" ca="1" si="112"/>
        <v>0</v>
      </c>
      <c r="AB153" s="652">
        <f t="shared" ca="1" si="112"/>
        <v>0</v>
      </c>
      <c r="AC153" s="652">
        <f t="shared" ca="1" si="112"/>
        <v>150</v>
      </c>
      <c r="AD153" s="652">
        <f t="shared" ca="1" si="112"/>
        <v>300</v>
      </c>
      <c r="AE153" s="652">
        <f t="shared" ca="1" si="112"/>
        <v>150</v>
      </c>
      <c r="AF153" s="652">
        <f t="shared" ca="1" si="112"/>
        <v>300</v>
      </c>
      <c r="AG153" s="652">
        <f t="shared" ca="1" si="112"/>
        <v>150</v>
      </c>
      <c r="AH153" s="652">
        <f t="shared" ca="1" si="112"/>
        <v>300</v>
      </c>
      <c r="AI153" s="652">
        <f t="shared" ca="1" si="113"/>
        <v>150</v>
      </c>
      <c r="AJ153" s="652">
        <f t="shared" ca="1" si="113"/>
        <v>6732.569595815361</v>
      </c>
      <c r="AK153" s="652">
        <f t="shared" ca="1" si="113"/>
        <v>13465.139191630722</v>
      </c>
      <c r="AL153" s="652">
        <f t="shared" ca="1" si="113"/>
        <v>6732.569595815361</v>
      </c>
      <c r="AM153" s="652">
        <f t="shared" ca="1" si="113"/>
        <v>13465.139191630722</v>
      </c>
      <c r="AN153" s="652">
        <f t="shared" ca="1" si="113"/>
        <v>6732.569595815361</v>
      </c>
      <c r="AO153" s="652">
        <f t="shared" ca="1" si="113"/>
        <v>13465.139191630722</v>
      </c>
      <c r="AP153" s="652">
        <f t="shared" ca="1" si="113"/>
        <v>6732.569595815361</v>
      </c>
      <c r="AQ153" s="652">
        <f t="shared" ca="1" si="113"/>
        <v>3.9516142524944033</v>
      </c>
      <c r="AR153" s="652">
        <f t="shared" ca="1" si="113"/>
        <v>7.9032285049888067</v>
      </c>
      <c r="AS153" s="652">
        <f t="shared" ca="1" si="113"/>
        <v>3.9516142524944033</v>
      </c>
      <c r="AT153" s="652">
        <f t="shared" ca="1" si="113"/>
        <v>7.9032285049888067</v>
      </c>
      <c r="AU153" s="652">
        <f t="shared" ca="1" si="113"/>
        <v>3.9516142524944033</v>
      </c>
      <c r="AV153" s="652">
        <f t="shared" ca="1" si="113"/>
        <v>7.9032285049888067</v>
      </c>
      <c r="AW153" s="652">
        <f t="shared" ca="1" si="111"/>
        <v>3.9516142524944033</v>
      </c>
      <c r="AX153" s="652">
        <f t="shared" ca="1" si="111"/>
        <v>0</v>
      </c>
      <c r="AY153" s="652">
        <f t="shared" ca="1" si="111"/>
        <v>0</v>
      </c>
      <c r="AZ153" s="652">
        <f t="shared" ca="1" si="111"/>
        <v>0</v>
      </c>
      <c r="BA153" s="652">
        <f t="shared" ca="1" si="111"/>
        <v>0</v>
      </c>
      <c r="BB153" s="652">
        <f t="shared" ca="1" si="111"/>
        <v>0</v>
      </c>
      <c r="BC153" s="652">
        <f t="shared" ca="1" si="111"/>
        <v>0</v>
      </c>
      <c r="BD153" s="652">
        <f t="shared" ca="1" si="111"/>
        <v>0</v>
      </c>
      <c r="BE153" s="652" t="str">
        <f t="shared" ca="1" si="107"/>
        <v>Commercial</v>
      </c>
      <c r="BF153" s="652" t="str">
        <f t="shared" ca="1" si="107"/>
        <v>OFFLGCool</v>
      </c>
      <c r="BG153" s="652" t="str">
        <f t="shared" ca="1" si="107"/>
        <v>OFFSMGasHeat</v>
      </c>
      <c r="BH153" s="652" t="str">
        <f t="shared" ca="1" si="107"/>
        <v>LGE NonRes</v>
      </c>
      <c r="BI153" s="652" t="str">
        <f t="shared" ca="1" si="107"/>
        <v>LGE NonRes</v>
      </c>
      <c r="BJ153" s="652">
        <f t="shared" ca="1" si="107"/>
        <v>10</v>
      </c>
      <c r="BK153" s="652">
        <f t="shared" ca="1" si="107"/>
        <v>0</v>
      </c>
      <c r="BL153" s="652">
        <f t="shared" ca="1" si="116"/>
        <v>0</v>
      </c>
      <c r="BM153" s="652">
        <f t="shared" ca="1" si="116"/>
        <v>0</v>
      </c>
      <c r="BN153" s="652">
        <f t="shared" ca="1" si="116"/>
        <v>0</v>
      </c>
      <c r="BO153" s="652">
        <f t="shared" ca="1" si="116"/>
        <v>0</v>
      </c>
      <c r="BP153" s="652">
        <f t="shared" ca="1" si="116"/>
        <v>0</v>
      </c>
      <c r="BQ153" s="652">
        <f t="shared" ca="1" si="116"/>
        <v>0</v>
      </c>
      <c r="BR153" s="652">
        <f t="shared" ca="1" si="109"/>
        <v>5</v>
      </c>
      <c r="BS153" s="652">
        <f t="shared" ca="1" si="111"/>
        <v>6000</v>
      </c>
      <c r="BT153" s="652">
        <f t="shared" ca="1" si="111"/>
        <v>0</v>
      </c>
      <c r="BU153" s="652">
        <f t="shared" ca="1" si="111"/>
        <v>1500</v>
      </c>
      <c r="BV153" s="652">
        <f t="shared" ca="1" si="111"/>
        <v>0</v>
      </c>
      <c r="BW153" s="652">
        <f t="shared" ca="1" si="111"/>
        <v>67325.695958153621</v>
      </c>
      <c r="BX153" s="652">
        <f t="shared" ca="1" si="107"/>
        <v>39.516142524944037</v>
      </c>
      <c r="BY153" s="652">
        <f t="shared" ca="1" si="107"/>
        <v>0</v>
      </c>
    </row>
    <row r="154" spans="1:77">
      <c r="A154" s="425" t="str">
        <f t="shared" ca="1" si="108"/>
        <v>Business RebatesLG&amp;E-Water Cooled Chilled Water Reset, 1000-2000 tons</v>
      </c>
      <c r="B154" s="1297" t="str">
        <f t="shared" si="101"/>
        <v>LG&amp;EBusiness Rebates</v>
      </c>
      <c r="C154" s="662" t="s">
        <v>196</v>
      </c>
      <c r="D154" s="662" t="s">
        <v>63</v>
      </c>
      <c r="E154" s="652" t="str">
        <f t="shared" ca="1" si="115"/>
        <v>LG&amp;E-Water Cooled Chilled Water Reset, 1000-2000 tons</v>
      </c>
      <c r="F154" s="652" t="str">
        <f t="shared" ca="1" si="115"/>
        <v>Water Cooled Chilled Water Reset</v>
      </c>
      <c r="G154" s="652" t="str">
        <f t="shared" ca="1" si="115"/>
        <v>Per Unit</v>
      </c>
      <c r="H154" s="652">
        <f t="shared" ca="1" si="114"/>
        <v>1</v>
      </c>
      <c r="I154" s="652">
        <f t="shared" ca="1" si="114"/>
        <v>0.5</v>
      </c>
      <c r="J154" s="652">
        <f t="shared" ca="1" si="114"/>
        <v>1</v>
      </c>
      <c r="K154" s="652">
        <f t="shared" ca="1" si="114"/>
        <v>0.5</v>
      </c>
      <c r="L154" s="652">
        <f t="shared" ca="1" si="114"/>
        <v>1</v>
      </c>
      <c r="M154" s="652">
        <f t="shared" ca="1" si="114"/>
        <v>0.5</v>
      </c>
      <c r="N154" s="652">
        <f t="shared" ca="1" si="114"/>
        <v>1</v>
      </c>
      <c r="O154" s="652">
        <f t="shared" ca="1" si="114"/>
        <v>3200</v>
      </c>
      <c r="P154" s="652">
        <f t="shared" ca="1" si="114"/>
        <v>1600</v>
      </c>
      <c r="Q154" s="652">
        <f t="shared" ca="1" si="114"/>
        <v>3200</v>
      </c>
      <c r="R154" s="652">
        <f t="shared" ca="1" si="114"/>
        <v>1600</v>
      </c>
      <c r="S154" s="652">
        <f t="shared" ca="1" si="114"/>
        <v>3200</v>
      </c>
      <c r="T154" s="652">
        <f t="shared" ca="1" si="114"/>
        <v>1600</v>
      </c>
      <c r="U154" s="652">
        <f t="shared" ca="1" si="114"/>
        <v>3200</v>
      </c>
      <c r="V154" s="652">
        <f t="shared" ca="1" si="112"/>
        <v>0</v>
      </c>
      <c r="W154" s="652">
        <f t="shared" ca="1" si="112"/>
        <v>0</v>
      </c>
      <c r="X154" s="652">
        <f t="shared" ca="1" si="112"/>
        <v>0</v>
      </c>
      <c r="Y154" s="652">
        <f t="shared" ca="1" si="112"/>
        <v>0</v>
      </c>
      <c r="Z154" s="652">
        <f t="shared" ca="1" si="112"/>
        <v>0</v>
      </c>
      <c r="AA154" s="652">
        <f t="shared" ca="1" si="112"/>
        <v>0</v>
      </c>
      <c r="AB154" s="652">
        <f t="shared" ca="1" si="112"/>
        <v>0</v>
      </c>
      <c r="AC154" s="652">
        <f t="shared" ca="1" si="112"/>
        <v>800</v>
      </c>
      <c r="AD154" s="652">
        <f t="shared" ca="1" si="112"/>
        <v>400</v>
      </c>
      <c r="AE154" s="652">
        <f t="shared" ca="1" si="112"/>
        <v>800</v>
      </c>
      <c r="AF154" s="652">
        <f t="shared" ca="1" si="112"/>
        <v>400</v>
      </c>
      <c r="AG154" s="652">
        <f t="shared" ca="1" si="112"/>
        <v>800</v>
      </c>
      <c r="AH154" s="652">
        <f t="shared" ca="1" si="112"/>
        <v>400</v>
      </c>
      <c r="AI154" s="652">
        <f t="shared" ca="1" si="113"/>
        <v>800</v>
      </c>
      <c r="AJ154" s="652">
        <f t="shared" ca="1" si="113"/>
        <v>39279.830921052635</v>
      </c>
      <c r="AK154" s="652">
        <f t="shared" ca="1" si="113"/>
        <v>19639.915460526317</v>
      </c>
      <c r="AL154" s="652">
        <f t="shared" ca="1" si="113"/>
        <v>39279.830921052635</v>
      </c>
      <c r="AM154" s="652">
        <f t="shared" ca="1" si="113"/>
        <v>19639.915460526317</v>
      </c>
      <c r="AN154" s="652">
        <f t="shared" ca="1" si="113"/>
        <v>39279.830921052635</v>
      </c>
      <c r="AO154" s="652">
        <f t="shared" ca="1" si="113"/>
        <v>19639.915460526317</v>
      </c>
      <c r="AP154" s="652">
        <f t="shared" ca="1" si="113"/>
        <v>39279.830921052635</v>
      </c>
      <c r="AQ154" s="652">
        <f t="shared" ca="1" si="113"/>
        <v>23.054903108566215</v>
      </c>
      <c r="AR154" s="652">
        <f t="shared" ca="1" si="113"/>
        <v>11.527451554283108</v>
      </c>
      <c r="AS154" s="652">
        <f t="shared" ca="1" si="113"/>
        <v>23.054903108566215</v>
      </c>
      <c r="AT154" s="652">
        <f t="shared" ca="1" si="113"/>
        <v>11.527451554283108</v>
      </c>
      <c r="AU154" s="652">
        <f t="shared" ca="1" si="113"/>
        <v>23.054903108566215</v>
      </c>
      <c r="AV154" s="652">
        <f t="shared" ca="1" si="113"/>
        <v>11.527451554283108</v>
      </c>
      <c r="AW154" s="652">
        <f t="shared" ca="1" si="111"/>
        <v>23.054903108566215</v>
      </c>
      <c r="AX154" s="652">
        <f t="shared" ca="1" si="111"/>
        <v>0</v>
      </c>
      <c r="AY154" s="652">
        <f t="shared" ca="1" si="111"/>
        <v>0</v>
      </c>
      <c r="AZ154" s="652">
        <f t="shared" ca="1" si="111"/>
        <v>0</v>
      </c>
      <c r="BA154" s="652">
        <f t="shared" ca="1" si="111"/>
        <v>0</v>
      </c>
      <c r="BB154" s="652">
        <f t="shared" ca="1" si="111"/>
        <v>0</v>
      </c>
      <c r="BC154" s="652">
        <f t="shared" ca="1" si="111"/>
        <v>0</v>
      </c>
      <c r="BD154" s="652">
        <f t="shared" ca="1" si="111"/>
        <v>0</v>
      </c>
      <c r="BE154" s="652" t="str">
        <f t="shared" ca="1" si="107"/>
        <v>Commercial</v>
      </c>
      <c r="BF154" s="652" t="str">
        <f t="shared" ca="1" si="107"/>
        <v>OFFLGCool</v>
      </c>
      <c r="BG154" s="652" t="str">
        <f t="shared" ca="1" si="107"/>
        <v>OFFSMGasHeat</v>
      </c>
      <c r="BH154" s="652" t="str">
        <f t="shared" ca="1" si="107"/>
        <v>LGE NonRes</v>
      </c>
      <c r="BI154" s="652" t="str">
        <f t="shared" ca="1" si="107"/>
        <v>LGE NonRes</v>
      </c>
      <c r="BJ154" s="652">
        <f t="shared" ca="1" si="107"/>
        <v>10</v>
      </c>
      <c r="BK154" s="652">
        <f t="shared" ca="1" si="107"/>
        <v>0</v>
      </c>
      <c r="BL154" s="652">
        <f t="shared" ca="1" si="116"/>
        <v>0</v>
      </c>
      <c r="BM154" s="652">
        <f t="shared" ca="1" si="116"/>
        <v>0</v>
      </c>
      <c r="BN154" s="652">
        <f t="shared" ca="1" si="116"/>
        <v>0</v>
      </c>
      <c r="BO154" s="652">
        <f t="shared" ca="1" si="116"/>
        <v>0</v>
      </c>
      <c r="BP154" s="652">
        <f t="shared" ca="1" si="116"/>
        <v>0</v>
      </c>
      <c r="BQ154" s="652">
        <f t="shared" ca="1" si="116"/>
        <v>0</v>
      </c>
      <c r="BR154" s="652">
        <f t="shared" ca="1" si="109"/>
        <v>5.5</v>
      </c>
      <c r="BS154" s="652">
        <f t="shared" ca="1" si="111"/>
        <v>17600</v>
      </c>
      <c r="BT154" s="652">
        <f t="shared" ca="1" si="111"/>
        <v>0</v>
      </c>
      <c r="BU154" s="652">
        <f t="shared" ca="1" si="111"/>
        <v>4400</v>
      </c>
      <c r="BV154" s="652">
        <f t="shared" ca="1" si="111"/>
        <v>0</v>
      </c>
      <c r="BW154" s="652">
        <f t="shared" ca="1" si="111"/>
        <v>216039.07006578948</v>
      </c>
      <c r="BX154" s="652">
        <f t="shared" ca="1" si="107"/>
        <v>126.80196709711419</v>
      </c>
      <c r="BY154" s="652">
        <f t="shared" ca="1" si="107"/>
        <v>0</v>
      </c>
    </row>
    <row r="155" spans="1:77">
      <c r="A155" s="425" t="str">
        <f t="shared" ca="1" si="108"/>
        <v>Business RebatesLG&amp;E-Water Cooled Chilled Water Reset, 2000-3000 tons</v>
      </c>
      <c r="B155" s="1297" t="str">
        <f t="shared" si="101"/>
        <v>LG&amp;EBusiness Rebates</v>
      </c>
      <c r="C155" s="662" t="s">
        <v>197</v>
      </c>
      <c r="D155" s="662" t="s">
        <v>63</v>
      </c>
      <c r="E155" s="652" t="str">
        <f t="shared" ca="1" si="115"/>
        <v>LG&amp;E-Water Cooled Chilled Water Reset, 2000-3000 tons</v>
      </c>
      <c r="F155" s="652" t="str">
        <f t="shared" ca="1" si="115"/>
        <v>Water Cooled Chilled Water Reset</v>
      </c>
      <c r="G155" s="652" t="str">
        <f t="shared" ca="1" si="115"/>
        <v>Per Unit</v>
      </c>
      <c r="H155" s="652">
        <f t="shared" ca="1" si="114"/>
        <v>0.5</v>
      </c>
      <c r="I155" s="652">
        <f t="shared" ca="1" si="114"/>
        <v>0</v>
      </c>
      <c r="J155" s="652">
        <f t="shared" ca="1" si="114"/>
        <v>0</v>
      </c>
      <c r="K155" s="652">
        <f t="shared" ca="1" si="114"/>
        <v>0.5</v>
      </c>
      <c r="L155" s="652">
        <f t="shared" ca="1" si="114"/>
        <v>0</v>
      </c>
      <c r="M155" s="652">
        <f t="shared" ca="1" si="114"/>
        <v>0</v>
      </c>
      <c r="N155" s="652">
        <f t="shared" ca="1" si="114"/>
        <v>0.5</v>
      </c>
      <c r="O155" s="652">
        <f t="shared" ca="1" si="114"/>
        <v>4000</v>
      </c>
      <c r="P155" s="652">
        <f t="shared" ca="1" si="114"/>
        <v>0</v>
      </c>
      <c r="Q155" s="652">
        <f t="shared" ca="1" si="114"/>
        <v>0</v>
      </c>
      <c r="R155" s="652">
        <f t="shared" ca="1" si="114"/>
        <v>4000</v>
      </c>
      <c r="S155" s="652">
        <f t="shared" ca="1" si="114"/>
        <v>0</v>
      </c>
      <c r="T155" s="652">
        <f t="shared" ca="1" si="114"/>
        <v>0</v>
      </c>
      <c r="U155" s="652">
        <f t="shared" ca="1" si="114"/>
        <v>4000</v>
      </c>
      <c r="V155" s="652">
        <f t="shared" ca="1" si="112"/>
        <v>0</v>
      </c>
      <c r="W155" s="652">
        <f t="shared" ca="1" si="112"/>
        <v>0</v>
      </c>
      <c r="X155" s="652">
        <f t="shared" ca="1" si="112"/>
        <v>0</v>
      </c>
      <c r="Y155" s="652">
        <f t="shared" ca="1" si="112"/>
        <v>0</v>
      </c>
      <c r="Z155" s="652">
        <f t="shared" ca="1" si="112"/>
        <v>0</v>
      </c>
      <c r="AA155" s="652">
        <f t="shared" ca="1" si="112"/>
        <v>0</v>
      </c>
      <c r="AB155" s="652">
        <f t="shared" ca="1" si="112"/>
        <v>0</v>
      </c>
      <c r="AC155" s="652">
        <f t="shared" ca="1" si="112"/>
        <v>1000</v>
      </c>
      <c r="AD155" s="652">
        <f t="shared" ca="1" si="112"/>
        <v>0</v>
      </c>
      <c r="AE155" s="652">
        <f t="shared" ca="1" si="112"/>
        <v>0</v>
      </c>
      <c r="AF155" s="652">
        <f t="shared" ca="1" si="112"/>
        <v>1000</v>
      </c>
      <c r="AG155" s="652">
        <f t="shared" ca="1" si="112"/>
        <v>0</v>
      </c>
      <c r="AH155" s="652">
        <f t="shared" ca="1" si="112"/>
        <v>0</v>
      </c>
      <c r="AI155" s="652">
        <f t="shared" ca="1" si="113"/>
        <v>1000</v>
      </c>
      <c r="AJ155" s="652">
        <f t="shared" ca="1" si="113"/>
        <v>32733.19243421053</v>
      </c>
      <c r="AK155" s="652">
        <f t="shared" ca="1" si="113"/>
        <v>0</v>
      </c>
      <c r="AL155" s="652">
        <f t="shared" ca="1" si="113"/>
        <v>0</v>
      </c>
      <c r="AM155" s="652">
        <f t="shared" ca="1" si="113"/>
        <v>32733.19243421053</v>
      </c>
      <c r="AN155" s="652">
        <f t="shared" ca="1" si="113"/>
        <v>0</v>
      </c>
      <c r="AO155" s="652">
        <f t="shared" ca="1" si="113"/>
        <v>0</v>
      </c>
      <c r="AP155" s="652">
        <f t="shared" ca="1" si="113"/>
        <v>32733.19243421053</v>
      </c>
      <c r="AQ155" s="652">
        <f t="shared" ca="1" si="113"/>
        <v>19.212419257138514</v>
      </c>
      <c r="AR155" s="652">
        <f t="shared" ca="1" si="113"/>
        <v>0</v>
      </c>
      <c r="AS155" s="652">
        <f t="shared" ca="1" si="113"/>
        <v>0</v>
      </c>
      <c r="AT155" s="652">
        <f t="shared" ca="1" si="113"/>
        <v>19.212419257138514</v>
      </c>
      <c r="AU155" s="652">
        <f t="shared" ca="1" si="113"/>
        <v>0</v>
      </c>
      <c r="AV155" s="652">
        <f t="shared" ca="1" si="113"/>
        <v>0</v>
      </c>
      <c r="AW155" s="652">
        <f t="shared" ca="1" si="111"/>
        <v>19.212419257138514</v>
      </c>
      <c r="AX155" s="652">
        <f t="shared" ca="1" si="111"/>
        <v>0</v>
      </c>
      <c r="AY155" s="652">
        <f t="shared" ca="1" si="111"/>
        <v>0</v>
      </c>
      <c r="AZ155" s="652">
        <f t="shared" ca="1" si="111"/>
        <v>0</v>
      </c>
      <c r="BA155" s="652">
        <f t="shared" ca="1" si="111"/>
        <v>0</v>
      </c>
      <c r="BB155" s="652">
        <f t="shared" ca="1" si="111"/>
        <v>0</v>
      </c>
      <c r="BC155" s="652">
        <f t="shared" ca="1" si="111"/>
        <v>0</v>
      </c>
      <c r="BD155" s="652">
        <f t="shared" ca="1" si="111"/>
        <v>0</v>
      </c>
      <c r="BE155" s="652" t="str">
        <f t="shared" ca="1" si="107"/>
        <v>Commercial</v>
      </c>
      <c r="BF155" s="652" t="str">
        <f t="shared" ca="1" si="107"/>
        <v>OFFLGCool</v>
      </c>
      <c r="BG155" s="652" t="str">
        <f t="shared" ca="1" si="107"/>
        <v>OFFSMGasHeat</v>
      </c>
      <c r="BH155" s="652" t="str">
        <f t="shared" ca="1" si="107"/>
        <v>LGE NonRes</v>
      </c>
      <c r="BI155" s="652" t="str">
        <f t="shared" ca="1" si="107"/>
        <v>LGE NonRes</v>
      </c>
      <c r="BJ155" s="652">
        <f t="shared" ca="1" si="107"/>
        <v>10</v>
      </c>
      <c r="BK155" s="652">
        <f t="shared" ca="1" si="107"/>
        <v>0</v>
      </c>
      <c r="BL155" s="652">
        <f t="shared" ca="1" si="116"/>
        <v>0</v>
      </c>
      <c r="BM155" s="652">
        <f t="shared" ca="1" si="116"/>
        <v>0</v>
      </c>
      <c r="BN155" s="652">
        <f t="shared" ca="1" si="116"/>
        <v>0</v>
      </c>
      <c r="BO155" s="652">
        <f t="shared" ca="1" si="116"/>
        <v>0</v>
      </c>
      <c r="BP155" s="652">
        <f t="shared" ca="1" si="116"/>
        <v>0</v>
      </c>
      <c r="BQ155" s="652">
        <f t="shared" ca="1" si="116"/>
        <v>0</v>
      </c>
      <c r="BR155" s="652">
        <f t="shared" ca="1" si="109"/>
        <v>1.5</v>
      </c>
      <c r="BS155" s="652">
        <f t="shared" ca="1" si="111"/>
        <v>12000</v>
      </c>
      <c r="BT155" s="652">
        <f t="shared" ca="1" si="111"/>
        <v>0</v>
      </c>
      <c r="BU155" s="652">
        <f t="shared" ca="1" si="111"/>
        <v>3000</v>
      </c>
      <c r="BV155" s="652">
        <f t="shared" ca="1" si="111"/>
        <v>0</v>
      </c>
      <c r="BW155" s="652">
        <f t="shared" ca="1" si="111"/>
        <v>98199.577302631587</v>
      </c>
      <c r="BX155" s="652">
        <f t="shared" ca="1" si="107"/>
        <v>57.637257771415541</v>
      </c>
      <c r="BY155" s="652">
        <f t="shared" ca="1" si="107"/>
        <v>0</v>
      </c>
    </row>
    <row r="156" spans="1:77">
      <c r="A156" s="425" t="str">
        <f t="shared" ca="1" si="108"/>
        <v>Business RebatesLG&amp;E-Motor - High Efficiency (1 HP - 250 HP)</v>
      </c>
      <c r="B156" s="1297" t="str">
        <f t="shared" si="101"/>
        <v>LG&amp;EBusiness Rebates</v>
      </c>
      <c r="C156" s="662" t="s">
        <v>198</v>
      </c>
      <c r="D156" s="662" t="s">
        <v>63</v>
      </c>
      <c r="E156" s="652" t="str">
        <f t="shared" ca="1" si="115"/>
        <v>LG&amp;E-Motor - High Efficiency (1 HP - 250 HP)</v>
      </c>
      <c r="F156" s="652" t="str">
        <f t="shared" ca="1" si="115"/>
        <v>High Efficiency Motors - 1 HP to 250 HP (Open Drip Roof and Totally Enclosed Fan-Cooled)</v>
      </c>
      <c r="G156" s="652" t="str">
        <f t="shared" ca="1" si="115"/>
        <v>Per HP</v>
      </c>
      <c r="H156" s="652">
        <f t="shared" ca="1" si="114"/>
        <v>403.5</v>
      </c>
      <c r="I156" s="652">
        <f t="shared" ca="1" si="114"/>
        <v>403.5</v>
      </c>
      <c r="J156" s="652">
        <f t="shared" ca="1" si="114"/>
        <v>403.5</v>
      </c>
      <c r="K156" s="652">
        <f t="shared" ca="1" si="114"/>
        <v>403.5</v>
      </c>
      <c r="L156" s="652">
        <f t="shared" ca="1" si="114"/>
        <v>403.5</v>
      </c>
      <c r="M156" s="652">
        <f t="shared" ca="1" si="114"/>
        <v>403.5</v>
      </c>
      <c r="N156" s="652">
        <f t="shared" ca="1" si="114"/>
        <v>403.5</v>
      </c>
      <c r="O156" s="652">
        <f t="shared" ca="1" si="114"/>
        <v>34848.157501134476</v>
      </c>
      <c r="P156" s="652">
        <f t="shared" ca="1" si="114"/>
        <v>34848.157501134476</v>
      </c>
      <c r="Q156" s="652">
        <f t="shared" ca="1" si="114"/>
        <v>34848.157501134476</v>
      </c>
      <c r="R156" s="652">
        <f t="shared" ca="1" si="114"/>
        <v>34848.157501134476</v>
      </c>
      <c r="S156" s="652">
        <f t="shared" ca="1" si="114"/>
        <v>34848.157501134476</v>
      </c>
      <c r="T156" s="652">
        <f t="shared" ca="1" si="114"/>
        <v>34848.157501134476</v>
      </c>
      <c r="U156" s="652">
        <f t="shared" ca="1" si="114"/>
        <v>34848.157501134476</v>
      </c>
      <c r="V156" s="652">
        <f t="shared" ca="1" si="112"/>
        <v>0</v>
      </c>
      <c r="W156" s="652">
        <f t="shared" ca="1" si="112"/>
        <v>0</v>
      </c>
      <c r="X156" s="652">
        <f t="shared" ca="1" si="112"/>
        <v>0</v>
      </c>
      <c r="Y156" s="652">
        <f t="shared" ca="1" si="112"/>
        <v>0</v>
      </c>
      <c r="Z156" s="652">
        <f t="shared" ca="1" si="112"/>
        <v>0</v>
      </c>
      <c r="AA156" s="652">
        <f t="shared" ca="1" si="112"/>
        <v>0</v>
      </c>
      <c r="AB156" s="652">
        <f t="shared" ca="1" si="112"/>
        <v>0</v>
      </c>
      <c r="AC156" s="652">
        <f t="shared" ca="1" si="112"/>
        <v>807</v>
      </c>
      <c r="AD156" s="652">
        <f t="shared" ca="1" si="112"/>
        <v>807</v>
      </c>
      <c r="AE156" s="652">
        <f t="shared" ca="1" si="112"/>
        <v>807</v>
      </c>
      <c r="AF156" s="652">
        <f t="shared" ca="1" si="112"/>
        <v>807</v>
      </c>
      <c r="AG156" s="652">
        <f t="shared" ca="1" si="112"/>
        <v>807</v>
      </c>
      <c r="AH156" s="652">
        <f t="shared" ca="1" si="112"/>
        <v>807</v>
      </c>
      <c r="AI156" s="652">
        <f t="shared" ca="1" si="113"/>
        <v>807</v>
      </c>
      <c r="AJ156" s="652">
        <f t="shared" ca="1" si="113"/>
        <v>12195.283125000002</v>
      </c>
      <c r="AK156" s="652">
        <f t="shared" ca="1" si="113"/>
        <v>12195.283125000002</v>
      </c>
      <c r="AL156" s="652">
        <f t="shared" ca="1" si="113"/>
        <v>12195.283125000002</v>
      </c>
      <c r="AM156" s="652">
        <f t="shared" ca="1" si="113"/>
        <v>12195.283125000002</v>
      </c>
      <c r="AN156" s="652">
        <f t="shared" ca="1" si="113"/>
        <v>12195.283125000002</v>
      </c>
      <c r="AO156" s="652">
        <f t="shared" ca="1" si="113"/>
        <v>12195.283125000002</v>
      </c>
      <c r="AP156" s="652">
        <f t="shared" ca="1" si="113"/>
        <v>12195.283125000002</v>
      </c>
      <c r="AQ156" s="652">
        <f t="shared" ca="1" si="113"/>
        <v>2.5435070833333331</v>
      </c>
      <c r="AR156" s="652">
        <f t="shared" ca="1" si="113"/>
        <v>2.5435070833333331</v>
      </c>
      <c r="AS156" s="652">
        <f t="shared" ca="1" si="113"/>
        <v>2.5435070833333331</v>
      </c>
      <c r="AT156" s="652">
        <f t="shared" ca="1" si="113"/>
        <v>2.5435070833333331</v>
      </c>
      <c r="AU156" s="652">
        <f t="shared" ca="1" si="113"/>
        <v>2.5435070833333331</v>
      </c>
      <c r="AV156" s="652">
        <f t="shared" ca="1" si="113"/>
        <v>2.5435070833333331</v>
      </c>
      <c r="AW156" s="652">
        <f t="shared" ca="1" si="111"/>
        <v>2.5435070833333331</v>
      </c>
      <c r="AX156" s="652">
        <f t="shared" ca="1" si="111"/>
        <v>0</v>
      </c>
      <c r="AY156" s="652">
        <f t="shared" ca="1" si="111"/>
        <v>0</v>
      </c>
      <c r="AZ156" s="652">
        <f t="shared" ca="1" si="111"/>
        <v>0</v>
      </c>
      <c r="BA156" s="652">
        <f t="shared" ca="1" si="111"/>
        <v>0</v>
      </c>
      <c r="BB156" s="652">
        <f t="shared" ca="1" si="111"/>
        <v>0</v>
      </c>
      <c r="BC156" s="652">
        <f t="shared" ca="1" si="111"/>
        <v>0</v>
      </c>
      <c r="BD156" s="652">
        <f t="shared" ca="1" si="111"/>
        <v>0</v>
      </c>
      <c r="BE156" s="652" t="str">
        <f t="shared" ca="1" si="107"/>
        <v>Commercial</v>
      </c>
      <c r="BF156" s="652" t="str">
        <f t="shared" ca="1" si="107"/>
        <v>OFFLGCool</v>
      </c>
      <c r="BG156" s="652" t="str">
        <f t="shared" ca="1" si="107"/>
        <v>OFFSMGasHeat</v>
      </c>
      <c r="BH156" s="652" t="str">
        <f t="shared" ca="1" si="107"/>
        <v>LGE NonRes</v>
      </c>
      <c r="BI156" s="652" t="str">
        <f t="shared" ca="1" si="107"/>
        <v>LGE NonRes</v>
      </c>
      <c r="BJ156" s="652">
        <f t="shared" ca="1" si="107"/>
        <v>20</v>
      </c>
      <c r="BK156" s="652">
        <f t="shared" ca="1" si="107"/>
        <v>0</v>
      </c>
      <c r="BL156" s="652">
        <f t="shared" ca="1" si="116"/>
        <v>0</v>
      </c>
      <c r="BM156" s="652">
        <f t="shared" ca="1" si="116"/>
        <v>0</v>
      </c>
      <c r="BN156" s="652">
        <f t="shared" ca="1" si="116"/>
        <v>0</v>
      </c>
      <c r="BO156" s="652">
        <f t="shared" ca="1" si="116"/>
        <v>0</v>
      </c>
      <c r="BP156" s="652">
        <f t="shared" ca="1" si="116"/>
        <v>0</v>
      </c>
      <c r="BQ156" s="652">
        <f t="shared" ca="1" si="116"/>
        <v>0</v>
      </c>
      <c r="BR156" s="652">
        <f t="shared" ca="1" si="109"/>
        <v>2824.5</v>
      </c>
      <c r="BS156" s="652">
        <f t="shared" ca="1" si="111"/>
        <v>243937.10250794131</v>
      </c>
      <c r="BT156" s="652">
        <f t="shared" ca="1" si="111"/>
        <v>0</v>
      </c>
      <c r="BU156" s="652">
        <f t="shared" ca="1" si="111"/>
        <v>5649</v>
      </c>
      <c r="BV156" s="652">
        <f t="shared" ca="1" si="111"/>
        <v>0</v>
      </c>
      <c r="BW156" s="652">
        <f t="shared" ca="1" si="111"/>
        <v>85366.981875000012</v>
      </c>
      <c r="BX156" s="652">
        <f t="shared" ca="1" si="107"/>
        <v>17.804549583333333</v>
      </c>
      <c r="BY156" s="652">
        <f t="shared" ca="1" si="107"/>
        <v>0</v>
      </c>
    </row>
    <row r="157" spans="1:77">
      <c r="A157" s="425" t="str">
        <f t="shared" ca="1" si="108"/>
        <v>Business RebatesLG&amp;E-Pump - High Efficiency (7.5 HP)</v>
      </c>
      <c r="B157" s="1297" t="str">
        <f t="shared" si="101"/>
        <v>LG&amp;EBusiness Rebates</v>
      </c>
      <c r="C157" s="662" t="s">
        <v>241</v>
      </c>
      <c r="D157" s="662" t="s">
        <v>63</v>
      </c>
      <c r="E157" s="652" t="str">
        <f t="shared" ca="1" si="115"/>
        <v>LG&amp;E-Pump - High Efficiency (7.5 HP)</v>
      </c>
      <c r="F157" s="652" t="str">
        <f t="shared" ca="1" si="115"/>
        <v xml:space="preserve">Efficiency of 73% or more for system </v>
      </c>
      <c r="G157" s="652" t="str">
        <f t="shared" ca="1" si="115"/>
        <v>Per Pump</v>
      </c>
      <c r="H157" s="652">
        <f t="shared" ca="1" si="114"/>
        <v>1.5357142857142856</v>
      </c>
      <c r="I157" s="652">
        <f t="shared" ca="1" si="114"/>
        <v>1.5357142857142856</v>
      </c>
      <c r="J157" s="652">
        <f t="shared" ca="1" si="114"/>
        <v>1.5357142857142856</v>
      </c>
      <c r="K157" s="652">
        <f t="shared" ca="1" si="114"/>
        <v>1.5357142857142856</v>
      </c>
      <c r="L157" s="652">
        <f t="shared" ca="1" si="114"/>
        <v>1.5357142857142856</v>
      </c>
      <c r="M157" s="652">
        <f t="shared" ca="1" si="114"/>
        <v>1.5357142857142856</v>
      </c>
      <c r="N157" s="652">
        <f t="shared" ca="1" si="114"/>
        <v>1.5357142857142856</v>
      </c>
      <c r="O157" s="652">
        <f t="shared" ca="1" si="114"/>
        <v>1344.9135560355983</v>
      </c>
      <c r="P157" s="652">
        <f t="shared" ca="1" si="114"/>
        <v>1344.9135560355983</v>
      </c>
      <c r="Q157" s="652">
        <f t="shared" ca="1" si="114"/>
        <v>1344.9135560355983</v>
      </c>
      <c r="R157" s="652">
        <f t="shared" ca="1" si="114"/>
        <v>1344.9135560355983</v>
      </c>
      <c r="S157" s="652">
        <f t="shared" ca="1" si="114"/>
        <v>1344.9135560355983</v>
      </c>
      <c r="T157" s="652">
        <f t="shared" ca="1" si="114"/>
        <v>1344.9135560355983</v>
      </c>
      <c r="U157" s="652">
        <f t="shared" ca="1" si="114"/>
        <v>1344.9135560355983</v>
      </c>
      <c r="V157" s="652">
        <f t="shared" ca="1" si="112"/>
        <v>0</v>
      </c>
      <c r="W157" s="652">
        <f t="shared" ca="1" si="112"/>
        <v>0</v>
      </c>
      <c r="X157" s="652">
        <f t="shared" ca="1" si="112"/>
        <v>0</v>
      </c>
      <c r="Y157" s="652">
        <f t="shared" ca="1" si="112"/>
        <v>0</v>
      </c>
      <c r="Z157" s="652">
        <f t="shared" ca="1" si="112"/>
        <v>0</v>
      </c>
      <c r="AA157" s="652">
        <f t="shared" ca="1" si="112"/>
        <v>0</v>
      </c>
      <c r="AB157" s="652">
        <f t="shared" ca="1" si="112"/>
        <v>0</v>
      </c>
      <c r="AC157" s="652">
        <f t="shared" ca="1" si="112"/>
        <v>76.785714285714278</v>
      </c>
      <c r="AD157" s="652">
        <f t="shared" ca="1" si="112"/>
        <v>76.785714285714278</v>
      </c>
      <c r="AE157" s="652">
        <f t="shared" ca="1" si="112"/>
        <v>76.785714285714278</v>
      </c>
      <c r="AF157" s="652">
        <f t="shared" ca="1" si="112"/>
        <v>76.785714285714278</v>
      </c>
      <c r="AG157" s="652">
        <f t="shared" ca="1" si="112"/>
        <v>76.785714285714278</v>
      </c>
      <c r="AH157" s="652">
        <f t="shared" ca="1" si="112"/>
        <v>76.785714285714278</v>
      </c>
      <c r="AI157" s="652">
        <f t="shared" ca="1" si="113"/>
        <v>76.785714285714278</v>
      </c>
      <c r="AJ157" s="652">
        <f t="shared" ca="1" si="113"/>
        <v>2585.4709821428569</v>
      </c>
      <c r="AK157" s="652">
        <f t="shared" ca="1" si="113"/>
        <v>2585.4709821428569</v>
      </c>
      <c r="AL157" s="652">
        <f t="shared" ca="1" si="113"/>
        <v>2585.4709821428569</v>
      </c>
      <c r="AM157" s="652">
        <f t="shared" ca="1" si="113"/>
        <v>2585.4709821428569</v>
      </c>
      <c r="AN157" s="652">
        <f t="shared" ca="1" si="113"/>
        <v>2585.4709821428569</v>
      </c>
      <c r="AO157" s="652">
        <f t="shared" ca="1" si="113"/>
        <v>2585.4709821428569</v>
      </c>
      <c r="AP157" s="652">
        <f t="shared" ca="1" si="113"/>
        <v>2585.4709821428569</v>
      </c>
      <c r="AQ157" s="652">
        <f t="shared" ca="1" si="113"/>
        <v>0.86671874999999987</v>
      </c>
      <c r="AR157" s="652">
        <f t="shared" ca="1" si="113"/>
        <v>0.86671874999999987</v>
      </c>
      <c r="AS157" s="652">
        <f t="shared" ca="1" si="113"/>
        <v>0.86671874999999987</v>
      </c>
      <c r="AT157" s="652">
        <f t="shared" ca="1" si="113"/>
        <v>0.86671874999999987</v>
      </c>
      <c r="AU157" s="652">
        <f t="shared" ca="1" si="113"/>
        <v>0.86671874999999987</v>
      </c>
      <c r="AV157" s="652">
        <f t="shared" ca="1" si="113"/>
        <v>0.86671874999999987</v>
      </c>
      <c r="AW157" s="652">
        <f t="shared" ca="1" si="111"/>
        <v>0.86671874999999987</v>
      </c>
      <c r="AX157" s="652">
        <f t="shared" ca="1" si="111"/>
        <v>0</v>
      </c>
      <c r="AY157" s="652">
        <f t="shared" ca="1" si="111"/>
        <v>0</v>
      </c>
      <c r="AZ157" s="652">
        <f t="shared" ca="1" si="111"/>
        <v>0</v>
      </c>
      <c r="BA157" s="652">
        <f t="shared" ca="1" si="111"/>
        <v>0</v>
      </c>
      <c r="BB157" s="652">
        <f t="shared" ca="1" si="111"/>
        <v>0</v>
      </c>
      <c r="BC157" s="652">
        <f t="shared" ca="1" si="111"/>
        <v>0</v>
      </c>
      <c r="BD157" s="652">
        <f t="shared" ca="1" si="111"/>
        <v>0</v>
      </c>
      <c r="BE157" s="652" t="str">
        <f t="shared" ca="1" si="107"/>
        <v>Commercial</v>
      </c>
      <c r="BF157" s="652" t="str">
        <f t="shared" ca="1" si="107"/>
        <v>OFFLGCool</v>
      </c>
      <c r="BG157" s="652" t="str">
        <f t="shared" ca="1" si="107"/>
        <v>OFFSMGasHeat</v>
      </c>
      <c r="BH157" s="652" t="str">
        <f t="shared" ca="1" si="107"/>
        <v>LGE NonRes</v>
      </c>
      <c r="BI157" s="652" t="str">
        <f t="shared" ca="1" si="107"/>
        <v>LGE NonRes</v>
      </c>
      <c r="BJ157" s="652">
        <f t="shared" ca="1" si="107"/>
        <v>20</v>
      </c>
      <c r="BK157" s="652">
        <f t="shared" ca="1" si="107"/>
        <v>0</v>
      </c>
      <c r="BL157" s="652">
        <f t="shared" ca="1" si="116"/>
        <v>0</v>
      </c>
      <c r="BM157" s="652">
        <f t="shared" ca="1" si="116"/>
        <v>0</v>
      </c>
      <c r="BN157" s="652">
        <f t="shared" ca="1" si="116"/>
        <v>0</v>
      </c>
      <c r="BO157" s="652">
        <f t="shared" ca="1" si="116"/>
        <v>0</v>
      </c>
      <c r="BP157" s="652">
        <f t="shared" ca="1" si="116"/>
        <v>0</v>
      </c>
      <c r="BQ157" s="652">
        <f t="shared" ca="1" si="116"/>
        <v>0</v>
      </c>
      <c r="BR157" s="652">
        <f t="shared" ca="1" si="109"/>
        <v>10.75</v>
      </c>
      <c r="BS157" s="652">
        <f t="shared" ca="1" si="111"/>
        <v>9414.3948922491873</v>
      </c>
      <c r="BT157" s="652">
        <f t="shared" ca="1" si="111"/>
        <v>0</v>
      </c>
      <c r="BU157" s="652">
        <f t="shared" ca="1" si="111"/>
        <v>537.5</v>
      </c>
      <c r="BV157" s="652">
        <f t="shared" ca="1" si="111"/>
        <v>0</v>
      </c>
      <c r="BW157" s="652">
        <f t="shared" ca="1" si="111"/>
        <v>18098.296875</v>
      </c>
      <c r="BX157" s="652">
        <f t="shared" ca="1" si="107"/>
        <v>6.0670312499999985</v>
      </c>
      <c r="BY157" s="652">
        <f t="shared" ca="1" si="107"/>
        <v>0</v>
      </c>
    </row>
    <row r="158" spans="1:77">
      <c r="A158" s="425" t="str">
        <f t="shared" ca="1" si="108"/>
        <v>Business RebatesLG&amp;E-Pump - High Efficiency (10 HP)</v>
      </c>
      <c r="B158" s="1297" t="str">
        <f t="shared" si="101"/>
        <v>LG&amp;EBusiness Rebates</v>
      </c>
      <c r="C158" s="662" t="s">
        <v>242</v>
      </c>
      <c r="D158" s="662" t="s">
        <v>63</v>
      </c>
      <c r="E158" s="652" t="str">
        <f t="shared" ca="1" si="115"/>
        <v>LG&amp;E-Pump - High Efficiency (10 HP)</v>
      </c>
      <c r="F158" s="652" t="str">
        <f t="shared" ca="1" si="115"/>
        <v xml:space="preserve">Efficiency of 75% or more for system </v>
      </c>
      <c r="G158" s="652" t="str">
        <f t="shared" ca="1" si="115"/>
        <v>Per Pump</v>
      </c>
      <c r="H158" s="652">
        <f t="shared" ca="1" si="114"/>
        <v>2.5714285714285712</v>
      </c>
      <c r="I158" s="652">
        <f t="shared" ca="1" si="114"/>
        <v>2.5714285714285712</v>
      </c>
      <c r="J158" s="652">
        <f t="shared" ca="1" si="114"/>
        <v>2.5714285714285712</v>
      </c>
      <c r="K158" s="652">
        <f t="shared" ca="1" si="114"/>
        <v>2.5714285714285712</v>
      </c>
      <c r="L158" s="652">
        <f t="shared" ca="1" si="114"/>
        <v>2.5714285714285712</v>
      </c>
      <c r="M158" s="652">
        <f t="shared" ca="1" si="114"/>
        <v>2.5714285714285712</v>
      </c>
      <c r="N158" s="652">
        <f t="shared" ca="1" si="114"/>
        <v>2.5714285714285712</v>
      </c>
      <c r="O158" s="652">
        <f t="shared" ca="1" si="114"/>
        <v>2432.9290858271638</v>
      </c>
      <c r="P158" s="652">
        <f t="shared" ca="1" si="114"/>
        <v>2432.9290858271638</v>
      </c>
      <c r="Q158" s="652">
        <f t="shared" ca="1" si="114"/>
        <v>2432.9290858271638</v>
      </c>
      <c r="R158" s="652">
        <f t="shared" ca="1" si="114"/>
        <v>2432.9290858271638</v>
      </c>
      <c r="S158" s="652">
        <f t="shared" ca="1" si="114"/>
        <v>2432.9290858271638</v>
      </c>
      <c r="T158" s="652">
        <f t="shared" ca="1" si="114"/>
        <v>2432.9290858271638</v>
      </c>
      <c r="U158" s="652">
        <f t="shared" ca="1" si="114"/>
        <v>2432.9290858271638</v>
      </c>
      <c r="V158" s="652">
        <f t="shared" ca="1" si="112"/>
        <v>0</v>
      </c>
      <c r="W158" s="652">
        <f t="shared" ca="1" si="112"/>
        <v>0</v>
      </c>
      <c r="X158" s="652">
        <f t="shared" ca="1" si="112"/>
        <v>0</v>
      </c>
      <c r="Y158" s="652">
        <f t="shared" ca="1" si="112"/>
        <v>0</v>
      </c>
      <c r="Z158" s="652">
        <f t="shared" ca="1" si="112"/>
        <v>0</v>
      </c>
      <c r="AA158" s="652">
        <f t="shared" ca="1" si="112"/>
        <v>0</v>
      </c>
      <c r="AB158" s="652">
        <f t="shared" ca="1" si="112"/>
        <v>0</v>
      </c>
      <c r="AC158" s="652">
        <f t="shared" ca="1" si="112"/>
        <v>154.28571428571428</v>
      </c>
      <c r="AD158" s="652">
        <f t="shared" ca="1" si="112"/>
        <v>154.28571428571428</v>
      </c>
      <c r="AE158" s="652">
        <f t="shared" ca="1" si="112"/>
        <v>154.28571428571428</v>
      </c>
      <c r="AF158" s="652">
        <f t="shared" ca="1" si="112"/>
        <v>154.28571428571428</v>
      </c>
      <c r="AG158" s="652">
        <f t="shared" ca="1" si="112"/>
        <v>154.28571428571428</v>
      </c>
      <c r="AH158" s="652">
        <f t="shared" ca="1" si="112"/>
        <v>154.28571428571428</v>
      </c>
      <c r="AI158" s="652">
        <f t="shared" ca="1" si="113"/>
        <v>154.28571428571428</v>
      </c>
      <c r="AJ158" s="652">
        <f t="shared" ca="1" si="113"/>
        <v>5772.2142857142853</v>
      </c>
      <c r="AK158" s="652">
        <f t="shared" ca="1" si="113"/>
        <v>5772.2142857142853</v>
      </c>
      <c r="AL158" s="652">
        <f t="shared" ca="1" si="113"/>
        <v>5772.2142857142853</v>
      </c>
      <c r="AM158" s="652">
        <f t="shared" ca="1" si="113"/>
        <v>5772.2142857142853</v>
      </c>
      <c r="AN158" s="652">
        <f t="shared" ca="1" si="113"/>
        <v>5772.2142857142853</v>
      </c>
      <c r="AO158" s="652">
        <f t="shared" ca="1" si="113"/>
        <v>5772.2142857142853</v>
      </c>
      <c r="AP158" s="652">
        <f t="shared" ca="1" si="113"/>
        <v>5772.2142857142853</v>
      </c>
      <c r="AQ158" s="652">
        <f t="shared" ca="1" si="113"/>
        <v>1.9349999999999996</v>
      </c>
      <c r="AR158" s="652">
        <f t="shared" ca="1" si="113"/>
        <v>1.9349999999999996</v>
      </c>
      <c r="AS158" s="652">
        <f t="shared" ca="1" si="113"/>
        <v>1.9349999999999996</v>
      </c>
      <c r="AT158" s="652">
        <f t="shared" ca="1" si="113"/>
        <v>1.9349999999999996</v>
      </c>
      <c r="AU158" s="652">
        <f t="shared" ca="1" si="113"/>
        <v>1.9349999999999996</v>
      </c>
      <c r="AV158" s="652">
        <f t="shared" ca="1" si="113"/>
        <v>1.9349999999999996</v>
      </c>
      <c r="AW158" s="652">
        <f t="shared" ca="1" si="111"/>
        <v>1.9349999999999996</v>
      </c>
      <c r="AX158" s="652">
        <f t="shared" ca="1" si="111"/>
        <v>0</v>
      </c>
      <c r="AY158" s="652">
        <f t="shared" ca="1" si="111"/>
        <v>0</v>
      </c>
      <c r="AZ158" s="652">
        <f t="shared" ca="1" si="111"/>
        <v>0</v>
      </c>
      <c r="BA158" s="652">
        <f t="shared" ca="1" si="111"/>
        <v>0</v>
      </c>
      <c r="BB158" s="652">
        <f t="shared" ca="1" si="111"/>
        <v>0</v>
      </c>
      <c r="BC158" s="652">
        <f t="shared" ca="1" si="111"/>
        <v>0</v>
      </c>
      <c r="BD158" s="652">
        <f t="shared" ca="1" si="111"/>
        <v>0</v>
      </c>
      <c r="BE158" s="652" t="str">
        <f t="shared" ca="1" si="107"/>
        <v>Commercial</v>
      </c>
      <c r="BF158" s="652" t="str">
        <f t="shared" ca="1" si="107"/>
        <v>OFFLGCool</v>
      </c>
      <c r="BG158" s="652" t="str">
        <f t="shared" ca="1" si="107"/>
        <v>OFFSMGasHeat</v>
      </c>
      <c r="BH158" s="652" t="str">
        <f t="shared" ca="1" si="107"/>
        <v>LGE NonRes</v>
      </c>
      <c r="BI158" s="652" t="str">
        <f t="shared" ca="1" si="107"/>
        <v>LGE NonRes</v>
      </c>
      <c r="BJ158" s="652">
        <f t="shared" ca="1" si="107"/>
        <v>20</v>
      </c>
      <c r="BK158" s="652">
        <f t="shared" ca="1" si="107"/>
        <v>0</v>
      </c>
      <c r="BL158" s="652">
        <f t="shared" ca="1" si="116"/>
        <v>0</v>
      </c>
      <c r="BM158" s="652">
        <f t="shared" ca="1" si="116"/>
        <v>0</v>
      </c>
      <c r="BN158" s="652">
        <f t="shared" ca="1" si="116"/>
        <v>0</v>
      </c>
      <c r="BO158" s="652">
        <f t="shared" ca="1" si="116"/>
        <v>0</v>
      </c>
      <c r="BP158" s="652">
        <f t="shared" ca="1" si="116"/>
        <v>0</v>
      </c>
      <c r="BQ158" s="652">
        <f t="shared" ca="1" si="116"/>
        <v>0</v>
      </c>
      <c r="BR158" s="652">
        <f t="shared" ca="1" si="109"/>
        <v>18</v>
      </c>
      <c r="BS158" s="652">
        <f t="shared" ca="1" si="111"/>
        <v>17030.503600790147</v>
      </c>
      <c r="BT158" s="652">
        <f t="shared" ca="1" si="111"/>
        <v>0</v>
      </c>
      <c r="BU158" s="652">
        <f t="shared" ca="1" si="111"/>
        <v>1079.9999999999998</v>
      </c>
      <c r="BV158" s="652">
        <f t="shared" ca="1" si="111"/>
        <v>0</v>
      </c>
      <c r="BW158" s="652">
        <f t="shared" ca="1" si="111"/>
        <v>40405.499999999993</v>
      </c>
      <c r="BX158" s="652">
        <f t="shared" ca="1" si="107"/>
        <v>13.544999999999995</v>
      </c>
      <c r="BY158" s="652">
        <f t="shared" ca="1" si="107"/>
        <v>0</v>
      </c>
    </row>
    <row r="159" spans="1:77">
      <c r="A159" s="425" t="str">
        <f t="shared" ca="1" si="108"/>
        <v>Business RebatesLG&amp;E-Pump - High Efficiency (15 HP)</v>
      </c>
      <c r="B159" s="1297" t="str">
        <f t="shared" si="101"/>
        <v>LG&amp;EBusiness Rebates</v>
      </c>
      <c r="C159" s="662" t="s">
        <v>243</v>
      </c>
      <c r="D159" s="662" t="s">
        <v>63</v>
      </c>
      <c r="E159" s="652" t="str">
        <f t="shared" ca="1" si="115"/>
        <v>LG&amp;E-Pump - High Efficiency (15 HP)</v>
      </c>
      <c r="F159" s="652" t="str">
        <f t="shared" ca="1" si="115"/>
        <v xml:space="preserve">Efficiency of 77% or more for system </v>
      </c>
      <c r="G159" s="652" t="str">
        <f t="shared" ca="1" si="115"/>
        <v>Per Pump</v>
      </c>
      <c r="H159" s="652">
        <f t="shared" ca="1" si="114"/>
        <v>0.25</v>
      </c>
      <c r="I159" s="652">
        <f t="shared" ca="1" si="114"/>
        <v>0.25</v>
      </c>
      <c r="J159" s="652">
        <f t="shared" ca="1" si="114"/>
        <v>0.25</v>
      </c>
      <c r="K159" s="652">
        <f t="shared" ca="1" si="114"/>
        <v>0.25</v>
      </c>
      <c r="L159" s="652">
        <f t="shared" ca="1" si="114"/>
        <v>0.25</v>
      </c>
      <c r="M159" s="652">
        <f t="shared" ca="1" si="114"/>
        <v>0.25</v>
      </c>
      <c r="N159" s="652">
        <f t="shared" ca="1" si="114"/>
        <v>0.25</v>
      </c>
      <c r="O159" s="652">
        <f t="shared" ca="1" si="114"/>
        <v>263.76108178213474</v>
      </c>
      <c r="P159" s="652">
        <f t="shared" ca="1" si="114"/>
        <v>263.76108178213474</v>
      </c>
      <c r="Q159" s="652">
        <f t="shared" ca="1" si="114"/>
        <v>263.76108178213474</v>
      </c>
      <c r="R159" s="652">
        <f t="shared" ca="1" si="114"/>
        <v>263.76108178213474</v>
      </c>
      <c r="S159" s="652">
        <f t="shared" ca="1" si="114"/>
        <v>263.76108178213474</v>
      </c>
      <c r="T159" s="652">
        <f t="shared" ca="1" si="114"/>
        <v>263.76108178213474</v>
      </c>
      <c r="U159" s="652">
        <f t="shared" ca="1" si="114"/>
        <v>263.76108178213474</v>
      </c>
      <c r="V159" s="652">
        <f t="shared" ca="1" si="112"/>
        <v>0</v>
      </c>
      <c r="W159" s="652">
        <f t="shared" ca="1" si="112"/>
        <v>0</v>
      </c>
      <c r="X159" s="652">
        <f t="shared" ca="1" si="112"/>
        <v>0</v>
      </c>
      <c r="Y159" s="652">
        <f t="shared" ca="1" si="112"/>
        <v>0</v>
      </c>
      <c r="Z159" s="652">
        <f t="shared" ca="1" si="112"/>
        <v>0</v>
      </c>
      <c r="AA159" s="652">
        <f t="shared" ca="1" si="112"/>
        <v>0</v>
      </c>
      <c r="AB159" s="652">
        <f t="shared" ca="1" si="112"/>
        <v>0</v>
      </c>
      <c r="AC159" s="652">
        <f t="shared" ca="1" si="112"/>
        <v>25</v>
      </c>
      <c r="AD159" s="652">
        <f t="shared" ca="1" si="112"/>
        <v>25</v>
      </c>
      <c r="AE159" s="652">
        <f t="shared" ca="1" si="112"/>
        <v>25</v>
      </c>
      <c r="AF159" s="652">
        <f t="shared" ca="1" si="112"/>
        <v>25</v>
      </c>
      <c r="AG159" s="652">
        <f t="shared" ca="1" si="112"/>
        <v>25</v>
      </c>
      <c r="AH159" s="652">
        <f t="shared" ca="1" si="112"/>
        <v>25</v>
      </c>
      <c r="AI159" s="652">
        <f t="shared" ca="1" si="113"/>
        <v>25</v>
      </c>
      <c r="AJ159" s="652">
        <f t="shared" ca="1" si="113"/>
        <v>841.78125</v>
      </c>
      <c r="AK159" s="652">
        <f t="shared" ca="1" si="113"/>
        <v>841.78125</v>
      </c>
      <c r="AL159" s="652">
        <f t="shared" ca="1" si="113"/>
        <v>841.78125</v>
      </c>
      <c r="AM159" s="652">
        <f t="shared" ca="1" si="113"/>
        <v>841.78125</v>
      </c>
      <c r="AN159" s="652">
        <f t="shared" ca="1" si="113"/>
        <v>841.78125</v>
      </c>
      <c r="AO159" s="652">
        <f t="shared" ca="1" si="113"/>
        <v>841.78125</v>
      </c>
      <c r="AP159" s="652">
        <f t="shared" ca="1" si="113"/>
        <v>841.78125</v>
      </c>
      <c r="AQ159" s="652">
        <f t="shared" ca="1" si="113"/>
        <v>0.28218749999999998</v>
      </c>
      <c r="AR159" s="652">
        <f t="shared" ca="1" si="113"/>
        <v>0.28218749999999998</v>
      </c>
      <c r="AS159" s="652">
        <f t="shared" ca="1" si="113"/>
        <v>0.28218749999999998</v>
      </c>
      <c r="AT159" s="652">
        <f t="shared" ca="1" si="113"/>
        <v>0.28218749999999998</v>
      </c>
      <c r="AU159" s="652">
        <f t="shared" ca="1" si="113"/>
        <v>0.28218749999999998</v>
      </c>
      <c r="AV159" s="652">
        <f t="shared" ca="1" si="113"/>
        <v>0.28218749999999998</v>
      </c>
      <c r="AW159" s="652">
        <f t="shared" ca="1" si="111"/>
        <v>0.28218749999999998</v>
      </c>
      <c r="AX159" s="652">
        <f t="shared" ca="1" si="111"/>
        <v>0</v>
      </c>
      <c r="AY159" s="652">
        <f t="shared" ca="1" si="111"/>
        <v>0</v>
      </c>
      <c r="AZ159" s="652">
        <f t="shared" ca="1" si="111"/>
        <v>0</v>
      </c>
      <c r="BA159" s="652">
        <f t="shared" ca="1" si="111"/>
        <v>0</v>
      </c>
      <c r="BB159" s="652">
        <f t="shared" ca="1" si="111"/>
        <v>0</v>
      </c>
      <c r="BC159" s="652">
        <f t="shared" ca="1" si="111"/>
        <v>0</v>
      </c>
      <c r="BD159" s="652">
        <f t="shared" ca="1" si="111"/>
        <v>0</v>
      </c>
      <c r="BE159" s="652" t="str">
        <f t="shared" ca="1" si="107"/>
        <v>Commercial</v>
      </c>
      <c r="BF159" s="652" t="str">
        <f t="shared" ca="1" si="107"/>
        <v>OFFLGCool</v>
      </c>
      <c r="BG159" s="652" t="str">
        <f t="shared" ca="1" si="107"/>
        <v>OFFSMGasHeat</v>
      </c>
      <c r="BH159" s="652" t="str">
        <f t="shared" ca="1" si="107"/>
        <v>LGE NonRes</v>
      </c>
      <c r="BI159" s="652" t="str">
        <f t="shared" ca="1" si="107"/>
        <v>LGE NonRes</v>
      </c>
      <c r="BJ159" s="652">
        <f t="shared" ca="1" si="107"/>
        <v>20</v>
      </c>
      <c r="BK159" s="652">
        <f t="shared" ca="1" si="107"/>
        <v>0</v>
      </c>
      <c r="BL159" s="652">
        <f t="shared" ca="1" si="116"/>
        <v>0</v>
      </c>
      <c r="BM159" s="652">
        <f t="shared" ca="1" si="116"/>
        <v>0</v>
      </c>
      <c r="BN159" s="652">
        <f t="shared" ca="1" si="116"/>
        <v>0</v>
      </c>
      <c r="BO159" s="652">
        <f t="shared" ca="1" si="116"/>
        <v>0</v>
      </c>
      <c r="BP159" s="652">
        <f t="shared" ca="1" si="116"/>
        <v>0</v>
      </c>
      <c r="BQ159" s="652">
        <f t="shared" ca="1" si="116"/>
        <v>0</v>
      </c>
      <c r="BR159" s="652">
        <f t="shared" ca="1" si="109"/>
        <v>1.75</v>
      </c>
      <c r="BS159" s="652">
        <f t="shared" ca="1" si="111"/>
        <v>1846.3275724749428</v>
      </c>
      <c r="BT159" s="652">
        <f t="shared" ca="1" si="111"/>
        <v>0</v>
      </c>
      <c r="BU159" s="652">
        <f t="shared" ca="1" si="111"/>
        <v>175</v>
      </c>
      <c r="BV159" s="652">
        <f t="shared" ca="1" si="111"/>
        <v>0</v>
      </c>
      <c r="BW159" s="652">
        <f t="shared" ca="1" si="111"/>
        <v>5892.46875</v>
      </c>
      <c r="BX159" s="652">
        <f t="shared" ca="1" si="107"/>
        <v>1.9753125</v>
      </c>
      <c r="BY159" s="652">
        <f t="shared" ca="1" si="107"/>
        <v>0</v>
      </c>
    </row>
    <row r="160" spans="1:77">
      <c r="A160" s="425" t="str">
        <f t="shared" ca="1" si="108"/>
        <v>Business RebatesLG&amp;E-Pump - High Efficiency (20 HP)</v>
      </c>
      <c r="B160" s="1297" t="str">
        <f t="shared" si="101"/>
        <v>LG&amp;EBusiness Rebates</v>
      </c>
      <c r="C160" s="662" t="s">
        <v>244</v>
      </c>
      <c r="D160" s="662" t="s">
        <v>63</v>
      </c>
      <c r="E160" s="652" t="str">
        <f t="shared" ca="1" si="115"/>
        <v>LG&amp;E-Pump - High Efficiency (20 HP)</v>
      </c>
      <c r="F160" s="652" t="str">
        <f t="shared" ca="1" si="115"/>
        <v xml:space="preserve">Efficiency of 77% or more for system </v>
      </c>
      <c r="G160" s="652" t="str">
        <f t="shared" ca="1" si="115"/>
        <v>Per Pump</v>
      </c>
      <c r="H160" s="652">
        <f t="shared" ca="1" si="114"/>
        <v>3.0357142857142856</v>
      </c>
      <c r="I160" s="652">
        <f t="shared" ca="1" si="114"/>
        <v>3.0357142857142856</v>
      </c>
      <c r="J160" s="652">
        <f t="shared" ca="1" si="114"/>
        <v>3.0357142857142856</v>
      </c>
      <c r="K160" s="652">
        <f t="shared" ca="1" si="114"/>
        <v>3.0357142857142856</v>
      </c>
      <c r="L160" s="652">
        <f t="shared" ca="1" si="114"/>
        <v>3.0357142857142856</v>
      </c>
      <c r="M160" s="652">
        <f t="shared" ca="1" si="114"/>
        <v>3.0357142857142856</v>
      </c>
      <c r="N160" s="652">
        <f t="shared" ca="1" si="114"/>
        <v>3.0357142857142856</v>
      </c>
      <c r="O160" s="652">
        <f t="shared" ca="1" si="114"/>
        <v>3460.2114553452316</v>
      </c>
      <c r="P160" s="652">
        <f t="shared" ca="1" si="114"/>
        <v>3460.2114553452316</v>
      </c>
      <c r="Q160" s="652">
        <f t="shared" ca="1" si="114"/>
        <v>3460.2114553452316</v>
      </c>
      <c r="R160" s="652">
        <f t="shared" ca="1" si="114"/>
        <v>3460.2114553452316</v>
      </c>
      <c r="S160" s="652">
        <f t="shared" ca="1" si="114"/>
        <v>3460.2114553452316</v>
      </c>
      <c r="T160" s="652">
        <f t="shared" ca="1" si="114"/>
        <v>3460.2114553452316</v>
      </c>
      <c r="U160" s="652">
        <f t="shared" ca="1" si="114"/>
        <v>3460.2114553452316</v>
      </c>
      <c r="V160" s="652">
        <f t="shared" ca="1" si="112"/>
        <v>0</v>
      </c>
      <c r="W160" s="652">
        <f t="shared" ca="1" si="112"/>
        <v>0</v>
      </c>
      <c r="X160" s="652">
        <f t="shared" ca="1" si="112"/>
        <v>0</v>
      </c>
      <c r="Y160" s="652">
        <f t="shared" ca="1" si="112"/>
        <v>0</v>
      </c>
      <c r="Z160" s="652">
        <f t="shared" ca="1" si="112"/>
        <v>0</v>
      </c>
      <c r="AA160" s="652">
        <f t="shared" ca="1" si="112"/>
        <v>0</v>
      </c>
      <c r="AB160" s="652">
        <f t="shared" ca="1" si="112"/>
        <v>0</v>
      </c>
      <c r="AC160" s="652">
        <f t="shared" ca="1" si="112"/>
        <v>455.35714285714283</v>
      </c>
      <c r="AD160" s="652">
        <f t="shared" ca="1" si="112"/>
        <v>455.35714285714283</v>
      </c>
      <c r="AE160" s="652">
        <f t="shared" ca="1" si="112"/>
        <v>455.35714285714283</v>
      </c>
      <c r="AF160" s="652">
        <f t="shared" ca="1" si="112"/>
        <v>455.35714285714283</v>
      </c>
      <c r="AG160" s="652">
        <f t="shared" ca="1" si="112"/>
        <v>455.35714285714283</v>
      </c>
      <c r="AH160" s="652">
        <f t="shared" ca="1" si="112"/>
        <v>455.35714285714283</v>
      </c>
      <c r="AI160" s="652">
        <f t="shared" ca="1" si="113"/>
        <v>455.35714285714283</v>
      </c>
      <c r="AJ160" s="652">
        <f t="shared" ca="1" si="113"/>
        <v>13628.839285714284</v>
      </c>
      <c r="AK160" s="652">
        <f t="shared" ca="1" si="113"/>
        <v>13628.839285714284</v>
      </c>
      <c r="AL160" s="652">
        <f t="shared" ca="1" si="113"/>
        <v>13628.839285714284</v>
      </c>
      <c r="AM160" s="652">
        <f t="shared" ca="1" si="113"/>
        <v>13628.839285714284</v>
      </c>
      <c r="AN160" s="652">
        <f t="shared" ca="1" si="113"/>
        <v>13628.839285714284</v>
      </c>
      <c r="AO160" s="652">
        <f t="shared" ca="1" si="113"/>
        <v>13628.839285714284</v>
      </c>
      <c r="AP160" s="652">
        <f t="shared" ca="1" si="113"/>
        <v>13628.839285714284</v>
      </c>
      <c r="AQ160" s="652">
        <f t="shared" ca="1" si="113"/>
        <v>4.5687499999999996</v>
      </c>
      <c r="AR160" s="652">
        <f t="shared" ca="1" si="113"/>
        <v>4.5687499999999996</v>
      </c>
      <c r="AS160" s="652">
        <f t="shared" ca="1" si="113"/>
        <v>4.5687499999999996</v>
      </c>
      <c r="AT160" s="652">
        <f t="shared" ca="1" si="113"/>
        <v>4.5687499999999996</v>
      </c>
      <c r="AU160" s="652">
        <f t="shared" ca="1" si="113"/>
        <v>4.5687499999999996</v>
      </c>
      <c r="AV160" s="652">
        <f t="shared" ca="1" si="113"/>
        <v>4.5687499999999996</v>
      </c>
      <c r="AW160" s="652">
        <f t="shared" ca="1" si="111"/>
        <v>4.5687499999999996</v>
      </c>
      <c r="AX160" s="652">
        <f t="shared" ca="1" si="111"/>
        <v>0</v>
      </c>
      <c r="AY160" s="652">
        <f t="shared" ca="1" si="111"/>
        <v>0</v>
      </c>
      <c r="AZ160" s="652">
        <f t="shared" ca="1" si="111"/>
        <v>0</v>
      </c>
      <c r="BA160" s="652">
        <f t="shared" ca="1" si="111"/>
        <v>0</v>
      </c>
      <c r="BB160" s="652">
        <f t="shared" ca="1" si="111"/>
        <v>0</v>
      </c>
      <c r="BC160" s="652">
        <f t="shared" ca="1" si="111"/>
        <v>0</v>
      </c>
      <c r="BD160" s="652">
        <f t="shared" ca="1" si="111"/>
        <v>0</v>
      </c>
      <c r="BE160" s="652" t="str">
        <f t="shared" ca="1" si="107"/>
        <v>Commercial</v>
      </c>
      <c r="BF160" s="652" t="str">
        <f t="shared" ca="1" si="107"/>
        <v>OFFLGCool</v>
      </c>
      <c r="BG160" s="652" t="str">
        <f t="shared" ca="1" si="107"/>
        <v>OFFSMGasHeat</v>
      </c>
      <c r="BH160" s="652" t="str">
        <f t="shared" ca="1" si="107"/>
        <v>LGE NonRes</v>
      </c>
      <c r="BI160" s="652" t="str">
        <f t="shared" ca="1" si="107"/>
        <v>LGE NonRes</v>
      </c>
      <c r="BJ160" s="652">
        <f t="shared" ca="1" si="107"/>
        <v>20</v>
      </c>
      <c r="BK160" s="652">
        <f t="shared" ca="1" si="107"/>
        <v>0</v>
      </c>
      <c r="BL160" s="652">
        <f t="shared" ca="1" si="116"/>
        <v>0</v>
      </c>
      <c r="BM160" s="652">
        <f t="shared" ca="1" si="116"/>
        <v>0</v>
      </c>
      <c r="BN160" s="652">
        <f t="shared" ca="1" si="116"/>
        <v>0</v>
      </c>
      <c r="BO160" s="652">
        <f t="shared" ca="1" si="116"/>
        <v>0</v>
      </c>
      <c r="BP160" s="652">
        <f t="shared" ca="1" si="116"/>
        <v>0</v>
      </c>
      <c r="BQ160" s="652">
        <f t="shared" ca="1" si="116"/>
        <v>0</v>
      </c>
      <c r="BR160" s="652">
        <f t="shared" ca="1" si="109"/>
        <v>21.249999999999996</v>
      </c>
      <c r="BS160" s="652">
        <f t="shared" ca="1" si="111"/>
        <v>24221.480187416619</v>
      </c>
      <c r="BT160" s="652">
        <f t="shared" ca="1" si="111"/>
        <v>0</v>
      </c>
      <c r="BU160" s="652">
        <f t="shared" ca="1" si="111"/>
        <v>3187.4999999999995</v>
      </c>
      <c r="BV160" s="652">
        <f t="shared" ca="1" si="111"/>
        <v>0</v>
      </c>
      <c r="BW160" s="652">
        <f t="shared" ca="1" si="111"/>
        <v>95401.875</v>
      </c>
      <c r="BX160" s="652">
        <f t="shared" ca="1" si="107"/>
        <v>31.981250000000003</v>
      </c>
      <c r="BY160" s="652">
        <f t="shared" ca="1" si="107"/>
        <v>0</v>
      </c>
    </row>
    <row r="161" spans="1:77">
      <c r="A161" s="425" t="str">
        <f t="shared" ca="1" si="108"/>
        <v>Business RebatesLG&amp;E-Pump - High Efficiency (30 HP)</v>
      </c>
      <c r="B161" s="1297" t="str">
        <f t="shared" si="101"/>
        <v>LG&amp;EBusiness Rebates</v>
      </c>
      <c r="C161" s="662" t="s">
        <v>245</v>
      </c>
      <c r="D161" s="662" t="s">
        <v>63</v>
      </c>
      <c r="E161" s="652" t="str">
        <f t="shared" ca="1" si="115"/>
        <v>LG&amp;E-Pump - High Efficiency (30 HP)</v>
      </c>
      <c r="F161" s="652" t="str">
        <f t="shared" ca="1" si="115"/>
        <v xml:space="preserve">Efficiency of 77% or more for system </v>
      </c>
      <c r="G161" s="652" t="str">
        <f t="shared" ca="1" si="115"/>
        <v>Per Pump</v>
      </c>
      <c r="H161" s="652">
        <f t="shared" ca="1" si="114"/>
        <v>0.75</v>
      </c>
      <c r="I161" s="652">
        <f t="shared" ca="1" si="114"/>
        <v>0.75</v>
      </c>
      <c r="J161" s="652">
        <f t="shared" ca="1" si="114"/>
        <v>0.75</v>
      </c>
      <c r="K161" s="652">
        <f t="shared" ca="1" si="114"/>
        <v>0.75</v>
      </c>
      <c r="L161" s="652">
        <f t="shared" ca="1" si="114"/>
        <v>0.75</v>
      </c>
      <c r="M161" s="652">
        <f t="shared" ca="1" si="114"/>
        <v>0.75</v>
      </c>
      <c r="N161" s="652">
        <f t="shared" ca="1" si="114"/>
        <v>0.75</v>
      </c>
      <c r="O161" s="652">
        <f t="shared" ca="1" si="114"/>
        <v>953.27615514624688</v>
      </c>
      <c r="P161" s="652">
        <f t="shared" ca="1" si="114"/>
        <v>953.27615514624688</v>
      </c>
      <c r="Q161" s="652">
        <f t="shared" ca="1" si="114"/>
        <v>953.27615514624688</v>
      </c>
      <c r="R161" s="652">
        <f t="shared" ca="1" si="114"/>
        <v>953.27615514624688</v>
      </c>
      <c r="S161" s="652">
        <f t="shared" ca="1" si="114"/>
        <v>953.27615514624688</v>
      </c>
      <c r="T161" s="652">
        <f t="shared" ca="1" si="114"/>
        <v>953.27615514624688</v>
      </c>
      <c r="U161" s="652">
        <f t="shared" ca="1" si="114"/>
        <v>953.27615514624688</v>
      </c>
      <c r="V161" s="652">
        <f t="shared" ca="1" si="112"/>
        <v>0</v>
      </c>
      <c r="W161" s="652">
        <f t="shared" ca="1" si="112"/>
        <v>0</v>
      </c>
      <c r="X161" s="652">
        <f t="shared" ca="1" si="112"/>
        <v>0</v>
      </c>
      <c r="Y161" s="652">
        <f t="shared" ca="1" si="112"/>
        <v>0</v>
      </c>
      <c r="Z161" s="652">
        <f t="shared" ca="1" si="112"/>
        <v>0</v>
      </c>
      <c r="AA161" s="652">
        <f t="shared" ca="1" si="112"/>
        <v>0</v>
      </c>
      <c r="AB161" s="652">
        <f t="shared" ca="1" si="112"/>
        <v>0</v>
      </c>
      <c r="AC161" s="652">
        <f t="shared" ca="1" si="112"/>
        <v>150</v>
      </c>
      <c r="AD161" s="652">
        <f t="shared" ca="1" si="112"/>
        <v>150</v>
      </c>
      <c r="AE161" s="652">
        <f t="shared" ca="1" si="112"/>
        <v>150</v>
      </c>
      <c r="AF161" s="652">
        <f t="shared" ca="1" si="112"/>
        <v>150</v>
      </c>
      <c r="AG161" s="652">
        <f t="shared" ca="1" si="112"/>
        <v>150</v>
      </c>
      <c r="AH161" s="652">
        <f t="shared" ca="1" si="112"/>
        <v>150</v>
      </c>
      <c r="AI161" s="652">
        <f t="shared" ca="1" si="113"/>
        <v>150</v>
      </c>
      <c r="AJ161" s="652">
        <f t="shared" ca="1" si="113"/>
        <v>5050.6875</v>
      </c>
      <c r="AK161" s="652">
        <f t="shared" ca="1" si="113"/>
        <v>5050.6875</v>
      </c>
      <c r="AL161" s="652">
        <f t="shared" ca="1" si="113"/>
        <v>5050.6875</v>
      </c>
      <c r="AM161" s="652">
        <f t="shared" ca="1" si="113"/>
        <v>5050.6875</v>
      </c>
      <c r="AN161" s="652">
        <f t="shared" ca="1" si="113"/>
        <v>5050.6875</v>
      </c>
      <c r="AO161" s="652">
        <f t="shared" ca="1" si="113"/>
        <v>5050.6875</v>
      </c>
      <c r="AP161" s="652">
        <f t="shared" ca="1" si="113"/>
        <v>5050.6875</v>
      </c>
      <c r="AQ161" s="652">
        <f t="shared" ca="1" si="113"/>
        <v>1.6931249999999998</v>
      </c>
      <c r="AR161" s="652">
        <f t="shared" ca="1" si="113"/>
        <v>1.6931249999999998</v>
      </c>
      <c r="AS161" s="652">
        <f t="shared" ca="1" si="113"/>
        <v>1.6931249999999998</v>
      </c>
      <c r="AT161" s="652">
        <f t="shared" ca="1" si="113"/>
        <v>1.6931249999999998</v>
      </c>
      <c r="AU161" s="652">
        <f t="shared" ca="1" si="113"/>
        <v>1.6931249999999998</v>
      </c>
      <c r="AV161" s="652">
        <f t="shared" ca="1" si="113"/>
        <v>1.6931249999999998</v>
      </c>
      <c r="AW161" s="652">
        <f t="shared" ca="1" si="111"/>
        <v>1.6931249999999998</v>
      </c>
      <c r="AX161" s="652">
        <f t="shared" ca="1" si="111"/>
        <v>0</v>
      </c>
      <c r="AY161" s="652">
        <f t="shared" ca="1" si="111"/>
        <v>0</v>
      </c>
      <c r="AZ161" s="652">
        <f t="shared" ca="1" si="111"/>
        <v>0</v>
      </c>
      <c r="BA161" s="652">
        <f t="shared" ca="1" si="111"/>
        <v>0</v>
      </c>
      <c r="BB161" s="652">
        <f t="shared" ca="1" si="111"/>
        <v>0</v>
      </c>
      <c r="BC161" s="652">
        <f t="shared" ca="1" si="111"/>
        <v>0</v>
      </c>
      <c r="BD161" s="652">
        <f t="shared" ca="1" si="111"/>
        <v>0</v>
      </c>
      <c r="BE161" s="652" t="str">
        <f t="shared" ca="1" si="107"/>
        <v>Commercial</v>
      </c>
      <c r="BF161" s="652" t="str">
        <f t="shared" ca="1" si="107"/>
        <v>OFFLGCool</v>
      </c>
      <c r="BG161" s="652" t="str">
        <f t="shared" ca="1" si="107"/>
        <v>OFFSMGasHeat</v>
      </c>
      <c r="BH161" s="652" t="str">
        <f t="shared" ca="1" si="107"/>
        <v>LGE NonRes</v>
      </c>
      <c r="BI161" s="652" t="str">
        <f t="shared" ca="1" si="107"/>
        <v>LGE NonRes</v>
      </c>
      <c r="BJ161" s="652">
        <f t="shared" ca="1" si="107"/>
        <v>20</v>
      </c>
      <c r="BK161" s="652">
        <f t="shared" ca="1" si="107"/>
        <v>0</v>
      </c>
      <c r="BL161" s="652">
        <f t="shared" ca="1" si="116"/>
        <v>0</v>
      </c>
      <c r="BM161" s="652">
        <f t="shared" ca="1" si="116"/>
        <v>0</v>
      </c>
      <c r="BN161" s="652">
        <f t="shared" ca="1" si="116"/>
        <v>0</v>
      </c>
      <c r="BO161" s="652">
        <f t="shared" ca="1" si="116"/>
        <v>0</v>
      </c>
      <c r="BP161" s="652">
        <f t="shared" ca="1" si="116"/>
        <v>0</v>
      </c>
      <c r="BQ161" s="652">
        <f t="shared" ca="1" si="116"/>
        <v>0</v>
      </c>
      <c r="BR161" s="652">
        <f t="shared" ca="1" si="109"/>
        <v>5.25</v>
      </c>
      <c r="BS161" s="652">
        <f t="shared" ca="1" si="111"/>
        <v>6672.9330860237287</v>
      </c>
      <c r="BT161" s="652">
        <f t="shared" ca="1" si="111"/>
        <v>0</v>
      </c>
      <c r="BU161" s="652">
        <f t="shared" ca="1" si="111"/>
        <v>1050</v>
      </c>
      <c r="BV161" s="652">
        <f t="shared" ca="1" si="111"/>
        <v>0</v>
      </c>
      <c r="BW161" s="652">
        <f t="shared" ca="1" si="111"/>
        <v>35354.8125</v>
      </c>
      <c r="BX161" s="652">
        <f t="shared" ca="1" si="107"/>
        <v>11.851875</v>
      </c>
      <c r="BY161" s="652">
        <f t="shared" ca="1" si="107"/>
        <v>0</v>
      </c>
    </row>
    <row r="162" spans="1:77">
      <c r="A162" s="425" t="str">
        <f t="shared" ca="1" si="108"/>
        <v>Business RebatesLG&amp;E-Pump - High Efficiency (40 HP)</v>
      </c>
      <c r="B162" s="1297" t="str">
        <f t="shared" si="101"/>
        <v>LG&amp;EBusiness Rebates</v>
      </c>
      <c r="C162" s="662" t="s">
        <v>246</v>
      </c>
      <c r="D162" s="662" t="s">
        <v>63</v>
      </c>
      <c r="E162" s="652" t="str">
        <f t="shared" ca="1" si="115"/>
        <v>LG&amp;E-Pump - High Efficiency (40 HP)</v>
      </c>
      <c r="F162" s="652" t="str">
        <f t="shared" ca="1" si="115"/>
        <v xml:space="preserve">Efficiency of 77% or more for system </v>
      </c>
      <c r="G162" s="652" t="str">
        <f t="shared" ca="1" si="115"/>
        <v>Per Pump</v>
      </c>
      <c r="H162" s="652">
        <f t="shared" ca="1" si="114"/>
        <v>1.2857142857142856</v>
      </c>
      <c r="I162" s="652">
        <f t="shared" ca="1" si="114"/>
        <v>1.2857142857142856</v>
      </c>
      <c r="J162" s="652">
        <f t="shared" ca="1" si="114"/>
        <v>1.2857142857142856</v>
      </c>
      <c r="K162" s="652">
        <f t="shared" ca="1" si="114"/>
        <v>1.2857142857142856</v>
      </c>
      <c r="L162" s="652">
        <f t="shared" ca="1" si="114"/>
        <v>1.2857142857142856</v>
      </c>
      <c r="M162" s="652">
        <f t="shared" ca="1" si="114"/>
        <v>1.2857142857142856</v>
      </c>
      <c r="N162" s="652">
        <f t="shared" ca="1" si="114"/>
        <v>1.2857142857142856</v>
      </c>
      <c r="O162" s="652">
        <f t="shared" ca="1" si="114"/>
        <v>1765.5213528979152</v>
      </c>
      <c r="P162" s="652">
        <f t="shared" ca="1" si="114"/>
        <v>1765.5213528979152</v>
      </c>
      <c r="Q162" s="652">
        <f t="shared" ca="1" si="114"/>
        <v>1765.5213528979152</v>
      </c>
      <c r="R162" s="652">
        <f t="shared" ca="1" si="114"/>
        <v>1765.5213528979152</v>
      </c>
      <c r="S162" s="652">
        <f t="shared" ca="1" si="114"/>
        <v>1765.5213528979152</v>
      </c>
      <c r="T162" s="652">
        <f t="shared" ca="1" si="114"/>
        <v>1765.5213528979152</v>
      </c>
      <c r="U162" s="652">
        <f t="shared" ca="1" si="114"/>
        <v>1765.5213528979152</v>
      </c>
      <c r="V162" s="652">
        <f t="shared" ca="1" si="112"/>
        <v>0</v>
      </c>
      <c r="W162" s="652">
        <f t="shared" ca="1" si="112"/>
        <v>0</v>
      </c>
      <c r="X162" s="652">
        <f t="shared" ca="1" si="112"/>
        <v>0</v>
      </c>
      <c r="Y162" s="652">
        <f t="shared" ca="1" si="112"/>
        <v>0</v>
      </c>
      <c r="Z162" s="652">
        <f t="shared" ca="1" si="112"/>
        <v>0</v>
      </c>
      <c r="AA162" s="652">
        <f t="shared" ca="1" si="112"/>
        <v>0</v>
      </c>
      <c r="AB162" s="652">
        <f t="shared" ca="1" si="112"/>
        <v>0</v>
      </c>
      <c r="AC162" s="652">
        <f t="shared" ca="1" si="112"/>
        <v>321.42857142857139</v>
      </c>
      <c r="AD162" s="652">
        <f t="shared" ca="1" si="112"/>
        <v>321.42857142857139</v>
      </c>
      <c r="AE162" s="652">
        <f t="shared" ca="1" si="112"/>
        <v>321.42857142857139</v>
      </c>
      <c r="AF162" s="652">
        <f t="shared" ca="1" si="112"/>
        <v>321.42857142857139</v>
      </c>
      <c r="AG162" s="652">
        <f t="shared" ca="1" si="112"/>
        <v>321.42857142857139</v>
      </c>
      <c r="AH162" s="652">
        <f t="shared" ca="1" si="112"/>
        <v>321.42857142857139</v>
      </c>
      <c r="AI162" s="652">
        <f t="shared" ca="1" si="113"/>
        <v>321.42857142857139</v>
      </c>
      <c r="AJ162" s="652">
        <f t="shared" ca="1" si="113"/>
        <v>11544.428571428571</v>
      </c>
      <c r="AK162" s="652">
        <f t="shared" ca="1" si="113"/>
        <v>11544.428571428571</v>
      </c>
      <c r="AL162" s="652">
        <f t="shared" ca="1" si="113"/>
        <v>11544.428571428571</v>
      </c>
      <c r="AM162" s="652">
        <f t="shared" ca="1" si="113"/>
        <v>11544.428571428571</v>
      </c>
      <c r="AN162" s="652">
        <f t="shared" ca="1" si="113"/>
        <v>11544.428571428571</v>
      </c>
      <c r="AO162" s="652">
        <f t="shared" ca="1" si="113"/>
        <v>11544.428571428571</v>
      </c>
      <c r="AP162" s="652">
        <f t="shared" ca="1" si="113"/>
        <v>11544.428571428571</v>
      </c>
      <c r="AQ162" s="652">
        <f t="shared" ca="1" si="113"/>
        <v>3.8699999999999992</v>
      </c>
      <c r="AR162" s="652">
        <f t="shared" ca="1" si="113"/>
        <v>3.8699999999999992</v>
      </c>
      <c r="AS162" s="652">
        <f t="shared" ca="1" si="113"/>
        <v>3.8699999999999992</v>
      </c>
      <c r="AT162" s="652">
        <f t="shared" ca="1" si="113"/>
        <v>3.8699999999999992</v>
      </c>
      <c r="AU162" s="652">
        <f t="shared" ca="1" si="113"/>
        <v>3.8699999999999992</v>
      </c>
      <c r="AV162" s="652">
        <f t="shared" ca="1" si="113"/>
        <v>3.8699999999999992</v>
      </c>
      <c r="AW162" s="652">
        <f t="shared" ca="1" si="111"/>
        <v>3.8699999999999992</v>
      </c>
      <c r="AX162" s="652">
        <f t="shared" ca="1" si="111"/>
        <v>0</v>
      </c>
      <c r="AY162" s="652">
        <f t="shared" ca="1" si="111"/>
        <v>0</v>
      </c>
      <c r="AZ162" s="652">
        <f t="shared" ca="1" si="111"/>
        <v>0</v>
      </c>
      <c r="BA162" s="652">
        <f t="shared" ca="1" si="111"/>
        <v>0</v>
      </c>
      <c r="BB162" s="652">
        <f t="shared" ca="1" si="111"/>
        <v>0</v>
      </c>
      <c r="BC162" s="652">
        <f t="shared" ca="1" si="111"/>
        <v>0</v>
      </c>
      <c r="BD162" s="652">
        <f t="shared" ca="1" si="111"/>
        <v>0</v>
      </c>
      <c r="BE162" s="652" t="str">
        <f t="shared" ca="1" si="107"/>
        <v>Commercial</v>
      </c>
      <c r="BF162" s="652" t="str">
        <f t="shared" ca="1" si="107"/>
        <v>OFFLGCool</v>
      </c>
      <c r="BG162" s="652" t="str">
        <f t="shared" ca="1" si="107"/>
        <v>OFFSMGasHeat</v>
      </c>
      <c r="BH162" s="652" t="str">
        <f t="shared" ca="1" si="107"/>
        <v>LGE NonRes</v>
      </c>
      <c r="BI162" s="652" t="str">
        <f t="shared" ca="1" si="107"/>
        <v>LGE NonRes</v>
      </c>
      <c r="BJ162" s="652">
        <f t="shared" ca="1" si="107"/>
        <v>20</v>
      </c>
      <c r="BK162" s="652">
        <f t="shared" ca="1" si="107"/>
        <v>0</v>
      </c>
      <c r="BL162" s="652">
        <f t="shared" ca="1" si="116"/>
        <v>0</v>
      </c>
      <c r="BM162" s="652">
        <f t="shared" ca="1" si="116"/>
        <v>0</v>
      </c>
      <c r="BN162" s="652">
        <f t="shared" ca="1" si="116"/>
        <v>0</v>
      </c>
      <c r="BO162" s="652">
        <f t="shared" ca="1" si="116"/>
        <v>0</v>
      </c>
      <c r="BP162" s="652">
        <f t="shared" ca="1" si="116"/>
        <v>0</v>
      </c>
      <c r="BQ162" s="652">
        <f t="shared" ca="1" si="116"/>
        <v>0</v>
      </c>
      <c r="BR162" s="652">
        <f t="shared" ca="1" si="109"/>
        <v>9</v>
      </c>
      <c r="BS162" s="652">
        <f t="shared" ca="1" si="111"/>
        <v>12358.649470285405</v>
      </c>
      <c r="BT162" s="652">
        <f t="shared" ca="1" si="111"/>
        <v>0</v>
      </c>
      <c r="BU162" s="652">
        <f t="shared" ca="1" si="111"/>
        <v>2249.9999999999995</v>
      </c>
      <c r="BV162" s="652">
        <f t="shared" ca="1" si="111"/>
        <v>0</v>
      </c>
      <c r="BW162" s="652">
        <f t="shared" ca="1" si="111"/>
        <v>80810.999999999985</v>
      </c>
      <c r="BX162" s="652">
        <f t="shared" ca="1" si="107"/>
        <v>27.089999999999989</v>
      </c>
      <c r="BY162" s="652">
        <f t="shared" ca="1" si="107"/>
        <v>0</v>
      </c>
    </row>
    <row r="163" spans="1:77">
      <c r="A163" s="425" t="str">
        <f t="shared" ca="1" si="108"/>
        <v>Business RebatesLG&amp;E-Pump - High Efficiency (50 HP)</v>
      </c>
      <c r="B163" s="1297" t="str">
        <f t="shared" si="101"/>
        <v>LG&amp;EBusiness Rebates</v>
      </c>
      <c r="C163" s="662" t="s">
        <v>247</v>
      </c>
      <c r="D163" s="662" t="s">
        <v>63</v>
      </c>
      <c r="E163" s="652" t="str">
        <f t="shared" ca="1" si="115"/>
        <v>LG&amp;E-Pump - High Efficiency (50 HP)</v>
      </c>
      <c r="F163" s="652" t="str">
        <f t="shared" ca="1" si="115"/>
        <v xml:space="preserve">Efficiency of 77% or more for system </v>
      </c>
      <c r="G163" s="652" t="str">
        <f t="shared" ca="1" si="115"/>
        <v>Per Pump</v>
      </c>
      <c r="H163" s="652">
        <f t="shared" ca="1" si="114"/>
        <v>1</v>
      </c>
      <c r="I163" s="652">
        <f t="shared" ca="1" si="114"/>
        <v>1</v>
      </c>
      <c r="J163" s="652">
        <f t="shared" ca="1" si="114"/>
        <v>1</v>
      </c>
      <c r="K163" s="652">
        <f t="shared" ca="1" si="114"/>
        <v>1</v>
      </c>
      <c r="L163" s="652">
        <f t="shared" ca="1" si="114"/>
        <v>1</v>
      </c>
      <c r="M163" s="652">
        <f t="shared" ca="1" si="114"/>
        <v>1</v>
      </c>
      <c r="N163" s="652">
        <f t="shared" ca="1" si="114"/>
        <v>1</v>
      </c>
      <c r="O163" s="652">
        <f t="shared" ca="1" si="114"/>
        <v>1458.0359273368367</v>
      </c>
      <c r="P163" s="652">
        <f t="shared" ca="1" si="114"/>
        <v>1458.0359273368367</v>
      </c>
      <c r="Q163" s="652">
        <f t="shared" ca="1" si="114"/>
        <v>1458.0359273368367</v>
      </c>
      <c r="R163" s="652">
        <f t="shared" ca="1" si="114"/>
        <v>1458.0359273368367</v>
      </c>
      <c r="S163" s="652">
        <f t="shared" ca="1" si="114"/>
        <v>1458.0359273368367</v>
      </c>
      <c r="T163" s="652">
        <f t="shared" ca="1" si="114"/>
        <v>1458.0359273368367</v>
      </c>
      <c r="U163" s="652">
        <f t="shared" ca="1" si="114"/>
        <v>1458.0359273368367</v>
      </c>
      <c r="V163" s="652">
        <f t="shared" ca="1" si="112"/>
        <v>0</v>
      </c>
      <c r="W163" s="652">
        <f t="shared" ca="1" si="112"/>
        <v>0</v>
      </c>
      <c r="X163" s="652">
        <f t="shared" ca="1" si="112"/>
        <v>0</v>
      </c>
      <c r="Y163" s="652">
        <f t="shared" ca="1" si="112"/>
        <v>0</v>
      </c>
      <c r="Z163" s="652">
        <f t="shared" ca="1" si="112"/>
        <v>0</v>
      </c>
      <c r="AA163" s="652">
        <f t="shared" ca="1" si="112"/>
        <v>0</v>
      </c>
      <c r="AB163" s="652">
        <f t="shared" ca="1" si="112"/>
        <v>0</v>
      </c>
      <c r="AC163" s="652">
        <f t="shared" ca="1" si="112"/>
        <v>300</v>
      </c>
      <c r="AD163" s="652">
        <f t="shared" ca="1" si="112"/>
        <v>300</v>
      </c>
      <c r="AE163" s="652">
        <f t="shared" ca="1" si="112"/>
        <v>300</v>
      </c>
      <c r="AF163" s="652">
        <f t="shared" ca="1" si="112"/>
        <v>300</v>
      </c>
      <c r="AG163" s="652">
        <f t="shared" ca="1" si="112"/>
        <v>300</v>
      </c>
      <c r="AH163" s="652">
        <f t="shared" ca="1" si="112"/>
        <v>300</v>
      </c>
      <c r="AI163" s="652">
        <f t="shared" ca="1" si="113"/>
        <v>300</v>
      </c>
      <c r="AJ163" s="652">
        <f t="shared" ca="1" si="113"/>
        <v>11223.75</v>
      </c>
      <c r="AK163" s="652">
        <f t="shared" ca="1" si="113"/>
        <v>11223.75</v>
      </c>
      <c r="AL163" s="652">
        <f t="shared" ca="1" si="113"/>
        <v>11223.75</v>
      </c>
      <c r="AM163" s="652">
        <f t="shared" ca="1" si="113"/>
        <v>11223.75</v>
      </c>
      <c r="AN163" s="652">
        <f t="shared" ca="1" si="113"/>
        <v>11223.75</v>
      </c>
      <c r="AO163" s="652">
        <f t="shared" ca="1" si="113"/>
        <v>11223.75</v>
      </c>
      <c r="AP163" s="652">
        <f t="shared" ca="1" si="113"/>
        <v>11223.75</v>
      </c>
      <c r="AQ163" s="652">
        <f t="shared" ca="1" si="113"/>
        <v>3.7624999999999997</v>
      </c>
      <c r="AR163" s="652">
        <f t="shared" ca="1" si="113"/>
        <v>3.7624999999999997</v>
      </c>
      <c r="AS163" s="652">
        <f t="shared" ca="1" si="113"/>
        <v>3.7624999999999997</v>
      </c>
      <c r="AT163" s="652">
        <f t="shared" ca="1" si="113"/>
        <v>3.7624999999999997</v>
      </c>
      <c r="AU163" s="652">
        <f t="shared" ca="1" si="113"/>
        <v>3.7624999999999997</v>
      </c>
      <c r="AV163" s="652">
        <f t="shared" ca="1" si="113"/>
        <v>3.7624999999999997</v>
      </c>
      <c r="AW163" s="652">
        <f t="shared" ca="1" si="111"/>
        <v>3.7624999999999997</v>
      </c>
      <c r="AX163" s="652">
        <f t="shared" ca="1" si="111"/>
        <v>0</v>
      </c>
      <c r="AY163" s="652">
        <f t="shared" ca="1" si="111"/>
        <v>0</v>
      </c>
      <c r="AZ163" s="652">
        <f t="shared" ca="1" si="111"/>
        <v>0</v>
      </c>
      <c r="BA163" s="652">
        <f t="shared" ca="1" si="111"/>
        <v>0</v>
      </c>
      <c r="BB163" s="652">
        <f t="shared" ca="1" si="111"/>
        <v>0</v>
      </c>
      <c r="BC163" s="652">
        <f t="shared" ca="1" si="111"/>
        <v>0</v>
      </c>
      <c r="BD163" s="652">
        <f t="shared" ca="1" si="111"/>
        <v>0</v>
      </c>
      <c r="BE163" s="652" t="str">
        <f t="shared" ca="1" si="107"/>
        <v>Commercial</v>
      </c>
      <c r="BF163" s="652" t="str">
        <f t="shared" ca="1" si="107"/>
        <v>OFFLGCool</v>
      </c>
      <c r="BG163" s="652" t="str">
        <f t="shared" ca="1" si="107"/>
        <v>OFFSMGasHeat</v>
      </c>
      <c r="BH163" s="652" t="str">
        <f t="shared" ca="1" si="107"/>
        <v>LGE NonRes</v>
      </c>
      <c r="BI163" s="652" t="str">
        <f t="shared" ca="1" si="107"/>
        <v>LGE NonRes</v>
      </c>
      <c r="BJ163" s="652">
        <f t="shared" ca="1" si="107"/>
        <v>20</v>
      </c>
      <c r="BK163" s="652">
        <f t="shared" ca="1" si="107"/>
        <v>0</v>
      </c>
      <c r="BL163" s="652">
        <f t="shared" ca="1" si="116"/>
        <v>0</v>
      </c>
      <c r="BM163" s="652">
        <f t="shared" ca="1" si="116"/>
        <v>0</v>
      </c>
      <c r="BN163" s="652">
        <f t="shared" ca="1" si="116"/>
        <v>0</v>
      </c>
      <c r="BO163" s="652">
        <f t="shared" ca="1" si="116"/>
        <v>0</v>
      </c>
      <c r="BP163" s="652">
        <f t="shared" ca="1" si="116"/>
        <v>0</v>
      </c>
      <c r="BQ163" s="652">
        <f t="shared" ca="1" si="116"/>
        <v>0</v>
      </c>
      <c r="BR163" s="652">
        <f t="shared" ca="1" si="109"/>
        <v>7</v>
      </c>
      <c r="BS163" s="652">
        <f t="shared" ca="1" si="111"/>
        <v>10206.251491357856</v>
      </c>
      <c r="BT163" s="652">
        <f t="shared" ca="1" si="111"/>
        <v>0</v>
      </c>
      <c r="BU163" s="652">
        <f t="shared" ca="1" si="111"/>
        <v>2100</v>
      </c>
      <c r="BV163" s="652">
        <f t="shared" ca="1" si="111"/>
        <v>0</v>
      </c>
      <c r="BW163" s="652">
        <f t="shared" ca="1" si="111"/>
        <v>78566.25</v>
      </c>
      <c r="BX163" s="652">
        <f t="shared" ca="1" si="107"/>
        <v>26.337499999999999</v>
      </c>
      <c r="BY163" s="652">
        <f t="shared" ca="1" si="107"/>
        <v>0</v>
      </c>
    </row>
    <row r="164" spans="1:77">
      <c r="A164" s="425" t="str">
        <f t="shared" ca="1" si="108"/>
        <v>Business RebatesLG&amp;E-Variable Frequency Drives</v>
      </c>
      <c r="B164" s="1297" t="str">
        <f t="shared" si="101"/>
        <v>LG&amp;EBusiness Rebates</v>
      </c>
      <c r="C164" s="662" t="s">
        <v>248</v>
      </c>
      <c r="D164" s="662" t="s">
        <v>63</v>
      </c>
      <c r="E164" s="652" t="str">
        <f t="shared" ca="1" si="115"/>
        <v>LG&amp;E-Variable Frequency Drives</v>
      </c>
      <c r="F164" s="652" t="str">
        <f t="shared" ca="1" si="115"/>
        <v>Variable Frequency Drives (VFDs) - All Sizes</v>
      </c>
      <c r="G164" s="652" t="str">
        <f t="shared" ca="1" si="115"/>
        <v>Per HP</v>
      </c>
      <c r="H164" s="652">
        <f t="shared" ca="1" si="114"/>
        <v>1547.6071428571427</v>
      </c>
      <c r="I164" s="652">
        <f t="shared" ca="1" si="114"/>
        <v>1547.6071428571427</v>
      </c>
      <c r="J164" s="652">
        <f t="shared" ca="1" si="114"/>
        <v>1547.6071428571427</v>
      </c>
      <c r="K164" s="652">
        <f t="shared" ca="1" si="114"/>
        <v>1547.6071428571427</v>
      </c>
      <c r="L164" s="652">
        <f t="shared" ca="1" si="114"/>
        <v>1547.6071428571427</v>
      </c>
      <c r="M164" s="652">
        <f t="shared" ca="1" si="114"/>
        <v>1547.6071428571427</v>
      </c>
      <c r="N164" s="652">
        <f t="shared" ca="1" si="114"/>
        <v>1547.6071428571427</v>
      </c>
      <c r="O164" s="652">
        <f t="shared" ca="1" si="114"/>
        <v>257676.58928571426</v>
      </c>
      <c r="P164" s="652">
        <f t="shared" ca="1" si="114"/>
        <v>257676.58928571426</v>
      </c>
      <c r="Q164" s="652">
        <f t="shared" ca="1" si="114"/>
        <v>257676.58928571426</v>
      </c>
      <c r="R164" s="652">
        <f t="shared" ca="1" si="114"/>
        <v>257676.58928571426</v>
      </c>
      <c r="S164" s="652">
        <f t="shared" ca="1" si="114"/>
        <v>257676.58928571426</v>
      </c>
      <c r="T164" s="652">
        <f t="shared" ca="1" si="114"/>
        <v>257676.58928571426</v>
      </c>
      <c r="U164" s="652">
        <f t="shared" ca="1" si="114"/>
        <v>257676.58928571426</v>
      </c>
      <c r="V164" s="652">
        <f t="shared" ca="1" si="112"/>
        <v>0</v>
      </c>
      <c r="W164" s="652">
        <f t="shared" ca="1" si="112"/>
        <v>0</v>
      </c>
      <c r="X164" s="652">
        <f t="shared" ca="1" si="112"/>
        <v>0</v>
      </c>
      <c r="Y164" s="652">
        <f t="shared" ca="1" si="112"/>
        <v>0</v>
      </c>
      <c r="Z164" s="652">
        <f t="shared" ca="1" si="112"/>
        <v>0</v>
      </c>
      <c r="AA164" s="652">
        <f t="shared" ca="1" si="112"/>
        <v>0</v>
      </c>
      <c r="AB164" s="652">
        <f t="shared" ca="1" si="112"/>
        <v>0</v>
      </c>
      <c r="AC164" s="652">
        <f t="shared" ca="1" si="112"/>
        <v>24761.714285714283</v>
      </c>
      <c r="AD164" s="652">
        <f t="shared" ca="1" si="112"/>
        <v>24761.714285714283</v>
      </c>
      <c r="AE164" s="652">
        <f t="shared" ca="1" si="112"/>
        <v>24761.714285714283</v>
      </c>
      <c r="AF164" s="652">
        <f t="shared" ca="1" si="112"/>
        <v>24761.714285714283</v>
      </c>
      <c r="AG164" s="652">
        <f t="shared" ca="1" si="112"/>
        <v>24761.714285714283</v>
      </c>
      <c r="AH164" s="652">
        <f t="shared" ca="1" si="112"/>
        <v>24761.714285714283</v>
      </c>
      <c r="AI164" s="652">
        <f t="shared" ca="1" si="113"/>
        <v>24761.714285714283</v>
      </c>
      <c r="AJ164" s="652">
        <f t="shared" ca="1" si="113"/>
        <v>783124.66507049825</v>
      </c>
      <c r="AK164" s="652">
        <f t="shared" ca="1" si="113"/>
        <v>783124.66507049825</v>
      </c>
      <c r="AL164" s="652">
        <f t="shared" ca="1" si="113"/>
        <v>783124.66507049825</v>
      </c>
      <c r="AM164" s="652">
        <f t="shared" ca="1" si="113"/>
        <v>783124.66507049825</v>
      </c>
      <c r="AN164" s="652">
        <f t="shared" ca="1" si="113"/>
        <v>783124.66507049825</v>
      </c>
      <c r="AO164" s="652">
        <f t="shared" ca="1" si="113"/>
        <v>783124.66507049825</v>
      </c>
      <c r="AP164" s="652">
        <f t="shared" ca="1" si="113"/>
        <v>783124.66507049825</v>
      </c>
      <c r="AQ164" s="652">
        <f t="shared" ca="1" si="113"/>
        <v>172.34141196843447</v>
      </c>
      <c r="AR164" s="652">
        <f t="shared" ca="1" si="113"/>
        <v>172.34141196843447</v>
      </c>
      <c r="AS164" s="652">
        <f t="shared" ca="1" si="113"/>
        <v>172.34141196843447</v>
      </c>
      <c r="AT164" s="652">
        <f t="shared" ca="1" si="113"/>
        <v>172.34141196843447</v>
      </c>
      <c r="AU164" s="652">
        <f t="shared" ca="1" si="113"/>
        <v>172.34141196843447</v>
      </c>
      <c r="AV164" s="652">
        <f t="shared" ref="AV164:BW179" ca="1" si="117">VLOOKUP($C164,INDIRECT("'"&amp;$D164&amp;"'!A6:FR1000"),IF(AV$6="Participation 2023",MATCH("__Participation 2023",INDIRECT("'"&amp;$D164&amp;"'!1:1"),0),IF(AV$6="Participation",MATCH("_Total Plan Summary _Participation",INDIRECT("'"&amp;$D164&amp;"'!1:1"),0),MATCH(AV$4&amp;"_"&amp;AV$5&amp;"_"&amp;AV$6,INDIRECT("'"&amp;$D164&amp;"'!1:1"),0))),0)</f>
        <v>172.34141196843447</v>
      </c>
      <c r="AW164" s="652">
        <f t="shared" ca="1" si="117"/>
        <v>172.34141196843447</v>
      </c>
      <c r="AX164" s="652">
        <f t="shared" ca="1" si="117"/>
        <v>0</v>
      </c>
      <c r="AY164" s="652">
        <f t="shared" ca="1" si="117"/>
        <v>0</v>
      </c>
      <c r="AZ164" s="652">
        <f t="shared" ca="1" si="117"/>
        <v>0</v>
      </c>
      <c r="BA164" s="652">
        <f t="shared" ca="1" si="117"/>
        <v>0</v>
      </c>
      <c r="BB164" s="652">
        <f t="shared" ca="1" si="117"/>
        <v>0</v>
      </c>
      <c r="BC164" s="652">
        <f t="shared" ca="1" si="117"/>
        <v>0</v>
      </c>
      <c r="BD164" s="652">
        <f t="shared" ca="1" si="117"/>
        <v>0</v>
      </c>
      <c r="BE164" s="652" t="str">
        <f t="shared" ca="1" si="107"/>
        <v>Commercial</v>
      </c>
      <c r="BF164" s="652" t="str">
        <f t="shared" ca="1" si="107"/>
        <v>OFFLGCool</v>
      </c>
      <c r="BG164" s="652" t="str">
        <f t="shared" ca="1" si="107"/>
        <v>OFFSMGasHeat</v>
      </c>
      <c r="BH164" s="652" t="str">
        <f t="shared" ca="1" si="107"/>
        <v>LGE NonRes</v>
      </c>
      <c r="BI164" s="652" t="str">
        <f t="shared" ca="1" si="107"/>
        <v>LGE NonRes</v>
      </c>
      <c r="BJ164" s="652">
        <f t="shared" ca="1" si="107"/>
        <v>15</v>
      </c>
      <c r="BK164" s="652">
        <f t="shared" ca="1" si="107"/>
        <v>0</v>
      </c>
      <c r="BL164" s="652">
        <f t="shared" ca="1" si="116"/>
        <v>0</v>
      </c>
      <c r="BM164" s="652">
        <f t="shared" ca="1" si="116"/>
        <v>0</v>
      </c>
      <c r="BN164" s="652">
        <f t="shared" ca="1" si="116"/>
        <v>0</v>
      </c>
      <c r="BO164" s="652">
        <f t="shared" ca="1" si="116"/>
        <v>0</v>
      </c>
      <c r="BP164" s="652">
        <f t="shared" ca="1" si="116"/>
        <v>0</v>
      </c>
      <c r="BQ164" s="652">
        <f t="shared" ca="1" si="116"/>
        <v>0</v>
      </c>
      <c r="BR164" s="652">
        <f t="shared" ca="1" si="109"/>
        <v>10833.25</v>
      </c>
      <c r="BS164" s="652">
        <f t="shared" ca="1" si="117"/>
        <v>1803736.125</v>
      </c>
      <c r="BT164" s="652">
        <f t="shared" ca="1" si="117"/>
        <v>0</v>
      </c>
      <c r="BU164" s="652">
        <f t="shared" ca="1" si="117"/>
        <v>173332</v>
      </c>
      <c r="BV164" s="652">
        <f t="shared" ca="1" si="117"/>
        <v>0</v>
      </c>
      <c r="BW164" s="652">
        <f t="shared" ca="1" si="117"/>
        <v>5481872.6554934876</v>
      </c>
      <c r="BX164" s="652">
        <f t="shared" ca="1" si="107"/>
        <v>1206.3898837790412</v>
      </c>
      <c r="BY164" s="652">
        <f t="shared" ca="1" si="107"/>
        <v>0</v>
      </c>
    </row>
    <row r="165" spans="1:77">
      <c r="A165" s="425" t="str">
        <f t="shared" ca="1" si="108"/>
        <v>Business RebatesLG&amp;E-LED Refrigerated Display Light</v>
      </c>
      <c r="B165" s="1297" t="str">
        <f t="shared" si="101"/>
        <v>LG&amp;EBusiness Rebates</v>
      </c>
      <c r="C165" s="662" t="s">
        <v>249</v>
      </c>
      <c r="D165" s="662" t="s">
        <v>63</v>
      </c>
      <c r="E165" s="652" t="str">
        <f t="shared" ca="1" si="115"/>
        <v>LG&amp;E-LED Refrigerated Display Light</v>
      </c>
      <c r="F165" s="652" t="str">
        <f t="shared" ca="1" si="115"/>
        <v>LED Refrigerated Display Light</v>
      </c>
      <c r="G165" s="652" t="str">
        <f t="shared" ca="1" si="115"/>
        <v>Per Unit</v>
      </c>
      <c r="H165" s="652">
        <f t="shared" ca="1" si="114"/>
        <v>317.67857142857144</v>
      </c>
      <c r="I165" s="652">
        <f t="shared" ca="1" si="114"/>
        <v>317.67857142857144</v>
      </c>
      <c r="J165" s="652">
        <f t="shared" ca="1" si="114"/>
        <v>317.67857142857144</v>
      </c>
      <c r="K165" s="652">
        <f t="shared" ca="1" si="114"/>
        <v>317.67857142857144</v>
      </c>
      <c r="L165" s="652">
        <f t="shared" ca="1" si="114"/>
        <v>317.67857142857144</v>
      </c>
      <c r="M165" s="652">
        <f t="shared" ca="1" si="114"/>
        <v>317.67857142857144</v>
      </c>
      <c r="N165" s="652">
        <f t="shared" ca="1" si="114"/>
        <v>317.67857142857144</v>
      </c>
      <c r="O165" s="652">
        <f t="shared" ca="1" si="114"/>
        <v>36533.035714285717</v>
      </c>
      <c r="P165" s="652">
        <f t="shared" ca="1" si="114"/>
        <v>36533.035714285717</v>
      </c>
      <c r="Q165" s="652">
        <f t="shared" ca="1" si="114"/>
        <v>36533.035714285717</v>
      </c>
      <c r="R165" s="652">
        <f t="shared" ca="1" si="114"/>
        <v>36533.035714285717</v>
      </c>
      <c r="S165" s="652">
        <f t="shared" ca="1" si="114"/>
        <v>36533.035714285717</v>
      </c>
      <c r="T165" s="652">
        <f t="shared" ca="1" si="114"/>
        <v>36533.035714285717</v>
      </c>
      <c r="U165" s="652">
        <f t="shared" ref="U165:AH180" ca="1" si="118">VLOOKUP($C165,INDIRECT("'"&amp;$D165&amp;"'!A6:FR1000"),IF(U$6="Participation 2023",MATCH("__Participation 2023",INDIRECT("'"&amp;$D165&amp;"'!1:1"),0),IF(U$6="Participation",MATCH("_Total Plan Summary _Participation",INDIRECT("'"&amp;$D165&amp;"'!1:1"),0),MATCH(U$4&amp;"_"&amp;U$5&amp;"_"&amp;U$6,INDIRECT("'"&amp;$D165&amp;"'!1:1"),0))),0)</f>
        <v>36533.035714285717</v>
      </c>
      <c r="V165" s="652">
        <f t="shared" ca="1" si="118"/>
        <v>-229.78749999999999</v>
      </c>
      <c r="W165" s="652">
        <f t="shared" ca="1" si="118"/>
        <v>-229.78749999999999</v>
      </c>
      <c r="X165" s="652">
        <f t="shared" ca="1" si="118"/>
        <v>-229.78749999999999</v>
      </c>
      <c r="Y165" s="652">
        <f t="shared" ca="1" si="118"/>
        <v>-229.78749999999999</v>
      </c>
      <c r="Z165" s="652">
        <f t="shared" ca="1" si="118"/>
        <v>-229.78749999999999</v>
      </c>
      <c r="AA165" s="652">
        <f t="shared" ca="1" si="118"/>
        <v>-229.78749999999999</v>
      </c>
      <c r="AB165" s="652">
        <f t="shared" ca="1" si="118"/>
        <v>-229.78749999999999</v>
      </c>
      <c r="AC165" s="652">
        <f t="shared" ca="1" si="118"/>
        <v>2859.1071428571431</v>
      </c>
      <c r="AD165" s="652">
        <f t="shared" ca="1" si="118"/>
        <v>2859.1071428571431</v>
      </c>
      <c r="AE165" s="652">
        <f t="shared" ca="1" si="118"/>
        <v>2859.1071428571431</v>
      </c>
      <c r="AF165" s="652">
        <f t="shared" ca="1" si="118"/>
        <v>2859.1071428571431</v>
      </c>
      <c r="AG165" s="652">
        <f t="shared" ca="1" si="118"/>
        <v>2859.1071428571431</v>
      </c>
      <c r="AH165" s="652">
        <f t="shared" ca="1" si="118"/>
        <v>2859.1071428571431</v>
      </c>
      <c r="AI165" s="652">
        <f t="shared" ref="AI165:AV180" ca="1" si="119">VLOOKUP($C165,INDIRECT("'"&amp;$D165&amp;"'!A6:FR1000"),IF(AI$6="Participation 2023",MATCH("__Participation 2023",INDIRECT("'"&amp;$D165&amp;"'!1:1"),0),IF(AI$6="Participation",MATCH("_Total Plan Summary _Participation",INDIRECT("'"&amp;$D165&amp;"'!1:1"),0),MATCH(AI$4&amp;"_"&amp;AI$5&amp;"_"&amp;AI$6,INDIRECT("'"&amp;$D165&amp;"'!1:1"),0))),0)</f>
        <v>2859.1071428571431</v>
      </c>
      <c r="AJ165" s="652">
        <f t="shared" ca="1" si="119"/>
        <v>109736.45547321429</v>
      </c>
      <c r="AK165" s="652">
        <f t="shared" ca="1" si="119"/>
        <v>109736.45547321429</v>
      </c>
      <c r="AL165" s="652">
        <f t="shared" ca="1" si="119"/>
        <v>109736.45547321429</v>
      </c>
      <c r="AM165" s="652">
        <f t="shared" ca="1" si="119"/>
        <v>109736.45547321429</v>
      </c>
      <c r="AN165" s="652">
        <f t="shared" ca="1" si="119"/>
        <v>109736.45547321429</v>
      </c>
      <c r="AO165" s="652">
        <f t="shared" ca="1" si="119"/>
        <v>109736.45547321429</v>
      </c>
      <c r="AP165" s="652">
        <f t="shared" ca="1" si="119"/>
        <v>109736.45547321429</v>
      </c>
      <c r="AQ165" s="652">
        <f t="shared" ca="1" si="119"/>
        <v>16.861870285714286</v>
      </c>
      <c r="AR165" s="652">
        <f t="shared" ca="1" si="119"/>
        <v>16.861870285714286</v>
      </c>
      <c r="AS165" s="652">
        <f t="shared" ca="1" si="119"/>
        <v>16.861870285714286</v>
      </c>
      <c r="AT165" s="652">
        <f t="shared" ca="1" si="119"/>
        <v>16.861870285714286</v>
      </c>
      <c r="AU165" s="652">
        <f t="shared" ca="1" si="119"/>
        <v>16.861870285714286</v>
      </c>
      <c r="AV165" s="652">
        <f t="shared" ca="1" si="119"/>
        <v>16.861870285714286</v>
      </c>
      <c r="AW165" s="652">
        <f t="shared" ca="1" si="117"/>
        <v>16.861870285714286</v>
      </c>
      <c r="AX165" s="652">
        <f t="shared" ca="1" si="117"/>
        <v>0</v>
      </c>
      <c r="AY165" s="652">
        <f t="shared" ca="1" si="117"/>
        <v>0</v>
      </c>
      <c r="AZ165" s="652">
        <f t="shared" ca="1" si="117"/>
        <v>0</v>
      </c>
      <c r="BA165" s="652">
        <f t="shared" ca="1" si="117"/>
        <v>0</v>
      </c>
      <c r="BB165" s="652">
        <f t="shared" ca="1" si="117"/>
        <v>0</v>
      </c>
      <c r="BC165" s="652">
        <f t="shared" ca="1" si="117"/>
        <v>0</v>
      </c>
      <c r="BD165" s="652">
        <f t="shared" ca="1" si="117"/>
        <v>0</v>
      </c>
      <c r="BE165" s="652" t="str">
        <f t="shared" ca="1" si="107"/>
        <v>Commercial</v>
      </c>
      <c r="BF165" s="652" t="str">
        <f t="shared" ca="1" si="107"/>
        <v>Grocery InLight</v>
      </c>
      <c r="BG165" s="652" t="str">
        <f t="shared" ref="BE165:BY178" ca="1" si="120">VLOOKUP($C165,INDIRECT("'"&amp;$D165&amp;"'!A6:FR1000"),IF(BG$6="Participation 2023",MATCH("__Participation 2023",INDIRECT("'"&amp;$D165&amp;"'!1:1"),0),IF(BG$6="Participation",MATCH("_Total Plan Summary _Participation",INDIRECT("'"&amp;$D165&amp;"'!1:1"),0),MATCH(BG$4&amp;"_"&amp;BG$5&amp;"_"&amp;BG$6,INDIRECT("'"&amp;$D165&amp;"'!1:1"),0))),0)</f>
        <v>OFFSMGasHeat</v>
      </c>
      <c r="BH165" s="652" t="str">
        <f t="shared" ca="1" si="120"/>
        <v>LGE NonRes</v>
      </c>
      <c r="BI165" s="652" t="str">
        <f t="shared" ca="1" si="120"/>
        <v>LGE NonRes</v>
      </c>
      <c r="BJ165" s="652">
        <f t="shared" ca="1" si="120"/>
        <v>8</v>
      </c>
      <c r="BK165" s="652">
        <f t="shared" ca="1" si="120"/>
        <v>0</v>
      </c>
      <c r="BL165" s="652">
        <f t="shared" ca="1" si="116"/>
        <v>0</v>
      </c>
      <c r="BM165" s="652">
        <f t="shared" ca="1" si="116"/>
        <v>0</v>
      </c>
      <c r="BN165" s="652">
        <f t="shared" ca="1" si="116"/>
        <v>0</v>
      </c>
      <c r="BO165" s="652">
        <f t="shared" ca="1" si="116"/>
        <v>0</v>
      </c>
      <c r="BP165" s="652">
        <f t="shared" ca="1" si="116"/>
        <v>0</v>
      </c>
      <c r="BQ165" s="652">
        <f t="shared" ca="1" si="116"/>
        <v>0</v>
      </c>
      <c r="BR165" s="652">
        <f t="shared" ca="1" si="109"/>
        <v>2223.7500000000005</v>
      </c>
      <c r="BS165" s="652">
        <f t="shared" ca="1" si="117"/>
        <v>255731.25</v>
      </c>
      <c r="BT165" s="652">
        <f t="shared" ca="1" si="117"/>
        <v>-1608.5124999999998</v>
      </c>
      <c r="BU165" s="652">
        <f t="shared" ca="1" si="117"/>
        <v>20013.75</v>
      </c>
      <c r="BV165" s="652">
        <f t="shared" ca="1" si="117"/>
        <v>0</v>
      </c>
      <c r="BW165" s="652">
        <f t="shared" ca="1" si="117"/>
        <v>768155.18831250002</v>
      </c>
      <c r="BX165" s="652">
        <f t="shared" ca="1" si="120"/>
        <v>118.03309200000001</v>
      </c>
      <c r="BY165" s="652">
        <f t="shared" ca="1" si="120"/>
        <v>0</v>
      </c>
    </row>
    <row r="166" spans="1:77">
      <c r="A166" s="425" t="str">
        <f t="shared" ca="1" si="108"/>
        <v>Business RebatesLG&amp;E-LED Exit Signs (replacement)</v>
      </c>
      <c r="B166" s="1297" t="str">
        <f t="shared" si="101"/>
        <v>LG&amp;EBusiness Rebates</v>
      </c>
      <c r="C166" s="662" t="s">
        <v>250</v>
      </c>
      <c r="D166" s="662" t="s">
        <v>63</v>
      </c>
      <c r="E166" s="652" t="str">
        <f t="shared" ca="1" si="115"/>
        <v>LG&amp;E-LED Exit Signs (replacement)</v>
      </c>
      <c r="F166" s="652" t="str">
        <f t="shared" ca="1" si="115"/>
        <v>LED Exit Signs (replacement)</v>
      </c>
      <c r="G166" s="652" t="str">
        <f t="shared" ca="1" si="115"/>
        <v>Per Unit</v>
      </c>
      <c r="H166" s="652">
        <f t="shared" ref="H166:U181" ca="1" si="121">VLOOKUP($C166,INDIRECT("'"&amp;$D166&amp;"'!A6:FR1000"),IF(H$6="Participation 2023",MATCH("__Participation 2023",INDIRECT("'"&amp;$D166&amp;"'!1:1"),0),IF(H$6="Participation",MATCH("_Total Plan Summary _Participation",INDIRECT("'"&amp;$D166&amp;"'!1:1"),0),MATCH(H$4&amp;"_"&amp;H$5&amp;"_"&amp;H$6,INDIRECT("'"&amp;$D166&amp;"'!1:1"),0))),0)</f>
        <v>687.75</v>
      </c>
      <c r="I166" s="652">
        <f t="shared" ca="1" si="121"/>
        <v>687.75</v>
      </c>
      <c r="J166" s="652">
        <f t="shared" ca="1" si="121"/>
        <v>687.75</v>
      </c>
      <c r="K166" s="652">
        <f t="shared" ca="1" si="121"/>
        <v>687.75</v>
      </c>
      <c r="L166" s="652">
        <f t="shared" ca="1" si="121"/>
        <v>687.75</v>
      </c>
      <c r="M166" s="652">
        <f t="shared" ca="1" si="121"/>
        <v>687.75</v>
      </c>
      <c r="N166" s="652">
        <f t="shared" ca="1" si="121"/>
        <v>687.75</v>
      </c>
      <c r="O166" s="652">
        <f t="shared" ca="1" si="121"/>
        <v>24071.25</v>
      </c>
      <c r="P166" s="652">
        <f t="shared" ca="1" si="121"/>
        <v>24071.25</v>
      </c>
      <c r="Q166" s="652">
        <f t="shared" ca="1" si="121"/>
        <v>24071.25</v>
      </c>
      <c r="R166" s="652">
        <f t="shared" ca="1" si="121"/>
        <v>24071.25</v>
      </c>
      <c r="S166" s="652">
        <f t="shared" ca="1" si="121"/>
        <v>24071.25</v>
      </c>
      <c r="T166" s="652">
        <f t="shared" ca="1" si="121"/>
        <v>24071.25</v>
      </c>
      <c r="U166" s="652">
        <f t="shared" ca="1" si="121"/>
        <v>24071.25</v>
      </c>
      <c r="V166" s="652">
        <f t="shared" ca="1" si="118"/>
        <v>0</v>
      </c>
      <c r="W166" s="652">
        <f t="shared" ca="1" si="118"/>
        <v>0</v>
      </c>
      <c r="X166" s="652">
        <f t="shared" ca="1" si="118"/>
        <v>0</v>
      </c>
      <c r="Y166" s="652">
        <f t="shared" ca="1" si="118"/>
        <v>0</v>
      </c>
      <c r="Z166" s="652">
        <f t="shared" ca="1" si="118"/>
        <v>0</v>
      </c>
      <c r="AA166" s="652">
        <f t="shared" ca="1" si="118"/>
        <v>0</v>
      </c>
      <c r="AB166" s="652">
        <f t="shared" ca="1" si="118"/>
        <v>0</v>
      </c>
      <c r="AC166" s="652">
        <f t="shared" ca="1" si="118"/>
        <v>6877.5</v>
      </c>
      <c r="AD166" s="652">
        <f t="shared" ca="1" si="118"/>
        <v>6877.5</v>
      </c>
      <c r="AE166" s="652">
        <f t="shared" ca="1" si="118"/>
        <v>6877.5</v>
      </c>
      <c r="AF166" s="652">
        <f t="shared" ca="1" si="118"/>
        <v>6877.5</v>
      </c>
      <c r="AG166" s="652">
        <f t="shared" ca="1" si="118"/>
        <v>6877.5</v>
      </c>
      <c r="AH166" s="652">
        <f t="shared" ca="1" si="118"/>
        <v>6877.5</v>
      </c>
      <c r="AI166" s="652">
        <f t="shared" ca="1" si="119"/>
        <v>6877.5</v>
      </c>
      <c r="AJ166" s="652">
        <f t="shared" ca="1" si="119"/>
        <v>209312.78969780216</v>
      </c>
      <c r="AK166" s="652">
        <f t="shared" ca="1" si="119"/>
        <v>209312.78969780216</v>
      </c>
      <c r="AL166" s="652">
        <f t="shared" ca="1" si="119"/>
        <v>209312.78969780216</v>
      </c>
      <c r="AM166" s="652">
        <f t="shared" ca="1" si="119"/>
        <v>209312.78969780216</v>
      </c>
      <c r="AN166" s="652">
        <f t="shared" ca="1" si="119"/>
        <v>209312.78969780216</v>
      </c>
      <c r="AO166" s="652">
        <f t="shared" ca="1" si="119"/>
        <v>209312.78969780216</v>
      </c>
      <c r="AP166" s="652">
        <f t="shared" ca="1" si="119"/>
        <v>209312.78969780216</v>
      </c>
      <c r="AQ166" s="652">
        <f t="shared" ca="1" si="119"/>
        <v>32.382372252747246</v>
      </c>
      <c r="AR166" s="652">
        <f t="shared" ca="1" si="119"/>
        <v>32.382372252747246</v>
      </c>
      <c r="AS166" s="652">
        <f t="shared" ca="1" si="119"/>
        <v>32.382372252747246</v>
      </c>
      <c r="AT166" s="652">
        <f t="shared" ca="1" si="119"/>
        <v>32.382372252747246</v>
      </c>
      <c r="AU166" s="652">
        <f t="shared" ca="1" si="119"/>
        <v>32.382372252747246</v>
      </c>
      <c r="AV166" s="652">
        <f t="shared" ca="1" si="119"/>
        <v>32.382372252747246</v>
      </c>
      <c r="AW166" s="652">
        <f t="shared" ca="1" si="117"/>
        <v>32.382372252747246</v>
      </c>
      <c r="AX166" s="652">
        <f t="shared" ca="1" si="117"/>
        <v>0</v>
      </c>
      <c r="AY166" s="652">
        <f t="shared" ca="1" si="117"/>
        <v>0</v>
      </c>
      <c r="AZ166" s="652">
        <f t="shared" ca="1" si="117"/>
        <v>0</v>
      </c>
      <c r="BA166" s="652">
        <f t="shared" ca="1" si="117"/>
        <v>0</v>
      </c>
      <c r="BB166" s="652">
        <f t="shared" ca="1" si="117"/>
        <v>0</v>
      </c>
      <c r="BC166" s="652">
        <f t="shared" ca="1" si="117"/>
        <v>0</v>
      </c>
      <c r="BD166" s="652">
        <f t="shared" ca="1" si="117"/>
        <v>0</v>
      </c>
      <c r="BE166" s="652" t="str">
        <f t="shared" ca="1" si="120"/>
        <v>Commercial</v>
      </c>
      <c r="BF166" s="652" t="str">
        <f t="shared" ca="1" si="120"/>
        <v>OFFLGInLight</v>
      </c>
      <c r="BG166" s="652" t="str">
        <f t="shared" ca="1" si="120"/>
        <v>OFFSMGasHeat</v>
      </c>
      <c r="BH166" s="652" t="str">
        <f t="shared" ca="1" si="120"/>
        <v>LGE NonRes</v>
      </c>
      <c r="BI166" s="652" t="str">
        <f t="shared" ca="1" si="120"/>
        <v>LGE NonRes</v>
      </c>
      <c r="BJ166" s="652">
        <f t="shared" ca="1" si="120"/>
        <v>16</v>
      </c>
      <c r="BK166" s="652">
        <f t="shared" ca="1" si="120"/>
        <v>0</v>
      </c>
      <c r="BL166" s="652">
        <f t="shared" ca="1" si="116"/>
        <v>0</v>
      </c>
      <c r="BM166" s="652">
        <f t="shared" ca="1" si="116"/>
        <v>0</v>
      </c>
      <c r="BN166" s="652">
        <f t="shared" ca="1" si="116"/>
        <v>0</v>
      </c>
      <c r="BO166" s="652">
        <f t="shared" ca="1" si="116"/>
        <v>0</v>
      </c>
      <c r="BP166" s="652">
        <f t="shared" ca="1" si="116"/>
        <v>0</v>
      </c>
      <c r="BQ166" s="652">
        <f t="shared" ca="1" si="116"/>
        <v>0</v>
      </c>
      <c r="BR166" s="652">
        <f t="shared" ca="1" si="109"/>
        <v>4814.25</v>
      </c>
      <c r="BS166" s="652">
        <f t="shared" ca="1" si="117"/>
        <v>168498.75</v>
      </c>
      <c r="BT166" s="652">
        <f t="shared" ca="1" si="117"/>
        <v>0</v>
      </c>
      <c r="BU166" s="652">
        <f t="shared" ca="1" si="117"/>
        <v>48142.5</v>
      </c>
      <c r="BV166" s="652">
        <f t="shared" ca="1" si="117"/>
        <v>0</v>
      </c>
      <c r="BW166" s="652">
        <f t="shared" ca="1" si="117"/>
        <v>1465189.5278846151</v>
      </c>
      <c r="BX166" s="652">
        <f t="shared" ca="1" si="120"/>
        <v>226.67660576923072</v>
      </c>
      <c r="BY166" s="652">
        <f t="shared" ca="1" si="120"/>
        <v>0</v>
      </c>
    </row>
    <row r="167" spans="1:77">
      <c r="A167" s="425" t="str">
        <f t="shared" ca="1" si="108"/>
        <v>Business RebatesLG&amp;E-Efficient Lighting Controls - Occupancy Sensor</v>
      </c>
      <c r="B167" s="1297" t="str">
        <f t="shared" si="101"/>
        <v>LG&amp;EBusiness Rebates</v>
      </c>
      <c r="C167" s="662" t="s">
        <v>251</v>
      </c>
      <c r="D167" s="662" t="s">
        <v>63</v>
      </c>
      <c r="E167" s="652" t="str">
        <f t="shared" ref="E167:G182" ca="1" si="122">VLOOKUP($C167,INDIRECT("'"&amp;$D167&amp;"'!A6:FC1000"),IF(E$6="Participation 2023",MATCH("__Participation 2023",INDIRECT("'"&amp;$D167&amp;"'!1:1"),0),IF(E$6="Participation",MATCH("_Total Plan Summary _Participation",INDIRECT("'"&amp;$D167&amp;"'!1:1"),0),MATCH(E$4&amp;"_"&amp;E$5&amp;"_"&amp;E$6,INDIRECT("'"&amp;$D167&amp;"'!1:1"),0))),0)</f>
        <v>LG&amp;E-Efficient Lighting Controls - Occupancy Sensor</v>
      </c>
      <c r="F167" s="652" t="str">
        <f t="shared" ca="1" si="122"/>
        <v>Occupancy Sensor ($0.03 per Controlled Watt)</v>
      </c>
      <c r="G167" s="652" t="str">
        <f t="shared" ca="1" si="122"/>
        <v>Per Controlled Watt</v>
      </c>
      <c r="H167" s="652">
        <f t="shared" ca="1" si="121"/>
        <v>188316.03571428571</v>
      </c>
      <c r="I167" s="652">
        <f t="shared" ca="1" si="121"/>
        <v>188316.03571428571</v>
      </c>
      <c r="J167" s="652">
        <f t="shared" ca="1" si="121"/>
        <v>188316.03571428571</v>
      </c>
      <c r="K167" s="652">
        <f t="shared" ca="1" si="121"/>
        <v>188316.03571428571</v>
      </c>
      <c r="L167" s="652">
        <f t="shared" ca="1" si="121"/>
        <v>188316.03571428571</v>
      </c>
      <c r="M167" s="652">
        <f t="shared" ca="1" si="121"/>
        <v>188316.03571428571</v>
      </c>
      <c r="N167" s="652">
        <f t="shared" ca="1" si="121"/>
        <v>188316.03571428571</v>
      </c>
      <c r="O167" s="652">
        <f t="shared" ca="1" si="121"/>
        <v>139182.46391543021</v>
      </c>
      <c r="P167" s="652">
        <f t="shared" ca="1" si="121"/>
        <v>139182.46391543021</v>
      </c>
      <c r="Q167" s="652">
        <f t="shared" ca="1" si="121"/>
        <v>139182.46391543021</v>
      </c>
      <c r="R167" s="652">
        <f t="shared" ca="1" si="121"/>
        <v>139182.46391543021</v>
      </c>
      <c r="S167" s="652">
        <f t="shared" ca="1" si="121"/>
        <v>139182.46391543021</v>
      </c>
      <c r="T167" s="652">
        <f t="shared" ca="1" si="121"/>
        <v>139182.46391543021</v>
      </c>
      <c r="U167" s="652">
        <f t="shared" ca="1" si="121"/>
        <v>139182.46391543021</v>
      </c>
      <c r="V167" s="652">
        <f t="shared" ca="1" si="118"/>
        <v>0</v>
      </c>
      <c r="W167" s="652">
        <f t="shared" ca="1" si="118"/>
        <v>0</v>
      </c>
      <c r="X167" s="652">
        <f t="shared" ca="1" si="118"/>
        <v>0</v>
      </c>
      <c r="Y167" s="652">
        <f t="shared" ca="1" si="118"/>
        <v>0</v>
      </c>
      <c r="Z167" s="652">
        <f t="shared" ca="1" si="118"/>
        <v>0</v>
      </c>
      <c r="AA167" s="652">
        <f t="shared" ca="1" si="118"/>
        <v>0</v>
      </c>
      <c r="AB167" s="652">
        <f t="shared" ca="1" si="118"/>
        <v>0</v>
      </c>
      <c r="AC167" s="652">
        <f t="shared" ca="1" si="118"/>
        <v>5649.4810714285713</v>
      </c>
      <c r="AD167" s="652">
        <f t="shared" ca="1" si="118"/>
        <v>5649.4810714285713</v>
      </c>
      <c r="AE167" s="652">
        <f t="shared" ca="1" si="118"/>
        <v>5649.4810714285713</v>
      </c>
      <c r="AF167" s="652">
        <f t="shared" ca="1" si="118"/>
        <v>5649.4810714285713</v>
      </c>
      <c r="AG167" s="652">
        <f t="shared" ca="1" si="118"/>
        <v>5649.4810714285713</v>
      </c>
      <c r="AH167" s="652">
        <f t="shared" ca="1" si="118"/>
        <v>5649.4810714285713</v>
      </c>
      <c r="AI167" s="652">
        <f t="shared" ca="1" si="119"/>
        <v>5649.4810714285713</v>
      </c>
      <c r="AJ167" s="652">
        <f t="shared" ca="1" si="119"/>
        <v>216568.82856903429</v>
      </c>
      <c r="AK167" s="652">
        <f t="shared" ca="1" si="119"/>
        <v>216568.82856903429</v>
      </c>
      <c r="AL167" s="652">
        <f t="shared" ca="1" si="119"/>
        <v>216568.82856903429</v>
      </c>
      <c r="AM167" s="652">
        <f t="shared" ca="1" si="119"/>
        <v>216568.82856903429</v>
      </c>
      <c r="AN167" s="652">
        <f t="shared" ca="1" si="119"/>
        <v>216568.82856903429</v>
      </c>
      <c r="AO167" s="652">
        <f t="shared" ca="1" si="119"/>
        <v>216568.82856903429</v>
      </c>
      <c r="AP167" s="652">
        <f t="shared" ca="1" si="119"/>
        <v>216568.82856903429</v>
      </c>
      <c r="AQ167" s="652">
        <f t="shared" ca="1" si="119"/>
        <v>24.625382496312664</v>
      </c>
      <c r="AR167" s="652">
        <f t="shared" ca="1" si="119"/>
        <v>24.625382496312664</v>
      </c>
      <c r="AS167" s="652">
        <f t="shared" ca="1" si="119"/>
        <v>24.625382496312664</v>
      </c>
      <c r="AT167" s="652">
        <f t="shared" ca="1" si="119"/>
        <v>24.625382496312664</v>
      </c>
      <c r="AU167" s="652">
        <f t="shared" ca="1" si="119"/>
        <v>24.625382496312664</v>
      </c>
      <c r="AV167" s="652">
        <f t="shared" ca="1" si="119"/>
        <v>24.625382496312664</v>
      </c>
      <c r="AW167" s="652">
        <f t="shared" ca="1" si="117"/>
        <v>24.625382496312664</v>
      </c>
      <c r="AX167" s="652">
        <f t="shared" ca="1" si="117"/>
        <v>0</v>
      </c>
      <c r="AY167" s="652">
        <f t="shared" ca="1" si="117"/>
        <v>0</v>
      </c>
      <c r="AZ167" s="652">
        <f t="shared" ca="1" si="117"/>
        <v>0</v>
      </c>
      <c r="BA167" s="652">
        <f t="shared" ca="1" si="117"/>
        <v>0</v>
      </c>
      <c r="BB167" s="652">
        <f t="shared" ca="1" si="117"/>
        <v>0</v>
      </c>
      <c r="BC167" s="652">
        <f t="shared" ca="1" si="117"/>
        <v>0</v>
      </c>
      <c r="BD167" s="652">
        <f t="shared" ca="1" si="117"/>
        <v>0</v>
      </c>
      <c r="BE167" s="652" t="str">
        <f t="shared" ca="1" si="120"/>
        <v>Commercial</v>
      </c>
      <c r="BF167" s="652" t="str">
        <f t="shared" ca="1" si="120"/>
        <v>OFFLGInLight</v>
      </c>
      <c r="BG167" s="652" t="str">
        <f t="shared" ca="1" si="120"/>
        <v>OFFSMGasHeat</v>
      </c>
      <c r="BH167" s="652" t="str">
        <f t="shared" ca="1" si="120"/>
        <v>LGE NonRes</v>
      </c>
      <c r="BI167" s="652" t="str">
        <f t="shared" ca="1" si="120"/>
        <v>LGE NonRes</v>
      </c>
      <c r="BJ167" s="652">
        <f t="shared" ca="1" si="120"/>
        <v>8</v>
      </c>
      <c r="BK167" s="652">
        <f t="shared" ca="1" si="120"/>
        <v>0</v>
      </c>
      <c r="BL167" s="652">
        <f t="shared" ca="1" si="116"/>
        <v>0</v>
      </c>
      <c r="BM167" s="652">
        <f t="shared" ca="1" si="116"/>
        <v>0</v>
      </c>
      <c r="BN167" s="652">
        <f t="shared" ca="1" si="116"/>
        <v>0</v>
      </c>
      <c r="BO167" s="652">
        <f t="shared" ca="1" si="116"/>
        <v>0</v>
      </c>
      <c r="BP167" s="652">
        <f t="shared" ca="1" si="116"/>
        <v>0</v>
      </c>
      <c r="BQ167" s="652">
        <f t="shared" ca="1" si="116"/>
        <v>0</v>
      </c>
      <c r="BR167" s="652">
        <f t="shared" ca="1" si="109"/>
        <v>1318212.25</v>
      </c>
      <c r="BS167" s="652">
        <f t="shared" ca="1" si="117"/>
        <v>974277.24740801158</v>
      </c>
      <c r="BT167" s="652">
        <f t="shared" ca="1" si="117"/>
        <v>0</v>
      </c>
      <c r="BU167" s="652">
        <f t="shared" ca="1" si="117"/>
        <v>39546.3675</v>
      </c>
      <c r="BV167" s="652">
        <f t="shared" ca="1" si="117"/>
        <v>0</v>
      </c>
      <c r="BW167" s="652">
        <f t="shared" ca="1" si="117"/>
        <v>1515981.7999832402</v>
      </c>
      <c r="BX167" s="652">
        <f t="shared" ca="1" si="120"/>
        <v>172.37767747418863</v>
      </c>
      <c r="BY167" s="652">
        <f t="shared" ca="1" si="120"/>
        <v>0</v>
      </c>
    </row>
    <row r="168" spans="1:77">
      <c r="A168" s="425" t="str">
        <f t="shared" ca="1" si="108"/>
        <v>Business RebatesLG&amp;E-Efficient Lighting Controls - Daylight Dimming-Continuous Fixtures</v>
      </c>
      <c r="B168" s="1297" t="str">
        <f t="shared" si="101"/>
        <v>LG&amp;EBusiness Rebates</v>
      </c>
      <c r="C168" s="662" t="s">
        <v>252</v>
      </c>
      <c r="D168" s="662" t="s">
        <v>63</v>
      </c>
      <c r="E168" s="652" t="str">
        <f t="shared" ca="1" si="122"/>
        <v>LG&amp;E-Efficient Lighting Controls - Daylight Dimming-Continuous Fixtures</v>
      </c>
      <c r="F168" s="652" t="str">
        <f t="shared" ca="1" si="122"/>
        <v>Daylight Dimming-Continuous Fixtures ($0.03 per Controlled Watt)</v>
      </c>
      <c r="G168" s="652" t="str">
        <f t="shared" ca="1" si="122"/>
        <v>Per Controlled Watt</v>
      </c>
      <c r="H168" s="652">
        <f t="shared" ca="1" si="121"/>
        <v>0</v>
      </c>
      <c r="I168" s="652">
        <f t="shared" ca="1" si="121"/>
        <v>0.5</v>
      </c>
      <c r="J168" s="652">
        <f t="shared" ca="1" si="121"/>
        <v>0</v>
      </c>
      <c r="K168" s="652">
        <f t="shared" ca="1" si="121"/>
        <v>0</v>
      </c>
      <c r="L168" s="652">
        <f t="shared" ca="1" si="121"/>
        <v>0.5</v>
      </c>
      <c r="M168" s="652">
        <f t="shared" ca="1" si="121"/>
        <v>0</v>
      </c>
      <c r="N168" s="652">
        <f t="shared" ca="1" si="121"/>
        <v>0</v>
      </c>
      <c r="O168" s="652">
        <f t="shared" ca="1" si="121"/>
        <v>0</v>
      </c>
      <c r="P168" s="652">
        <f t="shared" ca="1" si="121"/>
        <v>1259.0907839682889</v>
      </c>
      <c r="Q168" s="652">
        <f t="shared" ca="1" si="121"/>
        <v>0</v>
      </c>
      <c r="R168" s="652">
        <f t="shared" ca="1" si="121"/>
        <v>0</v>
      </c>
      <c r="S168" s="652">
        <f t="shared" ca="1" si="121"/>
        <v>1259.0907839682889</v>
      </c>
      <c r="T168" s="652">
        <f t="shared" ca="1" si="121"/>
        <v>0</v>
      </c>
      <c r="U168" s="652">
        <f t="shared" ca="1" si="121"/>
        <v>0</v>
      </c>
      <c r="V168" s="652">
        <f t="shared" ca="1" si="118"/>
        <v>0</v>
      </c>
      <c r="W168" s="652">
        <f t="shared" ca="1" si="118"/>
        <v>0</v>
      </c>
      <c r="X168" s="652">
        <f t="shared" ca="1" si="118"/>
        <v>0</v>
      </c>
      <c r="Y168" s="652">
        <f t="shared" ca="1" si="118"/>
        <v>0</v>
      </c>
      <c r="Z168" s="652">
        <f t="shared" ca="1" si="118"/>
        <v>0</v>
      </c>
      <c r="AA168" s="652">
        <f t="shared" ca="1" si="118"/>
        <v>0</v>
      </c>
      <c r="AB168" s="652">
        <f t="shared" ca="1" si="118"/>
        <v>0</v>
      </c>
      <c r="AC168" s="652">
        <f t="shared" ca="1" si="118"/>
        <v>0</v>
      </c>
      <c r="AD168" s="652">
        <f t="shared" ca="1" si="118"/>
        <v>94.634999999999991</v>
      </c>
      <c r="AE168" s="652">
        <f t="shared" ca="1" si="118"/>
        <v>0</v>
      </c>
      <c r="AF168" s="652">
        <f t="shared" ca="1" si="118"/>
        <v>0</v>
      </c>
      <c r="AG168" s="652">
        <f t="shared" ca="1" si="118"/>
        <v>94.634999999999991</v>
      </c>
      <c r="AH168" s="652">
        <f t="shared" ca="1" si="118"/>
        <v>0</v>
      </c>
      <c r="AI168" s="652">
        <f t="shared" ca="1" si="119"/>
        <v>0</v>
      </c>
      <c r="AJ168" s="652">
        <f t="shared" ca="1" si="119"/>
        <v>0</v>
      </c>
      <c r="AK168" s="652">
        <f t="shared" ca="1" si="119"/>
        <v>3334.9071168000005</v>
      </c>
      <c r="AL168" s="652">
        <f t="shared" ca="1" si="119"/>
        <v>0</v>
      </c>
      <c r="AM168" s="652">
        <f t="shared" ca="1" si="119"/>
        <v>0</v>
      </c>
      <c r="AN168" s="652">
        <f t="shared" ca="1" si="119"/>
        <v>3334.9071168000005</v>
      </c>
      <c r="AO168" s="652">
        <f t="shared" ca="1" si="119"/>
        <v>0</v>
      </c>
      <c r="AP168" s="652">
        <f t="shared" ca="1" si="119"/>
        <v>0</v>
      </c>
      <c r="AQ168" s="652">
        <f t="shared" ca="1" si="119"/>
        <v>0</v>
      </c>
      <c r="AR168" s="652">
        <f t="shared" ca="1" si="119"/>
        <v>2.0914335000000004</v>
      </c>
      <c r="AS168" s="652">
        <f t="shared" ca="1" si="119"/>
        <v>0</v>
      </c>
      <c r="AT168" s="652">
        <f t="shared" ca="1" si="119"/>
        <v>0</v>
      </c>
      <c r="AU168" s="652">
        <f t="shared" ca="1" si="119"/>
        <v>2.0914335000000004</v>
      </c>
      <c r="AV168" s="652">
        <f t="shared" ca="1" si="119"/>
        <v>0</v>
      </c>
      <c r="AW168" s="652">
        <f t="shared" ca="1" si="117"/>
        <v>0</v>
      </c>
      <c r="AX168" s="652">
        <f t="shared" ca="1" si="117"/>
        <v>0</v>
      </c>
      <c r="AY168" s="652">
        <f t="shared" ca="1" si="117"/>
        <v>0</v>
      </c>
      <c r="AZ168" s="652">
        <f t="shared" ca="1" si="117"/>
        <v>0</v>
      </c>
      <c r="BA168" s="652">
        <f t="shared" ca="1" si="117"/>
        <v>0</v>
      </c>
      <c r="BB168" s="652">
        <f t="shared" ca="1" si="117"/>
        <v>0</v>
      </c>
      <c r="BC168" s="652">
        <f t="shared" ca="1" si="117"/>
        <v>0</v>
      </c>
      <c r="BD168" s="652">
        <f t="shared" ca="1" si="117"/>
        <v>0</v>
      </c>
      <c r="BE168" s="652" t="str">
        <f t="shared" ca="1" si="120"/>
        <v>Commercial</v>
      </c>
      <c r="BF168" s="652" t="str">
        <f t="shared" ca="1" si="120"/>
        <v>OFFLGInLight</v>
      </c>
      <c r="BG168" s="652" t="str">
        <f t="shared" ca="1" si="120"/>
        <v>OFFSMGasHeat</v>
      </c>
      <c r="BH168" s="652" t="str">
        <f t="shared" ca="1" si="120"/>
        <v>LGE NonRes</v>
      </c>
      <c r="BI168" s="652" t="str">
        <f t="shared" ca="1" si="120"/>
        <v>LGE NonRes</v>
      </c>
      <c r="BJ168" s="652">
        <f t="shared" ca="1" si="120"/>
        <v>8</v>
      </c>
      <c r="BK168" s="652">
        <f t="shared" ca="1" si="120"/>
        <v>0</v>
      </c>
      <c r="BL168" s="652">
        <f t="shared" ca="1" si="116"/>
        <v>0</v>
      </c>
      <c r="BM168" s="652">
        <f t="shared" ca="1" si="116"/>
        <v>0</v>
      </c>
      <c r="BN168" s="652">
        <f t="shared" ca="1" si="116"/>
        <v>0</v>
      </c>
      <c r="BO168" s="652">
        <f t="shared" ca="1" si="116"/>
        <v>0</v>
      </c>
      <c r="BP168" s="652">
        <f t="shared" ca="1" si="116"/>
        <v>0</v>
      </c>
      <c r="BQ168" s="652">
        <f t="shared" ca="1" si="116"/>
        <v>0</v>
      </c>
      <c r="BR168" s="652">
        <f t="shared" ca="1" si="109"/>
        <v>1</v>
      </c>
      <c r="BS168" s="652">
        <f t="shared" ca="1" si="117"/>
        <v>2518.1815679365777</v>
      </c>
      <c r="BT168" s="652">
        <f t="shared" ca="1" si="117"/>
        <v>0</v>
      </c>
      <c r="BU168" s="652">
        <f t="shared" ca="1" si="117"/>
        <v>189.26999999999998</v>
      </c>
      <c r="BV168" s="652">
        <f t="shared" ca="1" si="117"/>
        <v>0</v>
      </c>
      <c r="BW168" s="652">
        <f t="shared" ca="1" si="117"/>
        <v>6669.814233600001</v>
      </c>
      <c r="BX168" s="652">
        <f t="shared" ca="1" si="120"/>
        <v>4.1828670000000008</v>
      </c>
      <c r="BY168" s="652">
        <f t="shared" ca="1" si="120"/>
        <v>0</v>
      </c>
    </row>
    <row r="169" spans="1:77">
      <c r="A169" s="425" t="str">
        <f t="shared" ca="1" si="108"/>
        <v>Business RebatesLG&amp;E-Efficient Lighting Controls - Occupancy/Daylight Dual Control</v>
      </c>
      <c r="B169" s="1297" t="str">
        <f t="shared" si="101"/>
        <v>LG&amp;EBusiness Rebates</v>
      </c>
      <c r="C169" s="662" t="s">
        <v>253</v>
      </c>
      <c r="D169" s="662" t="s">
        <v>63</v>
      </c>
      <c r="E169" s="652" t="str">
        <f t="shared" ca="1" si="122"/>
        <v>LG&amp;E-Efficient Lighting Controls - Occupancy/Daylight Dual Control</v>
      </c>
      <c r="F169" s="652" t="str">
        <f t="shared" ca="1" si="122"/>
        <v>Occupancy/Daylight Dual Control ($0.03 per Controlled Watt)</v>
      </c>
      <c r="G169" s="652" t="str">
        <f t="shared" ca="1" si="122"/>
        <v>Per Controlled Watt</v>
      </c>
      <c r="H169" s="652">
        <f t="shared" ca="1" si="121"/>
        <v>0</v>
      </c>
      <c r="I169" s="652">
        <f t="shared" ca="1" si="121"/>
        <v>0</v>
      </c>
      <c r="J169" s="652">
        <f t="shared" ca="1" si="121"/>
        <v>0.5</v>
      </c>
      <c r="K169" s="652">
        <f t="shared" ca="1" si="121"/>
        <v>0</v>
      </c>
      <c r="L169" s="652">
        <f t="shared" ca="1" si="121"/>
        <v>0</v>
      </c>
      <c r="M169" s="652">
        <f t="shared" ca="1" si="121"/>
        <v>0.5</v>
      </c>
      <c r="N169" s="652">
        <f t="shared" ca="1" si="121"/>
        <v>0</v>
      </c>
      <c r="O169" s="652">
        <f t="shared" ca="1" si="121"/>
        <v>0</v>
      </c>
      <c r="P169" s="652">
        <f t="shared" ca="1" si="121"/>
        <v>0</v>
      </c>
      <c r="Q169" s="652">
        <f t="shared" ca="1" si="121"/>
        <v>4818.4168261345003</v>
      </c>
      <c r="R169" s="652">
        <f t="shared" ca="1" si="121"/>
        <v>0</v>
      </c>
      <c r="S169" s="652">
        <f t="shared" ca="1" si="121"/>
        <v>0</v>
      </c>
      <c r="T169" s="652">
        <f t="shared" ca="1" si="121"/>
        <v>4818.4168261345003</v>
      </c>
      <c r="U169" s="652">
        <f t="shared" ca="1" si="121"/>
        <v>0</v>
      </c>
      <c r="V169" s="652">
        <f t="shared" ca="1" si="118"/>
        <v>0</v>
      </c>
      <c r="W169" s="652">
        <f t="shared" ca="1" si="118"/>
        <v>0</v>
      </c>
      <c r="X169" s="652">
        <f t="shared" ca="1" si="118"/>
        <v>0</v>
      </c>
      <c r="Y169" s="652">
        <f t="shared" ca="1" si="118"/>
        <v>0</v>
      </c>
      <c r="Z169" s="652">
        <f t="shared" ca="1" si="118"/>
        <v>0</v>
      </c>
      <c r="AA169" s="652">
        <f t="shared" ca="1" si="118"/>
        <v>0</v>
      </c>
      <c r="AB169" s="652">
        <f t="shared" ca="1" si="118"/>
        <v>0</v>
      </c>
      <c r="AC169" s="652">
        <f t="shared" ca="1" si="118"/>
        <v>0</v>
      </c>
      <c r="AD169" s="652">
        <f t="shared" ca="1" si="118"/>
        <v>0</v>
      </c>
      <c r="AE169" s="652">
        <f t="shared" ca="1" si="118"/>
        <v>94.634999999999991</v>
      </c>
      <c r="AF169" s="652">
        <f t="shared" ca="1" si="118"/>
        <v>0</v>
      </c>
      <c r="AG169" s="652">
        <f t="shared" ca="1" si="118"/>
        <v>0</v>
      </c>
      <c r="AH169" s="652">
        <f t="shared" ca="1" si="118"/>
        <v>94.634999999999991</v>
      </c>
      <c r="AI169" s="652">
        <f t="shared" ca="1" si="119"/>
        <v>0</v>
      </c>
      <c r="AJ169" s="652">
        <f t="shared" ca="1" si="119"/>
        <v>0</v>
      </c>
      <c r="AK169" s="652">
        <f t="shared" ca="1" si="119"/>
        <v>0</v>
      </c>
      <c r="AL169" s="652">
        <f t="shared" ca="1" si="119"/>
        <v>4525.9453728000008</v>
      </c>
      <c r="AM169" s="652">
        <f t="shared" ca="1" si="119"/>
        <v>0</v>
      </c>
      <c r="AN169" s="652">
        <f t="shared" ca="1" si="119"/>
        <v>0</v>
      </c>
      <c r="AO169" s="652">
        <f t="shared" ca="1" si="119"/>
        <v>4525.9453728000008</v>
      </c>
      <c r="AP169" s="652">
        <f t="shared" ca="1" si="119"/>
        <v>0</v>
      </c>
      <c r="AQ169" s="652">
        <f t="shared" ca="1" si="119"/>
        <v>0</v>
      </c>
      <c r="AR169" s="652">
        <f t="shared" ca="1" si="119"/>
        <v>0</v>
      </c>
      <c r="AS169" s="652">
        <f t="shared" ca="1" si="119"/>
        <v>2.0914335000000004</v>
      </c>
      <c r="AT169" s="652">
        <f t="shared" ca="1" si="119"/>
        <v>0</v>
      </c>
      <c r="AU169" s="652">
        <f t="shared" ca="1" si="119"/>
        <v>0</v>
      </c>
      <c r="AV169" s="652">
        <f t="shared" ca="1" si="119"/>
        <v>2.0914335000000004</v>
      </c>
      <c r="AW169" s="652">
        <f t="shared" ca="1" si="117"/>
        <v>0</v>
      </c>
      <c r="AX169" s="652">
        <f t="shared" ca="1" si="117"/>
        <v>0</v>
      </c>
      <c r="AY169" s="652">
        <f t="shared" ca="1" si="117"/>
        <v>0</v>
      </c>
      <c r="AZ169" s="652">
        <f t="shared" ca="1" si="117"/>
        <v>0</v>
      </c>
      <c r="BA169" s="652">
        <f t="shared" ca="1" si="117"/>
        <v>0</v>
      </c>
      <c r="BB169" s="652">
        <f t="shared" ca="1" si="117"/>
        <v>0</v>
      </c>
      <c r="BC169" s="652">
        <f t="shared" ca="1" si="117"/>
        <v>0</v>
      </c>
      <c r="BD169" s="652">
        <f t="shared" ca="1" si="117"/>
        <v>0</v>
      </c>
      <c r="BE169" s="652" t="str">
        <f t="shared" ca="1" si="120"/>
        <v>Commercial</v>
      </c>
      <c r="BF169" s="652" t="str">
        <f t="shared" ca="1" si="120"/>
        <v>OFFLGInLight</v>
      </c>
      <c r="BG169" s="652" t="str">
        <f t="shared" ca="1" si="120"/>
        <v>OFFSMGasHeat</v>
      </c>
      <c r="BH169" s="652" t="str">
        <f t="shared" ca="1" si="120"/>
        <v>LGE NonRes</v>
      </c>
      <c r="BI169" s="652" t="str">
        <f t="shared" ca="1" si="120"/>
        <v>LGE NonRes</v>
      </c>
      <c r="BJ169" s="652">
        <f t="shared" ca="1" si="120"/>
        <v>8</v>
      </c>
      <c r="BK169" s="652">
        <f t="shared" ca="1" si="120"/>
        <v>0</v>
      </c>
      <c r="BL169" s="652">
        <f t="shared" ca="1" si="116"/>
        <v>0</v>
      </c>
      <c r="BM169" s="652">
        <f t="shared" ca="1" si="116"/>
        <v>0</v>
      </c>
      <c r="BN169" s="652">
        <f t="shared" ca="1" si="116"/>
        <v>0</v>
      </c>
      <c r="BO169" s="652">
        <f t="shared" ca="1" si="116"/>
        <v>0</v>
      </c>
      <c r="BP169" s="652">
        <f t="shared" ca="1" si="116"/>
        <v>0</v>
      </c>
      <c r="BQ169" s="652">
        <f t="shared" ca="1" si="116"/>
        <v>0</v>
      </c>
      <c r="BR169" s="652">
        <f t="shared" ca="1" si="109"/>
        <v>1</v>
      </c>
      <c r="BS169" s="652">
        <f t="shared" ca="1" si="117"/>
        <v>9636.8336522690006</v>
      </c>
      <c r="BT169" s="652">
        <f t="shared" ca="1" si="117"/>
        <v>0</v>
      </c>
      <c r="BU169" s="652">
        <f t="shared" ca="1" si="117"/>
        <v>189.26999999999998</v>
      </c>
      <c r="BV169" s="652">
        <f t="shared" ca="1" si="117"/>
        <v>0</v>
      </c>
      <c r="BW169" s="652">
        <f t="shared" ca="1" si="117"/>
        <v>9051.8907456000015</v>
      </c>
      <c r="BX169" s="652">
        <f t="shared" ca="1" si="120"/>
        <v>4.1828670000000008</v>
      </c>
      <c r="BY169" s="652">
        <f t="shared" ca="1" si="120"/>
        <v>0</v>
      </c>
    </row>
    <row r="170" spans="1:77">
      <c r="A170" s="425" t="str">
        <f t="shared" ca="1" si="108"/>
        <v>Business RebatesLG&amp;E-Custom Projects</v>
      </c>
      <c r="B170" s="1297" t="str">
        <f t="shared" si="101"/>
        <v>LG&amp;EBusiness Rebates</v>
      </c>
      <c r="C170" s="662" t="s">
        <v>254</v>
      </c>
      <c r="D170" s="662" t="s">
        <v>63</v>
      </c>
      <c r="E170" s="652" t="str">
        <f t="shared" ca="1" si="122"/>
        <v>LG&amp;E-Custom Projects</v>
      </c>
      <c r="F170" s="652" t="str">
        <f t="shared" ca="1" si="122"/>
        <v>Custom Projects - Saves 1 kW of Demand or More</v>
      </c>
      <c r="G170" s="652" t="str">
        <f t="shared" ca="1" si="122"/>
        <v>Per Saved kWh (first year savings only)</v>
      </c>
      <c r="H170" s="652">
        <f t="shared" ca="1" si="121"/>
        <v>5000000</v>
      </c>
      <c r="I170" s="652">
        <f t="shared" ca="1" si="121"/>
        <v>8000000</v>
      </c>
      <c r="J170" s="652">
        <f t="shared" ca="1" si="121"/>
        <v>12000000</v>
      </c>
      <c r="K170" s="652">
        <f t="shared" ca="1" si="121"/>
        <v>12000000</v>
      </c>
      <c r="L170" s="652">
        <f t="shared" ca="1" si="121"/>
        <v>12000000</v>
      </c>
      <c r="M170" s="652">
        <f t="shared" ca="1" si="121"/>
        <v>12000000</v>
      </c>
      <c r="N170" s="652">
        <f t="shared" ca="1" si="121"/>
        <v>12000000</v>
      </c>
      <c r="O170" s="652">
        <f t="shared" ca="1" si="121"/>
        <v>1105893.7648836002</v>
      </c>
      <c r="P170" s="652">
        <f t="shared" ca="1" si="121"/>
        <v>1769430.0238137601</v>
      </c>
      <c r="Q170" s="652">
        <f t="shared" ca="1" si="121"/>
        <v>2654145.0357206403</v>
      </c>
      <c r="R170" s="652">
        <f t="shared" ca="1" si="121"/>
        <v>2654145.0357206403</v>
      </c>
      <c r="S170" s="652">
        <f t="shared" ca="1" si="121"/>
        <v>2654145.0357206403</v>
      </c>
      <c r="T170" s="652">
        <f t="shared" ca="1" si="121"/>
        <v>2654145.0357206403</v>
      </c>
      <c r="U170" s="652">
        <f t="shared" ca="1" si="121"/>
        <v>2654145.0357206403</v>
      </c>
      <c r="V170" s="652">
        <f t="shared" ca="1" si="118"/>
        <v>0</v>
      </c>
      <c r="W170" s="652">
        <f t="shared" ca="1" si="118"/>
        <v>0</v>
      </c>
      <c r="X170" s="652">
        <f t="shared" ca="1" si="118"/>
        <v>0</v>
      </c>
      <c r="Y170" s="652">
        <f t="shared" ca="1" si="118"/>
        <v>0</v>
      </c>
      <c r="Z170" s="652">
        <f t="shared" ca="1" si="118"/>
        <v>0</v>
      </c>
      <c r="AA170" s="652">
        <f t="shared" ca="1" si="118"/>
        <v>0</v>
      </c>
      <c r="AB170" s="652">
        <f t="shared" ca="1" si="118"/>
        <v>0</v>
      </c>
      <c r="AC170" s="652">
        <f t="shared" ca="1" si="118"/>
        <v>420702.44811630691</v>
      </c>
      <c r="AD170" s="652">
        <f t="shared" ca="1" si="118"/>
        <v>673123.91698609106</v>
      </c>
      <c r="AE170" s="652">
        <f t="shared" ca="1" si="118"/>
        <v>1009685.8754791366</v>
      </c>
      <c r="AF170" s="652">
        <f t="shared" ca="1" si="118"/>
        <v>1009685.8754791366</v>
      </c>
      <c r="AG170" s="652">
        <f t="shared" ca="1" si="118"/>
        <v>1009685.8754791366</v>
      </c>
      <c r="AH170" s="652">
        <f t="shared" ca="1" si="118"/>
        <v>1009685.8754791366</v>
      </c>
      <c r="AI170" s="652">
        <f t="shared" ca="1" si="119"/>
        <v>1009685.8754791366</v>
      </c>
      <c r="AJ170" s="652">
        <f t="shared" ca="1" si="119"/>
        <v>5000000</v>
      </c>
      <c r="AK170" s="652">
        <f t="shared" ca="1" si="119"/>
        <v>8000000</v>
      </c>
      <c r="AL170" s="652">
        <f t="shared" ca="1" si="119"/>
        <v>12000000</v>
      </c>
      <c r="AM170" s="652">
        <f t="shared" ca="1" si="119"/>
        <v>12000000</v>
      </c>
      <c r="AN170" s="652">
        <f t="shared" ca="1" si="119"/>
        <v>12000000</v>
      </c>
      <c r="AO170" s="652">
        <f t="shared" ca="1" si="119"/>
        <v>12000000</v>
      </c>
      <c r="AP170" s="652">
        <f t="shared" ca="1" si="119"/>
        <v>12000000</v>
      </c>
      <c r="AQ170" s="652">
        <f t="shared" ca="1" si="119"/>
        <v>1365.6195849304554</v>
      </c>
      <c r="AR170" s="652">
        <f t="shared" ca="1" si="119"/>
        <v>2184.9913358887284</v>
      </c>
      <c r="AS170" s="652">
        <f t="shared" ca="1" si="119"/>
        <v>3277.4870038330928</v>
      </c>
      <c r="AT170" s="652">
        <f t="shared" ca="1" si="119"/>
        <v>3277.4870038330928</v>
      </c>
      <c r="AU170" s="652">
        <f t="shared" ca="1" si="119"/>
        <v>3277.4870038330928</v>
      </c>
      <c r="AV170" s="652">
        <f t="shared" ca="1" si="119"/>
        <v>3277.4870038330928</v>
      </c>
      <c r="AW170" s="652">
        <f t="shared" ca="1" si="117"/>
        <v>3277.4870038330928</v>
      </c>
      <c r="AX170" s="652">
        <f t="shared" ca="1" si="117"/>
        <v>0</v>
      </c>
      <c r="AY170" s="652">
        <f t="shared" ca="1" si="117"/>
        <v>0</v>
      </c>
      <c r="AZ170" s="652">
        <f t="shared" ca="1" si="117"/>
        <v>0</v>
      </c>
      <c r="BA170" s="652">
        <f t="shared" ca="1" si="117"/>
        <v>0</v>
      </c>
      <c r="BB170" s="652">
        <f t="shared" ca="1" si="117"/>
        <v>0</v>
      </c>
      <c r="BC170" s="652">
        <f t="shared" ca="1" si="117"/>
        <v>0</v>
      </c>
      <c r="BD170" s="652">
        <f t="shared" ca="1" si="117"/>
        <v>0</v>
      </c>
      <c r="BE170" s="652" t="str">
        <f t="shared" ca="1" si="120"/>
        <v>Commercial</v>
      </c>
      <c r="BF170" s="652" t="str">
        <f t="shared" ca="1" si="120"/>
        <v>OFFLGElecTotl</v>
      </c>
      <c r="BG170" s="652" t="str">
        <f t="shared" ca="1" si="120"/>
        <v>OFFSMGasHeat</v>
      </c>
      <c r="BH170" s="652" t="str">
        <f t="shared" ca="1" si="120"/>
        <v>LGE NonRes</v>
      </c>
      <c r="BI170" s="652" t="str">
        <f t="shared" ca="1" si="120"/>
        <v>LGE NonRes</v>
      </c>
      <c r="BJ170" s="652">
        <f t="shared" ca="1" si="120"/>
        <v>15</v>
      </c>
      <c r="BK170" s="652">
        <f t="shared" ca="1" si="120"/>
        <v>0</v>
      </c>
      <c r="BL170" s="652">
        <f t="shared" ca="1" si="116"/>
        <v>0</v>
      </c>
      <c r="BM170" s="652">
        <f t="shared" ca="1" si="116"/>
        <v>0</v>
      </c>
      <c r="BN170" s="652">
        <f t="shared" ca="1" si="116"/>
        <v>0</v>
      </c>
      <c r="BO170" s="652">
        <f t="shared" ca="1" si="116"/>
        <v>0</v>
      </c>
      <c r="BP170" s="652">
        <f t="shared" ca="1" si="116"/>
        <v>0</v>
      </c>
      <c r="BQ170" s="652">
        <f t="shared" ca="1" si="116"/>
        <v>0</v>
      </c>
      <c r="BR170" s="652">
        <f t="shared" ca="1" si="109"/>
        <v>73000000</v>
      </c>
      <c r="BS170" s="652">
        <f t="shared" ca="1" si="117"/>
        <v>16146048.967300564</v>
      </c>
      <c r="BT170" s="652">
        <f t="shared" ca="1" si="117"/>
        <v>0</v>
      </c>
      <c r="BU170" s="652">
        <f t="shared" ca="1" si="117"/>
        <v>6142255.7424980812</v>
      </c>
      <c r="BV170" s="652">
        <f t="shared" ca="1" si="117"/>
        <v>0</v>
      </c>
      <c r="BW170" s="652">
        <f t="shared" ca="1" si="117"/>
        <v>73000000</v>
      </c>
      <c r="BX170" s="652">
        <f t="shared" ca="1" si="120"/>
        <v>19938.045939984644</v>
      </c>
      <c r="BY170" s="652">
        <f t="shared" ca="1" si="120"/>
        <v>0</v>
      </c>
    </row>
    <row r="171" spans="1:77">
      <c r="A171" s="425" t="str">
        <f t="shared" ca="1" si="108"/>
        <v>Business RebatesLG&amp;E-Commercial New Construction Tier 1 &lt;25,000 sqft</v>
      </c>
      <c r="B171" s="1297" t="str">
        <f t="shared" si="101"/>
        <v>LG&amp;EBusiness Rebates</v>
      </c>
      <c r="C171" s="662" t="s">
        <v>255</v>
      </c>
      <c r="D171" s="662" t="s">
        <v>63</v>
      </c>
      <c r="E171" s="652" t="str">
        <f t="shared" ca="1" si="122"/>
        <v>LG&amp;E-Commercial New Construction Tier 1 &lt;25,000 sqft</v>
      </c>
      <c r="F171" s="652" t="str">
        <f t="shared" ca="1" si="122"/>
        <v>Commercial New Construction Tier 1 - 10% Over Code</v>
      </c>
      <c r="G171" s="652" t="str">
        <f t="shared" ca="1" si="122"/>
        <v>Per Project</v>
      </c>
      <c r="H171" s="652">
        <f t="shared" ca="1" si="121"/>
        <v>0</v>
      </c>
      <c r="I171" s="652">
        <f t="shared" ca="1" si="121"/>
        <v>0.5</v>
      </c>
      <c r="J171" s="652">
        <f t="shared" ca="1" si="121"/>
        <v>0</v>
      </c>
      <c r="K171" s="652">
        <f t="shared" ca="1" si="121"/>
        <v>0</v>
      </c>
      <c r="L171" s="652">
        <f t="shared" ca="1" si="121"/>
        <v>0.5</v>
      </c>
      <c r="M171" s="652">
        <f t="shared" ca="1" si="121"/>
        <v>0</v>
      </c>
      <c r="N171" s="652">
        <f t="shared" ca="1" si="121"/>
        <v>0</v>
      </c>
      <c r="O171" s="652">
        <f t="shared" ca="1" si="121"/>
        <v>0</v>
      </c>
      <c r="P171" s="652">
        <f t="shared" ca="1" si="121"/>
        <v>5490.0990063881454</v>
      </c>
      <c r="Q171" s="652">
        <f t="shared" ca="1" si="121"/>
        <v>0</v>
      </c>
      <c r="R171" s="652">
        <f t="shared" ca="1" si="121"/>
        <v>0</v>
      </c>
      <c r="S171" s="652">
        <f t="shared" ca="1" si="121"/>
        <v>5490.0990063881454</v>
      </c>
      <c r="T171" s="652">
        <f t="shared" ca="1" si="121"/>
        <v>0</v>
      </c>
      <c r="U171" s="652">
        <f t="shared" ca="1" si="121"/>
        <v>0</v>
      </c>
      <c r="V171" s="652">
        <f t="shared" ca="1" si="118"/>
        <v>0</v>
      </c>
      <c r="W171" s="652">
        <f t="shared" ca="1" si="118"/>
        <v>0</v>
      </c>
      <c r="X171" s="652">
        <f t="shared" ca="1" si="118"/>
        <v>0</v>
      </c>
      <c r="Y171" s="652">
        <f t="shared" ca="1" si="118"/>
        <v>0</v>
      </c>
      <c r="Z171" s="652">
        <f t="shared" ca="1" si="118"/>
        <v>0</v>
      </c>
      <c r="AA171" s="652">
        <f t="shared" ca="1" si="118"/>
        <v>0</v>
      </c>
      <c r="AB171" s="652">
        <f t="shared" ca="1" si="118"/>
        <v>0</v>
      </c>
      <c r="AC171" s="652">
        <f t="shared" ca="1" si="118"/>
        <v>0</v>
      </c>
      <c r="AD171" s="652">
        <f t="shared" ca="1" si="118"/>
        <v>750</v>
      </c>
      <c r="AE171" s="652">
        <f t="shared" ca="1" si="118"/>
        <v>0</v>
      </c>
      <c r="AF171" s="652">
        <f t="shared" ca="1" si="118"/>
        <v>0</v>
      </c>
      <c r="AG171" s="652">
        <f t="shared" ca="1" si="118"/>
        <v>750</v>
      </c>
      <c r="AH171" s="652">
        <f t="shared" ca="1" si="118"/>
        <v>0</v>
      </c>
      <c r="AI171" s="652">
        <f t="shared" ca="1" si="119"/>
        <v>0</v>
      </c>
      <c r="AJ171" s="652">
        <f t="shared" ca="1" si="119"/>
        <v>0</v>
      </c>
      <c r="AK171" s="652">
        <f t="shared" ca="1" si="119"/>
        <v>24822.000000000004</v>
      </c>
      <c r="AL171" s="652">
        <f t="shared" ca="1" si="119"/>
        <v>0</v>
      </c>
      <c r="AM171" s="652">
        <f t="shared" ca="1" si="119"/>
        <v>0</v>
      </c>
      <c r="AN171" s="652">
        <f t="shared" ca="1" si="119"/>
        <v>24822.000000000004</v>
      </c>
      <c r="AO171" s="652">
        <f t="shared" ca="1" si="119"/>
        <v>0</v>
      </c>
      <c r="AP171" s="652">
        <f t="shared" ca="1" si="119"/>
        <v>0</v>
      </c>
      <c r="AQ171" s="652">
        <f t="shared" ca="1" si="119"/>
        <v>0</v>
      </c>
      <c r="AR171" s="652">
        <f t="shared" ca="1" si="119"/>
        <v>3.8714285714285714</v>
      </c>
      <c r="AS171" s="652">
        <f t="shared" ca="1" si="119"/>
        <v>0</v>
      </c>
      <c r="AT171" s="652">
        <f t="shared" ca="1" si="119"/>
        <v>0</v>
      </c>
      <c r="AU171" s="652">
        <f t="shared" ca="1" si="119"/>
        <v>3.8714285714285714</v>
      </c>
      <c r="AV171" s="652">
        <f t="shared" ca="1" si="119"/>
        <v>0</v>
      </c>
      <c r="AW171" s="652">
        <f t="shared" ca="1" si="117"/>
        <v>0</v>
      </c>
      <c r="AX171" s="652">
        <f t="shared" ca="1" si="117"/>
        <v>0</v>
      </c>
      <c r="AY171" s="652">
        <f t="shared" ca="1" si="117"/>
        <v>397.40499999999997</v>
      </c>
      <c r="AZ171" s="652">
        <f t="shared" ca="1" si="117"/>
        <v>0</v>
      </c>
      <c r="BA171" s="652">
        <f t="shared" ca="1" si="117"/>
        <v>0</v>
      </c>
      <c r="BB171" s="652">
        <f t="shared" ca="1" si="117"/>
        <v>397.40499999999997</v>
      </c>
      <c r="BC171" s="652">
        <f t="shared" ca="1" si="117"/>
        <v>0</v>
      </c>
      <c r="BD171" s="652">
        <f t="shared" ca="1" si="117"/>
        <v>0</v>
      </c>
      <c r="BE171" s="652" t="str">
        <f t="shared" ca="1" si="120"/>
        <v>Commercial</v>
      </c>
      <c r="BF171" s="652" t="str">
        <f t="shared" ca="1" si="120"/>
        <v>OFFLGElecTotl</v>
      </c>
      <c r="BG171" s="652" t="str">
        <f t="shared" ca="1" si="120"/>
        <v>OFFSMGasHeat</v>
      </c>
      <c r="BH171" s="652" t="str">
        <f t="shared" ca="1" si="120"/>
        <v>LGE NonRes</v>
      </c>
      <c r="BI171" s="652" t="str">
        <f t="shared" ca="1" si="120"/>
        <v>LGE NonRes</v>
      </c>
      <c r="BJ171" s="652">
        <f t="shared" ca="1" si="120"/>
        <v>15</v>
      </c>
      <c r="BK171" s="652">
        <f t="shared" ca="1" si="120"/>
        <v>0</v>
      </c>
      <c r="BL171" s="652">
        <f t="shared" ca="1" si="116"/>
        <v>0</v>
      </c>
      <c r="BM171" s="652">
        <f t="shared" ca="1" si="116"/>
        <v>0</v>
      </c>
      <c r="BN171" s="652">
        <f t="shared" ca="1" si="116"/>
        <v>0</v>
      </c>
      <c r="BO171" s="652">
        <f t="shared" ca="1" si="116"/>
        <v>0</v>
      </c>
      <c r="BP171" s="652">
        <f t="shared" ca="1" si="116"/>
        <v>0</v>
      </c>
      <c r="BQ171" s="652">
        <f t="shared" ca="1" si="116"/>
        <v>0</v>
      </c>
      <c r="BR171" s="652">
        <f t="shared" ca="1" si="109"/>
        <v>1</v>
      </c>
      <c r="BS171" s="652">
        <f t="shared" ca="1" si="117"/>
        <v>10980.198012776291</v>
      </c>
      <c r="BT171" s="652">
        <f t="shared" ca="1" si="117"/>
        <v>0</v>
      </c>
      <c r="BU171" s="652">
        <f t="shared" ca="1" si="117"/>
        <v>1500</v>
      </c>
      <c r="BV171" s="652">
        <f t="shared" ca="1" si="117"/>
        <v>0</v>
      </c>
      <c r="BW171" s="652">
        <f t="shared" ca="1" si="117"/>
        <v>49644.000000000007</v>
      </c>
      <c r="BX171" s="652">
        <f t="shared" ca="1" si="120"/>
        <v>7.7428571428571429</v>
      </c>
      <c r="BY171" s="652">
        <f t="shared" ca="1" si="120"/>
        <v>794.81</v>
      </c>
    </row>
    <row r="172" spans="1:77">
      <c r="A172" s="425" t="str">
        <f t="shared" ca="1" si="108"/>
        <v>Business RebatesLG&amp;E-Commercial New Construction Tier 2 &lt;25,000 sqft</v>
      </c>
      <c r="B172" s="1297" t="str">
        <f t="shared" si="101"/>
        <v>LG&amp;EBusiness Rebates</v>
      </c>
      <c r="C172" s="662" t="s">
        <v>256</v>
      </c>
      <c r="D172" s="662" t="s">
        <v>63</v>
      </c>
      <c r="E172" s="652" t="str">
        <f t="shared" ca="1" si="122"/>
        <v>LG&amp;E-Commercial New Construction Tier 2 &lt;25,000 sqft</v>
      </c>
      <c r="F172" s="652" t="str">
        <f t="shared" ca="1" si="122"/>
        <v>Commercial New Construction Tier 2 - 15% Over Code</v>
      </c>
      <c r="G172" s="652" t="str">
        <f t="shared" ca="1" si="122"/>
        <v>Per Project</v>
      </c>
      <c r="H172" s="652">
        <f t="shared" ca="1" si="121"/>
        <v>0.5</v>
      </c>
      <c r="I172" s="652">
        <f t="shared" ca="1" si="121"/>
        <v>0</v>
      </c>
      <c r="J172" s="652">
        <f t="shared" ca="1" si="121"/>
        <v>0.5</v>
      </c>
      <c r="K172" s="652">
        <f t="shared" ca="1" si="121"/>
        <v>0</v>
      </c>
      <c r="L172" s="652">
        <f t="shared" ca="1" si="121"/>
        <v>0.5</v>
      </c>
      <c r="M172" s="652">
        <f t="shared" ca="1" si="121"/>
        <v>0</v>
      </c>
      <c r="N172" s="652">
        <f t="shared" ca="1" si="121"/>
        <v>0.5</v>
      </c>
      <c r="O172" s="652">
        <f t="shared" ca="1" si="121"/>
        <v>8235.1485095822172</v>
      </c>
      <c r="P172" s="652">
        <f t="shared" ca="1" si="121"/>
        <v>0</v>
      </c>
      <c r="Q172" s="652">
        <f t="shared" ca="1" si="121"/>
        <v>8235.1485095822172</v>
      </c>
      <c r="R172" s="652">
        <f t="shared" ca="1" si="121"/>
        <v>0</v>
      </c>
      <c r="S172" s="652">
        <f t="shared" ca="1" si="121"/>
        <v>8235.1485095822172</v>
      </c>
      <c r="T172" s="652">
        <f t="shared" ca="1" si="121"/>
        <v>0</v>
      </c>
      <c r="U172" s="652">
        <f t="shared" ca="1" si="121"/>
        <v>8235.1485095822172</v>
      </c>
      <c r="V172" s="652">
        <f t="shared" ca="1" si="118"/>
        <v>0</v>
      </c>
      <c r="W172" s="652">
        <f t="shared" ca="1" si="118"/>
        <v>0</v>
      </c>
      <c r="X172" s="652">
        <f t="shared" ca="1" si="118"/>
        <v>0</v>
      </c>
      <c r="Y172" s="652">
        <f t="shared" ca="1" si="118"/>
        <v>0</v>
      </c>
      <c r="Z172" s="652">
        <f t="shared" ca="1" si="118"/>
        <v>0</v>
      </c>
      <c r="AA172" s="652">
        <f t="shared" ca="1" si="118"/>
        <v>0</v>
      </c>
      <c r="AB172" s="652">
        <f t="shared" ca="1" si="118"/>
        <v>0</v>
      </c>
      <c r="AC172" s="652">
        <f t="shared" ca="1" si="118"/>
        <v>1150</v>
      </c>
      <c r="AD172" s="652">
        <f t="shared" ca="1" si="118"/>
        <v>0</v>
      </c>
      <c r="AE172" s="652">
        <f t="shared" ca="1" si="118"/>
        <v>1150</v>
      </c>
      <c r="AF172" s="652">
        <f t="shared" ca="1" si="118"/>
        <v>0</v>
      </c>
      <c r="AG172" s="652">
        <f t="shared" ca="1" si="118"/>
        <v>1150</v>
      </c>
      <c r="AH172" s="652">
        <f t="shared" ca="1" si="118"/>
        <v>0</v>
      </c>
      <c r="AI172" s="652">
        <f t="shared" ca="1" si="119"/>
        <v>1150</v>
      </c>
      <c r="AJ172" s="652">
        <f t="shared" ca="1" si="119"/>
        <v>37233</v>
      </c>
      <c r="AK172" s="652">
        <f t="shared" ca="1" si="119"/>
        <v>0</v>
      </c>
      <c r="AL172" s="652">
        <f t="shared" ca="1" si="119"/>
        <v>37233</v>
      </c>
      <c r="AM172" s="652">
        <f t="shared" ca="1" si="119"/>
        <v>0</v>
      </c>
      <c r="AN172" s="652">
        <f t="shared" ca="1" si="119"/>
        <v>37233</v>
      </c>
      <c r="AO172" s="652">
        <f t="shared" ca="1" si="119"/>
        <v>0</v>
      </c>
      <c r="AP172" s="652">
        <f t="shared" ca="1" si="119"/>
        <v>37233</v>
      </c>
      <c r="AQ172" s="652">
        <f t="shared" ca="1" si="119"/>
        <v>5.8071428571428569</v>
      </c>
      <c r="AR172" s="652">
        <f t="shared" ca="1" si="119"/>
        <v>0</v>
      </c>
      <c r="AS172" s="652">
        <f t="shared" ca="1" si="119"/>
        <v>5.8071428571428569</v>
      </c>
      <c r="AT172" s="652">
        <f t="shared" ca="1" si="119"/>
        <v>0</v>
      </c>
      <c r="AU172" s="652">
        <f t="shared" ca="1" si="119"/>
        <v>5.8071428571428569</v>
      </c>
      <c r="AV172" s="652">
        <f t="shared" ca="1" si="119"/>
        <v>0</v>
      </c>
      <c r="AW172" s="652">
        <f t="shared" ca="1" si="117"/>
        <v>5.8071428571428569</v>
      </c>
      <c r="AX172" s="652">
        <f t="shared" ca="1" si="117"/>
        <v>596.11</v>
      </c>
      <c r="AY172" s="652">
        <f t="shared" ca="1" si="117"/>
        <v>0</v>
      </c>
      <c r="AZ172" s="652">
        <f t="shared" ca="1" si="117"/>
        <v>596.11</v>
      </c>
      <c r="BA172" s="652">
        <f t="shared" ca="1" si="117"/>
        <v>0</v>
      </c>
      <c r="BB172" s="652">
        <f t="shared" ca="1" si="117"/>
        <v>596.11</v>
      </c>
      <c r="BC172" s="652">
        <f t="shared" ca="1" si="117"/>
        <v>0</v>
      </c>
      <c r="BD172" s="652">
        <f t="shared" ca="1" si="117"/>
        <v>596.11</v>
      </c>
      <c r="BE172" s="652" t="str">
        <f t="shared" ca="1" si="120"/>
        <v>Commercial</v>
      </c>
      <c r="BF172" s="652" t="str">
        <f t="shared" ca="1" si="120"/>
        <v>OFFLGElecTotl</v>
      </c>
      <c r="BG172" s="652" t="str">
        <f t="shared" ca="1" si="120"/>
        <v>OFFSMGasHeat</v>
      </c>
      <c r="BH172" s="652" t="str">
        <f t="shared" ca="1" si="120"/>
        <v>LGE NonRes</v>
      </c>
      <c r="BI172" s="652" t="str">
        <f t="shared" ca="1" si="120"/>
        <v>LGE NonRes</v>
      </c>
      <c r="BJ172" s="652">
        <f t="shared" ca="1" si="120"/>
        <v>15</v>
      </c>
      <c r="BK172" s="652">
        <f t="shared" ca="1" si="120"/>
        <v>0</v>
      </c>
      <c r="BL172" s="652">
        <f t="shared" ca="1" si="116"/>
        <v>0</v>
      </c>
      <c r="BM172" s="652">
        <f t="shared" ca="1" si="116"/>
        <v>0</v>
      </c>
      <c r="BN172" s="652">
        <f t="shared" ca="1" si="116"/>
        <v>0</v>
      </c>
      <c r="BO172" s="652">
        <f t="shared" ca="1" si="116"/>
        <v>0</v>
      </c>
      <c r="BP172" s="652">
        <f t="shared" ca="1" si="116"/>
        <v>0</v>
      </c>
      <c r="BQ172" s="652">
        <f t="shared" ca="1" si="116"/>
        <v>0</v>
      </c>
      <c r="BR172" s="652">
        <f t="shared" ca="1" si="109"/>
        <v>2</v>
      </c>
      <c r="BS172" s="652">
        <f t="shared" ca="1" si="117"/>
        <v>32940.594038328869</v>
      </c>
      <c r="BT172" s="652">
        <f t="shared" ca="1" si="117"/>
        <v>0</v>
      </c>
      <c r="BU172" s="652">
        <f t="shared" ca="1" si="117"/>
        <v>4600</v>
      </c>
      <c r="BV172" s="652">
        <f t="shared" ca="1" si="117"/>
        <v>0</v>
      </c>
      <c r="BW172" s="652">
        <f t="shared" ca="1" si="117"/>
        <v>148932</v>
      </c>
      <c r="BX172" s="652">
        <f t="shared" ca="1" si="120"/>
        <v>23.228571428571428</v>
      </c>
      <c r="BY172" s="652">
        <f t="shared" ca="1" si="120"/>
        <v>2384.44</v>
      </c>
    </row>
    <row r="173" spans="1:77">
      <c r="A173" s="425" t="str">
        <f t="shared" ca="1" si="108"/>
        <v>Business RebatesLG&amp;E-Commercial New Construction Tier 3 &lt;25,000 sqft</v>
      </c>
      <c r="B173" s="1297" t="str">
        <f t="shared" si="101"/>
        <v>LG&amp;EBusiness Rebates</v>
      </c>
      <c r="C173" s="662" t="s">
        <v>257</v>
      </c>
      <c r="D173" s="662" t="s">
        <v>63</v>
      </c>
      <c r="E173" s="652" t="str">
        <f t="shared" ca="1" si="122"/>
        <v>LG&amp;E-Commercial New Construction Tier 3 &lt;25,000 sqft</v>
      </c>
      <c r="F173" s="652" t="str">
        <f t="shared" ca="1" si="122"/>
        <v>Commercial New Construction Tier 3 - 20% Over Code</v>
      </c>
      <c r="G173" s="652" t="str">
        <f t="shared" ca="1" si="122"/>
        <v>Per Project</v>
      </c>
      <c r="H173" s="652">
        <f t="shared" ca="1" si="121"/>
        <v>0</v>
      </c>
      <c r="I173" s="652">
        <f t="shared" ca="1" si="121"/>
        <v>0</v>
      </c>
      <c r="J173" s="652">
        <f t="shared" ca="1" si="121"/>
        <v>0.5</v>
      </c>
      <c r="K173" s="652">
        <f t="shared" ca="1" si="121"/>
        <v>0</v>
      </c>
      <c r="L173" s="652">
        <f t="shared" ca="1" si="121"/>
        <v>0</v>
      </c>
      <c r="M173" s="652">
        <f t="shared" ca="1" si="121"/>
        <v>0.5</v>
      </c>
      <c r="N173" s="652">
        <f t="shared" ca="1" si="121"/>
        <v>0</v>
      </c>
      <c r="O173" s="652">
        <f t="shared" ca="1" si="121"/>
        <v>0</v>
      </c>
      <c r="P173" s="652">
        <f t="shared" ca="1" si="121"/>
        <v>0</v>
      </c>
      <c r="Q173" s="652">
        <f t="shared" ca="1" si="121"/>
        <v>10980.198012776291</v>
      </c>
      <c r="R173" s="652">
        <f t="shared" ca="1" si="121"/>
        <v>0</v>
      </c>
      <c r="S173" s="652">
        <f t="shared" ca="1" si="121"/>
        <v>0</v>
      </c>
      <c r="T173" s="652">
        <f t="shared" ca="1" si="121"/>
        <v>10980.198012776291</v>
      </c>
      <c r="U173" s="652">
        <f t="shared" ca="1" si="121"/>
        <v>0</v>
      </c>
      <c r="V173" s="652">
        <f t="shared" ca="1" si="118"/>
        <v>0</v>
      </c>
      <c r="W173" s="652">
        <f t="shared" ca="1" si="118"/>
        <v>0</v>
      </c>
      <c r="X173" s="652">
        <f t="shared" ca="1" si="118"/>
        <v>0</v>
      </c>
      <c r="Y173" s="652">
        <f t="shared" ca="1" si="118"/>
        <v>0</v>
      </c>
      <c r="Z173" s="652">
        <f t="shared" ca="1" si="118"/>
        <v>0</v>
      </c>
      <c r="AA173" s="652">
        <f t="shared" ca="1" si="118"/>
        <v>0</v>
      </c>
      <c r="AB173" s="652">
        <f t="shared" ca="1" si="118"/>
        <v>0</v>
      </c>
      <c r="AC173" s="652">
        <f t="shared" ca="1" si="118"/>
        <v>0</v>
      </c>
      <c r="AD173" s="652">
        <f t="shared" ca="1" si="118"/>
        <v>0</v>
      </c>
      <c r="AE173" s="652">
        <f t="shared" ca="1" si="118"/>
        <v>1500</v>
      </c>
      <c r="AF173" s="652">
        <f t="shared" ca="1" si="118"/>
        <v>0</v>
      </c>
      <c r="AG173" s="652">
        <f t="shared" ca="1" si="118"/>
        <v>0</v>
      </c>
      <c r="AH173" s="652">
        <f t="shared" ca="1" si="118"/>
        <v>1500</v>
      </c>
      <c r="AI173" s="652">
        <f t="shared" ca="1" si="119"/>
        <v>0</v>
      </c>
      <c r="AJ173" s="652">
        <f t="shared" ca="1" si="119"/>
        <v>0</v>
      </c>
      <c r="AK173" s="652">
        <f t="shared" ca="1" si="119"/>
        <v>0</v>
      </c>
      <c r="AL173" s="652">
        <f t="shared" ca="1" si="119"/>
        <v>49644.000000000007</v>
      </c>
      <c r="AM173" s="652">
        <f t="shared" ca="1" si="119"/>
        <v>0</v>
      </c>
      <c r="AN173" s="652">
        <f t="shared" ca="1" si="119"/>
        <v>0</v>
      </c>
      <c r="AO173" s="652">
        <f t="shared" ca="1" si="119"/>
        <v>49644.000000000007</v>
      </c>
      <c r="AP173" s="652">
        <f t="shared" ca="1" si="119"/>
        <v>0</v>
      </c>
      <c r="AQ173" s="652">
        <f t="shared" ca="1" si="119"/>
        <v>0</v>
      </c>
      <c r="AR173" s="652">
        <f t="shared" ca="1" si="119"/>
        <v>0</v>
      </c>
      <c r="AS173" s="652">
        <f t="shared" ca="1" si="119"/>
        <v>7.7428571428571429</v>
      </c>
      <c r="AT173" s="652">
        <f t="shared" ca="1" si="119"/>
        <v>0</v>
      </c>
      <c r="AU173" s="652">
        <f t="shared" ca="1" si="119"/>
        <v>0</v>
      </c>
      <c r="AV173" s="652">
        <f t="shared" ca="1" si="119"/>
        <v>7.7428571428571429</v>
      </c>
      <c r="AW173" s="652">
        <f t="shared" ca="1" si="117"/>
        <v>0</v>
      </c>
      <c r="AX173" s="652">
        <f t="shared" ca="1" si="117"/>
        <v>0</v>
      </c>
      <c r="AY173" s="652">
        <f t="shared" ca="1" si="117"/>
        <v>0</v>
      </c>
      <c r="AZ173" s="652">
        <f t="shared" ca="1" si="117"/>
        <v>794.81</v>
      </c>
      <c r="BA173" s="652">
        <f t="shared" ca="1" si="117"/>
        <v>0</v>
      </c>
      <c r="BB173" s="652">
        <f t="shared" ca="1" si="117"/>
        <v>0</v>
      </c>
      <c r="BC173" s="652">
        <f t="shared" ca="1" si="117"/>
        <v>794.81</v>
      </c>
      <c r="BD173" s="652">
        <f t="shared" ca="1" si="117"/>
        <v>0</v>
      </c>
      <c r="BE173" s="652" t="str">
        <f t="shared" ca="1" si="120"/>
        <v>Commercial</v>
      </c>
      <c r="BF173" s="652" t="str">
        <f t="shared" ca="1" si="120"/>
        <v>OFFLGElecTotl</v>
      </c>
      <c r="BG173" s="652" t="str">
        <f t="shared" ca="1" si="120"/>
        <v>OFFSMGasHeat</v>
      </c>
      <c r="BH173" s="652" t="str">
        <f t="shared" ca="1" si="120"/>
        <v>LGE NonRes</v>
      </c>
      <c r="BI173" s="652" t="str">
        <f t="shared" ca="1" si="120"/>
        <v>LGE NonRes</v>
      </c>
      <c r="BJ173" s="652">
        <f t="shared" ca="1" si="120"/>
        <v>15</v>
      </c>
      <c r="BK173" s="652">
        <f t="shared" ca="1" si="120"/>
        <v>0</v>
      </c>
      <c r="BL173" s="652">
        <f t="shared" ca="1" si="116"/>
        <v>0</v>
      </c>
      <c r="BM173" s="652">
        <f t="shared" ca="1" si="116"/>
        <v>0</v>
      </c>
      <c r="BN173" s="652">
        <f t="shared" ca="1" si="116"/>
        <v>0</v>
      </c>
      <c r="BO173" s="652">
        <f t="shared" ca="1" si="116"/>
        <v>0</v>
      </c>
      <c r="BP173" s="652">
        <f t="shared" ca="1" si="116"/>
        <v>0</v>
      </c>
      <c r="BQ173" s="652">
        <f t="shared" ca="1" si="116"/>
        <v>0</v>
      </c>
      <c r="BR173" s="652">
        <f t="shared" ca="1" si="109"/>
        <v>1</v>
      </c>
      <c r="BS173" s="652">
        <f t="shared" ca="1" si="117"/>
        <v>21960.396025552582</v>
      </c>
      <c r="BT173" s="652">
        <f t="shared" ca="1" si="117"/>
        <v>0</v>
      </c>
      <c r="BU173" s="652">
        <f t="shared" ca="1" si="117"/>
        <v>3000</v>
      </c>
      <c r="BV173" s="652">
        <f t="shared" ca="1" si="117"/>
        <v>0</v>
      </c>
      <c r="BW173" s="652">
        <f t="shared" ca="1" si="117"/>
        <v>99288.000000000015</v>
      </c>
      <c r="BX173" s="652">
        <f t="shared" ca="1" si="120"/>
        <v>15.485714285714286</v>
      </c>
      <c r="BY173" s="652">
        <f t="shared" ca="1" si="120"/>
        <v>1589.62</v>
      </c>
    </row>
    <row r="174" spans="1:77">
      <c r="A174" s="425" t="str">
        <f t="shared" ca="1" si="108"/>
        <v>Business RebatesLG&amp;E-Commercial New Construction Tier 4 &lt;25,000 sqft</v>
      </c>
      <c r="B174" s="1297" t="str">
        <f t="shared" si="101"/>
        <v>LG&amp;EBusiness Rebates</v>
      </c>
      <c r="C174" s="662" t="s">
        <v>258</v>
      </c>
      <c r="D174" s="662" t="s">
        <v>63</v>
      </c>
      <c r="E174" s="652" t="str">
        <f t="shared" ca="1" si="122"/>
        <v>LG&amp;E-Commercial New Construction Tier 4 &lt;25,000 sqft</v>
      </c>
      <c r="F174" s="652" t="str">
        <f t="shared" ca="1" si="122"/>
        <v>Commercial New Construction Tier 4 - 25% Over Code</v>
      </c>
      <c r="G174" s="652" t="str">
        <f t="shared" ca="1" si="122"/>
        <v>Per Project</v>
      </c>
      <c r="H174" s="652">
        <f t="shared" ca="1" si="121"/>
        <v>0.5</v>
      </c>
      <c r="I174" s="652">
        <f t="shared" ca="1" si="121"/>
        <v>0.5</v>
      </c>
      <c r="J174" s="652">
        <f t="shared" ca="1" si="121"/>
        <v>0.5</v>
      </c>
      <c r="K174" s="652">
        <f t="shared" ca="1" si="121"/>
        <v>0.5</v>
      </c>
      <c r="L174" s="652">
        <f t="shared" ca="1" si="121"/>
        <v>0.5</v>
      </c>
      <c r="M174" s="652">
        <f t="shared" ca="1" si="121"/>
        <v>0.5</v>
      </c>
      <c r="N174" s="652">
        <f t="shared" ca="1" si="121"/>
        <v>0.5</v>
      </c>
      <c r="O174" s="652">
        <f t="shared" ca="1" si="121"/>
        <v>13725.247515970361</v>
      </c>
      <c r="P174" s="652">
        <f t="shared" ca="1" si="121"/>
        <v>13725.247515970361</v>
      </c>
      <c r="Q174" s="652">
        <f t="shared" ca="1" si="121"/>
        <v>13725.247515970361</v>
      </c>
      <c r="R174" s="652">
        <f t="shared" ca="1" si="121"/>
        <v>13725.247515970361</v>
      </c>
      <c r="S174" s="652">
        <f t="shared" ca="1" si="121"/>
        <v>13725.247515970361</v>
      </c>
      <c r="T174" s="652">
        <f t="shared" ca="1" si="121"/>
        <v>13725.247515970361</v>
      </c>
      <c r="U174" s="652">
        <f t="shared" ca="1" si="121"/>
        <v>13725.247515970361</v>
      </c>
      <c r="V174" s="652">
        <f t="shared" ca="1" si="118"/>
        <v>0</v>
      </c>
      <c r="W174" s="652">
        <f t="shared" ca="1" si="118"/>
        <v>0</v>
      </c>
      <c r="X174" s="652">
        <f t="shared" ca="1" si="118"/>
        <v>0</v>
      </c>
      <c r="Y174" s="652">
        <f t="shared" ca="1" si="118"/>
        <v>0</v>
      </c>
      <c r="Z174" s="652">
        <f t="shared" ca="1" si="118"/>
        <v>0</v>
      </c>
      <c r="AA174" s="652">
        <f t="shared" ca="1" si="118"/>
        <v>0</v>
      </c>
      <c r="AB174" s="652">
        <f t="shared" ca="1" si="118"/>
        <v>0</v>
      </c>
      <c r="AC174" s="652">
        <f t="shared" ca="1" si="118"/>
        <v>1900</v>
      </c>
      <c r="AD174" s="652">
        <f t="shared" ca="1" si="118"/>
        <v>1900</v>
      </c>
      <c r="AE174" s="652">
        <f t="shared" ca="1" si="118"/>
        <v>1900</v>
      </c>
      <c r="AF174" s="652">
        <f t="shared" ca="1" si="118"/>
        <v>1900</v>
      </c>
      <c r="AG174" s="652">
        <f t="shared" ca="1" si="118"/>
        <v>1900</v>
      </c>
      <c r="AH174" s="652">
        <f t="shared" ca="1" si="118"/>
        <v>1900</v>
      </c>
      <c r="AI174" s="652">
        <f t="shared" ca="1" si="119"/>
        <v>1900</v>
      </c>
      <c r="AJ174" s="652">
        <f t="shared" ca="1" si="119"/>
        <v>62055</v>
      </c>
      <c r="AK174" s="652">
        <f t="shared" ca="1" si="119"/>
        <v>62055</v>
      </c>
      <c r="AL174" s="652">
        <f t="shared" ca="1" si="119"/>
        <v>62055</v>
      </c>
      <c r="AM174" s="652">
        <f t="shared" ca="1" si="119"/>
        <v>62055</v>
      </c>
      <c r="AN174" s="652">
        <f t="shared" ca="1" si="119"/>
        <v>62055</v>
      </c>
      <c r="AO174" s="652">
        <f t="shared" ca="1" si="119"/>
        <v>62055</v>
      </c>
      <c r="AP174" s="652">
        <f t="shared" ca="1" si="119"/>
        <v>62055</v>
      </c>
      <c r="AQ174" s="652">
        <f t="shared" ca="1" si="119"/>
        <v>9.6785714285714288</v>
      </c>
      <c r="AR174" s="652">
        <f t="shared" ca="1" si="119"/>
        <v>9.6785714285714288</v>
      </c>
      <c r="AS174" s="652">
        <f t="shared" ca="1" si="119"/>
        <v>9.6785714285714288</v>
      </c>
      <c r="AT174" s="652">
        <f t="shared" ca="1" si="119"/>
        <v>9.6785714285714288</v>
      </c>
      <c r="AU174" s="652">
        <f t="shared" ca="1" si="119"/>
        <v>9.6785714285714288</v>
      </c>
      <c r="AV174" s="652">
        <f t="shared" ca="1" si="119"/>
        <v>9.6785714285714288</v>
      </c>
      <c r="AW174" s="652">
        <f t="shared" ca="1" si="117"/>
        <v>9.6785714285714288</v>
      </c>
      <c r="AX174" s="652">
        <f t="shared" ca="1" si="117"/>
        <v>993.51499999999999</v>
      </c>
      <c r="AY174" s="652">
        <f t="shared" ca="1" si="117"/>
        <v>993.51499999999999</v>
      </c>
      <c r="AZ174" s="652">
        <f t="shared" ca="1" si="117"/>
        <v>993.51499999999999</v>
      </c>
      <c r="BA174" s="652">
        <f t="shared" ca="1" si="117"/>
        <v>993.51499999999999</v>
      </c>
      <c r="BB174" s="652">
        <f t="shared" ca="1" si="117"/>
        <v>993.51499999999999</v>
      </c>
      <c r="BC174" s="652">
        <f t="shared" ca="1" si="117"/>
        <v>993.51499999999999</v>
      </c>
      <c r="BD174" s="652">
        <f t="shared" ca="1" si="117"/>
        <v>993.51499999999999</v>
      </c>
      <c r="BE174" s="652" t="str">
        <f t="shared" ca="1" si="120"/>
        <v>Commercial</v>
      </c>
      <c r="BF174" s="652" t="str">
        <f t="shared" ca="1" si="120"/>
        <v>OFFLGElecTotl</v>
      </c>
      <c r="BG174" s="652" t="str">
        <f t="shared" ca="1" si="120"/>
        <v>OFFSMGasHeat</v>
      </c>
      <c r="BH174" s="652" t="str">
        <f t="shared" ca="1" si="120"/>
        <v>LGE NonRes</v>
      </c>
      <c r="BI174" s="652" t="str">
        <f t="shared" ca="1" si="120"/>
        <v>LGE NonRes</v>
      </c>
      <c r="BJ174" s="652">
        <f t="shared" ca="1" si="120"/>
        <v>15</v>
      </c>
      <c r="BK174" s="652">
        <f t="shared" ca="1" si="120"/>
        <v>0</v>
      </c>
      <c r="BL174" s="652">
        <f t="shared" ca="1" si="116"/>
        <v>0</v>
      </c>
      <c r="BM174" s="652">
        <f t="shared" ca="1" si="116"/>
        <v>0</v>
      </c>
      <c r="BN174" s="652">
        <f t="shared" ca="1" si="116"/>
        <v>0</v>
      </c>
      <c r="BO174" s="652">
        <f t="shared" ca="1" si="116"/>
        <v>0</v>
      </c>
      <c r="BP174" s="652">
        <f t="shared" ca="1" si="116"/>
        <v>0</v>
      </c>
      <c r="BQ174" s="652">
        <f t="shared" ca="1" si="116"/>
        <v>0</v>
      </c>
      <c r="BR174" s="652">
        <f t="shared" ca="1" si="109"/>
        <v>3.5</v>
      </c>
      <c r="BS174" s="652">
        <f t="shared" ca="1" si="117"/>
        <v>96076.732611792526</v>
      </c>
      <c r="BT174" s="652">
        <f t="shared" ca="1" si="117"/>
        <v>0</v>
      </c>
      <c r="BU174" s="652">
        <f t="shared" ca="1" si="117"/>
        <v>13300</v>
      </c>
      <c r="BV174" s="652">
        <f t="shared" ca="1" si="117"/>
        <v>0</v>
      </c>
      <c r="BW174" s="652">
        <f t="shared" ca="1" si="117"/>
        <v>434385</v>
      </c>
      <c r="BX174" s="652">
        <f t="shared" ca="1" si="120"/>
        <v>67.75</v>
      </c>
      <c r="BY174" s="652">
        <f t="shared" ca="1" si="120"/>
        <v>6954.6050000000005</v>
      </c>
    </row>
    <row r="175" spans="1:77">
      <c r="A175" s="425" t="str">
        <f t="shared" ca="1" si="108"/>
        <v>Business RebatesLG&amp;E-Commercial New Construction Tier 1 ≥25,000 sqft</v>
      </c>
      <c r="B175" s="1297" t="str">
        <f t="shared" si="101"/>
        <v>LG&amp;EBusiness Rebates</v>
      </c>
      <c r="C175" s="662" t="s">
        <v>259</v>
      </c>
      <c r="D175" s="662" t="s">
        <v>63</v>
      </c>
      <c r="E175" s="652" t="str">
        <f t="shared" ca="1" si="122"/>
        <v>LG&amp;E-Commercial New Construction Tier 1 ≥25,000 sqft</v>
      </c>
      <c r="F175" s="652" t="str">
        <f t="shared" ca="1" si="122"/>
        <v>Commercial New Construction Tier 1 - 10% Over Code</v>
      </c>
      <c r="G175" s="652" t="str">
        <f t="shared" ca="1" si="122"/>
        <v>Per Project</v>
      </c>
      <c r="H175" s="652">
        <f t="shared" ca="1" si="121"/>
        <v>0.5</v>
      </c>
      <c r="I175" s="652">
        <f t="shared" ca="1" si="121"/>
        <v>0</v>
      </c>
      <c r="J175" s="652">
        <f t="shared" ca="1" si="121"/>
        <v>0</v>
      </c>
      <c r="K175" s="652">
        <f t="shared" ca="1" si="121"/>
        <v>0.5</v>
      </c>
      <c r="L175" s="652">
        <f t="shared" ca="1" si="121"/>
        <v>0</v>
      </c>
      <c r="M175" s="652">
        <f t="shared" ca="1" si="121"/>
        <v>0</v>
      </c>
      <c r="N175" s="652">
        <f t="shared" ca="1" si="121"/>
        <v>0.5</v>
      </c>
      <c r="O175" s="652">
        <f t="shared" ca="1" si="121"/>
        <v>16470.297019164434</v>
      </c>
      <c r="P175" s="652">
        <f t="shared" ca="1" si="121"/>
        <v>0</v>
      </c>
      <c r="Q175" s="652">
        <f t="shared" ca="1" si="121"/>
        <v>0</v>
      </c>
      <c r="R175" s="652">
        <f t="shared" ca="1" si="121"/>
        <v>16470.297019164434</v>
      </c>
      <c r="S175" s="652">
        <f t="shared" ca="1" si="121"/>
        <v>0</v>
      </c>
      <c r="T175" s="652">
        <f t="shared" ca="1" si="121"/>
        <v>0</v>
      </c>
      <c r="U175" s="652">
        <f t="shared" ca="1" si="121"/>
        <v>16470.297019164434</v>
      </c>
      <c r="V175" s="652">
        <f t="shared" ca="1" si="118"/>
        <v>0</v>
      </c>
      <c r="W175" s="652">
        <f t="shared" ca="1" si="118"/>
        <v>0</v>
      </c>
      <c r="X175" s="652">
        <f t="shared" ca="1" si="118"/>
        <v>0</v>
      </c>
      <c r="Y175" s="652">
        <f t="shared" ca="1" si="118"/>
        <v>0</v>
      </c>
      <c r="Z175" s="652">
        <f t="shared" ca="1" si="118"/>
        <v>0</v>
      </c>
      <c r="AA175" s="652">
        <f t="shared" ca="1" si="118"/>
        <v>0</v>
      </c>
      <c r="AB175" s="652">
        <f t="shared" ca="1" si="118"/>
        <v>0</v>
      </c>
      <c r="AC175" s="652">
        <f t="shared" ca="1" si="118"/>
        <v>2250</v>
      </c>
      <c r="AD175" s="652">
        <f t="shared" ca="1" si="118"/>
        <v>0</v>
      </c>
      <c r="AE175" s="652">
        <f t="shared" ca="1" si="118"/>
        <v>0</v>
      </c>
      <c r="AF175" s="652">
        <f t="shared" ca="1" si="118"/>
        <v>2250</v>
      </c>
      <c r="AG175" s="652">
        <f t="shared" ca="1" si="118"/>
        <v>0</v>
      </c>
      <c r="AH175" s="652">
        <f t="shared" ca="1" si="118"/>
        <v>0</v>
      </c>
      <c r="AI175" s="652">
        <f t="shared" ca="1" si="119"/>
        <v>2250</v>
      </c>
      <c r="AJ175" s="652">
        <f t="shared" ca="1" si="119"/>
        <v>74466</v>
      </c>
      <c r="AK175" s="652">
        <f t="shared" ca="1" si="119"/>
        <v>0</v>
      </c>
      <c r="AL175" s="652">
        <f t="shared" ca="1" si="119"/>
        <v>0</v>
      </c>
      <c r="AM175" s="652">
        <f t="shared" ca="1" si="119"/>
        <v>74466</v>
      </c>
      <c r="AN175" s="652">
        <f t="shared" ca="1" si="119"/>
        <v>0</v>
      </c>
      <c r="AO175" s="652">
        <f t="shared" ca="1" si="119"/>
        <v>0</v>
      </c>
      <c r="AP175" s="652">
        <f t="shared" ca="1" si="119"/>
        <v>74466</v>
      </c>
      <c r="AQ175" s="652">
        <f t="shared" ca="1" si="119"/>
        <v>11.614285714285714</v>
      </c>
      <c r="AR175" s="652">
        <f t="shared" ca="1" si="119"/>
        <v>0</v>
      </c>
      <c r="AS175" s="652">
        <f t="shared" ca="1" si="119"/>
        <v>0</v>
      </c>
      <c r="AT175" s="652">
        <f t="shared" ca="1" si="119"/>
        <v>11.614285714285714</v>
      </c>
      <c r="AU175" s="652">
        <f t="shared" ca="1" si="119"/>
        <v>0</v>
      </c>
      <c r="AV175" s="652">
        <f t="shared" ca="1" si="119"/>
        <v>0</v>
      </c>
      <c r="AW175" s="652">
        <f t="shared" ca="1" si="117"/>
        <v>11.614285714285714</v>
      </c>
      <c r="AX175" s="652">
        <f t="shared" ca="1" si="117"/>
        <v>1192.2149999999999</v>
      </c>
      <c r="AY175" s="652">
        <f t="shared" ca="1" si="117"/>
        <v>0</v>
      </c>
      <c r="AZ175" s="652">
        <f t="shared" ca="1" si="117"/>
        <v>0</v>
      </c>
      <c r="BA175" s="652">
        <f t="shared" ca="1" si="117"/>
        <v>1192.2149999999999</v>
      </c>
      <c r="BB175" s="652">
        <f t="shared" ca="1" si="117"/>
        <v>0</v>
      </c>
      <c r="BC175" s="652">
        <f t="shared" ca="1" si="117"/>
        <v>0</v>
      </c>
      <c r="BD175" s="652">
        <f t="shared" ca="1" si="117"/>
        <v>1192.2149999999999</v>
      </c>
      <c r="BE175" s="652" t="str">
        <f t="shared" ca="1" si="120"/>
        <v>Commercial</v>
      </c>
      <c r="BF175" s="652" t="str">
        <f t="shared" ca="1" si="120"/>
        <v>OFFLGElecTotl</v>
      </c>
      <c r="BG175" s="652" t="str">
        <f t="shared" ca="1" si="120"/>
        <v>OFFSMGasHeat</v>
      </c>
      <c r="BH175" s="652" t="str">
        <f t="shared" ca="1" si="120"/>
        <v>LGE NonRes</v>
      </c>
      <c r="BI175" s="652" t="str">
        <f t="shared" ca="1" si="120"/>
        <v>LGE NonRes</v>
      </c>
      <c r="BJ175" s="652">
        <f t="shared" ca="1" si="120"/>
        <v>15</v>
      </c>
      <c r="BK175" s="652">
        <f t="shared" ca="1" si="120"/>
        <v>0</v>
      </c>
      <c r="BL175" s="652">
        <f t="shared" ca="1" si="116"/>
        <v>0</v>
      </c>
      <c r="BM175" s="652">
        <f t="shared" ca="1" si="116"/>
        <v>0</v>
      </c>
      <c r="BN175" s="652">
        <f t="shared" ca="1" si="116"/>
        <v>0</v>
      </c>
      <c r="BO175" s="652">
        <f t="shared" ca="1" si="116"/>
        <v>0</v>
      </c>
      <c r="BP175" s="652">
        <f t="shared" ca="1" si="116"/>
        <v>0</v>
      </c>
      <c r="BQ175" s="652">
        <f t="shared" ca="1" si="116"/>
        <v>0</v>
      </c>
      <c r="BR175" s="652">
        <f t="shared" ca="1" si="109"/>
        <v>1.5</v>
      </c>
      <c r="BS175" s="652">
        <f t="shared" ca="1" si="117"/>
        <v>49410.891057493303</v>
      </c>
      <c r="BT175" s="652">
        <f t="shared" ca="1" si="117"/>
        <v>0</v>
      </c>
      <c r="BU175" s="652">
        <f t="shared" ca="1" si="117"/>
        <v>6750</v>
      </c>
      <c r="BV175" s="652">
        <f t="shared" ca="1" si="117"/>
        <v>0</v>
      </c>
      <c r="BW175" s="652">
        <f t="shared" ca="1" si="117"/>
        <v>223398</v>
      </c>
      <c r="BX175" s="652">
        <f t="shared" ca="1" si="120"/>
        <v>34.842857142857142</v>
      </c>
      <c r="BY175" s="652">
        <f t="shared" ca="1" si="120"/>
        <v>3576.6449999999995</v>
      </c>
    </row>
    <row r="176" spans="1:77">
      <c r="A176" s="425" t="str">
        <f t="shared" ca="1" si="108"/>
        <v>Business RebatesLG&amp;E-Commercial New Construction Tier 2 ≥25,000 sqft</v>
      </c>
      <c r="B176" s="1297" t="str">
        <f t="shared" si="101"/>
        <v>LG&amp;EBusiness Rebates</v>
      </c>
      <c r="C176" s="662" t="s">
        <v>260</v>
      </c>
      <c r="D176" s="662" t="s">
        <v>63</v>
      </c>
      <c r="E176" s="652" t="str">
        <f t="shared" ca="1" si="122"/>
        <v>LG&amp;E-Commercial New Construction Tier 2 ≥25,000 sqft</v>
      </c>
      <c r="F176" s="652" t="str">
        <f t="shared" ca="1" si="122"/>
        <v>Commercial New Construction Tier 2 - 15% Over Code</v>
      </c>
      <c r="G176" s="652" t="str">
        <f t="shared" ca="1" si="122"/>
        <v>Per Project</v>
      </c>
      <c r="H176" s="652">
        <f t="shared" ca="1" si="121"/>
        <v>0</v>
      </c>
      <c r="I176" s="652">
        <f t="shared" ca="1" si="121"/>
        <v>0.5</v>
      </c>
      <c r="J176" s="652">
        <f t="shared" ca="1" si="121"/>
        <v>0</v>
      </c>
      <c r="K176" s="652">
        <f t="shared" ca="1" si="121"/>
        <v>0</v>
      </c>
      <c r="L176" s="652">
        <f t="shared" ca="1" si="121"/>
        <v>0.5</v>
      </c>
      <c r="M176" s="652">
        <f t="shared" ca="1" si="121"/>
        <v>0</v>
      </c>
      <c r="N176" s="652">
        <f t="shared" ca="1" si="121"/>
        <v>0</v>
      </c>
      <c r="O176" s="652">
        <f t="shared" ca="1" si="121"/>
        <v>0</v>
      </c>
      <c r="P176" s="652">
        <f t="shared" ca="1" si="121"/>
        <v>24705.445528746652</v>
      </c>
      <c r="Q176" s="652">
        <f t="shared" ca="1" si="121"/>
        <v>0</v>
      </c>
      <c r="R176" s="652">
        <f t="shared" ca="1" si="121"/>
        <v>0</v>
      </c>
      <c r="S176" s="652">
        <f t="shared" ca="1" si="121"/>
        <v>24705.445528746652</v>
      </c>
      <c r="T176" s="652">
        <f t="shared" ca="1" si="121"/>
        <v>0</v>
      </c>
      <c r="U176" s="652">
        <f t="shared" ca="1" si="121"/>
        <v>0</v>
      </c>
      <c r="V176" s="652">
        <f t="shared" ca="1" si="118"/>
        <v>0</v>
      </c>
      <c r="W176" s="652">
        <f t="shared" ca="1" si="118"/>
        <v>0</v>
      </c>
      <c r="X176" s="652">
        <f t="shared" ca="1" si="118"/>
        <v>0</v>
      </c>
      <c r="Y176" s="652">
        <f t="shared" ca="1" si="118"/>
        <v>0</v>
      </c>
      <c r="Z176" s="652">
        <f t="shared" ca="1" si="118"/>
        <v>0</v>
      </c>
      <c r="AA176" s="652">
        <f t="shared" ca="1" si="118"/>
        <v>0</v>
      </c>
      <c r="AB176" s="652">
        <f t="shared" ca="1" si="118"/>
        <v>0</v>
      </c>
      <c r="AC176" s="652">
        <f t="shared" ca="1" si="118"/>
        <v>0</v>
      </c>
      <c r="AD176" s="652">
        <f t="shared" ca="1" si="118"/>
        <v>3400</v>
      </c>
      <c r="AE176" s="652">
        <f t="shared" ca="1" si="118"/>
        <v>0</v>
      </c>
      <c r="AF176" s="652">
        <f t="shared" ca="1" si="118"/>
        <v>0</v>
      </c>
      <c r="AG176" s="652">
        <f t="shared" ca="1" si="118"/>
        <v>3400</v>
      </c>
      <c r="AH176" s="652">
        <f t="shared" ca="1" si="118"/>
        <v>0</v>
      </c>
      <c r="AI176" s="652">
        <f t="shared" ca="1" si="119"/>
        <v>0</v>
      </c>
      <c r="AJ176" s="652">
        <f t="shared" ca="1" si="119"/>
        <v>0</v>
      </c>
      <c r="AK176" s="652">
        <f t="shared" ca="1" si="119"/>
        <v>111699.00000000001</v>
      </c>
      <c r="AL176" s="652">
        <f t="shared" ca="1" si="119"/>
        <v>0</v>
      </c>
      <c r="AM176" s="652">
        <f t="shared" ca="1" si="119"/>
        <v>0</v>
      </c>
      <c r="AN176" s="652">
        <f t="shared" ca="1" si="119"/>
        <v>111699.00000000001</v>
      </c>
      <c r="AO176" s="652">
        <f t="shared" ca="1" si="119"/>
        <v>0</v>
      </c>
      <c r="AP176" s="652">
        <f t="shared" ca="1" si="119"/>
        <v>0</v>
      </c>
      <c r="AQ176" s="652">
        <f t="shared" ca="1" si="119"/>
        <v>0</v>
      </c>
      <c r="AR176" s="652">
        <f t="shared" ca="1" si="119"/>
        <v>17.421428571428571</v>
      </c>
      <c r="AS176" s="652">
        <f t="shared" ca="1" si="119"/>
        <v>0</v>
      </c>
      <c r="AT176" s="652">
        <f t="shared" ca="1" si="119"/>
        <v>0</v>
      </c>
      <c r="AU176" s="652">
        <f t="shared" ca="1" si="119"/>
        <v>17.421428571428571</v>
      </c>
      <c r="AV176" s="652">
        <f t="shared" ca="1" si="119"/>
        <v>0</v>
      </c>
      <c r="AW176" s="652">
        <f t="shared" ca="1" si="117"/>
        <v>0</v>
      </c>
      <c r="AX176" s="652">
        <f t="shared" ca="1" si="117"/>
        <v>0</v>
      </c>
      <c r="AY176" s="652">
        <f t="shared" ca="1" si="117"/>
        <v>1788.325</v>
      </c>
      <c r="AZ176" s="652">
        <f t="shared" ca="1" si="117"/>
        <v>0</v>
      </c>
      <c r="BA176" s="652">
        <f t="shared" ca="1" si="117"/>
        <v>0</v>
      </c>
      <c r="BB176" s="652">
        <f t="shared" ca="1" si="117"/>
        <v>1788.325</v>
      </c>
      <c r="BC176" s="652">
        <f t="shared" ca="1" si="117"/>
        <v>0</v>
      </c>
      <c r="BD176" s="652">
        <f t="shared" ca="1" si="117"/>
        <v>0</v>
      </c>
      <c r="BE176" s="652" t="str">
        <f t="shared" ca="1" si="120"/>
        <v>Commercial</v>
      </c>
      <c r="BF176" s="652" t="str">
        <f t="shared" ca="1" si="120"/>
        <v>OFFLGElecTotl</v>
      </c>
      <c r="BG176" s="652" t="str">
        <f t="shared" ca="1" si="120"/>
        <v>OFFSMGasHeat</v>
      </c>
      <c r="BH176" s="652" t="str">
        <f t="shared" ca="1" si="120"/>
        <v>LGE NonRes</v>
      </c>
      <c r="BI176" s="652" t="str">
        <f t="shared" ca="1" si="120"/>
        <v>LGE NonRes</v>
      </c>
      <c r="BJ176" s="652">
        <f t="shared" ca="1" si="120"/>
        <v>15</v>
      </c>
      <c r="BK176" s="652">
        <f t="shared" ca="1" si="120"/>
        <v>0</v>
      </c>
      <c r="BL176" s="652">
        <f t="shared" ca="1" si="116"/>
        <v>0</v>
      </c>
      <c r="BM176" s="652">
        <f t="shared" ca="1" si="116"/>
        <v>0</v>
      </c>
      <c r="BN176" s="652">
        <f t="shared" ca="1" si="116"/>
        <v>0</v>
      </c>
      <c r="BO176" s="652">
        <f t="shared" ca="1" si="116"/>
        <v>0</v>
      </c>
      <c r="BP176" s="652">
        <f t="shared" ca="1" si="116"/>
        <v>0</v>
      </c>
      <c r="BQ176" s="652">
        <f t="shared" ca="1" si="116"/>
        <v>0</v>
      </c>
      <c r="BR176" s="652">
        <f t="shared" ca="1" si="109"/>
        <v>1</v>
      </c>
      <c r="BS176" s="652">
        <f t="shared" ca="1" si="117"/>
        <v>49410.891057493303</v>
      </c>
      <c r="BT176" s="652">
        <f t="shared" ca="1" si="117"/>
        <v>0</v>
      </c>
      <c r="BU176" s="652">
        <f t="shared" ca="1" si="117"/>
        <v>6800</v>
      </c>
      <c r="BV176" s="652">
        <f t="shared" ca="1" si="117"/>
        <v>0</v>
      </c>
      <c r="BW176" s="652">
        <f t="shared" ca="1" si="117"/>
        <v>223398.00000000003</v>
      </c>
      <c r="BX176" s="652">
        <f t="shared" ca="1" si="120"/>
        <v>34.842857142857142</v>
      </c>
      <c r="BY176" s="652">
        <f t="shared" ca="1" si="120"/>
        <v>3576.65</v>
      </c>
    </row>
    <row r="177" spans="1:77">
      <c r="A177" s="425" t="str">
        <f t="shared" ca="1" si="108"/>
        <v>Business RebatesLG&amp;E-Commercial New Construction Tier 3 ≥25,000 sqft</v>
      </c>
      <c r="B177" s="1297" t="str">
        <f t="shared" si="101"/>
        <v>LG&amp;EBusiness Rebates</v>
      </c>
      <c r="C177" s="662" t="s">
        <v>261</v>
      </c>
      <c r="D177" s="662" t="s">
        <v>63</v>
      </c>
      <c r="E177" s="652" t="str">
        <f t="shared" ca="1" si="122"/>
        <v>LG&amp;E-Commercial New Construction Tier 3 ≥25,000 sqft</v>
      </c>
      <c r="F177" s="652" t="str">
        <f t="shared" ca="1" si="122"/>
        <v>Commercial New Construction Tier 3 - 20% Over Code</v>
      </c>
      <c r="G177" s="652" t="str">
        <f t="shared" ca="1" si="122"/>
        <v>Per Project</v>
      </c>
      <c r="H177" s="652">
        <f t="shared" ca="1" si="121"/>
        <v>0</v>
      </c>
      <c r="I177" s="652">
        <f t="shared" ca="1" si="121"/>
        <v>0</v>
      </c>
      <c r="J177" s="652">
        <f t="shared" ca="1" si="121"/>
        <v>0.5</v>
      </c>
      <c r="K177" s="652">
        <f t="shared" ca="1" si="121"/>
        <v>0</v>
      </c>
      <c r="L177" s="652">
        <f t="shared" ca="1" si="121"/>
        <v>0</v>
      </c>
      <c r="M177" s="652">
        <f t="shared" ca="1" si="121"/>
        <v>0.5</v>
      </c>
      <c r="N177" s="652">
        <f t="shared" ca="1" si="121"/>
        <v>0</v>
      </c>
      <c r="O177" s="652">
        <f t="shared" ca="1" si="121"/>
        <v>0</v>
      </c>
      <c r="P177" s="652">
        <f t="shared" ca="1" si="121"/>
        <v>0</v>
      </c>
      <c r="Q177" s="652">
        <f t="shared" ca="1" si="121"/>
        <v>32940.594038328869</v>
      </c>
      <c r="R177" s="652">
        <f t="shared" ca="1" si="121"/>
        <v>0</v>
      </c>
      <c r="S177" s="652">
        <f t="shared" ca="1" si="121"/>
        <v>0</v>
      </c>
      <c r="T177" s="652">
        <f t="shared" ca="1" si="121"/>
        <v>32940.594038328869</v>
      </c>
      <c r="U177" s="652">
        <f t="shared" ca="1" si="121"/>
        <v>0</v>
      </c>
      <c r="V177" s="652">
        <f t="shared" ca="1" si="118"/>
        <v>0</v>
      </c>
      <c r="W177" s="652">
        <f t="shared" ca="1" si="118"/>
        <v>0</v>
      </c>
      <c r="X177" s="652">
        <f t="shared" ca="1" si="118"/>
        <v>0</v>
      </c>
      <c r="Y177" s="652">
        <f t="shared" ca="1" si="118"/>
        <v>0</v>
      </c>
      <c r="Z177" s="652">
        <f t="shared" ca="1" si="118"/>
        <v>0</v>
      </c>
      <c r="AA177" s="652">
        <f t="shared" ca="1" si="118"/>
        <v>0</v>
      </c>
      <c r="AB177" s="652">
        <f t="shared" ca="1" si="118"/>
        <v>0</v>
      </c>
      <c r="AC177" s="652">
        <f t="shared" ca="1" si="118"/>
        <v>0</v>
      </c>
      <c r="AD177" s="652">
        <f t="shared" ca="1" si="118"/>
        <v>0</v>
      </c>
      <c r="AE177" s="652">
        <f t="shared" ca="1" si="118"/>
        <v>4500</v>
      </c>
      <c r="AF177" s="652">
        <f t="shared" ca="1" si="118"/>
        <v>0</v>
      </c>
      <c r="AG177" s="652">
        <f t="shared" ca="1" si="118"/>
        <v>0</v>
      </c>
      <c r="AH177" s="652">
        <f t="shared" ca="1" si="118"/>
        <v>4500</v>
      </c>
      <c r="AI177" s="652">
        <f t="shared" ca="1" si="119"/>
        <v>0</v>
      </c>
      <c r="AJ177" s="652">
        <f t="shared" ca="1" si="119"/>
        <v>0</v>
      </c>
      <c r="AK177" s="652">
        <f t="shared" ca="1" si="119"/>
        <v>0</v>
      </c>
      <c r="AL177" s="652">
        <f t="shared" ca="1" si="119"/>
        <v>148932</v>
      </c>
      <c r="AM177" s="652">
        <f t="shared" ca="1" si="119"/>
        <v>0</v>
      </c>
      <c r="AN177" s="652">
        <f t="shared" ca="1" si="119"/>
        <v>0</v>
      </c>
      <c r="AO177" s="652">
        <f t="shared" ca="1" si="119"/>
        <v>148932</v>
      </c>
      <c r="AP177" s="652">
        <f t="shared" ca="1" si="119"/>
        <v>0</v>
      </c>
      <c r="AQ177" s="652">
        <f t="shared" ca="1" si="119"/>
        <v>0</v>
      </c>
      <c r="AR177" s="652">
        <f t="shared" ca="1" si="119"/>
        <v>0</v>
      </c>
      <c r="AS177" s="652">
        <f t="shared" ca="1" si="119"/>
        <v>23.228571428571428</v>
      </c>
      <c r="AT177" s="652">
        <f t="shared" ca="1" si="119"/>
        <v>0</v>
      </c>
      <c r="AU177" s="652">
        <f t="shared" ca="1" si="119"/>
        <v>0</v>
      </c>
      <c r="AV177" s="652">
        <f t="shared" ca="1" si="119"/>
        <v>23.228571428571428</v>
      </c>
      <c r="AW177" s="652">
        <f t="shared" ca="1" si="117"/>
        <v>0</v>
      </c>
      <c r="AX177" s="652">
        <f t="shared" ca="1" si="117"/>
        <v>0</v>
      </c>
      <c r="AY177" s="652">
        <f t="shared" ca="1" si="117"/>
        <v>0</v>
      </c>
      <c r="AZ177" s="652">
        <f t="shared" ca="1" si="117"/>
        <v>2384.4349999999999</v>
      </c>
      <c r="BA177" s="652">
        <f t="shared" ca="1" si="117"/>
        <v>0</v>
      </c>
      <c r="BB177" s="652">
        <f t="shared" ca="1" si="117"/>
        <v>0</v>
      </c>
      <c r="BC177" s="652">
        <f t="shared" ca="1" si="117"/>
        <v>2384.4349999999999</v>
      </c>
      <c r="BD177" s="652">
        <f t="shared" ca="1" si="117"/>
        <v>0</v>
      </c>
      <c r="BE177" s="652" t="str">
        <f t="shared" ca="1" si="120"/>
        <v>Commercial</v>
      </c>
      <c r="BF177" s="652" t="str">
        <f t="shared" ca="1" si="120"/>
        <v>OFFLGElecTotl</v>
      </c>
      <c r="BG177" s="652" t="str">
        <f t="shared" ca="1" si="120"/>
        <v>OFFSMGasHeat</v>
      </c>
      <c r="BH177" s="652" t="str">
        <f t="shared" ca="1" si="120"/>
        <v>LGE NonRes</v>
      </c>
      <c r="BI177" s="652" t="str">
        <f t="shared" ca="1" si="120"/>
        <v>LGE NonRes</v>
      </c>
      <c r="BJ177" s="652">
        <f t="shared" ca="1" si="120"/>
        <v>15</v>
      </c>
      <c r="BK177" s="652">
        <f t="shared" ca="1" si="120"/>
        <v>0</v>
      </c>
      <c r="BL177" s="652">
        <f t="shared" ca="1" si="116"/>
        <v>0</v>
      </c>
      <c r="BM177" s="652">
        <f t="shared" ca="1" si="116"/>
        <v>0</v>
      </c>
      <c r="BN177" s="652">
        <f t="shared" ca="1" si="116"/>
        <v>0</v>
      </c>
      <c r="BO177" s="652">
        <f t="shared" ca="1" si="116"/>
        <v>0</v>
      </c>
      <c r="BP177" s="652">
        <f t="shared" ca="1" si="116"/>
        <v>0</v>
      </c>
      <c r="BQ177" s="652">
        <f t="shared" ca="1" si="116"/>
        <v>0</v>
      </c>
      <c r="BR177" s="652">
        <f t="shared" ca="1" si="109"/>
        <v>1</v>
      </c>
      <c r="BS177" s="652">
        <f t="shared" ca="1" si="117"/>
        <v>65881.188076657738</v>
      </c>
      <c r="BT177" s="652">
        <f t="shared" ca="1" si="117"/>
        <v>0</v>
      </c>
      <c r="BU177" s="652">
        <f t="shared" ca="1" si="117"/>
        <v>9000</v>
      </c>
      <c r="BV177" s="652">
        <f t="shared" ca="1" si="117"/>
        <v>0</v>
      </c>
      <c r="BW177" s="652">
        <f t="shared" ca="1" si="117"/>
        <v>297864</v>
      </c>
      <c r="BX177" s="652">
        <f t="shared" ca="1" si="120"/>
        <v>46.457142857142856</v>
      </c>
      <c r="BY177" s="652">
        <f t="shared" ca="1" si="120"/>
        <v>4768.87</v>
      </c>
    </row>
    <row r="178" spans="1:77">
      <c r="A178" s="425" t="str">
        <f t="shared" ca="1" si="108"/>
        <v>Business RebatesLG&amp;E-Commercial New Construction Tier 4 ≥25,000 sqft</v>
      </c>
      <c r="B178" s="1297" t="str">
        <f t="shared" si="101"/>
        <v>LG&amp;EBusiness Rebates</v>
      </c>
      <c r="C178" s="662" t="s">
        <v>262</v>
      </c>
      <c r="D178" s="662" t="s">
        <v>63</v>
      </c>
      <c r="E178" s="652" t="str">
        <f t="shared" ca="1" si="122"/>
        <v>LG&amp;E-Commercial New Construction Tier 4 ≥25,000 sqft</v>
      </c>
      <c r="F178" s="652" t="str">
        <f t="shared" ca="1" si="122"/>
        <v>Commercial New Construction Tier 4 - 25% Over Code</v>
      </c>
      <c r="G178" s="652" t="str">
        <f t="shared" ca="1" si="122"/>
        <v>Per Project</v>
      </c>
      <c r="H178" s="652">
        <f t="shared" ca="1" si="121"/>
        <v>0</v>
      </c>
      <c r="I178" s="652">
        <f t="shared" ca="1" si="121"/>
        <v>0</v>
      </c>
      <c r="J178" s="652">
        <f t="shared" ca="1" si="121"/>
        <v>0</v>
      </c>
      <c r="K178" s="652">
        <f t="shared" ca="1" si="121"/>
        <v>0</v>
      </c>
      <c r="L178" s="652">
        <f t="shared" ca="1" si="121"/>
        <v>0</v>
      </c>
      <c r="M178" s="652">
        <f t="shared" ca="1" si="121"/>
        <v>0</v>
      </c>
      <c r="N178" s="652">
        <f t="shared" ca="1" si="121"/>
        <v>0</v>
      </c>
      <c r="O178" s="652">
        <f t="shared" ca="1" si="121"/>
        <v>0</v>
      </c>
      <c r="P178" s="652">
        <f t="shared" ca="1" si="121"/>
        <v>0</v>
      </c>
      <c r="Q178" s="652">
        <f t="shared" ca="1" si="121"/>
        <v>0</v>
      </c>
      <c r="R178" s="652">
        <f t="shared" ca="1" si="121"/>
        <v>0</v>
      </c>
      <c r="S178" s="652">
        <f t="shared" ca="1" si="121"/>
        <v>0</v>
      </c>
      <c r="T178" s="652">
        <f t="shared" ca="1" si="121"/>
        <v>0</v>
      </c>
      <c r="U178" s="652">
        <f t="shared" ca="1" si="121"/>
        <v>0</v>
      </c>
      <c r="V178" s="652">
        <f t="shared" ca="1" si="118"/>
        <v>0</v>
      </c>
      <c r="W178" s="652">
        <f t="shared" ca="1" si="118"/>
        <v>0</v>
      </c>
      <c r="X178" s="652">
        <f t="shared" ca="1" si="118"/>
        <v>0</v>
      </c>
      <c r="Y178" s="652">
        <f t="shared" ca="1" si="118"/>
        <v>0</v>
      </c>
      <c r="Z178" s="652">
        <f t="shared" ca="1" si="118"/>
        <v>0</v>
      </c>
      <c r="AA178" s="652">
        <f t="shared" ca="1" si="118"/>
        <v>0</v>
      </c>
      <c r="AB178" s="652">
        <f t="shared" ca="1" si="118"/>
        <v>0</v>
      </c>
      <c r="AC178" s="652">
        <f t="shared" ca="1" si="118"/>
        <v>0</v>
      </c>
      <c r="AD178" s="652">
        <f t="shared" ca="1" si="118"/>
        <v>0</v>
      </c>
      <c r="AE178" s="652">
        <f t="shared" ca="1" si="118"/>
        <v>0</v>
      </c>
      <c r="AF178" s="652">
        <f t="shared" ca="1" si="118"/>
        <v>0</v>
      </c>
      <c r="AG178" s="652">
        <f t="shared" ca="1" si="118"/>
        <v>0</v>
      </c>
      <c r="AH178" s="652">
        <f t="shared" ca="1" si="118"/>
        <v>0</v>
      </c>
      <c r="AI178" s="652">
        <f t="shared" ca="1" si="119"/>
        <v>0</v>
      </c>
      <c r="AJ178" s="652">
        <f t="shared" ca="1" si="119"/>
        <v>0</v>
      </c>
      <c r="AK178" s="652">
        <f t="shared" ca="1" si="119"/>
        <v>0</v>
      </c>
      <c r="AL178" s="652">
        <f t="shared" ca="1" si="119"/>
        <v>0</v>
      </c>
      <c r="AM178" s="652">
        <f t="shared" ca="1" si="119"/>
        <v>0</v>
      </c>
      <c r="AN178" s="652">
        <f t="shared" ca="1" si="119"/>
        <v>0</v>
      </c>
      <c r="AO178" s="652">
        <f t="shared" ca="1" si="119"/>
        <v>0</v>
      </c>
      <c r="AP178" s="652">
        <f t="shared" ca="1" si="119"/>
        <v>0</v>
      </c>
      <c r="AQ178" s="652">
        <f t="shared" ca="1" si="119"/>
        <v>0</v>
      </c>
      <c r="AR178" s="652">
        <f t="shared" ca="1" si="119"/>
        <v>0</v>
      </c>
      <c r="AS178" s="652">
        <f t="shared" ca="1" si="119"/>
        <v>0</v>
      </c>
      <c r="AT178" s="652">
        <f t="shared" ca="1" si="119"/>
        <v>0</v>
      </c>
      <c r="AU178" s="652">
        <f t="shared" ca="1" si="119"/>
        <v>0</v>
      </c>
      <c r="AV178" s="652">
        <f t="shared" ca="1" si="119"/>
        <v>0</v>
      </c>
      <c r="AW178" s="652">
        <f t="shared" ca="1" si="117"/>
        <v>0</v>
      </c>
      <c r="AX178" s="652">
        <f t="shared" ca="1" si="117"/>
        <v>0</v>
      </c>
      <c r="AY178" s="652">
        <f t="shared" ca="1" si="117"/>
        <v>0</v>
      </c>
      <c r="AZ178" s="652">
        <f t="shared" ca="1" si="117"/>
        <v>0</v>
      </c>
      <c r="BA178" s="652">
        <f t="shared" ca="1" si="117"/>
        <v>0</v>
      </c>
      <c r="BB178" s="652">
        <f t="shared" ca="1" si="117"/>
        <v>0</v>
      </c>
      <c r="BC178" s="652">
        <f t="shared" ca="1" si="117"/>
        <v>0</v>
      </c>
      <c r="BD178" s="652">
        <f t="shared" ca="1" si="117"/>
        <v>0</v>
      </c>
      <c r="BE178" s="652" t="str">
        <f t="shared" ca="1" si="120"/>
        <v>Commercial</v>
      </c>
      <c r="BF178" s="652" t="str">
        <f t="shared" ca="1" si="120"/>
        <v>OFFLGElecTotl</v>
      </c>
      <c r="BG178" s="652" t="str">
        <f t="shared" ca="1" si="120"/>
        <v>OFFSMGasHeat</v>
      </c>
      <c r="BH178" s="652" t="str">
        <f t="shared" ca="1" si="120"/>
        <v>LGE NonRes</v>
      </c>
      <c r="BI178" s="652" t="str">
        <f t="shared" ca="1" si="120"/>
        <v>LGE NonRes</v>
      </c>
      <c r="BJ178" s="652">
        <f t="shared" ca="1" si="120"/>
        <v>15</v>
      </c>
      <c r="BK178" s="652">
        <f t="shared" ca="1" si="120"/>
        <v>0</v>
      </c>
      <c r="BL178" s="652">
        <f t="shared" ca="1" si="116"/>
        <v>0</v>
      </c>
      <c r="BM178" s="652">
        <f t="shared" ca="1" si="116"/>
        <v>0</v>
      </c>
      <c r="BN178" s="652">
        <f t="shared" ca="1" si="116"/>
        <v>0</v>
      </c>
      <c r="BO178" s="652">
        <f t="shared" ca="1" si="116"/>
        <v>0</v>
      </c>
      <c r="BP178" s="652">
        <f t="shared" ca="1" si="116"/>
        <v>0</v>
      </c>
      <c r="BQ178" s="652">
        <f t="shared" ca="1" si="116"/>
        <v>0</v>
      </c>
      <c r="BR178" s="652">
        <f t="shared" ca="1" si="109"/>
        <v>0</v>
      </c>
      <c r="BS178" s="652">
        <f t="shared" ca="1" si="117"/>
        <v>0</v>
      </c>
      <c r="BT178" s="652">
        <f t="shared" ca="1" si="117"/>
        <v>0</v>
      </c>
      <c r="BU178" s="652">
        <f t="shared" ca="1" si="117"/>
        <v>0</v>
      </c>
      <c r="BV178" s="652">
        <f t="shared" ca="1" si="117"/>
        <v>0</v>
      </c>
      <c r="BW178" s="652">
        <f t="shared" ca="1" si="117"/>
        <v>0</v>
      </c>
      <c r="BX178" s="652">
        <f t="shared" ca="1" si="120"/>
        <v>0</v>
      </c>
      <c r="BY178" s="652">
        <f t="shared" ca="1" si="120"/>
        <v>0</v>
      </c>
    </row>
    <row r="179" spans="1:77">
      <c r="A179" s="425" t="str">
        <f t="shared" ca="1" si="108"/>
        <v>Business RebatesLG&amp;E-Commercial New Construction LEED 1 to 5 Points &lt;25,000 sqft</v>
      </c>
      <c r="B179" s="1297" t="str">
        <f t="shared" si="101"/>
        <v>LG&amp;EBusiness Rebates</v>
      </c>
      <c r="C179" s="662" t="s">
        <v>263</v>
      </c>
      <c r="D179" s="662" t="s">
        <v>63</v>
      </c>
      <c r="E179" s="652" t="str">
        <f t="shared" ca="1" si="122"/>
        <v>LG&amp;E-Commercial New Construction LEED 1 to 5 Points &lt;25,000 sqft</v>
      </c>
      <c r="F179" s="652" t="str">
        <f t="shared" ca="1" si="122"/>
        <v>Commercial New Construction LEED 1 to 5 Points - LEED Energy &amp; Atmosphere, Credit 1 Category Optimize Energy Efficiency Performance</v>
      </c>
      <c r="G179" s="652" t="str">
        <f t="shared" ca="1" si="122"/>
        <v>Per Project</v>
      </c>
      <c r="H179" s="652">
        <f t="shared" ca="1" si="121"/>
        <v>0.5</v>
      </c>
      <c r="I179" s="652">
        <f t="shared" ca="1" si="121"/>
        <v>0</v>
      </c>
      <c r="J179" s="652">
        <f t="shared" ca="1" si="121"/>
        <v>0</v>
      </c>
      <c r="K179" s="652">
        <f t="shared" ca="1" si="121"/>
        <v>0.5</v>
      </c>
      <c r="L179" s="652">
        <f t="shared" ca="1" si="121"/>
        <v>0</v>
      </c>
      <c r="M179" s="652">
        <f t="shared" ca="1" si="121"/>
        <v>0</v>
      </c>
      <c r="N179" s="652">
        <f t="shared" ca="1" si="121"/>
        <v>0.5</v>
      </c>
      <c r="O179" s="652">
        <f t="shared" ca="1" si="121"/>
        <v>18600</v>
      </c>
      <c r="P179" s="652">
        <f t="shared" ca="1" si="121"/>
        <v>0</v>
      </c>
      <c r="Q179" s="652">
        <f t="shared" ca="1" si="121"/>
        <v>0</v>
      </c>
      <c r="R179" s="652">
        <f t="shared" ca="1" si="121"/>
        <v>18600</v>
      </c>
      <c r="S179" s="652">
        <f t="shared" ca="1" si="121"/>
        <v>0</v>
      </c>
      <c r="T179" s="652">
        <f t="shared" ca="1" si="121"/>
        <v>0</v>
      </c>
      <c r="U179" s="652">
        <f t="shared" ca="1" si="121"/>
        <v>18600</v>
      </c>
      <c r="V179" s="652">
        <f t="shared" ca="1" si="118"/>
        <v>0</v>
      </c>
      <c r="W179" s="652">
        <f t="shared" ca="1" si="118"/>
        <v>0</v>
      </c>
      <c r="X179" s="652">
        <f t="shared" ca="1" si="118"/>
        <v>0</v>
      </c>
      <c r="Y179" s="652">
        <f t="shared" ca="1" si="118"/>
        <v>0</v>
      </c>
      <c r="Z179" s="652">
        <f t="shared" ca="1" si="118"/>
        <v>0</v>
      </c>
      <c r="AA179" s="652">
        <f t="shared" ca="1" si="118"/>
        <v>0</v>
      </c>
      <c r="AB179" s="652">
        <f t="shared" ca="1" si="118"/>
        <v>0</v>
      </c>
      <c r="AC179" s="652">
        <f t="shared" ca="1" si="118"/>
        <v>1000</v>
      </c>
      <c r="AD179" s="652">
        <f t="shared" ca="1" si="118"/>
        <v>0</v>
      </c>
      <c r="AE179" s="652">
        <f t="shared" ca="1" si="118"/>
        <v>0</v>
      </c>
      <c r="AF179" s="652">
        <f t="shared" ca="1" si="118"/>
        <v>1000</v>
      </c>
      <c r="AG179" s="652">
        <f t="shared" ca="1" si="118"/>
        <v>0</v>
      </c>
      <c r="AH179" s="652">
        <f t="shared" ca="1" si="118"/>
        <v>0</v>
      </c>
      <c r="AI179" s="652">
        <f t="shared" ca="1" si="119"/>
        <v>1000</v>
      </c>
      <c r="AJ179" s="652">
        <f t="shared" ca="1" si="119"/>
        <v>0</v>
      </c>
      <c r="AK179" s="652">
        <f t="shared" ca="1" si="119"/>
        <v>0</v>
      </c>
      <c r="AL179" s="652">
        <f t="shared" ca="1" si="119"/>
        <v>0</v>
      </c>
      <c r="AM179" s="652">
        <f t="shared" ca="1" si="119"/>
        <v>0</v>
      </c>
      <c r="AN179" s="652">
        <f t="shared" ca="1" si="119"/>
        <v>0</v>
      </c>
      <c r="AO179" s="652">
        <f t="shared" ca="1" si="119"/>
        <v>0</v>
      </c>
      <c r="AP179" s="652">
        <f t="shared" ca="1" si="119"/>
        <v>0</v>
      </c>
      <c r="AQ179" s="652">
        <f t="shared" ca="1" si="119"/>
        <v>0</v>
      </c>
      <c r="AR179" s="652">
        <f t="shared" ca="1" si="119"/>
        <v>0</v>
      </c>
      <c r="AS179" s="652">
        <f t="shared" ca="1" si="119"/>
        <v>0</v>
      </c>
      <c r="AT179" s="652">
        <f t="shared" ca="1" si="119"/>
        <v>0</v>
      </c>
      <c r="AU179" s="652">
        <f t="shared" ca="1" si="119"/>
        <v>0</v>
      </c>
      <c r="AV179" s="652">
        <f t="shared" ca="1" si="119"/>
        <v>0</v>
      </c>
      <c r="AW179" s="652">
        <f t="shared" ca="1" si="117"/>
        <v>0</v>
      </c>
      <c r="AX179" s="652">
        <f t="shared" ca="1" si="117"/>
        <v>0</v>
      </c>
      <c r="AY179" s="652">
        <f t="shared" ca="1" si="117"/>
        <v>0</v>
      </c>
      <c r="AZ179" s="652">
        <f t="shared" ca="1" si="117"/>
        <v>0</v>
      </c>
      <c r="BA179" s="652">
        <f t="shared" ca="1" si="117"/>
        <v>0</v>
      </c>
      <c r="BB179" s="652">
        <f t="shared" ca="1" si="117"/>
        <v>0</v>
      </c>
      <c r="BC179" s="652">
        <f t="shared" ca="1" si="117"/>
        <v>0</v>
      </c>
      <c r="BD179" s="652">
        <f t="shared" ca="1" si="117"/>
        <v>0</v>
      </c>
      <c r="BE179" s="652" t="str">
        <f t="shared" ca="1" si="117"/>
        <v>Commercial</v>
      </c>
      <c r="BF179" s="652" t="str">
        <f t="shared" ca="1" si="117"/>
        <v>OFFLGElecTotl</v>
      </c>
      <c r="BG179" s="652" t="str">
        <f t="shared" ca="1" si="117"/>
        <v>OFFSMGasHeat</v>
      </c>
      <c r="BH179" s="652" t="str">
        <f t="shared" ca="1" si="117"/>
        <v>LGE NonRes</v>
      </c>
      <c r="BI179" s="652" t="str">
        <f t="shared" ca="1" si="117"/>
        <v>LGE NonRes</v>
      </c>
      <c r="BJ179" s="652">
        <f t="shared" ca="1" si="117"/>
        <v>15</v>
      </c>
      <c r="BK179" s="652">
        <f t="shared" ca="1" si="117"/>
        <v>0</v>
      </c>
      <c r="BL179" s="652">
        <f t="shared" ca="1" si="116"/>
        <v>0</v>
      </c>
      <c r="BM179" s="652">
        <f t="shared" ca="1" si="116"/>
        <v>0</v>
      </c>
      <c r="BN179" s="652">
        <f t="shared" ca="1" si="116"/>
        <v>0</v>
      </c>
      <c r="BO179" s="652">
        <f t="shared" ca="1" si="116"/>
        <v>0</v>
      </c>
      <c r="BP179" s="652">
        <f t="shared" ca="1" si="116"/>
        <v>0</v>
      </c>
      <c r="BQ179" s="652">
        <f t="shared" ca="1" si="116"/>
        <v>0</v>
      </c>
      <c r="BR179" s="652">
        <f t="shared" ca="1" si="109"/>
        <v>1.5</v>
      </c>
      <c r="BS179" s="652">
        <f t="shared" ca="1" si="117"/>
        <v>55800</v>
      </c>
      <c r="BT179" s="652">
        <f t="shared" ca="1" si="117"/>
        <v>0</v>
      </c>
      <c r="BU179" s="652">
        <f t="shared" ca="1" si="117"/>
        <v>3000</v>
      </c>
      <c r="BV179" s="652">
        <f t="shared" ca="1" si="117"/>
        <v>0</v>
      </c>
      <c r="BW179" s="652">
        <f t="shared" ca="1" si="117"/>
        <v>0</v>
      </c>
      <c r="BX179" s="652">
        <f t="shared" ref="BX179:BY244" ca="1" si="123">VLOOKUP($C179,INDIRECT("'"&amp;$D179&amp;"'!A6:FR1000"),IF(BX$6="Participation 2023",MATCH("__Participation 2023",INDIRECT("'"&amp;$D179&amp;"'!1:1"),0),IF(BX$6="Participation",MATCH("_Total Plan Summary _Participation",INDIRECT("'"&amp;$D179&amp;"'!1:1"),0),MATCH(BX$4&amp;"_"&amp;BX$5&amp;"_"&amp;BX$6,INDIRECT("'"&amp;$D179&amp;"'!1:1"),0))),0)</f>
        <v>0</v>
      </c>
      <c r="BY179" s="652">
        <f t="shared" ca="1" si="123"/>
        <v>0</v>
      </c>
    </row>
    <row r="180" spans="1:77">
      <c r="A180" s="425" t="str">
        <f t="shared" ca="1" si="108"/>
        <v>Business RebatesLG&amp;E-Commercial New Construction LEED 6 to 10 Points &lt;25,000 sqft</v>
      </c>
      <c r="B180" s="1297" t="str">
        <f t="shared" si="101"/>
        <v>LG&amp;EBusiness Rebates</v>
      </c>
      <c r="C180" s="662" t="s">
        <v>264</v>
      </c>
      <c r="D180" s="662" t="s">
        <v>63</v>
      </c>
      <c r="E180" s="652" t="str">
        <f t="shared" ca="1" si="122"/>
        <v>LG&amp;E-Commercial New Construction LEED 6 to 10 Points &lt;25,000 sqft</v>
      </c>
      <c r="F180" s="652" t="str">
        <f t="shared" ca="1" si="122"/>
        <v>Commercial New Construction LEED 6 to 10 Points - LEED Energy &amp; Atmosphere, Credit 1 Category Optimize Energy Efficiency Performance</v>
      </c>
      <c r="G180" s="652" t="str">
        <f t="shared" ca="1" si="122"/>
        <v>Per Project</v>
      </c>
      <c r="H180" s="652">
        <f t="shared" ca="1" si="121"/>
        <v>0</v>
      </c>
      <c r="I180" s="652">
        <f t="shared" ca="1" si="121"/>
        <v>0.5</v>
      </c>
      <c r="J180" s="652">
        <f t="shared" ca="1" si="121"/>
        <v>0</v>
      </c>
      <c r="K180" s="652">
        <f t="shared" ca="1" si="121"/>
        <v>0</v>
      </c>
      <c r="L180" s="652">
        <f t="shared" ca="1" si="121"/>
        <v>0.5</v>
      </c>
      <c r="M180" s="652">
        <f t="shared" ca="1" si="121"/>
        <v>0</v>
      </c>
      <c r="N180" s="652">
        <f t="shared" ca="1" si="121"/>
        <v>0</v>
      </c>
      <c r="O180" s="652">
        <f t="shared" ca="1" si="121"/>
        <v>0</v>
      </c>
      <c r="P180" s="652">
        <f t="shared" ca="1" si="121"/>
        <v>18600</v>
      </c>
      <c r="Q180" s="652">
        <f t="shared" ca="1" si="121"/>
        <v>0</v>
      </c>
      <c r="R180" s="652">
        <f t="shared" ca="1" si="121"/>
        <v>0</v>
      </c>
      <c r="S180" s="652">
        <f t="shared" ca="1" si="121"/>
        <v>18600</v>
      </c>
      <c r="T180" s="652">
        <f t="shared" ca="1" si="121"/>
        <v>0</v>
      </c>
      <c r="U180" s="652">
        <f t="shared" ca="1" si="121"/>
        <v>0</v>
      </c>
      <c r="V180" s="652">
        <f t="shared" ca="1" si="118"/>
        <v>0</v>
      </c>
      <c r="W180" s="652">
        <f t="shared" ca="1" si="118"/>
        <v>0</v>
      </c>
      <c r="X180" s="652">
        <f t="shared" ca="1" si="118"/>
        <v>0</v>
      </c>
      <c r="Y180" s="652">
        <f t="shared" ca="1" si="118"/>
        <v>0</v>
      </c>
      <c r="Z180" s="652">
        <f t="shared" ca="1" si="118"/>
        <v>0</v>
      </c>
      <c r="AA180" s="652">
        <f t="shared" ca="1" si="118"/>
        <v>0</v>
      </c>
      <c r="AB180" s="652">
        <f t="shared" ca="1" si="118"/>
        <v>0</v>
      </c>
      <c r="AC180" s="652">
        <f t="shared" ca="1" si="118"/>
        <v>0</v>
      </c>
      <c r="AD180" s="652">
        <f t="shared" ca="1" si="118"/>
        <v>1250</v>
      </c>
      <c r="AE180" s="652">
        <f t="shared" ca="1" si="118"/>
        <v>0</v>
      </c>
      <c r="AF180" s="652">
        <f t="shared" ca="1" si="118"/>
        <v>0</v>
      </c>
      <c r="AG180" s="652">
        <f t="shared" ca="1" si="118"/>
        <v>1250</v>
      </c>
      <c r="AH180" s="652">
        <f t="shared" ca="1" si="118"/>
        <v>0</v>
      </c>
      <c r="AI180" s="652">
        <f t="shared" ca="1" si="119"/>
        <v>0</v>
      </c>
      <c r="AJ180" s="652">
        <f t="shared" ca="1" si="119"/>
        <v>0</v>
      </c>
      <c r="AK180" s="652">
        <f t="shared" ca="1" si="119"/>
        <v>0</v>
      </c>
      <c r="AL180" s="652">
        <f t="shared" ca="1" si="119"/>
        <v>0</v>
      </c>
      <c r="AM180" s="652">
        <f t="shared" ca="1" si="119"/>
        <v>0</v>
      </c>
      <c r="AN180" s="652">
        <f t="shared" ca="1" si="119"/>
        <v>0</v>
      </c>
      <c r="AO180" s="652">
        <f t="shared" ca="1" si="119"/>
        <v>0</v>
      </c>
      <c r="AP180" s="652">
        <f t="shared" ca="1" si="119"/>
        <v>0</v>
      </c>
      <c r="AQ180" s="652">
        <f t="shared" ca="1" si="119"/>
        <v>0</v>
      </c>
      <c r="AR180" s="652">
        <f t="shared" ca="1" si="119"/>
        <v>0</v>
      </c>
      <c r="AS180" s="652">
        <f t="shared" ca="1" si="119"/>
        <v>0</v>
      </c>
      <c r="AT180" s="652">
        <f t="shared" ca="1" si="119"/>
        <v>0</v>
      </c>
      <c r="AU180" s="652">
        <f t="shared" ca="1" si="119"/>
        <v>0</v>
      </c>
      <c r="AV180" s="652">
        <f t="shared" ref="AV180:BW192" ca="1" si="124">VLOOKUP($C180,INDIRECT("'"&amp;$D180&amp;"'!A6:FR1000"),IF(AV$6="Participation 2023",MATCH("__Participation 2023",INDIRECT("'"&amp;$D180&amp;"'!1:1"),0),IF(AV$6="Participation",MATCH("_Total Plan Summary _Participation",INDIRECT("'"&amp;$D180&amp;"'!1:1"),0),MATCH(AV$4&amp;"_"&amp;AV$5&amp;"_"&amp;AV$6,INDIRECT("'"&amp;$D180&amp;"'!1:1"),0))),0)</f>
        <v>0</v>
      </c>
      <c r="AW180" s="652">
        <f t="shared" ca="1" si="124"/>
        <v>0</v>
      </c>
      <c r="AX180" s="652">
        <f t="shared" ca="1" si="124"/>
        <v>0</v>
      </c>
      <c r="AY180" s="652">
        <f t="shared" ca="1" si="124"/>
        <v>0</v>
      </c>
      <c r="AZ180" s="652">
        <f t="shared" ca="1" si="124"/>
        <v>0</v>
      </c>
      <c r="BA180" s="652">
        <f t="shared" ca="1" si="124"/>
        <v>0</v>
      </c>
      <c r="BB180" s="652">
        <f t="shared" ca="1" si="124"/>
        <v>0</v>
      </c>
      <c r="BC180" s="652">
        <f t="shared" ca="1" si="124"/>
        <v>0</v>
      </c>
      <c r="BD180" s="652">
        <f t="shared" ca="1" si="124"/>
        <v>0</v>
      </c>
      <c r="BE180" s="652" t="str">
        <f t="shared" ca="1" si="124"/>
        <v>Commercial</v>
      </c>
      <c r="BF180" s="652" t="str">
        <f t="shared" ca="1" si="124"/>
        <v>OFFLGElecTotl</v>
      </c>
      <c r="BG180" s="652" t="str">
        <f t="shared" ca="1" si="124"/>
        <v>OFFSMGasHeat</v>
      </c>
      <c r="BH180" s="652" t="str">
        <f t="shared" ca="1" si="124"/>
        <v>LGE NonRes</v>
      </c>
      <c r="BI180" s="652" t="str">
        <f t="shared" ca="1" si="124"/>
        <v>LGE NonRes</v>
      </c>
      <c r="BJ180" s="652">
        <f t="shared" ca="1" si="124"/>
        <v>15</v>
      </c>
      <c r="BK180" s="652">
        <f t="shared" ca="1" si="124"/>
        <v>0</v>
      </c>
      <c r="BL180" s="652">
        <f t="shared" ca="1" si="116"/>
        <v>0</v>
      </c>
      <c r="BM180" s="652">
        <f t="shared" ca="1" si="116"/>
        <v>0</v>
      </c>
      <c r="BN180" s="652">
        <f t="shared" ca="1" si="116"/>
        <v>0</v>
      </c>
      <c r="BO180" s="652">
        <f t="shared" ca="1" si="116"/>
        <v>0</v>
      </c>
      <c r="BP180" s="652">
        <f t="shared" ca="1" si="116"/>
        <v>0</v>
      </c>
      <c r="BQ180" s="652">
        <f t="shared" ca="1" si="116"/>
        <v>0</v>
      </c>
      <c r="BR180" s="652">
        <f t="shared" ca="1" si="109"/>
        <v>1</v>
      </c>
      <c r="BS180" s="652">
        <f t="shared" ca="1" si="124"/>
        <v>37200</v>
      </c>
      <c r="BT180" s="652">
        <f t="shared" ca="1" si="124"/>
        <v>0</v>
      </c>
      <c r="BU180" s="652">
        <f t="shared" ca="1" si="124"/>
        <v>2500</v>
      </c>
      <c r="BV180" s="652">
        <f t="shared" ca="1" si="124"/>
        <v>0</v>
      </c>
      <c r="BW180" s="652">
        <f t="shared" ca="1" si="124"/>
        <v>0</v>
      </c>
      <c r="BX180" s="652">
        <f t="shared" ca="1" si="123"/>
        <v>0</v>
      </c>
      <c r="BY180" s="652">
        <f t="shared" ca="1" si="123"/>
        <v>0</v>
      </c>
    </row>
    <row r="181" spans="1:77">
      <c r="A181" s="425" t="str">
        <f t="shared" ca="1" si="108"/>
        <v>Business RebatesLG&amp;E-Commercial New Construction LEED 11 to 15 Points &lt;25,000 sqft</v>
      </c>
      <c r="B181" s="1297" t="str">
        <f t="shared" si="101"/>
        <v>LG&amp;EBusiness Rebates</v>
      </c>
      <c r="C181" s="662" t="s">
        <v>265</v>
      </c>
      <c r="D181" s="662" t="s">
        <v>63</v>
      </c>
      <c r="E181" s="652" t="str">
        <f t="shared" ca="1" si="122"/>
        <v>LG&amp;E-Commercial New Construction LEED 11 to 15 Points &lt;25,000 sqft</v>
      </c>
      <c r="F181" s="652" t="str">
        <f t="shared" ca="1" si="122"/>
        <v>Commercial New Construction LEED 11 to 15 Points - LEED Energy &amp; Atmosphere, Credit 1 Category Optimize Energy Efficiency Performance</v>
      </c>
      <c r="G181" s="652" t="str">
        <f t="shared" ca="1" si="122"/>
        <v>Per Project</v>
      </c>
      <c r="H181" s="652">
        <f t="shared" ca="1" si="121"/>
        <v>0</v>
      </c>
      <c r="I181" s="652">
        <f t="shared" ca="1" si="121"/>
        <v>0</v>
      </c>
      <c r="J181" s="652">
        <f t="shared" ca="1" si="121"/>
        <v>0.5</v>
      </c>
      <c r="K181" s="652">
        <f t="shared" ca="1" si="121"/>
        <v>0</v>
      </c>
      <c r="L181" s="652">
        <f t="shared" ca="1" si="121"/>
        <v>0</v>
      </c>
      <c r="M181" s="652">
        <f t="shared" ca="1" si="121"/>
        <v>0.5</v>
      </c>
      <c r="N181" s="652">
        <f t="shared" ca="1" si="121"/>
        <v>0</v>
      </c>
      <c r="O181" s="652">
        <f t="shared" ca="1" si="121"/>
        <v>0</v>
      </c>
      <c r="P181" s="652">
        <f t="shared" ca="1" si="121"/>
        <v>0</v>
      </c>
      <c r="Q181" s="652">
        <f t="shared" ca="1" si="121"/>
        <v>18600</v>
      </c>
      <c r="R181" s="652">
        <f t="shared" ca="1" si="121"/>
        <v>0</v>
      </c>
      <c r="S181" s="652">
        <f t="shared" ca="1" si="121"/>
        <v>0</v>
      </c>
      <c r="T181" s="652">
        <f t="shared" ca="1" si="121"/>
        <v>18600</v>
      </c>
      <c r="U181" s="652">
        <f t="shared" ref="U181:AH196" ca="1" si="125">VLOOKUP($C181,INDIRECT("'"&amp;$D181&amp;"'!A6:FR1000"),IF(U$6="Participation 2023",MATCH("__Participation 2023",INDIRECT("'"&amp;$D181&amp;"'!1:1"),0),IF(U$6="Participation",MATCH("_Total Plan Summary _Participation",INDIRECT("'"&amp;$D181&amp;"'!1:1"),0),MATCH(U$4&amp;"_"&amp;U$5&amp;"_"&amp;U$6,INDIRECT("'"&amp;$D181&amp;"'!1:1"),0))),0)</f>
        <v>0</v>
      </c>
      <c r="V181" s="652">
        <f t="shared" ca="1" si="125"/>
        <v>0</v>
      </c>
      <c r="W181" s="652">
        <f t="shared" ca="1" si="125"/>
        <v>0</v>
      </c>
      <c r="X181" s="652">
        <f t="shared" ca="1" si="125"/>
        <v>0</v>
      </c>
      <c r="Y181" s="652">
        <f t="shared" ca="1" si="125"/>
        <v>0</v>
      </c>
      <c r="Z181" s="652">
        <f t="shared" ca="1" si="125"/>
        <v>0</v>
      </c>
      <c r="AA181" s="652">
        <f t="shared" ca="1" si="125"/>
        <v>0</v>
      </c>
      <c r="AB181" s="652">
        <f t="shared" ca="1" si="125"/>
        <v>0</v>
      </c>
      <c r="AC181" s="652">
        <f t="shared" ca="1" si="125"/>
        <v>0</v>
      </c>
      <c r="AD181" s="652">
        <f t="shared" ca="1" si="125"/>
        <v>0</v>
      </c>
      <c r="AE181" s="652">
        <f t="shared" ca="1" si="125"/>
        <v>1500</v>
      </c>
      <c r="AF181" s="652">
        <f t="shared" ca="1" si="125"/>
        <v>0</v>
      </c>
      <c r="AG181" s="652">
        <f t="shared" ca="1" si="125"/>
        <v>0</v>
      </c>
      <c r="AH181" s="652">
        <f t="shared" ca="1" si="125"/>
        <v>1500</v>
      </c>
      <c r="AI181" s="652">
        <f t="shared" ref="AI181:AV196" ca="1" si="126">VLOOKUP($C181,INDIRECT("'"&amp;$D181&amp;"'!A6:FR1000"),IF(AI$6="Participation 2023",MATCH("__Participation 2023",INDIRECT("'"&amp;$D181&amp;"'!1:1"),0),IF(AI$6="Participation",MATCH("_Total Plan Summary _Participation",INDIRECT("'"&amp;$D181&amp;"'!1:1"),0),MATCH(AI$4&amp;"_"&amp;AI$5&amp;"_"&amp;AI$6,INDIRECT("'"&amp;$D181&amp;"'!1:1"),0))),0)</f>
        <v>0</v>
      </c>
      <c r="AJ181" s="652">
        <f t="shared" ca="1" si="126"/>
        <v>0</v>
      </c>
      <c r="AK181" s="652">
        <f t="shared" ca="1" si="126"/>
        <v>0</v>
      </c>
      <c r="AL181" s="652">
        <f t="shared" ca="1" si="126"/>
        <v>0</v>
      </c>
      <c r="AM181" s="652">
        <f t="shared" ca="1" si="126"/>
        <v>0</v>
      </c>
      <c r="AN181" s="652">
        <f t="shared" ca="1" si="126"/>
        <v>0</v>
      </c>
      <c r="AO181" s="652">
        <f t="shared" ca="1" si="126"/>
        <v>0</v>
      </c>
      <c r="AP181" s="652">
        <f t="shared" ca="1" si="126"/>
        <v>0</v>
      </c>
      <c r="AQ181" s="652">
        <f t="shared" ca="1" si="126"/>
        <v>0</v>
      </c>
      <c r="AR181" s="652">
        <f t="shared" ca="1" si="126"/>
        <v>0</v>
      </c>
      <c r="AS181" s="652">
        <f t="shared" ca="1" si="126"/>
        <v>0</v>
      </c>
      <c r="AT181" s="652">
        <f t="shared" ca="1" si="126"/>
        <v>0</v>
      </c>
      <c r="AU181" s="652">
        <f t="shared" ca="1" si="126"/>
        <v>0</v>
      </c>
      <c r="AV181" s="652">
        <f t="shared" ca="1" si="126"/>
        <v>0</v>
      </c>
      <c r="AW181" s="652">
        <f t="shared" ca="1" si="124"/>
        <v>0</v>
      </c>
      <c r="AX181" s="652">
        <f t="shared" ca="1" si="124"/>
        <v>0</v>
      </c>
      <c r="AY181" s="652">
        <f t="shared" ca="1" si="124"/>
        <v>0</v>
      </c>
      <c r="AZ181" s="652">
        <f t="shared" ca="1" si="124"/>
        <v>0</v>
      </c>
      <c r="BA181" s="652">
        <f t="shared" ca="1" si="124"/>
        <v>0</v>
      </c>
      <c r="BB181" s="652">
        <f t="shared" ca="1" si="124"/>
        <v>0</v>
      </c>
      <c r="BC181" s="652">
        <f t="shared" ca="1" si="124"/>
        <v>0</v>
      </c>
      <c r="BD181" s="652">
        <f t="shared" ca="1" si="124"/>
        <v>0</v>
      </c>
      <c r="BE181" s="652" t="str">
        <f t="shared" ca="1" si="124"/>
        <v>Commercial</v>
      </c>
      <c r="BF181" s="652" t="str">
        <f t="shared" ca="1" si="124"/>
        <v>OFFLGElecTotl</v>
      </c>
      <c r="BG181" s="652" t="str">
        <f t="shared" ca="1" si="124"/>
        <v>OFFSMGasHeat</v>
      </c>
      <c r="BH181" s="652" t="str">
        <f t="shared" ca="1" si="124"/>
        <v>LGE NonRes</v>
      </c>
      <c r="BI181" s="652" t="str">
        <f t="shared" ca="1" si="124"/>
        <v>LGE NonRes</v>
      </c>
      <c r="BJ181" s="652">
        <f t="shared" ca="1" si="124"/>
        <v>15</v>
      </c>
      <c r="BK181" s="652">
        <f t="shared" ca="1" si="124"/>
        <v>0</v>
      </c>
      <c r="BL181" s="652">
        <f t="shared" ca="1" si="116"/>
        <v>0</v>
      </c>
      <c r="BM181" s="652">
        <f t="shared" ca="1" si="116"/>
        <v>0</v>
      </c>
      <c r="BN181" s="652">
        <f t="shared" ca="1" si="116"/>
        <v>0</v>
      </c>
      <c r="BO181" s="652">
        <f t="shared" ca="1" si="116"/>
        <v>0</v>
      </c>
      <c r="BP181" s="652">
        <f t="shared" ca="1" si="116"/>
        <v>0</v>
      </c>
      <c r="BQ181" s="652">
        <f t="shared" ca="1" si="116"/>
        <v>0</v>
      </c>
      <c r="BR181" s="652">
        <f t="shared" ca="1" si="109"/>
        <v>1</v>
      </c>
      <c r="BS181" s="652">
        <f t="shared" ca="1" si="124"/>
        <v>37200</v>
      </c>
      <c r="BT181" s="652">
        <f t="shared" ca="1" si="124"/>
        <v>0</v>
      </c>
      <c r="BU181" s="652">
        <f t="shared" ca="1" si="124"/>
        <v>3000</v>
      </c>
      <c r="BV181" s="652">
        <f t="shared" ca="1" si="124"/>
        <v>0</v>
      </c>
      <c r="BW181" s="652">
        <f t="shared" ca="1" si="124"/>
        <v>0</v>
      </c>
      <c r="BX181" s="652">
        <f t="shared" ca="1" si="123"/>
        <v>0</v>
      </c>
      <c r="BY181" s="652">
        <f t="shared" ca="1" si="123"/>
        <v>0</v>
      </c>
    </row>
    <row r="182" spans="1:77">
      <c r="A182" s="425" t="str">
        <f t="shared" ca="1" si="108"/>
        <v>Business RebatesLG&amp;E-Commercial New Construction LEED 16+ Points &lt;25,000 sqft</v>
      </c>
      <c r="B182" s="1297" t="str">
        <f t="shared" si="101"/>
        <v>LG&amp;EBusiness Rebates</v>
      </c>
      <c r="C182" s="662" t="s">
        <v>266</v>
      </c>
      <c r="D182" s="662" t="s">
        <v>63</v>
      </c>
      <c r="E182" s="652" t="str">
        <f t="shared" ca="1" si="122"/>
        <v>LG&amp;E-Commercial New Construction LEED 16+ Points &lt;25,000 sqft</v>
      </c>
      <c r="F182" s="652" t="str">
        <f t="shared" ca="1" si="122"/>
        <v>Commercial New Construction LEED 16+ Points - LEED Energy &amp; Atmosphere, Credit 1 Category Optimize Energy Efficiency Performance</v>
      </c>
      <c r="G182" s="652" t="str">
        <f t="shared" ca="1" si="122"/>
        <v>Per Project</v>
      </c>
      <c r="H182" s="652">
        <f t="shared" ref="H182:U197" ca="1" si="127">VLOOKUP($C182,INDIRECT("'"&amp;$D182&amp;"'!A6:FR1000"),IF(H$6="Participation 2023",MATCH("__Participation 2023",INDIRECT("'"&amp;$D182&amp;"'!1:1"),0),IF(H$6="Participation",MATCH("_Total Plan Summary _Participation",INDIRECT("'"&amp;$D182&amp;"'!1:1"),0),MATCH(H$4&amp;"_"&amp;H$5&amp;"_"&amp;H$6,INDIRECT("'"&amp;$D182&amp;"'!1:1"),0))),0)</f>
        <v>0.5</v>
      </c>
      <c r="I182" s="652">
        <f t="shared" ca="1" si="127"/>
        <v>0</v>
      </c>
      <c r="J182" s="652">
        <f t="shared" ca="1" si="127"/>
        <v>0</v>
      </c>
      <c r="K182" s="652">
        <f t="shared" ca="1" si="127"/>
        <v>0.5</v>
      </c>
      <c r="L182" s="652">
        <f t="shared" ca="1" si="127"/>
        <v>0</v>
      </c>
      <c r="M182" s="652">
        <f t="shared" ca="1" si="127"/>
        <v>0</v>
      </c>
      <c r="N182" s="652">
        <f t="shared" ca="1" si="127"/>
        <v>0.5</v>
      </c>
      <c r="O182" s="652">
        <f t="shared" ca="1" si="127"/>
        <v>18600</v>
      </c>
      <c r="P182" s="652">
        <f t="shared" ca="1" si="127"/>
        <v>0</v>
      </c>
      <c r="Q182" s="652">
        <f t="shared" ca="1" si="127"/>
        <v>0</v>
      </c>
      <c r="R182" s="652">
        <f t="shared" ca="1" si="127"/>
        <v>18600</v>
      </c>
      <c r="S182" s="652">
        <f t="shared" ca="1" si="127"/>
        <v>0</v>
      </c>
      <c r="T182" s="652">
        <f t="shared" ca="1" si="127"/>
        <v>0</v>
      </c>
      <c r="U182" s="652">
        <f t="shared" ca="1" si="127"/>
        <v>18600</v>
      </c>
      <c r="V182" s="652">
        <f t="shared" ca="1" si="125"/>
        <v>0</v>
      </c>
      <c r="W182" s="652">
        <f t="shared" ca="1" si="125"/>
        <v>0</v>
      </c>
      <c r="X182" s="652">
        <f t="shared" ca="1" si="125"/>
        <v>0</v>
      </c>
      <c r="Y182" s="652">
        <f t="shared" ca="1" si="125"/>
        <v>0</v>
      </c>
      <c r="Z182" s="652">
        <f t="shared" ca="1" si="125"/>
        <v>0</v>
      </c>
      <c r="AA182" s="652">
        <f t="shared" ca="1" si="125"/>
        <v>0</v>
      </c>
      <c r="AB182" s="652">
        <f t="shared" ca="1" si="125"/>
        <v>0</v>
      </c>
      <c r="AC182" s="652">
        <f t="shared" ca="1" si="125"/>
        <v>1750</v>
      </c>
      <c r="AD182" s="652">
        <f t="shared" ca="1" si="125"/>
        <v>0</v>
      </c>
      <c r="AE182" s="652">
        <f t="shared" ca="1" si="125"/>
        <v>0</v>
      </c>
      <c r="AF182" s="652">
        <f t="shared" ca="1" si="125"/>
        <v>1750</v>
      </c>
      <c r="AG182" s="652">
        <f t="shared" ca="1" si="125"/>
        <v>0</v>
      </c>
      <c r="AH182" s="652">
        <f t="shared" ca="1" si="125"/>
        <v>0</v>
      </c>
      <c r="AI182" s="652">
        <f t="shared" ca="1" si="126"/>
        <v>1750</v>
      </c>
      <c r="AJ182" s="652">
        <f t="shared" ca="1" si="126"/>
        <v>0</v>
      </c>
      <c r="AK182" s="652">
        <f t="shared" ca="1" si="126"/>
        <v>0</v>
      </c>
      <c r="AL182" s="652">
        <f t="shared" ca="1" si="126"/>
        <v>0</v>
      </c>
      <c r="AM182" s="652">
        <f t="shared" ca="1" si="126"/>
        <v>0</v>
      </c>
      <c r="AN182" s="652">
        <f t="shared" ca="1" si="126"/>
        <v>0</v>
      </c>
      <c r="AO182" s="652">
        <f t="shared" ca="1" si="126"/>
        <v>0</v>
      </c>
      <c r="AP182" s="652">
        <f t="shared" ca="1" si="126"/>
        <v>0</v>
      </c>
      <c r="AQ182" s="652">
        <f t="shared" ca="1" si="126"/>
        <v>0</v>
      </c>
      <c r="AR182" s="652">
        <f t="shared" ca="1" si="126"/>
        <v>0</v>
      </c>
      <c r="AS182" s="652">
        <f t="shared" ca="1" si="126"/>
        <v>0</v>
      </c>
      <c r="AT182" s="652">
        <f t="shared" ca="1" si="126"/>
        <v>0</v>
      </c>
      <c r="AU182" s="652">
        <f t="shared" ca="1" si="126"/>
        <v>0</v>
      </c>
      <c r="AV182" s="652">
        <f t="shared" ca="1" si="126"/>
        <v>0</v>
      </c>
      <c r="AW182" s="652">
        <f t="shared" ca="1" si="124"/>
        <v>0</v>
      </c>
      <c r="AX182" s="652">
        <f t="shared" ca="1" si="124"/>
        <v>0</v>
      </c>
      <c r="AY182" s="652">
        <f t="shared" ca="1" si="124"/>
        <v>0</v>
      </c>
      <c r="AZ182" s="652">
        <f t="shared" ca="1" si="124"/>
        <v>0</v>
      </c>
      <c r="BA182" s="652">
        <f t="shared" ca="1" si="124"/>
        <v>0</v>
      </c>
      <c r="BB182" s="652">
        <f t="shared" ca="1" si="124"/>
        <v>0</v>
      </c>
      <c r="BC182" s="652">
        <f t="shared" ca="1" si="124"/>
        <v>0</v>
      </c>
      <c r="BD182" s="652">
        <f t="shared" ca="1" si="124"/>
        <v>0</v>
      </c>
      <c r="BE182" s="652" t="str">
        <f t="shared" ca="1" si="124"/>
        <v>Commercial</v>
      </c>
      <c r="BF182" s="652" t="str">
        <f t="shared" ca="1" si="124"/>
        <v>OFFLGElecTotl</v>
      </c>
      <c r="BG182" s="652" t="str">
        <f t="shared" ca="1" si="124"/>
        <v>OFFSMGasHeat</v>
      </c>
      <c r="BH182" s="652" t="str">
        <f t="shared" ca="1" si="124"/>
        <v>LGE NonRes</v>
      </c>
      <c r="BI182" s="652" t="str">
        <f t="shared" ca="1" si="124"/>
        <v>LGE NonRes</v>
      </c>
      <c r="BJ182" s="652">
        <f t="shared" ca="1" si="124"/>
        <v>15</v>
      </c>
      <c r="BK182" s="652">
        <f t="shared" ca="1" si="124"/>
        <v>0</v>
      </c>
      <c r="BL182" s="652">
        <f t="shared" ca="1" si="116"/>
        <v>0</v>
      </c>
      <c r="BM182" s="652">
        <f t="shared" ca="1" si="116"/>
        <v>0</v>
      </c>
      <c r="BN182" s="652">
        <f t="shared" ca="1" si="116"/>
        <v>0</v>
      </c>
      <c r="BO182" s="652">
        <f t="shared" ca="1" si="116"/>
        <v>0</v>
      </c>
      <c r="BP182" s="652">
        <f t="shared" ca="1" si="116"/>
        <v>0</v>
      </c>
      <c r="BQ182" s="652">
        <f t="shared" ca="1" si="116"/>
        <v>0</v>
      </c>
      <c r="BR182" s="652">
        <f t="shared" ca="1" si="109"/>
        <v>1.5</v>
      </c>
      <c r="BS182" s="652">
        <f t="shared" ca="1" si="124"/>
        <v>55800</v>
      </c>
      <c r="BT182" s="652">
        <f t="shared" ca="1" si="124"/>
        <v>0</v>
      </c>
      <c r="BU182" s="652">
        <f t="shared" ca="1" si="124"/>
        <v>5250</v>
      </c>
      <c r="BV182" s="652">
        <f t="shared" ca="1" si="124"/>
        <v>0</v>
      </c>
      <c r="BW182" s="652">
        <f t="shared" ca="1" si="124"/>
        <v>0</v>
      </c>
      <c r="BX182" s="652">
        <f t="shared" ca="1" si="123"/>
        <v>0</v>
      </c>
      <c r="BY182" s="652">
        <f t="shared" ca="1" si="123"/>
        <v>0</v>
      </c>
    </row>
    <row r="183" spans="1:77">
      <c r="A183" s="425" t="str">
        <f t="shared" ca="1" si="108"/>
        <v>Business RebatesLG&amp;E-Commercial New Construction LEED 1 to 5 Points ≥25,000 sqft</v>
      </c>
      <c r="B183" s="1297" t="str">
        <f t="shared" si="101"/>
        <v>LG&amp;EBusiness Rebates</v>
      </c>
      <c r="C183" s="662" t="s">
        <v>267</v>
      </c>
      <c r="D183" s="662" t="s">
        <v>63</v>
      </c>
      <c r="E183" s="652" t="str">
        <f t="shared" ref="E183:G197" ca="1" si="128">VLOOKUP($C183,INDIRECT("'"&amp;$D183&amp;"'!A6:FC1000"),IF(E$6="Participation 2023",MATCH("__Participation 2023",INDIRECT("'"&amp;$D183&amp;"'!1:1"),0),IF(E$6="Participation",MATCH("_Total Plan Summary _Participation",INDIRECT("'"&amp;$D183&amp;"'!1:1"),0),MATCH(E$4&amp;"_"&amp;E$5&amp;"_"&amp;E$6,INDIRECT("'"&amp;$D183&amp;"'!1:1"),0))),0)</f>
        <v>LG&amp;E-Commercial New Construction LEED 1 to 5 Points ≥25,000 sqft</v>
      </c>
      <c r="F183" s="652" t="str">
        <f t="shared" ca="1" si="128"/>
        <v>Commercial New Construction LEED 1 to 5 Points - LEED Energy &amp; Atmosphere, Credit 1 Category Optimize Energy Efficiency Performance</v>
      </c>
      <c r="G183" s="652" t="str">
        <f t="shared" ca="1" si="128"/>
        <v>Per Project</v>
      </c>
      <c r="H183" s="652">
        <f t="shared" ca="1" si="127"/>
        <v>0</v>
      </c>
      <c r="I183" s="652">
        <f t="shared" ca="1" si="127"/>
        <v>0.5</v>
      </c>
      <c r="J183" s="652">
        <f t="shared" ca="1" si="127"/>
        <v>0</v>
      </c>
      <c r="K183" s="652">
        <f t="shared" ca="1" si="127"/>
        <v>0</v>
      </c>
      <c r="L183" s="652">
        <f t="shared" ca="1" si="127"/>
        <v>0.5</v>
      </c>
      <c r="M183" s="652">
        <f t="shared" ca="1" si="127"/>
        <v>0</v>
      </c>
      <c r="N183" s="652">
        <f t="shared" ca="1" si="127"/>
        <v>0</v>
      </c>
      <c r="O183" s="652">
        <f t="shared" ca="1" si="127"/>
        <v>0</v>
      </c>
      <c r="P183" s="652">
        <f t="shared" ca="1" si="127"/>
        <v>18600</v>
      </c>
      <c r="Q183" s="652">
        <f t="shared" ca="1" si="127"/>
        <v>0</v>
      </c>
      <c r="R183" s="652">
        <f t="shared" ca="1" si="127"/>
        <v>0</v>
      </c>
      <c r="S183" s="652">
        <f t="shared" ca="1" si="127"/>
        <v>18600</v>
      </c>
      <c r="T183" s="652">
        <f t="shared" ca="1" si="127"/>
        <v>0</v>
      </c>
      <c r="U183" s="652">
        <f t="shared" ca="1" si="127"/>
        <v>0</v>
      </c>
      <c r="V183" s="652">
        <f t="shared" ca="1" si="125"/>
        <v>0</v>
      </c>
      <c r="W183" s="652">
        <f t="shared" ca="1" si="125"/>
        <v>0</v>
      </c>
      <c r="X183" s="652">
        <f t="shared" ca="1" si="125"/>
        <v>0</v>
      </c>
      <c r="Y183" s="652">
        <f t="shared" ca="1" si="125"/>
        <v>0</v>
      </c>
      <c r="Z183" s="652">
        <f t="shared" ca="1" si="125"/>
        <v>0</v>
      </c>
      <c r="AA183" s="652">
        <f t="shared" ca="1" si="125"/>
        <v>0</v>
      </c>
      <c r="AB183" s="652">
        <f t="shared" ca="1" si="125"/>
        <v>0</v>
      </c>
      <c r="AC183" s="652">
        <f t="shared" ca="1" si="125"/>
        <v>0</v>
      </c>
      <c r="AD183" s="652">
        <f t="shared" ca="1" si="125"/>
        <v>2000</v>
      </c>
      <c r="AE183" s="652">
        <f t="shared" ca="1" si="125"/>
        <v>0</v>
      </c>
      <c r="AF183" s="652">
        <f t="shared" ca="1" si="125"/>
        <v>0</v>
      </c>
      <c r="AG183" s="652">
        <f t="shared" ca="1" si="125"/>
        <v>2000</v>
      </c>
      <c r="AH183" s="652">
        <f t="shared" ca="1" si="125"/>
        <v>0</v>
      </c>
      <c r="AI183" s="652">
        <f t="shared" ca="1" si="126"/>
        <v>0</v>
      </c>
      <c r="AJ183" s="652">
        <f t="shared" ca="1" si="126"/>
        <v>0</v>
      </c>
      <c r="AK183" s="652">
        <f t="shared" ca="1" si="126"/>
        <v>0</v>
      </c>
      <c r="AL183" s="652">
        <f t="shared" ca="1" si="126"/>
        <v>0</v>
      </c>
      <c r="AM183" s="652">
        <f t="shared" ca="1" si="126"/>
        <v>0</v>
      </c>
      <c r="AN183" s="652">
        <f t="shared" ca="1" si="126"/>
        <v>0</v>
      </c>
      <c r="AO183" s="652">
        <f t="shared" ca="1" si="126"/>
        <v>0</v>
      </c>
      <c r="AP183" s="652">
        <f t="shared" ca="1" si="126"/>
        <v>0</v>
      </c>
      <c r="AQ183" s="652">
        <f t="shared" ca="1" si="126"/>
        <v>0</v>
      </c>
      <c r="AR183" s="652">
        <f t="shared" ca="1" si="126"/>
        <v>0</v>
      </c>
      <c r="AS183" s="652">
        <f t="shared" ca="1" si="126"/>
        <v>0</v>
      </c>
      <c r="AT183" s="652">
        <f t="shared" ca="1" si="126"/>
        <v>0</v>
      </c>
      <c r="AU183" s="652">
        <f t="shared" ca="1" si="126"/>
        <v>0</v>
      </c>
      <c r="AV183" s="652">
        <f t="shared" ca="1" si="126"/>
        <v>0</v>
      </c>
      <c r="AW183" s="652">
        <f t="shared" ca="1" si="124"/>
        <v>0</v>
      </c>
      <c r="AX183" s="652">
        <f t="shared" ca="1" si="124"/>
        <v>0</v>
      </c>
      <c r="AY183" s="652">
        <f t="shared" ca="1" si="124"/>
        <v>0</v>
      </c>
      <c r="AZ183" s="652">
        <f t="shared" ca="1" si="124"/>
        <v>0</v>
      </c>
      <c r="BA183" s="652">
        <f t="shared" ca="1" si="124"/>
        <v>0</v>
      </c>
      <c r="BB183" s="652">
        <f t="shared" ca="1" si="124"/>
        <v>0</v>
      </c>
      <c r="BC183" s="652">
        <f t="shared" ca="1" si="124"/>
        <v>0</v>
      </c>
      <c r="BD183" s="652">
        <f t="shared" ca="1" si="124"/>
        <v>0</v>
      </c>
      <c r="BE183" s="652" t="str">
        <f t="shared" ca="1" si="124"/>
        <v>Commercial</v>
      </c>
      <c r="BF183" s="652" t="str">
        <f t="shared" ca="1" si="124"/>
        <v>OFFLGElecTotl</v>
      </c>
      <c r="BG183" s="652" t="str">
        <f t="shared" ca="1" si="124"/>
        <v>OFFSMGasHeat</v>
      </c>
      <c r="BH183" s="652" t="str">
        <f t="shared" ca="1" si="124"/>
        <v>LGE NonRes</v>
      </c>
      <c r="BI183" s="652" t="str">
        <f t="shared" ca="1" si="124"/>
        <v>LGE NonRes</v>
      </c>
      <c r="BJ183" s="652">
        <f t="shared" ca="1" si="124"/>
        <v>15</v>
      </c>
      <c r="BK183" s="652">
        <f t="shared" ca="1" si="124"/>
        <v>0</v>
      </c>
      <c r="BL183" s="652">
        <f t="shared" ca="1" si="116"/>
        <v>0</v>
      </c>
      <c r="BM183" s="652">
        <f t="shared" ca="1" si="116"/>
        <v>0</v>
      </c>
      <c r="BN183" s="652">
        <f t="shared" ca="1" si="116"/>
        <v>0</v>
      </c>
      <c r="BO183" s="652">
        <f t="shared" ca="1" si="116"/>
        <v>0</v>
      </c>
      <c r="BP183" s="652">
        <f t="shared" ca="1" si="116"/>
        <v>0</v>
      </c>
      <c r="BQ183" s="652">
        <f t="shared" ca="1" si="116"/>
        <v>0</v>
      </c>
      <c r="BR183" s="652">
        <f t="shared" ca="1" si="109"/>
        <v>1</v>
      </c>
      <c r="BS183" s="652">
        <f t="shared" ca="1" si="124"/>
        <v>37200</v>
      </c>
      <c r="BT183" s="652">
        <f t="shared" ca="1" si="124"/>
        <v>0</v>
      </c>
      <c r="BU183" s="652">
        <f t="shared" ca="1" si="124"/>
        <v>4000</v>
      </c>
      <c r="BV183" s="652">
        <f t="shared" ca="1" si="124"/>
        <v>0</v>
      </c>
      <c r="BW183" s="652">
        <f t="shared" ca="1" si="124"/>
        <v>0</v>
      </c>
      <c r="BX183" s="652">
        <f t="shared" ca="1" si="123"/>
        <v>0</v>
      </c>
      <c r="BY183" s="652">
        <f t="shared" ca="1" si="123"/>
        <v>0</v>
      </c>
    </row>
    <row r="184" spans="1:77">
      <c r="A184" s="425" t="str">
        <f t="shared" ca="1" si="108"/>
        <v>Business RebatesLG&amp;E-Commercial New Construction LEED 6 to 10 Points ≥25,000 sqft</v>
      </c>
      <c r="B184" s="1297" t="str">
        <f t="shared" si="101"/>
        <v>LG&amp;EBusiness Rebates</v>
      </c>
      <c r="C184" s="662" t="s">
        <v>268</v>
      </c>
      <c r="D184" s="662" t="s">
        <v>63</v>
      </c>
      <c r="E184" s="652" t="str">
        <f t="shared" ca="1" si="128"/>
        <v>LG&amp;E-Commercial New Construction LEED 6 to 10 Points ≥25,000 sqft</v>
      </c>
      <c r="F184" s="652" t="str">
        <f t="shared" ca="1" si="128"/>
        <v>Commercial New Construction LEED 6 to 10 Points - LEED Energy &amp; Atmosphere, Credit 1 Category Optimize Energy Efficiency Performance</v>
      </c>
      <c r="G184" s="652" t="str">
        <f t="shared" ca="1" si="128"/>
        <v>Per Project</v>
      </c>
      <c r="H184" s="652">
        <f t="shared" ca="1" si="127"/>
        <v>0</v>
      </c>
      <c r="I184" s="652">
        <f t="shared" ca="1" si="127"/>
        <v>0.5</v>
      </c>
      <c r="J184" s="652">
        <f t="shared" ca="1" si="127"/>
        <v>0</v>
      </c>
      <c r="K184" s="652">
        <f t="shared" ca="1" si="127"/>
        <v>0.5</v>
      </c>
      <c r="L184" s="652">
        <f t="shared" ca="1" si="127"/>
        <v>0</v>
      </c>
      <c r="M184" s="652">
        <f t="shared" ca="1" si="127"/>
        <v>0.5</v>
      </c>
      <c r="N184" s="652">
        <f t="shared" ca="1" si="127"/>
        <v>0</v>
      </c>
      <c r="O184" s="652">
        <f t="shared" ca="1" si="127"/>
        <v>0</v>
      </c>
      <c r="P184" s="652">
        <f t="shared" ca="1" si="127"/>
        <v>18600</v>
      </c>
      <c r="Q184" s="652">
        <f t="shared" ca="1" si="127"/>
        <v>0</v>
      </c>
      <c r="R184" s="652">
        <f t="shared" ca="1" si="127"/>
        <v>18600</v>
      </c>
      <c r="S184" s="652">
        <f t="shared" ca="1" si="127"/>
        <v>0</v>
      </c>
      <c r="T184" s="652">
        <f t="shared" ca="1" si="127"/>
        <v>18600</v>
      </c>
      <c r="U184" s="652">
        <f t="shared" ca="1" si="127"/>
        <v>0</v>
      </c>
      <c r="V184" s="652">
        <f t="shared" ca="1" si="125"/>
        <v>0</v>
      </c>
      <c r="W184" s="652">
        <f t="shared" ca="1" si="125"/>
        <v>0</v>
      </c>
      <c r="X184" s="652">
        <f t="shared" ca="1" si="125"/>
        <v>0</v>
      </c>
      <c r="Y184" s="652">
        <f t="shared" ca="1" si="125"/>
        <v>0</v>
      </c>
      <c r="Z184" s="652">
        <f t="shared" ca="1" si="125"/>
        <v>0</v>
      </c>
      <c r="AA184" s="652">
        <f t="shared" ca="1" si="125"/>
        <v>0</v>
      </c>
      <c r="AB184" s="652">
        <f t="shared" ca="1" si="125"/>
        <v>0</v>
      </c>
      <c r="AC184" s="652">
        <f t="shared" ca="1" si="125"/>
        <v>0</v>
      </c>
      <c r="AD184" s="652">
        <f t="shared" ca="1" si="125"/>
        <v>3000</v>
      </c>
      <c r="AE184" s="652">
        <f t="shared" ca="1" si="125"/>
        <v>0</v>
      </c>
      <c r="AF184" s="652">
        <f t="shared" ca="1" si="125"/>
        <v>3000</v>
      </c>
      <c r="AG184" s="652">
        <f t="shared" ca="1" si="125"/>
        <v>0</v>
      </c>
      <c r="AH184" s="652">
        <f t="shared" ca="1" si="125"/>
        <v>3000</v>
      </c>
      <c r="AI184" s="652">
        <f t="shared" ca="1" si="126"/>
        <v>0</v>
      </c>
      <c r="AJ184" s="652">
        <f t="shared" ca="1" si="126"/>
        <v>0</v>
      </c>
      <c r="AK184" s="652">
        <f t="shared" ca="1" si="126"/>
        <v>0</v>
      </c>
      <c r="AL184" s="652">
        <f t="shared" ca="1" si="126"/>
        <v>0</v>
      </c>
      <c r="AM184" s="652">
        <f t="shared" ca="1" si="126"/>
        <v>0</v>
      </c>
      <c r="AN184" s="652">
        <f t="shared" ca="1" si="126"/>
        <v>0</v>
      </c>
      <c r="AO184" s="652">
        <f t="shared" ca="1" si="126"/>
        <v>0</v>
      </c>
      <c r="AP184" s="652">
        <f t="shared" ca="1" si="126"/>
        <v>0</v>
      </c>
      <c r="AQ184" s="652">
        <f t="shared" ca="1" si="126"/>
        <v>0</v>
      </c>
      <c r="AR184" s="652">
        <f t="shared" ca="1" si="126"/>
        <v>0</v>
      </c>
      <c r="AS184" s="652">
        <f t="shared" ca="1" si="126"/>
        <v>0</v>
      </c>
      <c r="AT184" s="652">
        <f t="shared" ca="1" si="126"/>
        <v>0</v>
      </c>
      <c r="AU184" s="652">
        <f t="shared" ca="1" si="126"/>
        <v>0</v>
      </c>
      <c r="AV184" s="652">
        <f t="shared" ca="1" si="126"/>
        <v>0</v>
      </c>
      <c r="AW184" s="652">
        <f t="shared" ca="1" si="124"/>
        <v>0</v>
      </c>
      <c r="AX184" s="652">
        <f t="shared" ca="1" si="124"/>
        <v>0</v>
      </c>
      <c r="AY184" s="652">
        <f t="shared" ca="1" si="124"/>
        <v>0</v>
      </c>
      <c r="AZ184" s="652">
        <f t="shared" ca="1" si="124"/>
        <v>0</v>
      </c>
      <c r="BA184" s="652">
        <f t="shared" ca="1" si="124"/>
        <v>0</v>
      </c>
      <c r="BB184" s="652">
        <f t="shared" ca="1" si="124"/>
        <v>0</v>
      </c>
      <c r="BC184" s="652">
        <f t="shared" ca="1" si="124"/>
        <v>0</v>
      </c>
      <c r="BD184" s="652">
        <f t="shared" ca="1" si="124"/>
        <v>0</v>
      </c>
      <c r="BE184" s="652" t="str">
        <f t="shared" ca="1" si="124"/>
        <v>Commercial</v>
      </c>
      <c r="BF184" s="652" t="str">
        <f t="shared" ca="1" si="124"/>
        <v>OFFLGElecTotl</v>
      </c>
      <c r="BG184" s="652" t="str">
        <f t="shared" ca="1" si="124"/>
        <v>OFFSMGasHeat</v>
      </c>
      <c r="BH184" s="652" t="str">
        <f t="shared" ca="1" si="124"/>
        <v>LGE NonRes</v>
      </c>
      <c r="BI184" s="652" t="str">
        <f t="shared" ca="1" si="124"/>
        <v>LGE NonRes</v>
      </c>
      <c r="BJ184" s="652">
        <f t="shared" ca="1" si="124"/>
        <v>15</v>
      </c>
      <c r="BK184" s="652">
        <f t="shared" ca="1" si="124"/>
        <v>0</v>
      </c>
      <c r="BL184" s="652">
        <f t="shared" ca="1" si="116"/>
        <v>0</v>
      </c>
      <c r="BM184" s="652">
        <f t="shared" ca="1" si="116"/>
        <v>0</v>
      </c>
      <c r="BN184" s="652">
        <f t="shared" ca="1" si="116"/>
        <v>0</v>
      </c>
      <c r="BO184" s="652">
        <f t="shared" ca="1" si="116"/>
        <v>0</v>
      </c>
      <c r="BP184" s="652">
        <f t="shared" ca="1" si="116"/>
        <v>0</v>
      </c>
      <c r="BQ184" s="652">
        <f t="shared" ca="1" si="116"/>
        <v>0</v>
      </c>
      <c r="BR184" s="652">
        <f t="shared" ca="1" si="109"/>
        <v>1.5</v>
      </c>
      <c r="BS184" s="652">
        <f t="shared" ca="1" si="124"/>
        <v>55800</v>
      </c>
      <c r="BT184" s="652">
        <f t="shared" ca="1" si="124"/>
        <v>0</v>
      </c>
      <c r="BU184" s="652">
        <f t="shared" ca="1" si="124"/>
        <v>9000</v>
      </c>
      <c r="BV184" s="652">
        <f t="shared" ca="1" si="124"/>
        <v>0</v>
      </c>
      <c r="BW184" s="652">
        <f t="shared" ca="1" si="124"/>
        <v>0</v>
      </c>
      <c r="BX184" s="652">
        <f t="shared" ca="1" si="123"/>
        <v>0</v>
      </c>
      <c r="BY184" s="652">
        <f t="shared" ca="1" si="123"/>
        <v>0</v>
      </c>
    </row>
    <row r="185" spans="1:77">
      <c r="A185" s="425" t="str">
        <f t="shared" ca="1" si="108"/>
        <v>Business RebatesLG&amp;E-Commercial New Construction LEED 11 to 15 Points ≥25,000 sqft</v>
      </c>
      <c r="B185" s="1297" t="str">
        <f t="shared" si="101"/>
        <v>LG&amp;EBusiness Rebates</v>
      </c>
      <c r="C185" s="662" t="s">
        <v>269</v>
      </c>
      <c r="D185" s="662" t="s">
        <v>63</v>
      </c>
      <c r="E185" s="652" t="str">
        <f t="shared" ca="1" si="128"/>
        <v>LG&amp;E-Commercial New Construction LEED 11 to 15 Points ≥25,000 sqft</v>
      </c>
      <c r="F185" s="652" t="str">
        <f t="shared" ca="1" si="128"/>
        <v>Commercial New Construction LEED 11 to 15 Points - LEED Energy &amp; Atmosphere, Credit 1 Category Optimize Energy Efficiency Performance</v>
      </c>
      <c r="G185" s="652" t="str">
        <f t="shared" ca="1" si="128"/>
        <v>Per Project</v>
      </c>
      <c r="H185" s="652">
        <f t="shared" ca="1" si="127"/>
        <v>0.5</v>
      </c>
      <c r="I185" s="652">
        <f t="shared" ca="1" si="127"/>
        <v>0</v>
      </c>
      <c r="J185" s="652">
        <f t="shared" ca="1" si="127"/>
        <v>0.5</v>
      </c>
      <c r="K185" s="652">
        <f t="shared" ca="1" si="127"/>
        <v>0</v>
      </c>
      <c r="L185" s="652">
        <f t="shared" ca="1" si="127"/>
        <v>0.5</v>
      </c>
      <c r="M185" s="652">
        <f t="shared" ca="1" si="127"/>
        <v>0</v>
      </c>
      <c r="N185" s="652">
        <f t="shared" ca="1" si="127"/>
        <v>0.5</v>
      </c>
      <c r="O185" s="652">
        <f t="shared" ca="1" si="127"/>
        <v>18600</v>
      </c>
      <c r="P185" s="652">
        <f t="shared" ca="1" si="127"/>
        <v>0</v>
      </c>
      <c r="Q185" s="652">
        <f t="shared" ca="1" si="127"/>
        <v>18600</v>
      </c>
      <c r="R185" s="652">
        <f t="shared" ca="1" si="127"/>
        <v>0</v>
      </c>
      <c r="S185" s="652">
        <f t="shared" ca="1" si="127"/>
        <v>18600</v>
      </c>
      <c r="T185" s="652">
        <f t="shared" ca="1" si="127"/>
        <v>0</v>
      </c>
      <c r="U185" s="652">
        <f t="shared" ca="1" si="127"/>
        <v>18600</v>
      </c>
      <c r="V185" s="652">
        <f t="shared" ca="1" si="125"/>
        <v>0</v>
      </c>
      <c r="W185" s="652">
        <f t="shared" ca="1" si="125"/>
        <v>0</v>
      </c>
      <c r="X185" s="652">
        <f t="shared" ca="1" si="125"/>
        <v>0</v>
      </c>
      <c r="Y185" s="652">
        <f t="shared" ca="1" si="125"/>
        <v>0</v>
      </c>
      <c r="Z185" s="652">
        <f t="shared" ca="1" si="125"/>
        <v>0</v>
      </c>
      <c r="AA185" s="652">
        <f t="shared" ca="1" si="125"/>
        <v>0</v>
      </c>
      <c r="AB185" s="652">
        <f t="shared" ca="1" si="125"/>
        <v>0</v>
      </c>
      <c r="AC185" s="652">
        <f t="shared" ca="1" si="125"/>
        <v>4000</v>
      </c>
      <c r="AD185" s="652">
        <f t="shared" ca="1" si="125"/>
        <v>0</v>
      </c>
      <c r="AE185" s="652">
        <f t="shared" ca="1" si="125"/>
        <v>4000</v>
      </c>
      <c r="AF185" s="652">
        <f t="shared" ca="1" si="125"/>
        <v>0</v>
      </c>
      <c r="AG185" s="652">
        <f t="shared" ca="1" si="125"/>
        <v>4000</v>
      </c>
      <c r="AH185" s="652">
        <f t="shared" ca="1" si="125"/>
        <v>0</v>
      </c>
      <c r="AI185" s="652">
        <f t="shared" ca="1" si="126"/>
        <v>4000</v>
      </c>
      <c r="AJ185" s="652">
        <f t="shared" ca="1" si="126"/>
        <v>0</v>
      </c>
      <c r="AK185" s="652">
        <f t="shared" ca="1" si="126"/>
        <v>0</v>
      </c>
      <c r="AL185" s="652">
        <f t="shared" ca="1" si="126"/>
        <v>0</v>
      </c>
      <c r="AM185" s="652">
        <f t="shared" ca="1" si="126"/>
        <v>0</v>
      </c>
      <c r="AN185" s="652">
        <f t="shared" ca="1" si="126"/>
        <v>0</v>
      </c>
      <c r="AO185" s="652">
        <f t="shared" ca="1" si="126"/>
        <v>0</v>
      </c>
      <c r="AP185" s="652">
        <f t="shared" ca="1" si="126"/>
        <v>0</v>
      </c>
      <c r="AQ185" s="652">
        <f t="shared" ca="1" si="126"/>
        <v>0</v>
      </c>
      <c r="AR185" s="652">
        <f t="shared" ca="1" si="126"/>
        <v>0</v>
      </c>
      <c r="AS185" s="652">
        <f t="shared" ca="1" si="126"/>
        <v>0</v>
      </c>
      <c r="AT185" s="652">
        <f t="shared" ca="1" si="126"/>
        <v>0</v>
      </c>
      <c r="AU185" s="652">
        <f t="shared" ca="1" si="126"/>
        <v>0</v>
      </c>
      <c r="AV185" s="652">
        <f t="shared" ca="1" si="126"/>
        <v>0</v>
      </c>
      <c r="AW185" s="652">
        <f t="shared" ca="1" si="124"/>
        <v>0</v>
      </c>
      <c r="AX185" s="652">
        <f t="shared" ca="1" si="124"/>
        <v>0</v>
      </c>
      <c r="AY185" s="652">
        <f t="shared" ca="1" si="124"/>
        <v>0</v>
      </c>
      <c r="AZ185" s="652">
        <f t="shared" ca="1" si="124"/>
        <v>0</v>
      </c>
      <c r="BA185" s="652">
        <f t="shared" ca="1" si="124"/>
        <v>0</v>
      </c>
      <c r="BB185" s="652">
        <f t="shared" ca="1" si="124"/>
        <v>0</v>
      </c>
      <c r="BC185" s="652">
        <f t="shared" ca="1" si="124"/>
        <v>0</v>
      </c>
      <c r="BD185" s="652">
        <f t="shared" ca="1" si="124"/>
        <v>0</v>
      </c>
      <c r="BE185" s="652" t="str">
        <f t="shared" ca="1" si="124"/>
        <v>Commercial</v>
      </c>
      <c r="BF185" s="652" t="str">
        <f t="shared" ca="1" si="124"/>
        <v>OFFLGElecTotl</v>
      </c>
      <c r="BG185" s="652" t="str">
        <f t="shared" ca="1" si="124"/>
        <v>OFFSMGasHeat</v>
      </c>
      <c r="BH185" s="652" t="str">
        <f t="shared" ca="1" si="124"/>
        <v>LGE NonRes</v>
      </c>
      <c r="BI185" s="652" t="str">
        <f t="shared" ca="1" si="124"/>
        <v>LGE NonRes</v>
      </c>
      <c r="BJ185" s="652">
        <f t="shared" ca="1" si="124"/>
        <v>15</v>
      </c>
      <c r="BK185" s="652">
        <f t="shared" ca="1" si="124"/>
        <v>0</v>
      </c>
      <c r="BL185" s="652">
        <f t="shared" ca="1" si="116"/>
        <v>0</v>
      </c>
      <c r="BM185" s="652">
        <f t="shared" ca="1" si="116"/>
        <v>0</v>
      </c>
      <c r="BN185" s="652">
        <f t="shared" ca="1" si="116"/>
        <v>0</v>
      </c>
      <c r="BO185" s="652">
        <f t="shared" ca="1" si="116"/>
        <v>0</v>
      </c>
      <c r="BP185" s="652">
        <f t="shared" ca="1" si="116"/>
        <v>0</v>
      </c>
      <c r="BQ185" s="652">
        <f t="shared" ca="1" si="116"/>
        <v>0</v>
      </c>
      <c r="BR185" s="652">
        <f t="shared" ca="1" si="109"/>
        <v>2</v>
      </c>
      <c r="BS185" s="652">
        <f t="shared" ca="1" si="124"/>
        <v>74400</v>
      </c>
      <c r="BT185" s="652">
        <f t="shared" ca="1" si="124"/>
        <v>0</v>
      </c>
      <c r="BU185" s="652">
        <f t="shared" ca="1" si="124"/>
        <v>16000</v>
      </c>
      <c r="BV185" s="652">
        <f t="shared" ca="1" si="124"/>
        <v>0</v>
      </c>
      <c r="BW185" s="652">
        <f t="shared" ca="1" si="124"/>
        <v>0</v>
      </c>
      <c r="BX185" s="652">
        <f t="shared" ca="1" si="123"/>
        <v>0</v>
      </c>
      <c r="BY185" s="652">
        <f t="shared" ca="1" si="123"/>
        <v>0</v>
      </c>
    </row>
    <row r="186" spans="1:77">
      <c r="A186" s="425" t="str">
        <f t="shared" ca="1" si="108"/>
        <v>Business RebatesLG&amp;E-Commercial New Construction LEED 16+ Points ≥25,000 sqft</v>
      </c>
      <c r="B186" s="1297" t="str">
        <f t="shared" si="101"/>
        <v>LG&amp;EBusiness Rebates</v>
      </c>
      <c r="C186" s="662" t="s">
        <v>270</v>
      </c>
      <c r="D186" s="662" t="s">
        <v>63</v>
      </c>
      <c r="E186" s="652" t="str">
        <f t="shared" ca="1" si="128"/>
        <v>LG&amp;E-Commercial New Construction LEED 16+ Points ≥25,000 sqft</v>
      </c>
      <c r="F186" s="652" t="str">
        <f t="shared" ca="1" si="128"/>
        <v>Commercial New Construction LEED 16+ Points - LEED Energy &amp; Atmosphere, Credit 1 Category Optimize Energy Efficiency Performance</v>
      </c>
      <c r="G186" s="652" t="str">
        <f t="shared" ca="1" si="128"/>
        <v>Per Project</v>
      </c>
      <c r="H186" s="652">
        <f t="shared" ca="1" si="127"/>
        <v>0</v>
      </c>
      <c r="I186" s="652">
        <f t="shared" ca="1" si="127"/>
        <v>0</v>
      </c>
      <c r="J186" s="652">
        <f t="shared" ca="1" si="127"/>
        <v>0.5</v>
      </c>
      <c r="K186" s="652">
        <f t="shared" ca="1" si="127"/>
        <v>0</v>
      </c>
      <c r="L186" s="652">
        <f t="shared" ca="1" si="127"/>
        <v>0</v>
      </c>
      <c r="M186" s="652">
        <f t="shared" ca="1" si="127"/>
        <v>0.5</v>
      </c>
      <c r="N186" s="652">
        <f t="shared" ca="1" si="127"/>
        <v>0</v>
      </c>
      <c r="O186" s="652">
        <f t="shared" ca="1" si="127"/>
        <v>0</v>
      </c>
      <c r="P186" s="652">
        <f t="shared" ca="1" si="127"/>
        <v>0</v>
      </c>
      <c r="Q186" s="652">
        <f t="shared" ca="1" si="127"/>
        <v>18600</v>
      </c>
      <c r="R186" s="652">
        <f t="shared" ca="1" si="127"/>
        <v>0</v>
      </c>
      <c r="S186" s="652">
        <f t="shared" ca="1" si="127"/>
        <v>0</v>
      </c>
      <c r="T186" s="652">
        <f t="shared" ca="1" si="127"/>
        <v>18600</v>
      </c>
      <c r="U186" s="652">
        <f t="shared" ca="1" si="127"/>
        <v>0</v>
      </c>
      <c r="V186" s="652">
        <f t="shared" ca="1" si="125"/>
        <v>0</v>
      </c>
      <c r="W186" s="652">
        <f t="shared" ca="1" si="125"/>
        <v>0</v>
      </c>
      <c r="X186" s="652">
        <f t="shared" ca="1" si="125"/>
        <v>0</v>
      </c>
      <c r="Y186" s="652">
        <f t="shared" ca="1" si="125"/>
        <v>0</v>
      </c>
      <c r="Z186" s="652">
        <f t="shared" ca="1" si="125"/>
        <v>0</v>
      </c>
      <c r="AA186" s="652">
        <f t="shared" ca="1" si="125"/>
        <v>0</v>
      </c>
      <c r="AB186" s="652">
        <f t="shared" ca="1" si="125"/>
        <v>0</v>
      </c>
      <c r="AC186" s="652">
        <f t="shared" ca="1" si="125"/>
        <v>0</v>
      </c>
      <c r="AD186" s="652">
        <f t="shared" ca="1" si="125"/>
        <v>0</v>
      </c>
      <c r="AE186" s="652">
        <f t="shared" ca="1" si="125"/>
        <v>5000</v>
      </c>
      <c r="AF186" s="652">
        <f t="shared" ca="1" si="125"/>
        <v>0</v>
      </c>
      <c r="AG186" s="652">
        <f t="shared" ca="1" si="125"/>
        <v>0</v>
      </c>
      <c r="AH186" s="652">
        <f t="shared" ca="1" si="125"/>
        <v>5000</v>
      </c>
      <c r="AI186" s="652">
        <f t="shared" ca="1" si="126"/>
        <v>0</v>
      </c>
      <c r="AJ186" s="652">
        <f t="shared" ca="1" si="126"/>
        <v>0</v>
      </c>
      <c r="AK186" s="652">
        <f t="shared" ca="1" si="126"/>
        <v>0</v>
      </c>
      <c r="AL186" s="652">
        <f t="shared" ca="1" si="126"/>
        <v>0</v>
      </c>
      <c r="AM186" s="652">
        <f t="shared" ca="1" si="126"/>
        <v>0</v>
      </c>
      <c r="AN186" s="652">
        <f t="shared" ca="1" si="126"/>
        <v>0</v>
      </c>
      <c r="AO186" s="652">
        <f t="shared" ca="1" si="126"/>
        <v>0</v>
      </c>
      <c r="AP186" s="652">
        <f t="shared" ca="1" si="126"/>
        <v>0</v>
      </c>
      <c r="AQ186" s="652">
        <f t="shared" ca="1" si="126"/>
        <v>0</v>
      </c>
      <c r="AR186" s="652">
        <f t="shared" ca="1" si="126"/>
        <v>0</v>
      </c>
      <c r="AS186" s="652">
        <f t="shared" ca="1" si="126"/>
        <v>0</v>
      </c>
      <c r="AT186" s="652">
        <f t="shared" ca="1" si="126"/>
        <v>0</v>
      </c>
      <c r="AU186" s="652">
        <f t="shared" ca="1" si="126"/>
        <v>0</v>
      </c>
      <c r="AV186" s="652">
        <f t="shared" ca="1" si="126"/>
        <v>0</v>
      </c>
      <c r="AW186" s="652">
        <f t="shared" ca="1" si="124"/>
        <v>0</v>
      </c>
      <c r="AX186" s="652">
        <f t="shared" ca="1" si="124"/>
        <v>0</v>
      </c>
      <c r="AY186" s="652">
        <f t="shared" ca="1" si="124"/>
        <v>0</v>
      </c>
      <c r="AZ186" s="652">
        <f t="shared" ca="1" si="124"/>
        <v>0</v>
      </c>
      <c r="BA186" s="652">
        <f t="shared" ca="1" si="124"/>
        <v>0</v>
      </c>
      <c r="BB186" s="652">
        <f t="shared" ca="1" si="124"/>
        <v>0</v>
      </c>
      <c r="BC186" s="652">
        <f t="shared" ca="1" si="124"/>
        <v>0</v>
      </c>
      <c r="BD186" s="652">
        <f t="shared" ca="1" si="124"/>
        <v>0</v>
      </c>
      <c r="BE186" s="652" t="str">
        <f t="shared" ca="1" si="124"/>
        <v>Commercial</v>
      </c>
      <c r="BF186" s="652" t="str">
        <f t="shared" ca="1" si="124"/>
        <v>OFFLGElecTotl</v>
      </c>
      <c r="BG186" s="652" t="str">
        <f t="shared" ca="1" si="124"/>
        <v>OFFSMGasHeat</v>
      </c>
      <c r="BH186" s="652" t="str">
        <f t="shared" ca="1" si="124"/>
        <v>LGE NonRes</v>
      </c>
      <c r="BI186" s="652" t="str">
        <f t="shared" ca="1" si="124"/>
        <v>LGE NonRes</v>
      </c>
      <c r="BJ186" s="652">
        <f t="shared" ca="1" si="124"/>
        <v>15</v>
      </c>
      <c r="BK186" s="652">
        <f t="shared" ca="1" si="124"/>
        <v>0</v>
      </c>
      <c r="BL186" s="652">
        <f t="shared" ca="1" si="116"/>
        <v>0</v>
      </c>
      <c r="BM186" s="652">
        <f t="shared" ca="1" si="116"/>
        <v>0</v>
      </c>
      <c r="BN186" s="652">
        <f t="shared" ca="1" si="116"/>
        <v>0</v>
      </c>
      <c r="BO186" s="652">
        <f t="shared" ca="1" si="116"/>
        <v>0</v>
      </c>
      <c r="BP186" s="652">
        <f t="shared" ca="1" si="116"/>
        <v>0</v>
      </c>
      <c r="BQ186" s="652">
        <f t="shared" ca="1" si="116"/>
        <v>0</v>
      </c>
      <c r="BR186" s="652">
        <f t="shared" ca="1" si="109"/>
        <v>1</v>
      </c>
      <c r="BS186" s="652">
        <f t="shared" ca="1" si="124"/>
        <v>37200</v>
      </c>
      <c r="BT186" s="652">
        <f t="shared" ca="1" si="124"/>
        <v>0</v>
      </c>
      <c r="BU186" s="652">
        <f t="shared" ca="1" si="124"/>
        <v>10000</v>
      </c>
      <c r="BV186" s="652">
        <f t="shared" ca="1" si="124"/>
        <v>0</v>
      </c>
      <c r="BW186" s="652">
        <f t="shared" ca="1" si="124"/>
        <v>0</v>
      </c>
      <c r="BX186" s="652">
        <f t="shared" ca="1" si="123"/>
        <v>0</v>
      </c>
      <c r="BY186" s="652">
        <f t="shared" ca="1" si="123"/>
        <v>0</v>
      </c>
    </row>
    <row r="187" spans="1:77">
      <c r="A187" s="425" t="str">
        <f t="shared" ca="1" si="108"/>
        <v>Business RebatesLG&amp;E-LED Troffer</v>
      </c>
      <c r="B187" s="1297" t="str">
        <f t="shared" si="101"/>
        <v>LG&amp;EBusiness Rebates</v>
      </c>
      <c r="C187" s="662" t="s">
        <v>271</v>
      </c>
      <c r="D187" s="662" t="s">
        <v>63</v>
      </c>
      <c r="E187" s="652" t="str">
        <f t="shared" ca="1" si="128"/>
        <v>LG&amp;E-LED Troffer</v>
      </c>
      <c r="F187" s="652" t="str">
        <f t="shared" ca="1" si="128"/>
        <v>Any LED lamps or ballasts must also be ENERGY STAR® certified or listed on the Design Lights Consortium (DLC) qualified list.</v>
      </c>
      <c r="G187" s="652" t="str">
        <f t="shared" ca="1" si="128"/>
        <v>Per Unit</v>
      </c>
      <c r="H187" s="652">
        <f t="shared" ca="1" si="127"/>
        <v>0.5</v>
      </c>
      <c r="I187" s="652">
        <f t="shared" ca="1" si="127"/>
        <v>0.5</v>
      </c>
      <c r="J187" s="652">
        <f t="shared" ca="1" si="127"/>
        <v>0.1</v>
      </c>
      <c r="K187" s="652">
        <f t="shared" ca="1" si="127"/>
        <v>0</v>
      </c>
      <c r="L187" s="652">
        <f t="shared" ca="1" si="127"/>
        <v>0</v>
      </c>
      <c r="M187" s="652">
        <f t="shared" ca="1" si="127"/>
        <v>0</v>
      </c>
      <c r="N187" s="652">
        <f t="shared" ca="1" si="127"/>
        <v>0</v>
      </c>
      <c r="O187" s="652">
        <f t="shared" ca="1" si="127"/>
        <v>33.5625</v>
      </c>
      <c r="P187" s="652">
        <f t="shared" ca="1" si="127"/>
        <v>33.5625</v>
      </c>
      <c r="Q187" s="652">
        <f t="shared" ca="1" si="127"/>
        <v>6.7125000000000004</v>
      </c>
      <c r="R187" s="652">
        <f t="shared" ca="1" si="127"/>
        <v>0</v>
      </c>
      <c r="S187" s="652">
        <f t="shared" ca="1" si="127"/>
        <v>0</v>
      </c>
      <c r="T187" s="652">
        <f t="shared" ca="1" si="127"/>
        <v>0</v>
      </c>
      <c r="U187" s="652">
        <f t="shared" ca="1" si="127"/>
        <v>0</v>
      </c>
      <c r="V187" s="652">
        <f t="shared" ca="1" si="125"/>
        <v>0</v>
      </c>
      <c r="W187" s="652">
        <f t="shared" ca="1" si="125"/>
        <v>0</v>
      </c>
      <c r="X187" s="652">
        <f t="shared" ca="1" si="125"/>
        <v>0</v>
      </c>
      <c r="Y187" s="652">
        <f t="shared" ca="1" si="125"/>
        <v>0</v>
      </c>
      <c r="Z187" s="652">
        <f t="shared" ca="1" si="125"/>
        <v>0</v>
      </c>
      <c r="AA187" s="652">
        <f t="shared" ca="1" si="125"/>
        <v>0</v>
      </c>
      <c r="AB187" s="652">
        <f t="shared" ca="1" si="125"/>
        <v>0</v>
      </c>
      <c r="AC187" s="652">
        <f t="shared" ca="1" si="125"/>
        <v>5</v>
      </c>
      <c r="AD187" s="652">
        <f t="shared" ca="1" si="125"/>
        <v>5</v>
      </c>
      <c r="AE187" s="652">
        <f t="shared" ca="1" si="125"/>
        <v>1</v>
      </c>
      <c r="AF187" s="652">
        <f t="shared" ca="1" si="125"/>
        <v>0</v>
      </c>
      <c r="AG187" s="652">
        <f t="shared" ca="1" si="125"/>
        <v>0</v>
      </c>
      <c r="AH187" s="652">
        <f t="shared" ca="1" si="125"/>
        <v>0</v>
      </c>
      <c r="AI187" s="652">
        <f t="shared" ca="1" si="126"/>
        <v>0</v>
      </c>
      <c r="AJ187" s="652">
        <f t="shared" ca="1" si="126"/>
        <v>57.294688932</v>
      </c>
      <c r="AK187" s="652">
        <f t="shared" ca="1" si="126"/>
        <v>57.294688932</v>
      </c>
      <c r="AL187" s="652">
        <f t="shared" ca="1" si="126"/>
        <v>11.4589377864</v>
      </c>
      <c r="AM187" s="652">
        <f t="shared" ca="1" si="126"/>
        <v>0</v>
      </c>
      <c r="AN187" s="652">
        <f t="shared" ca="1" si="126"/>
        <v>0</v>
      </c>
      <c r="AO187" s="652">
        <f t="shared" ca="1" si="126"/>
        <v>0</v>
      </c>
      <c r="AP187" s="652">
        <f t="shared" ca="1" si="126"/>
        <v>0</v>
      </c>
      <c r="AQ187" s="652">
        <f t="shared" ca="1" si="126"/>
        <v>1.36747871E-2</v>
      </c>
      <c r="AR187" s="652">
        <f t="shared" ca="1" si="126"/>
        <v>1.36747871E-2</v>
      </c>
      <c r="AS187" s="652">
        <f t="shared" ca="1" si="126"/>
        <v>2.7349574200000002E-3</v>
      </c>
      <c r="AT187" s="652">
        <f t="shared" ca="1" si="126"/>
        <v>0</v>
      </c>
      <c r="AU187" s="652">
        <f t="shared" ca="1" si="126"/>
        <v>0</v>
      </c>
      <c r="AV187" s="652">
        <f t="shared" ca="1" si="126"/>
        <v>0</v>
      </c>
      <c r="AW187" s="652">
        <f t="shared" ca="1" si="124"/>
        <v>0</v>
      </c>
      <c r="AX187" s="652">
        <f t="shared" ca="1" si="124"/>
        <v>0</v>
      </c>
      <c r="AY187" s="652">
        <f t="shared" ca="1" si="124"/>
        <v>0</v>
      </c>
      <c r="AZ187" s="652">
        <f t="shared" ca="1" si="124"/>
        <v>0</v>
      </c>
      <c r="BA187" s="652">
        <f t="shared" ca="1" si="124"/>
        <v>0</v>
      </c>
      <c r="BB187" s="652">
        <f t="shared" ca="1" si="124"/>
        <v>0</v>
      </c>
      <c r="BC187" s="652">
        <f t="shared" ca="1" si="124"/>
        <v>0</v>
      </c>
      <c r="BD187" s="652">
        <f t="shared" ca="1" si="124"/>
        <v>0</v>
      </c>
      <c r="BE187" s="652" t="str">
        <f t="shared" ca="1" si="124"/>
        <v>Commercial</v>
      </c>
      <c r="BF187" s="652" t="str">
        <f t="shared" ca="1" si="124"/>
        <v>OFFLGInLight</v>
      </c>
      <c r="BG187" s="652" t="str">
        <f t="shared" ca="1" si="124"/>
        <v>OFFSMGasHeat</v>
      </c>
      <c r="BH187" s="652" t="str">
        <f t="shared" ca="1" si="124"/>
        <v>LGE NonRes</v>
      </c>
      <c r="BI187" s="652" t="str">
        <f t="shared" ca="1" si="124"/>
        <v>LGE NonRes</v>
      </c>
      <c r="BJ187" s="652">
        <f t="shared" ca="1" si="124"/>
        <v>20</v>
      </c>
      <c r="BK187" s="652">
        <f t="shared" ca="1" si="124"/>
        <v>0</v>
      </c>
      <c r="BL187" s="652">
        <f t="shared" ca="1" si="116"/>
        <v>0</v>
      </c>
      <c r="BM187" s="652">
        <f t="shared" ca="1" si="116"/>
        <v>0</v>
      </c>
      <c r="BN187" s="652">
        <f t="shared" ca="1" si="116"/>
        <v>0</v>
      </c>
      <c r="BO187" s="652">
        <f t="shared" ca="1" si="116"/>
        <v>0</v>
      </c>
      <c r="BP187" s="652">
        <f t="shared" ca="1" si="116"/>
        <v>0</v>
      </c>
      <c r="BQ187" s="652">
        <f t="shared" ca="1" si="116"/>
        <v>0</v>
      </c>
      <c r="BR187" s="652">
        <f t="shared" ca="1" si="109"/>
        <v>1.1000000000000001</v>
      </c>
      <c r="BS187" s="652">
        <f t="shared" ca="1" si="124"/>
        <v>73.837500000000006</v>
      </c>
      <c r="BT187" s="652">
        <f t="shared" ca="1" si="124"/>
        <v>0</v>
      </c>
      <c r="BU187" s="652">
        <f t="shared" ca="1" si="124"/>
        <v>11</v>
      </c>
      <c r="BV187" s="652">
        <f t="shared" ca="1" si="124"/>
        <v>0</v>
      </c>
      <c r="BW187" s="652">
        <f t="shared" ca="1" si="124"/>
        <v>126.0483156504</v>
      </c>
      <c r="BX187" s="652">
        <f t="shared" ca="1" si="123"/>
        <v>3.008453162E-2</v>
      </c>
      <c r="BY187" s="652">
        <f t="shared" ca="1" si="123"/>
        <v>0</v>
      </c>
    </row>
    <row r="188" spans="1:77">
      <c r="A188" s="425" t="str">
        <f t="shared" ca="1" si="108"/>
        <v>Business RebatesLG&amp;E-LED High Bay</v>
      </c>
      <c r="B188" s="1297" t="str">
        <f t="shared" si="101"/>
        <v>LG&amp;EBusiness Rebates</v>
      </c>
      <c r="C188" s="662" t="s">
        <v>272</v>
      </c>
      <c r="D188" s="662" t="s">
        <v>63</v>
      </c>
      <c r="E188" s="652" t="str">
        <f t="shared" ca="1" si="128"/>
        <v>LG&amp;E-LED High Bay</v>
      </c>
      <c r="F188" s="652" t="str">
        <f t="shared" ca="1" si="128"/>
        <v>Any LED lamps or ballasts must also be ENERGY STAR® certified or listed on the Design Lights Consortium (DLC) qualified list.</v>
      </c>
      <c r="G188" s="652" t="str">
        <f t="shared" ca="1" si="128"/>
        <v>Per Unit</v>
      </c>
      <c r="H188" s="652">
        <f t="shared" ca="1" si="127"/>
        <v>0</v>
      </c>
      <c r="I188" s="652">
        <f t="shared" ca="1" si="127"/>
        <v>0</v>
      </c>
      <c r="J188" s="652">
        <f t="shared" ca="1" si="127"/>
        <v>0</v>
      </c>
      <c r="K188" s="652">
        <f t="shared" ca="1" si="127"/>
        <v>0</v>
      </c>
      <c r="L188" s="652">
        <f t="shared" ca="1" si="127"/>
        <v>0</v>
      </c>
      <c r="M188" s="652">
        <f t="shared" ca="1" si="127"/>
        <v>0</v>
      </c>
      <c r="N188" s="652">
        <f t="shared" ca="1" si="127"/>
        <v>0</v>
      </c>
      <c r="O188" s="652">
        <f t="shared" ca="1" si="127"/>
        <v>0</v>
      </c>
      <c r="P188" s="652">
        <f t="shared" ca="1" si="127"/>
        <v>0</v>
      </c>
      <c r="Q188" s="652">
        <f t="shared" ca="1" si="127"/>
        <v>0</v>
      </c>
      <c r="R188" s="652">
        <f t="shared" ca="1" si="127"/>
        <v>0</v>
      </c>
      <c r="S188" s="652">
        <f t="shared" ca="1" si="127"/>
        <v>0</v>
      </c>
      <c r="T188" s="652">
        <f t="shared" ca="1" si="127"/>
        <v>0</v>
      </c>
      <c r="U188" s="652">
        <f t="shared" ca="1" si="127"/>
        <v>0</v>
      </c>
      <c r="V188" s="652">
        <f t="shared" ca="1" si="125"/>
        <v>0</v>
      </c>
      <c r="W188" s="652">
        <f t="shared" ca="1" si="125"/>
        <v>0</v>
      </c>
      <c r="X188" s="652">
        <f t="shared" ca="1" si="125"/>
        <v>0</v>
      </c>
      <c r="Y188" s="652">
        <f t="shared" ca="1" si="125"/>
        <v>0</v>
      </c>
      <c r="Z188" s="652">
        <f t="shared" ca="1" si="125"/>
        <v>0</v>
      </c>
      <c r="AA188" s="652">
        <f t="shared" ca="1" si="125"/>
        <v>0</v>
      </c>
      <c r="AB188" s="652">
        <f t="shared" ca="1" si="125"/>
        <v>0</v>
      </c>
      <c r="AC188" s="652">
        <f t="shared" ca="1" si="125"/>
        <v>0</v>
      </c>
      <c r="AD188" s="652">
        <f t="shared" ca="1" si="125"/>
        <v>0</v>
      </c>
      <c r="AE188" s="652">
        <f t="shared" ca="1" si="125"/>
        <v>0</v>
      </c>
      <c r="AF188" s="652">
        <f t="shared" ca="1" si="125"/>
        <v>0</v>
      </c>
      <c r="AG188" s="652">
        <f t="shared" ca="1" si="125"/>
        <v>0</v>
      </c>
      <c r="AH188" s="652">
        <f t="shared" ca="1" si="125"/>
        <v>0</v>
      </c>
      <c r="AI188" s="652">
        <f t="shared" ca="1" si="126"/>
        <v>0</v>
      </c>
      <c r="AJ188" s="652">
        <f t="shared" ca="1" si="126"/>
        <v>0</v>
      </c>
      <c r="AK188" s="652">
        <f t="shared" ca="1" si="126"/>
        <v>0</v>
      </c>
      <c r="AL188" s="652">
        <f t="shared" ca="1" si="126"/>
        <v>0</v>
      </c>
      <c r="AM188" s="652">
        <f t="shared" ca="1" si="126"/>
        <v>0</v>
      </c>
      <c r="AN188" s="652">
        <f t="shared" ca="1" si="126"/>
        <v>0</v>
      </c>
      <c r="AO188" s="652">
        <f t="shared" ca="1" si="126"/>
        <v>0</v>
      </c>
      <c r="AP188" s="652">
        <f t="shared" ca="1" si="126"/>
        <v>0</v>
      </c>
      <c r="AQ188" s="652">
        <f t="shared" ca="1" si="126"/>
        <v>0</v>
      </c>
      <c r="AR188" s="652">
        <f t="shared" ca="1" si="126"/>
        <v>0</v>
      </c>
      <c r="AS188" s="652">
        <f t="shared" ca="1" si="126"/>
        <v>0</v>
      </c>
      <c r="AT188" s="652">
        <f t="shared" ca="1" si="126"/>
        <v>0</v>
      </c>
      <c r="AU188" s="652">
        <f t="shared" ca="1" si="126"/>
        <v>0</v>
      </c>
      <c r="AV188" s="652">
        <f t="shared" ca="1" si="126"/>
        <v>0</v>
      </c>
      <c r="AW188" s="652">
        <f t="shared" ca="1" si="124"/>
        <v>0</v>
      </c>
      <c r="AX188" s="652">
        <f t="shared" ca="1" si="124"/>
        <v>0</v>
      </c>
      <c r="AY188" s="652">
        <f t="shared" ca="1" si="124"/>
        <v>0</v>
      </c>
      <c r="AZ188" s="652">
        <f t="shared" ca="1" si="124"/>
        <v>0</v>
      </c>
      <c r="BA188" s="652">
        <f t="shared" ca="1" si="124"/>
        <v>0</v>
      </c>
      <c r="BB188" s="652">
        <f t="shared" ca="1" si="124"/>
        <v>0</v>
      </c>
      <c r="BC188" s="652">
        <f t="shared" ca="1" si="124"/>
        <v>0</v>
      </c>
      <c r="BD188" s="652">
        <f t="shared" ca="1" si="124"/>
        <v>0</v>
      </c>
      <c r="BE188" s="652" t="str">
        <f t="shared" ca="1" si="124"/>
        <v>Commercial</v>
      </c>
      <c r="BF188" s="652" t="str">
        <f t="shared" ca="1" si="124"/>
        <v>OFFLGInLight</v>
      </c>
      <c r="BG188" s="652" t="str">
        <f t="shared" ca="1" si="124"/>
        <v>OFFSMGasHeat</v>
      </c>
      <c r="BH188" s="652" t="str">
        <f t="shared" ca="1" si="124"/>
        <v>LGE NonRes</v>
      </c>
      <c r="BI188" s="652" t="str">
        <f t="shared" ca="1" si="124"/>
        <v>LGE NonRes</v>
      </c>
      <c r="BJ188" s="652">
        <f t="shared" ca="1" si="124"/>
        <v>20</v>
      </c>
      <c r="BK188" s="652">
        <f t="shared" ca="1" si="124"/>
        <v>0</v>
      </c>
      <c r="BL188" s="652">
        <f t="shared" ca="1" si="116"/>
        <v>0</v>
      </c>
      <c r="BM188" s="652">
        <f t="shared" ca="1" si="116"/>
        <v>0</v>
      </c>
      <c r="BN188" s="652">
        <f t="shared" ca="1" si="116"/>
        <v>0</v>
      </c>
      <c r="BO188" s="652">
        <f t="shared" ca="1" si="116"/>
        <v>0</v>
      </c>
      <c r="BP188" s="652">
        <f t="shared" ca="1" si="116"/>
        <v>0</v>
      </c>
      <c r="BQ188" s="652">
        <f t="shared" ca="1" si="116"/>
        <v>0</v>
      </c>
      <c r="BR188" s="652">
        <f t="shared" ca="1" si="109"/>
        <v>0</v>
      </c>
      <c r="BS188" s="652">
        <f t="shared" ca="1" si="124"/>
        <v>0</v>
      </c>
      <c r="BT188" s="652">
        <f t="shared" ca="1" si="124"/>
        <v>0</v>
      </c>
      <c r="BU188" s="652">
        <f t="shared" ca="1" si="124"/>
        <v>0</v>
      </c>
      <c r="BV188" s="652">
        <f t="shared" ca="1" si="124"/>
        <v>0</v>
      </c>
      <c r="BW188" s="652">
        <f t="shared" ca="1" si="124"/>
        <v>0</v>
      </c>
      <c r="BX188" s="652">
        <f t="shared" ca="1" si="123"/>
        <v>0</v>
      </c>
      <c r="BY188" s="652">
        <f t="shared" ca="1" si="123"/>
        <v>0</v>
      </c>
    </row>
    <row r="189" spans="1:77">
      <c r="A189" s="425" t="str">
        <f t="shared" ca="1" si="108"/>
        <v>Business RebatesLG&amp;E-LED Tube</v>
      </c>
      <c r="B189" s="1297" t="str">
        <f t="shared" si="101"/>
        <v>LG&amp;EBusiness Rebates</v>
      </c>
      <c r="C189" s="662" t="s">
        <v>273</v>
      </c>
      <c r="D189" s="662" t="s">
        <v>63</v>
      </c>
      <c r="E189" s="652" t="str">
        <f t="shared" ca="1" si="128"/>
        <v>LG&amp;E-LED Tube</v>
      </c>
      <c r="F189" s="652" t="str">
        <f t="shared" ca="1" si="128"/>
        <v>Any LED lamps or ballasts must also be ENERGY STAR® certified or listed on the Design Lights Consortium (DLC) qualified list.</v>
      </c>
      <c r="G189" s="652" t="str">
        <f t="shared" ca="1" si="128"/>
        <v>Per Unit</v>
      </c>
      <c r="H189" s="652">
        <f t="shared" ca="1" si="127"/>
        <v>3035.5</v>
      </c>
      <c r="I189" s="652">
        <f t="shared" ca="1" si="127"/>
        <v>3035.5</v>
      </c>
      <c r="J189" s="652">
        <f t="shared" ca="1" si="127"/>
        <v>728.52</v>
      </c>
      <c r="K189" s="652">
        <f t="shared" ca="1" si="127"/>
        <v>0</v>
      </c>
      <c r="L189" s="652">
        <f t="shared" ca="1" si="127"/>
        <v>0</v>
      </c>
      <c r="M189" s="652">
        <f t="shared" ca="1" si="127"/>
        <v>0</v>
      </c>
      <c r="N189" s="652">
        <f t="shared" ca="1" si="127"/>
        <v>0</v>
      </c>
      <c r="O189" s="652">
        <f t="shared" ca="1" si="127"/>
        <v>91687.277500000011</v>
      </c>
      <c r="P189" s="652">
        <f t="shared" ca="1" si="127"/>
        <v>91687.277500000011</v>
      </c>
      <c r="Q189" s="652">
        <f t="shared" ca="1" si="127"/>
        <v>22004.946599999999</v>
      </c>
      <c r="R189" s="652">
        <f t="shared" ca="1" si="127"/>
        <v>0</v>
      </c>
      <c r="S189" s="652">
        <f t="shared" ca="1" si="127"/>
        <v>0</v>
      </c>
      <c r="T189" s="652">
        <f t="shared" ca="1" si="127"/>
        <v>0</v>
      </c>
      <c r="U189" s="652">
        <f t="shared" ca="1" si="127"/>
        <v>0</v>
      </c>
      <c r="V189" s="652">
        <f t="shared" ca="1" si="125"/>
        <v>0</v>
      </c>
      <c r="W189" s="652">
        <f t="shared" ca="1" si="125"/>
        <v>0</v>
      </c>
      <c r="X189" s="652">
        <f t="shared" ca="1" si="125"/>
        <v>0</v>
      </c>
      <c r="Y189" s="652">
        <f t="shared" ca="1" si="125"/>
        <v>0</v>
      </c>
      <c r="Z189" s="652">
        <f t="shared" ca="1" si="125"/>
        <v>0</v>
      </c>
      <c r="AA189" s="652">
        <f t="shared" ca="1" si="125"/>
        <v>0</v>
      </c>
      <c r="AB189" s="652">
        <f t="shared" ca="1" si="125"/>
        <v>0</v>
      </c>
      <c r="AC189" s="652">
        <f t="shared" ca="1" si="125"/>
        <v>9106.5</v>
      </c>
      <c r="AD189" s="652">
        <f t="shared" ca="1" si="125"/>
        <v>9106.5</v>
      </c>
      <c r="AE189" s="652">
        <f t="shared" ca="1" si="125"/>
        <v>2185.56</v>
      </c>
      <c r="AF189" s="652">
        <f t="shared" ca="1" si="125"/>
        <v>0</v>
      </c>
      <c r="AG189" s="652">
        <f t="shared" ca="1" si="125"/>
        <v>0</v>
      </c>
      <c r="AH189" s="652">
        <f t="shared" ca="1" si="125"/>
        <v>0</v>
      </c>
      <c r="AI189" s="652">
        <f t="shared" ca="1" si="126"/>
        <v>0</v>
      </c>
      <c r="AJ189" s="652">
        <f t="shared" ca="1" si="126"/>
        <v>119864.30624999999</v>
      </c>
      <c r="AK189" s="652">
        <f t="shared" ca="1" si="126"/>
        <v>119864.30624999999</v>
      </c>
      <c r="AL189" s="652">
        <f t="shared" ca="1" si="126"/>
        <v>28767.433499999996</v>
      </c>
      <c r="AM189" s="652">
        <f t="shared" ca="1" si="126"/>
        <v>0</v>
      </c>
      <c r="AN189" s="652">
        <f t="shared" ca="1" si="126"/>
        <v>0</v>
      </c>
      <c r="AO189" s="652">
        <f t="shared" ca="1" si="126"/>
        <v>0</v>
      </c>
      <c r="AP189" s="652">
        <f t="shared" ca="1" si="126"/>
        <v>0</v>
      </c>
      <c r="AQ189" s="652">
        <f t="shared" ca="1" si="126"/>
        <v>18.497578125</v>
      </c>
      <c r="AR189" s="652">
        <f t="shared" ca="1" si="126"/>
        <v>18.497578125</v>
      </c>
      <c r="AS189" s="652">
        <f t="shared" ca="1" si="126"/>
        <v>4.4394187499999997</v>
      </c>
      <c r="AT189" s="652">
        <f t="shared" ca="1" si="126"/>
        <v>0</v>
      </c>
      <c r="AU189" s="652">
        <f t="shared" ca="1" si="126"/>
        <v>0</v>
      </c>
      <c r="AV189" s="652">
        <f t="shared" ca="1" si="126"/>
        <v>0</v>
      </c>
      <c r="AW189" s="652">
        <f t="shared" ca="1" si="124"/>
        <v>0</v>
      </c>
      <c r="AX189" s="652">
        <f t="shared" ca="1" si="124"/>
        <v>0</v>
      </c>
      <c r="AY189" s="652">
        <f t="shared" ca="1" si="124"/>
        <v>0</v>
      </c>
      <c r="AZ189" s="652">
        <f t="shared" ca="1" si="124"/>
        <v>0</v>
      </c>
      <c r="BA189" s="652">
        <f t="shared" ca="1" si="124"/>
        <v>0</v>
      </c>
      <c r="BB189" s="652">
        <f t="shared" ca="1" si="124"/>
        <v>0</v>
      </c>
      <c r="BC189" s="652">
        <f t="shared" ca="1" si="124"/>
        <v>0</v>
      </c>
      <c r="BD189" s="652">
        <f t="shared" ca="1" si="124"/>
        <v>0</v>
      </c>
      <c r="BE189" s="652" t="str">
        <f t="shared" ca="1" si="124"/>
        <v>Commercial</v>
      </c>
      <c r="BF189" s="652" t="str">
        <f t="shared" ca="1" si="124"/>
        <v>OFFLGInLight</v>
      </c>
      <c r="BG189" s="652" t="str">
        <f t="shared" ca="1" si="124"/>
        <v>OFFSMGasHeat</v>
      </c>
      <c r="BH189" s="652" t="str">
        <f t="shared" ca="1" si="124"/>
        <v>LGE NonRes</v>
      </c>
      <c r="BI189" s="652" t="str">
        <f t="shared" ca="1" si="124"/>
        <v>LGE NonRes</v>
      </c>
      <c r="BJ189" s="652">
        <f t="shared" ca="1" si="124"/>
        <v>20</v>
      </c>
      <c r="BK189" s="652">
        <f t="shared" ca="1" si="124"/>
        <v>0</v>
      </c>
      <c r="BL189" s="652">
        <f t="shared" ca="1" si="116"/>
        <v>0</v>
      </c>
      <c r="BM189" s="652">
        <f t="shared" ca="1" si="116"/>
        <v>0</v>
      </c>
      <c r="BN189" s="652">
        <f t="shared" ca="1" si="116"/>
        <v>0</v>
      </c>
      <c r="BO189" s="652">
        <f t="shared" ca="1" si="116"/>
        <v>0</v>
      </c>
      <c r="BP189" s="652">
        <f t="shared" ca="1" si="116"/>
        <v>0</v>
      </c>
      <c r="BQ189" s="652">
        <f t="shared" ca="1" si="116"/>
        <v>0</v>
      </c>
      <c r="BR189" s="652">
        <f t="shared" ca="1" si="109"/>
        <v>6799.52</v>
      </c>
      <c r="BS189" s="652">
        <f t="shared" ca="1" si="124"/>
        <v>205379.50160000002</v>
      </c>
      <c r="BT189" s="652">
        <f t="shared" ca="1" si="124"/>
        <v>0</v>
      </c>
      <c r="BU189" s="652">
        <f t="shared" ca="1" si="124"/>
        <v>20398.560000000001</v>
      </c>
      <c r="BV189" s="652">
        <f t="shared" ca="1" si="124"/>
        <v>0</v>
      </c>
      <c r="BW189" s="652">
        <f t="shared" ca="1" si="124"/>
        <v>268496.04599999997</v>
      </c>
      <c r="BX189" s="652">
        <f t="shared" ca="1" si="123"/>
        <v>41.434575000000002</v>
      </c>
      <c r="BY189" s="652">
        <f t="shared" ca="1" si="123"/>
        <v>0</v>
      </c>
    </row>
    <row r="190" spans="1:77">
      <c r="A190" s="425" t="str">
        <f t="shared" ca="1" si="108"/>
        <v>Business RebatesLG&amp;E-Interior ≤ 10W</v>
      </c>
      <c r="B190" s="1297" t="str">
        <f t="shared" si="101"/>
        <v>LG&amp;EBusiness Rebates</v>
      </c>
      <c r="C190" s="662" t="s">
        <v>274</v>
      </c>
      <c r="D190" s="662" t="s">
        <v>63</v>
      </c>
      <c r="E190" s="652" t="str">
        <f t="shared" ca="1" si="128"/>
        <v>LG&amp;E-Interior ≤ 10W</v>
      </c>
      <c r="F190" s="652" t="str">
        <f t="shared" ca="1" si="128"/>
        <v>Any LED lamps or ballasts must also be ENERGY STAR® certified or listed on the Design Lights Consortium (DLC) qualified list.</v>
      </c>
      <c r="G190" s="652" t="str">
        <f t="shared" ca="1" si="128"/>
        <v>Per Unit</v>
      </c>
      <c r="H190" s="652">
        <f t="shared" ca="1" si="127"/>
        <v>7365.5</v>
      </c>
      <c r="I190" s="652">
        <f t="shared" ca="1" si="127"/>
        <v>7365.5</v>
      </c>
      <c r="J190" s="652">
        <f t="shared" ca="1" si="127"/>
        <v>1767.7200000000003</v>
      </c>
      <c r="K190" s="652">
        <f t="shared" ca="1" si="127"/>
        <v>0</v>
      </c>
      <c r="L190" s="652">
        <f t="shared" ca="1" si="127"/>
        <v>0</v>
      </c>
      <c r="M190" s="652">
        <f t="shared" ca="1" si="127"/>
        <v>0</v>
      </c>
      <c r="N190" s="652">
        <f t="shared" ca="1" si="127"/>
        <v>0</v>
      </c>
      <c r="O190" s="652">
        <f t="shared" ca="1" si="127"/>
        <v>265158</v>
      </c>
      <c r="P190" s="652">
        <f t="shared" ca="1" si="127"/>
        <v>265158</v>
      </c>
      <c r="Q190" s="652">
        <f t="shared" ca="1" si="127"/>
        <v>63637.920000000013</v>
      </c>
      <c r="R190" s="652">
        <f t="shared" ca="1" si="127"/>
        <v>0</v>
      </c>
      <c r="S190" s="652">
        <f t="shared" ca="1" si="127"/>
        <v>0</v>
      </c>
      <c r="T190" s="652">
        <f t="shared" ca="1" si="127"/>
        <v>0</v>
      </c>
      <c r="U190" s="652">
        <f t="shared" ca="1" si="127"/>
        <v>0</v>
      </c>
      <c r="V190" s="652">
        <f t="shared" ca="1" si="125"/>
        <v>0</v>
      </c>
      <c r="W190" s="652">
        <f t="shared" ca="1" si="125"/>
        <v>0</v>
      </c>
      <c r="X190" s="652">
        <f t="shared" ca="1" si="125"/>
        <v>0</v>
      </c>
      <c r="Y190" s="652">
        <f t="shared" ca="1" si="125"/>
        <v>0</v>
      </c>
      <c r="Z190" s="652">
        <f t="shared" ca="1" si="125"/>
        <v>0</v>
      </c>
      <c r="AA190" s="652">
        <f t="shared" ca="1" si="125"/>
        <v>0</v>
      </c>
      <c r="AB190" s="652">
        <f t="shared" ca="1" si="125"/>
        <v>0</v>
      </c>
      <c r="AC190" s="652">
        <f t="shared" ca="1" si="125"/>
        <v>36827.5</v>
      </c>
      <c r="AD190" s="652">
        <f t="shared" ca="1" si="125"/>
        <v>36827.5</v>
      </c>
      <c r="AE190" s="652">
        <f t="shared" ca="1" si="125"/>
        <v>8838.6000000000022</v>
      </c>
      <c r="AF190" s="652">
        <f t="shared" ca="1" si="125"/>
        <v>0</v>
      </c>
      <c r="AG190" s="652">
        <f t="shared" ca="1" si="125"/>
        <v>0</v>
      </c>
      <c r="AH190" s="652">
        <f t="shared" ca="1" si="125"/>
        <v>0</v>
      </c>
      <c r="AI190" s="652">
        <f t="shared" ca="1" si="126"/>
        <v>0</v>
      </c>
      <c r="AJ190" s="652">
        <f t="shared" ca="1" si="126"/>
        <v>1230976.9698787155</v>
      </c>
      <c r="AK190" s="652">
        <f t="shared" ca="1" si="126"/>
        <v>1230976.9698787155</v>
      </c>
      <c r="AL190" s="652">
        <f t="shared" ca="1" si="126"/>
        <v>295434.47277089173</v>
      </c>
      <c r="AM190" s="652">
        <f t="shared" ca="1" si="126"/>
        <v>0</v>
      </c>
      <c r="AN190" s="652">
        <f t="shared" ca="1" si="126"/>
        <v>0</v>
      </c>
      <c r="AO190" s="652">
        <f t="shared" ca="1" si="126"/>
        <v>0</v>
      </c>
      <c r="AP190" s="652">
        <f t="shared" ca="1" si="126"/>
        <v>0</v>
      </c>
      <c r="AQ190" s="652">
        <f t="shared" ca="1" si="126"/>
        <v>283.92183871681982</v>
      </c>
      <c r="AR190" s="652">
        <f t="shared" ca="1" si="126"/>
        <v>283.92183871681982</v>
      </c>
      <c r="AS190" s="652">
        <f t="shared" ca="1" si="126"/>
        <v>68.141241292036767</v>
      </c>
      <c r="AT190" s="652">
        <f t="shared" ca="1" si="126"/>
        <v>0</v>
      </c>
      <c r="AU190" s="652">
        <f t="shared" ca="1" si="126"/>
        <v>0</v>
      </c>
      <c r="AV190" s="652">
        <f t="shared" ca="1" si="126"/>
        <v>0</v>
      </c>
      <c r="AW190" s="652">
        <f t="shared" ca="1" si="124"/>
        <v>0</v>
      </c>
      <c r="AX190" s="652">
        <f t="shared" ca="1" si="124"/>
        <v>0</v>
      </c>
      <c r="AY190" s="652">
        <f t="shared" ca="1" si="124"/>
        <v>0</v>
      </c>
      <c r="AZ190" s="652">
        <f t="shared" ca="1" si="124"/>
        <v>0</v>
      </c>
      <c r="BA190" s="652">
        <f t="shared" ca="1" si="124"/>
        <v>0</v>
      </c>
      <c r="BB190" s="652">
        <f t="shared" ca="1" si="124"/>
        <v>0</v>
      </c>
      <c r="BC190" s="652">
        <f t="shared" ca="1" si="124"/>
        <v>0</v>
      </c>
      <c r="BD190" s="652">
        <f t="shared" ca="1" si="124"/>
        <v>0</v>
      </c>
      <c r="BE190" s="652" t="str">
        <f t="shared" ca="1" si="124"/>
        <v>Commercial</v>
      </c>
      <c r="BF190" s="652" t="str">
        <f t="shared" ca="1" si="124"/>
        <v>OFFLGInLight</v>
      </c>
      <c r="BG190" s="652" t="str">
        <f t="shared" ca="1" si="124"/>
        <v>OFFSMGasHeat</v>
      </c>
      <c r="BH190" s="652" t="str">
        <f t="shared" ca="1" si="124"/>
        <v>LGE NonRes</v>
      </c>
      <c r="BI190" s="652" t="str">
        <f t="shared" ca="1" si="124"/>
        <v>LGE NonRes</v>
      </c>
      <c r="BJ190" s="652">
        <f t="shared" ca="1" si="124"/>
        <v>12</v>
      </c>
      <c r="BK190" s="652">
        <f t="shared" ca="1" si="124"/>
        <v>0</v>
      </c>
      <c r="BL190" s="652">
        <f t="shared" ca="1" si="116"/>
        <v>0</v>
      </c>
      <c r="BM190" s="652">
        <f t="shared" ca="1" si="116"/>
        <v>0</v>
      </c>
      <c r="BN190" s="652">
        <f t="shared" ca="1" si="116"/>
        <v>0</v>
      </c>
      <c r="BO190" s="652">
        <f t="shared" ca="1" si="116"/>
        <v>0</v>
      </c>
      <c r="BP190" s="652">
        <f t="shared" ca="1" si="116"/>
        <v>0</v>
      </c>
      <c r="BQ190" s="652">
        <f t="shared" ca="1" si="116"/>
        <v>0</v>
      </c>
      <c r="BR190" s="652">
        <f t="shared" ca="1" si="109"/>
        <v>16498.72</v>
      </c>
      <c r="BS190" s="652">
        <f t="shared" ca="1" si="124"/>
        <v>593953.92000000004</v>
      </c>
      <c r="BT190" s="652">
        <f t="shared" ca="1" si="124"/>
        <v>0</v>
      </c>
      <c r="BU190" s="652">
        <f t="shared" ca="1" si="124"/>
        <v>82493.600000000006</v>
      </c>
      <c r="BV190" s="652">
        <f t="shared" ca="1" si="124"/>
        <v>0</v>
      </c>
      <c r="BW190" s="652">
        <f t="shared" ca="1" si="124"/>
        <v>2757388.4125283225</v>
      </c>
      <c r="BX190" s="652">
        <f t="shared" ca="1" si="123"/>
        <v>635.98491872567638</v>
      </c>
      <c r="BY190" s="652">
        <f t="shared" ca="1" si="123"/>
        <v>0</v>
      </c>
    </row>
    <row r="191" spans="1:77">
      <c r="A191" s="425" t="str">
        <f t="shared" ca="1" si="108"/>
        <v>Business RebatesLG&amp;E-Interior &gt; 10W and &lt; 50W</v>
      </c>
      <c r="B191" s="1297" t="str">
        <f t="shared" si="101"/>
        <v>LG&amp;EBusiness Rebates</v>
      </c>
      <c r="C191" s="662" t="s">
        <v>275</v>
      </c>
      <c r="D191" s="662" t="s">
        <v>63</v>
      </c>
      <c r="E191" s="652" t="str">
        <f t="shared" ca="1" si="128"/>
        <v>LG&amp;E-Interior &gt; 10W and &lt; 50W</v>
      </c>
      <c r="F191" s="652" t="str">
        <f t="shared" ca="1" si="128"/>
        <v>Any LED lamps or ballasts must also be ENERGY STAR® certified or listed on the Design Lights Consortium (DLC) qualified list.</v>
      </c>
      <c r="G191" s="652" t="str">
        <f t="shared" ca="1" si="128"/>
        <v>Per Unit</v>
      </c>
      <c r="H191" s="652">
        <f t="shared" ca="1" si="127"/>
        <v>98232</v>
      </c>
      <c r="I191" s="652">
        <f t="shared" ca="1" si="127"/>
        <v>98232</v>
      </c>
      <c r="J191" s="652">
        <f t="shared" ca="1" si="127"/>
        <v>23575.68</v>
      </c>
      <c r="K191" s="652">
        <f t="shared" ca="1" si="127"/>
        <v>0</v>
      </c>
      <c r="L191" s="652">
        <f t="shared" ca="1" si="127"/>
        <v>0</v>
      </c>
      <c r="M191" s="652">
        <f t="shared" ca="1" si="127"/>
        <v>0</v>
      </c>
      <c r="N191" s="652">
        <f t="shared" ca="1" si="127"/>
        <v>0</v>
      </c>
      <c r="O191" s="652">
        <f t="shared" ca="1" si="127"/>
        <v>3564418.2857142854</v>
      </c>
      <c r="P191" s="652">
        <f t="shared" ca="1" si="127"/>
        <v>3564418.2857142854</v>
      </c>
      <c r="Q191" s="652">
        <f t="shared" ca="1" si="127"/>
        <v>855460.3885714286</v>
      </c>
      <c r="R191" s="652">
        <f t="shared" ca="1" si="127"/>
        <v>0</v>
      </c>
      <c r="S191" s="652">
        <f t="shared" ca="1" si="127"/>
        <v>0</v>
      </c>
      <c r="T191" s="652">
        <f t="shared" ca="1" si="127"/>
        <v>0</v>
      </c>
      <c r="U191" s="652">
        <f t="shared" ca="1" si="127"/>
        <v>0</v>
      </c>
      <c r="V191" s="652">
        <f t="shared" ca="1" si="125"/>
        <v>0</v>
      </c>
      <c r="W191" s="652">
        <f t="shared" ca="1" si="125"/>
        <v>0</v>
      </c>
      <c r="X191" s="652">
        <f t="shared" ca="1" si="125"/>
        <v>0</v>
      </c>
      <c r="Y191" s="652">
        <f t="shared" ca="1" si="125"/>
        <v>0</v>
      </c>
      <c r="Z191" s="652">
        <f t="shared" ca="1" si="125"/>
        <v>0</v>
      </c>
      <c r="AA191" s="652">
        <f t="shared" ca="1" si="125"/>
        <v>0</v>
      </c>
      <c r="AB191" s="652">
        <f t="shared" ca="1" si="125"/>
        <v>0</v>
      </c>
      <c r="AC191" s="652">
        <f t="shared" ca="1" si="125"/>
        <v>491160</v>
      </c>
      <c r="AD191" s="652">
        <f t="shared" ca="1" si="125"/>
        <v>491160</v>
      </c>
      <c r="AE191" s="652">
        <f t="shared" ca="1" si="125"/>
        <v>117878.39999999999</v>
      </c>
      <c r="AF191" s="652">
        <f t="shared" ca="1" si="125"/>
        <v>0</v>
      </c>
      <c r="AG191" s="652">
        <f t="shared" ca="1" si="125"/>
        <v>0</v>
      </c>
      <c r="AH191" s="652">
        <f t="shared" ca="1" si="125"/>
        <v>0</v>
      </c>
      <c r="AI191" s="652">
        <f t="shared" ca="1" si="126"/>
        <v>0</v>
      </c>
      <c r="AJ191" s="652">
        <f t="shared" ca="1" si="126"/>
        <v>12683724.278762713</v>
      </c>
      <c r="AK191" s="652">
        <f t="shared" ca="1" si="126"/>
        <v>12683724.278762713</v>
      </c>
      <c r="AL191" s="652">
        <f t="shared" ca="1" si="126"/>
        <v>3044093.8269030512</v>
      </c>
      <c r="AM191" s="652">
        <f t="shared" ca="1" si="126"/>
        <v>0</v>
      </c>
      <c r="AN191" s="652">
        <f t="shared" ca="1" si="126"/>
        <v>0</v>
      </c>
      <c r="AO191" s="652">
        <f t="shared" ca="1" si="126"/>
        <v>0</v>
      </c>
      <c r="AP191" s="652">
        <f t="shared" ca="1" si="126"/>
        <v>0</v>
      </c>
      <c r="AQ191" s="652">
        <f t="shared" ca="1" si="126"/>
        <v>6134.3227624744068</v>
      </c>
      <c r="AR191" s="652">
        <f t="shared" ca="1" si="126"/>
        <v>6134.3227624744068</v>
      </c>
      <c r="AS191" s="652">
        <f t="shared" ca="1" si="126"/>
        <v>1472.2374629938577</v>
      </c>
      <c r="AT191" s="652">
        <f t="shared" ca="1" si="126"/>
        <v>0</v>
      </c>
      <c r="AU191" s="652">
        <f t="shared" ca="1" si="126"/>
        <v>0</v>
      </c>
      <c r="AV191" s="652">
        <f t="shared" ca="1" si="126"/>
        <v>0</v>
      </c>
      <c r="AW191" s="652">
        <f t="shared" ca="1" si="124"/>
        <v>0</v>
      </c>
      <c r="AX191" s="652">
        <f t="shared" ca="1" si="124"/>
        <v>0</v>
      </c>
      <c r="AY191" s="652">
        <f t="shared" ca="1" si="124"/>
        <v>0</v>
      </c>
      <c r="AZ191" s="652">
        <f t="shared" ca="1" si="124"/>
        <v>0</v>
      </c>
      <c r="BA191" s="652">
        <f t="shared" ca="1" si="124"/>
        <v>0</v>
      </c>
      <c r="BB191" s="652">
        <f t="shared" ca="1" si="124"/>
        <v>0</v>
      </c>
      <c r="BC191" s="652">
        <f t="shared" ca="1" si="124"/>
        <v>0</v>
      </c>
      <c r="BD191" s="652">
        <f t="shared" ca="1" si="124"/>
        <v>0</v>
      </c>
      <c r="BE191" s="652" t="str">
        <f t="shared" ca="1" si="124"/>
        <v>Commercial</v>
      </c>
      <c r="BF191" s="652" t="str">
        <f t="shared" ca="1" si="124"/>
        <v>OFFLGInLight</v>
      </c>
      <c r="BG191" s="652" t="str">
        <f t="shared" ca="1" si="124"/>
        <v>OFFSMGasHeat</v>
      </c>
      <c r="BH191" s="652" t="str">
        <f t="shared" ca="1" si="124"/>
        <v>LGE NonRes</v>
      </c>
      <c r="BI191" s="652" t="str">
        <f t="shared" ca="1" si="124"/>
        <v>LGE NonRes</v>
      </c>
      <c r="BJ191" s="652">
        <f t="shared" ca="1" si="124"/>
        <v>12</v>
      </c>
      <c r="BK191" s="652">
        <f t="shared" ca="1" si="124"/>
        <v>0</v>
      </c>
      <c r="BL191" s="652">
        <f t="shared" ca="1" si="116"/>
        <v>0</v>
      </c>
      <c r="BM191" s="652">
        <f t="shared" ca="1" si="116"/>
        <v>0</v>
      </c>
      <c r="BN191" s="652">
        <f t="shared" ca="1" si="116"/>
        <v>0</v>
      </c>
      <c r="BO191" s="652">
        <f t="shared" ca="1" si="116"/>
        <v>0</v>
      </c>
      <c r="BP191" s="652">
        <f t="shared" ca="1" si="116"/>
        <v>0</v>
      </c>
      <c r="BQ191" s="652">
        <f t="shared" ca="1" si="116"/>
        <v>0</v>
      </c>
      <c r="BR191" s="652">
        <f t="shared" ca="1" si="109"/>
        <v>220039.67999999999</v>
      </c>
      <c r="BS191" s="652">
        <f t="shared" ca="1" si="124"/>
        <v>7984296.959999999</v>
      </c>
      <c r="BT191" s="652">
        <f t="shared" ca="1" si="124"/>
        <v>0</v>
      </c>
      <c r="BU191" s="652">
        <f t="shared" ca="1" si="124"/>
        <v>1100198.3999999999</v>
      </c>
      <c r="BV191" s="652">
        <f t="shared" ca="1" si="124"/>
        <v>0</v>
      </c>
      <c r="BW191" s="652">
        <f t="shared" ca="1" si="124"/>
        <v>28411542.384428479</v>
      </c>
      <c r="BX191" s="652">
        <f t="shared" ca="1" si="123"/>
        <v>13740.88298794267</v>
      </c>
      <c r="BY191" s="652">
        <f t="shared" ca="1" si="123"/>
        <v>0</v>
      </c>
    </row>
    <row r="192" spans="1:77">
      <c r="A192" s="425" t="str">
        <f t="shared" ca="1" si="108"/>
        <v>Business RebatesLG&amp;E-Interior ≥ 50W</v>
      </c>
      <c r="B192" s="1297" t="str">
        <f t="shared" si="101"/>
        <v>LG&amp;EBusiness Rebates</v>
      </c>
      <c r="C192" s="662" t="s">
        <v>276</v>
      </c>
      <c r="D192" s="662" t="s">
        <v>63</v>
      </c>
      <c r="E192" s="652" t="str">
        <f t="shared" ca="1" si="128"/>
        <v>LG&amp;E-Interior ≥ 50W</v>
      </c>
      <c r="F192" s="652" t="str">
        <f t="shared" ca="1" si="128"/>
        <v>Any LED lamps or ballasts must also be ENERGY STAR® certified or listed on the Design Lights Consortium (DLC) qualified list.</v>
      </c>
      <c r="G192" s="652" t="str">
        <f t="shared" ca="1" si="128"/>
        <v>Per Unit</v>
      </c>
      <c r="H192" s="652">
        <f t="shared" ca="1" si="127"/>
        <v>12185</v>
      </c>
      <c r="I192" s="652">
        <f t="shared" ca="1" si="127"/>
        <v>12185</v>
      </c>
      <c r="J192" s="652">
        <f t="shared" ca="1" si="127"/>
        <v>2924.4</v>
      </c>
      <c r="K192" s="652">
        <f t="shared" ca="1" si="127"/>
        <v>0</v>
      </c>
      <c r="L192" s="652">
        <f t="shared" ca="1" si="127"/>
        <v>0</v>
      </c>
      <c r="M192" s="652">
        <f t="shared" ca="1" si="127"/>
        <v>0</v>
      </c>
      <c r="N192" s="652">
        <f t="shared" ca="1" si="127"/>
        <v>0</v>
      </c>
      <c r="O192" s="652">
        <f t="shared" ca="1" si="127"/>
        <v>1852120</v>
      </c>
      <c r="P192" s="652">
        <f t="shared" ca="1" si="127"/>
        <v>1852120</v>
      </c>
      <c r="Q192" s="652">
        <f t="shared" ca="1" si="127"/>
        <v>444508.8</v>
      </c>
      <c r="R192" s="652">
        <f t="shared" ca="1" si="127"/>
        <v>0</v>
      </c>
      <c r="S192" s="652">
        <f t="shared" ca="1" si="127"/>
        <v>0</v>
      </c>
      <c r="T192" s="652">
        <f t="shared" ca="1" si="127"/>
        <v>0</v>
      </c>
      <c r="U192" s="652">
        <f t="shared" ca="1" si="127"/>
        <v>0</v>
      </c>
      <c r="V192" s="652">
        <f t="shared" ca="1" si="125"/>
        <v>0</v>
      </c>
      <c r="W192" s="652">
        <f t="shared" ca="1" si="125"/>
        <v>0</v>
      </c>
      <c r="X192" s="652">
        <f t="shared" ca="1" si="125"/>
        <v>0</v>
      </c>
      <c r="Y192" s="652">
        <f t="shared" ca="1" si="125"/>
        <v>0</v>
      </c>
      <c r="Z192" s="652">
        <f t="shared" ca="1" si="125"/>
        <v>0</v>
      </c>
      <c r="AA192" s="652">
        <f t="shared" ca="1" si="125"/>
        <v>0</v>
      </c>
      <c r="AB192" s="652">
        <f t="shared" ca="1" si="125"/>
        <v>0</v>
      </c>
      <c r="AC192" s="652">
        <f t="shared" ca="1" si="125"/>
        <v>73110</v>
      </c>
      <c r="AD192" s="652">
        <f t="shared" ca="1" si="125"/>
        <v>73110</v>
      </c>
      <c r="AE192" s="652">
        <f t="shared" ca="1" si="125"/>
        <v>17546.400000000001</v>
      </c>
      <c r="AF192" s="652">
        <f t="shared" ca="1" si="125"/>
        <v>0</v>
      </c>
      <c r="AG192" s="652">
        <f t="shared" ca="1" si="125"/>
        <v>0</v>
      </c>
      <c r="AH192" s="652">
        <f t="shared" ca="1" si="125"/>
        <v>0</v>
      </c>
      <c r="AI192" s="652">
        <f t="shared" ca="1" si="126"/>
        <v>0</v>
      </c>
      <c r="AJ192" s="652">
        <f t="shared" ca="1" si="126"/>
        <v>2538760.0450853533</v>
      </c>
      <c r="AK192" s="652">
        <f t="shared" ca="1" si="126"/>
        <v>2538760.0450853533</v>
      </c>
      <c r="AL192" s="652">
        <f t="shared" ca="1" si="126"/>
        <v>609302.41082048486</v>
      </c>
      <c r="AM192" s="652">
        <f t="shared" ca="1" si="126"/>
        <v>0</v>
      </c>
      <c r="AN192" s="652">
        <f t="shared" ca="1" si="126"/>
        <v>0</v>
      </c>
      <c r="AO192" s="652">
        <f t="shared" ca="1" si="126"/>
        <v>0</v>
      </c>
      <c r="AP192" s="652">
        <f t="shared" ca="1" si="126"/>
        <v>0</v>
      </c>
      <c r="AQ192" s="652">
        <f t="shared" ca="1" si="126"/>
        <v>540.87477058528748</v>
      </c>
      <c r="AR192" s="652">
        <f t="shared" ca="1" si="126"/>
        <v>540.87477058528748</v>
      </c>
      <c r="AS192" s="652">
        <f t="shared" ca="1" si="126"/>
        <v>129.80994494046902</v>
      </c>
      <c r="AT192" s="652">
        <f t="shared" ca="1" si="126"/>
        <v>0</v>
      </c>
      <c r="AU192" s="652">
        <f t="shared" ca="1" si="126"/>
        <v>0</v>
      </c>
      <c r="AV192" s="652">
        <f t="shared" ca="1" si="126"/>
        <v>0</v>
      </c>
      <c r="AW192" s="652">
        <f t="shared" ca="1" si="124"/>
        <v>0</v>
      </c>
      <c r="AX192" s="652">
        <f t="shared" ca="1" si="124"/>
        <v>0</v>
      </c>
      <c r="AY192" s="652">
        <f t="shared" ca="1" si="124"/>
        <v>0</v>
      </c>
      <c r="AZ192" s="652">
        <f t="shared" ca="1" si="124"/>
        <v>0</v>
      </c>
      <c r="BA192" s="652">
        <f t="shared" ca="1" si="124"/>
        <v>0</v>
      </c>
      <c r="BB192" s="652">
        <f t="shared" ca="1" si="124"/>
        <v>0</v>
      </c>
      <c r="BC192" s="652">
        <f t="shared" ca="1" si="124"/>
        <v>0</v>
      </c>
      <c r="BD192" s="652">
        <f t="shared" ca="1" si="124"/>
        <v>0</v>
      </c>
      <c r="BE192" s="652" t="str">
        <f t="shared" ca="1" si="124"/>
        <v>Commercial</v>
      </c>
      <c r="BF192" s="652" t="str">
        <f t="shared" ca="1" si="124"/>
        <v>OFFLGInLight</v>
      </c>
      <c r="BG192" s="652" t="str">
        <f t="shared" ca="1" si="124"/>
        <v>OFFSMGasHeat</v>
      </c>
      <c r="BH192" s="652" t="str">
        <f t="shared" ca="1" si="124"/>
        <v>LGE NonRes</v>
      </c>
      <c r="BI192" s="652" t="str">
        <f t="shared" ca="1" si="124"/>
        <v>LGE NonRes</v>
      </c>
      <c r="BJ192" s="652">
        <f t="shared" ca="1" si="124"/>
        <v>12</v>
      </c>
      <c r="BK192" s="652">
        <f t="shared" ref="AW192:BW195" ca="1" si="129">VLOOKUP($C192,INDIRECT("'"&amp;$D192&amp;"'!A6:FR1000"),IF(BK$6="Participation 2023",MATCH("__Participation 2023",INDIRECT("'"&amp;$D192&amp;"'!1:1"),0),IF(BK$6="Participation",MATCH("_Total Plan Summary _Participation",INDIRECT("'"&amp;$D192&amp;"'!1:1"),0),MATCH(BK$4&amp;"_"&amp;BK$5&amp;"_"&amp;BK$6,INDIRECT("'"&amp;$D192&amp;"'!1:1"),0))),0)</f>
        <v>0</v>
      </c>
      <c r="BL192" s="652">
        <f t="shared" ca="1" si="116"/>
        <v>0</v>
      </c>
      <c r="BM192" s="652">
        <f t="shared" ca="1" si="116"/>
        <v>0</v>
      </c>
      <c r="BN192" s="652">
        <f t="shared" ca="1" si="116"/>
        <v>0</v>
      </c>
      <c r="BO192" s="652">
        <f t="shared" ca="1" si="116"/>
        <v>0</v>
      </c>
      <c r="BP192" s="652">
        <f t="shared" ca="1" si="116"/>
        <v>0</v>
      </c>
      <c r="BQ192" s="652">
        <f t="shared" ca="1" si="116"/>
        <v>0</v>
      </c>
      <c r="BR192" s="652">
        <f t="shared" ca="1" si="109"/>
        <v>27294.400000000001</v>
      </c>
      <c r="BS192" s="652">
        <f t="shared" ca="1" si="129"/>
        <v>4148748.8</v>
      </c>
      <c r="BT192" s="652">
        <f t="shared" ca="1" si="129"/>
        <v>0</v>
      </c>
      <c r="BU192" s="652">
        <f t="shared" ca="1" si="129"/>
        <v>163766.39999999999</v>
      </c>
      <c r="BV192" s="652">
        <f t="shared" ca="1" si="129"/>
        <v>0</v>
      </c>
      <c r="BW192" s="652">
        <f t="shared" ca="1" si="129"/>
        <v>5686822.5009911917</v>
      </c>
      <c r="BX192" s="652">
        <f t="shared" ca="1" si="123"/>
        <v>1211.559486111044</v>
      </c>
      <c r="BY192" s="652">
        <f t="shared" ca="1" si="123"/>
        <v>0</v>
      </c>
    </row>
    <row r="193" spans="1:77">
      <c r="A193" s="425" t="str">
        <f t="shared" ca="1" si="108"/>
        <v>Business RebatesLG&amp;E-Exterior: LED Other</v>
      </c>
      <c r="B193" s="1297" t="str">
        <f t="shared" si="101"/>
        <v>LG&amp;EBusiness Rebates</v>
      </c>
      <c r="C193" s="662" t="s">
        <v>277</v>
      </c>
      <c r="D193" s="662" t="s">
        <v>63</v>
      </c>
      <c r="E193" s="652" t="str">
        <f t="shared" ca="1" si="128"/>
        <v>LG&amp;E-Exterior: LED Other</v>
      </c>
      <c r="F193" s="652" t="str">
        <f t="shared" ca="1" si="128"/>
        <v>Any LED lamps or ballasts must also be ENERGY STAR® certified or listed on the Design Lights Consortium (DLC) qualified list.</v>
      </c>
      <c r="G193" s="652" t="str">
        <f t="shared" ca="1" si="128"/>
        <v>Per Unit</v>
      </c>
      <c r="H193" s="652">
        <f t="shared" ca="1" si="127"/>
        <v>28447</v>
      </c>
      <c r="I193" s="652">
        <f t="shared" ca="1" si="127"/>
        <v>28447</v>
      </c>
      <c r="J193" s="652">
        <f t="shared" ca="1" si="127"/>
        <v>6827.2800000000007</v>
      </c>
      <c r="K193" s="652">
        <f t="shared" ca="1" si="127"/>
        <v>0</v>
      </c>
      <c r="L193" s="652">
        <f t="shared" ca="1" si="127"/>
        <v>0</v>
      </c>
      <c r="M193" s="652">
        <f t="shared" ca="1" si="127"/>
        <v>0</v>
      </c>
      <c r="N193" s="652">
        <f t="shared" ca="1" si="127"/>
        <v>0</v>
      </c>
      <c r="O193" s="652">
        <f t="shared" ca="1" si="127"/>
        <v>526269.5</v>
      </c>
      <c r="P193" s="652">
        <f t="shared" ca="1" si="127"/>
        <v>526269.5</v>
      </c>
      <c r="Q193" s="652">
        <f t="shared" ca="1" si="127"/>
        <v>126304.68000000001</v>
      </c>
      <c r="R193" s="652">
        <f t="shared" ca="1" si="127"/>
        <v>0</v>
      </c>
      <c r="S193" s="652">
        <f t="shared" ca="1" si="127"/>
        <v>0</v>
      </c>
      <c r="T193" s="652">
        <f t="shared" ca="1" si="127"/>
        <v>0</v>
      </c>
      <c r="U193" s="652">
        <f t="shared" ca="1" si="127"/>
        <v>0</v>
      </c>
      <c r="V193" s="652">
        <f t="shared" ca="1" si="125"/>
        <v>0</v>
      </c>
      <c r="W193" s="652">
        <f t="shared" ca="1" si="125"/>
        <v>0</v>
      </c>
      <c r="X193" s="652">
        <f t="shared" ca="1" si="125"/>
        <v>0</v>
      </c>
      <c r="Y193" s="652">
        <f t="shared" ca="1" si="125"/>
        <v>0</v>
      </c>
      <c r="Z193" s="652">
        <f t="shared" ca="1" si="125"/>
        <v>0</v>
      </c>
      <c r="AA193" s="652">
        <f t="shared" ca="1" si="125"/>
        <v>0</v>
      </c>
      <c r="AB193" s="652">
        <f t="shared" ca="1" si="125"/>
        <v>0</v>
      </c>
      <c r="AC193" s="652">
        <f t="shared" ca="1" si="125"/>
        <v>369811</v>
      </c>
      <c r="AD193" s="652">
        <f t="shared" ca="1" si="125"/>
        <v>369811</v>
      </c>
      <c r="AE193" s="652">
        <f t="shared" ca="1" si="125"/>
        <v>88754.640000000014</v>
      </c>
      <c r="AF193" s="652">
        <f t="shared" ca="1" si="125"/>
        <v>0</v>
      </c>
      <c r="AG193" s="652">
        <f t="shared" ca="1" si="125"/>
        <v>0</v>
      </c>
      <c r="AH193" s="652">
        <f t="shared" ca="1" si="125"/>
        <v>0</v>
      </c>
      <c r="AI193" s="652">
        <f t="shared" ca="1" si="126"/>
        <v>0</v>
      </c>
      <c r="AJ193" s="652">
        <f t="shared" ca="1" si="126"/>
        <v>18049756.063182533</v>
      </c>
      <c r="AK193" s="652">
        <f t="shared" ca="1" si="126"/>
        <v>18049756.063182533</v>
      </c>
      <c r="AL193" s="652">
        <f t="shared" ca="1" si="126"/>
        <v>4331941.4551638085</v>
      </c>
      <c r="AM193" s="652">
        <f t="shared" ca="1" si="126"/>
        <v>0</v>
      </c>
      <c r="AN193" s="652">
        <f t="shared" ca="1" si="126"/>
        <v>0</v>
      </c>
      <c r="AO193" s="652">
        <f t="shared" ca="1" si="126"/>
        <v>0</v>
      </c>
      <c r="AP193" s="652">
        <f t="shared" ca="1" si="126"/>
        <v>0</v>
      </c>
      <c r="AQ193" s="652">
        <f t="shared" ca="1" si="126"/>
        <v>0</v>
      </c>
      <c r="AR193" s="652">
        <f t="shared" ca="1" si="126"/>
        <v>0</v>
      </c>
      <c r="AS193" s="652">
        <f t="shared" ca="1" si="126"/>
        <v>0</v>
      </c>
      <c r="AT193" s="652">
        <f t="shared" ca="1" si="126"/>
        <v>0</v>
      </c>
      <c r="AU193" s="652">
        <f t="shared" ca="1" si="126"/>
        <v>0</v>
      </c>
      <c r="AV193" s="652">
        <f t="shared" ca="1" si="126"/>
        <v>0</v>
      </c>
      <c r="AW193" s="652">
        <f t="shared" ca="1" si="129"/>
        <v>0</v>
      </c>
      <c r="AX193" s="652">
        <f t="shared" ca="1" si="129"/>
        <v>0</v>
      </c>
      <c r="AY193" s="652">
        <f t="shared" ca="1" si="129"/>
        <v>0</v>
      </c>
      <c r="AZ193" s="652">
        <f t="shared" ca="1" si="129"/>
        <v>0</v>
      </c>
      <c r="BA193" s="652">
        <f t="shared" ca="1" si="129"/>
        <v>0</v>
      </c>
      <c r="BB193" s="652">
        <f t="shared" ca="1" si="129"/>
        <v>0</v>
      </c>
      <c r="BC193" s="652">
        <f t="shared" ca="1" si="129"/>
        <v>0</v>
      </c>
      <c r="BD193" s="652">
        <f t="shared" ca="1" si="129"/>
        <v>0</v>
      </c>
      <c r="BE193" s="652" t="str">
        <f t="shared" ca="1" si="129"/>
        <v>Commercial</v>
      </c>
      <c r="BF193" s="652" t="str">
        <f t="shared" ca="1" si="129"/>
        <v>OFFLGInLight</v>
      </c>
      <c r="BG193" s="652" t="str">
        <f t="shared" ca="1" si="129"/>
        <v>OFFSMGasHeat</v>
      </c>
      <c r="BH193" s="652" t="str">
        <f t="shared" ca="1" si="129"/>
        <v>LGE NonRes</v>
      </c>
      <c r="BI193" s="652" t="str">
        <f t="shared" ca="1" si="129"/>
        <v>LGE NonRes</v>
      </c>
      <c r="BJ193" s="652">
        <f t="shared" ca="1" si="129"/>
        <v>20</v>
      </c>
      <c r="BK193" s="652">
        <f t="shared" ca="1" si="129"/>
        <v>0</v>
      </c>
      <c r="BL193" s="652">
        <f t="shared" ca="1" si="116"/>
        <v>0</v>
      </c>
      <c r="BM193" s="652">
        <f t="shared" ca="1" si="116"/>
        <v>0</v>
      </c>
      <c r="BN193" s="652">
        <f t="shared" ca="1" si="116"/>
        <v>0</v>
      </c>
      <c r="BO193" s="652">
        <f t="shared" ca="1" si="116"/>
        <v>0</v>
      </c>
      <c r="BP193" s="652">
        <f t="shared" ca="1" si="116"/>
        <v>0</v>
      </c>
      <c r="BQ193" s="652">
        <f t="shared" ca="1" si="116"/>
        <v>0</v>
      </c>
      <c r="BR193" s="652">
        <f t="shared" ca="1" si="109"/>
        <v>63721.279999999999</v>
      </c>
      <c r="BS193" s="652">
        <f t="shared" ca="1" si="129"/>
        <v>1178843.68</v>
      </c>
      <c r="BT193" s="652">
        <f t="shared" ca="1" si="129"/>
        <v>0</v>
      </c>
      <c r="BU193" s="652">
        <f t="shared" ca="1" si="129"/>
        <v>828376.64</v>
      </c>
      <c r="BV193" s="652">
        <f t="shared" ca="1" si="129"/>
        <v>0</v>
      </c>
      <c r="BW193" s="652">
        <f t="shared" ca="1" si="129"/>
        <v>40431453.581528872</v>
      </c>
      <c r="BX193" s="652">
        <f t="shared" ca="1" si="123"/>
        <v>0</v>
      </c>
      <c r="BY193" s="652">
        <f t="shared" ca="1" si="123"/>
        <v>0</v>
      </c>
    </row>
    <row r="194" spans="1:77">
      <c r="A194" s="425" t="str">
        <f t="shared" ca="1" si="108"/>
        <v>Business RebatesLG&amp;E-Wall Pack &amp; Canopy Fixtures ≤ 150W</v>
      </c>
      <c r="B194" s="1297" t="str">
        <f t="shared" ref="B194:B244" si="130">IF(ISNUMBER(SEARCH("KU",C194)),"KU"&amp;D194,"LG&amp;E"&amp;D194)</f>
        <v>LG&amp;EBusiness Rebates</v>
      </c>
      <c r="C194" s="662" t="s">
        <v>278</v>
      </c>
      <c r="D194" s="662" t="s">
        <v>63</v>
      </c>
      <c r="E194" s="652" t="str">
        <f t="shared" ca="1" si="128"/>
        <v>LG&amp;E-Wall Pack &amp; Canopy Fixtures ≤ 150W</v>
      </c>
      <c r="F194" s="652" t="str">
        <f t="shared" ca="1" si="128"/>
        <v>Any LED lamps or ballasts must also be ENERGY STAR® certified or listed on the Design Lights Consortium (DLC) qualified list.</v>
      </c>
      <c r="G194" s="652" t="str">
        <f t="shared" ca="1" si="128"/>
        <v>Per Unit</v>
      </c>
      <c r="H194" s="652">
        <f t="shared" ca="1" si="127"/>
        <v>4529</v>
      </c>
      <c r="I194" s="652">
        <f t="shared" ca="1" si="127"/>
        <v>4529</v>
      </c>
      <c r="J194" s="652">
        <f t="shared" ca="1" si="127"/>
        <v>1086.96</v>
      </c>
      <c r="K194" s="652">
        <f t="shared" ca="1" si="127"/>
        <v>0</v>
      </c>
      <c r="L194" s="652">
        <f t="shared" ca="1" si="127"/>
        <v>0</v>
      </c>
      <c r="M194" s="652">
        <f t="shared" ca="1" si="127"/>
        <v>0</v>
      </c>
      <c r="N194" s="652">
        <f t="shared" ca="1" si="127"/>
        <v>0</v>
      </c>
      <c r="O194" s="652">
        <f t="shared" ca="1" si="127"/>
        <v>2857799</v>
      </c>
      <c r="P194" s="652">
        <f t="shared" ca="1" si="127"/>
        <v>2857799</v>
      </c>
      <c r="Q194" s="652">
        <f t="shared" ca="1" si="127"/>
        <v>685871.76</v>
      </c>
      <c r="R194" s="652">
        <f t="shared" ca="1" si="127"/>
        <v>0</v>
      </c>
      <c r="S194" s="652">
        <f t="shared" ca="1" si="127"/>
        <v>0</v>
      </c>
      <c r="T194" s="652">
        <f t="shared" ca="1" si="127"/>
        <v>0</v>
      </c>
      <c r="U194" s="652">
        <f t="shared" ca="1" si="127"/>
        <v>0</v>
      </c>
      <c r="V194" s="652">
        <f t="shared" ca="1" si="125"/>
        <v>-12977.094666666666</v>
      </c>
      <c r="W194" s="652">
        <f t="shared" ca="1" si="125"/>
        <v>-12977.094666666666</v>
      </c>
      <c r="X194" s="652">
        <f t="shared" ca="1" si="125"/>
        <v>-3114.50272</v>
      </c>
      <c r="Y194" s="652">
        <f t="shared" ca="1" si="125"/>
        <v>0</v>
      </c>
      <c r="Z194" s="652">
        <f t="shared" ca="1" si="125"/>
        <v>0</v>
      </c>
      <c r="AA194" s="652">
        <f t="shared" ca="1" si="125"/>
        <v>0</v>
      </c>
      <c r="AB194" s="652">
        <f t="shared" ca="1" si="125"/>
        <v>0</v>
      </c>
      <c r="AC194" s="652">
        <f t="shared" ca="1" si="125"/>
        <v>90580</v>
      </c>
      <c r="AD194" s="652">
        <f t="shared" ca="1" si="125"/>
        <v>90580</v>
      </c>
      <c r="AE194" s="652">
        <f t="shared" ca="1" si="125"/>
        <v>21739.200000000001</v>
      </c>
      <c r="AF194" s="652">
        <f t="shared" ca="1" si="125"/>
        <v>0</v>
      </c>
      <c r="AG194" s="652">
        <f t="shared" ca="1" si="125"/>
        <v>0</v>
      </c>
      <c r="AH194" s="652">
        <f t="shared" ca="1" si="125"/>
        <v>0</v>
      </c>
      <c r="AI194" s="652">
        <f t="shared" ca="1" si="126"/>
        <v>0</v>
      </c>
      <c r="AJ194" s="652">
        <f t="shared" ca="1" si="126"/>
        <v>2109485.9169999999</v>
      </c>
      <c r="AK194" s="652">
        <f t="shared" ca="1" si="126"/>
        <v>2109485.9169999999</v>
      </c>
      <c r="AL194" s="652">
        <f t="shared" ca="1" si="126"/>
        <v>506276.62007999996</v>
      </c>
      <c r="AM194" s="652">
        <f t="shared" ca="1" si="126"/>
        <v>0</v>
      </c>
      <c r="AN194" s="652">
        <f t="shared" ca="1" si="126"/>
        <v>0</v>
      </c>
      <c r="AO194" s="652">
        <f t="shared" ca="1" si="126"/>
        <v>0</v>
      </c>
      <c r="AP194" s="652">
        <f t="shared" ca="1" si="126"/>
        <v>0</v>
      </c>
      <c r="AQ194" s="652">
        <f t="shared" ca="1" si="126"/>
        <v>174.3665</v>
      </c>
      <c r="AR194" s="652">
        <f t="shared" ca="1" si="126"/>
        <v>174.3665</v>
      </c>
      <c r="AS194" s="652">
        <f t="shared" ca="1" si="126"/>
        <v>41.84796</v>
      </c>
      <c r="AT194" s="652">
        <f t="shared" ca="1" si="126"/>
        <v>0</v>
      </c>
      <c r="AU194" s="652">
        <f t="shared" ca="1" si="126"/>
        <v>0</v>
      </c>
      <c r="AV194" s="652">
        <f t="shared" ca="1" si="126"/>
        <v>0</v>
      </c>
      <c r="AW194" s="652">
        <f t="shared" ca="1" si="129"/>
        <v>0</v>
      </c>
      <c r="AX194" s="652">
        <f t="shared" ca="1" si="129"/>
        <v>0</v>
      </c>
      <c r="AY194" s="652">
        <f t="shared" ca="1" si="129"/>
        <v>0</v>
      </c>
      <c r="AZ194" s="652">
        <f t="shared" ca="1" si="129"/>
        <v>0</v>
      </c>
      <c r="BA194" s="652">
        <f t="shared" ca="1" si="129"/>
        <v>0</v>
      </c>
      <c r="BB194" s="652">
        <f t="shared" ca="1" si="129"/>
        <v>0</v>
      </c>
      <c r="BC194" s="652">
        <f t="shared" ca="1" si="129"/>
        <v>0</v>
      </c>
      <c r="BD194" s="652">
        <f t="shared" ca="1" si="129"/>
        <v>0</v>
      </c>
      <c r="BE194" s="652" t="str">
        <f t="shared" ca="1" si="129"/>
        <v>Commercial</v>
      </c>
      <c r="BF194" s="652" t="str">
        <f t="shared" ca="1" si="129"/>
        <v>OFFLGInLight</v>
      </c>
      <c r="BG194" s="652" t="str">
        <f t="shared" ca="1" si="129"/>
        <v>OFFSMGasHeat</v>
      </c>
      <c r="BH194" s="652" t="str">
        <f t="shared" ca="1" si="129"/>
        <v>LGE NonRes</v>
      </c>
      <c r="BI194" s="652" t="str">
        <f t="shared" ca="1" si="129"/>
        <v>LGE NonRes</v>
      </c>
      <c r="BJ194" s="652">
        <f t="shared" ca="1" si="129"/>
        <v>8</v>
      </c>
      <c r="BK194" s="652">
        <f t="shared" ca="1" si="129"/>
        <v>0</v>
      </c>
      <c r="BL194" s="652">
        <f t="shared" ca="1" si="116"/>
        <v>0</v>
      </c>
      <c r="BM194" s="652">
        <f t="shared" ca="1" si="116"/>
        <v>0</v>
      </c>
      <c r="BN194" s="652">
        <f t="shared" ca="1" si="116"/>
        <v>0</v>
      </c>
      <c r="BO194" s="652">
        <f t="shared" ca="1" si="116"/>
        <v>0</v>
      </c>
      <c r="BP194" s="652">
        <f t="shared" ca="1" si="116"/>
        <v>0</v>
      </c>
      <c r="BQ194" s="652">
        <f t="shared" ca="1" si="116"/>
        <v>0</v>
      </c>
      <c r="BR194" s="652">
        <f t="shared" ca="1" si="109"/>
        <v>10144.959999999999</v>
      </c>
      <c r="BS194" s="652">
        <f t="shared" ca="1" si="129"/>
        <v>6401469.7599999998</v>
      </c>
      <c r="BT194" s="652">
        <f t="shared" ca="1" si="129"/>
        <v>-29068.692053333332</v>
      </c>
      <c r="BU194" s="652">
        <f t="shared" ca="1" si="129"/>
        <v>202899.20000000001</v>
      </c>
      <c r="BV194" s="652">
        <f t="shared" ca="1" si="129"/>
        <v>0</v>
      </c>
      <c r="BW194" s="652">
        <f t="shared" ca="1" si="129"/>
        <v>4725248.4540799996</v>
      </c>
      <c r="BX194" s="652">
        <f t="shared" ca="1" si="123"/>
        <v>390.58096</v>
      </c>
      <c r="BY194" s="652">
        <f t="shared" ca="1" si="123"/>
        <v>0</v>
      </c>
    </row>
    <row r="195" spans="1:77">
      <c r="A195" s="425" t="str">
        <f t="shared" ca="1" si="108"/>
        <v>Business RebatesLG&amp;E-Wall Pack &amp; Canopy Fixtures &gt; 150W</v>
      </c>
      <c r="B195" s="1297" t="str">
        <f t="shared" si="130"/>
        <v>LG&amp;EBusiness Rebates</v>
      </c>
      <c r="C195" s="662" t="s">
        <v>279</v>
      </c>
      <c r="D195" s="662" t="s">
        <v>63</v>
      </c>
      <c r="E195" s="652" t="str">
        <f t="shared" ca="1" si="128"/>
        <v>LG&amp;E-Wall Pack &amp; Canopy Fixtures &gt; 150W</v>
      </c>
      <c r="F195" s="652" t="str">
        <f t="shared" ca="1" si="128"/>
        <v>Any LED lamps or ballasts must also be ENERGY STAR® certified or listed on the Design Lights Consortium (DLC) qualified list.</v>
      </c>
      <c r="G195" s="652" t="str">
        <f t="shared" ca="1" si="128"/>
        <v>Per Unit</v>
      </c>
      <c r="H195" s="652">
        <f t="shared" ca="1" si="127"/>
        <v>0.5</v>
      </c>
      <c r="I195" s="652">
        <f t="shared" ca="1" si="127"/>
        <v>0.5</v>
      </c>
      <c r="J195" s="652">
        <f t="shared" ca="1" si="127"/>
        <v>0.12</v>
      </c>
      <c r="K195" s="652">
        <f t="shared" ca="1" si="127"/>
        <v>0</v>
      </c>
      <c r="L195" s="652">
        <f t="shared" ca="1" si="127"/>
        <v>0</v>
      </c>
      <c r="M195" s="652">
        <f t="shared" ca="1" si="127"/>
        <v>0</v>
      </c>
      <c r="N195" s="652">
        <f t="shared" ca="1" si="127"/>
        <v>0</v>
      </c>
      <c r="O195" s="652">
        <f t="shared" ca="1" si="127"/>
        <v>923</v>
      </c>
      <c r="P195" s="652">
        <f t="shared" ca="1" si="127"/>
        <v>923</v>
      </c>
      <c r="Q195" s="652">
        <f t="shared" ca="1" si="127"/>
        <v>221.51999999999998</v>
      </c>
      <c r="R195" s="652">
        <f t="shared" ca="1" si="127"/>
        <v>0</v>
      </c>
      <c r="S195" s="652">
        <f t="shared" ca="1" si="127"/>
        <v>0</v>
      </c>
      <c r="T195" s="652">
        <f t="shared" ca="1" si="127"/>
        <v>0</v>
      </c>
      <c r="U195" s="652">
        <f t="shared" ca="1" si="127"/>
        <v>0</v>
      </c>
      <c r="V195" s="652">
        <f t="shared" ca="1" si="125"/>
        <v>-1.4326666666666665</v>
      </c>
      <c r="W195" s="652">
        <f t="shared" ca="1" si="125"/>
        <v>-1.4326666666666665</v>
      </c>
      <c r="X195" s="652">
        <f t="shared" ca="1" si="125"/>
        <v>-0.34383999999999998</v>
      </c>
      <c r="Y195" s="652">
        <f t="shared" ca="1" si="125"/>
        <v>0</v>
      </c>
      <c r="Z195" s="652">
        <f t="shared" ca="1" si="125"/>
        <v>0</v>
      </c>
      <c r="AA195" s="652">
        <f t="shared" ca="1" si="125"/>
        <v>0</v>
      </c>
      <c r="AB195" s="652">
        <f t="shared" ca="1" si="125"/>
        <v>0</v>
      </c>
      <c r="AC195" s="652">
        <f t="shared" ca="1" si="125"/>
        <v>15</v>
      </c>
      <c r="AD195" s="652">
        <f t="shared" ca="1" si="125"/>
        <v>15</v>
      </c>
      <c r="AE195" s="652">
        <f t="shared" ca="1" si="125"/>
        <v>3.5999999999999996</v>
      </c>
      <c r="AF195" s="652">
        <f t="shared" ca="1" si="125"/>
        <v>0</v>
      </c>
      <c r="AG195" s="652">
        <f t="shared" ca="1" si="125"/>
        <v>0</v>
      </c>
      <c r="AH195" s="652">
        <f t="shared" ca="1" si="125"/>
        <v>0</v>
      </c>
      <c r="AI195" s="652">
        <f t="shared" ca="1" si="126"/>
        <v>0</v>
      </c>
      <c r="AJ195" s="652">
        <f t="shared" ca="1" si="126"/>
        <v>499.04250000000002</v>
      </c>
      <c r="AK195" s="652">
        <f t="shared" ca="1" si="126"/>
        <v>499.04250000000002</v>
      </c>
      <c r="AL195" s="652">
        <f t="shared" ca="1" si="126"/>
        <v>119.7702</v>
      </c>
      <c r="AM195" s="652">
        <f t="shared" ca="1" si="126"/>
        <v>0</v>
      </c>
      <c r="AN195" s="652">
        <f t="shared" ca="1" si="126"/>
        <v>0</v>
      </c>
      <c r="AO195" s="652">
        <f t="shared" ca="1" si="126"/>
        <v>0</v>
      </c>
      <c r="AP195" s="652">
        <f t="shared" ca="1" si="126"/>
        <v>0</v>
      </c>
      <c r="AQ195" s="652">
        <f t="shared" ca="1" si="126"/>
        <v>4.1250000000000002E-2</v>
      </c>
      <c r="AR195" s="652">
        <f t="shared" ca="1" si="126"/>
        <v>4.1250000000000002E-2</v>
      </c>
      <c r="AS195" s="652">
        <f t="shared" ca="1" si="126"/>
        <v>9.9000000000000008E-3</v>
      </c>
      <c r="AT195" s="652">
        <f t="shared" ca="1" si="126"/>
        <v>0</v>
      </c>
      <c r="AU195" s="652">
        <f t="shared" ca="1" si="126"/>
        <v>0</v>
      </c>
      <c r="AV195" s="652">
        <f t="shared" ca="1" si="126"/>
        <v>0</v>
      </c>
      <c r="AW195" s="652">
        <f t="shared" ca="1" si="129"/>
        <v>0</v>
      </c>
      <c r="AX195" s="652">
        <f t="shared" ca="1" si="129"/>
        <v>0</v>
      </c>
      <c r="AY195" s="652">
        <f t="shared" ca="1" si="129"/>
        <v>0</v>
      </c>
      <c r="AZ195" s="652">
        <f t="shared" ca="1" si="129"/>
        <v>0</v>
      </c>
      <c r="BA195" s="652">
        <f t="shared" ca="1" si="129"/>
        <v>0</v>
      </c>
      <c r="BB195" s="652">
        <f t="shared" ca="1" si="129"/>
        <v>0</v>
      </c>
      <c r="BC195" s="652">
        <f t="shared" ca="1" si="129"/>
        <v>0</v>
      </c>
      <c r="BD195" s="652">
        <f t="shared" ca="1" si="129"/>
        <v>0</v>
      </c>
      <c r="BE195" s="652" t="str">
        <f t="shared" ca="1" si="129"/>
        <v>Commercial</v>
      </c>
      <c r="BF195" s="652" t="str">
        <f t="shared" ca="1" si="129"/>
        <v>OFFLGInLight</v>
      </c>
      <c r="BG195" s="652" t="str">
        <f t="shared" ca="1" si="129"/>
        <v>OFFSMGasHeat</v>
      </c>
      <c r="BH195" s="652" t="str">
        <f t="shared" ca="1" si="129"/>
        <v>LGE NonRes</v>
      </c>
      <c r="BI195" s="652" t="str">
        <f t="shared" ca="1" si="129"/>
        <v>LGE NonRes</v>
      </c>
      <c r="BJ195" s="652">
        <f t="shared" ca="1" si="129"/>
        <v>8</v>
      </c>
      <c r="BK195" s="652">
        <f t="shared" ca="1" si="129"/>
        <v>0</v>
      </c>
      <c r="BL195" s="652">
        <f t="shared" ca="1" si="116"/>
        <v>0</v>
      </c>
      <c r="BM195" s="652">
        <f t="shared" ref="BL195:BQ233" ca="1" si="131">VLOOKUP($C195,INDIRECT("'"&amp;$D195&amp;"'!A6:FR1000"),IF(BM$6="Participation 2023",MATCH("__Participation 2023",INDIRECT("'"&amp;$D195&amp;"'!1:1"),0),IF(BM$6="Participation",MATCH("_Total Plan Summary _Participation",INDIRECT("'"&amp;$D195&amp;"'!1:1"),0),MATCH(BM$4&amp;"_"&amp;BM$5&amp;"_"&amp;BM$6,INDIRECT("'"&amp;$D195&amp;"'!1:1"),0))),0)</f>
        <v>0</v>
      </c>
      <c r="BN195" s="652">
        <f t="shared" ca="1" si="131"/>
        <v>0</v>
      </c>
      <c r="BO195" s="652">
        <f t="shared" ca="1" si="131"/>
        <v>0</v>
      </c>
      <c r="BP195" s="652">
        <f t="shared" ca="1" si="131"/>
        <v>0</v>
      </c>
      <c r="BQ195" s="652">
        <f t="shared" ca="1" si="131"/>
        <v>0</v>
      </c>
      <c r="BR195" s="652">
        <f t="shared" ca="1" si="109"/>
        <v>1.1200000000000001</v>
      </c>
      <c r="BS195" s="652">
        <f t="shared" ca="1" si="129"/>
        <v>2067.52</v>
      </c>
      <c r="BT195" s="652">
        <f t="shared" ca="1" si="129"/>
        <v>-3.2091733333333332</v>
      </c>
      <c r="BU195" s="652">
        <f t="shared" ca="1" si="129"/>
        <v>33.6</v>
      </c>
      <c r="BV195" s="652">
        <f t="shared" ca="1" si="129"/>
        <v>0</v>
      </c>
      <c r="BW195" s="652">
        <f t="shared" ca="1" si="129"/>
        <v>1117.8552</v>
      </c>
      <c r="BX195" s="652">
        <f t="shared" ca="1" si="123"/>
        <v>9.240000000000001E-2</v>
      </c>
      <c r="BY195" s="652">
        <f t="shared" ca="1" si="123"/>
        <v>0</v>
      </c>
    </row>
    <row r="196" spans="1:77">
      <c r="A196" s="425" t="str">
        <f t="shared" ca="1" si="108"/>
        <v>Business RebatesLG&amp;E-Small Business Kits</v>
      </c>
      <c r="B196" s="1297" t="str">
        <f t="shared" si="130"/>
        <v>LG&amp;EBusiness Rebates</v>
      </c>
      <c r="C196" s="662" t="s">
        <v>280</v>
      </c>
      <c r="D196" s="662" t="s">
        <v>63</v>
      </c>
      <c r="E196" s="652" t="str">
        <f t="shared" ca="1" si="128"/>
        <v>LG&amp;E-Small Business Kits</v>
      </c>
      <c r="F196" s="652" t="str">
        <f t="shared" ca="1" si="128"/>
        <v>Small Business Kits</v>
      </c>
      <c r="G196" s="652" t="str">
        <f t="shared" ca="1" si="128"/>
        <v>Per Unit</v>
      </c>
      <c r="H196" s="652">
        <f t="shared" ca="1" si="127"/>
        <v>0</v>
      </c>
      <c r="I196" s="652">
        <f t="shared" ca="1" si="127"/>
        <v>0</v>
      </c>
      <c r="J196" s="652">
        <f t="shared" ca="1" si="127"/>
        <v>0</v>
      </c>
      <c r="K196" s="652">
        <f t="shared" ca="1" si="127"/>
        <v>0</v>
      </c>
      <c r="L196" s="652">
        <f t="shared" ca="1" si="127"/>
        <v>0</v>
      </c>
      <c r="M196" s="652">
        <f t="shared" ca="1" si="127"/>
        <v>0</v>
      </c>
      <c r="N196" s="652">
        <f t="shared" ca="1" si="127"/>
        <v>0</v>
      </c>
      <c r="O196" s="652">
        <f t="shared" ca="1" si="127"/>
        <v>0</v>
      </c>
      <c r="P196" s="652">
        <f t="shared" ca="1" si="127"/>
        <v>0</v>
      </c>
      <c r="Q196" s="652">
        <f t="shared" ca="1" si="127"/>
        <v>0</v>
      </c>
      <c r="R196" s="652">
        <f t="shared" ca="1" si="127"/>
        <v>0</v>
      </c>
      <c r="S196" s="652">
        <f t="shared" ca="1" si="127"/>
        <v>0</v>
      </c>
      <c r="T196" s="652">
        <f t="shared" ca="1" si="127"/>
        <v>0</v>
      </c>
      <c r="U196" s="652">
        <f t="shared" ca="1" si="127"/>
        <v>0</v>
      </c>
      <c r="V196" s="652">
        <f t="shared" ca="1" si="125"/>
        <v>0</v>
      </c>
      <c r="W196" s="652">
        <f t="shared" ca="1" si="125"/>
        <v>0</v>
      </c>
      <c r="X196" s="652">
        <f t="shared" ca="1" si="125"/>
        <v>0</v>
      </c>
      <c r="Y196" s="652">
        <f t="shared" ca="1" si="125"/>
        <v>0</v>
      </c>
      <c r="Z196" s="652">
        <f t="shared" ca="1" si="125"/>
        <v>0</v>
      </c>
      <c r="AA196" s="652">
        <f t="shared" ca="1" si="125"/>
        <v>0</v>
      </c>
      <c r="AB196" s="652">
        <f t="shared" ca="1" si="125"/>
        <v>0</v>
      </c>
      <c r="AC196" s="652">
        <f t="shared" ca="1" si="125"/>
        <v>0</v>
      </c>
      <c r="AD196" s="652">
        <f t="shared" ca="1" si="125"/>
        <v>0</v>
      </c>
      <c r="AE196" s="652">
        <f t="shared" ca="1" si="125"/>
        <v>0</v>
      </c>
      <c r="AF196" s="652">
        <f t="shared" ca="1" si="125"/>
        <v>0</v>
      </c>
      <c r="AG196" s="652">
        <f t="shared" ca="1" si="125"/>
        <v>0</v>
      </c>
      <c r="AH196" s="652">
        <f t="shared" ca="1" si="125"/>
        <v>0</v>
      </c>
      <c r="AI196" s="652">
        <f t="shared" ca="1" si="126"/>
        <v>0</v>
      </c>
      <c r="AJ196" s="652">
        <f t="shared" ca="1" si="126"/>
        <v>0</v>
      </c>
      <c r="AK196" s="652">
        <f t="shared" ca="1" si="126"/>
        <v>0</v>
      </c>
      <c r="AL196" s="652">
        <f t="shared" ca="1" si="126"/>
        <v>0</v>
      </c>
      <c r="AM196" s="652">
        <f t="shared" ca="1" si="126"/>
        <v>0</v>
      </c>
      <c r="AN196" s="652">
        <f t="shared" ca="1" si="126"/>
        <v>0</v>
      </c>
      <c r="AO196" s="652">
        <f t="shared" ca="1" si="126"/>
        <v>0</v>
      </c>
      <c r="AP196" s="652">
        <f t="shared" ca="1" si="126"/>
        <v>0</v>
      </c>
      <c r="AQ196" s="652">
        <f t="shared" ca="1" si="126"/>
        <v>0</v>
      </c>
      <c r="AR196" s="652">
        <f t="shared" ca="1" si="126"/>
        <v>0</v>
      </c>
      <c r="AS196" s="652">
        <f t="shared" ca="1" si="126"/>
        <v>0</v>
      </c>
      <c r="AT196" s="652">
        <f t="shared" ca="1" si="126"/>
        <v>0</v>
      </c>
      <c r="AU196" s="652">
        <f t="shared" ca="1" si="126"/>
        <v>0</v>
      </c>
      <c r="AV196" s="652">
        <f t="shared" ref="AV196:BW212" ca="1" si="132">VLOOKUP($C196,INDIRECT("'"&amp;$D196&amp;"'!A6:FR1000"),IF(AV$6="Participation 2023",MATCH("__Participation 2023",INDIRECT("'"&amp;$D196&amp;"'!1:1"),0),IF(AV$6="Participation",MATCH("_Total Plan Summary _Participation",INDIRECT("'"&amp;$D196&amp;"'!1:1"),0),MATCH(AV$4&amp;"_"&amp;AV$5&amp;"_"&amp;AV$6,INDIRECT("'"&amp;$D196&amp;"'!1:1"),0))),0)</f>
        <v>0</v>
      </c>
      <c r="AW196" s="652">
        <f t="shared" ca="1" si="132"/>
        <v>0</v>
      </c>
      <c r="AX196" s="652">
        <f t="shared" ca="1" si="132"/>
        <v>0</v>
      </c>
      <c r="AY196" s="652">
        <f t="shared" ca="1" si="132"/>
        <v>0</v>
      </c>
      <c r="AZ196" s="652">
        <f t="shared" ca="1" si="132"/>
        <v>0</v>
      </c>
      <c r="BA196" s="652">
        <f t="shared" ca="1" si="132"/>
        <v>0</v>
      </c>
      <c r="BB196" s="652">
        <f t="shared" ca="1" si="132"/>
        <v>0</v>
      </c>
      <c r="BC196" s="652">
        <f t="shared" ca="1" si="132"/>
        <v>0</v>
      </c>
      <c r="BD196" s="652">
        <f t="shared" ca="1" si="132"/>
        <v>0</v>
      </c>
      <c r="BE196" s="652" t="str">
        <f t="shared" ca="1" si="132"/>
        <v>Commercial</v>
      </c>
      <c r="BF196" s="652" t="str">
        <f t="shared" ca="1" si="132"/>
        <v>OFFLGInLight</v>
      </c>
      <c r="BG196" s="652" t="str">
        <f t="shared" ca="1" si="132"/>
        <v>OFFSMGasHeat</v>
      </c>
      <c r="BH196" s="652" t="str">
        <f t="shared" ca="1" si="132"/>
        <v>LGE NonRes</v>
      </c>
      <c r="BI196" s="652" t="str">
        <f t="shared" ca="1" si="132"/>
        <v>LGE NonRes</v>
      </c>
      <c r="BJ196" s="652">
        <f t="shared" ca="1" si="132"/>
        <v>8</v>
      </c>
      <c r="BK196" s="652">
        <f t="shared" ca="1" si="132"/>
        <v>0</v>
      </c>
      <c r="BL196" s="652">
        <f t="shared" ca="1" si="131"/>
        <v>0</v>
      </c>
      <c r="BM196" s="652">
        <f t="shared" ca="1" si="131"/>
        <v>0</v>
      </c>
      <c r="BN196" s="652">
        <f t="shared" ca="1" si="131"/>
        <v>0</v>
      </c>
      <c r="BO196" s="652">
        <f t="shared" ca="1" si="131"/>
        <v>0</v>
      </c>
      <c r="BP196" s="652">
        <f t="shared" ca="1" si="131"/>
        <v>0</v>
      </c>
      <c r="BQ196" s="652">
        <f t="shared" ca="1" si="131"/>
        <v>0</v>
      </c>
      <c r="BR196" s="652">
        <f t="shared" ca="1" si="109"/>
        <v>0</v>
      </c>
      <c r="BS196" s="652">
        <f t="shared" ca="1" si="132"/>
        <v>0</v>
      </c>
      <c r="BT196" s="652">
        <f t="shared" ca="1" si="132"/>
        <v>0</v>
      </c>
      <c r="BU196" s="652">
        <f t="shared" ca="1" si="132"/>
        <v>0</v>
      </c>
      <c r="BV196" s="652">
        <f t="shared" ca="1" si="132"/>
        <v>0</v>
      </c>
      <c r="BW196" s="652">
        <f t="shared" ca="1" si="132"/>
        <v>0</v>
      </c>
      <c r="BX196" s="652">
        <f t="shared" ca="1" si="123"/>
        <v>0</v>
      </c>
      <c r="BY196" s="652">
        <f t="shared" ca="1" si="123"/>
        <v>0</v>
      </c>
    </row>
    <row r="197" spans="1:77">
      <c r="A197" s="425" t="str">
        <f t="shared" ca="1" si="108"/>
        <v>Business RebatesLG&amp;E-LED Pole Light ≤ 250W</v>
      </c>
      <c r="B197" s="1297" t="str">
        <f t="shared" si="130"/>
        <v>LG&amp;EBusiness Rebates</v>
      </c>
      <c r="C197" s="662" t="s">
        <v>281</v>
      </c>
      <c r="D197" s="662" t="s">
        <v>63</v>
      </c>
      <c r="E197" s="652" t="str">
        <f t="shared" ca="1" si="128"/>
        <v>LG&amp;E-LED Pole Light ≤ 250W</v>
      </c>
      <c r="F197" s="652" t="str">
        <f t="shared" ca="1" si="128"/>
        <v>Any LED lamps or ballasts must also be ENERGY STAR® certified or listed on the Design Lights Consortium (DLC) qualified list.</v>
      </c>
      <c r="G197" s="652" t="str">
        <f t="shared" ca="1" si="128"/>
        <v>Per Unit</v>
      </c>
      <c r="H197" s="652">
        <f t="shared" ca="1" si="127"/>
        <v>0</v>
      </c>
      <c r="I197" s="652">
        <f t="shared" ca="1" si="127"/>
        <v>0</v>
      </c>
      <c r="J197" s="652">
        <f t="shared" ca="1" si="127"/>
        <v>0</v>
      </c>
      <c r="K197" s="652">
        <f t="shared" ca="1" si="127"/>
        <v>0</v>
      </c>
      <c r="L197" s="652">
        <f t="shared" ca="1" si="127"/>
        <v>0</v>
      </c>
      <c r="M197" s="652">
        <f t="shared" ca="1" si="127"/>
        <v>0</v>
      </c>
      <c r="N197" s="652">
        <f t="shared" ca="1" si="127"/>
        <v>0</v>
      </c>
      <c r="O197" s="652">
        <f t="shared" ca="1" si="127"/>
        <v>0</v>
      </c>
      <c r="P197" s="652">
        <f t="shared" ca="1" si="127"/>
        <v>0</v>
      </c>
      <c r="Q197" s="652">
        <f t="shared" ca="1" si="127"/>
        <v>0</v>
      </c>
      <c r="R197" s="652">
        <f t="shared" ca="1" si="127"/>
        <v>0</v>
      </c>
      <c r="S197" s="652">
        <f t="shared" ca="1" si="127"/>
        <v>0</v>
      </c>
      <c r="T197" s="652">
        <f t="shared" ca="1" si="127"/>
        <v>0</v>
      </c>
      <c r="U197" s="652">
        <f t="shared" ref="U197:AH223" ca="1" si="133">VLOOKUP($C197,INDIRECT("'"&amp;$D197&amp;"'!A6:FR1000"),IF(U$6="Participation 2023",MATCH("__Participation 2023",INDIRECT("'"&amp;$D197&amp;"'!1:1"),0),IF(U$6="Participation",MATCH("_Total Plan Summary _Participation",INDIRECT("'"&amp;$D197&amp;"'!1:1"),0),MATCH(U$4&amp;"_"&amp;U$5&amp;"_"&amp;U$6,INDIRECT("'"&amp;$D197&amp;"'!1:1"),0))),0)</f>
        <v>0</v>
      </c>
      <c r="V197" s="652">
        <f t="shared" ca="1" si="133"/>
        <v>0</v>
      </c>
      <c r="W197" s="652">
        <f t="shared" ca="1" si="133"/>
        <v>0</v>
      </c>
      <c r="X197" s="652">
        <f t="shared" ca="1" si="133"/>
        <v>0</v>
      </c>
      <c r="Y197" s="652">
        <f t="shared" ca="1" si="133"/>
        <v>0</v>
      </c>
      <c r="Z197" s="652">
        <f t="shared" ca="1" si="133"/>
        <v>0</v>
      </c>
      <c r="AA197" s="652">
        <f t="shared" ca="1" si="133"/>
        <v>0</v>
      </c>
      <c r="AB197" s="652">
        <f t="shared" ca="1" si="133"/>
        <v>0</v>
      </c>
      <c r="AC197" s="652">
        <f t="shared" ca="1" si="133"/>
        <v>0</v>
      </c>
      <c r="AD197" s="652">
        <f t="shared" ca="1" si="133"/>
        <v>0</v>
      </c>
      <c r="AE197" s="652">
        <f t="shared" ca="1" si="133"/>
        <v>0</v>
      </c>
      <c r="AF197" s="652">
        <f t="shared" ca="1" si="133"/>
        <v>0</v>
      </c>
      <c r="AG197" s="652">
        <f t="shared" ca="1" si="133"/>
        <v>0</v>
      </c>
      <c r="AH197" s="652">
        <f t="shared" ca="1" si="133"/>
        <v>0</v>
      </c>
      <c r="AI197" s="652">
        <f t="shared" ref="AI197:AV223" ca="1" si="134">VLOOKUP($C197,INDIRECT("'"&amp;$D197&amp;"'!A6:FR1000"),IF(AI$6="Participation 2023",MATCH("__Participation 2023",INDIRECT("'"&amp;$D197&amp;"'!1:1"),0),IF(AI$6="Participation",MATCH("_Total Plan Summary _Participation",INDIRECT("'"&amp;$D197&amp;"'!1:1"),0),MATCH(AI$4&amp;"_"&amp;AI$5&amp;"_"&amp;AI$6,INDIRECT("'"&amp;$D197&amp;"'!1:1"),0))),0)</f>
        <v>0</v>
      </c>
      <c r="AJ197" s="652">
        <f t="shared" ca="1" si="134"/>
        <v>0</v>
      </c>
      <c r="AK197" s="652">
        <f t="shared" ca="1" si="134"/>
        <v>0</v>
      </c>
      <c r="AL197" s="652">
        <f t="shared" ca="1" si="134"/>
        <v>0</v>
      </c>
      <c r="AM197" s="652">
        <f t="shared" ca="1" si="134"/>
        <v>0</v>
      </c>
      <c r="AN197" s="652">
        <f t="shared" ca="1" si="134"/>
        <v>0</v>
      </c>
      <c r="AO197" s="652">
        <f t="shared" ca="1" si="134"/>
        <v>0</v>
      </c>
      <c r="AP197" s="652">
        <f t="shared" ca="1" si="134"/>
        <v>0</v>
      </c>
      <c r="AQ197" s="652">
        <f t="shared" ca="1" si="134"/>
        <v>0</v>
      </c>
      <c r="AR197" s="652">
        <f t="shared" ca="1" si="134"/>
        <v>0</v>
      </c>
      <c r="AS197" s="652">
        <f t="shared" ca="1" si="134"/>
        <v>0</v>
      </c>
      <c r="AT197" s="652">
        <f t="shared" ca="1" si="134"/>
        <v>0</v>
      </c>
      <c r="AU197" s="652">
        <f t="shared" ca="1" si="134"/>
        <v>0</v>
      </c>
      <c r="AV197" s="652">
        <f t="shared" ca="1" si="134"/>
        <v>0</v>
      </c>
      <c r="AW197" s="652">
        <f t="shared" ca="1" si="132"/>
        <v>0</v>
      </c>
      <c r="AX197" s="652">
        <f t="shared" ca="1" si="132"/>
        <v>0</v>
      </c>
      <c r="AY197" s="652">
        <f t="shared" ca="1" si="132"/>
        <v>0</v>
      </c>
      <c r="AZ197" s="652">
        <f t="shared" ca="1" si="132"/>
        <v>0</v>
      </c>
      <c r="BA197" s="652">
        <f t="shared" ca="1" si="132"/>
        <v>0</v>
      </c>
      <c r="BB197" s="652">
        <f t="shared" ca="1" si="132"/>
        <v>0</v>
      </c>
      <c r="BC197" s="652">
        <f t="shared" ca="1" si="132"/>
        <v>0</v>
      </c>
      <c r="BD197" s="652">
        <f t="shared" ca="1" si="132"/>
        <v>0</v>
      </c>
      <c r="BE197" s="652" t="str">
        <f t="shared" ca="1" si="132"/>
        <v>Commercial</v>
      </c>
      <c r="BF197" s="652" t="str">
        <f t="shared" ca="1" si="132"/>
        <v>OFFLGInLight</v>
      </c>
      <c r="BG197" s="652" t="str">
        <f t="shared" ca="1" si="132"/>
        <v>OFFSMGasHeat</v>
      </c>
      <c r="BH197" s="652" t="str">
        <f t="shared" ca="1" si="132"/>
        <v>LGE NonRes</v>
      </c>
      <c r="BI197" s="652" t="str">
        <f t="shared" ca="1" si="132"/>
        <v>LGE NonRes</v>
      </c>
      <c r="BJ197" s="652">
        <f t="shared" ca="1" si="132"/>
        <v>19</v>
      </c>
      <c r="BK197" s="652">
        <f t="shared" ca="1" si="132"/>
        <v>0</v>
      </c>
      <c r="BL197" s="652">
        <f t="shared" ca="1" si="131"/>
        <v>0</v>
      </c>
      <c r="BM197" s="652">
        <f t="shared" ca="1" si="131"/>
        <v>0</v>
      </c>
      <c r="BN197" s="652">
        <f t="shared" ca="1" si="131"/>
        <v>0</v>
      </c>
      <c r="BO197" s="652">
        <f t="shared" ca="1" si="131"/>
        <v>0</v>
      </c>
      <c r="BP197" s="652">
        <f t="shared" ca="1" si="131"/>
        <v>0</v>
      </c>
      <c r="BQ197" s="652">
        <f t="shared" ca="1" si="131"/>
        <v>0</v>
      </c>
      <c r="BR197" s="652">
        <f t="shared" ca="1" si="109"/>
        <v>0</v>
      </c>
      <c r="BS197" s="652">
        <f t="shared" ca="1" si="132"/>
        <v>0</v>
      </c>
      <c r="BT197" s="652">
        <f t="shared" ca="1" si="132"/>
        <v>0</v>
      </c>
      <c r="BU197" s="652">
        <f t="shared" ca="1" si="132"/>
        <v>0</v>
      </c>
      <c r="BV197" s="652">
        <f t="shared" ca="1" si="132"/>
        <v>0</v>
      </c>
      <c r="BW197" s="652">
        <f t="shared" ca="1" si="132"/>
        <v>0</v>
      </c>
      <c r="BX197" s="652">
        <f t="shared" ca="1" si="123"/>
        <v>0</v>
      </c>
      <c r="BY197" s="652">
        <f t="shared" ca="1" si="123"/>
        <v>0</v>
      </c>
    </row>
    <row r="198" spans="1:77">
      <c r="A198" s="425" t="str">
        <f t="shared" ca="1" si="108"/>
        <v>Business RebatesLG&amp;E-LED Pole Light &gt; 250W</v>
      </c>
      <c r="B198" s="1297" t="str">
        <f t="shared" si="130"/>
        <v>LG&amp;EBusiness Rebates</v>
      </c>
      <c r="C198" s="662" t="s">
        <v>282</v>
      </c>
      <c r="D198" s="662" t="s">
        <v>63</v>
      </c>
      <c r="E198" s="652" t="str">
        <f t="shared" ref="E198:G210" ca="1" si="135">VLOOKUP($C198,INDIRECT("'"&amp;$D198&amp;"'!A6:FC1000"),IF(E$6="Participation 2023",MATCH("__Participation 2023",INDIRECT("'"&amp;$D198&amp;"'!1:1"),0),IF(E$6="Participation",MATCH("_Total Plan Summary _Participation",INDIRECT("'"&amp;$D198&amp;"'!1:1"),0),MATCH(E$4&amp;"_"&amp;E$5&amp;"_"&amp;E$6,INDIRECT("'"&amp;$D198&amp;"'!1:1"),0))),0)</f>
        <v>LG&amp;E-LED Pole Light &gt; 250W</v>
      </c>
      <c r="F198" s="652" t="str">
        <f t="shared" ca="1" si="135"/>
        <v>Any LED lamps or ballasts must also be ENERGY STAR® certified or listed on the Design Lights Consortium (DLC) qualified list.</v>
      </c>
      <c r="G198" s="652" t="str">
        <f t="shared" ca="1" si="135"/>
        <v>Per Unit</v>
      </c>
      <c r="H198" s="652">
        <f t="shared" ref="H198:U224" ca="1" si="136">VLOOKUP($C198,INDIRECT("'"&amp;$D198&amp;"'!A6:FR1000"),IF(H$6="Participation 2023",MATCH("__Participation 2023",INDIRECT("'"&amp;$D198&amp;"'!1:1"),0),IF(H$6="Participation",MATCH("_Total Plan Summary _Participation",INDIRECT("'"&amp;$D198&amp;"'!1:1"),0),MATCH(H$4&amp;"_"&amp;H$5&amp;"_"&amp;H$6,INDIRECT("'"&amp;$D198&amp;"'!1:1"),0))),0)</f>
        <v>375.5</v>
      </c>
      <c r="I198" s="652">
        <f t="shared" ca="1" si="136"/>
        <v>375.5</v>
      </c>
      <c r="J198" s="652">
        <f t="shared" ca="1" si="136"/>
        <v>375.5</v>
      </c>
      <c r="K198" s="652">
        <f t="shared" ca="1" si="136"/>
        <v>375.5</v>
      </c>
      <c r="L198" s="652">
        <f t="shared" ca="1" si="136"/>
        <v>375.5</v>
      </c>
      <c r="M198" s="652">
        <f t="shared" ca="1" si="136"/>
        <v>375.5</v>
      </c>
      <c r="N198" s="652">
        <f t="shared" ca="1" si="136"/>
        <v>375.5</v>
      </c>
      <c r="O198" s="652">
        <f t="shared" ca="1" si="136"/>
        <v>281625</v>
      </c>
      <c r="P198" s="652">
        <f t="shared" ca="1" si="136"/>
        <v>281625</v>
      </c>
      <c r="Q198" s="652">
        <f t="shared" ca="1" si="136"/>
        <v>281625</v>
      </c>
      <c r="R198" s="652">
        <f t="shared" ca="1" si="136"/>
        <v>281625</v>
      </c>
      <c r="S198" s="652">
        <f t="shared" ca="1" si="136"/>
        <v>281625</v>
      </c>
      <c r="T198" s="652">
        <f t="shared" ca="1" si="136"/>
        <v>281625</v>
      </c>
      <c r="U198" s="652">
        <f t="shared" ca="1" si="136"/>
        <v>281625</v>
      </c>
      <c r="V198" s="652">
        <f t="shared" ca="1" si="133"/>
        <v>-762.26499999999987</v>
      </c>
      <c r="W198" s="652">
        <f t="shared" ca="1" si="133"/>
        <v>-762.26499999999987</v>
      </c>
      <c r="X198" s="652">
        <f t="shared" ca="1" si="133"/>
        <v>-762.26499999999987</v>
      </c>
      <c r="Y198" s="652">
        <f t="shared" ca="1" si="133"/>
        <v>-762.26499999999987</v>
      </c>
      <c r="Z198" s="652">
        <f t="shared" ca="1" si="133"/>
        <v>-762.26499999999987</v>
      </c>
      <c r="AA198" s="652">
        <f t="shared" ca="1" si="133"/>
        <v>-762.26499999999987</v>
      </c>
      <c r="AB198" s="652">
        <f t="shared" ca="1" si="133"/>
        <v>-762.26499999999987</v>
      </c>
      <c r="AC198" s="652">
        <f t="shared" ca="1" si="133"/>
        <v>20652.5</v>
      </c>
      <c r="AD198" s="652">
        <f t="shared" ca="1" si="133"/>
        <v>20652.5</v>
      </c>
      <c r="AE198" s="652">
        <f t="shared" ca="1" si="133"/>
        <v>20652.5</v>
      </c>
      <c r="AF198" s="652">
        <f t="shared" ca="1" si="133"/>
        <v>20652.5</v>
      </c>
      <c r="AG198" s="652">
        <f t="shared" ca="1" si="133"/>
        <v>20652.5</v>
      </c>
      <c r="AH198" s="652">
        <f t="shared" ca="1" si="133"/>
        <v>20652.5</v>
      </c>
      <c r="AI198" s="652">
        <f t="shared" ca="1" si="134"/>
        <v>20652.5</v>
      </c>
      <c r="AJ198" s="652">
        <f t="shared" ca="1" si="134"/>
        <v>357851.12449999998</v>
      </c>
      <c r="AK198" s="652">
        <f t="shared" ca="1" si="134"/>
        <v>357851.12449999998</v>
      </c>
      <c r="AL198" s="652">
        <f t="shared" ca="1" si="134"/>
        <v>357851.12449999998</v>
      </c>
      <c r="AM198" s="652">
        <f t="shared" ca="1" si="134"/>
        <v>357851.12449999998</v>
      </c>
      <c r="AN198" s="652">
        <f t="shared" ca="1" si="134"/>
        <v>357851.12449999998</v>
      </c>
      <c r="AO198" s="652">
        <f t="shared" ca="1" si="134"/>
        <v>357851.12449999998</v>
      </c>
      <c r="AP198" s="652">
        <f t="shared" ca="1" si="134"/>
        <v>357851.12449999998</v>
      </c>
      <c r="AQ198" s="652">
        <f t="shared" ca="1" si="134"/>
        <v>0</v>
      </c>
      <c r="AR198" s="652">
        <f t="shared" ca="1" si="134"/>
        <v>0</v>
      </c>
      <c r="AS198" s="652">
        <f t="shared" ca="1" si="134"/>
        <v>0</v>
      </c>
      <c r="AT198" s="652">
        <f t="shared" ca="1" si="134"/>
        <v>0</v>
      </c>
      <c r="AU198" s="652">
        <f t="shared" ca="1" si="134"/>
        <v>0</v>
      </c>
      <c r="AV198" s="652">
        <f t="shared" ca="1" si="134"/>
        <v>0</v>
      </c>
      <c r="AW198" s="652">
        <f t="shared" ca="1" si="132"/>
        <v>0</v>
      </c>
      <c r="AX198" s="652">
        <f t="shared" ca="1" si="132"/>
        <v>0</v>
      </c>
      <c r="AY198" s="652">
        <f t="shared" ca="1" si="132"/>
        <v>0</v>
      </c>
      <c r="AZ198" s="652">
        <f t="shared" ca="1" si="132"/>
        <v>0</v>
      </c>
      <c r="BA198" s="652">
        <f t="shared" ca="1" si="132"/>
        <v>0</v>
      </c>
      <c r="BB198" s="652">
        <f t="shared" ca="1" si="132"/>
        <v>0</v>
      </c>
      <c r="BC198" s="652">
        <f t="shared" ca="1" si="132"/>
        <v>0</v>
      </c>
      <c r="BD198" s="652">
        <f t="shared" ca="1" si="132"/>
        <v>0</v>
      </c>
      <c r="BE198" s="652" t="str">
        <f t="shared" ca="1" si="132"/>
        <v>Commercial</v>
      </c>
      <c r="BF198" s="652" t="str">
        <f t="shared" ca="1" si="132"/>
        <v>OFFLGInLight</v>
      </c>
      <c r="BG198" s="652" t="str">
        <f t="shared" ca="1" si="132"/>
        <v>OFFSMGasHeat</v>
      </c>
      <c r="BH198" s="652" t="str">
        <f t="shared" ca="1" si="132"/>
        <v>LGE NonRes</v>
      </c>
      <c r="BI198" s="652" t="str">
        <f t="shared" ca="1" si="132"/>
        <v>LGE NonRes</v>
      </c>
      <c r="BJ198" s="652">
        <f t="shared" ca="1" si="132"/>
        <v>19</v>
      </c>
      <c r="BK198" s="652">
        <f t="shared" ca="1" si="132"/>
        <v>0</v>
      </c>
      <c r="BL198" s="652">
        <f t="shared" ca="1" si="131"/>
        <v>0</v>
      </c>
      <c r="BM198" s="652">
        <f t="shared" ca="1" si="131"/>
        <v>0</v>
      </c>
      <c r="BN198" s="652">
        <f t="shared" ca="1" si="131"/>
        <v>0</v>
      </c>
      <c r="BO198" s="652">
        <f t="shared" ca="1" si="131"/>
        <v>0</v>
      </c>
      <c r="BP198" s="652">
        <f t="shared" ca="1" si="131"/>
        <v>0</v>
      </c>
      <c r="BQ198" s="652">
        <f t="shared" ca="1" si="131"/>
        <v>0</v>
      </c>
      <c r="BR198" s="652">
        <f t="shared" ca="1" si="109"/>
        <v>2628.5</v>
      </c>
      <c r="BS198" s="652">
        <f t="shared" ca="1" si="132"/>
        <v>1971375</v>
      </c>
      <c r="BT198" s="652">
        <f t="shared" ca="1" si="132"/>
        <v>-5335.8549999999996</v>
      </c>
      <c r="BU198" s="652">
        <f t="shared" ca="1" si="132"/>
        <v>144567.5</v>
      </c>
      <c r="BV198" s="652">
        <f t="shared" ca="1" si="132"/>
        <v>0</v>
      </c>
      <c r="BW198" s="652">
        <f t="shared" ca="1" si="132"/>
        <v>2504957.8714999999</v>
      </c>
      <c r="BX198" s="652">
        <f t="shared" ca="1" si="123"/>
        <v>0</v>
      </c>
      <c r="BY198" s="652">
        <f t="shared" ca="1" si="123"/>
        <v>0</v>
      </c>
    </row>
    <row r="199" spans="1:77">
      <c r="A199" s="425" t="str">
        <f t="shared" ca="1" si="108"/>
        <v>Small Business - Audit &amp; DIKU-Small Business Audit - On Site</v>
      </c>
      <c r="B199" s="1297" t="str">
        <f t="shared" ref="B199:B210" si="137">IF(ISNUMBER(SEARCH("KU",C199)),"KU"&amp;D199,"LG&amp;E"&amp;D199)</f>
        <v>KUSmall Business - Audit &amp; DI</v>
      </c>
      <c r="C199" s="661" t="s">
        <v>171</v>
      </c>
      <c r="D199" s="662" t="s">
        <v>64</v>
      </c>
      <c r="E199" s="652" t="str">
        <f t="shared" ca="1" si="135"/>
        <v>KU-Small Business Audit - On Site</v>
      </c>
      <c r="F199" s="652" t="str">
        <f t="shared" ca="1" si="135"/>
        <v>In person audit with no cost to customer</v>
      </c>
      <c r="G199" s="652" t="str">
        <f t="shared" ca="1" si="135"/>
        <v>Per Audit</v>
      </c>
      <c r="H199" s="652">
        <f t="shared" ca="1" si="136"/>
        <v>50</v>
      </c>
      <c r="I199" s="652">
        <f t="shared" ca="1" si="136"/>
        <v>100</v>
      </c>
      <c r="J199" s="652">
        <f t="shared" ca="1" si="136"/>
        <v>100</v>
      </c>
      <c r="K199" s="652">
        <f t="shared" ca="1" si="136"/>
        <v>100</v>
      </c>
      <c r="L199" s="652">
        <f t="shared" ca="1" si="136"/>
        <v>100</v>
      </c>
      <c r="M199" s="652">
        <f t="shared" ca="1" si="136"/>
        <v>100</v>
      </c>
      <c r="N199" s="652">
        <f t="shared" ca="1" si="136"/>
        <v>100</v>
      </c>
      <c r="O199" s="652">
        <f t="shared" ca="1" si="136"/>
        <v>0</v>
      </c>
      <c r="P199" s="652">
        <f t="shared" ca="1" si="136"/>
        <v>0</v>
      </c>
      <c r="Q199" s="652">
        <f t="shared" ca="1" si="136"/>
        <v>0</v>
      </c>
      <c r="R199" s="652">
        <f t="shared" ca="1" si="136"/>
        <v>0</v>
      </c>
      <c r="S199" s="652">
        <f t="shared" ca="1" si="136"/>
        <v>0</v>
      </c>
      <c r="T199" s="652">
        <f t="shared" ca="1" si="136"/>
        <v>0</v>
      </c>
      <c r="U199" s="652">
        <f t="shared" ca="1" si="136"/>
        <v>0</v>
      </c>
      <c r="V199" s="652">
        <f t="shared" ca="1" si="133"/>
        <v>0</v>
      </c>
      <c r="W199" s="652">
        <f t="shared" ca="1" si="133"/>
        <v>0</v>
      </c>
      <c r="X199" s="652">
        <f t="shared" ca="1" si="133"/>
        <v>0</v>
      </c>
      <c r="Y199" s="652">
        <f t="shared" ca="1" si="133"/>
        <v>0</v>
      </c>
      <c r="Z199" s="652">
        <f t="shared" ca="1" si="133"/>
        <v>0</v>
      </c>
      <c r="AA199" s="652">
        <f t="shared" ca="1" si="133"/>
        <v>0</v>
      </c>
      <c r="AB199" s="652">
        <f t="shared" ca="1" si="133"/>
        <v>0</v>
      </c>
      <c r="AC199" s="652">
        <f t="shared" ca="1" si="133"/>
        <v>0</v>
      </c>
      <c r="AD199" s="652">
        <f t="shared" ca="1" si="133"/>
        <v>0</v>
      </c>
      <c r="AE199" s="652">
        <f t="shared" ca="1" si="133"/>
        <v>0</v>
      </c>
      <c r="AF199" s="652">
        <f t="shared" ca="1" si="133"/>
        <v>0</v>
      </c>
      <c r="AG199" s="652">
        <f t="shared" ca="1" si="133"/>
        <v>0</v>
      </c>
      <c r="AH199" s="652">
        <f t="shared" ca="1" si="133"/>
        <v>0</v>
      </c>
      <c r="AI199" s="652">
        <f t="shared" ca="1" si="134"/>
        <v>0</v>
      </c>
      <c r="AJ199" s="652">
        <f t="shared" ca="1" si="134"/>
        <v>0</v>
      </c>
      <c r="AK199" s="652">
        <f t="shared" ca="1" si="134"/>
        <v>0</v>
      </c>
      <c r="AL199" s="652">
        <f t="shared" ca="1" si="134"/>
        <v>0</v>
      </c>
      <c r="AM199" s="652">
        <f t="shared" ca="1" si="134"/>
        <v>0</v>
      </c>
      <c r="AN199" s="652">
        <f t="shared" ca="1" si="134"/>
        <v>0</v>
      </c>
      <c r="AO199" s="652">
        <f t="shared" ca="1" si="134"/>
        <v>0</v>
      </c>
      <c r="AP199" s="652">
        <f t="shared" ca="1" si="134"/>
        <v>0</v>
      </c>
      <c r="AQ199" s="652">
        <f t="shared" ca="1" si="134"/>
        <v>0</v>
      </c>
      <c r="AR199" s="652">
        <f t="shared" ca="1" si="134"/>
        <v>0</v>
      </c>
      <c r="AS199" s="652">
        <f t="shared" ca="1" si="134"/>
        <v>0</v>
      </c>
      <c r="AT199" s="652">
        <f t="shared" ca="1" si="134"/>
        <v>0</v>
      </c>
      <c r="AU199" s="652">
        <f t="shared" ca="1" si="134"/>
        <v>0</v>
      </c>
      <c r="AV199" s="652">
        <f t="shared" ca="1" si="134"/>
        <v>0</v>
      </c>
      <c r="AW199" s="652">
        <f t="shared" ca="1" si="132"/>
        <v>0</v>
      </c>
      <c r="AX199" s="652">
        <f t="shared" ca="1" si="132"/>
        <v>0</v>
      </c>
      <c r="AY199" s="652">
        <f t="shared" ca="1" si="132"/>
        <v>0</v>
      </c>
      <c r="AZ199" s="652">
        <f t="shared" ca="1" si="132"/>
        <v>0</v>
      </c>
      <c r="BA199" s="652">
        <f t="shared" ca="1" si="132"/>
        <v>0</v>
      </c>
      <c r="BB199" s="652">
        <f t="shared" ca="1" si="132"/>
        <v>0</v>
      </c>
      <c r="BC199" s="652">
        <f t="shared" ca="1" si="132"/>
        <v>0</v>
      </c>
      <c r="BD199" s="652">
        <f t="shared" ca="1" si="132"/>
        <v>0</v>
      </c>
      <c r="BE199" s="652" t="str">
        <f t="shared" ca="1" si="132"/>
        <v>Commercial</v>
      </c>
      <c r="BF199" s="652" t="str">
        <f t="shared" ca="1" si="132"/>
        <v>OFFLGElecTotl</v>
      </c>
      <c r="BG199" s="652" t="str">
        <f t="shared" ca="1" si="132"/>
        <v>OFFSMGasDHW</v>
      </c>
      <c r="BH199" s="652" t="str">
        <f t="shared" ca="1" si="132"/>
        <v>KU NonRes</v>
      </c>
      <c r="BI199" s="652" t="str">
        <f t="shared" ca="1" si="132"/>
        <v>KU NonRes</v>
      </c>
      <c r="BJ199" s="652">
        <f t="shared" ca="1" si="132"/>
        <v>1</v>
      </c>
      <c r="BK199" s="652">
        <f t="shared" ca="1" si="132"/>
        <v>37500</v>
      </c>
      <c r="BL199" s="652">
        <f t="shared" ca="1" si="131"/>
        <v>75000</v>
      </c>
      <c r="BM199" s="652">
        <f t="shared" ca="1" si="131"/>
        <v>75000</v>
      </c>
      <c r="BN199" s="652">
        <f t="shared" ca="1" si="131"/>
        <v>75000</v>
      </c>
      <c r="BO199" s="652">
        <f t="shared" ca="1" si="131"/>
        <v>75000</v>
      </c>
      <c r="BP199" s="652">
        <f t="shared" ca="1" si="131"/>
        <v>75000</v>
      </c>
      <c r="BQ199" s="652">
        <f t="shared" ca="1" si="131"/>
        <v>75000</v>
      </c>
      <c r="BR199" s="652">
        <f t="shared" ca="1" si="109"/>
        <v>650</v>
      </c>
      <c r="BS199" s="652">
        <f t="shared" ca="1" si="132"/>
        <v>0</v>
      </c>
      <c r="BT199" s="652">
        <f t="shared" ca="1" si="132"/>
        <v>0</v>
      </c>
      <c r="BU199" s="652">
        <f t="shared" ca="1" si="132"/>
        <v>0</v>
      </c>
      <c r="BV199" s="652">
        <f t="shared" ca="1" si="132"/>
        <v>487500</v>
      </c>
      <c r="BW199" s="652">
        <f t="shared" ca="1" si="132"/>
        <v>0</v>
      </c>
      <c r="BX199" s="652">
        <f t="shared" ca="1" si="123"/>
        <v>0</v>
      </c>
      <c r="BY199" s="652">
        <f t="shared" ca="1" si="123"/>
        <v>0</v>
      </c>
    </row>
    <row r="200" spans="1:77">
      <c r="A200" s="425" t="str">
        <f t="shared" ca="1" si="108"/>
        <v>Small Business - Audit &amp; DIKU-Small Business Direct Install - LED Lighting Bulbs</v>
      </c>
      <c r="B200" s="1297" t="str">
        <f t="shared" si="137"/>
        <v>KUSmall Business - Audit &amp; DI</v>
      </c>
      <c r="C200" s="661" t="s">
        <v>173</v>
      </c>
      <c r="D200" s="662" t="s">
        <v>64</v>
      </c>
      <c r="E200" s="652" t="str">
        <f t="shared" ca="1" si="135"/>
        <v>KU-Small Business Direct Install - LED Lighting Bulbs</v>
      </c>
      <c r="F200" s="652" t="str">
        <f t="shared" ca="1" si="135"/>
        <v>Linear LED Direct Install Bulbs</v>
      </c>
      <c r="G200" s="652" t="str">
        <f t="shared" ca="1" si="135"/>
        <v>Per Unit</v>
      </c>
      <c r="H200" s="652">
        <f t="shared" ca="1" si="136"/>
        <v>937.5</v>
      </c>
      <c r="I200" s="652">
        <f t="shared" ca="1" si="136"/>
        <v>1875</v>
      </c>
      <c r="J200" s="652">
        <f t="shared" ca="1" si="136"/>
        <v>1875</v>
      </c>
      <c r="K200" s="652">
        <f t="shared" ca="1" si="136"/>
        <v>1875</v>
      </c>
      <c r="L200" s="652">
        <f t="shared" ca="1" si="136"/>
        <v>1875</v>
      </c>
      <c r="M200" s="652">
        <f t="shared" ca="1" si="136"/>
        <v>1875</v>
      </c>
      <c r="N200" s="652">
        <f t="shared" ca="1" si="136"/>
        <v>1875</v>
      </c>
      <c r="O200" s="652">
        <f t="shared" ca="1" si="136"/>
        <v>0</v>
      </c>
      <c r="P200" s="652">
        <f t="shared" ca="1" si="136"/>
        <v>0</v>
      </c>
      <c r="Q200" s="652">
        <f t="shared" ca="1" si="136"/>
        <v>0</v>
      </c>
      <c r="R200" s="652">
        <f t="shared" ca="1" si="136"/>
        <v>0</v>
      </c>
      <c r="S200" s="652">
        <f t="shared" ca="1" si="136"/>
        <v>0</v>
      </c>
      <c r="T200" s="652">
        <f t="shared" ca="1" si="136"/>
        <v>0</v>
      </c>
      <c r="U200" s="652">
        <f t="shared" ca="1" si="136"/>
        <v>0</v>
      </c>
      <c r="V200" s="652">
        <f t="shared" ca="1" si="133"/>
        <v>0</v>
      </c>
      <c r="W200" s="652">
        <f t="shared" ca="1" si="133"/>
        <v>0</v>
      </c>
      <c r="X200" s="652">
        <f t="shared" ca="1" si="133"/>
        <v>0</v>
      </c>
      <c r="Y200" s="652">
        <f t="shared" ca="1" si="133"/>
        <v>0</v>
      </c>
      <c r="Z200" s="652">
        <f t="shared" ca="1" si="133"/>
        <v>0</v>
      </c>
      <c r="AA200" s="652">
        <f t="shared" ca="1" si="133"/>
        <v>0</v>
      </c>
      <c r="AB200" s="652">
        <f t="shared" ca="1" si="133"/>
        <v>0</v>
      </c>
      <c r="AC200" s="652">
        <f t="shared" ca="1" si="133"/>
        <v>0</v>
      </c>
      <c r="AD200" s="652">
        <f t="shared" ca="1" si="133"/>
        <v>0</v>
      </c>
      <c r="AE200" s="652">
        <f t="shared" ca="1" si="133"/>
        <v>0</v>
      </c>
      <c r="AF200" s="652">
        <f t="shared" ca="1" si="133"/>
        <v>0</v>
      </c>
      <c r="AG200" s="652">
        <f t="shared" ca="1" si="133"/>
        <v>0</v>
      </c>
      <c r="AH200" s="652">
        <f t="shared" ca="1" si="133"/>
        <v>0</v>
      </c>
      <c r="AI200" s="652">
        <f t="shared" ca="1" si="134"/>
        <v>0</v>
      </c>
      <c r="AJ200" s="652">
        <f t="shared" ca="1" si="134"/>
        <v>37029.337749999999</v>
      </c>
      <c r="AK200" s="652">
        <f t="shared" ca="1" si="134"/>
        <v>74058.675499999998</v>
      </c>
      <c r="AL200" s="652">
        <f t="shared" ca="1" si="134"/>
        <v>74058.675499999998</v>
      </c>
      <c r="AM200" s="652">
        <f t="shared" ca="1" si="134"/>
        <v>74058.675499999998</v>
      </c>
      <c r="AN200" s="652">
        <f t="shared" ca="1" si="134"/>
        <v>74058.675499999998</v>
      </c>
      <c r="AO200" s="652">
        <f t="shared" ca="1" si="134"/>
        <v>74058.675499999998</v>
      </c>
      <c r="AP200" s="652">
        <f t="shared" ca="1" si="134"/>
        <v>74058.675499999998</v>
      </c>
      <c r="AQ200" s="652">
        <f t="shared" ca="1" si="134"/>
        <v>10.07648416</v>
      </c>
      <c r="AR200" s="652">
        <f t="shared" ca="1" si="134"/>
        <v>20.152968319999999</v>
      </c>
      <c r="AS200" s="652">
        <f t="shared" ca="1" si="134"/>
        <v>20.152968319999999</v>
      </c>
      <c r="AT200" s="652">
        <f t="shared" ca="1" si="134"/>
        <v>20.152968319999999</v>
      </c>
      <c r="AU200" s="652">
        <f t="shared" ca="1" si="134"/>
        <v>20.152968319999999</v>
      </c>
      <c r="AV200" s="652">
        <f t="shared" ca="1" si="134"/>
        <v>20.152968319999999</v>
      </c>
      <c r="AW200" s="652">
        <f t="shared" ca="1" si="132"/>
        <v>20.152968319999999</v>
      </c>
      <c r="AX200" s="652">
        <f t="shared" ca="1" si="132"/>
        <v>0</v>
      </c>
      <c r="AY200" s="652">
        <f t="shared" ca="1" si="132"/>
        <v>0</v>
      </c>
      <c r="AZ200" s="652">
        <f t="shared" ca="1" si="132"/>
        <v>0</v>
      </c>
      <c r="BA200" s="652">
        <f t="shared" ca="1" si="132"/>
        <v>0</v>
      </c>
      <c r="BB200" s="652">
        <f t="shared" ca="1" si="132"/>
        <v>0</v>
      </c>
      <c r="BC200" s="652">
        <f t="shared" ca="1" si="132"/>
        <v>0</v>
      </c>
      <c r="BD200" s="652">
        <f t="shared" ca="1" si="132"/>
        <v>0</v>
      </c>
      <c r="BE200" s="652" t="str">
        <f t="shared" ca="1" si="132"/>
        <v>Commercial</v>
      </c>
      <c r="BF200" s="652" t="str">
        <f t="shared" ca="1" si="132"/>
        <v>OFFLGInLight</v>
      </c>
      <c r="BG200" s="652" t="str">
        <f t="shared" ca="1" si="132"/>
        <v>OFFSMGasDHW</v>
      </c>
      <c r="BH200" s="652" t="str">
        <f t="shared" ca="1" si="132"/>
        <v>KU NonRes</v>
      </c>
      <c r="BI200" s="652" t="str">
        <f t="shared" ca="1" si="132"/>
        <v>KU NonRes</v>
      </c>
      <c r="BJ200" s="652">
        <f t="shared" ca="1" si="132"/>
        <v>15</v>
      </c>
      <c r="BK200" s="652">
        <f t="shared" ca="1" si="132"/>
        <v>5937.5</v>
      </c>
      <c r="BL200" s="652">
        <f t="shared" ca="1" si="131"/>
        <v>11875</v>
      </c>
      <c r="BM200" s="652">
        <f t="shared" ca="1" si="131"/>
        <v>11875</v>
      </c>
      <c r="BN200" s="652">
        <f t="shared" ca="1" si="131"/>
        <v>11875</v>
      </c>
      <c r="BO200" s="652">
        <f t="shared" ca="1" si="131"/>
        <v>11875</v>
      </c>
      <c r="BP200" s="652">
        <f t="shared" ca="1" si="131"/>
        <v>11875</v>
      </c>
      <c r="BQ200" s="652">
        <f t="shared" ca="1" si="131"/>
        <v>11875</v>
      </c>
      <c r="BR200" s="652">
        <f t="shared" ca="1" si="109"/>
        <v>12187.5</v>
      </c>
      <c r="BS200" s="652">
        <f t="shared" ca="1" si="132"/>
        <v>0</v>
      </c>
      <c r="BT200" s="652">
        <f t="shared" ca="1" si="132"/>
        <v>0</v>
      </c>
      <c r="BU200" s="652">
        <f t="shared" ca="1" si="132"/>
        <v>0</v>
      </c>
      <c r="BV200" s="652">
        <f t="shared" ca="1" si="132"/>
        <v>77187.5</v>
      </c>
      <c r="BW200" s="652">
        <f t="shared" ca="1" si="132"/>
        <v>481381.39075000002</v>
      </c>
      <c r="BX200" s="652">
        <f t="shared" ca="1" si="123"/>
        <v>130.99429407999997</v>
      </c>
      <c r="BY200" s="652">
        <f t="shared" ca="1" si="123"/>
        <v>0</v>
      </c>
    </row>
    <row r="201" spans="1:77">
      <c r="A201" s="425" t="str">
        <f t="shared" ref="A201:A252" ca="1" si="138">D201&amp;E201</f>
        <v>Small Business - Audit &amp; DIKU-Small Business Direct Install - LED Lighting Retrofit Fixtures</v>
      </c>
      <c r="B201" s="1297" t="str">
        <f t="shared" si="137"/>
        <v>KUSmall Business - Audit &amp; DI</v>
      </c>
      <c r="C201" s="661" t="s">
        <v>175</v>
      </c>
      <c r="D201" s="662" t="s">
        <v>64</v>
      </c>
      <c r="E201" s="652" t="str">
        <f t="shared" ca="1" si="135"/>
        <v>KU-Small Business Direct Install - LED Lighting Retrofit Fixtures</v>
      </c>
      <c r="F201" s="652" t="str">
        <f t="shared" ca="1" si="135"/>
        <v>Linear LED Direct Install Retrofits</v>
      </c>
      <c r="G201" s="652" t="str">
        <f t="shared" ca="1" si="135"/>
        <v>Per Unit</v>
      </c>
      <c r="H201" s="652">
        <f t="shared" ca="1" si="136"/>
        <v>468.75</v>
      </c>
      <c r="I201" s="652">
        <f t="shared" ca="1" si="136"/>
        <v>937.5</v>
      </c>
      <c r="J201" s="652">
        <f t="shared" ca="1" si="136"/>
        <v>937.5</v>
      </c>
      <c r="K201" s="652">
        <f t="shared" ca="1" si="136"/>
        <v>937.5</v>
      </c>
      <c r="L201" s="652">
        <f t="shared" ref="L201:U201" ca="1" si="139">VLOOKUP($C201,INDIRECT("'"&amp;$D201&amp;"'!A6:FR1000"),IF(L$6="Participation 2023",MATCH("__Participation 2023",INDIRECT("'"&amp;$D201&amp;"'!1:1"),0),IF(L$6="Participation",MATCH("_Total Plan Summary _Participation",INDIRECT("'"&amp;$D201&amp;"'!1:1"),0),MATCH(L$4&amp;"_"&amp;L$5&amp;"_"&amp;L$6,INDIRECT("'"&amp;$D201&amp;"'!1:1"),0))),0)</f>
        <v>937.5</v>
      </c>
      <c r="M201" s="652">
        <f t="shared" ca="1" si="139"/>
        <v>937.5</v>
      </c>
      <c r="N201" s="652">
        <f t="shared" ca="1" si="139"/>
        <v>937.5</v>
      </c>
      <c r="O201" s="652">
        <f t="shared" ca="1" si="139"/>
        <v>0</v>
      </c>
      <c r="P201" s="652">
        <f t="shared" ca="1" si="139"/>
        <v>0</v>
      </c>
      <c r="Q201" s="652">
        <f t="shared" ca="1" si="139"/>
        <v>0</v>
      </c>
      <c r="R201" s="652">
        <f t="shared" ca="1" si="139"/>
        <v>0</v>
      </c>
      <c r="S201" s="652">
        <f t="shared" ca="1" si="139"/>
        <v>0</v>
      </c>
      <c r="T201" s="652">
        <f t="shared" ca="1" si="139"/>
        <v>0</v>
      </c>
      <c r="U201" s="652">
        <f t="shared" ca="1" si="139"/>
        <v>0</v>
      </c>
      <c r="V201" s="652">
        <f t="shared" ca="1" si="133"/>
        <v>0</v>
      </c>
      <c r="W201" s="652">
        <f t="shared" ca="1" si="133"/>
        <v>0</v>
      </c>
      <c r="X201" s="652">
        <f t="shared" ca="1" si="133"/>
        <v>0</v>
      </c>
      <c r="Y201" s="652">
        <f t="shared" ca="1" si="133"/>
        <v>0</v>
      </c>
      <c r="Z201" s="652">
        <f t="shared" ca="1" si="133"/>
        <v>0</v>
      </c>
      <c r="AA201" s="652">
        <f t="shared" ca="1" si="133"/>
        <v>0</v>
      </c>
      <c r="AB201" s="652">
        <f t="shared" ca="1" si="133"/>
        <v>0</v>
      </c>
      <c r="AC201" s="652">
        <f t="shared" ca="1" si="133"/>
        <v>0</v>
      </c>
      <c r="AD201" s="652">
        <f t="shared" ca="1" si="133"/>
        <v>0</v>
      </c>
      <c r="AE201" s="652">
        <f t="shared" ca="1" si="133"/>
        <v>0</v>
      </c>
      <c r="AF201" s="652">
        <f t="shared" ca="1" si="133"/>
        <v>0</v>
      </c>
      <c r="AG201" s="652">
        <f t="shared" ca="1" si="133"/>
        <v>0</v>
      </c>
      <c r="AH201" s="652">
        <f t="shared" ca="1" si="133"/>
        <v>0</v>
      </c>
      <c r="AI201" s="652">
        <f t="shared" ca="1" si="134"/>
        <v>0</v>
      </c>
      <c r="AJ201" s="652">
        <f t="shared" ca="1" si="134"/>
        <v>69884.996420625001</v>
      </c>
      <c r="AK201" s="652">
        <f t="shared" ca="1" si="134"/>
        <v>139769.99284125</v>
      </c>
      <c r="AL201" s="652">
        <f t="shared" ca="1" si="134"/>
        <v>139769.99284125</v>
      </c>
      <c r="AM201" s="652">
        <f t="shared" ref="AM201:BB210" ca="1" si="140">VLOOKUP($C201,INDIRECT("'"&amp;$D201&amp;"'!A6:FR1000"),IF(AM$6="Participation 2023",MATCH("__Participation 2023",INDIRECT("'"&amp;$D201&amp;"'!1:1"),0),IF(AM$6="Participation",MATCH("_Total Plan Summary _Participation",INDIRECT("'"&amp;$D201&amp;"'!1:1"),0),MATCH(AM$4&amp;"_"&amp;AM$5&amp;"_"&amp;AM$6,INDIRECT("'"&amp;$D201&amp;"'!1:1"),0))),0)</f>
        <v>139769.99284125</v>
      </c>
      <c r="AN201" s="652">
        <f t="shared" ca="1" si="140"/>
        <v>139769.99284125</v>
      </c>
      <c r="AO201" s="652">
        <f t="shared" ca="1" si="140"/>
        <v>139769.99284125</v>
      </c>
      <c r="AP201" s="652">
        <f t="shared" ca="1" si="140"/>
        <v>139769.99284125</v>
      </c>
      <c r="AQ201" s="652">
        <f t="shared" ca="1" si="140"/>
        <v>19.017219919200002</v>
      </c>
      <c r="AR201" s="652">
        <f t="shared" ca="1" si="140"/>
        <v>38.034439838400004</v>
      </c>
      <c r="AS201" s="652">
        <f t="shared" ca="1" si="140"/>
        <v>38.034439838400004</v>
      </c>
      <c r="AT201" s="652">
        <f t="shared" ca="1" si="140"/>
        <v>38.034439838400004</v>
      </c>
      <c r="AU201" s="652">
        <f t="shared" ca="1" si="140"/>
        <v>38.034439838400004</v>
      </c>
      <c r="AV201" s="652">
        <f t="shared" ca="1" si="140"/>
        <v>38.034439838400004</v>
      </c>
      <c r="AW201" s="652">
        <f t="shared" ca="1" si="132"/>
        <v>38.034439838400004</v>
      </c>
      <c r="AX201" s="652">
        <f t="shared" ca="1" si="132"/>
        <v>0</v>
      </c>
      <c r="AY201" s="652">
        <f t="shared" ca="1" si="132"/>
        <v>0</v>
      </c>
      <c r="AZ201" s="652">
        <f t="shared" ca="1" si="132"/>
        <v>0</v>
      </c>
      <c r="BA201" s="652">
        <f t="shared" ca="1" si="132"/>
        <v>0</v>
      </c>
      <c r="BB201" s="652">
        <f t="shared" ca="1" si="132"/>
        <v>0</v>
      </c>
      <c r="BC201" s="652">
        <f t="shared" ca="1" si="132"/>
        <v>0</v>
      </c>
      <c r="BD201" s="652">
        <f t="shared" ca="1" si="132"/>
        <v>0</v>
      </c>
      <c r="BE201" s="652" t="str">
        <f t="shared" ca="1" si="132"/>
        <v>Commercial</v>
      </c>
      <c r="BF201" s="652" t="str">
        <f t="shared" ca="1" si="132"/>
        <v>OFFLGInLight</v>
      </c>
      <c r="BG201" s="652" t="str">
        <f t="shared" ca="1" si="132"/>
        <v>OFFSMGasDHW</v>
      </c>
      <c r="BH201" s="652" t="str">
        <f t="shared" ca="1" si="132"/>
        <v>KU NonRes</v>
      </c>
      <c r="BI201" s="652" t="str">
        <f t="shared" ca="1" si="132"/>
        <v>KU NonRes</v>
      </c>
      <c r="BJ201" s="652">
        <f t="shared" ca="1" si="132"/>
        <v>15</v>
      </c>
      <c r="BK201" s="652">
        <f t="shared" ca="1" si="132"/>
        <v>28125</v>
      </c>
      <c r="BL201" s="652">
        <f t="shared" ca="1" si="131"/>
        <v>56250</v>
      </c>
      <c r="BM201" s="652">
        <f t="shared" ca="1" si="131"/>
        <v>56250</v>
      </c>
      <c r="BN201" s="652">
        <f t="shared" ca="1" si="131"/>
        <v>56250</v>
      </c>
      <c r="BO201" s="652">
        <f t="shared" ca="1" si="131"/>
        <v>56250</v>
      </c>
      <c r="BP201" s="652">
        <f t="shared" ca="1" si="131"/>
        <v>56250</v>
      </c>
      <c r="BQ201" s="652">
        <f t="shared" ca="1" si="131"/>
        <v>56250</v>
      </c>
      <c r="BR201" s="652">
        <f t="shared" ca="1" si="109"/>
        <v>6093.75</v>
      </c>
      <c r="BS201" s="652">
        <f t="shared" ca="1" si="132"/>
        <v>0</v>
      </c>
      <c r="BT201" s="652">
        <f t="shared" ca="1" si="132"/>
        <v>0</v>
      </c>
      <c r="BU201" s="652">
        <f t="shared" ca="1" si="132"/>
        <v>0</v>
      </c>
      <c r="BV201" s="652">
        <f t="shared" ca="1" si="132"/>
        <v>365625</v>
      </c>
      <c r="BW201" s="652">
        <f t="shared" ca="1" si="132"/>
        <v>908504.95346812508</v>
      </c>
      <c r="BX201" s="652">
        <f t="shared" ca="1" si="123"/>
        <v>247.22385894960004</v>
      </c>
      <c r="BY201" s="652">
        <f t="shared" ca="1" si="123"/>
        <v>0</v>
      </c>
    </row>
    <row r="202" spans="1:77">
      <c r="A202" s="425" t="str">
        <f t="shared" ca="1" si="138"/>
        <v>Small Business - Audit &amp; DIKU-Small Business Direct Install - Water Conservation Aerators</v>
      </c>
      <c r="B202" s="1297" t="str">
        <f t="shared" si="137"/>
        <v>KUSmall Business - Audit &amp; DI</v>
      </c>
      <c r="C202" s="661" t="s">
        <v>176</v>
      </c>
      <c r="D202" s="662" t="s">
        <v>64</v>
      </c>
      <c r="E202" s="652" t="str">
        <f t="shared" ca="1" si="135"/>
        <v>KU-Small Business Direct Install - Water Conservation Aerators</v>
      </c>
      <c r="F202" s="652" t="str">
        <f t="shared" ca="1" si="135"/>
        <v>Aerators 0.5 GPM</v>
      </c>
      <c r="G202" s="652" t="str">
        <f t="shared" ca="1" si="135"/>
        <v>Per Unit</v>
      </c>
      <c r="H202" s="652">
        <f t="shared" ref="H202:W210" ca="1" si="141">VLOOKUP($C202,INDIRECT("'"&amp;$D202&amp;"'!A6:FR1000"),IF(H$6="Participation 2023",MATCH("__Participation 2023",INDIRECT("'"&amp;$D202&amp;"'!1:1"),0),IF(H$6="Participation",MATCH("_Total Plan Summary _Participation",INDIRECT("'"&amp;$D202&amp;"'!1:1"),0),MATCH(H$4&amp;"_"&amp;H$5&amp;"_"&amp;H$6,INDIRECT("'"&amp;$D202&amp;"'!1:1"),0))),0)</f>
        <v>5</v>
      </c>
      <c r="I202" s="652">
        <f t="shared" ca="1" si="141"/>
        <v>10</v>
      </c>
      <c r="J202" s="652">
        <f t="shared" ca="1" si="141"/>
        <v>10</v>
      </c>
      <c r="K202" s="652">
        <f t="shared" ca="1" si="141"/>
        <v>10</v>
      </c>
      <c r="L202" s="652">
        <f t="shared" ca="1" si="141"/>
        <v>10</v>
      </c>
      <c r="M202" s="652">
        <f t="shared" ca="1" si="141"/>
        <v>10</v>
      </c>
      <c r="N202" s="652">
        <f t="shared" ca="1" si="141"/>
        <v>10</v>
      </c>
      <c r="O202" s="652">
        <f t="shared" ca="1" si="141"/>
        <v>0</v>
      </c>
      <c r="P202" s="652">
        <f t="shared" ca="1" si="141"/>
        <v>0</v>
      </c>
      <c r="Q202" s="652">
        <f t="shared" ca="1" si="141"/>
        <v>0</v>
      </c>
      <c r="R202" s="652">
        <f t="shared" ca="1" si="141"/>
        <v>0</v>
      </c>
      <c r="S202" s="652">
        <f t="shared" ca="1" si="141"/>
        <v>0</v>
      </c>
      <c r="T202" s="652">
        <f t="shared" ca="1" si="141"/>
        <v>0</v>
      </c>
      <c r="U202" s="652">
        <f t="shared" ca="1" si="141"/>
        <v>0</v>
      </c>
      <c r="V202" s="652">
        <f t="shared" ca="1" si="133"/>
        <v>0</v>
      </c>
      <c r="W202" s="652">
        <f t="shared" ca="1" si="133"/>
        <v>0</v>
      </c>
      <c r="X202" s="652">
        <f t="shared" ca="1" si="133"/>
        <v>0</v>
      </c>
      <c r="Y202" s="652">
        <f t="shared" ca="1" si="133"/>
        <v>0</v>
      </c>
      <c r="Z202" s="652">
        <f t="shared" ca="1" si="133"/>
        <v>0</v>
      </c>
      <c r="AA202" s="652">
        <f t="shared" ca="1" si="133"/>
        <v>0</v>
      </c>
      <c r="AB202" s="652">
        <f t="shared" ca="1" si="133"/>
        <v>0</v>
      </c>
      <c r="AC202" s="652">
        <f t="shared" ref="AC202:AR210" ca="1" si="142">VLOOKUP($C202,INDIRECT("'"&amp;$D202&amp;"'!A6:FR1000"),IF(AC$6="Participation 2023",MATCH("__Participation 2023",INDIRECT("'"&amp;$D202&amp;"'!1:1"),0),IF(AC$6="Participation",MATCH("_Total Plan Summary _Participation",INDIRECT("'"&amp;$D202&amp;"'!1:1"),0),MATCH(AC$4&amp;"_"&amp;AC$5&amp;"_"&amp;AC$6,INDIRECT("'"&amp;$D202&amp;"'!1:1"),0))),0)</f>
        <v>0</v>
      </c>
      <c r="AD202" s="652">
        <f t="shared" ca="1" si="142"/>
        <v>0</v>
      </c>
      <c r="AE202" s="652">
        <f t="shared" ca="1" si="142"/>
        <v>0</v>
      </c>
      <c r="AF202" s="652">
        <f t="shared" ca="1" si="142"/>
        <v>0</v>
      </c>
      <c r="AG202" s="652">
        <f t="shared" ca="1" si="142"/>
        <v>0</v>
      </c>
      <c r="AH202" s="652">
        <f t="shared" ca="1" si="142"/>
        <v>0</v>
      </c>
      <c r="AI202" s="652">
        <f t="shared" ca="1" si="142"/>
        <v>0</v>
      </c>
      <c r="AJ202" s="652">
        <f t="shared" ca="1" si="142"/>
        <v>158.31118022306569</v>
      </c>
      <c r="AK202" s="652">
        <f t="shared" ca="1" si="142"/>
        <v>316.62236044613138</v>
      </c>
      <c r="AL202" s="652">
        <f t="shared" ca="1" si="142"/>
        <v>316.62236044613138</v>
      </c>
      <c r="AM202" s="652">
        <f t="shared" ca="1" si="142"/>
        <v>316.62236044613138</v>
      </c>
      <c r="AN202" s="652">
        <f t="shared" ca="1" si="142"/>
        <v>316.62236044613138</v>
      </c>
      <c r="AO202" s="652">
        <f t="shared" ca="1" si="142"/>
        <v>316.62236044613138</v>
      </c>
      <c r="AP202" s="652">
        <f t="shared" ca="1" si="142"/>
        <v>316.62236044613138</v>
      </c>
      <c r="AQ202" s="652">
        <f t="shared" ca="1" si="142"/>
        <v>7.8639893884329855E-3</v>
      </c>
      <c r="AR202" s="652">
        <f t="shared" ca="1" si="142"/>
        <v>1.5727978776865971E-2</v>
      </c>
      <c r="AS202" s="652">
        <f t="shared" ca="1" si="140"/>
        <v>1.5727978776865971E-2</v>
      </c>
      <c r="AT202" s="652">
        <f t="shared" ca="1" si="140"/>
        <v>1.5727978776865971E-2</v>
      </c>
      <c r="AU202" s="652">
        <f t="shared" ca="1" si="140"/>
        <v>1.5727978776865971E-2</v>
      </c>
      <c r="AV202" s="652">
        <f t="shared" ca="1" si="140"/>
        <v>1.5727978776865971E-2</v>
      </c>
      <c r="AW202" s="652">
        <f t="shared" ca="1" si="132"/>
        <v>1.5727978776865971E-2</v>
      </c>
      <c r="AX202" s="652">
        <f t="shared" ca="1" si="132"/>
        <v>0</v>
      </c>
      <c r="AY202" s="652">
        <f t="shared" ca="1" si="132"/>
        <v>0</v>
      </c>
      <c r="AZ202" s="652">
        <f t="shared" ca="1" si="132"/>
        <v>0</v>
      </c>
      <c r="BA202" s="652">
        <f t="shared" ca="1" si="132"/>
        <v>0</v>
      </c>
      <c r="BB202" s="652">
        <f t="shared" ca="1" si="132"/>
        <v>0</v>
      </c>
      <c r="BC202" s="652">
        <f t="shared" ca="1" si="132"/>
        <v>0</v>
      </c>
      <c r="BD202" s="652">
        <f t="shared" ref="BD202:BW202" ca="1" si="143">VLOOKUP($C202,INDIRECT("'"&amp;$D202&amp;"'!A6:FR1000"),IF(BD$6="Participation 2023",MATCH("__Participation 2023",INDIRECT("'"&amp;$D202&amp;"'!1:1"),0),IF(BD$6="Participation",MATCH("_Total Plan Summary _Participation",INDIRECT("'"&amp;$D202&amp;"'!1:1"),0),MATCH(BD$4&amp;"_"&amp;BD$5&amp;"_"&amp;BD$6,INDIRECT("'"&amp;$D202&amp;"'!1:1"),0))),0)</f>
        <v>0</v>
      </c>
      <c r="BE202" s="652" t="str">
        <f t="shared" ca="1" si="132"/>
        <v>Commercial</v>
      </c>
      <c r="BF202" s="652" t="str">
        <f t="shared" ca="1" si="132"/>
        <v>OFFSMElecDHW</v>
      </c>
      <c r="BG202" s="652" t="str">
        <f t="shared" ca="1" si="132"/>
        <v>OFFSMGasDHW</v>
      </c>
      <c r="BH202" s="652" t="str">
        <f t="shared" ca="1" si="132"/>
        <v>KU NonRes</v>
      </c>
      <c r="BI202" s="652" t="str">
        <f t="shared" ca="1" si="132"/>
        <v>KU NonRes</v>
      </c>
      <c r="BJ202" s="652">
        <f t="shared" ca="1" si="132"/>
        <v>10</v>
      </c>
      <c r="BK202" s="652">
        <f t="shared" ca="1" si="132"/>
        <v>8.6166666666666671</v>
      </c>
      <c r="BL202" s="652">
        <f t="shared" ca="1" si="131"/>
        <v>17.233333333333334</v>
      </c>
      <c r="BM202" s="652">
        <f t="shared" ca="1" si="131"/>
        <v>17.233333333333334</v>
      </c>
      <c r="BN202" s="652">
        <f t="shared" ca="1" si="131"/>
        <v>17.233333333333334</v>
      </c>
      <c r="BO202" s="652">
        <f t="shared" ca="1" si="131"/>
        <v>17.233333333333334</v>
      </c>
      <c r="BP202" s="652">
        <f t="shared" ca="1" si="131"/>
        <v>17.233333333333334</v>
      </c>
      <c r="BQ202" s="652">
        <f t="shared" ca="1" si="131"/>
        <v>17.233333333333334</v>
      </c>
      <c r="BR202" s="652">
        <f t="shared" ref="BR202:BR252" ca="1" si="144">SUM(H202:N202)</f>
        <v>65</v>
      </c>
      <c r="BS202" s="652">
        <f t="shared" ca="1" si="143"/>
        <v>0</v>
      </c>
      <c r="BT202" s="652">
        <f t="shared" ca="1" si="143"/>
        <v>0</v>
      </c>
      <c r="BU202" s="652">
        <f t="shared" ca="1" si="143"/>
        <v>0</v>
      </c>
      <c r="BV202" s="652">
        <f t="shared" ca="1" si="143"/>
        <v>112.01666666666668</v>
      </c>
      <c r="BW202" s="652">
        <f t="shared" ca="1" si="143"/>
        <v>2058.0453428998539</v>
      </c>
      <c r="BX202" s="652">
        <f t="shared" ca="1" si="123"/>
        <v>0.10223186204962881</v>
      </c>
      <c r="BY202" s="652">
        <f t="shared" ca="1" si="123"/>
        <v>0</v>
      </c>
    </row>
    <row r="203" spans="1:77">
      <c r="A203" s="425" t="str">
        <f t="shared" ca="1" si="138"/>
        <v>Small Business - Audit &amp; DIKU-Small Business Direct Install - Water Conservation Showerheads</v>
      </c>
      <c r="B203" s="1297" t="str">
        <f t="shared" si="137"/>
        <v>KUSmall Business - Audit &amp; DI</v>
      </c>
      <c r="C203" s="661" t="s">
        <v>177</v>
      </c>
      <c r="D203" s="662" t="s">
        <v>64</v>
      </c>
      <c r="E203" s="652" t="str">
        <f t="shared" ca="1" si="135"/>
        <v>KU-Small Business Direct Install - Water Conservation Showerheads</v>
      </c>
      <c r="F203" s="652" t="str">
        <f t="shared" ca="1" si="135"/>
        <v>Showerhead 1.5 GPM</v>
      </c>
      <c r="G203" s="652" t="str">
        <f t="shared" ca="1" si="135"/>
        <v>Per Unit</v>
      </c>
      <c r="H203" s="652">
        <f t="shared" ca="1" si="141"/>
        <v>2</v>
      </c>
      <c r="I203" s="652">
        <f t="shared" ca="1" si="141"/>
        <v>4</v>
      </c>
      <c r="J203" s="652">
        <f t="shared" ca="1" si="141"/>
        <v>4</v>
      </c>
      <c r="K203" s="652">
        <f t="shared" ca="1" si="141"/>
        <v>4</v>
      </c>
      <c r="L203" s="652">
        <f t="shared" ca="1" si="141"/>
        <v>4</v>
      </c>
      <c r="M203" s="652">
        <f t="shared" ca="1" si="141"/>
        <v>4</v>
      </c>
      <c r="N203" s="652">
        <f t="shared" ca="1" si="141"/>
        <v>4</v>
      </c>
      <c r="O203" s="652">
        <f t="shared" ca="1" si="141"/>
        <v>0</v>
      </c>
      <c r="P203" s="652">
        <f t="shared" ca="1" si="141"/>
        <v>0</v>
      </c>
      <c r="Q203" s="652">
        <f t="shared" ca="1" si="141"/>
        <v>0</v>
      </c>
      <c r="R203" s="652">
        <f t="shared" ca="1" si="141"/>
        <v>0</v>
      </c>
      <c r="S203" s="652">
        <f t="shared" ca="1" si="141"/>
        <v>0</v>
      </c>
      <c r="T203" s="652">
        <f t="shared" ca="1" si="141"/>
        <v>0</v>
      </c>
      <c r="U203" s="652">
        <f t="shared" ca="1" si="141"/>
        <v>0</v>
      </c>
      <c r="V203" s="652">
        <f t="shared" ca="1" si="141"/>
        <v>0</v>
      </c>
      <c r="W203" s="652">
        <f t="shared" ca="1" si="141"/>
        <v>0</v>
      </c>
      <c r="X203" s="652">
        <f t="shared" ref="V203:AH210" ca="1" si="145">VLOOKUP($C203,INDIRECT("'"&amp;$D203&amp;"'!A6:FR1000"),IF(X$6="Participation 2023",MATCH("__Participation 2023",INDIRECT("'"&amp;$D203&amp;"'!1:1"),0),IF(X$6="Participation",MATCH("_Total Plan Summary _Participation",INDIRECT("'"&amp;$D203&amp;"'!1:1"),0),MATCH(X$4&amp;"_"&amp;X$5&amp;"_"&amp;X$6,INDIRECT("'"&amp;$D203&amp;"'!1:1"),0))),0)</f>
        <v>0</v>
      </c>
      <c r="Y203" s="652">
        <f t="shared" ca="1" si="145"/>
        <v>0</v>
      </c>
      <c r="Z203" s="652">
        <f t="shared" ca="1" si="145"/>
        <v>0</v>
      </c>
      <c r="AA203" s="652">
        <f t="shared" ca="1" si="145"/>
        <v>0</v>
      </c>
      <c r="AB203" s="652">
        <f t="shared" ca="1" si="145"/>
        <v>0</v>
      </c>
      <c r="AC203" s="652">
        <f t="shared" ca="1" si="145"/>
        <v>0</v>
      </c>
      <c r="AD203" s="652">
        <f t="shared" ca="1" si="145"/>
        <v>0</v>
      </c>
      <c r="AE203" s="652">
        <f t="shared" ca="1" si="145"/>
        <v>0</v>
      </c>
      <c r="AF203" s="652">
        <f t="shared" ca="1" si="145"/>
        <v>0</v>
      </c>
      <c r="AG203" s="652">
        <f t="shared" ca="1" si="145"/>
        <v>0</v>
      </c>
      <c r="AH203" s="652">
        <f t="shared" ca="1" si="145"/>
        <v>0</v>
      </c>
      <c r="AI203" s="652">
        <f t="shared" ca="1" si="142"/>
        <v>0</v>
      </c>
      <c r="AJ203" s="652">
        <f t="shared" ca="1" si="142"/>
        <v>215.07451124890099</v>
      </c>
      <c r="AK203" s="652">
        <f t="shared" ca="1" si="142"/>
        <v>430.14902249780198</v>
      </c>
      <c r="AL203" s="652">
        <f t="shared" ca="1" si="142"/>
        <v>430.14902249780198</v>
      </c>
      <c r="AM203" s="652">
        <f t="shared" ca="1" si="142"/>
        <v>430.14902249780198</v>
      </c>
      <c r="AN203" s="652">
        <f t="shared" ca="1" si="142"/>
        <v>430.14902249780198</v>
      </c>
      <c r="AO203" s="652">
        <f t="shared" ca="1" si="142"/>
        <v>430.14902249780198</v>
      </c>
      <c r="AP203" s="652">
        <f t="shared" ca="1" si="142"/>
        <v>430.14902249780198</v>
      </c>
      <c r="AQ203" s="652">
        <f t="shared" ca="1" si="142"/>
        <v>1.876279220398594E-2</v>
      </c>
      <c r="AR203" s="652">
        <f t="shared" ca="1" si="142"/>
        <v>3.7525584407971879E-2</v>
      </c>
      <c r="AS203" s="652">
        <f t="shared" ca="1" si="140"/>
        <v>3.7525584407971879E-2</v>
      </c>
      <c r="AT203" s="652">
        <f t="shared" ca="1" si="140"/>
        <v>3.7525584407971879E-2</v>
      </c>
      <c r="AU203" s="652">
        <f t="shared" ca="1" si="140"/>
        <v>3.7525584407971879E-2</v>
      </c>
      <c r="AV203" s="652">
        <f t="shared" ca="1" si="140"/>
        <v>3.7525584407971879E-2</v>
      </c>
      <c r="AW203" s="652">
        <f t="shared" ca="1" si="140"/>
        <v>3.7525584407971879E-2</v>
      </c>
      <c r="AX203" s="652">
        <f t="shared" ca="1" si="140"/>
        <v>0</v>
      </c>
      <c r="AY203" s="652">
        <f t="shared" ca="1" si="140"/>
        <v>0</v>
      </c>
      <c r="AZ203" s="652">
        <f t="shared" ca="1" si="140"/>
        <v>0</v>
      </c>
      <c r="BA203" s="652">
        <f t="shared" ca="1" si="140"/>
        <v>0</v>
      </c>
      <c r="BB203" s="652">
        <f t="shared" ca="1" si="140"/>
        <v>0</v>
      </c>
      <c r="BC203" s="652">
        <f t="shared" ref="BC203:BW210" ca="1" si="146">VLOOKUP($C203,INDIRECT("'"&amp;$D203&amp;"'!A6:FR1000"),IF(BC$6="Participation 2023",MATCH("__Participation 2023",INDIRECT("'"&amp;$D203&amp;"'!1:1"),0),IF(BC$6="Participation",MATCH("_Total Plan Summary _Participation",INDIRECT("'"&amp;$D203&amp;"'!1:1"),0),MATCH(BC$4&amp;"_"&amp;BC$5&amp;"_"&amp;BC$6,INDIRECT("'"&amp;$D203&amp;"'!1:1"),0))),0)</f>
        <v>0</v>
      </c>
      <c r="BD203" s="652">
        <f t="shared" ca="1" si="146"/>
        <v>0</v>
      </c>
      <c r="BE203" s="652" t="str">
        <f t="shared" ca="1" si="132"/>
        <v>Commercial</v>
      </c>
      <c r="BF203" s="652" t="str">
        <f t="shared" ca="1" si="132"/>
        <v>OFFSMElecDHW</v>
      </c>
      <c r="BG203" s="652" t="str">
        <f t="shared" ca="1" si="132"/>
        <v>OFFSMGasDHW</v>
      </c>
      <c r="BH203" s="652" t="str">
        <f t="shared" ca="1" si="132"/>
        <v>KU NonRes</v>
      </c>
      <c r="BI203" s="652" t="str">
        <f t="shared" ca="1" si="132"/>
        <v>KU NonRes</v>
      </c>
      <c r="BJ203" s="652">
        <f t="shared" ca="1" si="132"/>
        <v>10</v>
      </c>
      <c r="BK203" s="652">
        <f t="shared" ca="1" si="132"/>
        <v>16.233333333333331</v>
      </c>
      <c r="BL203" s="652">
        <f t="shared" ca="1" si="131"/>
        <v>32.466666666666661</v>
      </c>
      <c r="BM203" s="652">
        <f t="shared" ca="1" si="131"/>
        <v>32.466666666666661</v>
      </c>
      <c r="BN203" s="652">
        <f t="shared" ca="1" si="131"/>
        <v>32.466666666666661</v>
      </c>
      <c r="BO203" s="652">
        <f t="shared" ca="1" si="131"/>
        <v>32.466666666666661</v>
      </c>
      <c r="BP203" s="652">
        <f t="shared" ca="1" si="131"/>
        <v>32.466666666666661</v>
      </c>
      <c r="BQ203" s="652">
        <f t="shared" ca="1" si="131"/>
        <v>32.466666666666661</v>
      </c>
      <c r="BR203" s="652">
        <f t="shared" ca="1" si="144"/>
        <v>26</v>
      </c>
      <c r="BS203" s="652">
        <f t="shared" ca="1" si="146"/>
        <v>0</v>
      </c>
      <c r="BT203" s="652">
        <f t="shared" ca="1" si="146"/>
        <v>0</v>
      </c>
      <c r="BU203" s="652">
        <f t="shared" ca="1" si="146"/>
        <v>0</v>
      </c>
      <c r="BV203" s="652">
        <f t="shared" ca="1" si="146"/>
        <v>211.03333333333333</v>
      </c>
      <c r="BW203" s="652">
        <f t="shared" ca="1" si="146"/>
        <v>2795.9686462357126</v>
      </c>
      <c r="BX203" s="652">
        <f t="shared" ca="1" si="123"/>
        <v>0.24391629865181721</v>
      </c>
      <c r="BY203" s="652">
        <f t="shared" ca="1" si="123"/>
        <v>0</v>
      </c>
    </row>
    <row r="204" spans="1:77">
      <c r="A204" s="425" t="str">
        <f t="shared" ca="1" si="138"/>
        <v>Small Business - Audit &amp; DIKU-Small Business Direct Install - Water Conservation Sprayers</v>
      </c>
      <c r="B204" s="1297" t="str">
        <f t="shared" si="137"/>
        <v>KUSmall Business - Audit &amp; DI</v>
      </c>
      <c r="C204" s="661" t="s">
        <v>178</v>
      </c>
      <c r="D204" s="662" t="s">
        <v>64</v>
      </c>
      <c r="E204" s="652" t="str">
        <f t="shared" ca="1" si="135"/>
        <v>KU-Small Business Direct Install - Water Conservation Sprayers</v>
      </c>
      <c r="F204" s="652" t="str">
        <f t="shared" ca="1" si="135"/>
        <v>Pre-rinse Spray Valves 1.15GPM</v>
      </c>
      <c r="G204" s="652" t="str">
        <f t="shared" ca="1" si="135"/>
        <v>Per Unit</v>
      </c>
      <c r="H204" s="652">
        <f t="shared" ca="1" si="141"/>
        <v>2</v>
      </c>
      <c r="I204" s="652">
        <f t="shared" ca="1" si="141"/>
        <v>4</v>
      </c>
      <c r="J204" s="652">
        <f t="shared" ca="1" si="141"/>
        <v>4</v>
      </c>
      <c r="K204" s="652">
        <f t="shared" ca="1" si="141"/>
        <v>4</v>
      </c>
      <c r="L204" s="652">
        <f t="shared" ca="1" si="141"/>
        <v>4</v>
      </c>
      <c r="M204" s="652">
        <f t="shared" ca="1" si="141"/>
        <v>4</v>
      </c>
      <c r="N204" s="652">
        <f t="shared" ca="1" si="141"/>
        <v>4</v>
      </c>
      <c r="O204" s="652">
        <f t="shared" ca="1" si="141"/>
        <v>0</v>
      </c>
      <c r="P204" s="652">
        <f t="shared" ca="1" si="141"/>
        <v>0</v>
      </c>
      <c r="Q204" s="652">
        <f t="shared" ca="1" si="141"/>
        <v>0</v>
      </c>
      <c r="R204" s="652">
        <f t="shared" ca="1" si="141"/>
        <v>0</v>
      </c>
      <c r="S204" s="652">
        <f t="shared" ca="1" si="141"/>
        <v>0</v>
      </c>
      <c r="T204" s="652">
        <f t="shared" ca="1" si="141"/>
        <v>0</v>
      </c>
      <c r="U204" s="652">
        <f t="shared" ca="1" si="141"/>
        <v>0</v>
      </c>
      <c r="V204" s="652">
        <f t="shared" ca="1" si="145"/>
        <v>0</v>
      </c>
      <c r="W204" s="652">
        <f t="shared" ca="1" si="145"/>
        <v>0</v>
      </c>
      <c r="X204" s="652">
        <f t="shared" ca="1" si="145"/>
        <v>0</v>
      </c>
      <c r="Y204" s="652">
        <f t="shared" ca="1" si="145"/>
        <v>0</v>
      </c>
      <c r="Z204" s="652">
        <f t="shared" ca="1" si="145"/>
        <v>0</v>
      </c>
      <c r="AA204" s="652">
        <f t="shared" ca="1" si="145"/>
        <v>0</v>
      </c>
      <c r="AB204" s="652">
        <f t="shared" ca="1" si="145"/>
        <v>0</v>
      </c>
      <c r="AC204" s="652">
        <f t="shared" ca="1" si="145"/>
        <v>0</v>
      </c>
      <c r="AD204" s="652">
        <f t="shared" ca="1" si="145"/>
        <v>0</v>
      </c>
      <c r="AE204" s="652">
        <f t="shared" ca="1" si="145"/>
        <v>0</v>
      </c>
      <c r="AF204" s="652">
        <f t="shared" ca="1" si="145"/>
        <v>0</v>
      </c>
      <c r="AG204" s="652">
        <f t="shared" ca="1" si="145"/>
        <v>0</v>
      </c>
      <c r="AH204" s="652">
        <f t="shared" ca="1" si="145"/>
        <v>0</v>
      </c>
      <c r="AI204" s="652">
        <f t="shared" ca="1" si="142"/>
        <v>0</v>
      </c>
      <c r="AJ204" s="652">
        <f t="shared" ca="1" si="142"/>
        <v>1844.4269489006565</v>
      </c>
      <c r="AK204" s="652">
        <f t="shared" ca="1" si="142"/>
        <v>3688.853897801313</v>
      </c>
      <c r="AL204" s="652">
        <f t="shared" ca="1" si="142"/>
        <v>3688.853897801313</v>
      </c>
      <c r="AM204" s="652">
        <f t="shared" ca="1" si="142"/>
        <v>3688.853897801313</v>
      </c>
      <c r="AN204" s="652">
        <f t="shared" ca="1" si="142"/>
        <v>3688.853897801313</v>
      </c>
      <c r="AO204" s="652">
        <f t="shared" ca="1" si="142"/>
        <v>3688.853897801313</v>
      </c>
      <c r="AP204" s="652">
        <f t="shared" ca="1" si="142"/>
        <v>3688.853897801313</v>
      </c>
      <c r="AQ204" s="652">
        <f t="shared" ca="1" si="142"/>
        <v>0</v>
      </c>
      <c r="AR204" s="652">
        <f t="shared" ca="1" si="142"/>
        <v>0</v>
      </c>
      <c r="AS204" s="652">
        <f t="shared" ca="1" si="140"/>
        <v>0</v>
      </c>
      <c r="AT204" s="652">
        <f t="shared" ca="1" si="140"/>
        <v>0</v>
      </c>
      <c r="AU204" s="652">
        <f t="shared" ca="1" si="140"/>
        <v>0</v>
      </c>
      <c r="AV204" s="652">
        <f t="shared" ca="1" si="140"/>
        <v>0</v>
      </c>
      <c r="AW204" s="652">
        <f t="shared" ca="1" si="140"/>
        <v>0</v>
      </c>
      <c r="AX204" s="652">
        <f t="shared" ca="1" si="140"/>
        <v>0</v>
      </c>
      <c r="AY204" s="652">
        <f t="shared" ca="1" si="140"/>
        <v>0</v>
      </c>
      <c r="AZ204" s="652">
        <f t="shared" ca="1" si="140"/>
        <v>0</v>
      </c>
      <c r="BA204" s="652">
        <f t="shared" ca="1" si="140"/>
        <v>0</v>
      </c>
      <c r="BB204" s="652">
        <f t="shared" ca="1" si="140"/>
        <v>0</v>
      </c>
      <c r="BC204" s="652">
        <f t="shared" ca="1" si="146"/>
        <v>0</v>
      </c>
      <c r="BD204" s="652">
        <f t="shared" ca="1" si="146"/>
        <v>0</v>
      </c>
      <c r="BE204" s="652" t="str">
        <f t="shared" ca="1" si="132"/>
        <v>Commercial</v>
      </c>
      <c r="BF204" s="652" t="str">
        <f t="shared" ca="1" si="132"/>
        <v>OFFSMElecDHW</v>
      </c>
      <c r="BG204" s="652" t="str">
        <f t="shared" ca="1" si="132"/>
        <v>OFFSMGasDHW</v>
      </c>
      <c r="BH204" s="652" t="str">
        <f t="shared" ca="1" si="132"/>
        <v>KU NonRes</v>
      </c>
      <c r="BI204" s="652" t="str">
        <f t="shared" ca="1" si="132"/>
        <v>KU NonRes</v>
      </c>
      <c r="BJ204" s="652">
        <f t="shared" ca="1" si="132"/>
        <v>5</v>
      </c>
      <c r="BK204" s="652">
        <f t="shared" ca="1" si="132"/>
        <v>86.98</v>
      </c>
      <c r="BL204" s="652">
        <f t="shared" ca="1" si="131"/>
        <v>173.96</v>
      </c>
      <c r="BM204" s="652">
        <f t="shared" ca="1" si="131"/>
        <v>173.96</v>
      </c>
      <c r="BN204" s="652">
        <f t="shared" ca="1" si="131"/>
        <v>173.96</v>
      </c>
      <c r="BO204" s="652">
        <f t="shared" ca="1" si="131"/>
        <v>173.96</v>
      </c>
      <c r="BP204" s="652">
        <f t="shared" ca="1" si="131"/>
        <v>173.96</v>
      </c>
      <c r="BQ204" s="652">
        <f t="shared" ca="1" si="131"/>
        <v>173.96</v>
      </c>
      <c r="BR204" s="652">
        <f t="shared" ca="1" si="144"/>
        <v>26</v>
      </c>
      <c r="BS204" s="652">
        <f t="shared" ca="1" si="146"/>
        <v>0</v>
      </c>
      <c r="BT204" s="652">
        <f t="shared" ca="1" si="146"/>
        <v>0</v>
      </c>
      <c r="BU204" s="652">
        <f t="shared" ca="1" si="146"/>
        <v>0</v>
      </c>
      <c r="BV204" s="652">
        <f t="shared" ca="1" si="146"/>
        <v>1130.74</v>
      </c>
      <c r="BW204" s="652">
        <f t="shared" ca="1" si="146"/>
        <v>23977.550335708533</v>
      </c>
      <c r="BX204" s="652">
        <f t="shared" ca="1" si="123"/>
        <v>0</v>
      </c>
      <c r="BY204" s="652">
        <f t="shared" ca="1" si="123"/>
        <v>0</v>
      </c>
    </row>
    <row r="205" spans="1:77">
      <c r="A205" s="425" t="str">
        <f t="shared" ca="1" si="138"/>
        <v>Small Business - Audit &amp; DILG&amp;E-Small Business Audit - On Site</v>
      </c>
      <c r="B205" s="1297" t="str">
        <f t="shared" si="137"/>
        <v>LG&amp;ESmall Business - Audit &amp; DI</v>
      </c>
      <c r="C205" s="662" t="s">
        <v>172</v>
      </c>
      <c r="D205" s="662" t="s">
        <v>64</v>
      </c>
      <c r="E205" s="652" t="str">
        <f t="shared" ca="1" si="135"/>
        <v>LG&amp;E-Small Business Audit - On Site</v>
      </c>
      <c r="F205" s="652" t="str">
        <f t="shared" ca="1" si="135"/>
        <v>In person audit with no cost to customer</v>
      </c>
      <c r="G205" s="652" t="str">
        <f t="shared" ca="1" si="135"/>
        <v>Per Audit</v>
      </c>
      <c r="H205" s="652">
        <f t="shared" ca="1" si="141"/>
        <v>50</v>
      </c>
      <c r="I205" s="652">
        <f t="shared" ca="1" si="141"/>
        <v>100</v>
      </c>
      <c r="J205" s="652">
        <f t="shared" ca="1" si="141"/>
        <v>100</v>
      </c>
      <c r="K205" s="652">
        <f t="shared" ca="1" si="141"/>
        <v>100</v>
      </c>
      <c r="L205" s="652">
        <f t="shared" ca="1" si="141"/>
        <v>100</v>
      </c>
      <c r="M205" s="652">
        <f t="shared" ca="1" si="141"/>
        <v>100</v>
      </c>
      <c r="N205" s="652">
        <f t="shared" ca="1" si="141"/>
        <v>100</v>
      </c>
      <c r="O205" s="652">
        <f t="shared" ca="1" si="141"/>
        <v>0</v>
      </c>
      <c r="P205" s="652">
        <f t="shared" ca="1" si="141"/>
        <v>0</v>
      </c>
      <c r="Q205" s="652">
        <f t="shared" ca="1" si="141"/>
        <v>0</v>
      </c>
      <c r="R205" s="652">
        <f t="shared" ca="1" si="141"/>
        <v>0</v>
      </c>
      <c r="S205" s="652">
        <f t="shared" ca="1" si="141"/>
        <v>0</v>
      </c>
      <c r="T205" s="652">
        <f t="shared" ca="1" si="141"/>
        <v>0</v>
      </c>
      <c r="U205" s="652">
        <f t="shared" ca="1" si="141"/>
        <v>0</v>
      </c>
      <c r="V205" s="652">
        <f t="shared" ca="1" si="145"/>
        <v>0</v>
      </c>
      <c r="W205" s="652">
        <f t="shared" ca="1" si="145"/>
        <v>0</v>
      </c>
      <c r="X205" s="652">
        <f t="shared" ca="1" si="145"/>
        <v>0</v>
      </c>
      <c r="Y205" s="652">
        <f t="shared" ca="1" si="145"/>
        <v>0</v>
      </c>
      <c r="Z205" s="652">
        <f t="shared" ca="1" si="145"/>
        <v>0</v>
      </c>
      <c r="AA205" s="652">
        <f t="shared" ca="1" si="145"/>
        <v>0</v>
      </c>
      <c r="AB205" s="652">
        <f t="shared" ca="1" si="145"/>
        <v>0</v>
      </c>
      <c r="AC205" s="652">
        <f t="shared" ca="1" si="145"/>
        <v>0</v>
      </c>
      <c r="AD205" s="652">
        <f t="shared" ca="1" si="145"/>
        <v>0</v>
      </c>
      <c r="AE205" s="652">
        <f t="shared" ca="1" si="145"/>
        <v>0</v>
      </c>
      <c r="AF205" s="652">
        <f t="shared" ca="1" si="145"/>
        <v>0</v>
      </c>
      <c r="AG205" s="652">
        <f t="shared" ca="1" si="145"/>
        <v>0</v>
      </c>
      <c r="AH205" s="652">
        <f t="shared" ca="1" si="145"/>
        <v>0</v>
      </c>
      <c r="AI205" s="652">
        <f t="shared" ca="1" si="142"/>
        <v>0</v>
      </c>
      <c r="AJ205" s="652">
        <f t="shared" ca="1" si="142"/>
        <v>0</v>
      </c>
      <c r="AK205" s="652">
        <f t="shared" ca="1" si="142"/>
        <v>0</v>
      </c>
      <c r="AL205" s="652">
        <f t="shared" ca="1" si="142"/>
        <v>0</v>
      </c>
      <c r="AM205" s="652">
        <f t="shared" ca="1" si="142"/>
        <v>0</v>
      </c>
      <c r="AN205" s="652">
        <f t="shared" ca="1" si="142"/>
        <v>0</v>
      </c>
      <c r="AO205" s="652">
        <f t="shared" ca="1" si="142"/>
        <v>0</v>
      </c>
      <c r="AP205" s="652">
        <f t="shared" ca="1" si="142"/>
        <v>0</v>
      </c>
      <c r="AQ205" s="652">
        <f t="shared" ca="1" si="142"/>
        <v>0</v>
      </c>
      <c r="AR205" s="652">
        <f t="shared" ca="1" si="142"/>
        <v>0</v>
      </c>
      <c r="AS205" s="652">
        <f t="shared" ca="1" si="140"/>
        <v>0</v>
      </c>
      <c r="AT205" s="652">
        <f t="shared" ca="1" si="140"/>
        <v>0</v>
      </c>
      <c r="AU205" s="652">
        <f t="shared" ca="1" si="140"/>
        <v>0</v>
      </c>
      <c r="AV205" s="652">
        <f t="shared" ca="1" si="140"/>
        <v>0</v>
      </c>
      <c r="AW205" s="652">
        <f t="shared" ca="1" si="140"/>
        <v>0</v>
      </c>
      <c r="AX205" s="652">
        <f t="shared" ca="1" si="140"/>
        <v>0</v>
      </c>
      <c r="AY205" s="652">
        <f t="shared" ca="1" si="140"/>
        <v>0</v>
      </c>
      <c r="AZ205" s="652">
        <f t="shared" ca="1" si="140"/>
        <v>0</v>
      </c>
      <c r="BA205" s="652">
        <f t="shared" ca="1" si="140"/>
        <v>0</v>
      </c>
      <c r="BB205" s="652">
        <f t="shared" ca="1" si="140"/>
        <v>0</v>
      </c>
      <c r="BC205" s="652">
        <f t="shared" ca="1" si="146"/>
        <v>0</v>
      </c>
      <c r="BD205" s="652">
        <f t="shared" ca="1" si="146"/>
        <v>0</v>
      </c>
      <c r="BE205" s="652" t="str">
        <f t="shared" ca="1" si="132"/>
        <v>Commercial</v>
      </c>
      <c r="BF205" s="652" t="str">
        <f t="shared" ca="1" si="132"/>
        <v>OFFLGElecTotl</v>
      </c>
      <c r="BG205" s="652" t="str">
        <f t="shared" ca="1" si="132"/>
        <v>OFFSMGasDHW</v>
      </c>
      <c r="BH205" s="652" t="str">
        <f t="shared" ca="1" si="132"/>
        <v>LGE NonRes</v>
      </c>
      <c r="BI205" s="652" t="str">
        <f t="shared" ca="1" si="132"/>
        <v>LGE NonRes</v>
      </c>
      <c r="BJ205" s="652">
        <f t="shared" ca="1" si="132"/>
        <v>1</v>
      </c>
      <c r="BK205" s="652">
        <f t="shared" ca="1" si="132"/>
        <v>37500</v>
      </c>
      <c r="BL205" s="652">
        <f t="shared" ca="1" si="131"/>
        <v>75000</v>
      </c>
      <c r="BM205" s="652">
        <f t="shared" ca="1" si="131"/>
        <v>75000</v>
      </c>
      <c r="BN205" s="652">
        <f t="shared" ca="1" si="131"/>
        <v>75000</v>
      </c>
      <c r="BO205" s="652">
        <f t="shared" ca="1" si="131"/>
        <v>75000</v>
      </c>
      <c r="BP205" s="652">
        <f t="shared" ca="1" si="131"/>
        <v>75000</v>
      </c>
      <c r="BQ205" s="652">
        <f t="shared" ca="1" si="131"/>
        <v>75000</v>
      </c>
      <c r="BR205" s="652">
        <f t="shared" ca="1" si="144"/>
        <v>650</v>
      </c>
      <c r="BS205" s="652">
        <f t="shared" ca="1" si="146"/>
        <v>0</v>
      </c>
      <c r="BT205" s="652">
        <f t="shared" ca="1" si="146"/>
        <v>0</v>
      </c>
      <c r="BU205" s="652">
        <f t="shared" ca="1" si="146"/>
        <v>0</v>
      </c>
      <c r="BV205" s="652">
        <f t="shared" ca="1" si="146"/>
        <v>487500</v>
      </c>
      <c r="BW205" s="652">
        <f t="shared" ca="1" si="146"/>
        <v>0</v>
      </c>
      <c r="BX205" s="652">
        <f t="shared" ca="1" si="123"/>
        <v>0</v>
      </c>
      <c r="BY205" s="652">
        <f t="shared" ca="1" si="123"/>
        <v>0</v>
      </c>
    </row>
    <row r="206" spans="1:77">
      <c r="A206" s="425" t="str">
        <f t="shared" ca="1" si="138"/>
        <v>Small Business - Audit &amp; DILG&amp;E-Small Business Direct Install - LED Lighting Bulbs</v>
      </c>
      <c r="B206" s="1297" t="str">
        <f t="shared" si="137"/>
        <v>LG&amp;ESmall Business - Audit &amp; DI</v>
      </c>
      <c r="C206" s="662" t="s">
        <v>174</v>
      </c>
      <c r="D206" s="662" t="s">
        <v>64</v>
      </c>
      <c r="E206" s="652" t="str">
        <f t="shared" ca="1" si="135"/>
        <v>LG&amp;E-Small Business Direct Install - LED Lighting Bulbs</v>
      </c>
      <c r="F206" s="652" t="str">
        <f t="shared" ca="1" si="135"/>
        <v>Linear LED Direct Install Bulbs</v>
      </c>
      <c r="G206" s="652" t="str">
        <f t="shared" ca="1" si="135"/>
        <v>Per Unit</v>
      </c>
      <c r="H206" s="652">
        <f t="shared" ca="1" si="141"/>
        <v>937.5</v>
      </c>
      <c r="I206" s="652">
        <f t="shared" ca="1" si="141"/>
        <v>1875</v>
      </c>
      <c r="J206" s="652">
        <f t="shared" ca="1" si="141"/>
        <v>1875</v>
      </c>
      <c r="K206" s="652">
        <f t="shared" ca="1" si="141"/>
        <v>1875</v>
      </c>
      <c r="L206" s="652">
        <f t="shared" ca="1" si="141"/>
        <v>1875</v>
      </c>
      <c r="M206" s="652">
        <f t="shared" ca="1" si="141"/>
        <v>1875</v>
      </c>
      <c r="N206" s="652">
        <f t="shared" ca="1" si="141"/>
        <v>1875</v>
      </c>
      <c r="O206" s="652">
        <f t="shared" ca="1" si="141"/>
        <v>0</v>
      </c>
      <c r="P206" s="652">
        <f t="shared" ca="1" si="141"/>
        <v>0</v>
      </c>
      <c r="Q206" s="652">
        <f t="shared" ca="1" si="141"/>
        <v>0</v>
      </c>
      <c r="R206" s="652">
        <f t="shared" ca="1" si="141"/>
        <v>0</v>
      </c>
      <c r="S206" s="652">
        <f t="shared" ca="1" si="141"/>
        <v>0</v>
      </c>
      <c r="T206" s="652">
        <f t="shared" ca="1" si="141"/>
        <v>0</v>
      </c>
      <c r="U206" s="652">
        <f t="shared" ca="1" si="141"/>
        <v>0</v>
      </c>
      <c r="V206" s="652">
        <f t="shared" ca="1" si="145"/>
        <v>0</v>
      </c>
      <c r="W206" s="652">
        <f t="shared" ca="1" si="145"/>
        <v>0</v>
      </c>
      <c r="X206" s="652">
        <f t="shared" ca="1" si="145"/>
        <v>0</v>
      </c>
      <c r="Y206" s="652">
        <f t="shared" ca="1" si="145"/>
        <v>0</v>
      </c>
      <c r="Z206" s="652">
        <f t="shared" ca="1" si="145"/>
        <v>0</v>
      </c>
      <c r="AA206" s="652">
        <f t="shared" ca="1" si="145"/>
        <v>0</v>
      </c>
      <c r="AB206" s="652">
        <f t="shared" ca="1" si="145"/>
        <v>0</v>
      </c>
      <c r="AC206" s="652">
        <f t="shared" ca="1" si="145"/>
        <v>0</v>
      </c>
      <c r="AD206" s="652">
        <f t="shared" ca="1" si="145"/>
        <v>0</v>
      </c>
      <c r="AE206" s="652">
        <f t="shared" ca="1" si="145"/>
        <v>0</v>
      </c>
      <c r="AF206" s="652">
        <f t="shared" ca="1" si="145"/>
        <v>0</v>
      </c>
      <c r="AG206" s="652">
        <f t="shared" ca="1" si="145"/>
        <v>0</v>
      </c>
      <c r="AH206" s="652">
        <f t="shared" ca="1" si="145"/>
        <v>0</v>
      </c>
      <c r="AI206" s="652">
        <f t="shared" ca="1" si="142"/>
        <v>0</v>
      </c>
      <c r="AJ206" s="652">
        <f t="shared" ca="1" si="142"/>
        <v>37029.337749999999</v>
      </c>
      <c r="AK206" s="652">
        <f t="shared" ca="1" si="142"/>
        <v>74058.675499999998</v>
      </c>
      <c r="AL206" s="652">
        <f t="shared" ca="1" si="142"/>
        <v>74058.675499999998</v>
      </c>
      <c r="AM206" s="652">
        <f t="shared" ca="1" si="142"/>
        <v>74058.675499999998</v>
      </c>
      <c r="AN206" s="652">
        <f t="shared" ca="1" si="142"/>
        <v>74058.675499999998</v>
      </c>
      <c r="AO206" s="652">
        <f t="shared" ca="1" si="142"/>
        <v>74058.675499999998</v>
      </c>
      <c r="AP206" s="652">
        <f t="shared" ca="1" si="142"/>
        <v>74058.675499999998</v>
      </c>
      <c r="AQ206" s="652">
        <f t="shared" ca="1" si="142"/>
        <v>10.07648416</v>
      </c>
      <c r="AR206" s="652">
        <f t="shared" ca="1" si="142"/>
        <v>20.152968319999999</v>
      </c>
      <c r="AS206" s="652">
        <f t="shared" ca="1" si="140"/>
        <v>20.152968319999999</v>
      </c>
      <c r="AT206" s="652">
        <f t="shared" ca="1" si="140"/>
        <v>20.152968319999999</v>
      </c>
      <c r="AU206" s="652">
        <f t="shared" ca="1" si="140"/>
        <v>20.152968319999999</v>
      </c>
      <c r="AV206" s="652">
        <f t="shared" ca="1" si="140"/>
        <v>20.152968319999999</v>
      </c>
      <c r="AW206" s="652">
        <f t="shared" ca="1" si="140"/>
        <v>20.152968319999999</v>
      </c>
      <c r="AX206" s="652">
        <f t="shared" ca="1" si="140"/>
        <v>0</v>
      </c>
      <c r="AY206" s="652">
        <f t="shared" ca="1" si="140"/>
        <v>0</v>
      </c>
      <c r="AZ206" s="652">
        <f t="shared" ca="1" si="140"/>
        <v>0</v>
      </c>
      <c r="BA206" s="652">
        <f t="shared" ca="1" si="140"/>
        <v>0</v>
      </c>
      <c r="BB206" s="652">
        <f t="shared" ca="1" si="140"/>
        <v>0</v>
      </c>
      <c r="BC206" s="652">
        <f t="shared" ca="1" si="146"/>
        <v>0</v>
      </c>
      <c r="BD206" s="652">
        <f t="shared" ca="1" si="146"/>
        <v>0</v>
      </c>
      <c r="BE206" s="652" t="str">
        <f t="shared" ca="1" si="132"/>
        <v>Commercial</v>
      </c>
      <c r="BF206" s="652" t="str">
        <f t="shared" ca="1" si="132"/>
        <v>OFFLGInLight</v>
      </c>
      <c r="BG206" s="652" t="str">
        <f t="shared" ca="1" si="132"/>
        <v>OFFSMGasDHW</v>
      </c>
      <c r="BH206" s="652" t="str">
        <f t="shared" ca="1" si="132"/>
        <v>LGE NonRes</v>
      </c>
      <c r="BI206" s="652" t="str">
        <f t="shared" ca="1" si="132"/>
        <v>LGE NonRes</v>
      </c>
      <c r="BJ206" s="652">
        <f t="shared" ca="1" si="132"/>
        <v>15</v>
      </c>
      <c r="BK206" s="652">
        <f t="shared" ca="1" si="132"/>
        <v>5937.5</v>
      </c>
      <c r="BL206" s="652">
        <f t="shared" ca="1" si="131"/>
        <v>11875</v>
      </c>
      <c r="BM206" s="652">
        <f t="shared" ca="1" si="131"/>
        <v>11875</v>
      </c>
      <c r="BN206" s="652">
        <f t="shared" ca="1" si="131"/>
        <v>11875</v>
      </c>
      <c r="BO206" s="652">
        <f t="shared" ca="1" si="131"/>
        <v>11875</v>
      </c>
      <c r="BP206" s="652">
        <f t="shared" ca="1" si="131"/>
        <v>11875</v>
      </c>
      <c r="BQ206" s="652">
        <f t="shared" ca="1" si="131"/>
        <v>11875</v>
      </c>
      <c r="BR206" s="652">
        <f t="shared" ca="1" si="144"/>
        <v>12187.5</v>
      </c>
      <c r="BS206" s="652">
        <f t="shared" ca="1" si="146"/>
        <v>0</v>
      </c>
      <c r="BT206" s="652">
        <f t="shared" ca="1" si="146"/>
        <v>0</v>
      </c>
      <c r="BU206" s="652">
        <f t="shared" ca="1" si="146"/>
        <v>0</v>
      </c>
      <c r="BV206" s="652">
        <f t="shared" ca="1" si="146"/>
        <v>77187.5</v>
      </c>
      <c r="BW206" s="652">
        <f t="shared" ca="1" si="146"/>
        <v>481381.39075000002</v>
      </c>
      <c r="BX206" s="652">
        <f t="shared" ca="1" si="123"/>
        <v>130.99429407999997</v>
      </c>
      <c r="BY206" s="652">
        <f t="shared" ca="1" si="123"/>
        <v>0</v>
      </c>
    </row>
    <row r="207" spans="1:77">
      <c r="A207" s="425" t="str">
        <f t="shared" ca="1" si="138"/>
        <v>Small Business - Audit &amp; DILG&amp;E-Small Business Direct Install - LED Lighting Retrofit Fixtures</v>
      </c>
      <c r="B207" s="1297" t="str">
        <f t="shared" si="137"/>
        <v>LG&amp;ESmall Business - Audit &amp; DI</v>
      </c>
      <c r="C207" s="662" t="s">
        <v>179</v>
      </c>
      <c r="D207" s="662" t="s">
        <v>64</v>
      </c>
      <c r="E207" s="652" t="str">
        <f t="shared" ca="1" si="135"/>
        <v>LG&amp;E-Small Business Direct Install - LED Lighting Retrofit Fixtures</v>
      </c>
      <c r="F207" s="652" t="str">
        <f t="shared" ca="1" si="135"/>
        <v>Linear LED Direct Install Retrofits</v>
      </c>
      <c r="G207" s="652" t="str">
        <f t="shared" ca="1" si="135"/>
        <v>Per Unit</v>
      </c>
      <c r="H207" s="652">
        <f t="shared" ca="1" si="141"/>
        <v>468.75</v>
      </c>
      <c r="I207" s="652">
        <f t="shared" ca="1" si="141"/>
        <v>937.5</v>
      </c>
      <c r="J207" s="652">
        <f t="shared" ca="1" si="141"/>
        <v>937.5</v>
      </c>
      <c r="K207" s="652">
        <f t="shared" ca="1" si="141"/>
        <v>937.5</v>
      </c>
      <c r="L207" s="652">
        <f t="shared" ca="1" si="141"/>
        <v>937.5</v>
      </c>
      <c r="M207" s="652">
        <f t="shared" ca="1" si="141"/>
        <v>937.5</v>
      </c>
      <c r="N207" s="652">
        <f t="shared" ca="1" si="141"/>
        <v>937.5</v>
      </c>
      <c r="O207" s="652">
        <f t="shared" ca="1" si="141"/>
        <v>0</v>
      </c>
      <c r="P207" s="652">
        <f t="shared" ca="1" si="141"/>
        <v>0</v>
      </c>
      <c r="Q207" s="652">
        <f t="shared" ca="1" si="141"/>
        <v>0</v>
      </c>
      <c r="R207" s="652">
        <f t="shared" ca="1" si="141"/>
        <v>0</v>
      </c>
      <c r="S207" s="652">
        <f t="shared" ca="1" si="141"/>
        <v>0</v>
      </c>
      <c r="T207" s="652">
        <f t="shared" ca="1" si="141"/>
        <v>0</v>
      </c>
      <c r="U207" s="652">
        <f t="shared" ca="1" si="141"/>
        <v>0</v>
      </c>
      <c r="V207" s="652">
        <f t="shared" ca="1" si="145"/>
        <v>0</v>
      </c>
      <c r="W207" s="652">
        <f t="shared" ca="1" si="145"/>
        <v>0</v>
      </c>
      <c r="X207" s="652">
        <f t="shared" ca="1" si="145"/>
        <v>0</v>
      </c>
      <c r="Y207" s="652">
        <f t="shared" ca="1" si="145"/>
        <v>0</v>
      </c>
      <c r="Z207" s="652">
        <f t="shared" ca="1" si="145"/>
        <v>0</v>
      </c>
      <c r="AA207" s="652">
        <f t="shared" ca="1" si="145"/>
        <v>0</v>
      </c>
      <c r="AB207" s="652">
        <f t="shared" ca="1" si="145"/>
        <v>0</v>
      </c>
      <c r="AC207" s="652">
        <f t="shared" ca="1" si="145"/>
        <v>0</v>
      </c>
      <c r="AD207" s="652">
        <f t="shared" ca="1" si="145"/>
        <v>0</v>
      </c>
      <c r="AE207" s="652">
        <f t="shared" ca="1" si="145"/>
        <v>0</v>
      </c>
      <c r="AF207" s="652">
        <f t="shared" ca="1" si="145"/>
        <v>0</v>
      </c>
      <c r="AG207" s="652">
        <f t="shared" ca="1" si="145"/>
        <v>0</v>
      </c>
      <c r="AH207" s="652">
        <f t="shared" ca="1" si="145"/>
        <v>0</v>
      </c>
      <c r="AI207" s="652">
        <f t="shared" ca="1" si="142"/>
        <v>0</v>
      </c>
      <c r="AJ207" s="652">
        <f t="shared" ca="1" si="142"/>
        <v>69884.996420625001</v>
      </c>
      <c r="AK207" s="652">
        <f t="shared" ca="1" si="142"/>
        <v>139769.99284125</v>
      </c>
      <c r="AL207" s="652">
        <f t="shared" ca="1" si="142"/>
        <v>139769.99284125</v>
      </c>
      <c r="AM207" s="652">
        <f t="shared" ca="1" si="142"/>
        <v>139769.99284125</v>
      </c>
      <c r="AN207" s="652">
        <f t="shared" ca="1" si="142"/>
        <v>139769.99284125</v>
      </c>
      <c r="AO207" s="652">
        <f t="shared" ca="1" si="142"/>
        <v>139769.99284125</v>
      </c>
      <c r="AP207" s="652">
        <f t="shared" ca="1" si="142"/>
        <v>139769.99284125</v>
      </c>
      <c r="AQ207" s="652">
        <f t="shared" ca="1" si="142"/>
        <v>19.017219919200002</v>
      </c>
      <c r="AR207" s="652">
        <f t="shared" ca="1" si="142"/>
        <v>38.034439838400004</v>
      </c>
      <c r="AS207" s="652">
        <f t="shared" ca="1" si="140"/>
        <v>38.034439838400004</v>
      </c>
      <c r="AT207" s="652">
        <f t="shared" ca="1" si="140"/>
        <v>38.034439838400004</v>
      </c>
      <c r="AU207" s="652">
        <f t="shared" ca="1" si="140"/>
        <v>38.034439838400004</v>
      </c>
      <c r="AV207" s="652">
        <f t="shared" ca="1" si="140"/>
        <v>38.034439838400004</v>
      </c>
      <c r="AW207" s="652">
        <f t="shared" ca="1" si="140"/>
        <v>38.034439838400004</v>
      </c>
      <c r="AX207" s="652">
        <f t="shared" ca="1" si="140"/>
        <v>0</v>
      </c>
      <c r="AY207" s="652">
        <f t="shared" ca="1" si="140"/>
        <v>0</v>
      </c>
      <c r="AZ207" s="652">
        <f t="shared" ca="1" si="140"/>
        <v>0</v>
      </c>
      <c r="BA207" s="652">
        <f t="shared" ca="1" si="140"/>
        <v>0</v>
      </c>
      <c r="BB207" s="652">
        <f t="shared" ca="1" si="140"/>
        <v>0</v>
      </c>
      <c r="BC207" s="652">
        <f t="shared" ca="1" si="146"/>
        <v>0</v>
      </c>
      <c r="BD207" s="652">
        <f t="shared" ca="1" si="146"/>
        <v>0</v>
      </c>
      <c r="BE207" s="652" t="str">
        <f t="shared" ca="1" si="132"/>
        <v>Commercial</v>
      </c>
      <c r="BF207" s="652" t="str">
        <f t="shared" ca="1" si="132"/>
        <v>OFFLGInLight</v>
      </c>
      <c r="BG207" s="652" t="str">
        <f t="shared" ca="1" si="132"/>
        <v>OFFSMGasDHW</v>
      </c>
      <c r="BH207" s="652" t="str">
        <f t="shared" ca="1" si="132"/>
        <v>LGE NonRes</v>
      </c>
      <c r="BI207" s="652" t="str">
        <f t="shared" ca="1" si="132"/>
        <v>LGE NonRes</v>
      </c>
      <c r="BJ207" s="652">
        <f t="shared" ca="1" si="132"/>
        <v>15</v>
      </c>
      <c r="BK207" s="652">
        <f t="shared" ca="1" si="132"/>
        <v>28125</v>
      </c>
      <c r="BL207" s="652">
        <f t="shared" ca="1" si="131"/>
        <v>56250</v>
      </c>
      <c r="BM207" s="652">
        <f t="shared" ca="1" si="131"/>
        <v>56250</v>
      </c>
      <c r="BN207" s="652">
        <f t="shared" ca="1" si="131"/>
        <v>56250</v>
      </c>
      <c r="BO207" s="652">
        <f t="shared" ca="1" si="131"/>
        <v>56250</v>
      </c>
      <c r="BP207" s="652">
        <f t="shared" ca="1" si="131"/>
        <v>56250</v>
      </c>
      <c r="BQ207" s="652">
        <f t="shared" ca="1" si="131"/>
        <v>56250</v>
      </c>
      <c r="BR207" s="652">
        <f t="shared" ca="1" si="144"/>
        <v>6093.75</v>
      </c>
      <c r="BS207" s="652">
        <f t="shared" ca="1" si="146"/>
        <v>0</v>
      </c>
      <c r="BT207" s="652">
        <f t="shared" ca="1" si="146"/>
        <v>0</v>
      </c>
      <c r="BU207" s="652">
        <f t="shared" ca="1" si="146"/>
        <v>0</v>
      </c>
      <c r="BV207" s="652">
        <f t="shared" ca="1" si="146"/>
        <v>365625</v>
      </c>
      <c r="BW207" s="652">
        <f t="shared" ca="1" si="146"/>
        <v>908504.95346812508</v>
      </c>
      <c r="BX207" s="652">
        <f t="shared" ca="1" si="123"/>
        <v>247.22385894960004</v>
      </c>
      <c r="BY207" s="652">
        <f t="shared" ca="1" si="123"/>
        <v>0</v>
      </c>
    </row>
    <row r="208" spans="1:77">
      <c r="A208" s="425" t="str">
        <f t="shared" ca="1" si="138"/>
        <v>Small Business - Audit &amp; DILG&amp;E-Small Business Direct Install - Water Conservation Aerators</v>
      </c>
      <c r="B208" s="1297" t="str">
        <f t="shared" si="137"/>
        <v>LG&amp;ESmall Business - Audit &amp; DI</v>
      </c>
      <c r="C208" s="662" t="s">
        <v>180</v>
      </c>
      <c r="D208" s="662" t="s">
        <v>64</v>
      </c>
      <c r="E208" s="652" t="str">
        <f t="shared" ca="1" si="135"/>
        <v>LG&amp;E-Small Business Direct Install - Water Conservation Aerators</v>
      </c>
      <c r="F208" s="652" t="str">
        <f t="shared" ca="1" si="135"/>
        <v>Aerators 0.5 GPM</v>
      </c>
      <c r="G208" s="652" t="str">
        <f t="shared" ca="1" si="135"/>
        <v>Per Unit</v>
      </c>
      <c r="H208" s="652">
        <f t="shared" ca="1" si="141"/>
        <v>5</v>
      </c>
      <c r="I208" s="652">
        <f t="shared" ca="1" si="141"/>
        <v>10</v>
      </c>
      <c r="J208" s="652">
        <f t="shared" ca="1" si="141"/>
        <v>10</v>
      </c>
      <c r="K208" s="652">
        <f t="shared" ca="1" si="141"/>
        <v>10</v>
      </c>
      <c r="L208" s="652">
        <f t="shared" ca="1" si="141"/>
        <v>10</v>
      </c>
      <c r="M208" s="652">
        <f t="shared" ca="1" si="141"/>
        <v>10</v>
      </c>
      <c r="N208" s="652">
        <f t="shared" ca="1" si="141"/>
        <v>10</v>
      </c>
      <c r="O208" s="652">
        <f t="shared" ca="1" si="141"/>
        <v>0</v>
      </c>
      <c r="P208" s="652">
        <f t="shared" ca="1" si="141"/>
        <v>0</v>
      </c>
      <c r="Q208" s="652">
        <f t="shared" ca="1" si="141"/>
        <v>0</v>
      </c>
      <c r="R208" s="652">
        <f t="shared" ca="1" si="141"/>
        <v>0</v>
      </c>
      <c r="S208" s="652">
        <f t="shared" ca="1" si="141"/>
        <v>0</v>
      </c>
      <c r="T208" s="652">
        <f t="shared" ca="1" si="141"/>
        <v>0</v>
      </c>
      <c r="U208" s="652">
        <f t="shared" ca="1" si="141"/>
        <v>0</v>
      </c>
      <c r="V208" s="652">
        <f t="shared" ca="1" si="145"/>
        <v>0</v>
      </c>
      <c r="W208" s="652">
        <f t="shared" ca="1" si="145"/>
        <v>0</v>
      </c>
      <c r="X208" s="652">
        <f t="shared" ca="1" si="145"/>
        <v>0</v>
      </c>
      <c r="Y208" s="652">
        <f t="shared" ca="1" si="145"/>
        <v>0</v>
      </c>
      <c r="Z208" s="652">
        <f t="shared" ca="1" si="145"/>
        <v>0</v>
      </c>
      <c r="AA208" s="652">
        <f t="shared" ca="1" si="145"/>
        <v>0</v>
      </c>
      <c r="AB208" s="652">
        <f t="shared" ca="1" si="145"/>
        <v>0</v>
      </c>
      <c r="AC208" s="652">
        <f t="shared" ca="1" si="145"/>
        <v>0</v>
      </c>
      <c r="AD208" s="652">
        <f t="shared" ca="1" si="145"/>
        <v>0</v>
      </c>
      <c r="AE208" s="652">
        <f t="shared" ca="1" si="145"/>
        <v>0</v>
      </c>
      <c r="AF208" s="652">
        <f t="shared" ca="1" si="145"/>
        <v>0</v>
      </c>
      <c r="AG208" s="652">
        <f t="shared" ca="1" si="145"/>
        <v>0</v>
      </c>
      <c r="AH208" s="652">
        <f t="shared" ca="1" si="145"/>
        <v>0</v>
      </c>
      <c r="AI208" s="652">
        <f t="shared" ca="1" si="142"/>
        <v>0</v>
      </c>
      <c r="AJ208" s="652">
        <f t="shared" ca="1" si="142"/>
        <v>158.31118022306569</v>
      </c>
      <c r="AK208" s="652">
        <f t="shared" ca="1" si="142"/>
        <v>316.62236044613138</v>
      </c>
      <c r="AL208" s="652">
        <f t="shared" ca="1" si="142"/>
        <v>316.62236044613138</v>
      </c>
      <c r="AM208" s="652">
        <f t="shared" ca="1" si="142"/>
        <v>316.62236044613138</v>
      </c>
      <c r="AN208" s="652">
        <f t="shared" ca="1" si="142"/>
        <v>316.62236044613138</v>
      </c>
      <c r="AO208" s="652">
        <f t="shared" ca="1" si="142"/>
        <v>316.62236044613138</v>
      </c>
      <c r="AP208" s="652">
        <f t="shared" ca="1" si="142"/>
        <v>316.62236044613138</v>
      </c>
      <c r="AQ208" s="652">
        <f t="shared" ca="1" si="142"/>
        <v>7.8639893884329855E-3</v>
      </c>
      <c r="AR208" s="652">
        <f t="shared" ca="1" si="142"/>
        <v>1.5727978776865971E-2</v>
      </c>
      <c r="AS208" s="652">
        <f t="shared" ca="1" si="140"/>
        <v>1.5727978776865971E-2</v>
      </c>
      <c r="AT208" s="652">
        <f t="shared" ca="1" si="140"/>
        <v>1.5727978776865971E-2</v>
      </c>
      <c r="AU208" s="652">
        <f t="shared" ca="1" si="140"/>
        <v>1.5727978776865971E-2</v>
      </c>
      <c r="AV208" s="652">
        <f t="shared" ca="1" si="140"/>
        <v>1.5727978776865971E-2</v>
      </c>
      <c r="AW208" s="652">
        <f t="shared" ca="1" si="140"/>
        <v>1.5727978776865971E-2</v>
      </c>
      <c r="AX208" s="652">
        <f t="shared" ca="1" si="140"/>
        <v>11.343312685343101</v>
      </c>
      <c r="AY208" s="652">
        <f t="shared" ca="1" si="140"/>
        <v>22.686625370686201</v>
      </c>
      <c r="AZ208" s="652">
        <f t="shared" ca="1" si="140"/>
        <v>22.686625370686201</v>
      </c>
      <c r="BA208" s="652">
        <f t="shared" ca="1" si="140"/>
        <v>22.686625370686201</v>
      </c>
      <c r="BB208" s="652">
        <f t="shared" ca="1" si="140"/>
        <v>22.686625370686201</v>
      </c>
      <c r="BC208" s="652">
        <f t="shared" ca="1" si="146"/>
        <v>22.686625370686201</v>
      </c>
      <c r="BD208" s="652">
        <f t="shared" ca="1" si="146"/>
        <v>22.686625370686201</v>
      </c>
      <c r="BE208" s="652" t="str">
        <f t="shared" ca="1" si="132"/>
        <v>Commercial</v>
      </c>
      <c r="BF208" s="652" t="str">
        <f t="shared" ca="1" si="132"/>
        <v>OFFSMElecDHW</v>
      </c>
      <c r="BG208" s="652" t="str">
        <f t="shared" ca="1" si="132"/>
        <v>OFFSMGasDHW</v>
      </c>
      <c r="BH208" s="652" t="str">
        <f t="shared" ca="1" si="132"/>
        <v>LGE NonRes</v>
      </c>
      <c r="BI208" s="652" t="str">
        <f t="shared" ca="1" si="132"/>
        <v>LGE NonRes</v>
      </c>
      <c r="BJ208" s="652">
        <f t="shared" ca="1" si="132"/>
        <v>10</v>
      </c>
      <c r="BK208" s="652">
        <f t="shared" ca="1" si="132"/>
        <v>8.6166666666666671</v>
      </c>
      <c r="BL208" s="652">
        <f t="shared" ca="1" si="131"/>
        <v>17.233333333333334</v>
      </c>
      <c r="BM208" s="652">
        <f t="shared" ca="1" si="131"/>
        <v>17.233333333333334</v>
      </c>
      <c r="BN208" s="652">
        <f t="shared" ca="1" si="131"/>
        <v>17.233333333333334</v>
      </c>
      <c r="BO208" s="652">
        <f t="shared" ca="1" si="131"/>
        <v>17.233333333333334</v>
      </c>
      <c r="BP208" s="652">
        <f t="shared" ca="1" si="131"/>
        <v>17.233333333333334</v>
      </c>
      <c r="BQ208" s="652">
        <f t="shared" ca="1" si="131"/>
        <v>17.233333333333334</v>
      </c>
      <c r="BR208" s="652">
        <f t="shared" ca="1" si="144"/>
        <v>65</v>
      </c>
      <c r="BS208" s="652">
        <f t="shared" ca="1" si="146"/>
        <v>0</v>
      </c>
      <c r="BT208" s="652">
        <f t="shared" ca="1" si="146"/>
        <v>0</v>
      </c>
      <c r="BU208" s="652">
        <f t="shared" ca="1" si="146"/>
        <v>0</v>
      </c>
      <c r="BV208" s="652">
        <f t="shared" ca="1" si="146"/>
        <v>112.01666666666668</v>
      </c>
      <c r="BW208" s="652">
        <f t="shared" ca="1" si="146"/>
        <v>2058.0453428998539</v>
      </c>
      <c r="BX208" s="652">
        <f t="shared" ca="1" si="123"/>
        <v>0.10223186204962881</v>
      </c>
      <c r="BY208" s="652">
        <f t="shared" ca="1" si="123"/>
        <v>147.46306490946029</v>
      </c>
    </row>
    <row r="209" spans="1:77">
      <c r="A209" s="425" t="str">
        <f t="shared" ca="1" si="138"/>
        <v>Small Business - Audit &amp; DILG&amp;E-Small Business Direct Install - Water Conservation Showerheads</v>
      </c>
      <c r="B209" s="1297" t="str">
        <f t="shared" si="137"/>
        <v>LG&amp;ESmall Business - Audit &amp; DI</v>
      </c>
      <c r="C209" s="662" t="s">
        <v>181</v>
      </c>
      <c r="D209" s="662" t="s">
        <v>64</v>
      </c>
      <c r="E209" s="652" t="str">
        <f t="shared" ca="1" si="135"/>
        <v>LG&amp;E-Small Business Direct Install - Water Conservation Showerheads</v>
      </c>
      <c r="F209" s="652" t="str">
        <f t="shared" ca="1" si="135"/>
        <v>Showerhead 1.5 GPM</v>
      </c>
      <c r="G209" s="652" t="str">
        <f t="shared" ca="1" si="135"/>
        <v>Per Unit</v>
      </c>
      <c r="H209" s="652">
        <f t="shared" ca="1" si="141"/>
        <v>2</v>
      </c>
      <c r="I209" s="652">
        <f t="shared" ca="1" si="141"/>
        <v>4</v>
      </c>
      <c r="J209" s="652">
        <f t="shared" ca="1" si="141"/>
        <v>4</v>
      </c>
      <c r="K209" s="652">
        <f t="shared" ca="1" si="141"/>
        <v>4</v>
      </c>
      <c r="L209" s="652">
        <f t="shared" ca="1" si="141"/>
        <v>4</v>
      </c>
      <c r="M209" s="652">
        <f t="shared" ca="1" si="141"/>
        <v>4</v>
      </c>
      <c r="N209" s="652">
        <f t="shared" ca="1" si="141"/>
        <v>4</v>
      </c>
      <c r="O209" s="652">
        <f t="shared" ca="1" si="141"/>
        <v>0</v>
      </c>
      <c r="P209" s="652">
        <f t="shared" ca="1" si="141"/>
        <v>0</v>
      </c>
      <c r="Q209" s="652">
        <f t="shared" ca="1" si="141"/>
        <v>0</v>
      </c>
      <c r="R209" s="652">
        <f t="shared" ca="1" si="141"/>
        <v>0</v>
      </c>
      <c r="S209" s="652">
        <f t="shared" ca="1" si="141"/>
        <v>0</v>
      </c>
      <c r="T209" s="652">
        <f t="shared" ca="1" si="141"/>
        <v>0</v>
      </c>
      <c r="U209" s="652">
        <f t="shared" ca="1" si="141"/>
        <v>0</v>
      </c>
      <c r="V209" s="652">
        <f t="shared" ca="1" si="141"/>
        <v>0</v>
      </c>
      <c r="W209" s="652">
        <f t="shared" ca="1" si="141"/>
        <v>0</v>
      </c>
      <c r="X209" s="652">
        <f t="shared" ca="1" si="145"/>
        <v>0</v>
      </c>
      <c r="Y209" s="652">
        <f t="shared" ca="1" si="145"/>
        <v>0</v>
      </c>
      <c r="Z209" s="652">
        <f t="shared" ca="1" si="145"/>
        <v>0</v>
      </c>
      <c r="AA209" s="652">
        <f t="shared" ca="1" si="145"/>
        <v>0</v>
      </c>
      <c r="AB209" s="652">
        <f t="shared" ca="1" si="145"/>
        <v>0</v>
      </c>
      <c r="AC209" s="652">
        <f t="shared" ca="1" si="145"/>
        <v>0</v>
      </c>
      <c r="AD209" s="652">
        <f t="shared" ca="1" si="145"/>
        <v>0</v>
      </c>
      <c r="AE209" s="652">
        <f t="shared" ca="1" si="145"/>
        <v>0</v>
      </c>
      <c r="AF209" s="652">
        <f t="shared" ca="1" si="145"/>
        <v>0</v>
      </c>
      <c r="AG209" s="652">
        <f t="shared" ca="1" si="145"/>
        <v>0</v>
      </c>
      <c r="AH209" s="652">
        <f t="shared" ca="1" si="145"/>
        <v>0</v>
      </c>
      <c r="AI209" s="652">
        <f t="shared" ca="1" si="142"/>
        <v>0</v>
      </c>
      <c r="AJ209" s="652">
        <f t="shared" ca="1" si="142"/>
        <v>215.07451124890099</v>
      </c>
      <c r="AK209" s="652">
        <f t="shared" ca="1" si="142"/>
        <v>430.14902249780198</v>
      </c>
      <c r="AL209" s="652">
        <f t="shared" ca="1" si="142"/>
        <v>430.14902249780198</v>
      </c>
      <c r="AM209" s="652">
        <f t="shared" ca="1" si="142"/>
        <v>430.14902249780198</v>
      </c>
      <c r="AN209" s="652">
        <f t="shared" ca="1" si="142"/>
        <v>430.14902249780198</v>
      </c>
      <c r="AO209" s="652">
        <f t="shared" ca="1" si="142"/>
        <v>430.14902249780198</v>
      </c>
      <c r="AP209" s="652">
        <f t="shared" ca="1" si="142"/>
        <v>430.14902249780198</v>
      </c>
      <c r="AQ209" s="652">
        <f t="shared" ca="1" si="142"/>
        <v>1.876279220398594E-2</v>
      </c>
      <c r="AR209" s="652">
        <f t="shared" ca="1" si="142"/>
        <v>3.7525584407971879E-2</v>
      </c>
      <c r="AS209" s="652">
        <f t="shared" ca="1" si="140"/>
        <v>3.7525584407971879E-2</v>
      </c>
      <c r="AT209" s="652">
        <f t="shared" ca="1" si="140"/>
        <v>3.7525584407971879E-2</v>
      </c>
      <c r="AU209" s="652">
        <f t="shared" ca="1" si="140"/>
        <v>3.7525584407971879E-2</v>
      </c>
      <c r="AV209" s="652">
        <f t="shared" ca="1" si="140"/>
        <v>3.7525584407971879E-2</v>
      </c>
      <c r="AW209" s="652">
        <f t="shared" ca="1" si="140"/>
        <v>3.7525584407971879E-2</v>
      </c>
      <c r="AX209" s="652">
        <f t="shared" ca="1" si="140"/>
        <v>15.410518880006249</v>
      </c>
      <c r="AY209" s="652">
        <f t="shared" ca="1" si="140"/>
        <v>30.821037760012498</v>
      </c>
      <c r="AZ209" s="652">
        <f t="shared" ca="1" si="140"/>
        <v>30.821037760012498</v>
      </c>
      <c r="BA209" s="652">
        <f t="shared" ca="1" si="140"/>
        <v>30.821037760012498</v>
      </c>
      <c r="BB209" s="652">
        <f t="shared" ca="1" si="140"/>
        <v>30.821037760012498</v>
      </c>
      <c r="BC209" s="652">
        <f t="shared" ca="1" si="146"/>
        <v>30.821037760012498</v>
      </c>
      <c r="BD209" s="652">
        <f t="shared" ca="1" si="146"/>
        <v>30.821037760012498</v>
      </c>
      <c r="BE209" s="652" t="str">
        <f t="shared" ca="1" si="132"/>
        <v>Commercial</v>
      </c>
      <c r="BF209" s="652" t="str">
        <f t="shared" ca="1" si="132"/>
        <v>OFFSMElecDHW</v>
      </c>
      <c r="BG209" s="652" t="str">
        <f t="shared" ca="1" si="132"/>
        <v>OFFSMGasDHW</v>
      </c>
      <c r="BH209" s="652" t="str">
        <f t="shared" ca="1" si="132"/>
        <v>LGE NonRes</v>
      </c>
      <c r="BI209" s="652" t="str">
        <f t="shared" ca="1" si="132"/>
        <v>LGE NonRes</v>
      </c>
      <c r="BJ209" s="652">
        <f t="shared" ca="1" si="132"/>
        <v>10</v>
      </c>
      <c r="BK209" s="652">
        <f t="shared" ca="1" si="132"/>
        <v>16.233333333333331</v>
      </c>
      <c r="BL209" s="652">
        <f t="shared" ca="1" si="131"/>
        <v>32.466666666666661</v>
      </c>
      <c r="BM209" s="652">
        <f t="shared" ca="1" si="131"/>
        <v>32.466666666666661</v>
      </c>
      <c r="BN209" s="652">
        <f t="shared" ca="1" si="131"/>
        <v>32.466666666666661</v>
      </c>
      <c r="BO209" s="652">
        <f t="shared" ca="1" si="131"/>
        <v>32.466666666666661</v>
      </c>
      <c r="BP209" s="652">
        <f t="shared" ca="1" si="131"/>
        <v>32.466666666666661</v>
      </c>
      <c r="BQ209" s="652">
        <f t="shared" ca="1" si="131"/>
        <v>32.466666666666661</v>
      </c>
      <c r="BR209" s="652">
        <f t="shared" ca="1" si="144"/>
        <v>26</v>
      </c>
      <c r="BS209" s="652">
        <f t="shared" ca="1" si="146"/>
        <v>0</v>
      </c>
      <c r="BT209" s="652">
        <f t="shared" ca="1" si="146"/>
        <v>0</v>
      </c>
      <c r="BU209" s="652">
        <f t="shared" ca="1" si="146"/>
        <v>0</v>
      </c>
      <c r="BV209" s="652">
        <f t="shared" ca="1" si="146"/>
        <v>211.03333333333333</v>
      </c>
      <c r="BW209" s="652">
        <f t="shared" ca="1" si="146"/>
        <v>2795.9686462357126</v>
      </c>
      <c r="BX209" s="652">
        <f t="shared" ca="1" si="123"/>
        <v>0.24391629865181721</v>
      </c>
      <c r="BY209" s="652">
        <f t="shared" ca="1" si="123"/>
        <v>200.33674544008124</v>
      </c>
    </row>
    <row r="210" spans="1:77">
      <c r="A210" s="425" t="str">
        <f t="shared" ca="1" si="138"/>
        <v>Small Business - Audit &amp; DILG&amp;E-Small Business Direct Install - Water Conservation Sprayers</v>
      </c>
      <c r="B210" s="1297" t="str">
        <f t="shared" si="137"/>
        <v>LG&amp;ESmall Business - Audit &amp; DI</v>
      </c>
      <c r="C210" s="662" t="s">
        <v>182</v>
      </c>
      <c r="D210" s="662" t="s">
        <v>64</v>
      </c>
      <c r="E210" s="652" t="str">
        <f t="shared" ca="1" si="135"/>
        <v>LG&amp;E-Small Business Direct Install - Water Conservation Sprayers</v>
      </c>
      <c r="F210" s="652" t="str">
        <f t="shared" ref="F210:G210" ca="1" si="147">VLOOKUP($C210,INDIRECT("'"&amp;$D210&amp;"'!A6:FC1000"),IF(F$6="Participation 2023",MATCH("__Participation 2023",INDIRECT("'"&amp;$D210&amp;"'!1:1"),0),IF(F$6="Participation",MATCH("_Total Plan Summary _Participation",INDIRECT("'"&amp;$D210&amp;"'!1:1"),0),MATCH(F$4&amp;"_"&amp;F$5&amp;"_"&amp;F$6,INDIRECT("'"&amp;$D210&amp;"'!1:1"),0))),0)</f>
        <v>Pre-rinse Spray Valves 1.15GPM</v>
      </c>
      <c r="G210" s="652" t="str">
        <f t="shared" ca="1" si="147"/>
        <v>Per Unit</v>
      </c>
      <c r="H210" s="652">
        <f t="shared" ca="1" si="141"/>
        <v>2</v>
      </c>
      <c r="I210" s="652">
        <f t="shared" ca="1" si="141"/>
        <v>4</v>
      </c>
      <c r="J210" s="652">
        <f t="shared" ca="1" si="141"/>
        <v>4</v>
      </c>
      <c r="K210" s="652">
        <f t="shared" ca="1" si="141"/>
        <v>4</v>
      </c>
      <c r="L210" s="652">
        <f t="shared" ca="1" si="141"/>
        <v>4</v>
      </c>
      <c r="M210" s="652">
        <f t="shared" ca="1" si="141"/>
        <v>4</v>
      </c>
      <c r="N210" s="652">
        <f t="shared" ca="1" si="141"/>
        <v>4</v>
      </c>
      <c r="O210" s="652">
        <f t="shared" ca="1" si="141"/>
        <v>0</v>
      </c>
      <c r="P210" s="652">
        <f t="shared" ca="1" si="141"/>
        <v>0</v>
      </c>
      <c r="Q210" s="652">
        <f t="shared" ca="1" si="141"/>
        <v>0</v>
      </c>
      <c r="R210" s="652">
        <f t="shared" ca="1" si="141"/>
        <v>0</v>
      </c>
      <c r="S210" s="652">
        <f t="shared" ca="1" si="141"/>
        <v>0</v>
      </c>
      <c r="T210" s="652">
        <f t="shared" ca="1" si="141"/>
        <v>0</v>
      </c>
      <c r="U210" s="652">
        <f t="shared" ca="1" si="141"/>
        <v>0</v>
      </c>
      <c r="V210" s="652">
        <f t="shared" ca="1" si="145"/>
        <v>0</v>
      </c>
      <c r="W210" s="652">
        <f t="shared" ca="1" si="145"/>
        <v>0</v>
      </c>
      <c r="X210" s="652">
        <f t="shared" ca="1" si="145"/>
        <v>0</v>
      </c>
      <c r="Y210" s="652">
        <f t="shared" ca="1" si="145"/>
        <v>0</v>
      </c>
      <c r="Z210" s="652">
        <f t="shared" ca="1" si="145"/>
        <v>0</v>
      </c>
      <c r="AA210" s="652">
        <f t="shared" ca="1" si="145"/>
        <v>0</v>
      </c>
      <c r="AB210" s="652">
        <f t="shared" ca="1" si="145"/>
        <v>0</v>
      </c>
      <c r="AC210" s="652">
        <f t="shared" ca="1" si="145"/>
        <v>0</v>
      </c>
      <c r="AD210" s="652">
        <f t="shared" ca="1" si="145"/>
        <v>0</v>
      </c>
      <c r="AE210" s="652">
        <f t="shared" ca="1" si="145"/>
        <v>0</v>
      </c>
      <c r="AF210" s="652">
        <f t="shared" ca="1" si="145"/>
        <v>0</v>
      </c>
      <c r="AG210" s="652">
        <f t="shared" ca="1" si="145"/>
        <v>0</v>
      </c>
      <c r="AH210" s="652">
        <f t="shared" ca="1" si="145"/>
        <v>0</v>
      </c>
      <c r="AI210" s="652">
        <f t="shared" ca="1" si="142"/>
        <v>0</v>
      </c>
      <c r="AJ210" s="652">
        <f t="shared" ca="1" si="142"/>
        <v>1844.4269489006565</v>
      </c>
      <c r="AK210" s="652">
        <f t="shared" ca="1" si="142"/>
        <v>3688.853897801313</v>
      </c>
      <c r="AL210" s="652">
        <f t="shared" ca="1" si="142"/>
        <v>3688.853897801313</v>
      </c>
      <c r="AM210" s="652">
        <f t="shared" ca="1" si="142"/>
        <v>3688.853897801313</v>
      </c>
      <c r="AN210" s="652">
        <f t="shared" ca="1" si="142"/>
        <v>3688.853897801313</v>
      </c>
      <c r="AO210" s="652">
        <f t="shared" ca="1" si="142"/>
        <v>3688.853897801313</v>
      </c>
      <c r="AP210" s="652">
        <f t="shared" ca="1" si="142"/>
        <v>3688.853897801313</v>
      </c>
      <c r="AQ210" s="652">
        <f t="shared" ca="1" si="142"/>
        <v>0</v>
      </c>
      <c r="AR210" s="652">
        <f t="shared" ca="1" si="142"/>
        <v>0</v>
      </c>
      <c r="AS210" s="652">
        <f t="shared" ca="1" si="140"/>
        <v>0</v>
      </c>
      <c r="AT210" s="652">
        <f t="shared" ca="1" si="140"/>
        <v>0</v>
      </c>
      <c r="AU210" s="652">
        <f t="shared" ca="1" si="140"/>
        <v>0</v>
      </c>
      <c r="AV210" s="652">
        <f t="shared" ca="1" si="140"/>
        <v>0</v>
      </c>
      <c r="AW210" s="652">
        <f t="shared" ca="1" si="140"/>
        <v>0</v>
      </c>
      <c r="AX210" s="652">
        <f t="shared" ca="1" si="140"/>
        <v>139.56978974400002</v>
      </c>
      <c r="AY210" s="652">
        <f t="shared" ca="1" si="140"/>
        <v>279.13957948800004</v>
      </c>
      <c r="AZ210" s="652">
        <f t="shared" ca="1" si="140"/>
        <v>279.13957948800004</v>
      </c>
      <c r="BA210" s="652">
        <f t="shared" ca="1" si="140"/>
        <v>279.13957948800004</v>
      </c>
      <c r="BB210" s="652">
        <f t="shared" ca="1" si="140"/>
        <v>279.13957948800004</v>
      </c>
      <c r="BC210" s="652">
        <f t="shared" ca="1" si="146"/>
        <v>279.13957948800004</v>
      </c>
      <c r="BD210" s="652">
        <f t="shared" ca="1" si="146"/>
        <v>279.13957948800004</v>
      </c>
      <c r="BE210" s="652" t="str">
        <f t="shared" ca="1" si="132"/>
        <v>Commercial</v>
      </c>
      <c r="BF210" s="652" t="str">
        <f t="shared" ca="1" si="132"/>
        <v>OFFSMElecDHW</v>
      </c>
      <c r="BG210" s="652" t="str">
        <f t="shared" ca="1" si="132"/>
        <v>OFFSMGasDHW</v>
      </c>
      <c r="BH210" s="652" t="str">
        <f t="shared" ca="1" si="132"/>
        <v>LGE NonRes</v>
      </c>
      <c r="BI210" s="652" t="str">
        <f t="shared" ca="1" si="132"/>
        <v>LGE NonRes</v>
      </c>
      <c r="BJ210" s="652">
        <f t="shared" ca="1" si="132"/>
        <v>5</v>
      </c>
      <c r="BK210" s="652">
        <f t="shared" ca="1" si="132"/>
        <v>86.98</v>
      </c>
      <c r="BL210" s="652">
        <f t="shared" ca="1" si="131"/>
        <v>173.96</v>
      </c>
      <c r="BM210" s="652">
        <f t="shared" ca="1" si="131"/>
        <v>173.96</v>
      </c>
      <c r="BN210" s="652">
        <f t="shared" ca="1" si="131"/>
        <v>173.96</v>
      </c>
      <c r="BO210" s="652">
        <f t="shared" ca="1" si="131"/>
        <v>173.96</v>
      </c>
      <c r="BP210" s="652">
        <f t="shared" ca="1" si="131"/>
        <v>173.96</v>
      </c>
      <c r="BQ210" s="652">
        <f t="shared" ca="1" si="131"/>
        <v>173.96</v>
      </c>
      <c r="BR210" s="652">
        <f t="shared" ca="1" si="144"/>
        <v>26</v>
      </c>
      <c r="BS210" s="652">
        <f t="shared" ca="1" si="146"/>
        <v>0</v>
      </c>
      <c r="BT210" s="652">
        <f t="shared" ca="1" si="146"/>
        <v>0</v>
      </c>
      <c r="BU210" s="652">
        <f t="shared" ca="1" si="146"/>
        <v>0</v>
      </c>
      <c r="BV210" s="652">
        <f t="shared" ca="1" si="146"/>
        <v>1130.74</v>
      </c>
      <c r="BW210" s="652">
        <f t="shared" ca="1" si="146"/>
        <v>23977.550335708533</v>
      </c>
      <c r="BX210" s="652">
        <f t="shared" ca="1" si="123"/>
        <v>0</v>
      </c>
      <c r="BY210" s="652">
        <f t="shared" ca="1" si="123"/>
        <v>1814.4072666720001</v>
      </c>
    </row>
    <row r="211" spans="1:77">
      <c r="A211" s="425" t="str">
        <f t="shared" ca="1" si="138"/>
        <v>Residential Demand ConservationKU-Single Family - AC and ASHP Demand Conservation</v>
      </c>
      <c r="B211" s="1297" t="str">
        <f t="shared" si="130"/>
        <v>KUResidential Demand Conservation</v>
      </c>
      <c r="C211" s="661" t="s">
        <v>171</v>
      </c>
      <c r="D211" s="662" t="s">
        <v>4</v>
      </c>
      <c r="E211" s="652" t="str">
        <f t="shared" ref="E211:G221" ca="1" si="148">VLOOKUP($C211,INDIRECT("'"&amp;$D211&amp;"'!A6:FC1000"),IF(E$6="Participation 2023",MATCH("__Participation 2023",INDIRECT("'"&amp;$D211&amp;"'!1:1"),0),IF(E$6="Participation",MATCH("_Total Plan Summary _Participation",INDIRECT("'"&amp;$D211&amp;"'!1:1"),0),MATCH(E$4&amp;"_"&amp;E$5&amp;"_"&amp;E$6,INDIRECT("'"&amp;$D211&amp;"'!1:1"),0))),0)</f>
        <v>KU-Single Family - AC and ASHP Demand Conservation</v>
      </c>
      <c r="F211" s="652" t="str">
        <f t="shared" ca="1" si="148"/>
        <v>Summer for each central air conditioning unit and all year round for each heat pump on single-family homes</v>
      </c>
      <c r="G211" s="652" t="str">
        <f t="shared" ca="1" si="148"/>
        <v>Per Customer</v>
      </c>
      <c r="H211" s="652">
        <f t="shared" ca="1" si="136"/>
        <v>69600</v>
      </c>
      <c r="I211" s="652">
        <f t="shared" ca="1" si="136"/>
        <v>62600</v>
      </c>
      <c r="J211" s="652">
        <f t="shared" ca="1" si="136"/>
        <v>56300</v>
      </c>
      <c r="K211" s="652">
        <f t="shared" ca="1" si="136"/>
        <v>50650</v>
      </c>
      <c r="L211" s="652">
        <f t="shared" ca="1" si="136"/>
        <v>45550</v>
      </c>
      <c r="M211" s="652">
        <f t="shared" ca="1" si="136"/>
        <v>40950</v>
      </c>
      <c r="N211" s="652">
        <f t="shared" ca="1" si="136"/>
        <v>36850</v>
      </c>
      <c r="O211" s="652">
        <f t="shared" ca="1" si="136"/>
        <v>0</v>
      </c>
      <c r="P211" s="652">
        <f t="shared" ca="1" si="136"/>
        <v>0</v>
      </c>
      <c r="Q211" s="652">
        <f t="shared" ca="1" si="136"/>
        <v>0</v>
      </c>
      <c r="R211" s="652">
        <f t="shared" ca="1" si="136"/>
        <v>0</v>
      </c>
      <c r="S211" s="652">
        <f t="shared" ca="1" si="136"/>
        <v>0</v>
      </c>
      <c r="T211" s="652">
        <f t="shared" ca="1" si="136"/>
        <v>0</v>
      </c>
      <c r="U211" s="652">
        <f t="shared" ca="1" si="136"/>
        <v>0</v>
      </c>
      <c r="V211" s="652">
        <f t="shared" ca="1" si="133"/>
        <v>0</v>
      </c>
      <c r="W211" s="652">
        <f t="shared" ca="1" si="133"/>
        <v>0</v>
      </c>
      <c r="X211" s="652">
        <f t="shared" ca="1" si="133"/>
        <v>0</v>
      </c>
      <c r="Y211" s="652">
        <f t="shared" ca="1" si="133"/>
        <v>0</v>
      </c>
      <c r="Z211" s="652">
        <f t="shared" ca="1" si="133"/>
        <v>0</v>
      </c>
      <c r="AA211" s="652">
        <f t="shared" ca="1" si="133"/>
        <v>0</v>
      </c>
      <c r="AB211" s="652">
        <f t="shared" ca="1" si="133"/>
        <v>0</v>
      </c>
      <c r="AC211" s="652">
        <f t="shared" ca="1" si="133"/>
        <v>696000</v>
      </c>
      <c r="AD211" s="652">
        <f t="shared" ca="1" si="133"/>
        <v>626000</v>
      </c>
      <c r="AE211" s="652">
        <f t="shared" ca="1" si="133"/>
        <v>563000</v>
      </c>
      <c r="AF211" s="652">
        <f t="shared" ca="1" si="133"/>
        <v>1266250</v>
      </c>
      <c r="AG211" s="652">
        <f t="shared" ca="1" si="133"/>
        <v>4555000</v>
      </c>
      <c r="AH211" s="652">
        <f t="shared" ca="1" si="133"/>
        <v>4095000</v>
      </c>
      <c r="AI211" s="652">
        <f t="shared" ca="1" si="134"/>
        <v>3685000</v>
      </c>
      <c r="AJ211" s="652">
        <f t="shared" ca="1" si="134"/>
        <v>0</v>
      </c>
      <c r="AK211" s="652">
        <f t="shared" ca="1" si="134"/>
        <v>0</v>
      </c>
      <c r="AL211" s="652">
        <f t="shared" ca="1" si="134"/>
        <v>0</v>
      </c>
      <c r="AM211" s="652">
        <f t="shared" ca="1" si="134"/>
        <v>0</v>
      </c>
      <c r="AN211" s="652">
        <f t="shared" ca="1" si="134"/>
        <v>0</v>
      </c>
      <c r="AO211" s="652">
        <f t="shared" ca="1" si="134"/>
        <v>0</v>
      </c>
      <c r="AP211" s="652">
        <f t="shared" ca="1" si="134"/>
        <v>0</v>
      </c>
      <c r="AQ211" s="652">
        <f t="shared" ca="1" si="134"/>
        <v>48720</v>
      </c>
      <c r="AR211" s="652">
        <f t="shared" ca="1" si="134"/>
        <v>43820</v>
      </c>
      <c r="AS211" s="652">
        <f t="shared" ca="1" si="134"/>
        <v>39410</v>
      </c>
      <c r="AT211" s="652">
        <f t="shared" ca="1" si="134"/>
        <v>35455</v>
      </c>
      <c r="AU211" s="652">
        <f t="shared" ca="1" si="134"/>
        <v>31884.999999999996</v>
      </c>
      <c r="AV211" s="652">
        <f t="shared" ca="1" si="134"/>
        <v>28665</v>
      </c>
      <c r="AW211" s="652">
        <f t="shared" ca="1" si="132"/>
        <v>25795</v>
      </c>
      <c r="AX211" s="652">
        <f t="shared" ca="1" si="132"/>
        <v>0</v>
      </c>
      <c r="AY211" s="652">
        <f t="shared" ca="1" si="132"/>
        <v>0</v>
      </c>
      <c r="AZ211" s="652">
        <f t="shared" ca="1" si="132"/>
        <v>0</v>
      </c>
      <c r="BA211" s="652">
        <f t="shared" ca="1" si="132"/>
        <v>0</v>
      </c>
      <c r="BB211" s="652">
        <f t="shared" ca="1" si="132"/>
        <v>0</v>
      </c>
      <c r="BC211" s="652">
        <f t="shared" ca="1" si="132"/>
        <v>0</v>
      </c>
      <c r="BD211" s="652">
        <f t="shared" ca="1" si="132"/>
        <v>0</v>
      </c>
      <c r="BE211" s="652" t="str">
        <f t="shared" ca="1" si="132"/>
        <v>Residential</v>
      </c>
      <c r="BF211" s="652" t="str">
        <f t="shared" ca="1" si="132"/>
        <v>ResCooling - SF Wtd</v>
      </c>
      <c r="BG211" s="652" t="str">
        <f t="shared" ca="1" si="132"/>
        <v>ResSFGasTotal</v>
      </c>
      <c r="BH211" s="652" t="str">
        <f t="shared" ca="1" si="132"/>
        <v>KU Res</v>
      </c>
      <c r="BI211" s="652" t="str">
        <f t="shared" ca="1" si="132"/>
        <v>KU Res</v>
      </c>
      <c r="BJ211" s="652">
        <f t="shared" ca="1" si="132"/>
        <v>1</v>
      </c>
      <c r="BK211" s="652">
        <f t="shared" ca="1" si="132"/>
        <v>0</v>
      </c>
      <c r="BL211" s="652">
        <f t="shared" ca="1" si="131"/>
        <v>0</v>
      </c>
      <c r="BM211" s="652">
        <f t="shared" ca="1" si="131"/>
        <v>0</v>
      </c>
      <c r="BN211" s="652">
        <f t="shared" ca="1" si="131"/>
        <v>0</v>
      </c>
      <c r="BO211" s="652">
        <f t="shared" ca="1" si="131"/>
        <v>0</v>
      </c>
      <c r="BP211" s="652">
        <f t="shared" ca="1" si="131"/>
        <v>0</v>
      </c>
      <c r="BQ211" s="652">
        <f t="shared" ca="1" si="131"/>
        <v>0</v>
      </c>
      <c r="BR211" s="652">
        <f t="shared" ca="1" si="144"/>
        <v>362500</v>
      </c>
      <c r="BS211" s="652">
        <f t="shared" ca="1" si="132"/>
        <v>0</v>
      </c>
      <c r="BT211" s="652">
        <f t="shared" ca="1" si="132"/>
        <v>0</v>
      </c>
      <c r="BU211" s="652">
        <f t="shared" ca="1" si="132"/>
        <v>15486250</v>
      </c>
      <c r="BV211" s="652">
        <f t="shared" ca="1" si="132"/>
        <v>0</v>
      </c>
      <c r="BW211" s="652">
        <f t="shared" ca="1" si="132"/>
        <v>0</v>
      </c>
      <c r="BX211" s="652">
        <f t="shared" ca="1" si="123"/>
        <v>48720</v>
      </c>
      <c r="BY211" s="652">
        <f t="shared" ca="1" si="123"/>
        <v>0</v>
      </c>
    </row>
    <row r="212" spans="1:77">
      <c r="A212" s="425" t="str">
        <f t="shared" ca="1" si="138"/>
        <v>Residential Demand ConservationKU-Single Family - Water Heater Demand Conservation</v>
      </c>
      <c r="B212" s="1297" t="str">
        <f t="shared" si="130"/>
        <v>KUResidential Demand Conservation</v>
      </c>
      <c r="C212" s="661" t="s">
        <v>173</v>
      </c>
      <c r="D212" s="662" t="s">
        <v>4</v>
      </c>
      <c r="E212" s="652" t="str">
        <f t="shared" ca="1" si="148"/>
        <v>KU-Single Family - Water Heater Demand Conservation</v>
      </c>
      <c r="F212" s="652" t="str">
        <f t="shared" ca="1" si="148"/>
        <v>All year round for each electric water heater on single-family homes</v>
      </c>
      <c r="G212" s="652" t="str">
        <f t="shared" ca="1" si="148"/>
        <v>Per Customer</v>
      </c>
      <c r="H212" s="652">
        <f t="shared" ca="1" si="136"/>
        <v>3800</v>
      </c>
      <c r="I212" s="652">
        <f t="shared" ca="1" si="136"/>
        <v>3400</v>
      </c>
      <c r="J212" s="652">
        <f t="shared" ca="1" si="136"/>
        <v>3050</v>
      </c>
      <c r="K212" s="652">
        <f t="shared" ca="1" si="136"/>
        <v>2700</v>
      </c>
      <c r="L212" s="652">
        <f t="shared" ca="1" si="136"/>
        <v>2400</v>
      </c>
      <c r="M212" s="652">
        <f t="shared" ca="1" si="136"/>
        <v>2150</v>
      </c>
      <c r="N212" s="652">
        <f t="shared" ca="1" si="136"/>
        <v>1900</v>
      </c>
      <c r="O212" s="652">
        <f t="shared" ca="1" si="136"/>
        <v>0</v>
      </c>
      <c r="P212" s="652">
        <f t="shared" ca="1" si="136"/>
        <v>0</v>
      </c>
      <c r="Q212" s="652">
        <f t="shared" ca="1" si="136"/>
        <v>0</v>
      </c>
      <c r="R212" s="652">
        <f t="shared" ca="1" si="136"/>
        <v>0</v>
      </c>
      <c r="S212" s="652">
        <f t="shared" ca="1" si="136"/>
        <v>0</v>
      </c>
      <c r="T212" s="652">
        <f t="shared" ca="1" si="136"/>
        <v>0</v>
      </c>
      <c r="U212" s="652">
        <f t="shared" ca="1" si="136"/>
        <v>0</v>
      </c>
      <c r="V212" s="652">
        <f t="shared" ca="1" si="133"/>
        <v>0</v>
      </c>
      <c r="W212" s="652">
        <f t="shared" ca="1" si="133"/>
        <v>0</v>
      </c>
      <c r="X212" s="652">
        <f t="shared" ca="1" si="133"/>
        <v>0</v>
      </c>
      <c r="Y212" s="652">
        <f t="shared" ca="1" si="133"/>
        <v>0</v>
      </c>
      <c r="Z212" s="652">
        <f t="shared" ca="1" si="133"/>
        <v>0</v>
      </c>
      <c r="AA212" s="652">
        <f t="shared" ca="1" si="133"/>
        <v>0</v>
      </c>
      <c r="AB212" s="652">
        <f t="shared" ca="1" si="133"/>
        <v>0</v>
      </c>
      <c r="AC212" s="652">
        <f t="shared" ca="1" si="133"/>
        <v>304000</v>
      </c>
      <c r="AD212" s="652">
        <f t="shared" ca="1" si="133"/>
        <v>272000</v>
      </c>
      <c r="AE212" s="652">
        <f t="shared" ca="1" si="133"/>
        <v>244000</v>
      </c>
      <c r="AF212" s="652">
        <f t="shared" ca="1" si="133"/>
        <v>216000</v>
      </c>
      <c r="AG212" s="652">
        <f t="shared" ca="1" si="133"/>
        <v>192000</v>
      </c>
      <c r="AH212" s="652">
        <f t="shared" ca="1" si="133"/>
        <v>172000</v>
      </c>
      <c r="AI212" s="652">
        <f t="shared" ca="1" si="134"/>
        <v>152000</v>
      </c>
      <c r="AJ212" s="652">
        <f t="shared" ca="1" si="134"/>
        <v>0</v>
      </c>
      <c r="AK212" s="652">
        <f t="shared" ca="1" si="134"/>
        <v>0</v>
      </c>
      <c r="AL212" s="652">
        <f t="shared" ca="1" si="134"/>
        <v>0</v>
      </c>
      <c r="AM212" s="652">
        <f t="shared" ca="1" si="134"/>
        <v>0</v>
      </c>
      <c r="AN212" s="652">
        <f t="shared" ca="1" si="134"/>
        <v>0</v>
      </c>
      <c r="AO212" s="652">
        <f t="shared" ca="1" si="134"/>
        <v>0</v>
      </c>
      <c r="AP212" s="652">
        <f t="shared" ca="1" si="134"/>
        <v>0</v>
      </c>
      <c r="AQ212" s="652">
        <f t="shared" ca="1" si="134"/>
        <v>1520</v>
      </c>
      <c r="AR212" s="652">
        <f t="shared" ca="1" si="134"/>
        <v>1360</v>
      </c>
      <c r="AS212" s="652">
        <f t="shared" ca="1" si="134"/>
        <v>1220</v>
      </c>
      <c r="AT212" s="652">
        <f t="shared" ca="1" si="134"/>
        <v>1080</v>
      </c>
      <c r="AU212" s="652">
        <f t="shared" ca="1" si="134"/>
        <v>960</v>
      </c>
      <c r="AV212" s="652">
        <f t="shared" ca="1" si="134"/>
        <v>860</v>
      </c>
      <c r="AW212" s="652">
        <f t="shared" ca="1" si="132"/>
        <v>760</v>
      </c>
      <c r="AX212" s="652">
        <f t="shared" ca="1" si="132"/>
        <v>0</v>
      </c>
      <c r="AY212" s="652">
        <f t="shared" ca="1" si="132"/>
        <v>0</v>
      </c>
      <c r="AZ212" s="652">
        <f t="shared" ca="1" si="132"/>
        <v>0</v>
      </c>
      <c r="BA212" s="652">
        <f t="shared" ca="1" si="132"/>
        <v>0</v>
      </c>
      <c r="BB212" s="652">
        <f t="shared" ca="1" si="132"/>
        <v>0</v>
      </c>
      <c r="BC212" s="652">
        <f t="shared" ca="1" si="132"/>
        <v>0</v>
      </c>
      <c r="BD212" s="652">
        <f t="shared" ca="1" si="132"/>
        <v>0</v>
      </c>
      <c r="BE212" s="652" t="str">
        <f t="shared" ca="1" si="132"/>
        <v>Residential</v>
      </c>
      <c r="BF212" s="652" t="str">
        <f t="shared" ca="1" si="132"/>
        <v>ResHotWater - SF Wtd</v>
      </c>
      <c r="BG212" s="652" t="str">
        <f t="shared" ca="1" si="132"/>
        <v>ResSFGasTotal</v>
      </c>
      <c r="BH212" s="652" t="str">
        <f t="shared" ca="1" si="132"/>
        <v>KU Res</v>
      </c>
      <c r="BI212" s="652" t="str">
        <f t="shared" ca="1" si="132"/>
        <v>KU Res</v>
      </c>
      <c r="BJ212" s="652">
        <f t="shared" ca="1" si="132"/>
        <v>1</v>
      </c>
      <c r="BK212" s="652">
        <f t="shared" ca="1" si="132"/>
        <v>0</v>
      </c>
      <c r="BL212" s="652">
        <f t="shared" ca="1" si="131"/>
        <v>0</v>
      </c>
      <c r="BM212" s="652">
        <f t="shared" ca="1" si="131"/>
        <v>0</v>
      </c>
      <c r="BN212" s="652">
        <f t="shared" ca="1" si="131"/>
        <v>0</v>
      </c>
      <c r="BO212" s="652">
        <f t="shared" ca="1" si="131"/>
        <v>0</v>
      </c>
      <c r="BP212" s="652">
        <f t="shared" ca="1" si="131"/>
        <v>0</v>
      </c>
      <c r="BQ212" s="652">
        <f t="shared" ca="1" si="131"/>
        <v>0</v>
      </c>
      <c r="BR212" s="652">
        <f t="shared" ca="1" si="144"/>
        <v>19400</v>
      </c>
      <c r="BS212" s="652">
        <f t="shared" ca="1" si="132"/>
        <v>0</v>
      </c>
      <c r="BT212" s="652">
        <f t="shared" ref="AW212:BW222" ca="1" si="149">VLOOKUP($C212,INDIRECT("'"&amp;$D212&amp;"'!A6:FR1000"),IF(BT$6="Participation 2023",MATCH("__Participation 2023",INDIRECT("'"&amp;$D212&amp;"'!1:1"),0),IF(BT$6="Participation",MATCH("_Total Plan Summary _Participation",INDIRECT("'"&amp;$D212&amp;"'!1:1"),0),MATCH(BT$4&amp;"_"&amp;BT$5&amp;"_"&amp;BT$6,INDIRECT("'"&amp;$D212&amp;"'!1:1"),0))),0)</f>
        <v>0</v>
      </c>
      <c r="BU212" s="652">
        <f t="shared" ca="1" si="149"/>
        <v>1552000</v>
      </c>
      <c r="BV212" s="652">
        <f t="shared" ca="1" si="149"/>
        <v>0</v>
      </c>
      <c r="BW212" s="652">
        <f t="shared" ca="1" si="149"/>
        <v>0</v>
      </c>
      <c r="BX212" s="652">
        <f t="shared" ca="1" si="123"/>
        <v>1520</v>
      </c>
      <c r="BY212" s="652">
        <f t="shared" ca="1" si="123"/>
        <v>0</v>
      </c>
    </row>
    <row r="213" spans="1:77">
      <c r="A213" s="425" t="str">
        <f t="shared" ca="1" si="138"/>
        <v>Residential Demand ConservationKU-Single Family - Pool Pump Demand Conservation</v>
      </c>
      <c r="B213" s="1297" t="str">
        <f t="shared" si="130"/>
        <v>KUResidential Demand Conservation</v>
      </c>
      <c r="C213" s="661" t="s">
        <v>175</v>
      </c>
      <c r="D213" s="662" t="s">
        <v>4</v>
      </c>
      <c r="E213" s="652" t="str">
        <f t="shared" ca="1" si="148"/>
        <v>KU-Single Family - Pool Pump Demand Conservation</v>
      </c>
      <c r="F213" s="652" t="str">
        <f t="shared" ca="1" si="148"/>
        <v>Summer for each electric in-ground swimming pool pump on single-family homes</v>
      </c>
      <c r="G213" s="652" t="str">
        <f t="shared" ca="1" si="148"/>
        <v>Per Customer</v>
      </c>
      <c r="H213" s="652">
        <f t="shared" ca="1" si="136"/>
        <v>10</v>
      </c>
      <c r="I213" s="652">
        <f t="shared" ca="1" si="136"/>
        <v>10</v>
      </c>
      <c r="J213" s="652">
        <f t="shared" ca="1" si="136"/>
        <v>0</v>
      </c>
      <c r="K213" s="652">
        <f t="shared" ca="1" si="136"/>
        <v>0</v>
      </c>
      <c r="L213" s="652">
        <f t="shared" ca="1" si="136"/>
        <v>0</v>
      </c>
      <c r="M213" s="652">
        <f t="shared" ca="1" si="136"/>
        <v>0</v>
      </c>
      <c r="N213" s="652">
        <f t="shared" ca="1" si="136"/>
        <v>0</v>
      </c>
      <c r="O213" s="652">
        <f t="shared" ca="1" si="136"/>
        <v>0</v>
      </c>
      <c r="P213" s="652">
        <f t="shared" ca="1" si="136"/>
        <v>0</v>
      </c>
      <c r="Q213" s="652">
        <f t="shared" ca="1" si="136"/>
        <v>0</v>
      </c>
      <c r="R213" s="652">
        <f t="shared" ca="1" si="136"/>
        <v>0</v>
      </c>
      <c r="S213" s="652">
        <f t="shared" ca="1" si="136"/>
        <v>0</v>
      </c>
      <c r="T213" s="652">
        <f t="shared" ca="1" si="136"/>
        <v>0</v>
      </c>
      <c r="U213" s="652">
        <f t="shared" ca="1" si="136"/>
        <v>0</v>
      </c>
      <c r="V213" s="652">
        <f t="shared" ca="1" si="133"/>
        <v>0</v>
      </c>
      <c r="W213" s="652">
        <f t="shared" ca="1" si="133"/>
        <v>0</v>
      </c>
      <c r="X213" s="652">
        <f t="shared" ca="1" si="133"/>
        <v>0</v>
      </c>
      <c r="Y213" s="652">
        <f t="shared" ca="1" si="133"/>
        <v>0</v>
      </c>
      <c r="Z213" s="652">
        <f t="shared" ca="1" si="133"/>
        <v>0</v>
      </c>
      <c r="AA213" s="652">
        <f t="shared" ca="1" si="133"/>
        <v>0</v>
      </c>
      <c r="AB213" s="652">
        <f t="shared" ca="1" si="133"/>
        <v>0</v>
      </c>
      <c r="AC213" s="652">
        <f t="shared" ca="1" si="133"/>
        <v>800</v>
      </c>
      <c r="AD213" s="652">
        <f t="shared" ca="1" si="133"/>
        <v>800</v>
      </c>
      <c r="AE213" s="652">
        <f t="shared" ca="1" si="133"/>
        <v>0</v>
      </c>
      <c r="AF213" s="652">
        <f t="shared" ca="1" si="133"/>
        <v>0</v>
      </c>
      <c r="AG213" s="652">
        <f t="shared" ca="1" si="133"/>
        <v>0</v>
      </c>
      <c r="AH213" s="652">
        <f t="shared" ca="1" si="133"/>
        <v>0</v>
      </c>
      <c r="AI213" s="652">
        <f t="shared" ca="1" si="134"/>
        <v>0</v>
      </c>
      <c r="AJ213" s="652">
        <f t="shared" ca="1" si="134"/>
        <v>0</v>
      </c>
      <c r="AK213" s="652">
        <f t="shared" ca="1" si="134"/>
        <v>0</v>
      </c>
      <c r="AL213" s="652">
        <f t="shared" ca="1" si="134"/>
        <v>0</v>
      </c>
      <c r="AM213" s="652">
        <f t="shared" ca="1" si="134"/>
        <v>0</v>
      </c>
      <c r="AN213" s="652">
        <f t="shared" ca="1" si="134"/>
        <v>0</v>
      </c>
      <c r="AO213" s="652">
        <f t="shared" ca="1" si="134"/>
        <v>0</v>
      </c>
      <c r="AP213" s="652">
        <f t="shared" ca="1" si="134"/>
        <v>0</v>
      </c>
      <c r="AQ213" s="652">
        <f t="shared" ca="1" si="134"/>
        <v>4</v>
      </c>
      <c r="AR213" s="652">
        <f t="shared" ca="1" si="134"/>
        <v>4</v>
      </c>
      <c r="AS213" s="652">
        <f t="shared" ca="1" si="134"/>
        <v>0</v>
      </c>
      <c r="AT213" s="652">
        <f t="shared" ca="1" si="134"/>
        <v>0</v>
      </c>
      <c r="AU213" s="652">
        <f t="shared" ca="1" si="134"/>
        <v>0</v>
      </c>
      <c r="AV213" s="652">
        <f t="shared" ca="1" si="134"/>
        <v>0</v>
      </c>
      <c r="AW213" s="652">
        <f t="shared" ca="1" si="149"/>
        <v>0</v>
      </c>
      <c r="AX213" s="652">
        <f t="shared" ca="1" si="149"/>
        <v>0</v>
      </c>
      <c r="AY213" s="652">
        <f t="shared" ca="1" si="149"/>
        <v>0</v>
      </c>
      <c r="AZ213" s="652">
        <f t="shared" ca="1" si="149"/>
        <v>0</v>
      </c>
      <c r="BA213" s="652">
        <f t="shared" ca="1" si="149"/>
        <v>0</v>
      </c>
      <c r="BB213" s="652">
        <f t="shared" ca="1" si="149"/>
        <v>0</v>
      </c>
      <c r="BC213" s="652">
        <f t="shared" ca="1" si="149"/>
        <v>0</v>
      </c>
      <c r="BD213" s="652">
        <f t="shared" ca="1" si="149"/>
        <v>0</v>
      </c>
      <c r="BE213" s="652" t="str">
        <f t="shared" ca="1" si="149"/>
        <v>Residential</v>
      </c>
      <c r="BF213" s="652" t="str">
        <f t="shared" ca="1" si="149"/>
        <v>ResPoolSpa - SF Wtd</v>
      </c>
      <c r="BG213" s="652" t="str">
        <f t="shared" ca="1" si="149"/>
        <v>ResSFGasTotal</v>
      </c>
      <c r="BH213" s="652" t="str">
        <f t="shared" ca="1" si="149"/>
        <v>KU Res</v>
      </c>
      <c r="BI213" s="652" t="str">
        <f t="shared" ca="1" si="149"/>
        <v>KU Res</v>
      </c>
      <c r="BJ213" s="652">
        <f t="shared" ca="1" si="149"/>
        <v>1</v>
      </c>
      <c r="BK213" s="652">
        <f t="shared" ca="1" si="149"/>
        <v>0</v>
      </c>
      <c r="BL213" s="652">
        <f t="shared" ca="1" si="131"/>
        <v>0</v>
      </c>
      <c r="BM213" s="652">
        <f t="shared" ca="1" si="131"/>
        <v>0</v>
      </c>
      <c r="BN213" s="652">
        <f t="shared" ca="1" si="131"/>
        <v>0</v>
      </c>
      <c r="BO213" s="652">
        <f t="shared" ca="1" si="131"/>
        <v>0</v>
      </c>
      <c r="BP213" s="652">
        <f t="shared" ca="1" si="131"/>
        <v>0</v>
      </c>
      <c r="BQ213" s="652">
        <f t="shared" ca="1" si="131"/>
        <v>0</v>
      </c>
      <c r="BR213" s="652">
        <f t="shared" ca="1" si="144"/>
        <v>20</v>
      </c>
      <c r="BS213" s="652">
        <f t="shared" ca="1" si="149"/>
        <v>0</v>
      </c>
      <c r="BT213" s="652">
        <f t="shared" ca="1" si="149"/>
        <v>0</v>
      </c>
      <c r="BU213" s="652">
        <f t="shared" ca="1" si="149"/>
        <v>1600</v>
      </c>
      <c r="BV213" s="652">
        <f t="shared" ca="1" si="149"/>
        <v>0</v>
      </c>
      <c r="BW213" s="652">
        <f t="shared" ca="1" si="149"/>
        <v>0</v>
      </c>
      <c r="BX213" s="652">
        <f t="shared" ca="1" si="123"/>
        <v>4</v>
      </c>
      <c r="BY213" s="652">
        <f t="shared" ca="1" si="123"/>
        <v>0</v>
      </c>
    </row>
    <row r="214" spans="1:77">
      <c r="A214" s="425" t="str">
        <f t="shared" ca="1" si="138"/>
        <v>Residential Demand ConservationKU-Multi-Family - AC and ASHP Demand Conservation</v>
      </c>
      <c r="B214" s="1297" t="str">
        <f t="shared" si="130"/>
        <v>KUResidential Demand Conservation</v>
      </c>
      <c r="C214" s="661" t="s">
        <v>176</v>
      </c>
      <c r="D214" s="662" t="s">
        <v>4</v>
      </c>
      <c r="E214" s="652" t="str">
        <f t="shared" ca="1" si="148"/>
        <v>KU-Multi-Family - AC and ASHP Demand Conservation</v>
      </c>
      <c r="F214" s="652" t="str">
        <f t="shared" ca="1" si="148"/>
        <v>Summer for each central air conditioning unit and all year round for each heat pump on on multifamily homes</v>
      </c>
      <c r="G214" s="652" t="str">
        <f t="shared" ca="1" si="148"/>
        <v>Per Customer</v>
      </c>
      <c r="H214" s="652">
        <f t="shared" ca="1" si="136"/>
        <v>13500</v>
      </c>
      <c r="I214" s="652">
        <f t="shared" ca="1" si="136"/>
        <v>12150</v>
      </c>
      <c r="J214" s="652">
        <f t="shared" ca="1" si="136"/>
        <v>10900</v>
      </c>
      <c r="K214" s="652">
        <f t="shared" ca="1" si="136"/>
        <v>9800</v>
      </c>
      <c r="L214" s="652">
        <f t="shared" ca="1" si="136"/>
        <v>8800</v>
      </c>
      <c r="M214" s="652">
        <f t="shared" ca="1" si="136"/>
        <v>7900</v>
      </c>
      <c r="N214" s="652">
        <f t="shared" ca="1" si="136"/>
        <v>7100</v>
      </c>
      <c r="O214" s="652">
        <f t="shared" ca="1" si="136"/>
        <v>0</v>
      </c>
      <c r="P214" s="652">
        <f t="shared" ca="1" si="136"/>
        <v>0</v>
      </c>
      <c r="Q214" s="652">
        <f t="shared" ca="1" si="136"/>
        <v>0</v>
      </c>
      <c r="R214" s="652">
        <f t="shared" ca="1" si="136"/>
        <v>0</v>
      </c>
      <c r="S214" s="652">
        <f t="shared" ca="1" si="136"/>
        <v>0</v>
      </c>
      <c r="T214" s="652">
        <f t="shared" ca="1" si="136"/>
        <v>0</v>
      </c>
      <c r="U214" s="652">
        <f t="shared" ca="1" si="136"/>
        <v>0</v>
      </c>
      <c r="V214" s="652">
        <f t="shared" ca="1" si="133"/>
        <v>0</v>
      </c>
      <c r="W214" s="652">
        <f t="shared" ca="1" si="133"/>
        <v>0</v>
      </c>
      <c r="X214" s="652">
        <f t="shared" ca="1" si="133"/>
        <v>0</v>
      </c>
      <c r="Y214" s="652">
        <f t="shared" ca="1" si="133"/>
        <v>0</v>
      </c>
      <c r="Z214" s="652">
        <f t="shared" ca="1" si="133"/>
        <v>0</v>
      </c>
      <c r="AA214" s="652">
        <f t="shared" ca="1" si="133"/>
        <v>0</v>
      </c>
      <c r="AB214" s="652">
        <f t="shared" ca="1" si="133"/>
        <v>0</v>
      </c>
      <c r="AC214" s="652">
        <f t="shared" ca="1" si="133"/>
        <v>108000</v>
      </c>
      <c r="AD214" s="652">
        <f t="shared" ca="1" si="133"/>
        <v>97200</v>
      </c>
      <c r="AE214" s="652">
        <f t="shared" ca="1" si="133"/>
        <v>87200</v>
      </c>
      <c r="AF214" s="652">
        <f t="shared" ca="1" si="133"/>
        <v>196000</v>
      </c>
      <c r="AG214" s="652">
        <f t="shared" ca="1" si="133"/>
        <v>704000</v>
      </c>
      <c r="AH214" s="652">
        <f t="shared" ca="1" si="133"/>
        <v>632000</v>
      </c>
      <c r="AI214" s="652">
        <f t="shared" ca="1" si="134"/>
        <v>568000</v>
      </c>
      <c r="AJ214" s="652">
        <f t="shared" ca="1" si="134"/>
        <v>0</v>
      </c>
      <c r="AK214" s="652">
        <f t="shared" ca="1" si="134"/>
        <v>0</v>
      </c>
      <c r="AL214" s="652">
        <f t="shared" ca="1" si="134"/>
        <v>0</v>
      </c>
      <c r="AM214" s="652">
        <f t="shared" ca="1" si="134"/>
        <v>0</v>
      </c>
      <c r="AN214" s="652">
        <f t="shared" ca="1" si="134"/>
        <v>0</v>
      </c>
      <c r="AO214" s="652">
        <f t="shared" ca="1" si="134"/>
        <v>0</v>
      </c>
      <c r="AP214" s="652">
        <f t="shared" ca="1" si="134"/>
        <v>0</v>
      </c>
      <c r="AQ214" s="652">
        <f t="shared" ca="1" si="134"/>
        <v>9450</v>
      </c>
      <c r="AR214" s="652">
        <f t="shared" ca="1" si="134"/>
        <v>8505</v>
      </c>
      <c r="AS214" s="652">
        <f t="shared" ca="1" si="134"/>
        <v>7629.9999999999991</v>
      </c>
      <c r="AT214" s="652">
        <f t="shared" ca="1" si="134"/>
        <v>6860</v>
      </c>
      <c r="AU214" s="652">
        <f t="shared" ca="1" si="134"/>
        <v>6160</v>
      </c>
      <c r="AV214" s="652">
        <f t="shared" ca="1" si="134"/>
        <v>5530</v>
      </c>
      <c r="AW214" s="652">
        <f t="shared" ca="1" si="149"/>
        <v>4970</v>
      </c>
      <c r="AX214" s="652">
        <f t="shared" ca="1" si="149"/>
        <v>0</v>
      </c>
      <c r="AY214" s="652">
        <f t="shared" ca="1" si="149"/>
        <v>0</v>
      </c>
      <c r="AZ214" s="652">
        <f t="shared" ca="1" si="149"/>
        <v>0</v>
      </c>
      <c r="BA214" s="652">
        <f t="shared" ca="1" si="149"/>
        <v>0</v>
      </c>
      <c r="BB214" s="652">
        <f t="shared" ca="1" si="149"/>
        <v>0</v>
      </c>
      <c r="BC214" s="652">
        <f t="shared" ca="1" si="149"/>
        <v>0</v>
      </c>
      <c r="BD214" s="652">
        <f t="shared" ca="1" si="149"/>
        <v>0</v>
      </c>
      <c r="BE214" s="652" t="str">
        <f t="shared" ca="1" si="149"/>
        <v>Residential</v>
      </c>
      <c r="BF214" s="652" t="str">
        <f t="shared" ca="1" si="149"/>
        <v>ResCooling - MF Wtd</v>
      </c>
      <c r="BG214" s="652" t="str">
        <f t="shared" ca="1" si="149"/>
        <v>ResSFGasTotal</v>
      </c>
      <c r="BH214" s="652" t="str">
        <f t="shared" ca="1" si="149"/>
        <v>KU Res</v>
      </c>
      <c r="BI214" s="652" t="str">
        <f t="shared" ca="1" si="149"/>
        <v>KU Res</v>
      </c>
      <c r="BJ214" s="652">
        <f t="shared" ca="1" si="149"/>
        <v>1</v>
      </c>
      <c r="BK214" s="652">
        <f t="shared" ca="1" si="149"/>
        <v>0</v>
      </c>
      <c r="BL214" s="652">
        <f t="shared" ca="1" si="131"/>
        <v>0</v>
      </c>
      <c r="BM214" s="652">
        <f t="shared" ca="1" si="131"/>
        <v>0</v>
      </c>
      <c r="BN214" s="652">
        <f t="shared" ca="1" si="131"/>
        <v>0</v>
      </c>
      <c r="BO214" s="652">
        <f t="shared" ca="1" si="131"/>
        <v>0</v>
      </c>
      <c r="BP214" s="652">
        <f t="shared" ca="1" si="131"/>
        <v>0</v>
      </c>
      <c r="BQ214" s="652">
        <f t="shared" ca="1" si="131"/>
        <v>0</v>
      </c>
      <c r="BR214" s="652">
        <f t="shared" ca="1" si="144"/>
        <v>70150</v>
      </c>
      <c r="BS214" s="652">
        <f t="shared" ca="1" si="149"/>
        <v>0</v>
      </c>
      <c r="BT214" s="652">
        <f t="shared" ca="1" si="149"/>
        <v>0</v>
      </c>
      <c r="BU214" s="652">
        <f t="shared" ca="1" si="149"/>
        <v>2392400</v>
      </c>
      <c r="BV214" s="652">
        <f t="shared" ca="1" si="149"/>
        <v>0</v>
      </c>
      <c r="BW214" s="652">
        <f t="shared" ca="1" si="149"/>
        <v>0</v>
      </c>
      <c r="BX214" s="652">
        <f t="shared" ca="1" si="123"/>
        <v>9450</v>
      </c>
      <c r="BY214" s="652">
        <f t="shared" ca="1" si="123"/>
        <v>0</v>
      </c>
    </row>
    <row r="215" spans="1:77">
      <c r="A215" s="425" t="str">
        <f t="shared" ca="1" si="138"/>
        <v>Residential Demand ConservationKU-Multi-Family - Water Heater Demand Conservation</v>
      </c>
      <c r="B215" s="1297" t="str">
        <f t="shared" si="130"/>
        <v>KUResidential Demand Conservation</v>
      </c>
      <c r="C215" s="661" t="s">
        <v>177</v>
      </c>
      <c r="D215" s="662" t="s">
        <v>4</v>
      </c>
      <c r="E215" s="652" t="str">
        <f t="shared" ca="1" si="148"/>
        <v>KU-Multi-Family - Water Heater Demand Conservation</v>
      </c>
      <c r="F215" s="652" t="str">
        <f t="shared" ca="1" si="148"/>
        <v>All year round for each electric water heater on multifamily homes</v>
      </c>
      <c r="G215" s="652" t="str">
        <f t="shared" ca="1" si="148"/>
        <v>Per Customer</v>
      </c>
      <c r="H215" s="652">
        <f t="shared" ca="1" si="136"/>
        <v>20</v>
      </c>
      <c r="I215" s="652">
        <f t="shared" ca="1" si="136"/>
        <v>19</v>
      </c>
      <c r="J215" s="652">
        <f t="shared" ca="1" si="136"/>
        <v>0</v>
      </c>
      <c r="K215" s="652">
        <f t="shared" ca="1" si="136"/>
        <v>0</v>
      </c>
      <c r="L215" s="652">
        <f t="shared" ca="1" si="136"/>
        <v>0</v>
      </c>
      <c r="M215" s="652">
        <f t="shared" ca="1" si="136"/>
        <v>0</v>
      </c>
      <c r="N215" s="652">
        <f t="shared" ca="1" si="136"/>
        <v>0</v>
      </c>
      <c r="O215" s="652">
        <f t="shared" ca="1" si="136"/>
        <v>0</v>
      </c>
      <c r="P215" s="652">
        <f t="shared" ca="1" si="136"/>
        <v>0</v>
      </c>
      <c r="Q215" s="652">
        <f t="shared" ca="1" si="136"/>
        <v>0</v>
      </c>
      <c r="R215" s="652">
        <f t="shared" ca="1" si="136"/>
        <v>0</v>
      </c>
      <c r="S215" s="652">
        <f t="shared" ca="1" si="136"/>
        <v>0</v>
      </c>
      <c r="T215" s="652">
        <f t="shared" ca="1" si="136"/>
        <v>0</v>
      </c>
      <c r="U215" s="652">
        <f t="shared" ca="1" si="136"/>
        <v>0</v>
      </c>
      <c r="V215" s="652">
        <f t="shared" ca="1" si="133"/>
        <v>0</v>
      </c>
      <c r="W215" s="652">
        <f t="shared" ca="1" si="133"/>
        <v>0</v>
      </c>
      <c r="X215" s="652">
        <f t="shared" ca="1" si="133"/>
        <v>0</v>
      </c>
      <c r="Y215" s="652">
        <f t="shared" ca="1" si="133"/>
        <v>0</v>
      </c>
      <c r="Z215" s="652">
        <f t="shared" ca="1" si="133"/>
        <v>0</v>
      </c>
      <c r="AA215" s="652">
        <f t="shared" ca="1" si="133"/>
        <v>0</v>
      </c>
      <c r="AB215" s="652">
        <f t="shared" ca="1" si="133"/>
        <v>0</v>
      </c>
      <c r="AC215" s="652">
        <f t="shared" ca="1" si="133"/>
        <v>3200</v>
      </c>
      <c r="AD215" s="652">
        <f t="shared" ca="1" si="133"/>
        <v>3040</v>
      </c>
      <c r="AE215" s="652">
        <f t="shared" ca="1" si="133"/>
        <v>0</v>
      </c>
      <c r="AF215" s="652">
        <f t="shared" ca="1" si="133"/>
        <v>0</v>
      </c>
      <c r="AG215" s="652">
        <f t="shared" ca="1" si="133"/>
        <v>0</v>
      </c>
      <c r="AH215" s="652">
        <f t="shared" ca="1" si="133"/>
        <v>0</v>
      </c>
      <c r="AI215" s="652">
        <f t="shared" ca="1" si="134"/>
        <v>0</v>
      </c>
      <c r="AJ215" s="652">
        <f t="shared" ca="1" si="134"/>
        <v>0</v>
      </c>
      <c r="AK215" s="652">
        <f t="shared" ca="1" si="134"/>
        <v>0</v>
      </c>
      <c r="AL215" s="652">
        <f t="shared" ca="1" si="134"/>
        <v>0</v>
      </c>
      <c r="AM215" s="652">
        <f t="shared" ca="1" si="134"/>
        <v>0</v>
      </c>
      <c r="AN215" s="652">
        <f t="shared" ca="1" si="134"/>
        <v>0</v>
      </c>
      <c r="AO215" s="652">
        <f t="shared" ca="1" si="134"/>
        <v>0</v>
      </c>
      <c r="AP215" s="652">
        <f t="shared" ca="1" si="134"/>
        <v>0</v>
      </c>
      <c r="AQ215" s="652">
        <f t="shared" ca="1" si="134"/>
        <v>8</v>
      </c>
      <c r="AR215" s="652">
        <f t="shared" ca="1" si="134"/>
        <v>7.6000000000000005</v>
      </c>
      <c r="AS215" s="652">
        <f t="shared" ca="1" si="134"/>
        <v>0</v>
      </c>
      <c r="AT215" s="652">
        <f t="shared" ca="1" si="134"/>
        <v>0</v>
      </c>
      <c r="AU215" s="652">
        <f t="shared" ca="1" si="134"/>
        <v>0</v>
      </c>
      <c r="AV215" s="652">
        <f t="shared" ca="1" si="134"/>
        <v>0</v>
      </c>
      <c r="AW215" s="652">
        <f t="shared" ca="1" si="149"/>
        <v>0</v>
      </c>
      <c r="AX215" s="652">
        <f t="shared" ca="1" si="149"/>
        <v>0</v>
      </c>
      <c r="AY215" s="652">
        <f t="shared" ca="1" si="149"/>
        <v>0</v>
      </c>
      <c r="AZ215" s="652">
        <f t="shared" ca="1" si="149"/>
        <v>0</v>
      </c>
      <c r="BA215" s="652">
        <f t="shared" ca="1" si="149"/>
        <v>0</v>
      </c>
      <c r="BB215" s="652">
        <f t="shared" ca="1" si="149"/>
        <v>0</v>
      </c>
      <c r="BC215" s="652">
        <f t="shared" ca="1" si="149"/>
        <v>0</v>
      </c>
      <c r="BD215" s="652">
        <f t="shared" ca="1" si="149"/>
        <v>0</v>
      </c>
      <c r="BE215" s="652" t="str">
        <f t="shared" ca="1" si="149"/>
        <v>Residential</v>
      </c>
      <c r="BF215" s="652" t="str">
        <f t="shared" ca="1" si="149"/>
        <v>ResHotWater - MF Wtd</v>
      </c>
      <c r="BG215" s="652" t="str">
        <f t="shared" ca="1" si="149"/>
        <v>ResSFGasTotal</v>
      </c>
      <c r="BH215" s="652" t="str">
        <f t="shared" ca="1" si="149"/>
        <v>KU Res</v>
      </c>
      <c r="BI215" s="652" t="str">
        <f t="shared" ca="1" si="149"/>
        <v>KU Res</v>
      </c>
      <c r="BJ215" s="652">
        <f t="shared" ca="1" si="149"/>
        <v>1</v>
      </c>
      <c r="BK215" s="652">
        <f t="shared" ca="1" si="149"/>
        <v>0</v>
      </c>
      <c r="BL215" s="652">
        <f t="shared" ca="1" si="131"/>
        <v>0</v>
      </c>
      <c r="BM215" s="652">
        <f t="shared" ca="1" si="131"/>
        <v>0</v>
      </c>
      <c r="BN215" s="652">
        <f t="shared" ca="1" si="131"/>
        <v>0</v>
      </c>
      <c r="BO215" s="652">
        <f t="shared" ca="1" si="131"/>
        <v>0</v>
      </c>
      <c r="BP215" s="652">
        <f t="shared" ca="1" si="131"/>
        <v>0</v>
      </c>
      <c r="BQ215" s="652">
        <f t="shared" ca="1" si="131"/>
        <v>0</v>
      </c>
      <c r="BR215" s="652">
        <f t="shared" ca="1" si="144"/>
        <v>39</v>
      </c>
      <c r="BS215" s="652">
        <f t="shared" ca="1" si="149"/>
        <v>0</v>
      </c>
      <c r="BT215" s="652">
        <f t="shared" ca="1" si="149"/>
        <v>0</v>
      </c>
      <c r="BU215" s="652">
        <f t="shared" ca="1" si="149"/>
        <v>6240</v>
      </c>
      <c r="BV215" s="652">
        <f t="shared" ca="1" si="149"/>
        <v>0</v>
      </c>
      <c r="BW215" s="652">
        <f t="shared" ca="1" si="149"/>
        <v>0</v>
      </c>
      <c r="BX215" s="652">
        <f t="shared" ca="1" si="123"/>
        <v>8</v>
      </c>
      <c r="BY215" s="652">
        <f t="shared" ca="1" si="123"/>
        <v>0</v>
      </c>
    </row>
    <row r="216" spans="1:77">
      <c r="A216" s="425" t="str">
        <f t="shared" ca="1" si="138"/>
        <v>Residential Demand ConservationKU-Multi-Family - Pool Pump Demand Conservation</v>
      </c>
      <c r="B216" s="1297" t="str">
        <f t="shared" si="130"/>
        <v>KUResidential Demand Conservation</v>
      </c>
      <c r="C216" s="661" t="s">
        <v>178</v>
      </c>
      <c r="D216" s="662" t="s">
        <v>4</v>
      </c>
      <c r="E216" s="652" t="str">
        <f t="shared" ca="1" si="148"/>
        <v>KU-Multi-Family - Pool Pump Demand Conservation</v>
      </c>
      <c r="F216" s="652" t="str">
        <f t="shared" ca="1" si="148"/>
        <v>Summer for each electric in-ground swimming pool pump on multifamily homes</v>
      </c>
      <c r="G216" s="652" t="str">
        <f t="shared" ca="1" si="148"/>
        <v>Per Customer</v>
      </c>
      <c r="H216" s="652">
        <f t="shared" ca="1" si="136"/>
        <v>0</v>
      </c>
      <c r="I216" s="652">
        <f t="shared" ca="1" si="136"/>
        <v>0</v>
      </c>
      <c r="J216" s="652">
        <f t="shared" ca="1" si="136"/>
        <v>0</v>
      </c>
      <c r="K216" s="652">
        <f t="shared" ca="1" si="136"/>
        <v>0</v>
      </c>
      <c r="L216" s="652">
        <f t="shared" ca="1" si="136"/>
        <v>0</v>
      </c>
      <c r="M216" s="652">
        <f t="shared" ca="1" si="136"/>
        <v>0</v>
      </c>
      <c r="N216" s="652">
        <f t="shared" ca="1" si="136"/>
        <v>0</v>
      </c>
      <c r="O216" s="652">
        <f t="shared" ca="1" si="136"/>
        <v>0</v>
      </c>
      <c r="P216" s="652">
        <f t="shared" ca="1" si="136"/>
        <v>0</v>
      </c>
      <c r="Q216" s="652">
        <f t="shared" ca="1" si="136"/>
        <v>0</v>
      </c>
      <c r="R216" s="652">
        <f t="shared" ca="1" si="136"/>
        <v>0</v>
      </c>
      <c r="S216" s="652">
        <f t="shared" ca="1" si="136"/>
        <v>0</v>
      </c>
      <c r="T216" s="652">
        <f t="shared" ca="1" si="136"/>
        <v>0</v>
      </c>
      <c r="U216" s="652">
        <f t="shared" ca="1" si="136"/>
        <v>0</v>
      </c>
      <c r="V216" s="652">
        <f t="shared" ca="1" si="133"/>
        <v>0</v>
      </c>
      <c r="W216" s="652">
        <f t="shared" ca="1" si="133"/>
        <v>0</v>
      </c>
      <c r="X216" s="652">
        <f t="shared" ca="1" si="133"/>
        <v>0</v>
      </c>
      <c r="Y216" s="652">
        <f t="shared" ca="1" si="133"/>
        <v>0</v>
      </c>
      <c r="Z216" s="652">
        <f t="shared" ca="1" si="133"/>
        <v>0</v>
      </c>
      <c r="AA216" s="652">
        <f t="shared" ca="1" si="133"/>
        <v>0</v>
      </c>
      <c r="AB216" s="652">
        <f t="shared" ca="1" si="133"/>
        <v>0</v>
      </c>
      <c r="AC216" s="652">
        <f t="shared" ca="1" si="133"/>
        <v>0</v>
      </c>
      <c r="AD216" s="652">
        <f t="shared" ca="1" si="133"/>
        <v>0</v>
      </c>
      <c r="AE216" s="652">
        <f t="shared" ca="1" si="133"/>
        <v>0</v>
      </c>
      <c r="AF216" s="652">
        <f t="shared" ca="1" si="133"/>
        <v>0</v>
      </c>
      <c r="AG216" s="652">
        <f t="shared" ca="1" si="133"/>
        <v>0</v>
      </c>
      <c r="AH216" s="652">
        <f t="shared" ca="1" si="133"/>
        <v>0</v>
      </c>
      <c r="AI216" s="652">
        <f t="shared" ca="1" si="134"/>
        <v>0</v>
      </c>
      <c r="AJ216" s="652">
        <f t="shared" ca="1" si="134"/>
        <v>0</v>
      </c>
      <c r="AK216" s="652">
        <f t="shared" ca="1" si="134"/>
        <v>0</v>
      </c>
      <c r="AL216" s="652">
        <f t="shared" ca="1" si="134"/>
        <v>0</v>
      </c>
      <c r="AM216" s="652">
        <f t="shared" ca="1" si="134"/>
        <v>0</v>
      </c>
      <c r="AN216" s="652">
        <f t="shared" ca="1" si="134"/>
        <v>0</v>
      </c>
      <c r="AO216" s="652">
        <f t="shared" ca="1" si="134"/>
        <v>0</v>
      </c>
      <c r="AP216" s="652">
        <f t="shared" ca="1" si="134"/>
        <v>0</v>
      </c>
      <c r="AQ216" s="652">
        <f t="shared" ca="1" si="134"/>
        <v>0</v>
      </c>
      <c r="AR216" s="652">
        <f t="shared" ca="1" si="134"/>
        <v>0</v>
      </c>
      <c r="AS216" s="652">
        <f t="shared" ca="1" si="134"/>
        <v>0</v>
      </c>
      <c r="AT216" s="652">
        <f t="shared" ca="1" si="134"/>
        <v>0</v>
      </c>
      <c r="AU216" s="652">
        <f t="shared" ca="1" si="134"/>
        <v>0</v>
      </c>
      <c r="AV216" s="652">
        <f t="shared" ca="1" si="134"/>
        <v>0</v>
      </c>
      <c r="AW216" s="652">
        <f t="shared" ca="1" si="149"/>
        <v>0</v>
      </c>
      <c r="AX216" s="652">
        <f t="shared" ca="1" si="149"/>
        <v>0</v>
      </c>
      <c r="AY216" s="652">
        <f t="shared" ca="1" si="149"/>
        <v>0</v>
      </c>
      <c r="AZ216" s="652">
        <f t="shared" ca="1" si="149"/>
        <v>0</v>
      </c>
      <c r="BA216" s="652">
        <f t="shared" ca="1" si="149"/>
        <v>0</v>
      </c>
      <c r="BB216" s="652">
        <f t="shared" ca="1" si="149"/>
        <v>0</v>
      </c>
      <c r="BC216" s="652">
        <f t="shared" ca="1" si="149"/>
        <v>0</v>
      </c>
      <c r="BD216" s="652">
        <f t="shared" ca="1" si="149"/>
        <v>0</v>
      </c>
      <c r="BE216" s="652" t="str">
        <f t="shared" ca="1" si="149"/>
        <v>Residential</v>
      </c>
      <c r="BF216" s="652" t="str">
        <f t="shared" ca="1" si="149"/>
        <v>ResPoolSpa - MF Wtd</v>
      </c>
      <c r="BG216" s="652" t="str">
        <f t="shared" ca="1" si="149"/>
        <v>ResSFGasTotal</v>
      </c>
      <c r="BH216" s="652" t="str">
        <f t="shared" ca="1" si="149"/>
        <v>KU Res</v>
      </c>
      <c r="BI216" s="652" t="str">
        <f t="shared" ca="1" si="149"/>
        <v>KU Res</v>
      </c>
      <c r="BJ216" s="652">
        <f t="shared" ca="1" si="149"/>
        <v>1</v>
      </c>
      <c r="BK216" s="652">
        <f t="shared" ca="1" si="149"/>
        <v>0</v>
      </c>
      <c r="BL216" s="652">
        <f t="shared" ca="1" si="131"/>
        <v>0</v>
      </c>
      <c r="BM216" s="652">
        <f t="shared" ca="1" si="131"/>
        <v>0</v>
      </c>
      <c r="BN216" s="652">
        <f t="shared" ca="1" si="131"/>
        <v>0</v>
      </c>
      <c r="BO216" s="652">
        <f t="shared" ca="1" si="131"/>
        <v>0</v>
      </c>
      <c r="BP216" s="652">
        <f t="shared" ca="1" si="131"/>
        <v>0</v>
      </c>
      <c r="BQ216" s="652">
        <f t="shared" ca="1" si="131"/>
        <v>0</v>
      </c>
      <c r="BR216" s="652">
        <f t="shared" ca="1" si="144"/>
        <v>0</v>
      </c>
      <c r="BS216" s="652">
        <f t="shared" ca="1" si="149"/>
        <v>0</v>
      </c>
      <c r="BT216" s="652">
        <f t="shared" ca="1" si="149"/>
        <v>0</v>
      </c>
      <c r="BU216" s="652">
        <f t="shared" ca="1" si="149"/>
        <v>0</v>
      </c>
      <c r="BV216" s="652">
        <f t="shared" ca="1" si="149"/>
        <v>0</v>
      </c>
      <c r="BW216" s="652">
        <f t="shared" ca="1" si="149"/>
        <v>0</v>
      </c>
      <c r="BX216" s="652">
        <f t="shared" ca="1" si="123"/>
        <v>0</v>
      </c>
      <c r="BY216" s="652">
        <f t="shared" ca="1" si="123"/>
        <v>0</v>
      </c>
    </row>
    <row r="217" spans="1:77">
      <c r="A217" s="425" t="str">
        <f t="shared" ca="1" si="138"/>
        <v>Residential Demand ConservationKU-Small Commercial - AC Demand Conservation</v>
      </c>
      <c r="B217" s="1297" t="str">
        <f t="shared" si="130"/>
        <v>KUResidential Demand Conservation</v>
      </c>
      <c r="C217" s="661" t="s">
        <v>183</v>
      </c>
      <c r="D217" s="662" t="s">
        <v>4</v>
      </c>
      <c r="E217" s="652" t="str">
        <f t="shared" ca="1" si="148"/>
        <v>KU-Small Commercial - AC Demand Conservation</v>
      </c>
      <c r="F217" s="652" t="str">
        <f t="shared" ca="1" si="148"/>
        <v>Summer for each air conditioning unit</v>
      </c>
      <c r="G217" s="652" t="str">
        <f t="shared" ca="1" si="148"/>
        <v>Per Customer</v>
      </c>
      <c r="H217" s="652">
        <f t="shared" ca="1" si="136"/>
        <v>1450</v>
      </c>
      <c r="I217" s="652">
        <f t="shared" ca="1" si="136"/>
        <v>1300</v>
      </c>
      <c r="J217" s="652">
        <f t="shared" ca="1" si="136"/>
        <v>1150</v>
      </c>
      <c r="K217" s="652">
        <f t="shared" ca="1" si="136"/>
        <v>1000</v>
      </c>
      <c r="L217" s="652">
        <f t="shared" ca="1" si="136"/>
        <v>900</v>
      </c>
      <c r="M217" s="652">
        <f t="shared" ca="1" si="136"/>
        <v>800</v>
      </c>
      <c r="N217" s="652">
        <f t="shared" ca="1" si="136"/>
        <v>700</v>
      </c>
      <c r="O217" s="652">
        <f t="shared" ca="1" si="136"/>
        <v>0</v>
      </c>
      <c r="P217" s="652">
        <f t="shared" ca="1" si="136"/>
        <v>0</v>
      </c>
      <c r="Q217" s="652">
        <f t="shared" ca="1" si="136"/>
        <v>0</v>
      </c>
      <c r="R217" s="652">
        <f t="shared" ca="1" si="136"/>
        <v>0</v>
      </c>
      <c r="S217" s="652">
        <f t="shared" ca="1" si="136"/>
        <v>0</v>
      </c>
      <c r="T217" s="652">
        <f t="shared" ca="1" si="136"/>
        <v>0</v>
      </c>
      <c r="U217" s="652">
        <f t="shared" ca="1" si="136"/>
        <v>0</v>
      </c>
      <c r="V217" s="652">
        <f t="shared" ca="1" si="133"/>
        <v>0</v>
      </c>
      <c r="W217" s="652">
        <f t="shared" ca="1" si="133"/>
        <v>0</v>
      </c>
      <c r="X217" s="652">
        <f t="shared" ca="1" si="133"/>
        <v>0</v>
      </c>
      <c r="Y217" s="652">
        <f t="shared" ca="1" si="133"/>
        <v>0</v>
      </c>
      <c r="Z217" s="652">
        <f t="shared" ca="1" si="133"/>
        <v>0</v>
      </c>
      <c r="AA217" s="652">
        <f t="shared" ca="1" si="133"/>
        <v>0</v>
      </c>
      <c r="AB217" s="652">
        <f t="shared" ca="1" si="133"/>
        <v>0</v>
      </c>
      <c r="AC217" s="652">
        <f t="shared" ca="1" si="133"/>
        <v>53342.545101528995</v>
      </c>
      <c r="AD217" s="652">
        <f t="shared" ca="1" si="133"/>
        <v>47824.350780681169</v>
      </c>
      <c r="AE217" s="652">
        <f t="shared" ca="1" si="133"/>
        <v>42306.156459833343</v>
      </c>
      <c r="AF217" s="652">
        <f t="shared" ca="1" si="133"/>
        <v>36787.962138985517</v>
      </c>
      <c r="AG217" s="652">
        <f t="shared" ca="1" si="133"/>
        <v>33109.165925086963</v>
      </c>
      <c r="AH217" s="652">
        <f t="shared" ca="1" si="133"/>
        <v>29430.36971118841</v>
      </c>
      <c r="AI217" s="652">
        <f t="shared" ca="1" si="134"/>
        <v>25751.573497289861</v>
      </c>
      <c r="AJ217" s="652">
        <f t="shared" ca="1" si="134"/>
        <v>0</v>
      </c>
      <c r="AK217" s="652">
        <f t="shared" ca="1" si="134"/>
        <v>0</v>
      </c>
      <c r="AL217" s="652">
        <f t="shared" ca="1" si="134"/>
        <v>0</v>
      </c>
      <c r="AM217" s="652">
        <f t="shared" ca="1" si="134"/>
        <v>0</v>
      </c>
      <c r="AN217" s="652">
        <f t="shared" ca="1" si="134"/>
        <v>0</v>
      </c>
      <c r="AO217" s="652">
        <f t="shared" ca="1" si="134"/>
        <v>0</v>
      </c>
      <c r="AP217" s="652">
        <f t="shared" ca="1" si="134"/>
        <v>0</v>
      </c>
      <c r="AQ217" s="652">
        <f t="shared" ca="1" si="134"/>
        <v>2305.5</v>
      </c>
      <c r="AR217" s="652">
        <f t="shared" ca="1" si="134"/>
        <v>2067</v>
      </c>
      <c r="AS217" s="652">
        <f t="shared" ca="1" si="134"/>
        <v>1828.5</v>
      </c>
      <c r="AT217" s="652">
        <f t="shared" ca="1" si="134"/>
        <v>1590</v>
      </c>
      <c r="AU217" s="652">
        <f t="shared" ca="1" si="134"/>
        <v>1431</v>
      </c>
      <c r="AV217" s="652">
        <f t="shared" ca="1" si="134"/>
        <v>1272</v>
      </c>
      <c r="AW217" s="652">
        <f t="shared" ca="1" si="149"/>
        <v>1113</v>
      </c>
      <c r="AX217" s="652">
        <f t="shared" ca="1" si="149"/>
        <v>0</v>
      </c>
      <c r="AY217" s="652">
        <f t="shared" ca="1" si="149"/>
        <v>0</v>
      </c>
      <c r="AZ217" s="652">
        <f t="shared" ca="1" si="149"/>
        <v>0</v>
      </c>
      <c r="BA217" s="652">
        <f t="shared" ca="1" si="149"/>
        <v>0</v>
      </c>
      <c r="BB217" s="652">
        <f t="shared" ca="1" si="149"/>
        <v>0</v>
      </c>
      <c r="BC217" s="652">
        <f t="shared" ca="1" si="149"/>
        <v>0</v>
      </c>
      <c r="BD217" s="652">
        <f t="shared" ca="1" si="149"/>
        <v>0</v>
      </c>
      <c r="BE217" s="652" t="str">
        <f t="shared" ca="1" si="149"/>
        <v>Commercial</v>
      </c>
      <c r="BF217" s="652" t="str">
        <f t="shared" ca="1" si="149"/>
        <v>OFFSMCool</v>
      </c>
      <c r="BG217" s="652" t="str">
        <f t="shared" ca="1" si="149"/>
        <v>ResSFGasTotal</v>
      </c>
      <c r="BH217" s="652" t="str">
        <f t="shared" ca="1" si="149"/>
        <v>KU NonRes</v>
      </c>
      <c r="BI217" s="652" t="str">
        <f t="shared" ca="1" si="149"/>
        <v>KU NonRes</v>
      </c>
      <c r="BJ217" s="652">
        <f t="shared" ca="1" si="149"/>
        <v>1</v>
      </c>
      <c r="BK217" s="652">
        <f t="shared" ca="1" si="149"/>
        <v>0</v>
      </c>
      <c r="BL217" s="652">
        <f t="shared" ca="1" si="131"/>
        <v>0</v>
      </c>
      <c r="BM217" s="652">
        <f t="shared" ca="1" si="131"/>
        <v>0</v>
      </c>
      <c r="BN217" s="652">
        <f t="shared" ca="1" si="131"/>
        <v>0</v>
      </c>
      <c r="BO217" s="652">
        <f t="shared" ca="1" si="131"/>
        <v>0</v>
      </c>
      <c r="BP217" s="652">
        <f t="shared" ca="1" si="131"/>
        <v>0</v>
      </c>
      <c r="BQ217" s="652">
        <f t="shared" ca="1" si="131"/>
        <v>0</v>
      </c>
      <c r="BR217" s="652">
        <f t="shared" ca="1" si="144"/>
        <v>7300</v>
      </c>
      <c r="BS217" s="652">
        <f t="shared" ca="1" si="149"/>
        <v>0</v>
      </c>
      <c r="BT217" s="652">
        <f t="shared" ca="1" si="149"/>
        <v>0</v>
      </c>
      <c r="BU217" s="652">
        <f t="shared" ca="1" si="149"/>
        <v>268552.12361459428</v>
      </c>
      <c r="BV217" s="652">
        <f t="shared" ca="1" si="149"/>
        <v>0</v>
      </c>
      <c r="BW217" s="652">
        <f t="shared" ca="1" si="149"/>
        <v>0</v>
      </c>
      <c r="BX217" s="652">
        <f t="shared" ca="1" si="123"/>
        <v>2305.5</v>
      </c>
      <c r="BY217" s="652">
        <f t="shared" ca="1" si="123"/>
        <v>0</v>
      </c>
    </row>
    <row r="218" spans="1:77">
      <c r="A218" s="425" t="str">
        <f t="shared" ca="1" si="138"/>
        <v>Residential Demand ConservationKU-Small Commercial - Water Heater Demand Conservation</v>
      </c>
      <c r="B218" s="1297" t="str">
        <f t="shared" si="130"/>
        <v>KUResidential Demand Conservation</v>
      </c>
      <c r="C218" s="661" t="s">
        <v>184</v>
      </c>
      <c r="D218" s="662" t="s">
        <v>4</v>
      </c>
      <c r="E218" s="652" t="str">
        <f t="shared" ca="1" si="148"/>
        <v>KU-Small Commercial - Water Heater Demand Conservation</v>
      </c>
      <c r="F218" s="652" t="str">
        <f t="shared" ca="1" si="148"/>
        <v>All year round for each water heater unit</v>
      </c>
      <c r="G218" s="652" t="str">
        <f t="shared" ca="1" si="148"/>
        <v>Per Customer</v>
      </c>
      <c r="H218" s="652">
        <f t="shared" ca="1" si="136"/>
        <v>150</v>
      </c>
      <c r="I218" s="652">
        <f t="shared" ca="1" si="136"/>
        <v>135</v>
      </c>
      <c r="J218" s="652">
        <f t="shared" ca="1" si="136"/>
        <v>100</v>
      </c>
      <c r="K218" s="652">
        <f t="shared" ca="1" si="136"/>
        <v>50</v>
      </c>
      <c r="L218" s="652">
        <f t="shared" ca="1" si="136"/>
        <v>0</v>
      </c>
      <c r="M218" s="652">
        <f t="shared" ca="1" si="136"/>
        <v>0</v>
      </c>
      <c r="N218" s="652">
        <f t="shared" ca="1" si="136"/>
        <v>0</v>
      </c>
      <c r="O218" s="652">
        <f t="shared" ca="1" si="136"/>
        <v>0</v>
      </c>
      <c r="P218" s="652">
        <f t="shared" ca="1" si="136"/>
        <v>0</v>
      </c>
      <c r="Q218" s="652">
        <f t="shared" ca="1" si="136"/>
        <v>0</v>
      </c>
      <c r="R218" s="652">
        <f t="shared" ca="1" si="136"/>
        <v>0</v>
      </c>
      <c r="S218" s="652">
        <f t="shared" ca="1" si="136"/>
        <v>0</v>
      </c>
      <c r="T218" s="652">
        <f t="shared" ca="1" si="136"/>
        <v>0</v>
      </c>
      <c r="U218" s="652">
        <f t="shared" ca="1" si="136"/>
        <v>0</v>
      </c>
      <c r="V218" s="652">
        <f t="shared" ca="1" si="133"/>
        <v>0</v>
      </c>
      <c r="W218" s="652">
        <f t="shared" ca="1" si="133"/>
        <v>0</v>
      </c>
      <c r="X218" s="652">
        <f t="shared" ca="1" si="133"/>
        <v>0</v>
      </c>
      <c r="Y218" s="652">
        <f t="shared" ca="1" si="133"/>
        <v>0</v>
      </c>
      <c r="Z218" s="652">
        <f t="shared" ca="1" si="133"/>
        <v>0</v>
      </c>
      <c r="AA218" s="652">
        <f t="shared" ca="1" si="133"/>
        <v>0</v>
      </c>
      <c r="AB218" s="652">
        <f t="shared" ca="1" si="133"/>
        <v>0</v>
      </c>
      <c r="AC218" s="652">
        <f t="shared" ca="1" si="133"/>
        <v>2400</v>
      </c>
      <c r="AD218" s="652">
        <f t="shared" ca="1" si="133"/>
        <v>2160</v>
      </c>
      <c r="AE218" s="652">
        <f t="shared" ca="1" si="133"/>
        <v>1600</v>
      </c>
      <c r="AF218" s="652">
        <f t="shared" ca="1" si="133"/>
        <v>800</v>
      </c>
      <c r="AG218" s="652">
        <f t="shared" ca="1" si="133"/>
        <v>0</v>
      </c>
      <c r="AH218" s="652">
        <f t="shared" ca="1" si="133"/>
        <v>0</v>
      </c>
      <c r="AI218" s="652">
        <f t="shared" ca="1" si="134"/>
        <v>0</v>
      </c>
      <c r="AJ218" s="652">
        <f t="shared" ca="1" si="134"/>
        <v>0</v>
      </c>
      <c r="AK218" s="652">
        <f t="shared" ca="1" si="134"/>
        <v>0</v>
      </c>
      <c r="AL218" s="652">
        <f t="shared" ca="1" si="134"/>
        <v>0</v>
      </c>
      <c r="AM218" s="652">
        <f t="shared" ca="1" si="134"/>
        <v>0</v>
      </c>
      <c r="AN218" s="652">
        <f t="shared" ca="1" si="134"/>
        <v>0</v>
      </c>
      <c r="AO218" s="652">
        <f t="shared" ca="1" si="134"/>
        <v>0</v>
      </c>
      <c r="AP218" s="652">
        <f t="shared" ca="1" si="134"/>
        <v>0</v>
      </c>
      <c r="AQ218" s="652">
        <f t="shared" ca="1" si="134"/>
        <v>60</v>
      </c>
      <c r="AR218" s="652">
        <f t="shared" ca="1" si="134"/>
        <v>54</v>
      </c>
      <c r="AS218" s="652">
        <f t="shared" ca="1" si="134"/>
        <v>40</v>
      </c>
      <c r="AT218" s="652">
        <f t="shared" ca="1" si="134"/>
        <v>20</v>
      </c>
      <c r="AU218" s="652">
        <f t="shared" ca="1" si="134"/>
        <v>0</v>
      </c>
      <c r="AV218" s="652">
        <f t="shared" ca="1" si="134"/>
        <v>0</v>
      </c>
      <c r="AW218" s="652">
        <f t="shared" ca="1" si="149"/>
        <v>0</v>
      </c>
      <c r="AX218" s="652">
        <f t="shared" ca="1" si="149"/>
        <v>0</v>
      </c>
      <c r="AY218" s="652">
        <f t="shared" ca="1" si="149"/>
        <v>0</v>
      </c>
      <c r="AZ218" s="652">
        <f t="shared" ca="1" si="149"/>
        <v>0</v>
      </c>
      <c r="BA218" s="652">
        <f t="shared" ca="1" si="149"/>
        <v>0</v>
      </c>
      <c r="BB218" s="652">
        <f t="shared" ca="1" si="149"/>
        <v>0</v>
      </c>
      <c r="BC218" s="652">
        <f t="shared" ca="1" si="149"/>
        <v>0</v>
      </c>
      <c r="BD218" s="652">
        <f t="shared" ca="1" si="149"/>
        <v>0</v>
      </c>
      <c r="BE218" s="652" t="str">
        <f t="shared" ca="1" si="149"/>
        <v>Commercial</v>
      </c>
      <c r="BF218" s="652" t="str">
        <f t="shared" ca="1" si="149"/>
        <v>OFFSMElecDHW</v>
      </c>
      <c r="BG218" s="652" t="str">
        <f t="shared" ca="1" si="149"/>
        <v>ResSFGasTotal</v>
      </c>
      <c r="BH218" s="652" t="str">
        <f t="shared" ca="1" si="149"/>
        <v>KU NonRes</v>
      </c>
      <c r="BI218" s="652" t="str">
        <f t="shared" ca="1" si="149"/>
        <v>KU NonRes</v>
      </c>
      <c r="BJ218" s="652">
        <f t="shared" ca="1" si="149"/>
        <v>1</v>
      </c>
      <c r="BK218" s="652">
        <f t="shared" ca="1" si="149"/>
        <v>0</v>
      </c>
      <c r="BL218" s="652">
        <f t="shared" ca="1" si="131"/>
        <v>0</v>
      </c>
      <c r="BM218" s="652">
        <f t="shared" ca="1" si="131"/>
        <v>0</v>
      </c>
      <c r="BN218" s="652">
        <f t="shared" ca="1" si="131"/>
        <v>0</v>
      </c>
      <c r="BO218" s="652">
        <f t="shared" ca="1" si="131"/>
        <v>0</v>
      </c>
      <c r="BP218" s="652">
        <f t="shared" ca="1" si="131"/>
        <v>0</v>
      </c>
      <c r="BQ218" s="652">
        <f t="shared" ca="1" si="131"/>
        <v>0</v>
      </c>
      <c r="BR218" s="652">
        <f t="shared" ca="1" si="144"/>
        <v>435</v>
      </c>
      <c r="BS218" s="652">
        <f t="shared" ca="1" si="149"/>
        <v>0</v>
      </c>
      <c r="BT218" s="652">
        <f t="shared" ca="1" si="149"/>
        <v>0</v>
      </c>
      <c r="BU218" s="652">
        <f t="shared" ca="1" si="149"/>
        <v>6960</v>
      </c>
      <c r="BV218" s="652">
        <f t="shared" ca="1" si="149"/>
        <v>0</v>
      </c>
      <c r="BW218" s="652">
        <f t="shared" ca="1" si="149"/>
        <v>0</v>
      </c>
      <c r="BX218" s="652">
        <f t="shared" ca="1" si="123"/>
        <v>60</v>
      </c>
      <c r="BY218" s="652">
        <f t="shared" ca="1" si="123"/>
        <v>0</v>
      </c>
    </row>
    <row r="219" spans="1:77">
      <c r="A219" s="425" t="str">
        <f t="shared" ca="1" si="138"/>
        <v>Residential Demand ConservationLG&amp;E-Single Family - AC and ASHP Demand Conservation</v>
      </c>
      <c r="B219" s="1297" t="str">
        <f t="shared" si="130"/>
        <v>LG&amp;EResidential Demand Conservation</v>
      </c>
      <c r="C219" s="661" t="s">
        <v>172</v>
      </c>
      <c r="D219" s="662" t="s">
        <v>4</v>
      </c>
      <c r="E219" s="652" t="str">
        <f t="shared" ca="1" si="148"/>
        <v>LG&amp;E-Single Family - AC and ASHP Demand Conservation</v>
      </c>
      <c r="F219" s="652" t="str">
        <f t="shared" ca="1" si="148"/>
        <v>Summer for each central air conditioning unit and all year round for each heat pump on single-family homes</v>
      </c>
      <c r="G219" s="652" t="str">
        <f t="shared" ca="1" si="148"/>
        <v>Per Customer</v>
      </c>
      <c r="H219" s="652">
        <f t="shared" ca="1" si="136"/>
        <v>69600</v>
      </c>
      <c r="I219" s="652">
        <f t="shared" ca="1" si="136"/>
        <v>62600</v>
      </c>
      <c r="J219" s="652">
        <f t="shared" ca="1" si="136"/>
        <v>56300</v>
      </c>
      <c r="K219" s="652">
        <f t="shared" ca="1" si="136"/>
        <v>50650</v>
      </c>
      <c r="L219" s="652">
        <f t="shared" ca="1" si="136"/>
        <v>45550</v>
      </c>
      <c r="M219" s="652">
        <f t="shared" ca="1" si="136"/>
        <v>40950</v>
      </c>
      <c r="N219" s="652">
        <f t="shared" ca="1" si="136"/>
        <v>36850</v>
      </c>
      <c r="O219" s="652">
        <f t="shared" ca="1" si="136"/>
        <v>0</v>
      </c>
      <c r="P219" s="652">
        <f t="shared" ca="1" si="136"/>
        <v>0</v>
      </c>
      <c r="Q219" s="652">
        <f t="shared" ca="1" si="136"/>
        <v>0</v>
      </c>
      <c r="R219" s="652">
        <f t="shared" ca="1" si="136"/>
        <v>0</v>
      </c>
      <c r="S219" s="652">
        <f t="shared" ca="1" si="136"/>
        <v>0</v>
      </c>
      <c r="T219" s="652">
        <f t="shared" ca="1" si="136"/>
        <v>0</v>
      </c>
      <c r="U219" s="652">
        <f t="shared" ca="1" si="136"/>
        <v>0</v>
      </c>
      <c r="V219" s="652">
        <f t="shared" ca="1" si="133"/>
        <v>0</v>
      </c>
      <c r="W219" s="652">
        <f t="shared" ca="1" si="133"/>
        <v>0</v>
      </c>
      <c r="X219" s="652">
        <f t="shared" ca="1" si="133"/>
        <v>0</v>
      </c>
      <c r="Y219" s="652">
        <f t="shared" ca="1" si="133"/>
        <v>0</v>
      </c>
      <c r="Z219" s="652">
        <f t="shared" ca="1" si="133"/>
        <v>0</v>
      </c>
      <c r="AA219" s="652">
        <f t="shared" ca="1" si="133"/>
        <v>0</v>
      </c>
      <c r="AB219" s="652">
        <f t="shared" ca="1" si="133"/>
        <v>0</v>
      </c>
      <c r="AC219" s="652">
        <f t="shared" ca="1" si="133"/>
        <v>696000</v>
      </c>
      <c r="AD219" s="652">
        <f t="shared" ca="1" si="133"/>
        <v>626000</v>
      </c>
      <c r="AE219" s="652">
        <f t="shared" ca="1" si="133"/>
        <v>563000</v>
      </c>
      <c r="AF219" s="652">
        <f t="shared" ca="1" si="133"/>
        <v>1266250</v>
      </c>
      <c r="AG219" s="652">
        <f t="shared" ca="1" si="133"/>
        <v>4555000</v>
      </c>
      <c r="AH219" s="652">
        <f t="shared" ca="1" si="133"/>
        <v>4095000</v>
      </c>
      <c r="AI219" s="652">
        <f t="shared" ca="1" si="134"/>
        <v>3685000</v>
      </c>
      <c r="AJ219" s="652">
        <f t="shared" ca="1" si="134"/>
        <v>0</v>
      </c>
      <c r="AK219" s="652">
        <f t="shared" ca="1" si="134"/>
        <v>0</v>
      </c>
      <c r="AL219" s="652">
        <f t="shared" ca="1" si="134"/>
        <v>0</v>
      </c>
      <c r="AM219" s="652">
        <f t="shared" ca="1" si="134"/>
        <v>0</v>
      </c>
      <c r="AN219" s="652">
        <f t="shared" ca="1" si="134"/>
        <v>0</v>
      </c>
      <c r="AO219" s="652">
        <f t="shared" ca="1" si="134"/>
        <v>0</v>
      </c>
      <c r="AP219" s="652">
        <f t="shared" ca="1" si="134"/>
        <v>0</v>
      </c>
      <c r="AQ219" s="652">
        <f t="shared" ca="1" si="134"/>
        <v>48720</v>
      </c>
      <c r="AR219" s="652">
        <f t="shared" ca="1" si="134"/>
        <v>43820</v>
      </c>
      <c r="AS219" s="652">
        <f t="shared" ca="1" si="134"/>
        <v>39410</v>
      </c>
      <c r="AT219" s="652">
        <f t="shared" ca="1" si="134"/>
        <v>35455</v>
      </c>
      <c r="AU219" s="652">
        <f t="shared" ca="1" si="134"/>
        <v>31884.999999999996</v>
      </c>
      <c r="AV219" s="652">
        <f t="shared" ca="1" si="134"/>
        <v>28665</v>
      </c>
      <c r="AW219" s="652">
        <f t="shared" ca="1" si="149"/>
        <v>25795</v>
      </c>
      <c r="AX219" s="652">
        <f t="shared" ca="1" si="149"/>
        <v>0</v>
      </c>
      <c r="AY219" s="652">
        <f t="shared" ca="1" si="149"/>
        <v>0</v>
      </c>
      <c r="AZ219" s="652">
        <f t="shared" ca="1" si="149"/>
        <v>0</v>
      </c>
      <c r="BA219" s="652">
        <f t="shared" ca="1" si="149"/>
        <v>0</v>
      </c>
      <c r="BB219" s="652">
        <f t="shared" ca="1" si="149"/>
        <v>0</v>
      </c>
      <c r="BC219" s="652">
        <f t="shared" ca="1" si="149"/>
        <v>0</v>
      </c>
      <c r="BD219" s="652">
        <f t="shared" ca="1" si="149"/>
        <v>0</v>
      </c>
      <c r="BE219" s="652" t="str">
        <f t="shared" ca="1" si="149"/>
        <v>Residential</v>
      </c>
      <c r="BF219" s="652" t="str">
        <f t="shared" ca="1" si="149"/>
        <v>ResCooling - SF Wtd</v>
      </c>
      <c r="BG219" s="652" t="str">
        <f t="shared" ca="1" si="149"/>
        <v>ResSFGasTotal</v>
      </c>
      <c r="BH219" s="652" t="str">
        <f t="shared" ca="1" si="149"/>
        <v>LGE Res</v>
      </c>
      <c r="BI219" s="652" t="str">
        <f t="shared" ca="1" si="149"/>
        <v>LGE Res</v>
      </c>
      <c r="BJ219" s="652">
        <f t="shared" ca="1" si="149"/>
        <v>1</v>
      </c>
      <c r="BK219" s="652">
        <f t="shared" ca="1" si="149"/>
        <v>0</v>
      </c>
      <c r="BL219" s="652">
        <f t="shared" ca="1" si="131"/>
        <v>0</v>
      </c>
      <c r="BM219" s="652">
        <f t="shared" ca="1" si="131"/>
        <v>0</v>
      </c>
      <c r="BN219" s="652">
        <f t="shared" ca="1" si="131"/>
        <v>0</v>
      </c>
      <c r="BO219" s="652">
        <f t="shared" ca="1" si="131"/>
        <v>0</v>
      </c>
      <c r="BP219" s="652">
        <f t="shared" ca="1" si="131"/>
        <v>0</v>
      </c>
      <c r="BQ219" s="652">
        <f t="shared" ca="1" si="131"/>
        <v>0</v>
      </c>
      <c r="BR219" s="652">
        <f t="shared" ca="1" si="144"/>
        <v>362500</v>
      </c>
      <c r="BS219" s="652">
        <f t="shared" ca="1" si="149"/>
        <v>0</v>
      </c>
      <c r="BT219" s="652">
        <f t="shared" ca="1" si="149"/>
        <v>0</v>
      </c>
      <c r="BU219" s="652">
        <f t="shared" ca="1" si="149"/>
        <v>15486250</v>
      </c>
      <c r="BV219" s="652">
        <f t="shared" ca="1" si="149"/>
        <v>0</v>
      </c>
      <c r="BW219" s="652">
        <f t="shared" ca="1" si="149"/>
        <v>0</v>
      </c>
      <c r="BX219" s="652">
        <f t="shared" ca="1" si="123"/>
        <v>48720</v>
      </c>
      <c r="BY219" s="652">
        <f t="shared" ca="1" si="123"/>
        <v>0</v>
      </c>
    </row>
    <row r="220" spans="1:77">
      <c r="A220" s="425" t="str">
        <f t="shared" ca="1" si="138"/>
        <v>Residential Demand ConservationLG&amp;E-Single Family - Water Heater Demand Conservation</v>
      </c>
      <c r="B220" s="1297" t="str">
        <f t="shared" si="130"/>
        <v>LG&amp;EResidential Demand Conservation</v>
      </c>
      <c r="C220" s="661" t="s">
        <v>174</v>
      </c>
      <c r="D220" s="662" t="s">
        <v>4</v>
      </c>
      <c r="E220" s="652" t="str">
        <f t="shared" ca="1" si="148"/>
        <v>LG&amp;E-Single Family - Water Heater Demand Conservation</v>
      </c>
      <c r="F220" s="652" t="str">
        <f t="shared" ca="1" si="148"/>
        <v>All year round for each electric water heater on single-family homes</v>
      </c>
      <c r="G220" s="652" t="str">
        <f t="shared" ca="1" si="148"/>
        <v>Per Customer</v>
      </c>
      <c r="H220" s="652">
        <f t="shared" ca="1" si="136"/>
        <v>3800</v>
      </c>
      <c r="I220" s="652">
        <f t="shared" ca="1" si="136"/>
        <v>3400</v>
      </c>
      <c r="J220" s="652">
        <f t="shared" ca="1" si="136"/>
        <v>3050</v>
      </c>
      <c r="K220" s="652">
        <f t="shared" ca="1" si="136"/>
        <v>2700</v>
      </c>
      <c r="L220" s="652">
        <f t="shared" ca="1" si="136"/>
        <v>2400</v>
      </c>
      <c r="M220" s="652">
        <f t="shared" ca="1" si="136"/>
        <v>2150</v>
      </c>
      <c r="N220" s="652">
        <f t="shared" ca="1" si="136"/>
        <v>1900</v>
      </c>
      <c r="O220" s="652">
        <f t="shared" ca="1" si="136"/>
        <v>0</v>
      </c>
      <c r="P220" s="652">
        <f t="shared" ca="1" si="136"/>
        <v>0</v>
      </c>
      <c r="Q220" s="652">
        <f t="shared" ca="1" si="136"/>
        <v>0</v>
      </c>
      <c r="R220" s="652">
        <f t="shared" ca="1" si="136"/>
        <v>0</v>
      </c>
      <c r="S220" s="652">
        <f t="shared" ca="1" si="136"/>
        <v>0</v>
      </c>
      <c r="T220" s="652">
        <f t="shared" ca="1" si="136"/>
        <v>0</v>
      </c>
      <c r="U220" s="652">
        <f t="shared" ca="1" si="136"/>
        <v>0</v>
      </c>
      <c r="V220" s="652">
        <f t="shared" ca="1" si="133"/>
        <v>0</v>
      </c>
      <c r="W220" s="652">
        <f t="shared" ca="1" si="133"/>
        <v>0</v>
      </c>
      <c r="X220" s="652">
        <f t="shared" ca="1" si="133"/>
        <v>0</v>
      </c>
      <c r="Y220" s="652">
        <f t="shared" ca="1" si="133"/>
        <v>0</v>
      </c>
      <c r="Z220" s="652">
        <f t="shared" ca="1" si="133"/>
        <v>0</v>
      </c>
      <c r="AA220" s="652">
        <f t="shared" ca="1" si="133"/>
        <v>0</v>
      </c>
      <c r="AB220" s="652">
        <f t="shared" ca="1" si="133"/>
        <v>0</v>
      </c>
      <c r="AC220" s="652">
        <f t="shared" ca="1" si="133"/>
        <v>304000</v>
      </c>
      <c r="AD220" s="652">
        <f t="shared" ca="1" si="133"/>
        <v>272000</v>
      </c>
      <c r="AE220" s="652">
        <f t="shared" ca="1" si="133"/>
        <v>244000</v>
      </c>
      <c r="AF220" s="652">
        <f t="shared" ca="1" si="133"/>
        <v>216000</v>
      </c>
      <c r="AG220" s="652">
        <f t="shared" ca="1" si="133"/>
        <v>192000</v>
      </c>
      <c r="AH220" s="652">
        <f t="shared" ca="1" si="133"/>
        <v>172000</v>
      </c>
      <c r="AI220" s="652">
        <f t="shared" ca="1" si="134"/>
        <v>152000</v>
      </c>
      <c r="AJ220" s="652">
        <f t="shared" ca="1" si="134"/>
        <v>0</v>
      </c>
      <c r="AK220" s="652">
        <f t="shared" ca="1" si="134"/>
        <v>0</v>
      </c>
      <c r="AL220" s="652">
        <f t="shared" ca="1" si="134"/>
        <v>0</v>
      </c>
      <c r="AM220" s="652">
        <f t="shared" ca="1" si="134"/>
        <v>0</v>
      </c>
      <c r="AN220" s="652">
        <f t="shared" ca="1" si="134"/>
        <v>0</v>
      </c>
      <c r="AO220" s="652">
        <f t="shared" ca="1" si="134"/>
        <v>0</v>
      </c>
      <c r="AP220" s="652">
        <f t="shared" ca="1" si="134"/>
        <v>0</v>
      </c>
      <c r="AQ220" s="652">
        <f t="shared" ca="1" si="134"/>
        <v>1520</v>
      </c>
      <c r="AR220" s="652">
        <f t="shared" ca="1" si="134"/>
        <v>1360</v>
      </c>
      <c r="AS220" s="652">
        <f t="shared" ca="1" si="134"/>
        <v>1220</v>
      </c>
      <c r="AT220" s="652">
        <f t="shared" ca="1" si="134"/>
        <v>1080</v>
      </c>
      <c r="AU220" s="652">
        <f t="shared" ca="1" si="134"/>
        <v>960</v>
      </c>
      <c r="AV220" s="652">
        <f t="shared" ca="1" si="134"/>
        <v>860</v>
      </c>
      <c r="AW220" s="652">
        <f t="shared" ca="1" si="149"/>
        <v>760</v>
      </c>
      <c r="AX220" s="652">
        <f t="shared" ca="1" si="149"/>
        <v>0</v>
      </c>
      <c r="AY220" s="652">
        <f t="shared" ca="1" si="149"/>
        <v>0</v>
      </c>
      <c r="AZ220" s="652">
        <f t="shared" ca="1" si="149"/>
        <v>0</v>
      </c>
      <c r="BA220" s="652">
        <f t="shared" ca="1" si="149"/>
        <v>0</v>
      </c>
      <c r="BB220" s="652">
        <f t="shared" ca="1" si="149"/>
        <v>0</v>
      </c>
      <c r="BC220" s="652">
        <f t="shared" ca="1" si="149"/>
        <v>0</v>
      </c>
      <c r="BD220" s="652">
        <f t="shared" ca="1" si="149"/>
        <v>0</v>
      </c>
      <c r="BE220" s="652" t="str">
        <f t="shared" ca="1" si="149"/>
        <v>Residential</v>
      </c>
      <c r="BF220" s="652" t="str">
        <f t="shared" ca="1" si="149"/>
        <v>ResHotWater - SF Wtd</v>
      </c>
      <c r="BG220" s="652" t="str">
        <f t="shared" ca="1" si="149"/>
        <v>ResSFGasTotal</v>
      </c>
      <c r="BH220" s="652" t="str">
        <f t="shared" ca="1" si="149"/>
        <v>LGE Res</v>
      </c>
      <c r="BI220" s="652" t="str">
        <f t="shared" ca="1" si="149"/>
        <v>LGE Res</v>
      </c>
      <c r="BJ220" s="652">
        <f t="shared" ca="1" si="149"/>
        <v>1</v>
      </c>
      <c r="BK220" s="652">
        <f t="shared" ca="1" si="149"/>
        <v>0</v>
      </c>
      <c r="BL220" s="652">
        <f t="shared" ca="1" si="131"/>
        <v>0</v>
      </c>
      <c r="BM220" s="652">
        <f t="shared" ca="1" si="131"/>
        <v>0</v>
      </c>
      <c r="BN220" s="652">
        <f t="shared" ca="1" si="131"/>
        <v>0</v>
      </c>
      <c r="BO220" s="652">
        <f t="shared" ca="1" si="131"/>
        <v>0</v>
      </c>
      <c r="BP220" s="652">
        <f t="shared" ca="1" si="131"/>
        <v>0</v>
      </c>
      <c r="BQ220" s="652">
        <f t="shared" ca="1" si="131"/>
        <v>0</v>
      </c>
      <c r="BR220" s="652">
        <f t="shared" ca="1" si="144"/>
        <v>19400</v>
      </c>
      <c r="BS220" s="652">
        <f t="shared" ca="1" si="149"/>
        <v>0</v>
      </c>
      <c r="BT220" s="652">
        <f t="shared" ca="1" si="149"/>
        <v>0</v>
      </c>
      <c r="BU220" s="652">
        <f t="shared" ca="1" si="149"/>
        <v>1552000</v>
      </c>
      <c r="BV220" s="652">
        <f t="shared" ca="1" si="149"/>
        <v>0</v>
      </c>
      <c r="BW220" s="652">
        <f t="shared" ca="1" si="149"/>
        <v>0</v>
      </c>
      <c r="BX220" s="652">
        <f t="shared" ca="1" si="123"/>
        <v>1520</v>
      </c>
      <c r="BY220" s="652">
        <f t="shared" ca="1" si="123"/>
        <v>0</v>
      </c>
    </row>
    <row r="221" spans="1:77">
      <c r="A221" s="425" t="str">
        <f t="shared" ca="1" si="138"/>
        <v>Residential Demand ConservationLG&amp;E-Single Family - Pool Pump Demand Conservation</v>
      </c>
      <c r="B221" s="1297" t="str">
        <f t="shared" si="130"/>
        <v>LG&amp;EResidential Demand Conservation</v>
      </c>
      <c r="C221" s="661" t="s">
        <v>179</v>
      </c>
      <c r="D221" s="662" t="s">
        <v>4</v>
      </c>
      <c r="E221" s="652" t="str">
        <f t="shared" ca="1" si="148"/>
        <v>LG&amp;E-Single Family - Pool Pump Demand Conservation</v>
      </c>
      <c r="F221" s="652" t="str">
        <f t="shared" ca="1" si="148"/>
        <v>Summer for each electric in-ground swimming pool pump on single-family homes</v>
      </c>
      <c r="G221" s="652" t="str">
        <f t="shared" ca="1" si="148"/>
        <v>Per Customer</v>
      </c>
      <c r="H221" s="652">
        <f t="shared" ca="1" si="136"/>
        <v>10</v>
      </c>
      <c r="I221" s="652">
        <f t="shared" ca="1" si="136"/>
        <v>10</v>
      </c>
      <c r="J221" s="652">
        <f t="shared" ca="1" si="136"/>
        <v>0</v>
      </c>
      <c r="K221" s="652">
        <f t="shared" ca="1" si="136"/>
        <v>0</v>
      </c>
      <c r="L221" s="652">
        <f t="shared" ca="1" si="136"/>
        <v>0</v>
      </c>
      <c r="M221" s="652">
        <f t="shared" ca="1" si="136"/>
        <v>0</v>
      </c>
      <c r="N221" s="652">
        <f t="shared" ca="1" si="136"/>
        <v>0</v>
      </c>
      <c r="O221" s="652">
        <f t="shared" ca="1" si="136"/>
        <v>0</v>
      </c>
      <c r="P221" s="652">
        <f t="shared" ca="1" si="136"/>
        <v>0</v>
      </c>
      <c r="Q221" s="652">
        <f t="shared" ca="1" si="136"/>
        <v>0</v>
      </c>
      <c r="R221" s="652">
        <f t="shared" ca="1" si="136"/>
        <v>0</v>
      </c>
      <c r="S221" s="652">
        <f t="shared" ca="1" si="136"/>
        <v>0</v>
      </c>
      <c r="T221" s="652">
        <f t="shared" ca="1" si="136"/>
        <v>0</v>
      </c>
      <c r="U221" s="652">
        <f t="shared" ca="1" si="136"/>
        <v>0</v>
      </c>
      <c r="V221" s="652">
        <f t="shared" ca="1" si="133"/>
        <v>0</v>
      </c>
      <c r="W221" s="652">
        <f t="shared" ca="1" si="133"/>
        <v>0</v>
      </c>
      <c r="X221" s="652">
        <f t="shared" ca="1" si="133"/>
        <v>0</v>
      </c>
      <c r="Y221" s="652">
        <f t="shared" ca="1" si="133"/>
        <v>0</v>
      </c>
      <c r="Z221" s="652">
        <f t="shared" ca="1" si="133"/>
        <v>0</v>
      </c>
      <c r="AA221" s="652">
        <f t="shared" ca="1" si="133"/>
        <v>0</v>
      </c>
      <c r="AB221" s="652">
        <f t="shared" ca="1" si="133"/>
        <v>0</v>
      </c>
      <c r="AC221" s="652">
        <f t="shared" ca="1" si="133"/>
        <v>800</v>
      </c>
      <c r="AD221" s="652">
        <f t="shared" ca="1" si="133"/>
        <v>800</v>
      </c>
      <c r="AE221" s="652">
        <f t="shared" ca="1" si="133"/>
        <v>0</v>
      </c>
      <c r="AF221" s="652">
        <f t="shared" ca="1" si="133"/>
        <v>0</v>
      </c>
      <c r="AG221" s="652">
        <f t="shared" ca="1" si="133"/>
        <v>0</v>
      </c>
      <c r="AH221" s="652">
        <f t="shared" ca="1" si="133"/>
        <v>0</v>
      </c>
      <c r="AI221" s="652">
        <f t="shared" ca="1" si="134"/>
        <v>0</v>
      </c>
      <c r="AJ221" s="652">
        <f t="shared" ca="1" si="134"/>
        <v>0</v>
      </c>
      <c r="AK221" s="652">
        <f t="shared" ca="1" si="134"/>
        <v>0</v>
      </c>
      <c r="AL221" s="652">
        <f t="shared" ca="1" si="134"/>
        <v>0</v>
      </c>
      <c r="AM221" s="652">
        <f t="shared" ca="1" si="134"/>
        <v>0</v>
      </c>
      <c r="AN221" s="652">
        <f t="shared" ca="1" si="134"/>
        <v>0</v>
      </c>
      <c r="AO221" s="652">
        <f t="shared" ca="1" si="134"/>
        <v>0</v>
      </c>
      <c r="AP221" s="652">
        <f t="shared" ca="1" si="134"/>
        <v>0</v>
      </c>
      <c r="AQ221" s="652">
        <f t="shared" ca="1" si="134"/>
        <v>4</v>
      </c>
      <c r="AR221" s="652">
        <f t="shared" ca="1" si="134"/>
        <v>4</v>
      </c>
      <c r="AS221" s="652">
        <f t="shared" ca="1" si="134"/>
        <v>0</v>
      </c>
      <c r="AT221" s="652">
        <f t="shared" ca="1" si="134"/>
        <v>0</v>
      </c>
      <c r="AU221" s="652">
        <f t="shared" ca="1" si="134"/>
        <v>0</v>
      </c>
      <c r="AV221" s="652">
        <f t="shared" ca="1" si="134"/>
        <v>0</v>
      </c>
      <c r="AW221" s="652">
        <f t="shared" ca="1" si="149"/>
        <v>0</v>
      </c>
      <c r="AX221" s="652">
        <f t="shared" ca="1" si="149"/>
        <v>0</v>
      </c>
      <c r="AY221" s="652">
        <f t="shared" ca="1" si="149"/>
        <v>0</v>
      </c>
      <c r="AZ221" s="652">
        <f t="shared" ca="1" si="149"/>
        <v>0</v>
      </c>
      <c r="BA221" s="652">
        <f t="shared" ca="1" si="149"/>
        <v>0</v>
      </c>
      <c r="BB221" s="652">
        <f t="shared" ca="1" si="149"/>
        <v>0</v>
      </c>
      <c r="BC221" s="652">
        <f t="shared" ca="1" si="149"/>
        <v>0</v>
      </c>
      <c r="BD221" s="652">
        <f t="shared" ca="1" si="149"/>
        <v>0</v>
      </c>
      <c r="BE221" s="652" t="str">
        <f t="shared" ca="1" si="149"/>
        <v>Residential</v>
      </c>
      <c r="BF221" s="652" t="str">
        <f t="shared" ca="1" si="149"/>
        <v>ResPoolSpa - SF Wtd</v>
      </c>
      <c r="BG221" s="652" t="str">
        <f t="shared" ca="1" si="149"/>
        <v>ResSFGasTotal</v>
      </c>
      <c r="BH221" s="652" t="str">
        <f t="shared" ca="1" si="149"/>
        <v>LGE Res</v>
      </c>
      <c r="BI221" s="652" t="str">
        <f t="shared" ca="1" si="149"/>
        <v>LGE Res</v>
      </c>
      <c r="BJ221" s="652">
        <f t="shared" ca="1" si="149"/>
        <v>1</v>
      </c>
      <c r="BK221" s="652">
        <f t="shared" ca="1" si="149"/>
        <v>0</v>
      </c>
      <c r="BL221" s="652">
        <f t="shared" ca="1" si="131"/>
        <v>0</v>
      </c>
      <c r="BM221" s="652">
        <f t="shared" ca="1" si="131"/>
        <v>0</v>
      </c>
      <c r="BN221" s="652">
        <f t="shared" ca="1" si="131"/>
        <v>0</v>
      </c>
      <c r="BO221" s="652">
        <f t="shared" ca="1" si="131"/>
        <v>0</v>
      </c>
      <c r="BP221" s="652">
        <f t="shared" ca="1" si="131"/>
        <v>0</v>
      </c>
      <c r="BQ221" s="652">
        <f t="shared" ca="1" si="131"/>
        <v>0</v>
      </c>
      <c r="BR221" s="652">
        <f t="shared" ca="1" si="144"/>
        <v>20</v>
      </c>
      <c r="BS221" s="652">
        <f t="shared" ca="1" si="149"/>
        <v>0</v>
      </c>
      <c r="BT221" s="652">
        <f t="shared" ca="1" si="149"/>
        <v>0</v>
      </c>
      <c r="BU221" s="652">
        <f t="shared" ca="1" si="149"/>
        <v>1600</v>
      </c>
      <c r="BV221" s="652">
        <f t="shared" ca="1" si="149"/>
        <v>0</v>
      </c>
      <c r="BW221" s="652">
        <f t="shared" ca="1" si="149"/>
        <v>0</v>
      </c>
      <c r="BX221" s="652">
        <f t="shared" ca="1" si="123"/>
        <v>4</v>
      </c>
      <c r="BY221" s="652">
        <f t="shared" ca="1" si="123"/>
        <v>0</v>
      </c>
    </row>
    <row r="222" spans="1:77">
      <c r="A222" s="425" t="str">
        <f t="shared" ca="1" si="138"/>
        <v>Residential Demand ConservationLG&amp;E-Multi-Family - AC and ASHP Demand Conservation</v>
      </c>
      <c r="B222" s="1297" t="str">
        <f t="shared" si="130"/>
        <v>LG&amp;EResidential Demand Conservation</v>
      </c>
      <c r="C222" s="661" t="s">
        <v>180</v>
      </c>
      <c r="D222" s="662" t="s">
        <v>4</v>
      </c>
      <c r="E222" s="652" t="str">
        <f t="shared" ref="E222:G235" ca="1" si="150">VLOOKUP($C222,INDIRECT("'"&amp;$D222&amp;"'!A6:FC1000"),IF(E$6="Participation 2023",MATCH("__Participation 2023",INDIRECT("'"&amp;$D222&amp;"'!1:1"),0),IF(E$6="Participation",MATCH("_Total Plan Summary _Participation",INDIRECT("'"&amp;$D222&amp;"'!1:1"),0),MATCH(E$4&amp;"_"&amp;E$5&amp;"_"&amp;E$6,INDIRECT("'"&amp;$D222&amp;"'!1:1"),0))),0)</f>
        <v>LG&amp;E-Multi-Family - AC and ASHP Demand Conservation</v>
      </c>
      <c r="F222" s="652" t="str">
        <f t="shared" ca="1" si="150"/>
        <v>Summer for each central air conditioning unit and all year round for each heat pump on on multifamily homes</v>
      </c>
      <c r="G222" s="652" t="str">
        <f t="shared" ca="1" si="150"/>
        <v>Per Customer</v>
      </c>
      <c r="H222" s="652">
        <f t="shared" ca="1" si="136"/>
        <v>13500</v>
      </c>
      <c r="I222" s="652">
        <f t="shared" ca="1" si="136"/>
        <v>12150</v>
      </c>
      <c r="J222" s="652">
        <f t="shared" ca="1" si="136"/>
        <v>10900</v>
      </c>
      <c r="K222" s="652">
        <f t="shared" ca="1" si="136"/>
        <v>9800</v>
      </c>
      <c r="L222" s="652">
        <f t="shared" ca="1" si="136"/>
        <v>8800</v>
      </c>
      <c r="M222" s="652">
        <f t="shared" ca="1" si="136"/>
        <v>7900</v>
      </c>
      <c r="N222" s="652">
        <f t="shared" ca="1" si="136"/>
        <v>7100</v>
      </c>
      <c r="O222" s="652">
        <f t="shared" ca="1" si="136"/>
        <v>0</v>
      </c>
      <c r="P222" s="652">
        <f t="shared" ca="1" si="136"/>
        <v>0</v>
      </c>
      <c r="Q222" s="652">
        <f t="shared" ca="1" si="136"/>
        <v>0</v>
      </c>
      <c r="R222" s="652">
        <f t="shared" ca="1" si="136"/>
        <v>0</v>
      </c>
      <c r="S222" s="652">
        <f t="shared" ca="1" si="136"/>
        <v>0</v>
      </c>
      <c r="T222" s="652">
        <f t="shared" ca="1" si="136"/>
        <v>0</v>
      </c>
      <c r="U222" s="652">
        <f t="shared" ca="1" si="136"/>
        <v>0</v>
      </c>
      <c r="V222" s="652">
        <f t="shared" ca="1" si="133"/>
        <v>0</v>
      </c>
      <c r="W222" s="652">
        <f t="shared" ca="1" si="133"/>
        <v>0</v>
      </c>
      <c r="X222" s="652">
        <f t="shared" ca="1" si="133"/>
        <v>0</v>
      </c>
      <c r="Y222" s="652">
        <f t="shared" ca="1" si="133"/>
        <v>0</v>
      </c>
      <c r="Z222" s="652">
        <f t="shared" ca="1" si="133"/>
        <v>0</v>
      </c>
      <c r="AA222" s="652">
        <f t="shared" ca="1" si="133"/>
        <v>0</v>
      </c>
      <c r="AB222" s="652">
        <f t="shared" ca="1" si="133"/>
        <v>0</v>
      </c>
      <c r="AC222" s="652">
        <f t="shared" ca="1" si="133"/>
        <v>108000</v>
      </c>
      <c r="AD222" s="652">
        <f t="shared" ca="1" si="133"/>
        <v>97200</v>
      </c>
      <c r="AE222" s="652">
        <f t="shared" ca="1" si="133"/>
        <v>87200</v>
      </c>
      <c r="AF222" s="652">
        <f t="shared" ca="1" si="133"/>
        <v>196000</v>
      </c>
      <c r="AG222" s="652">
        <f t="shared" ca="1" si="133"/>
        <v>704000</v>
      </c>
      <c r="AH222" s="652">
        <f t="shared" ca="1" si="133"/>
        <v>632000</v>
      </c>
      <c r="AI222" s="652">
        <f t="shared" ca="1" si="134"/>
        <v>568000</v>
      </c>
      <c r="AJ222" s="652">
        <f t="shared" ca="1" si="134"/>
        <v>0</v>
      </c>
      <c r="AK222" s="652">
        <f t="shared" ca="1" si="134"/>
        <v>0</v>
      </c>
      <c r="AL222" s="652">
        <f t="shared" ca="1" si="134"/>
        <v>0</v>
      </c>
      <c r="AM222" s="652">
        <f t="shared" ca="1" si="134"/>
        <v>0</v>
      </c>
      <c r="AN222" s="652">
        <f t="shared" ca="1" si="134"/>
        <v>0</v>
      </c>
      <c r="AO222" s="652">
        <f t="shared" ca="1" si="134"/>
        <v>0</v>
      </c>
      <c r="AP222" s="652">
        <f t="shared" ca="1" si="134"/>
        <v>0</v>
      </c>
      <c r="AQ222" s="652">
        <f t="shared" ca="1" si="134"/>
        <v>9450</v>
      </c>
      <c r="AR222" s="652">
        <f t="shared" ca="1" si="134"/>
        <v>8505</v>
      </c>
      <c r="AS222" s="652">
        <f t="shared" ca="1" si="134"/>
        <v>7629.9999999999991</v>
      </c>
      <c r="AT222" s="652">
        <f t="shared" ca="1" si="134"/>
        <v>6860</v>
      </c>
      <c r="AU222" s="652">
        <f t="shared" ca="1" si="134"/>
        <v>6160</v>
      </c>
      <c r="AV222" s="652">
        <f t="shared" ca="1" si="134"/>
        <v>5530</v>
      </c>
      <c r="AW222" s="652">
        <f t="shared" ca="1" si="149"/>
        <v>4970</v>
      </c>
      <c r="AX222" s="652">
        <f t="shared" ca="1" si="149"/>
        <v>0</v>
      </c>
      <c r="AY222" s="652">
        <f t="shared" ca="1" si="149"/>
        <v>0</v>
      </c>
      <c r="AZ222" s="652">
        <f t="shared" ca="1" si="149"/>
        <v>0</v>
      </c>
      <c r="BA222" s="652">
        <f t="shared" ca="1" si="149"/>
        <v>0</v>
      </c>
      <c r="BB222" s="652">
        <f t="shared" ca="1" si="149"/>
        <v>0</v>
      </c>
      <c r="BC222" s="652">
        <f t="shared" ca="1" si="149"/>
        <v>0</v>
      </c>
      <c r="BD222" s="652">
        <f t="shared" ca="1" si="149"/>
        <v>0</v>
      </c>
      <c r="BE222" s="652" t="str">
        <f t="shared" ca="1" si="149"/>
        <v>Residential</v>
      </c>
      <c r="BF222" s="652" t="str">
        <f t="shared" ca="1" si="149"/>
        <v>ResCooling - MF Wtd</v>
      </c>
      <c r="BG222" s="652" t="str">
        <f t="shared" ca="1" si="149"/>
        <v>ResSFGasTotal</v>
      </c>
      <c r="BH222" s="652" t="str">
        <f t="shared" ca="1" si="149"/>
        <v>LGE Res</v>
      </c>
      <c r="BI222" s="652" t="str">
        <f t="shared" ca="1" si="149"/>
        <v>LGE Res</v>
      </c>
      <c r="BJ222" s="652">
        <f t="shared" ca="1" si="149"/>
        <v>1</v>
      </c>
      <c r="BK222" s="652">
        <f t="shared" ca="1" si="149"/>
        <v>0</v>
      </c>
      <c r="BL222" s="652">
        <f t="shared" ca="1" si="131"/>
        <v>0</v>
      </c>
      <c r="BM222" s="652">
        <f t="shared" ca="1" si="131"/>
        <v>0</v>
      </c>
      <c r="BN222" s="652">
        <f t="shared" ca="1" si="131"/>
        <v>0</v>
      </c>
      <c r="BO222" s="652">
        <f t="shared" ca="1" si="131"/>
        <v>0</v>
      </c>
      <c r="BP222" s="652">
        <f t="shared" ca="1" si="131"/>
        <v>0</v>
      </c>
      <c r="BQ222" s="652">
        <f t="shared" ca="1" si="131"/>
        <v>0</v>
      </c>
      <c r="BR222" s="652">
        <f t="shared" ca="1" si="144"/>
        <v>70150</v>
      </c>
      <c r="BS222" s="652">
        <f t="shared" ca="1" si="149"/>
        <v>0</v>
      </c>
      <c r="BT222" s="652">
        <f t="shared" ca="1" si="149"/>
        <v>0</v>
      </c>
      <c r="BU222" s="652">
        <f t="shared" ca="1" si="149"/>
        <v>2392400</v>
      </c>
      <c r="BV222" s="652">
        <f t="shared" ca="1" si="149"/>
        <v>0</v>
      </c>
      <c r="BW222" s="652">
        <f t="shared" ca="1" si="149"/>
        <v>0</v>
      </c>
      <c r="BX222" s="652">
        <f t="shared" ca="1" si="123"/>
        <v>9450</v>
      </c>
      <c r="BY222" s="652">
        <f t="shared" ca="1" si="123"/>
        <v>0</v>
      </c>
    </row>
    <row r="223" spans="1:77">
      <c r="A223" s="425" t="str">
        <f t="shared" ca="1" si="138"/>
        <v>Residential Demand ConservationLG&amp;E-Multi-Family - Water Heater Demand Conservation</v>
      </c>
      <c r="B223" s="1297" t="str">
        <f t="shared" si="130"/>
        <v>LG&amp;EResidential Demand Conservation</v>
      </c>
      <c r="C223" s="661" t="s">
        <v>181</v>
      </c>
      <c r="D223" s="662" t="s">
        <v>4</v>
      </c>
      <c r="E223" s="652" t="str">
        <f t="shared" ca="1" si="150"/>
        <v>LG&amp;E-Multi-Family - Water Heater Demand Conservation</v>
      </c>
      <c r="F223" s="652" t="str">
        <f t="shared" ca="1" si="150"/>
        <v>All year round for each electric water heater on multifamily homes</v>
      </c>
      <c r="G223" s="652" t="str">
        <f t="shared" ca="1" si="150"/>
        <v>Per Customer</v>
      </c>
      <c r="H223" s="652">
        <f t="shared" ca="1" si="136"/>
        <v>20</v>
      </c>
      <c r="I223" s="652">
        <f t="shared" ca="1" si="136"/>
        <v>19</v>
      </c>
      <c r="J223" s="652">
        <f t="shared" ca="1" si="136"/>
        <v>0</v>
      </c>
      <c r="K223" s="652">
        <f t="shared" ca="1" si="136"/>
        <v>0</v>
      </c>
      <c r="L223" s="652">
        <f t="shared" ca="1" si="136"/>
        <v>0</v>
      </c>
      <c r="M223" s="652">
        <f t="shared" ca="1" si="136"/>
        <v>0</v>
      </c>
      <c r="N223" s="652">
        <f t="shared" ca="1" si="136"/>
        <v>0</v>
      </c>
      <c r="O223" s="652">
        <f t="shared" ca="1" si="136"/>
        <v>0</v>
      </c>
      <c r="P223" s="652">
        <f t="shared" ca="1" si="136"/>
        <v>0</v>
      </c>
      <c r="Q223" s="652">
        <f t="shared" ca="1" si="136"/>
        <v>0</v>
      </c>
      <c r="R223" s="652">
        <f t="shared" ca="1" si="136"/>
        <v>0</v>
      </c>
      <c r="S223" s="652">
        <f t="shared" ca="1" si="136"/>
        <v>0</v>
      </c>
      <c r="T223" s="652">
        <f t="shared" ca="1" si="136"/>
        <v>0</v>
      </c>
      <c r="U223" s="652">
        <f t="shared" ca="1" si="136"/>
        <v>0</v>
      </c>
      <c r="V223" s="652">
        <f t="shared" ca="1" si="133"/>
        <v>0</v>
      </c>
      <c r="W223" s="652">
        <f t="shared" ca="1" si="133"/>
        <v>0</v>
      </c>
      <c r="X223" s="652">
        <f t="shared" ca="1" si="133"/>
        <v>0</v>
      </c>
      <c r="Y223" s="652">
        <f t="shared" ca="1" si="133"/>
        <v>0</v>
      </c>
      <c r="Z223" s="652">
        <f t="shared" ca="1" si="133"/>
        <v>0</v>
      </c>
      <c r="AA223" s="652">
        <f t="shared" ca="1" si="133"/>
        <v>0</v>
      </c>
      <c r="AB223" s="652">
        <f t="shared" ca="1" si="133"/>
        <v>0</v>
      </c>
      <c r="AC223" s="652">
        <f t="shared" ca="1" si="133"/>
        <v>3200</v>
      </c>
      <c r="AD223" s="652">
        <f t="shared" ca="1" si="133"/>
        <v>3040</v>
      </c>
      <c r="AE223" s="652">
        <f t="shared" ca="1" si="133"/>
        <v>0</v>
      </c>
      <c r="AF223" s="652">
        <f t="shared" ca="1" si="133"/>
        <v>0</v>
      </c>
      <c r="AG223" s="652">
        <f t="shared" ca="1" si="133"/>
        <v>0</v>
      </c>
      <c r="AH223" s="652">
        <f t="shared" ca="1" si="133"/>
        <v>0</v>
      </c>
      <c r="AI223" s="652">
        <f t="shared" ca="1" si="134"/>
        <v>0</v>
      </c>
      <c r="AJ223" s="652">
        <f t="shared" ca="1" si="134"/>
        <v>0</v>
      </c>
      <c r="AK223" s="652">
        <f t="shared" ca="1" si="134"/>
        <v>0</v>
      </c>
      <c r="AL223" s="652">
        <f t="shared" ca="1" si="134"/>
        <v>0</v>
      </c>
      <c r="AM223" s="652">
        <f t="shared" ca="1" si="134"/>
        <v>0</v>
      </c>
      <c r="AN223" s="652">
        <f t="shared" ca="1" si="134"/>
        <v>0</v>
      </c>
      <c r="AO223" s="652">
        <f t="shared" ca="1" si="134"/>
        <v>0</v>
      </c>
      <c r="AP223" s="652">
        <f t="shared" ca="1" si="134"/>
        <v>0</v>
      </c>
      <c r="AQ223" s="652">
        <f t="shared" ca="1" si="134"/>
        <v>8</v>
      </c>
      <c r="AR223" s="652">
        <f t="shared" ca="1" si="134"/>
        <v>7.6000000000000005</v>
      </c>
      <c r="AS223" s="652">
        <f t="shared" ca="1" si="134"/>
        <v>0</v>
      </c>
      <c r="AT223" s="652">
        <f t="shared" ca="1" si="134"/>
        <v>0</v>
      </c>
      <c r="AU223" s="652">
        <f t="shared" ca="1" si="134"/>
        <v>0</v>
      </c>
      <c r="AV223" s="652">
        <f t="shared" ref="AV223:BW249" ca="1" si="151">VLOOKUP($C223,INDIRECT("'"&amp;$D223&amp;"'!A6:FR1000"),IF(AV$6="Participation 2023",MATCH("__Participation 2023",INDIRECT("'"&amp;$D223&amp;"'!1:1"),0),IF(AV$6="Participation",MATCH("_Total Plan Summary _Participation",INDIRECT("'"&amp;$D223&amp;"'!1:1"),0),MATCH(AV$4&amp;"_"&amp;AV$5&amp;"_"&amp;AV$6,INDIRECT("'"&amp;$D223&amp;"'!1:1"),0))),0)</f>
        <v>0</v>
      </c>
      <c r="AW223" s="652">
        <f t="shared" ca="1" si="151"/>
        <v>0</v>
      </c>
      <c r="AX223" s="652">
        <f t="shared" ca="1" si="151"/>
        <v>0</v>
      </c>
      <c r="AY223" s="652">
        <f t="shared" ca="1" si="151"/>
        <v>0</v>
      </c>
      <c r="AZ223" s="652">
        <f t="shared" ca="1" si="151"/>
        <v>0</v>
      </c>
      <c r="BA223" s="652">
        <f t="shared" ca="1" si="151"/>
        <v>0</v>
      </c>
      <c r="BB223" s="652">
        <f t="shared" ca="1" si="151"/>
        <v>0</v>
      </c>
      <c r="BC223" s="652">
        <f t="shared" ca="1" si="151"/>
        <v>0</v>
      </c>
      <c r="BD223" s="652">
        <f t="shared" ca="1" si="151"/>
        <v>0</v>
      </c>
      <c r="BE223" s="652" t="str">
        <f t="shared" ref="BE223:BK238" ca="1" si="152">VLOOKUP($C223,INDIRECT("'"&amp;$D223&amp;"'!A6:FR1000"),IF(BE$6="Participation 2023",MATCH("__Participation 2023",INDIRECT("'"&amp;$D223&amp;"'!1:1"),0),IF(BE$6="Participation",MATCH("_Total Plan Summary _Participation",INDIRECT("'"&amp;$D223&amp;"'!1:1"),0),MATCH(BE$4&amp;"_"&amp;BE$5&amp;"_"&amp;BE$6,INDIRECT("'"&amp;$D223&amp;"'!1:1"),0))),0)</f>
        <v>Residential</v>
      </c>
      <c r="BF223" s="652" t="str">
        <f t="shared" ca="1" si="152"/>
        <v>ResHotWater - MF Wtd</v>
      </c>
      <c r="BG223" s="652" t="str">
        <f t="shared" ca="1" si="152"/>
        <v>ResSFGasTotal</v>
      </c>
      <c r="BH223" s="652" t="str">
        <f t="shared" ca="1" si="152"/>
        <v>LGE Res</v>
      </c>
      <c r="BI223" s="652" t="str">
        <f t="shared" ca="1" si="152"/>
        <v>LGE Res</v>
      </c>
      <c r="BJ223" s="652">
        <f t="shared" ca="1" si="152"/>
        <v>1</v>
      </c>
      <c r="BK223" s="652">
        <f t="shared" ca="1" si="152"/>
        <v>0</v>
      </c>
      <c r="BL223" s="652">
        <f t="shared" ca="1" si="131"/>
        <v>0</v>
      </c>
      <c r="BM223" s="652">
        <f t="shared" ca="1" si="131"/>
        <v>0</v>
      </c>
      <c r="BN223" s="652">
        <f t="shared" ca="1" si="131"/>
        <v>0</v>
      </c>
      <c r="BO223" s="652">
        <f t="shared" ca="1" si="131"/>
        <v>0</v>
      </c>
      <c r="BP223" s="652">
        <f t="shared" ca="1" si="131"/>
        <v>0</v>
      </c>
      <c r="BQ223" s="652">
        <f t="shared" ca="1" si="131"/>
        <v>0</v>
      </c>
      <c r="BR223" s="652">
        <f t="shared" ca="1" si="144"/>
        <v>39</v>
      </c>
      <c r="BS223" s="652">
        <f t="shared" ca="1" si="151"/>
        <v>0</v>
      </c>
      <c r="BT223" s="652">
        <f t="shared" ca="1" si="151"/>
        <v>0</v>
      </c>
      <c r="BU223" s="652">
        <f t="shared" ca="1" si="151"/>
        <v>6240</v>
      </c>
      <c r="BV223" s="652">
        <f t="shared" ca="1" si="151"/>
        <v>0</v>
      </c>
      <c r="BW223" s="652">
        <f t="shared" ca="1" si="151"/>
        <v>0</v>
      </c>
      <c r="BX223" s="652">
        <f t="shared" ca="1" si="123"/>
        <v>8</v>
      </c>
      <c r="BY223" s="652">
        <f t="shared" ca="1" si="123"/>
        <v>0</v>
      </c>
    </row>
    <row r="224" spans="1:77">
      <c r="A224" s="425" t="str">
        <f t="shared" ca="1" si="138"/>
        <v>Residential Demand ConservationLG&amp;E-Multi-Family - Pool Pump Demand Conservation</v>
      </c>
      <c r="B224" s="1297" t="str">
        <f t="shared" si="130"/>
        <v>LG&amp;EResidential Demand Conservation</v>
      </c>
      <c r="C224" s="661" t="s">
        <v>182</v>
      </c>
      <c r="D224" s="662" t="s">
        <v>4</v>
      </c>
      <c r="E224" s="652" t="str">
        <f t="shared" ca="1" si="150"/>
        <v>LG&amp;E-Multi-Family - Pool Pump Demand Conservation</v>
      </c>
      <c r="F224" s="652" t="str">
        <f t="shared" ca="1" si="150"/>
        <v>Summer for each electric in-ground swimming pool pump on multifamily homes</v>
      </c>
      <c r="G224" s="652" t="str">
        <f t="shared" ca="1" si="150"/>
        <v>Per Customer</v>
      </c>
      <c r="H224" s="652">
        <f t="shared" ca="1" si="136"/>
        <v>0</v>
      </c>
      <c r="I224" s="652">
        <f t="shared" ca="1" si="136"/>
        <v>0</v>
      </c>
      <c r="J224" s="652">
        <f t="shared" ca="1" si="136"/>
        <v>0</v>
      </c>
      <c r="K224" s="652">
        <f t="shared" ca="1" si="136"/>
        <v>0</v>
      </c>
      <c r="L224" s="652">
        <f t="shared" ca="1" si="136"/>
        <v>0</v>
      </c>
      <c r="M224" s="652">
        <f t="shared" ca="1" si="136"/>
        <v>0</v>
      </c>
      <c r="N224" s="652">
        <f t="shared" ca="1" si="136"/>
        <v>0</v>
      </c>
      <c r="O224" s="652">
        <f t="shared" ca="1" si="136"/>
        <v>0</v>
      </c>
      <c r="P224" s="652">
        <f t="shared" ca="1" si="136"/>
        <v>0</v>
      </c>
      <c r="Q224" s="652">
        <f t="shared" ca="1" si="136"/>
        <v>0</v>
      </c>
      <c r="R224" s="652">
        <f t="shared" ca="1" si="136"/>
        <v>0</v>
      </c>
      <c r="S224" s="652">
        <f t="shared" ca="1" si="136"/>
        <v>0</v>
      </c>
      <c r="T224" s="652">
        <f t="shared" ca="1" si="136"/>
        <v>0</v>
      </c>
      <c r="U224" s="652">
        <f t="shared" ref="U224:AH245" ca="1" si="153">VLOOKUP($C224,INDIRECT("'"&amp;$D224&amp;"'!A6:FR1000"),IF(U$6="Participation 2023",MATCH("__Participation 2023",INDIRECT("'"&amp;$D224&amp;"'!1:1"),0),IF(U$6="Participation",MATCH("_Total Plan Summary _Participation",INDIRECT("'"&amp;$D224&amp;"'!1:1"),0),MATCH(U$4&amp;"_"&amp;U$5&amp;"_"&amp;U$6,INDIRECT("'"&amp;$D224&amp;"'!1:1"),0))),0)</f>
        <v>0</v>
      </c>
      <c r="V224" s="652">
        <f t="shared" ca="1" si="153"/>
        <v>0</v>
      </c>
      <c r="W224" s="652">
        <f t="shared" ca="1" si="153"/>
        <v>0</v>
      </c>
      <c r="X224" s="652">
        <f t="shared" ca="1" si="153"/>
        <v>0</v>
      </c>
      <c r="Y224" s="652">
        <f t="shared" ca="1" si="153"/>
        <v>0</v>
      </c>
      <c r="Z224" s="652">
        <f t="shared" ca="1" si="153"/>
        <v>0</v>
      </c>
      <c r="AA224" s="652">
        <f t="shared" ca="1" si="153"/>
        <v>0</v>
      </c>
      <c r="AB224" s="652">
        <f t="shared" ca="1" si="153"/>
        <v>0</v>
      </c>
      <c r="AC224" s="652">
        <f t="shared" ca="1" si="153"/>
        <v>0</v>
      </c>
      <c r="AD224" s="652">
        <f t="shared" ca="1" si="153"/>
        <v>0</v>
      </c>
      <c r="AE224" s="652">
        <f t="shared" ca="1" si="153"/>
        <v>0</v>
      </c>
      <c r="AF224" s="652">
        <f t="shared" ca="1" si="153"/>
        <v>0</v>
      </c>
      <c r="AG224" s="652">
        <f t="shared" ca="1" si="153"/>
        <v>0</v>
      </c>
      <c r="AH224" s="652">
        <f t="shared" ca="1" si="153"/>
        <v>0</v>
      </c>
      <c r="AI224" s="652">
        <f t="shared" ref="AI224:AV244" ca="1" si="154">VLOOKUP($C224,INDIRECT("'"&amp;$D224&amp;"'!A6:FR1000"),IF(AI$6="Participation 2023",MATCH("__Participation 2023",INDIRECT("'"&amp;$D224&amp;"'!1:1"),0),IF(AI$6="Participation",MATCH("_Total Plan Summary _Participation",INDIRECT("'"&amp;$D224&amp;"'!1:1"),0),MATCH(AI$4&amp;"_"&amp;AI$5&amp;"_"&amp;AI$6,INDIRECT("'"&amp;$D224&amp;"'!1:1"),0))),0)</f>
        <v>0</v>
      </c>
      <c r="AJ224" s="652">
        <f t="shared" ca="1" si="154"/>
        <v>0</v>
      </c>
      <c r="AK224" s="652">
        <f t="shared" ca="1" si="154"/>
        <v>0</v>
      </c>
      <c r="AL224" s="652">
        <f t="shared" ca="1" si="154"/>
        <v>0</v>
      </c>
      <c r="AM224" s="652">
        <f t="shared" ca="1" si="154"/>
        <v>0</v>
      </c>
      <c r="AN224" s="652">
        <f t="shared" ca="1" si="154"/>
        <v>0</v>
      </c>
      <c r="AO224" s="652">
        <f t="shared" ca="1" si="154"/>
        <v>0</v>
      </c>
      <c r="AP224" s="652">
        <f t="shared" ca="1" si="154"/>
        <v>0</v>
      </c>
      <c r="AQ224" s="652">
        <f t="shared" ca="1" si="154"/>
        <v>0</v>
      </c>
      <c r="AR224" s="652">
        <f t="shared" ca="1" si="154"/>
        <v>0</v>
      </c>
      <c r="AS224" s="652">
        <f t="shared" ca="1" si="154"/>
        <v>0</v>
      </c>
      <c r="AT224" s="652">
        <f t="shared" ca="1" si="154"/>
        <v>0</v>
      </c>
      <c r="AU224" s="652">
        <f t="shared" ca="1" si="154"/>
        <v>0</v>
      </c>
      <c r="AV224" s="652">
        <f t="shared" ca="1" si="154"/>
        <v>0</v>
      </c>
      <c r="AW224" s="652">
        <f t="shared" ca="1" si="151"/>
        <v>0</v>
      </c>
      <c r="AX224" s="652">
        <f t="shared" ca="1" si="151"/>
        <v>0</v>
      </c>
      <c r="AY224" s="652">
        <f t="shared" ca="1" si="151"/>
        <v>0</v>
      </c>
      <c r="AZ224" s="652">
        <f t="shared" ca="1" si="151"/>
        <v>0</v>
      </c>
      <c r="BA224" s="652">
        <f t="shared" ca="1" si="151"/>
        <v>0</v>
      </c>
      <c r="BB224" s="652">
        <f t="shared" ca="1" si="151"/>
        <v>0</v>
      </c>
      <c r="BC224" s="652">
        <f t="shared" ca="1" si="151"/>
        <v>0</v>
      </c>
      <c r="BD224" s="652">
        <f t="shared" ca="1" si="151"/>
        <v>0</v>
      </c>
      <c r="BE224" s="652" t="str">
        <f t="shared" ca="1" si="152"/>
        <v>Residential</v>
      </c>
      <c r="BF224" s="652" t="str">
        <f t="shared" ca="1" si="152"/>
        <v>ResPoolSpa - MF Wtd</v>
      </c>
      <c r="BG224" s="652" t="str">
        <f t="shared" ca="1" si="152"/>
        <v>ResSFGasTotal</v>
      </c>
      <c r="BH224" s="652" t="str">
        <f t="shared" ca="1" si="152"/>
        <v>LGE Res</v>
      </c>
      <c r="BI224" s="652" t="str">
        <f t="shared" ca="1" si="152"/>
        <v>LGE Res</v>
      </c>
      <c r="BJ224" s="652">
        <f t="shared" ca="1" si="152"/>
        <v>1</v>
      </c>
      <c r="BK224" s="652">
        <f t="shared" ca="1" si="152"/>
        <v>0</v>
      </c>
      <c r="BL224" s="652">
        <f t="shared" ca="1" si="131"/>
        <v>0</v>
      </c>
      <c r="BM224" s="652">
        <f t="shared" ca="1" si="131"/>
        <v>0</v>
      </c>
      <c r="BN224" s="652">
        <f t="shared" ca="1" si="131"/>
        <v>0</v>
      </c>
      <c r="BO224" s="652">
        <f t="shared" ca="1" si="131"/>
        <v>0</v>
      </c>
      <c r="BP224" s="652">
        <f t="shared" ca="1" si="131"/>
        <v>0</v>
      </c>
      <c r="BQ224" s="652">
        <f t="shared" ca="1" si="131"/>
        <v>0</v>
      </c>
      <c r="BR224" s="652">
        <f t="shared" ca="1" si="144"/>
        <v>0</v>
      </c>
      <c r="BS224" s="652">
        <f t="shared" ca="1" si="151"/>
        <v>0</v>
      </c>
      <c r="BT224" s="652">
        <f t="shared" ca="1" si="151"/>
        <v>0</v>
      </c>
      <c r="BU224" s="652">
        <f t="shared" ca="1" si="151"/>
        <v>0</v>
      </c>
      <c r="BV224" s="652">
        <f t="shared" ca="1" si="151"/>
        <v>0</v>
      </c>
      <c r="BW224" s="652">
        <f t="shared" ca="1" si="151"/>
        <v>0</v>
      </c>
      <c r="BX224" s="652">
        <f t="shared" ca="1" si="123"/>
        <v>0</v>
      </c>
      <c r="BY224" s="652">
        <f t="shared" ca="1" si="123"/>
        <v>0</v>
      </c>
    </row>
    <row r="225" spans="1:77">
      <c r="A225" s="425" t="str">
        <f t="shared" ca="1" si="138"/>
        <v>Residential Demand ConservationLG&amp;E-Small Commercial - AC Demand Conservation</v>
      </c>
      <c r="B225" s="1297" t="str">
        <f t="shared" si="130"/>
        <v>LG&amp;EResidential Demand Conservation</v>
      </c>
      <c r="C225" s="661" t="s">
        <v>191</v>
      </c>
      <c r="D225" s="662" t="s">
        <v>4</v>
      </c>
      <c r="E225" s="652" t="str">
        <f t="shared" ca="1" si="150"/>
        <v>LG&amp;E-Small Commercial - AC Demand Conservation</v>
      </c>
      <c r="F225" s="652" t="str">
        <f t="shared" ca="1" si="150"/>
        <v>Summer for each air conditioning unit</v>
      </c>
      <c r="G225" s="652" t="str">
        <f t="shared" ca="1" si="150"/>
        <v>Per Customer</v>
      </c>
      <c r="H225" s="652">
        <f t="shared" ref="H225:U244" ca="1" si="155">VLOOKUP($C225,INDIRECT("'"&amp;$D225&amp;"'!A6:FR1000"),IF(H$6="Participation 2023",MATCH("__Participation 2023",INDIRECT("'"&amp;$D225&amp;"'!1:1"),0),IF(H$6="Participation",MATCH("_Total Plan Summary _Participation",INDIRECT("'"&amp;$D225&amp;"'!1:1"),0),MATCH(H$4&amp;"_"&amp;H$5&amp;"_"&amp;H$6,INDIRECT("'"&amp;$D225&amp;"'!1:1"),0))),0)</f>
        <v>1450</v>
      </c>
      <c r="I225" s="652">
        <f t="shared" ca="1" si="155"/>
        <v>1300</v>
      </c>
      <c r="J225" s="652">
        <f t="shared" ca="1" si="155"/>
        <v>1150</v>
      </c>
      <c r="K225" s="652">
        <f t="shared" ca="1" si="155"/>
        <v>1000</v>
      </c>
      <c r="L225" s="652">
        <f t="shared" ca="1" si="155"/>
        <v>900</v>
      </c>
      <c r="M225" s="652">
        <f t="shared" ca="1" si="155"/>
        <v>800</v>
      </c>
      <c r="N225" s="652">
        <f t="shared" ca="1" si="155"/>
        <v>700</v>
      </c>
      <c r="O225" s="652">
        <f t="shared" ca="1" si="155"/>
        <v>0</v>
      </c>
      <c r="P225" s="652">
        <f t="shared" ca="1" si="155"/>
        <v>0</v>
      </c>
      <c r="Q225" s="652">
        <f t="shared" ca="1" si="155"/>
        <v>0</v>
      </c>
      <c r="R225" s="652">
        <f t="shared" ca="1" si="155"/>
        <v>0</v>
      </c>
      <c r="S225" s="652">
        <f t="shared" ca="1" si="155"/>
        <v>0</v>
      </c>
      <c r="T225" s="652">
        <f t="shared" ca="1" si="155"/>
        <v>0</v>
      </c>
      <c r="U225" s="652">
        <f t="shared" ca="1" si="155"/>
        <v>0</v>
      </c>
      <c r="V225" s="652">
        <f t="shared" ca="1" si="153"/>
        <v>0</v>
      </c>
      <c r="W225" s="652">
        <f t="shared" ca="1" si="153"/>
        <v>0</v>
      </c>
      <c r="X225" s="652">
        <f t="shared" ca="1" si="153"/>
        <v>0</v>
      </c>
      <c r="Y225" s="652">
        <f t="shared" ca="1" si="153"/>
        <v>0</v>
      </c>
      <c r="Z225" s="652">
        <f t="shared" ca="1" si="153"/>
        <v>0</v>
      </c>
      <c r="AA225" s="652">
        <f t="shared" ca="1" si="153"/>
        <v>0</v>
      </c>
      <c r="AB225" s="652">
        <f t="shared" ca="1" si="153"/>
        <v>0</v>
      </c>
      <c r="AC225" s="652">
        <f t="shared" ca="1" si="153"/>
        <v>53342.545101528995</v>
      </c>
      <c r="AD225" s="652">
        <f t="shared" ca="1" si="153"/>
        <v>47824.350780681169</v>
      </c>
      <c r="AE225" s="652">
        <f t="shared" ca="1" si="153"/>
        <v>42306.156459833343</v>
      </c>
      <c r="AF225" s="652">
        <f t="shared" ca="1" si="153"/>
        <v>36787.962138985517</v>
      </c>
      <c r="AG225" s="652">
        <f t="shared" ca="1" si="153"/>
        <v>33109.165925086963</v>
      </c>
      <c r="AH225" s="652">
        <f t="shared" ca="1" si="153"/>
        <v>29430.36971118841</v>
      </c>
      <c r="AI225" s="652">
        <f t="shared" ca="1" si="154"/>
        <v>25751.573497289861</v>
      </c>
      <c r="AJ225" s="652">
        <f t="shared" ca="1" si="154"/>
        <v>0</v>
      </c>
      <c r="AK225" s="652">
        <f t="shared" ca="1" si="154"/>
        <v>0</v>
      </c>
      <c r="AL225" s="652">
        <f t="shared" ca="1" si="154"/>
        <v>0</v>
      </c>
      <c r="AM225" s="652">
        <f t="shared" ca="1" si="154"/>
        <v>0</v>
      </c>
      <c r="AN225" s="652">
        <f t="shared" ca="1" si="154"/>
        <v>0</v>
      </c>
      <c r="AO225" s="652">
        <f t="shared" ca="1" si="154"/>
        <v>0</v>
      </c>
      <c r="AP225" s="652">
        <f t="shared" ca="1" si="154"/>
        <v>0</v>
      </c>
      <c r="AQ225" s="652">
        <f t="shared" ca="1" si="154"/>
        <v>2305.5</v>
      </c>
      <c r="AR225" s="652">
        <f t="shared" ca="1" si="154"/>
        <v>2067</v>
      </c>
      <c r="AS225" s="652">
        <f t="shared" ca="1" si="154"/>
        <v>1828.5</v>
      </c>
      <c r="AT225" s="652">
        <f t="shared" ca="1" si="154"/>
        <v>1590</v>
      </c>
      <c r="AU225" s="652">
        <f t="shared" ca="1" si="154"/>
        <v>1431</v>
      </c>
      <c r="AV225" s="652">
        <f t="shared" ca="1" si="154"/>
        <v>1272</v>
      </c>
      <c r="AW225" s="652">
        <f t="shared" ca="1" si="151"/>
        <v>1113</v>
      </c>
      <c r="AX225" s="652">
        <f t="shared" ca="1" si="151"/>
        <v>0</v>
      </c>
      <c r="AY225" s="652">
        <f t="shared" ca="1" si="151"/>
        <v>0</v>
      </c>
      <c r="AZ225" s="652">
        <f t="shared" ca="1" si="151"/>
        <v>0</v>
      </c>
      <c r="BA225" s="652">
        <f t="shared" ca="1" si="151"/>
        <v>0</v>
      </c>
      <c r="BB225" s="652">
        <f t="shared" ca="1" si="151"/>
        <v>0</v>
      </c>
      <c r="BC225" s="652">
        <f t="shared" ca="1" si="151"/>
        <v>0</v>
      </c>
      <c r="BD225" s="652">
        <f t="shared" ca="1" si="151"/>
        <v>0</v>
      </c>
      <c r="BE225" s="652" t="str">
        <f t="shared" ca="1" si="152"/>
        <v>Commercial</v>
      </c>
      <c r="BF225" s="652" t="str">
        <f t="shared" ca="1" si="152"/>
        <v>OFFSMCool</v>
      </c>
      <c r="BG225" s="652" t="str">
        <f t="shared" ca="1" si="152"/>
        <v>ResSFGasTotal</v>
      </c>
      <c r="BH225" s="652" t="str">
        <f t="shared" ca="1" si="152"/>
        <v>LGE NonRes</v>
      </c>
      <c r="BI225" s="652" t="str">
        <f t="shared" ca="1" si="152"/>
        <v>LGE NonRes</v>
      </c>
      <c r="BJ225" s="652">
        <f t="shared" ca="1" si="152"/>
        <v>1</v>
      </c>
      <c r="BK225" s="652">
        <f t="shared" ca="1" si="152"/>
        <v>0</v>
      </c>
      <c r="BL225" s="652">
        <f t="shared" ca="1" si="131"/>
        <v>0</v>
      </c>
      <c r="BM225" s="652">
        <f t="shared" ca="1" si="131"/>
        <v>0</v>
      </c>
      <c r="BN225" s="652">
        <f t="shared" ca="1" si="131"/>
        <v>0</v>
      </c>
      <c r="BO225" s="652">
        <f t="shared" ca="1" si="131"/>
        <v>0</v>
      </c>
      <c r="BP225" s="652">
        <f t="shared" ca="1" si="131"/>
        <v>0</v>
      </c>
      <c r="BQ225" s="652">
        <f t="shared" ca="1" si="131"/>
        <v>0</v>
      </c>
      <c r="BR225" s="652">
        <f t="shared" ca="1" si="144"/>
        <v>7300</v>
      </c>
      <c r="BS225" s="652">
        <f t="shared" ca="1" si="151"/>
        <v>0</v>
      </c>
      <c r="BT225" s="652">
        <f t="shared" ca="1" si="151"/>
        <v>0</v>
      </c>
      <c r="BU225" s="652">
        <f t="shared" ca="1" si="151"/>
        <v>268552.12361459428</v>
      </c>
      <c r="BV225" s="652">
        <f t="shared" ca="1" si="151"/>
        <v>0</v>
      </c>
      <c r="BW225" s="652">
        <f t="shared" ca="1" si="151"/>
        <v>0</v>
      </c>
      <c r="BX225" s="652">
        <f t="shared" ca="1" si="123"/>
        <v>2305.5</v>
      </c>
      <c r="BY225" s="652">
        <f t="shared" ca="1" si="123"/>
        <v>0</v>
      </c>
    </row>
    <row r="226" spans="1:77">
      <c r="A226" s="425" t="str">
        <f t="shared" ca="1" si="138"/>
        <v>Residential Demand ConservationLG&amp;E-Small Commercial - Water Heater Demand Conservation</v>
      </c>
      <c r="B226" s="1297" t="str">
        <f t="shared" si="130"/>
        <v>LG&amp;EResidential Demand Conservation</v>
      </c>
      <c r="C226" s="661" t="s">
        <v>192</v>
      </c>
      <c r="D226" s="662" t="s">
        <v>4</v>
      </c>
      <c r="E226" s="652" t="str">
        <f t="shared" ca="1" si="150"/>
        <v>LG&amp;E-Small Commercial - Water Heater Demand Conservation</v>
      </c>
      <c r="F226" s="652" t="str">
        <f t="shared" ca="1" si="150"/>
        <v>All year round for each water heater unit</v>
      </c>
      <c r="G226" s="652" t="str">
        <f t="shared" ca="1" si="150"/>
        <v>Per Customer</v>
      </c>
      <c r="H226" s="652">
        <f t="shared" ca="1" si="155"/>
        <v>150</v>
      </c>
      <c r="I226" s="652">
        <f t="shared" ca="1" si="155"/>
        <v>135</v>
      </c>
      <c r="J226" s="652">
        <f t="shared" ca="1" si="155"/>
        <v>100</v>
      </c>
      <c r="K226" s="652">
        <f t="shared" ca="1" si="155"/>
        <v>50</v>
      </c>
      <c r="L226" s="652">
        <f t="shared" ca="1" si="155"/>
        <v>0</v>
      </c>
      <c r="M226" s="652">
        <f t="shared" ca="1" si="155"/>
        <v>0</v>
      </c>
      <c r="N226" s="652">
        <f t="shared" ca="1" si="155"/>
        <v>0</v>
      </c>
      <c r="O226" s="652">
        <f t="shared" ca="1" si="155"/>
        <v>0</v>
      </c>
      <c r="P226" s="652">
        <f t="shared" ca="1" si="155"/>
        <v>0</v>
      </c>
      <c r="Q226" s="652">
        <f t="shared" ca="1" si="155"/>
        <v>0</v>
      </c>
      <c r="R226" s="652">
        <f t="shared" ca="1" si="155"/>
        <v>0</v>
      </c>
      <c r="S226" s="652">
        <f t="shared" ca="1" si="155"/>
        <v>0</v>
      </c>
      <c r="T226" s="652">
        <f t="shared" ca="1" si="155"/>
        <v>0</v>
      </c>
      <c r="U226" s="652">
        <f t="shared" ca="1" si="155"/>
        <v>0</v>
      </c>
      <c r="V226" s="652">
        <f t="shared" ca="1" si="153"/>
        <v>0</v>
      </c>
      <c r="W226" s="652">
        <f t="shared" ca="1" si="153"/>
        <v>0</v>
      </c>
      <c r="X226" s="652">
        <f t="shared" ca="1" si="153"/>
        <v>0</v>
      </c>
      <c r="Y226" s="652">
        <f t="shared" ca="1" si="153"/>
        <v>0</v>
      </c>
      <c r="Z226" s="652">
        <f t="shared" ca="1" si="153"/>
        <v>0</v>
      </c>
      <c r="AA226" s="652">
        <f t="shared" ca="1" si="153"/>
        <v>0</v>
      </c>
      <c r="AB226" s="652">
        <f t="shared" ca="1" si="153"/>
        <v>0</v>
      </c>
      <c r="AC226" s="652">
        <f t="shared" ca="1" si="153"/>
        <v>2400</v>
      </c>
      <c r="AD226" s="652">
        <f t="shared" ca="1" si="153"/>
        <v>2160</v>
      </c>
      <c r="AE226" s="652">
        <f t="shared" ca="1" si="153"/>
        <v>1600</v>
      </c>
      <c r="AF226" s="652">
        <f t="shared" ca="1" si="153"/>
        <v>800</v>
      </c>
      <c r="AG226" s="652">
        <f t="shared" ca="1" si="153"/>
        <v>0</v>
      </c>
      <c r="AH226" s="652">
        <f t="shared" ca="1" si="153"/>
        <v>0</v>
      </c>
      <c r="AI226" s="652">
        <f t="shared" ca="1" si="154"/>
        <v>0</v>
      </c>
      <c r="AJ226" s="652">
        <f t="shared" ca="1" si="154"/>
        <v>0</v>
      </c>
      <c r="AK226" s="652">
        <f t="shared" ca="1" si="154"/>
        <v>0</v>
      </c>
      <c r="AL226" s="652">
        <f t="shared" ca="1" si="154"/>
        <v>0</v>
      </c>
      <c r="AM226" s="652">
        <f t="shared" ca="1" si="154"/>
        <v>0</v>
      </c>
      <c r="AN226" s="652">
        <f t="shared" ca="1" si="154"/>
        <v>0</v>
      </c>
      <c r="AO226" s="652">
        <f t="shared" ca="1" si="154"/>
        <v>0</v>
      </c>
      <c r="AP226" s="652">
        <f t="shared" ca="1" si="154"/>
        <v>0</v>
      </c>
      <c r="AQ226" s="652">
        <f t="shared" ca="1" si="154"/>
        <v>60</v>
      </c>
      <c r="AR226" s="652">
        <f t="shared" ca="1" si="154"/>
        <v>54</v>
      </c>
      <c r="AS226" s="652">
        <f t="shared" ca="1" si="154"/>
        <v>40</v>
      </c>
      <c r="AT226" s="652">
        <f t="shared" ca="1" si="154"/>
        <v>20</v>
      </c>
      <c r="AU226" s="652">
        <f t="shared" ca="1" si="154"/>
        <v>0</v>
      </c>
      <c r="AV226" s="652">
        <f t="shared" ca="1" si="154"/>
        <v>0</v>
      </c>
      <c r="AW226" s="652">
        <f t="shared" ca="1" si="151"/>
        <v>0</v>
      </c>
      <c r="AX226" s="652">
        <f t="shared" ca="1" si="151"/>
        <v>0</v>
      </c>
      <c r="AY226" s="652">
        <f t="shared" ca="1" si="151"/>
        <v>0</v>
      </c>
      <c r="AZ226" s="652">
        <f t="shared" ca="1" si="151"/>
        <v>0</v>
      </c>
      <c r="BA226" s="652">
        <f t="shared" ca="1" si="151"/>
        <v>0</v>
      </c>
      <c r="BB226" s="652">
        <f t="shared" ca="1" si="151"/>
        <v>0</v>
      </c>
      <c r="BC226" s="652">
        <f t="shared" ca="1" si="151"/>
        <v>0</v>
      </c>
      <c r="BD226" s="652">
        <f t="shared" ca="1" si="151"/>
        <v>0</v>
      </c>
      <c r="BE226" s="652" t="str">
        <f t="shared" ca="1" si="152"/>
        <v>Commercial</v>
      </c>
      <c r="BF226" s="652" t="str">
        <f t="shared" ca="1" si="152"/>
        <v>OFFSMElecDHW</v>
      </c>
      <c r="BG226" s="652" t="str">
        <f t="shared" ca="1" si="152"/>
        <v>ResSFGasTotal</v>
      </c>
      <c r="BH226" s="652" t="str">
        <f t="shared" ca="1" si="152"/>
        <v>LGE NonRes</v>
      </c>
      <c r="BI226" s="652" t="str">
        <f t="shared" ca="1" si="152"/>
        <v>LGE NonRes</v>
      </c>
      <c r="BJ226" s="652">
        <f t="shared" ca="1" si="152"/>
        <v>1</v>
      </c>
      <c r="BK226" s="652">
        <f t="shared" ca="1" si="152"/>
        <v>0</v>
      </c>
      <c r="BL226" s="652">
        <f t="shared" ca="1" si="131"/>
        <v>0</v>
      </c>
      <c r="BM226" s="652">
        <f t="shared" ca="1" si="131"/>
        <v>0</v>
      </c>
      <c r="BN226" s="652">
        <f t="shared" ca="1" si="131"/>
        <v>0</v>
      </c>
      <c r="BO226" s="652">
        <f t="shared" ca="1" si="131"/>
        <v>0</v>
      </c>
      <c r="BP226" s="652">
        <f t="shared" ca="1" si="131"/>
        <v>0</v>
      </c>
      <c r="BQ226" s="652">
        <f t="shared" ca="1" si="131"/>
        <v>0</v>
      </c>
      <c r="BR226" s="652">
        <f t="shared" ca="1" si="144"/>
        <v>435</v>
      </c>
      <c r="BS226" s="652">
        <f t="shared" ca="1" si="151"/>
        <v>0</v>
      </c>
      <c r="BT226" s="652">
        <f t="shared" ca="1" si="151"/>
        <v>0</v>
      </c>
      <c r="BU226" s="652">
        <f t="shared" ca="1" si="151"/>
        <v>6960</v>
      </c>
      <c r="BV226" s="652">
        <f t="shared" ca="1" si="151"/>
        <v>0</v>
      </c>
      <c r="BW226" s="652">
        <f t="shared" ca="1" si="151"/>
        <v>0</v>
      </c>
      <c r="BX226" s="652">
        <f t="shared" ca="1" si="123"/>
        <v>60</v>
      </c>
      <c r="BY226" s="652">
        <f t="shared" ca="1" si="123"/>
        <v>0</v>
      </c>
    </row>
    <row r="227" spans="1:77">
      <c r="A227" s="425" t="str">
        <f t="shared" ca="1" si="138"/>
        <v>Large Nonres Demand Con.KU-Large Nonresidential - Smart Demand Conservation</v>
      </c>
      <c r="B227" s="1297" t="str">
        <f t="shared" si="130"/>
        <v>KULarge Nonres Demand Con.</v>
      </c>
      <c r="C227" s="661" t="s">
        <v>171</v>
      </c>
      <c r="D227" s="662" t="s">
        <v>65</v>
      </c>
      <c r="E227" s="652" t="str">
        <f t="shared" ca="1" si="150"/>
        <v>KU-Large Nonresidential - Smart Demand Conservation</v>
      </c>
      <c r="F227" s="652" t="str">
        <f t="shared" ca="1" si="150"/>
        <v>all year round for nonresidential customers</v>
      </c>
      <c r="G227" s="652" t="str">
        <f t="shared" ca="1" si="150"/>
        <v>Per Customer</v>
      </c>
      <c r="H227" s="652">
        <f t="shared" ca="1" si="155"/>
        <v>104.31976786202175</v>
      </c>
      <c r="I227" s="652">
        <f t="shared" ca="1" si="155"/>
        <v>125.18135218945254</v>
      </c>
      <c r="J227" s="652">
        <f t="shared" ca="1" si="155"/>
        <v>147.52391525837223</v>
      </c>
      <c r="K227" s="652">
        <f t="shared" ca="1" si="155"/>
        <v>171.32575341819569</v>
      </c>
      <c r="L227" s="652">
        <f t="shared" ca="1" si="155"/>
        <v>196.57323944274327</v>
      </c>
      <c r="M227" s="652">
        <f t="shared" ca="1" si="155"/>
        <v>222.72096402016922</v>
      </c>
      <c r="N227" s="652">
        <f t="shared" ca="1" si="155"/>
        <v>222.72096402016922</v>
      </c>
      <c r="O227" s="652">
        <f t="shared" ca="1" si="155"/>
        <v>798387.38617599185</v>
      </c>
      <c r="P227" s="652">
        <f t="shared" ca="1" si="155"/>
        <v>958046.7309388849</v>
      </c>
      <c r="Q227" s="652">
        <f t="shared" ca="1" si="155"/>
        <v>1129040.4063912733</v>
      </c>
      <c r="R227" s="652">
        <f t="shared" ca="1" si="155"/>
        <v>1311202.3086276723</v>
      </c>
      <c r="S227" s="652">
        <f t="shared" ca="1" si="155"/>
        <v>1504428.1448020241</v>
      </c>
      <c r="T227" s="652">
        <f t="shared" ca="1" si="155"/>
        <v>1704543.75</v>
      </c>
      <c r="U227" s="652">
        <f t="shared" ca="1" si="155"/>
        <v>1704543.75</v>
      </c>
      <c r="V227" s="652">
        <f t="shared" ca="1" si="153"/>
        <v>0</v>
      </c>
      <c r="W227" s="652">
        <f t="shared" ca="1" si="153"/>
        <v>0</v>
      </c>
      <c r="X227" s="652">
        <f t="shared" ca="1" si="153"/>
        <v>0</v>
      </c>
      <c r="Y227" s="652">
        <f t="shared" ca="1" si="153"/>
        <v>0</v>
      </c>
      <c r="Z227" s="652">
        <f t="shared" ca="1" si="153"/>
        <v>0</v>
      </c>
      <c r="AA227" s="652">
        <f t="shared" ca="1" si="153"/>
        <v>0</v>
      </c>
      <c r="AB227" s="652">
        <f t="shared" ca="1" si="153"/>
        <v>0</v>
      </c>
      <c r="AC227" s="652">
        <f t="shared" ca="1" si="153"/>
        <v>1064516.5149013225</v>
      </c>
      <c r="AD227" s="652">
        <f t="shared" ca="1" si="153"/>
        <v>1277395.6412518467</v>
      </c>
      <c r="AE227" s="652">
        <f t="shared" ca="1" si="153"/>
        <v>1505387.2085216977</v>
      </c>
      <c r="AF227" s="652">
        <f t="shared" ca="1" si="153"/>
        <v>1748269.7448368962</v>
      </c>
      <c r="AG227" s="652">
        <f t="shared" ca="1" si="153"/>
        <v>2005904.1930693653</v>
      </c>
      <c r="AH227" s="652">
        <f t="shared" ca="1" si="153"/>
        <v>2272725</v>
      </c>
      <c r="AI227" s="652">
        <f t="shared" ca="1" si="154"/>
        <v>2272725</v>
      </c>
      <c r="AJ227" s="652">
        <f t="shared" ca="1" si="154"/>
        <v>141076.87334542122</v>
      </c>
      <c r="AK227" s="652">
        <f t="shared" ca="1" si="154"/>
        <v>169289.04396526428</v>
      </c>
      <c r="AL227" s="652">
        <f t="shared" ca="1" si="154"/>
        <v>199504.01668697389</v>
      </c>
      <c r="AM227" s="652">
        <f t="shared" ca="1" si="154"/>
        <v>231692.44057134193</v>
      </c>
      <c r="AN227" s="652">
        <f t="shared" ca="1" si="154"/>
        <v>265835.88683443604</v>
      </c>
      <c r="AO227" s="652">
        <f t="shared" ca="1" si="154"/>
        <v>301196.77100894367</v>
      </c>
      <c r="AP227" s="652">
        <f t="shared" ca="1" si="154"/>
        <v>301196.77100894367</v>
      </c>
      <c r="AQ227" s="652">
        <f t="shared" ca="1" si="154"/>
        <v>14193.553532017631</v>
      </c>
      <c r="AR227" s="652">
        <f t="shared" ca="1" si="154"/>
        <v>17031.941883357955</v>
      </c>
      <c r="AS227" s="652">
        <f t="shared" ca="1" si="154"/>
        <v>20071.82944695597</v>
      </c>
      <c r="AT227" s="652">
        <f t="shared" ca="1" si="154"/>
        <v>23310.263264491947</v>
      </c>
      <c r="AU227" s="652">
        <f t="shared" ca="1" si="154"/>
        <v>26745.389240924869</v>
      </c>
      <c r="AV227" s="652">
        <f t="shared" ca="1" si="154"/>
        <v>30302.999999999996</v>
      </c>
      <c r="AW227" s="652">
        <f t="shared" ca="1" si="151"/>
        <v>30302.999999999996</v>
      </c>
      <c r="AX227" s="652">
        <f t="shared" ca="1" si="151"/>
        <v>0</v>
      </c>
      <c r="AY227" s="652">
        <f t="shared" ca="1" si="151"/>
        <v>0</v>
      </c>
      <c r="AZ227" s="652">
        <f t="shared" ca="1" si="151"/>
        <v>0</v>
      </c>
      <c r="BA227" s="652">
        <f t="shared" ca="1" si="151"/>
        <v>0</v>
      </c>
      <c r="BB227" s="652">
        <f t="shared" ca="1" si="151"/>
        <v>0</v>
      </c>
      <c r="BC227" s="652">
        <f t="shared" ca="1" si="151"/>
        <v>0</v>
      </c>
      <c r="BD227" s="652">
        <f t="shared" ca="1" si="151"/>
        <v>0</v>
      </c>
      <c r="BE227" s="652" t="str">
        <f t="shared" ca="1" si="152"/>
        <v>Commercial</v>
      </c>
      <c r="BF227" s="652" t="str">
        <f t="shared" ca="1" si="152"/>
        <v>OFFLGCool</v>
      </c>
      <c r="BG227" s="652" t="str">
        <f t="shared" ca="1" si="152"/>
        <v>ResSFGasTotal</v>
      </c>
      <c r="BH227" s="652" t="str">
        <f t="shared" ca="1" si="152"/>
        <v>KU Large Com</v>
      </c>
      <c r="BI227" s="652" t="str">
        <f t="shared" ca="1" si="152"/>
        <v>KU Large Com</v>
      </c>
      <c r="BJ227" s="652">
        <f t="shared" ca="1" si="152"/>
        <v>1</v>
      </c>
      <c r="BK227" s="652">
        <f t="shared" ca="1" si="152"/>
        <v>0</v>
      </c>
      <c r="BL227" s="652">
        <f t="shared" ca="1" si="131"/>
        <v>0</v>
      </c>
      <c r="BM227" s="652">
        <f t="shared" ca="1" si="131"/>
        <v>0</v>
      </c>
      <c r="BN227" s="652">
        <f t="shared" ca="1" si="131"/>
        <v>0</v>
      </c>
      <c r="BO227" s="652">
        <f t="shared" ca="1" si="131"/>
        <v>0</v>
      </c>
      <c r="BP227" s="652">
        <f t="shared" ca="1" si="131"/>
        <v>0</v>
      </c>
      <c r="BQ227" s="652">
        <f t="shared" ca="1" si="131"/>
        <v>0</v>
      </c>
      <c r="BR227" s="652">
        <f t="shared" ca="1" si="144"/>
        <v>1190.3659562111241</v>
      </c>
      <c r="BS227" s="652">
        <f t="shared" ca="1" si="151"/>
        <v>9110192.4769358467</v>
      </c>
      <c r="BT227" s="652">
        <f t="shared" ca="1" si="151"/>
        <v>0</v>
      </c>
      <c r="BU227" s="652">
        <f t="shared" ca="1" si="151"/>
        <v>12146923.302581128</v>
      </c>
      <c r="BV227" s="652">
        <f t="shared" ca="1" si="151"/>
        <v>0</v>
      </c>
      <c r="BW227" s="652">
        <f t="shared" ca="1" si="151"/>
        <v>301196.77100894367</v>
      </c>
      <c r="BX227" s="652">
        <f t="shared" ca="1" si="123"/>
        <v>30302.999999999996</v>
      </c>
      <c r="BY227" s="652">
        <f t="shared" ca="1" si="123"/>
        <v>0</v>
      </c>
    </row>
    <row r="228" spans="1:77">
      <c r="A228" s="425" t="str">
        <f t="shared" ca="1" si="138"/>
        <v>Large Nonres Demand Con.KU-Large Industrial - Smart Demand Conservation</v>
      </c>
      <c r="B228" s="1298" t="str">
        <f>IF(ISNUMBER(SEARCH("KU",C228)),"KU"&amp;D228,"LG&amp;E"&amp;D228)</f>
        <v>KULarge Nonres Demand Con.</v>
      </c>
      <c r="C228" s="661" t="s">
        <v>173</v>
      </c>
      <c r="D228" s="662" t="s">
        <v>65</v>
      </c>
      <c r="E228" s="652" t="str">
        <f ca="1">VLOOKUP($C228,INDIRECT("'"&amp;$D228&amp;"'!A6:FC1000"),IF(E$6="Participation 2023",MATCH("__Participation 2023",INDIRECT("'"&amp;$D228&amp;"'!1:1"),0),IF(E$6="Participation",MATCH("_Total Plan Summary _Participation",INDIRECT("'"&amp;$D228&amp;"'!1:1"),0),MATCH(E$4&amp;"_"&amp;E$5&amp;"_"&amp;E$6,INDIRECT("'"&amp;$D228&amp;"'!1:1"),0))),0)</f>
        <v>KU-Large Industrial - Smart Demand Conservation</v>
      </c>
      <c r="F228" s="652" t="str">
        <f ca="1">VLOOKUP($C228,INDIRECT("'"&amp;$D228&amp;"'!A6:FC1000"),IF(F$6="Participation 2023",MATCH("__Participation 2023",INDIRECT("'"&amp;$D228&amp;"'!1:1"),0),IF(F$6="Participation",MATCH("_Total Plan Summary _Participation",INDIRECT("'"&amp;$D228&amp;"'!1:1"),0),MATCH(F$4&amp;"_"&amp;F$5&amp;"_"&amp;F$6,INDIRECT("'"&amp;$D228&amp;"'!1:1"),0))),0)</f>
        <v>all year round for large industiral customers</v>
      </c>
      <c r="G228" s="652" t="str">
        <f ca="1">VLOOKUP($C228,INDIRECT("'"&amp;$D228&amp;"'!A6:FC1000"),IF(G$6="Participation 2023",MATCH("__Participation 2023",INDIRECT("'"&amp;$D228&amp;"'!1:1"),0),IF(G$6="Participation",MATCH("_Total Plan Summary _Participation",INDIRECT("'"&amp;$D228&amp;"'!1:1"),0),MATCH(G$4&amp;"_"&amp;G$5&amp;"_"&amp;G$6,INDIRECT("'"&amp;$D228&amp;"'!1:1"),0))),0)</f>
        <v>Per Customer</v>
      </c>
      <c r="H228" s="652">
        <f t="shared" ref="H228:AM228" ca="1" si="156">VLOOKUP($C228,INDIRECT("'"&amp;$D228&amp;"'!A6:FR1000"),IF(H$6="Participation 2023",MATCH("__Participation 2023",INDIRECT("'"&amp;$D228&amp;"'!1:1"),0),IF(H$6="Participation",MATCH("_Total Plan Summary _Participation",INDIRECT("'"&amp;$D228&amp;"'!1:1"),0),MATCH(H$4&amp;"_"&amp;H$5&amp;"_"&amp;H$6,INDIRECT("'"&amp;$D228&amp;"'!1:1"),0))),0)</f>
        <v>2.1128116407974908</v>
      </c>
      <c r="I228" s="652">
        <f t="shared" ca="1" si="156"/>
        <v>8.39048988176385</v>
      </c>
      <c r="J228" s="652">
        <f t="shared" ca="1" si="156"/>
        <v>16.776989242676009</v>
      </c>
      <c r="K228" s="652">
        <f t="shared" ca="1" si="156"/>
        <v>33.477359938758788</v>
      </c>
      <c r="L228" s="652">
        <f t="shared" ca="1" si="156"/>
        <v>50.119071592677727</v>
      </c>
      <c r="M228" s="652">
        <f t="shared" ca="1" si="156"/>
        <v>66.448663205744467</v>
      </c>
      <c r="N228" s="652">
        <f t="shared" ca="1" si="156"/>
        <v>66.448663205744467</v>
      </c>
      <c r="O228" s="652">
        <f t="shared" ca="1" si="156"/>
        <v>16169.918683193529</v>
      </c>
      <c r="P228" s="652">
        <f t="shared" ca="1" si="156"/>
        <v>64214.687424321892</v>
      </c>
      <c r="Q228" s="652">
        <f t="shared" ca="1" si="156"/>
        <v>128398.83431373312</v>
      </c>
      <c r="R228" s="652">
        <f t="shared" ca="1" si="156"/>
        <v>256211.28617665329</v>
      </c>
      <c r="S228" s="652">
        <f t="shared" ca="1" si="156"/>
        <v>383574.80453148973</v>
      </c>
      <c r="T228" s="652">
        <f t="shared" ca="1" si="156"/>
        <v>508549.58383239416</v>
      </c>
      <c r="U228" s="652">
        <f t="shared" ca="1" si="156"/>
        <v>508549.58383239416</v>
      </c>
      <c r="V228" s="652">
        <f t="shared" ca="1" si="156"/>
        <v>0</v>
      </c>
      <c r="W228" s="652">
        <f t="shared" ca="1" si="156"/>
        <v>0</v>
      </c>
      <c r="X228" s="652">
        <f t="shared" ca="1" si="156"/>
        <v>0</v>
      </c>
      <c r="Y228" s="652">
        <f t="shared" ca="1" si="156"/>
        <v>0</v>
      </c>
      <c r="Z228" s="652">
        <f t="shared" ca="1" si="156"/>
        <v>0</v>
      </c>
      <c r="AA228" s="652">
        <f t="shared" ca="1" si="156"/>
        <v>0</v>
      </c>
      <c r="AB228" s="652">
        <f t="shared" ca="1" si="156"/>
        <v>0</v>
      </c>
      <c r="AC228" s="652">
        <f t="shared" ca="1" si="156"/>
        <v>21559.89157759137</v>
      </c>
      <c r="AD228" s="652">
        <f t="shared" ca="1" si="156"/>
        <v>85619.583232429184</v>
      </c>
      <c r="AE228" s="652">
        <f t="shared" ca="1" si="156"/>
        <v>171198.44575164418</v>
      </c>
      <c r="AF228" s="652">
        <f t="shared" ca="1" si="156"/>
        <v>341615.04823553772</v>
      </c>
      <c r="AG228" s="652">
        <f t="shared" ca="1" si="156"/>
        <v>511433.07270865294</v>
      </c>
      <c r="AH228" s="652">
        <f t="shared" ca="1" si="156"/>
        <v>678066.1117765255</v>
      </c>
      <c r="AI228" s="652">
        <f t="shared" ca="1" si="156"/>
        <v>678066.1117765255</v>
      </c>
      <c r="AJ228" s="652">
        <f t="shared" ca="1" si="156"/>
        <v>2857.2615369098517</v>
      </c>
      <c r="AK228" s="652">
        <f t="shared" ca="1" si="156"/>
        <v>11346.881828967063</v>
      </c>
      <c r="AL228" s="652">
        <f t="shared" ca="1" si="156"/>
        <v>22688.367075710892</v>
      </c>
      <c r="AM228" s="652">
        <f t="shared" ca="1" si="156"/>
        <v>45273.119034026779</v>
      </c>
      <c r="AN228" s="652">
        <f t="shared" ref="AN228:BD228" ca="1" si="157">VLOOKUP($C228,INDIRECT("'"&amp;$D228&amp;"'!A6:FR1000"),IF(AN$6="Participation 2023",MATCH("__Participation 2023",INDIRECT("'"&amp;$D228&amp;"'!1:1"),0),IF(AN$6="Participation",MATCH("_Total Plan Summary _Participation",INDIRECT("'"&amp;$D228&amp;"'!1:1"),0),MATCH(AN$4&amp;"_"&amp;AN$5&amp;"_"&amp;AN$6,INDIRECT("'"&amp;$D228&amp;"'!1:1"),0))),0)</f>
        <v>67778.543416835993</v>
      </c>
      <c r="AO228" s="652">
        <f t="shared" ca="1" si="157"/>
        <v>89861.872156850906</v>
      </c>
      <c r="AP228" s="652">
        <f t="shared" ca="1" si="157"/>
        <v>89861.872156850906</v>
      </c>
      <c r="AQ228" s="652">
        <f t="shared" ca="1" si="157"/>
        <v>287.46522103455163</v>
      </c>
      <c r="AR228" s="652">
        <f t="shared" ca="1" si="157"/>
        <v>1141.5944430990558</v>
      </c>
      <c r="AS228" s="652">
        <f t="shared" ca="1" si="157"/>
        <v>2282.6459433552554</v>
      </c>
      <c r="AT228" s="652">
        <f t="shared" ca="1" si="157"/>
        <v>4554.8673098071695</v>
      </c>
      <c r="AU228" s="652">
        <f t="shared" ca="1" si="157"/>
        <v>6819.1076361153728</v>
      </c>
      <c r="AV228" s="652">
        <f t="shared" ca="1" si="157"/>
        <v>9040.8814903536731</v>
      </c>
      <c r="AW228" s="652">
        <f t="shared" ca="1" si="157"/>
        <v>9040.8814903536731</v>
      </c>
      <c r="AX228" s="652">
        <f t="shared" ca="1" si="157"/>
        <v>0</v>
      </c>
      <c r="AY228" s="652">
        <f t="shared" ca="1" si="157"/>
        <v>0</v>
      </c>
      <c r="AZ228" s="652">
        <f t="shared" ca="1" si="157"/>
        <v>0</v>
      </c>
      <c r="BA228" s="652">
        <f t="shared" ca="1" si="157"/>
        <v>0</v>
      </c>
      <c r="BB228" s="652">
        <f t="shared" ca="1" si="157"/>
        <v>0</v>
      </c>
      <c r="BC228" s="652">
        <f t="shared" ca="1" si="157"/>
        <v>0</v>
      </c>
      <c r="BD228" s="652">
        <f t="shared" ca="1" si="157"/>
        <v>0</v>
      </c>
      <c r="BE228" s="652" t="str">
        <f t="shared" ca="1" si="152"/>
        <v>Commercial</v>
      </c>
      <c r="BF228" s="652" t="str">
        <f t="shared" ca="1" si="152"/>
        <v>OFFLGElecTotl</v>
      </c>
      <c r="BG228" s="652" t="str">
        <f t="shared" ca="1" si="152"/>
        <v>ResSFGasTotal</v>
      </c>
      <c r="BH228" s="652" t="str">
        <f t="shared" ca="1" si="152"/>
        <v>KU Large Com</v>
      </c>
      <c r="BI228" s="652" t="str">
        <f t="shared" ca="1" si="152"/>
        <v>KU Large Com</v>
      </c>
      <c r="BJ228" s="652">
        <f t="shared" ca="1" si="152"/>
        <v>1</v>
      </c>
      <c r="BK228" s="652">
        <f t="shared" ca="1" si="152"/>
        <v>0</v>
      </c>
      <c r="BL228" s="652">
        <f t="shared" ca="1" si="131"/>
        <v>0</v>
      </c>
      <c r="BM228" s="652">
        <f t="shared" ca="1" si="131"/>
        <v>0</v>
      </c>
      <c r="BN228" s="652">
        <f t="shared" ca="1" si="131"/>
        <v>0</v>
      </c>
      <c r="BO228" s="652">
        <f t="shared" ca="1" si="131"/>
        <v>0</v>
      </c>
      <c r="BP228" s="652">
        <f t="shared" ca="1" si="131"/>
        <v>0</v>
      </c>
      <c r="BQ228" s="652">
        <f t="shared" ca="1" si="131"/>
        <v>0</v>
      </c>
      <c r="BR228" s="652">
        <f t="shared" ca="1" si="144"/>
        <v>243.77404870816281</v>
      </c>
      <c r="BS228" s="652">
        <f t="shared" ref="BS228:BY228" ca="1" si="158">VLOOKUP($C228,INDIRECT("'"&amp;$D228&amp;"'!A6:FR1000"),IF(BS$6="Participation 2023",MATCH("__Participation 2023",INDIRECT("'"&amp;$D228&amp;"'!1:1"),0),IF(BS$6="Participation",MATCH("_Total Plan Summary _Participation",INDIRECT("'"&amp;$D228&amp;"'!1:1"),0),MATCH(BS$4&amp;"_"&amp;BS$5&amp;"_"&amp;BS$6,INDIRECT("'"&amp;$D228&amp;"'!1:1"),0))),0)</f>
        <v>1865668.6987941798</v>
      </c>
      <c r="BT228" s="652">
        <f t="shared" ca="1" si="158"/>
        <v>0</v>
      </c>
      <c r="BU228" s="652">
        <f t="shared" ca="1" si="158"/>
        <v>2487558.2650589067</v>
      </c>
      <c r="BV228" s="652">
        <f t="shared" ca="1" si="158"/>
        <v>0</v>
      </c>
      <c r="BW228" s="652">
        <f t="shared" ca="1" si="158"/>
        <v>89861.872156850906</v>
      </c>
      <c r="BX228" s="652">
        <f t="shared" ca="1" si="158"/>
        <v>9040.8814903536731</v>
      </c>
      <c r="BY228" s="652">
        <f t="shared" ca="1" si="158"/>
        <v>0</v>
      </c>
    </row>
    <row r="229" spans="1:77">
      <c r="A229" s="425" t="str">
        <f t="shared" ca="1" si="138"/>
        <v>Large Nonres Demand Con.LG&amp;E-Large Nonresidential - Smart Demand Conservation</v>
      </c>
      <c r="B229" s="1297" t="str">
        <f t="shared" si="130"/>
        <v>LG&amp;ELarge Nonres Demand Con.</v>
      </c>
      <c r="C229" s="661" t="s">
        <v>172</v>
      </c>
      <c r="D229" s="662" t="s">
        <v>65</v>
      </c>
      <c r="E229" s="652" t="str">
        <f t="shared" ca="1" si="150"/>
        <v>LG&amp;E-Large Nonresidential - Smart Demand Conservation</v>
      </c>
      <c r="F229" s="652" t="str">
        <f t="shared" ca="1" si="150"/>
        <v>all year round for nonresidential customers</v>
      </c>
      <c r="G229" s="652" t="str">
        <f t="shared" ca="1" si="150"/>
        <v>Per Customer</v>
      </c>
      <c r="H229" s="652">
        <f t="shared" ca="1" si="155"/>
        <v>104.31976786202175</v>
      </c>
      <c r="I229" s="652">
        <f t="shared" ca="1" si="155"/>
        <v>125.18135218945254</v>
      </c>
      <c r="J229" s="652">
        <f t="shared" ca="1" si="155"/>
        <v>147.52391525837223</v>
      </c>
      <c r="K229" s="652">
        <f t="shared" ca="1" si="155"/>
        <v>171.32575341819569</v>
      </c>
      <c r="L229" s="652">
        <f t="shared" ca="1" si="155"/>
        <v>196.57323944274327</v>
      </c>
      <c r="M229" s="652">
        <f t="shared" ca="1" si="155"/>
        <v>222.72096402016922</v>
      </c>
      <c r="N229" s="652">
        <f t="shared" ca="1" si="155"/>
        <v>222.72096402016922</v>
      </c>
      <c r="O229" s="652">
        <f t="shared" ca="1" si="155"/>
        <v>798387.38617599185</v>
      </c>
      <c r="P229" s="652">
        <f t="shared" ca="1" si="155"/>
        <v>958046.7309388849</v>
      </c>
      <c r="Q229" s="652">
        <f t="shared" ca="1" si="155"/>
        <v>1129040.4063912733</v>
      </c>
      <c r="R229" s="652">
        <f t="shared" ca="1" si="155"/>
        <v>1311202.3086276723</v>
      </c>
      <c r="S229" s="652">
        <f t="shared" ca="1" si="155"/>
        <v>1504428.1448020241</v>
      </c>
      <c r="T229" s="652">
        <f t="shared" ca="1" si="155"/>
        <v>1704543.75</v>
      </c>
      <c r="U229" s="652">
        <f t="shared" ca="1" si="155"/>
        <v>1704543.75</v>
      </c>
      <c r="V229" s="652">
        <f t="shared" ca="1" si="153"/>
        <v>0</v>
      </c>
      <c r="W229" s="652">
        <f t="shared" ca="1" si="153"/>
        <v>0</v>
      </c>
      <c r="X229" s="652">
        <f t="shared" ca="1" si="153"/>
        <v>0</v>
      </c>
      <c r="Y229" s="652">
        <f t="shared" ca="1" si="153"/>
        <v>0</v>
      </c>
      <c r="Z229" s="652">
        <f t="shared" ca="1" si="153"/>
        <v>0</v>
      </c>
      <c r="AA229" s="652">
        <f t="shared" ca="1" si="153"/>
        <v>0</v>
      </c>
      <c r="AB229" s="652">
        <f t="shared" ca="1" si="153"/>
        <v>0</v>
      </c>
      <c r="AC229" s="652">
        <f t="shared" ca="1" si="153"/>
        <v>1064516.5149013225</v>
      </c>
      <c r="AD229" s="652">
        <f t="shared" ca="1" si="153"/>
        <v>1277395.6412518467</v>
      </c>
      <c r="AE229" s="652">
        <f t="shared" ca="1" si="153"/>
        <v>1505387.2085216977</v>
      </c>
      <c r="AF229" s="652">
        <f t="shared" ca="1" si="153"/>
        <v>1748269.7448368962</v>
      </c>
      <c r="AG229" s="652">
        <f t="shared" ca="1" si="153"/>
        <v>2005904.1930693653</v>
      </c>
      <c r="AH229" s="652">
        <f t="shared" ca="1" si="153"/>
        <v>2272725</v>
      </c>
      <c r="AI229" s="652">
        <f t="shared" ca="1" si="154"/>
        <v>2272725</v>
      </c>
      <c r="AJ229" s="652">
        <f t="shared" ca="1" si="154"/>
        <v>141076.87334542122</v>
      </c>
      <c r="AK229" s="652">
        <f t="shared" ca="1" si="154"/>
        <v>169289.04396526428</v>
      </c>
      <c r="AL229" s="652">
        <f t="shared" ca="1" si="154"/>
        <v>199504.01668697389</v>
      </c>
      <c r="AM229" s="652">
        <f t="shared" ca="1" si="154"/>
        <v>231692.44057134193</v>
      </c>
      <c r="AN229" s="652">
        <f t="shared" ca="1" si="154"/>
        <v>265835.88683443604</v>
      </c>
      <c r="AO229" s="652">
        <f t="shared" ca="1" si="154"/>
        <v>301196.77100894367</v>
      </c>
      <c r="AP229" s="652">
        <f t="shared" ca="1" si="154"/>
        <v>301196.77100894367</v>
      </c>
      <c r="AQ229" s="652">
        <f t="shared" ca="1" si="154"/>
        <v>14193.553532017631</v>
      </c>
      <c r="AR229" s="652">
        <f t="shared" ca="1" si="154"/>
        <v>17031.941883357955</v>
      </c>
      <c r="AS229" s="652">
        <f t="shared" ca="1" si="154"/>
        <v>20071.82944695597</v>
      </c>
      <c r="AT229" s="652">
        <f t="shared" ca="1" si="154"/>
        <v>23310.263264491947</v>
      </c>
      <c r="AU229" s="652">
        <f t="shared" ca="1" si="154"/>
        <v>26745.389240924869</v>
      </c>
      <c r="AV229" s="652">
        <f t="shared" ca="1" si="154"/>
        <v>30302.999999999996</v>
      </c>
      <c r="AW229" s="652">
        <f t="shared" ca="1" si="151"/>
        <v>30302.999999999996</v>
      </c>
      <c r="AX229" s="652">
        <f t="shared" ca="1" si="151"/>
        <v>0</v>
      </c>
      <c r="AY229" s="652">
        <f t="shared" ca="1" si="151"/>
        <v>0</v>
      </c>
      <c r="AZ229" s="652">
        <f t="shared" ca="1" si="151"/>
        <v>0</v>
      </c>
      <c r="BA229" s="652">
        <f t="shared" ca="1" si="151"/>
        <v>0</v>
      </c>
      <c r="BB229" s="652">
        <f t="shared" ca="1" si="151"/>
        <v>0</v>
      </c>
      <c r="BC229" s="652">
        <f t="shared" ca="1" si="151"/>
        <v>0</v>
      </c>
      <c r="BD229" s="652">
        <f t="shared" ca="1" si="151"/>
        <v>0</v>
      </c>
      <c r="BE229" s="652" t="str">
        <f t="shared" ca="1" si="152"/>
        <v>Commercial</v>
      </c>
      <c r="BF229" s="652" t="str">
        <f t="shared" ca="1" si="152"/>
        <v>OFFLGCool</v>
      </c>
      <c r="BG229" s="652" t="str">
        <f t="shared" ca="1" si="152"/>
        <v>ResSFGasTotal</v>
      </c>
      <c r="BH229" s="652" t="str">
        <f t="shared" ca="1" si="152"/>
        <v>LGE Large Com</v>
      </c>
      <c r="BI229" s="652" t="str">
        <f t="shared" ca="1" si="152"/>
        <v>LGE Large Com</v>
      </c>
      <c r="BJ229" s="652">
        <f t="shared" ca="1" si="152"/>
        <v>1</v>
      </c>
      <c r="BK229" s="652">
        <f t="shared" ca="1" si="152"/>
        <v>0</v>
      </c>
      <c r="BL229" s="652">
        <f t="shared" ca="1" si="131"/>
        <v>0</v>
      </c>
      <c r="BM229" s="652">
        <f t="shared" ca="1" si="131"/>
        <v>0</v>
      </c>
      <c r="BN229" s="652">
        <f t="shared" ca="1" si="131"/>
        <v>0</v>
      </c>
      <c r="BO229" s="652">
        <f t="shared" ca="1" si="131"/>
        <v>0</v>
      </c>
      <c r="BP229" s="652">
        <f t="shared" ca="1" si="131"/>
        <v>0</v>
      </c>
      <c r="BQ229" s="652">
        <f t="shared" ca="1" si="131"/>
        <v>0</v>
      </c>
      <c r="BR229" s="652">
        <f t="shared" ca="1" si="144"/>
        <v>1190.3659562111241</v>
      </c>
      <c r="BS229" s="652">
        <f t="shared" ca="1" si="151"/>
        <v>9110192.4769358467</v>
      </c>
      <c r="BT229" s="652">
        <f t="shared" ca="1" si="151"/>
        <v>0</v>
      </c>
      <c r="BU229" s="652">
        <f t="shared" ca="1" si="151"/>
        <v>12146923.302581128</v>
      </c>
      <c r="BV229" s="652">
        <f t="shared" ca="1" si="151"/>
        <v>0</v>
      </c>
      <c r="BW229" s="652">
        <f t="shared" ca="1" si="151"/>
        <v>301196.77100894367</v>
      </c>
      <c r="BX229" s="652">
        <f t="shared" ca="1" si="123"/>
        <v>30302.999999999996</v>
      </c>
      <c r="BY229" s="652">
        <f t="shared" ca="1" si="123"/>
        <v>0</v>
      </c>
    </row>
    <row r="230" spans="1:77">
      <c r="A230" s="425" t="str">
        <f t="shared" ca="1" si="138"/>
        <v>Large Nonres Demand Con.LG&amp;E-Large Industrial- Smart Demand Conservation</v>
      </c>
      <c r="B230" s="1298" t="str">
        <f>IF(ISNUMBER(SEARCH("KU",C230)),"KU"&amp;D230,"LG&amp;E"&amp;D230)</f>
        <v>LG&amp;ELarge Nonres Demand Con.</v>
      </c>
      <c r="C230" s="661" t="s">
        <v>174</v>
      </c>
      <c r="D230" s="662" t="s">
        <v>65</v>
      </c>
      <c r="E230" s="652" t="str">
        <f ca="1">VLOOKUP($C230,INDIRECT("'"&amp;$D230&amp;"'!A6:FC1000"),IF(E$6="Participation 2023",MATCH("__Participation 2023",INDIRECT("'"&amp;$D230&amp;"'!1:1"),0),IF(E$6="Participation",MATCH("_Total Plan Summary _Participation",INDIRECT("'"&amp;$D230&amp;"'!1:1"),0),MATCH(E$4&amp;"_"&amp;E$5&amp;"_"&amp;E$6,INDIRECT("'"&amp;$D230&amp;"'!1:1"),0))),0)</f>
        <v>LG&amp;E-Large Industrial- Smart Demand Conservation</v>
      </c>
      <c r="F230" s="652" t="str">
        <f ca="1">VLOOKUP($C230,INDIRECT("'"&amp;$D230&amp;"'!A6:FC1000"),IF(F$6="Participation 2023",MATCH("__Participation 2023",INDIRECT("'"&amp;$D230&amp;"'!1:1"),0),IF(F$6="Participation",MATCH("_Total Plan Summary _Participation",INDIRECT("'"&amp;$D230&amp;"'!1:1"),0),MATCH(F$4&amp;"_"&amp;F$5&amp;"_"&amp;F$6,INDIRECT("'"&amp;$D230&amp;"'!1:1"),0))),0)</f>
        <v>all year round for large industiral customers</v>
      </c>
      <c r="G230" s="652" t="str">
        <f ca="1">VLOOKUP($C230,INDIRECT("'"&amp;$D230&amp;"'!A6:FC1000"),IF(G$6="Participation 2023",MATCH("__Participation 2023",INDIRECT("'"&amp;$D230&amp;"'!1:1"),0),IF(G$6="Participation",MATCH("_Total Plan Summary _Participation",INDIRECT("'"&amp;$D230&amp;"'!1:1"),0),MATCH(G$4&amp;"_"&amp;G$5&amp;"_"&amp;G$6,INDIRECT("'"&amp;$D230&amp;"'!1:1"),0))),0)</f>
        <v>Per Customer</v>
      </c>
      <c r="H230" s="652">
        <f t="shared" ref="H230:AM230" ca="1" si="159">VLOOKUP($C230,INDIRECT("'"&amp;$D230&amp;"'!A6:FR1000"),IF(H$6="Participation 2023",MATCH("__Participation 2023",INDIRECT("'"&amp;$D230&amp;"'!1:1"),0),IF(H$6="Participation",MATCH("_Total Plan Summary _Participation",INDIRECT("'"&amp;$D230&amp;"'!1:1"),0),MATCH(H$4&amp;"_"&amp;H$5&amp;"_"&amp;H$6,INDIRECT("'"&amp;$D230&amp;"'!1:1"),0))),0)</f>
        <v>2.1128116407974908</v>
      </c>
      <c r="I230" s="652">
        <f t="shared" ca="1" si="159"/>
        <v>8.39048988176385</v>
      </c>
      <c r="J230" s="652">
        <f t="shared" ca="1" si="159"/>
        <v>16.776989242676009</v>
      </c>
      <c r="K230" s="652">
        <f t="shared" ca="1" si="159"/>
        <v>33.477359938758788</v>
      </c>
      <c r="L230" s="652">
        <f t="shared" ca="1" si="159"/>
        <v>50.119071592677727</v>
      </c>
      <c r="M230" s="652">
        <f t="shared" ca="1" si="159"/>
        <v>66.448663205744467</v>
      </c>
      <c r="N230" s="652">
        <f t="shared" ca="1" si="159"/>
        <v>66.448663205744467</v>
      </c>
      <c r="O230" s="652">
        <f t="shared" ca="1" si="159"/>
        <v>16169.918683193529</v>
      </c>
      <c r="P230" s="652">
        <f t="shared" ca="1" si="159"/>
        <v>64214.687424321892</v>
      </c>
      <c r="Q230" s="652">
        <f t="shared" ca="1" si="159"/>
        <v>128398.83431373312</v>
      </c>
      <c r="R230" s="652">
        <f t="shared" ca="1" si="159"/>
        <v>256211.28617665329</v>
      </c>
      <c r="S230" s="652">
        <f t="shared" ca="1" si="159"/>
        <v>383574.80453148973</v>
      </c>
      <c r="T230" s="652">
        <f t="shared" ca="1" si="159"/>
        <v>508549.58383239416</v>
      </c>
      <c r="U230" s="652">
        <f t="shared" ca="1" si="159"/>
        <v>508549.58383239416</v>
      </c>
      <c r="V230" s="652">
        <f t="shared" ca="1" si="159"/>
        <v>0</v>
      </c>
      <c r="W230" s="652">
        <f t="shared" ca="1" si="159"/>
        <v>0</v>
      </c>
      <c r="X230" s="652">
        <f t="shared" ca="1" si="159"/>
        <v>0</v>
      </c>
      <c r="Y230" s="652">
        <f t="shared" ca="1" si="159"/>
        <v>0</v>
      </c>
      <c r="Z230" s="652">
        <f t="shared" ca="1" si="159"/>
        <v>0</v>
      </c>
      <c r="AA230" s="652">
        <f t="shared" ca="1" si="159"/>
        <v>0</v>
      </c>
      <c r="AB230" s="652">
        <f t="shared" ca="1" si="159"/>
        <v>0</v>
      </c>
      <c r="AC230" s="652">
        <f t="shared" ca="1" si="159"/>
        <v>21559.89157759137</v>
      </c>
      <c r="AD230" s="652">
        <f t="shared" ca="1" si="159"/>
        <v>85619.583232429184</v>
      </c>
      <c r="AE230" s="652">
        <f t="shared" ca="1" si="159"/>
        <v>171198.44575164418</v>
      </c>
      <c r="AF230" s="652">
        <f t="shared" ca="1" si="159"/>
        <v>341615.04823553772</v>
      </c>
      <c r="AG230" s="652">
        <f t="shared" ca="1" si="159"/>
        <v>511433.07270865294</v>
      </c>
      <c r="AH230" s="652">
        <f t="shared" ca="1" si="159"/>
        <v>678066.1117765255</v>
      </c>
      <c r="AI230" s="652">
        <f t="shared" ca="1" si="159"/>
        <v>678066.1117765255</v>
      </c>
      <c r="AJ230" s="652">
        <f t="shared" ca="1" si="159"/>
        <v>2857.2615369098517</v>
      </c>
      <c r="AK230" s="652">
        <f t="shared" ca="1" si="159"/>
        <v>11346.881828967063</v>
      </c>
      <c r="AL230" s="652">
        <f t="shared" ca="1" si="159"/>
        <v>22688.367075710892</v>
      </c>
      <c r="AM230" s="652">
        <f t="shared" ca="1" si="159"/>
        <v>45273.119034026779</v>
      </c>
      <c r="AN230" s="652">
        <f t="shared" ref="AN230:BD230" ca="1" si="160">VLOOKUP($C230,INDIRECT("'"&amp;$D230&amp;"'!A6:FR1000"),IF(AN$6="Participation 2023",MATCH("__Participation 2023",INDIRECT("'"&amp;$D230&amp;"'!1:1"),0),IF(AN$6="Participation",MATCH("_Total Plan Summary _Participation",INDIRECT("'"&amp;$D230&amp;"'!1:1"),0),MATCH(AN$4&amp;"_"&amp;AN$5&amp;"_"&amp;AN$6,INDIRECT("'"&amp;$D230&amp;"'!1:1"),0))),0)</f>
        <v>67778.543416835993</v>
      </c>
      <c r="AO230" s="652">
        <f t="shared" ca="1" si="160"/>
        <v>89861.872156850906</v>
      </c>
      <c r="AP230" s="652">
        <f t="shared" ca="1" si="160"/>
        <v>89861.872156850906</v>
      </c>
      <c r="AQ230" s="652">
        <f t="shared" ca="1" si="160"/>
        <v>287.46522103455163</v>
      </c>
      <c r="AR230" s="652">
        <f t="shared" ca="1" si="160"/>
        <v>1141.5944430990558</v>
      </c>
      <c r="AS230" s="652">
        <f t="shared" ca="1" si="160"/>
        <v>2282.6459433552554</v>
      </c>
      <c r="AT230" s="652">
        <f t="shared" ca="1" si="160"/>
        <v>4554.8673098071695</v>
      </c>
      <c r="AU230" s="652">
        <f t="shared" ca="1" si="160"/>
        <v>6819.1076361153728</v>
      </c>
      <c r="AV230" s="652">
        <f t="shared" ca="1" si="160"/>
        <v>9040.8814903536731</v>
      </c>
      <c r="AW230" s="652">
        <f t="shared" ca="1" si="160"/>
        <v>9040.8814903536731</v>
      </c>
      <c r="AX230" s="652">
        <f t="shared" ca="1" si="160"/>
        <v>0</v>
      </c>
      <c r="AY230" s="652">
        <f t="shared" ca="1" si="160"/>
        <v>0</v>
      </c>
      <c r="AZ230" s="652">
        <f t="shared" ca="1" si="160"/>
        <v>0</v>
      </c>
      <c r="BA230" s="652">
        <f t="shared" ca="1" si="160"/>
        <v>0</v>
      </c>
      <c r="BB230" s="652">
        <f t="shared" ca="1" si="160"/>
        <v>0</v>
      </c>
      <c r="BC230" s="652">
        <f t="shared" ca="1" si="160"/>
        <v>0</v>
      </c>
      <c r="BD230" s="652">
        <f t="shared" ca="1" si="160"/>
        <v>0</v>
      </c>
      <c r="BE230" s="652" t="str">
        <f t="shared" ca="1" si="152"/>
        <v>Commercial</v>
      </c>
      <c r="BF230" s="652" t="str">
        <f t="shared" ca="1" si="152"/>
        <v>OFFLGElecTotl</v>
      </c>
      <c r="BG230" s="652" t="str">
        <f t="shared" ca="1" si="152"/>
        <v>ResSFGasTotal</v>
      </c>
      <c r="BH230" s="652" t="str">
        <f t="shared" ca="1" si="152"/>
        <v>LGE Large Com</v>
      </c>
      <c r="BI230" s="652" t="str">
        <f t="shared" ca="1" si="152"/>
        <v>LGE Large Com</v>
      </c>
      <c r="BJ230" s="652">
        <f t="shared" ca="1" si="152"/>
        <v>1</v>
      </c>
      <c r="BK230" s="652">
        <f t="shared" ca="1" si="152"/>
        <v>0</v>
      </c>
      <c r="BL230" s="652">
        <f t="shared" ca="1" si="131"/>
        <v>0</v>
      </c>
      <c r="BM230" s="652">
        <f t="shared" ca="1" si="131"/>
        <v>0</v>
      </c>
      <c r="BN230" s="652">
        <f t="shared" ca="1" si="131"/>
        <v>0</v>
      </c>
      <c r="BO230" s="652">
        <f t="shared" ca="1" si="131"/>
        <v>0</v>
      </c>
      <c r="BP230" s="652">
        <f t="shared" ca="1" si="131"/>
        <v>0</v>
      </c>
      <c r="BQ230" s="652">
        <f t="shared" ca="1" si="131"/>
        <v>0</v>
      </c>
      <c r="BR230" s="652">
        <f t="shared" ca="1" si="144"/>
        <v>243.77404870816281</v>
      </c>
      <c r="BS230" s="652">
        <f t="shared" ref="BS230:BY230" ca="1" si="161">VLOOKUP($C230,INDIRECT("'"&amp;$D230&amp;"'!A6:FR1000"),IF(BS$6="Participation 2023",MATCH("__Participation 2023",INDIRECT("'"&amp;$D230&amp;"'!1:1"),0),IF(BS$6="Participation",MATCH("_Total Plan Summary _Participation",INDIRECT("'"&amp;$D230&amp;"'!1:1"),0),MATCH(BS$4&amp;"_"&amp;BS$5&amp;"_"&amp;BS$6,INDIRECT("'"&amp;$D230&amp;"'!1:1"),0))),0)</f>
        <v>1865668.6987941798</v>
      </c>
      <c r="BT230" s="652">
        <f t="shared" ca="1" si="161"/>
        <v>0</v>
      </c>
      <c r="BU230" s="652">
        <f t="shared" ca="1" si="161"/>
        <v>2487558.2650589067</v>
      </c>
      <c r="BV230" s="652">
        <f t="shared" ca="1" si="161"/>
        <v>0</v>
      </c>
      <c r="BW230" s="652">
        <f t="shared" ca="1" si="161"/>
        <v>89861.872156850906</v>
      </c>
      <c r="BX230" s="652">
        <f t="shared" ca="1" si="161"/>
        <v>9040.8814903536731</v>
      </c>
      <c r="BY230" s="652">
        <f t="shared" ca="1" si="161"/>
        <v>0</v>
      </c>
    </row>
    <row r="231" spans="1:77">
      <c r="A231" s="425" t="str">
        <f t="shared" ca="1" si="138"/>
        <v>Peak Time RebateKU-Residential - Peak Time Rebate</v>
      </c>
      <c r="B231" s="1297" t="str">
        <f t="shared" si="130"/>
        <v>KUPeak Time Rebate</v>
      </c>
      <c r="C231" s="661" t="s">
        <v>171</v>
      </c>
      <c r="D231" s="662" t="s">
        <v>66</v>
      </c>
      <c r="E231" s="652" t="str">
        <f t="shared" ca="1" si="150"/>
        <v>KU-Residential - Peak Time Rebate</v>
      </c>
      <c r="F231" s="652" t="str">
        <f t="shared" ca="1" si="150"/>
        <v>Relies on customers to curtail their load during called events</v>
      </c>
      <c r="G231" s="652" t="str">
        <f t="shared" ca="1" si="150"/>
        <v>Per Customer</v>
      </c>
      <c r="H231" s="652">
        <f t="shared" ca="1" si="155"/>
        <v>0</v>
      </c>
      <c r="I231" s="652">
        <f t="shared" ca="1" si="155"/>
        <v>13000</v>
      </c>
      <c r="J231" s="652">
        <f t="shared" ca="1" si="155"/>
        <v>26000</v>
      </c>
      <c r="K231" s="652">
        <f t="shared" ca="1" si="155"/>
        <v>52000</v>
      </c>
      <c r="L231" s="652">
        <f t="shared" ca="1" si="155"/>
        <v>92500</v>
      </c>
      <c r="M231" s="652">
        <f t="shared" ca="1" si="155"/>
        <v>92500</v>
      </c>
      <c r="N231" s="652">
        <f t="shared" ca="1" si="155"/>
        <v>92500</v>
      </c>
      <c r="O231" s="652">
        <f t="shared" ca="1" si="155"/>
        <v>0</v>
      </c>
      <c r="P231" s="652">
        <f t="shared" ca="1" si="155"/>
        <v>0</v>
      </c>
      <c r="Q231" s="652">
        <f t="shared" ca="1" si="155"/>
        <v>0</v>
      </c>
      <c r="R231" s="652">
        <f t="shared" ca="1" si="155"/>
        <v>0</v>
      </c>
      <c r="S231" s="652">
        <f t="shared" ca="1" si="155"/>
        <v>0</v>
      </c>
      <c r="T231" s="652">
        <f t="shared" ca="1" si="155"/>
        <v>0</v>
      </c>
      <c r="U231" s="652">
        <f t="shared" ca="1" si="155"/>
        <v>0</v>
      </c>
      <c r="V231" s="652">
        <f t="shared" ca="1" si="153"/>
        <v>0</v>
      </c>
      <c r="W231" s="652">
        <f t="shared" ca="1" si="153"/>
        <v>0</v>
      </c>
      <c r="X231" s="652">
        <f t="shared" ca="1" si="153"/>
        <v>0</v>
      </c>
      <c r="Y231" s="652">
        <f t="shared" ca="1" si="153"/>
        <v>0</v>
      </c>
      <c r="Z231" s="652">
        <f t="shared" ca="1" si="153"/>
        <v>0</v>
      </c>
      <c r="AA231" s="652">
        <f t="shared" ca="1" si="153"/>
        <v>0</v>
      </c>
      <c r="AB231" s="652">
        <f t="shared" ca="1" si="153"/>
        <v>0</v>
      </c>
      <c r="AC231" s="652">
        <f t="shared" ca="1" si="153"/>
        <v>0</v>
      </c>
      <c r="AD231" s="652">
        <f t="shared" ca="1" si="153"/>
        <v>627881.04749413347</v>
      </c>
      <c r="AE231" s="652">
        <f t="shared" ca="1" si="153"/>
        <v>1255762.0949882669</v>
      </c>
      <c r="AF231" s="652">
        <f t="shared" ca="1" si="153"/>
        <v>2511524.1899765339</v>
      </c>
      <c r="AG231" s="652">
        <f t="shared" ca="1" si="153"/>
        <v>4467615.1456313347</v>
      </c>
      <c r="AH231" s="652">
        <f t="shared" ca="1" si="153"/>
        <v>4467615.1456313347</v>
      </c>
      <c r="AI231" s="652">
        <f t="shared" ca="1" si="154"/>
        <v>4467615.1456313347</v>
      </c>
      <c r="AJ231" s="652">
        <f t="shared" ca="1" si="154"/>
        <v>0</v>
      </c>
      <c r="AK231" s="652">
        <f t="shared" ca="1" si="154"/>
        <v>0</v>
      </c>
      <c r="AL231" s="652">
        <f t="shared" ca="1" si="154"/>
        <v>0</v>
      </c>
      <c r="AM231" s="652">
        <f t="shared" ca="1" si="154"/>
        <v>0</v>
      </c>
      <c r="AN231" s="652">
        <f t="shared" ca="1" si="154"/>
        <v>0</v>
      </c>
      <c r="AO231" s="652">
        <f t="shared" ca="1" si="154"/>
        <v>0</v>
      </c>
      <c r="AP231" s="652">
        <f t="shared" ca="1" si="154"/>
        <v>0</v>
      </c>
      <c r="AQ231" s="652">
        <f t="shared" ca="1" si="154"/>
        <v>0</v>
      </c>
      <c r="AR231" s="652">
        <f t="shared" ca="1" si="154"/>
        <v>2164.4052374706675</v>
      </c>
      <c r="AS231" s="652">
        <f t="shared" ca="1" si="154"/>
        <v>4328.8104749413351</v>
      </c>
      <c r="AT231" s="652">
        <f t="shared" ca="1" si="154"/>
        <v>8657.6209498826702</v>
      </c>
      <c r="AU231" s="652">
        <f t="shared" ca="1" si="154"/>
        <v>15400.575728156675</v>
      </c>
      <c r="AV231" s="652">
        <f t="shared" ca="1" si="154"/>
        <v>15400.575728156675</v>
      </c>
      <c r="AW231" s="652">
        <f t="shared" ca="1" si="151"/>
        <v>15400.575728156675</v>
      </c>
      <c r="AX231" s="652">
        <f t="shared" ca="1" si="151"/>
        <v>0</v>
      </c>
      <c r="AY231" s="652">
        <f t="shared" ca="1" si="151"/>
        <v>0</v>
      </c>
      <c r="AZ231" s="652">
        <f t="shared" ca="1" si="151"/>
        <v>0</v>
      </c>
      <c r="BA231" s="652">
        <f t="shared" ca="1" si="151"/>
        <v>0</v>
      </c>
      <c r="BB231" s="652">
        <f t="shared" ca="1" si="151"/>
        <v>0</v>
      </c>
      <c r="BC231" s="652">
        <f t="shared" ca="1" si="151"/>
        <v>0</v>
      </c>
      <c r="BD231" s="652">
        <f t="shared" ca="1" si="151"/>
        <v>0</v>
      </c>
      <c r="BE231" s="652" t="str">
        <f t="shared" ca="1" si="152"/>
        <v>Residential</v>
      </c>
      <c r="BF231" s="652" t="str">
        <f t="shared" ca="1" si="152"/>
        <v>ResEleTotal - SF Wtd</v>
      </c>
      <c r="BG231" s="652" t="str">
        <f t="shared" ca="1" si="152"/>
        <v>ResSFGasTotal</v>
      </c>
      <c r="BH231" s="652" t="str">
        <f t="shared" ca="1" si="152"/>
        <v>KU Res</v>
      </c>
      <c r="BI231" s="652" t="str">
        <f t="shared" ca="1" si="152"/>
        <v>KU Res</v>
      </c>
      <c r="BJ231" s="652">
        <f t="shared" ca="1" si="152"/>
        <v>1</v>
      </c>
      <c r="BK231" s="652">
        <f t="shared" ca="1" si="152"/>
        <v>0</v>
      </c>
      <c r="BL231" s="652">
        <f t="shared" ca="1" si="131"/>
        <v>52000</v>
      </c>
      <c r="BM231" s="652">
        <f t="shared" ca="1" si="131"/>
        <v>104000</v>
      </c>
      <c r="BN231" s="652">
        <f t="shared" ca="1" si="131"/>
        <v>208000</v>
      </c>
      <c r="BO231" s="652">
        <f t="shared" ca="1" si="131"/>
        <v>370000</v>
      </c>
      <c r="BP231" s="652">
        <f t="shared" ca="1" si="131"/>
        <v>370000</v>
      </c>
      <c r="BQ231" s="652">
        <f t="shared" ca="1" si="131"/>
        <v>370000</v>
      </c>
      <c r="BR231" s="652">
        <f t="shared" ca="1" si="144"/>
        <v>368500</v>
      </c>
      <c r="BS231" s="652">
        <f t="shared" ca="1" si="151"/>
        <v>0</v>
      </c>
      <c r="BT231" s="652">
        <f t="shared" ca="1" si="151"/>
        <v>0</v>
      </c>
      <c r="BU231" s="652">
        <f t="shared" ca="1" si="151"/>
        <v>17798012.769352939</v>
      </c>
      <c r="BV231" s="652">
        <f t="shared" ca="1" si="151"/>
        <v>1474000</v>
      </c>
      <c r="BW231" s="652">
        <f t="shared" ca="1" si="151"/>
        <v>0</v>
      </c>
      <c r="BX231" s="652">
        <f t="shared" ca="1" si="123"/>
        <v>15400.575728156675</v>
      </c>
      <c r="BY231" s="652">
        <f t="shared" ca="1" si="123"/>
        <v>0</v>
      </c>
    </row>
    <row r="232" spans="1:77">
      <c r="A232" s="425" t="str">
        <f t="shared" ca="1" si="138"/>
        <v>Peak Time RebateLG&amp;E-Residential - Peak Time Rebate</v>
      </c>
      <c r="B232" s="1297" t="str">
        <f t="shared" si="130"/>
        <v>LG&amp;EPeak Time Rebate</v>
      </c>
      <c r="C232" s="661" t="s">
        <v>172</v>
      </c>
      <c r="D232" s="662" t="s">
        <v>66</v>
      </c>
      <c r="E232" s="652" t="str">
        <f t="shared" ca="1" si="150"/>
        <v>LG&amp;E-Residential - Peak Time Rebate</v>
      </c>
      <c r="F232" s="652" t="str">
        <f t="shared" ca="1" si="150"/>
        <v>Relies on customers to curtail their load during called events</v>
      </c>
      <c r="G232" s="652" t="str">
        <f t="shared" ca="1" si="150"/>
        <v>Per Customer</v>
      </c>
      <c r="H232" s="652">
        <f t="shared" ca="1" si="155"/>
        <v>0</v>
      </c>
      <c r="I232" s="652">
        <f t="shared" ca="1" si="155"/>
        <v>13000</v>
      </c>
      <c r="J232" s="652">
        <f t="shared" ca="1" si="155"/>
        <v>26000</v>
      </c>
      <c r="K232" s="652">
        <f t="shared" ca="1" si="155"/>
        <v>52000</v>
      </c>
      <c r="L232" s="652">
        <f t="shared" ca="1" si="155"/>
        <v>92500</v>
      </c>
      <c r="M232" s="652">
        <f t="shared" ca="1" si="155"/>
        <v>92500</v>
      </c>
      <c r="N232" s="652">
        <f t="shared" ca="1" si="155"/>
        <v>92500</v>
      </c>
      <c r="O232" s="652">
        <f t="shared" ca="1" si="155"/>
        <v>0</v>
      </c>
      <c r="P232" s="652">
        <f t="shared" ca="1" si="155"/>
        <v>0</v>
      </c>
      <c r="Q232" s="652">
        <f t="shared" ca="1" si="155"/>
        <v>0</v>
      </c>
      <c r="R232" s="652">
        <f t="shared" ca="1" si="155"/>
        <v>0</v>
      </c>
      <c r="S232" s="652">
        <f t="shared" ca="1" si="155"/>
        <v>0</v>
      </c>
      <c r="T232" s="652">
        <f t="shared" ca="1" si="155"/>
        <v>0</v>
      </c>
      <c r="U232" s="652">
        <f t="shared" ca="1" si="155"/>
        <v>0</v>
      </c>
      <c r="V232" s="652">
        <f t="shared" ca="1" si="153"/>
        <v>0</v>
      </c>
      <c r="W232" s="652">
        <f t="shared" ca="1" si="153"/>
        <v>0</v>
      </c>
      <c r="X232" s="652">
        <f t="shared" ca="1" si="153"/>
        <v>0</v>
      </c>
      <c r="Y232" s="652">
        <f t="shared" ca="1" si="153"/>
        <v>0</v>
      </c>
      <c r="Z232" s="652">
        <f t="shared" ca="1" si="153"/>
        <v>0</v>
      </c>
      <c r="AA232" s="652">
        <f t="shared" ca="1" si="153"/>
        <v>0</v>
      </c>
      <c r="AB232" s="652">
        <f t="shared" ca="1" si="153"/>
        <v>0</v>
      </c>
      <c r="AC232" s="652">
        <f t="shared" ca="1" si="153"/>
        <v>0</v>
      </c>
      <c r="AD232" s="652">
        <f t="shared" ca="1" si="153"/>
        <v>627881.04749413347</v>
      </c>
      <c r="AE232" s="652">
        <f t="shared" ca="1" si="153"/>
        <v>1255762.0949882669</v>
      </c>
      <c r="AF232" s="652">
        <f t="shared" ca="1" si="153"/>
        <v>2511524.1899765339</v>
      </c>
      <c r="AG232" s="652">
        <f t="shared" ca="1" si="153"/>
        <v>4467615.1456313347</v>
      </c>
      <c r="AH232" s="652">
        <f t="shared" ca="1" si="153"/>
        <v>4467615.1456313347</v>
      </c>
      <c r="AI232" s="652">
        <f t="shared" ca="1" si="154"/>
        <v>4467615.1456313347</v>
      </c>
      <c r="AJ232" s="652">
        <f t="shared" ca="1" si="154"/>
        <v>0</v>
      </c>
      <c r="AK232" s="652">
        <f t="shared" ca="1" si="154"/>
        <v>0</v>
      </c>
      <c r="AL232" s="652">
        <f t="shared" ca="1" si="154"/>
        <v>0</v>
      </c>
      <c r="AM232" s="652">
        <f t="shared" ca="1" si="154"/>
        <v>0</v>
      </c>
      <c r="AN232" s="652">
        <f t="shared" ca="1" si="154"/>
        <v>0</v>
      </c>
      <c r="AO232" s="652">
        <f t="shared" ca="1" si="154"/>
        <v>0</v>
      </c>
      <c r="AP232" s="652">
        <f t="shared" ca="1" si="154"/>
        <v>0</v>
      </c>
      <c r="AQ232" s="652">
        <f t="shared" ca="1" si="154"/>
        <v>0</v>
      </c>
      <c r="AR232" s="652">
        <f t="shared" ca="1" si="154"/>
        <v>2164.4052374706675</v>
      </c>
      <c r="AS232" s="652">
        <f t="shared" ca="1" si="154"/>
        <v>4328.8104749413351</v>
      </c>
      <c r="AT232" s="652">
        <f t="shared" ca="1" si="154"/>
        <v>8657.6209498826702</v>
      </c>
      <c r="AU232" s="652">
        <f t="shared" ca="1" si="154"/>
        <v>15400.575728156675</v>
      </c>
      <c r="AV232" s="652">
        <f t="shared" ca="1" si="154"/>
        <v>15400.575728156675</v>
      </c>
      <c r="AW232" s="652">
        <f t="shared" ca="1" si="151"/>
        <v>15400.575728156675</v>
      </c>
      <c r="AX232" s="652">
        <f t="shared" ca="1" si="151"/>
        <v>0</v>
      </c>
      <c r="AY232" s="652">
        <f t="shared" ca="1" si="151"/>
        <v>0</v>
      </c>
      <c r="AZ232" s="652">
        <f t="shared" ca="1" si="151"/>
        <v>0</v>
      </c>
      <c r="BA232" s="652">
        <f t="shared" ca="1" si="151"/>
        <v>0</v>
      </c>
      <c r="BB232" s="652">
        <f t="shared" ca="1" si="151"/>
        <v>0</v>
      </c>
      <c r="BC232" s="652">
        <f t="shared" ca="1" si="151"/>
        <v>0</v>
      </c>
      <c r="BD232" s="652">
        <f t="shared" ca="1" si="151"/>
        <v>0</v>
      </c>
      <c r="BE232" s="652" t="str">
        <f t="shared" ca="1" si="152"/>
        <v>Residential</v>
      </c>
      <c r="BF232" s="652" t="str">
        <f t="shared" ca="1" si="152"/>
        <v>ResEleTotal - SF Wtd</v>
      </c>
      <c r="BG232" s="652" t="str">
        <f t="shared" ca="1" si="152"/>
        <v>ResSFGasTotal</v>
      </c>
      <c r="BH232" s="652" t="str">
        <f t="shared" ca="1" si="152"/>
        <v>LGE Res</v>
      </c>
      <c r="BI232" s="652" t="str">
        <f t="shared" ca="1" si="152"/>
        <v>LGE Res</v>
      </c>
      <c r="BJ232" s="652">
        <f t="shared" ca="1" si="152"/>
        <v>1</v>
      </c>
      <c r="BK232" s="652">
        <f t="shared" ca="1" si="152"/>
        <v>0</v>
      </c>
      <c r="BL232" s="652">
        <f t="shared" ca="1" si="131"/>
        <v>52000</v>
      </c>
      <c r="BM232" s="652">
        <f t="shared" ca="1" si="131"/>
        <v>104000</v>
      </c>
      <c r="BN232" s="652">
        <f t="shared" ca="1" si="131"/>
        <v>208000</v>
      </c>
      <c r="BO232" s="652">
        <f t="shared" ca="1" si="131"/>
        <v>370000</v>
      </c>
      <c r="BP232" s="652">
        <f t="shared" ca="1" si="131"/>
        <v>370000</v>
      </c>
      <c r="BQ232" s="652">
        <f t="shared" ca="1" si="131"/>
        <v>370000</v>
      </c>
      <c r="BR232" s="652">
        <f t="shared" ca="1" si="144"/>
        <v>368500</v>
      </c>
      <c r="BS232" s="652">
        <f t="shared" ca="1" si="151"/>
        <v>0</v>
      </c>
      <c r="BT232" s="652">
        <f t="shared" ca="1" si="151"/>
        <v>0</v>
      </c>
      <c r="BU232" s="652">
        <f t="shared" ca="1" si="151"/>
        <v>17798012.769352939</v>
      </c>
      <c r="BV232" s="652">
        <f t="shared" ca="1" si="151"/>
        <v>1474000</v>
      </c>
      <c r="BW232" s="652">
        <f t="shared" ca="1" si="151"/>
        <v>0</v>
      </c>
      <c r="BX232" s="652">
        <f t="shared" ca="1" si="123"/>
        <v>15400.575728156675</v>
      </c>
      <c r="BY232" s="652">
        <f t="shared" ca="1" si="123"/>
        <v>0</v>
      </c>
    </row>
    <row r="233" spans="1:77">
      <c r="A233" s="425" t="str">
        <f t="shared" ca="1" si="138"/>
        <v>Residential Managed ChargingKU-Residential - EV Charger Demand Conservation</v>
      </c>
      <c r="B233" s="1297" t="str">
        <f t="shared" si="130"/>
        <v>KUResidential Managed Charging</v>
      </c>
      <c r="C233" s="661" t="s">
        <v>171</v>
      </c>
      <c r="D233" s="662" t="s">
        <v>67</v>
      </c>
      <c r="E233" s="652" t="str">
        <f t="shared" ca="1" si="150"/>
        <v>KU-Residential - EV Charger Demand Conservation</v>
      </c>
      <c r="F233" s="652" t="str">
        <f t="shared" ca="1" si="150"/>
        <v>This product targets customers with EV chargers and pays participants an incentive to curtail load all year round</v>
      </c>
      <c r="G233" s="652" t="str">
        <f t="shared" ca="1" si="150"/>
        <v>Per Customer</v>
      </c>
      <c r="H233" s="652">
        <f t="shared" ca="1" si="155"/>
        <v>375</v>
      </c>
      <c r="I233" s="652">
        <f t="shared" ca="1" si="155"/>
        <v>750</v>
      </c>
      <c r="J233" s="652">
        <f t="shared" ca="1" si="155"/>
        <v>1125</v>
      </c>
      <c r="K233" s="652">
        <f t="shared" ca="1" si="155"/>
        <v>1500</v>
      </c>
      <c r="L233" s="652">
        <f t="shared" ca="1" si="155"/>
        <v>2250</v>
      </c>
      <c r="M233" s="652">
        <f t="shared" ca="1" si="155"/>
        <v>3000</v>
      </c>
      <c r="N233" s="652">
        <f t="shared" ca="1" si="155"/>
        <v>3750</v>
      </c>
      <c r="O233" s="652">
        <f t="shared" ca="1" si="155"/>
        <v>0</v>
      </c>
      <c r="P233" s="652">
        <f t="shared" ca="1" si="155"/>
        <v>0</v>
      </c>
      <c r="Q233" s="652">
        <f t="shared" ca="1" si="155"/>
        <v>0</v>
      </c>
      <c r="R233" s="652">
        <f t="shared" ca="1" si="155"/>
        <v>0</v>
      </c>
      <c r="S233" s="652">
        <f t="shared" ca="1" si="155"/>
        <v>0</v>
      </c>
      <c r="T233" s="652">
        <f t="shared" ca="1" si="155"/>
        <v>0</v>
      </c>
      <c r="U233" s="652">
        <f t="shared" ca="1" si="155"/>
        <v>0</v>
      </c>
      <c r="V233" s="652">
        <f t="shared" ca="1" si="153"/>
        <v>0</v>
      </c>
      <c r="W233" s="652">
        <f t="shared" ca="1" si="153"/>
        <v>0</v>
      </c>
      <c r="X233" s="652">
        <f t="shared" ca="1" si="153"/>
        <v>0</v>
      </c>
      <c r="Y233" s="652">
        <f t="shared" ca="1" si="153"/>
        <v>0</v>
      </c>
      <c r="Z233" s="652">
        <f t="shared" ca="1" si="153"/>
        <v>0</v>
      </c>
      <c r="AA233" s="652">
        <f t="shared" ca="1" si="153"/>
        <v>0</v>
      </c>
      <c r="AB233" s="652">
        <f t="shared" ca="1" si="153"/>
        <v>0</v>
      </c>
      <c r="AC233" s="652">
        <f t="shared" ca="1" si="153"/>
        <v>41250</v>
      </c>
      <c r="AD233" s="652">
        <f t="shared" ca="1" si="153"/>
        <v>63750</v>
      </c>
      <c r="AE233" s="652">
        <f t="shared" ca="1" si="153"/>
        <v>86250</v>
      </c>
      <c r="AF233" s="652">
        <f t="shared" ca="1" si="153"/>
        <v>108750</v>
      </c>
      <c r="AG233" s="652">
        <f t="shared" ca="1" si="153"/>
        <v>172500</v>
      </c>
      <c r="AH233" s="652">
        <f t="shared" ca="1" si="153"/>
        <v>217500</v>
      </c>
      <c r="AI233" s="652">
        <f t="shared" ca="1" si="154"/>
        <v>262500</v>
      </c>
      <c r="AJ233" s="652">
        <f t="shared" ca="1" si="154"/>
        <v>0</v>
      </c>
      <c r="AK233" s="652">
        <f t="shared" ca="1" si="154"/>
        <v>0</v>
      </c>
      <c r="AL233" s="652">
        <f t="shared" ca="1" si="154"/>
        <v>0</v>
      </c>
      <c r="AM233" s="652">
        <f t="shared" ca="1" si="154"/>
        <v>0</v>
      </c>
      <c r="AN233" s="652">
        <f t="shared" ca="1" si="154"/>
        <v>0</v>
      </c>
      <c r="AO233" s="652">
        <f t="shared" ca="1" si="154"/>
        <v>0</v>
      </c>
      <c r="AP233" s="652">
        <f t="shared" ca="1" si="154"/>
        <v>0</v>
      </c>
      <c r="AQ233" s="652">
        <f t="shared" ca="1" si="154"/>
        <v>150</v>
      </c>
      <c r="AR233" s="652">
        <f t="shared" ca="1" si="154"/>
        <v>300</v>
      </c>
      <c r="AS233" s="652">
        <f t="shared" ca="1" si="154"/>
        <v>450</v>
      </c>
      <c r="AT233" s="652">
        <f t="shared" ca="1" si="154"/>
        <v>600</v>
      </c>
      <c r="AU233" s="652">
        <f t="shared" ca="1" si="154"/>
        <v>900</v>
      </c>
      <c r="AV233" s="652">
        <f t="shared" ca="1" si="154"/>
        <v>1200</v>
      </c>
      <c r="AW233" s="652">
        <f t="shared" ca="1" si="151"/>
        <v>1500</v>
      </c>
      <c r="AX233" s="652">
        <f t="shared" ca="1" si="151"/>
        <v>0</v>
      </c>
      <c r="AY233" s="652">
        <f t="shared" ca="1" si="151"/>
        <v>0</v>
      </c>
      <c r="AZ233" s="652">
        <f t="shared" ca="1" si="151"/>
        <v>0</v>
      </c>
      <c r="BA233" s="652">
        <f t="shared" ca="1" si="151"/>
        <v>0</v>
      </c>
      <c r="BB233" s="652">
        <f t="shared" ca="1" si="151"/>
        <v>0</v>
      </c>
      <c r="BC233" s="652">
        <f t="shared" ca="1" si="151"/>
        <v>0</v>
      </c>
      <c r="BD233" s="652">
        <f t="shared" ca="1" si="151"/>
        <v>0</v>
      </c>
      <c r="BE233" s="652" t="str">
        <f t="shared" ref="BE233:BK248" ca="1" si="162">VLOOKUP($C233,INDIRECT("'"&amp;$D233&amp;"'!A6:FR1000"),IF(BE$6="Participation 2023",MATCH("__Participation 2023",INDIRECT("'"&amp;$D233&amp;"'!1:1"),0),IF(BE$6="Participation",MATCH("_Total Plan Summary _Participation",INDIRECT("'"&amp;$D233&amp;"'!1:1"),0),MATCH(BE$4&amp;"_"&amp;BE$5&amp;"_"&amp;BE$6,INDIRECT("'"&amp;$D233&amp;"'!1:1"),0))),0)</f>
        <v>Residential</v>
      </c>
      <c r="BF233" s="652" t="str">
        <f t="shared" ca="1" si="162"/>
        <v>ResElecMisc - SF Wtd</v>
      </c>
      <c r="BG233" s="652" t="str">
        <f t="shared" ca="1" si="162"/>
        <v>ResSFGasTotal</v>
      </c>
      <c r="BH233" s="652" t="str">
        <f t="shared" ca="1" si="162"/>
        <v>KU Res</v>
      </c>
      <c r="BI233" s="652" t="str">
        <f t="shared" ca="1" si="162"/>
        <v>KU Res</v>
      </c>
      <c r="BJ233" s="652">
        <f t="shared" ca="1" si="152"/>
        <v>1</v>
      </c>
      <c r="BK233" s="652">
        <f t="shared" ca="1" si="152"/>
        <v>45000</v>
      </c>
      <c r="BL233" s="652">
        <f t="shared" ca="1" si="131"/>
        <v>90000</v>
      </c>
      <c r="BM233" s="652">
        <f t="shared" ca="1" si="131"/>
        <v>135000</v>
      </c>
      <c r="BN233" s="652">
        <f t="shared" ca="1" si="131"/>
        <v>180000</v>
      </c>
      <c r="BO233" s="652">
        <f t="shared" ca="1" si="131"/>
        <v>270000</v>
      </c>
      <c r="BP233" s="652">
        <f t="shared" ref="BL233:BQ252" ca="1" si="163">VLOOKUP($C233,INDIRECT("'"&amp;$D233&amp;"'!A6:FR1000"),IF(BP$6="Participation 2023",MATCH("__Participation 2023",INDIRECT("'"&amp;$D233&amp;"'!1:1"),0),IF(BP$6="Participation",MATCH("_Total Plan Summary _Participation",INDIRECT("'"&amp;$D233&amp;"'!1:1"),0),MATCH(BP$4&amp;"_"&amp;BP$5&amp;"_"&amp;BP$6,INDIRECT("'"&amp;$D233&amp;"'!1:1"),0))),0)</f>
        <v>360000</v>
      </c>
      <c r="BQ233" s="652">
        <f t="shared" ca="1" si="163"/>
        <v>450000</v>
      </c>
      <c r="BR233" s="652">
        <f t="shared" ca="1" si="144"/>
        <v>12750</v>
      </c>
      <c r="BS233" s="652">
        <f t="shared" ca="1" si="151"/>
        <v>0</v>
      </c>
      <c r="BT233" s="652">
        <f t="shared" ca="1" si="151"/>
        <v>0</v>
      </c>
      <c r="BU233" s="652">
        <f t="shared" ca="1" si="151"/>
        <v>952500</v>
      </c>
      <c r="BV233" s="652">
        <f t="shared" ca="1" si="151"/>
        <v>1530000</v>
      </c>
      <c r="BW233" s="652">
        <f t="shared" ca="1" si="151"/>
        <v>0</v>
      </c>
      <c r="BX233" s="652">
        <f t="shared" ca="1" si="123"/>
        <v>1500</v>
      </c>
      <c r="BY233" s="652">
        <f t="shared" ca="1" si="123"/>
        <v>0</v>
      </c>
    </row>
    <row r="234" spans="1:77">
      <c r="A234" s="425" t="str">
        <f t="shared" ca="1" si="138"/>
        <v>Residential Managed ChargingLG&amp;E-Residential - EV Charger Demand Conservation</v>
      </c>
      <c r="B234" s="1297" t="str">
        <f t="shared" si="130"/>
        <v>LG&amp;EResidential Managed Charging</v>
      </c>
      <c r="C234" s="661" t="s">
        <v>172</v>
      </c>
      <c r="D234" s="662" t="s">
        <v>67</v>
      </c>
      <c r="E234" s="652" t="str">
        <f t="shared" ca="1" si="150"/>
        <v>LG&amp;E-Residential - EV Charger Demand Conservation</v>
      </c>
      <c r="F234" s="652" t="str">
        <f t="shared" ca="1" si="150"/>
        <v>This product targets customers with EV chargers and pays participants an incentive to curtail load all year round</v>
      </c>
      <c r="G234" s="652" t="str">
        <f t="shared" ca="1" si="150"/>
        <v>Per Customer</v>
      </c>
      <c r="H234" s="652">
        <f t="shared" ca="1" si="155"/>
        <v>375</v>
      </c>
      <c r="I234" s="652">
        <f t="shared" ca="1" si="155"/>
        <v>750</v>
      </c>
      <c r="J234" s="652">
        <f t="shared" ca="1" si="155"/>
        <v>1125</v>
      </c>
      <c r="K234" s="652">
        <f t="shared" ca="1" si="155"/>
        <v>1500</v>
      </c>
      <c r="L234" s="652">
        <f t="shared" ca="1" si="155"/>
        <v>2250</v>
      </c>
      <c r="M234" s="652">
        <f t="shared" ca="1" si="155"/>
        <v>3000</v>
      </c>
      <c r="N234" s="652">
        <f t="shared" ca="1" si="155"/>
        <v>3750</v>
      </c>
      <c r="O234" s="652">
        <f t="shared" ca="1" si="155"/>
        <v>0</v>
      </c>
      <c r="P234" s="652">
        <f t="shared" ca="1" si="155"/>
        <v>0</v>
      </c>
      <c r="Q234" s="652">
        <f t="shared" ca="1" si="155"/>
        <v>0</v>
      </c>
      <c r="R234" s="652">
        <f t="shared" ca="1" si="155"/>
        <v>0</v>
      </c>
      <c r="S234" s="652">
        <f t="shared" ca="1" si="155"/>
        <v>0</v>
      </c>
      <c r="T234" s="652">
        <f t="shared" ca="1" si="155"/>
        <v>0</v>
      </c>
      <c r="U234" s="652">
        <f t="shared" ca="1" si="155"/>
        <v>0</v>
      </c>
      <c r="V234" s="652">
        <f t="shared" ca="1" si="153"/>
        <v>0</v>
      </c>
      <c r="W234" s="652">
        <f t="shared" ca="1" si="153"/>
        <v>0</v>
      </c>
      <c r="X234" s="652">
        <f t="shared" ca="1" si="153"/>
        <v>0</v>
      </c>
      <c r="Y234" s="652">
        <f t="shared" ca="1" si="153"/>
        <v>0</v>
      </c>
      <c r="Z234" s="652">
        <f t="shared" ca="1" si="153"/>
        <v>0</v>
      </c>
      <c r="AA234" s="652">
        <f t="shared" ca="1" si="153"/>
        <v>0</v>
      </c>
      <c r="AB234" s="652">
        <f t="shared" ca="1" si="153"/>
        <v>0</v>
      </c>
      <c r="AC234" s="652">
        <f t="shared" ca="1" si="153"/>
        <v>41250</v>
      </c>
      <c r="AD234" s="652">
        <f t="shared" ca="1" si="153"/>
        <v>63750</v>
      </c>
      <c r="AE234" s="652">
        <f t="shared" ca="1" si="153"/>
        <v>86250</v>
      </c>
      <c r="AF234" s="652">
        <f t="shared" ca="1" si="153"/>
        <v>108750</v>
      </c>
      <c r="AG234" s="652">
        <f t="shared" ca="1" si="153"/>
        <v>172500</v>
      </c>
      <c r="AH234" s="652">
        <f t="shared" ca="1" si="153"/>
        <v>217500</v>
      </c>
      <c r="AI234" s="652">
        <f t="shared" ca="1" si="154"/>
        <v>262500</v>
      </c>
      <c r="AJ234" s="652">
        <f t="shared" ca="1" si="154"/>
        <v>0</v>
      </c>
      <c r="AK234" s="652">
        <f t="shared" ca="1" si="154"/>
        <v>0</v>
      </c>
      <c r="AL234" s="652">
        <f t="shared" ca="1" si="154"/>
        <v>0</v>
      </c>
      <c r="AM234" s="652">
        <f t="shared" ca="1" si="154"/>
        <v>0</v>
      </c>
      <c r="AN234" s="652">
        <f t="shared" ca="1" si="154"/>
        <v>0</v>
      </c>
      <c r="AO234" s="652">
        <f t="shared" ca="1" si="154"/>
        <v>0</v>
      </c>
      <c r="AP234" s="652">
        <f t="shared" ca="1" si="154"/>
        <v>0</v>
      </c>
      <c r="AQ234" s="652">
        <f t="shared" ca="1" si="154"/>
        <v>150</v>
      </c>
      <c r="AR234" s="652">
        <f t="shared" ca="1" si="154"/>
        <v>300</v>
      </c>
      <c r="AS234" s="652">
        <f t="shared" ca="1" si="154"/>
        <v>450</v>
      </c>
      <c r="AT234" s="652">
        <f t="shared" ca="1" si="154"/>
        <v>600</v>
      </c>
      <c r="AU234" s="652">
        <f t="shared" ca="1" si="154"/>
        <v>900</v>
      </c>
      <c r="AV234" s="652">
        <f t="shared" ca="1" si="154"/>
        <v>1200</v>
      </c>
      <c r="AW234" s="652">
        <f t="shared" ca="1" si="151"/>
        <v>1500</v>
      </c>
      <c r="AX234" s="652">
        <f t="shared" ca="1" si="151"/>
        <v>0</v>
      </c>
      <c r="AY234" s="652">
        <f t="shared" ca="1" si="151"/>
        <v>0</v>
      </c>
      <c r="AZ234" s="652">
        <f t="shared" ca="1" si="151"/>
        <v>0</v>
      </c>
      <c r="BA234" s="652">
        <f t="shared" ca="1" si="151"/>
        <v>0</v>
      </c>
      <c r="BB234" s="652">
        <f t="shared" ca="1" si="151"/>
        <v>0</v>
      </c>
      <c r="BC234" s="652">
        <f t="shared" ca="1" si="151"/>
        <v>0</v>
      </c>
      <c r="BD234" s="652">
        <f t="shared" ca="1" si="151"/>
        <v>0</v>
      </c>
      <c r="BE234" s="652" t="str">
        <f t="shared" ca="1" si="162"/>
        <v>Residential</v>
      </c>
      <c r="BF234" s="652" t="str">
        <f t="shared" ca="1" si="162"/>
        <v>ResElecMisc - SF Wtd</v>
      </c>
      <c r="BG234" s="652" t="str">
        <f t="shared" ca="1" si="162"/>
        <v>ResSFGasTotal</v>
      </c>
      <c r="BH234" s="652" t="str">
        <f t="shared" ca="1" si="162"/>
        <v>LGE Res</v>
      </c>
      <c r="BI234" s="652" t="str">
        <f t="shared" ca="1" si="162"/>
        <v>LGE Res</v>
      </c>
      <c r="BJ234" s="652">
        <f t="shared" ca="1" si="152"/>
        <v>1</v>
      </c>
      <c r="BK234" s="652">
        <f t="shared" ca="1" si="152"/>
        <v>45000</v>
      </c>
      <c r="BL234" s="652">
        <f t="shared" ca="1" si="163"/>
        <v>90000</v>
      </c>
      <c r="BM234" s="652">
        <f t="shared" ca="1" si="163"/>
        <v>135000</v>
      </c>
      <c r="BN234" s="652">
        <f t="shared" ca="1" si="163"/>
        <v>180000</v>
      </c>
      <c r="BO234" s="652">
        <f t="shared" ca="1" si="163"/>
        <v>270000</v>
      </c>
      <c r="BP234" s="652">
        <f t="shared" ca="1" si="163"/>
        <v>360000</v>
      </c>
      <c r="BQ234" s="652">
        <f t="shared" ca="1" si="163"/>
        <v>450000</v>
      </c>
      <c r="BR234" s="652">
        <f t="shared" ca="1" si="144"/>
        <v>12750</v>
      </c>
      <c r="BS234" s="652">
        <f t="shared" ca="1" si="151"/>
        <v>0</v>
      </c>
      <c r="BT234" s="652">
        <f t="shared" ca="1" si="151"/>
        <v>0</v>
      </c>
      <c r="BU234" s="652">
        <f t="shared" ca="1" si="151"/>
        <v>952500</v>
      </c>
      <c r="BV234" s="652">
        <f t="shared" ca="1" si="151"/>
        <v>1530000</v>
      </c>
      <c r="BW234" s="652">
        <f t="shared" ca="1" si="151"/>
        <v>0</v>
      </c>
      <c r="BX234" s="652">
        <f t="shared" ca="1" si="123"/>
        <v>1500</v>
      </c>
      <c r="BY234" s="652">
        <f t="shared" ca="1" si="123"/>
        <v>0</v>
      </c>
    </row>
    <row r="235" spans="1:77">
      <c r="A235" s="425" t="str">
        <f t="shared" ca="1" si="138"/>
        <v>NonRes Midstream LightingKU - LED Troffer</v>
      </c>
      <c r="B235" s="1297" t="str">
        <f t="shared" si="130"/>
        <v>KUNonRes Midstream Lighting</v>
      </c>
      <c r="C235" s="661" t="s">
        <v>171</v>
      </c>
      <c r="D235" s="662" t="s">
        <v>68</v>
      </c>
      <c r="E235" s="652" t="str">
        <f t="shared" ca="1" si="150"/>
        <v>KU - LED Troffer</v>
      </c>
      <c r="F235" s="652" t="str">
        <f t="shared" ca="1" si="150"/>
        <v>Any LED lamps or ballasts must also be ENERGY STAR® certified or listed on the Design Lights Consortium (DLC) qualified list.</v>
      </c>
      <c r="G235" s="652" t="str">
        <f t="shared" ca="1" si="150"/>
        <v>Per Unit</v>
      </c>
      <c r="H235" s="652">
        <f t="shared" ca="1" si="155"/>
        <v>0</v>
      </c>
      <c r="I235" s="652">
        <f t="shared" ca="1" si="155"/>
        <v>0</v>
      </c>
      <c r="J235" s="652">
        <f t="shared" ca="1" si="155"/>
        <v>0.48</v>
      </c>
      <c r="K235" s="652">
        <f t="shared" ca="1" si="155"/>
        <v>0.69599999999999995</v>
      </c>
      <c r="L235" s="652">
        <f t="shared" ca="1" si="155"/>
        <v>0.69599999999999995</v>
      </c>
      <c r="M235" s="652">
        <f t="shared" ca="1" si="155"/>
        <v>0.55679999999999996</v>
      </c>
      <c r="N235" s="652">
        <f t="shared" ca="1" si="155"/>
        <v>0.44544</v>
      </c>
      <c r="O235" s="652">
        <f t="shared" ca="1" si="155"/>
        <v>0</v>
      </c>
      <c r="P235" s="652">
        <f t="shared" ca="1" si="155"/>
        <v>0</v>
      </c>
      <c r="Q235" s="652">
        <f t="shared" ca="1" si="155"/>
        <v>32.22</v>
      </c>
      <c r="R235" s="652">
        <f t="shared" ca="1" si="155"/>
        <v>46.718999999999994</v>
      </c>
      <c r="S235" s="652">
        <f t="shared" ca="1" si="155"/>
        <v>46.718999999999994</v>
      </c>
      <c r="T235" s="652">
        <f t="shared" ca="1" si="155"/>
        <v>37.3752</v>
      </c>
      <c r="U235" s="652">
        <f t="shared" ca="1" si="155"/>
        <v>29.90016</v>
      </c>
      <c r="V235" s="652">
        <f t="shared" ca="1" si="153"/>
        <v>0</v>
      </c>
      <c r="W235" s="652">
        <f t="shared" ca="1" si="153"/>
        <v>0</v>
      </c>
      <c r="X235" s="652">
        <f t="shared" ca="1" si="153"/>
        <v>0</v>
      </c>
      <c r="Y235" s="652">
        <f t="shared" ca="1" si="153"/>
        <v>0</v>
      </c>
      <c r="Z235" s="652">
        <f t="shared" ca="1" si="153"/>
        <v>0</v>
      </c>
      <c r="AA235" s="652">
        <f t="shared" ca="1" si="153"/>
        <v>0</v>
      </c>
      <c r="AB235" s="652">
        <f t="shared" ca="1" si="153"/>
        <v>0</v>
      </c>
      <c r="AC235" s="652">
        <f t="shared" ca="1" si="153"/>
        <v>0</v>
      </c>
      <c r="AD235" s="652">
        <f t="shared" ca="1" si="153"/>
        <v>0</v>
      </c>
      <c r="AE235" s="652">
        <f t="shared" ca="1" si="153"/>
        <v>4.8</v>
      </c>
      <c r="AF235" s="652">
        <f t="shared" ca="1" si="153"/>
        <v>6.9599999999999991</v>
      </c>
      <c r="AG235" s="652">
        <f t="shared" ca="1" si="153"/>
        <v>6.9599999999999991</v>
      </c>
      <c r="AH235" s="652">
        <f t="shared" ca="1" si="153"/>
        <v>5.5679999999999996</v>
      </c>
      <c r="AI235" s="652">
        <f t="shared" ca="1" si="154"/>
        <v>4.4543999999999997</v>
      </c>
      <c r="AJ235" s="652">
        <f t="shared" ca="1" si="154"/>
        <v>0</v>
      </c>
      <c r="AK235" s="652">
        <f t="shared" ca="1" si="154"/>
        <v>0</v>
      </c>
      <c r="AL235" s="652">
        <f t="shared" ca="1" si="154"/>
        <v>55.002901374719997</v>
      </c>
      <c r="AM235" s="652">
        <f t="shared" ca="1" si="154"/>
        <v>79.754206993343999</v>
      </c>
      <c r="AN235" s="652">
        <f t="shared" ca="1" si="154"/>
        <v>79.754206993343999</v>
      </c>
      <c r="AO235" s="652">
        <f t="shared" ca="1" si="154"/>
        <v>63.803365594675192</v>
      </c>
      <c r="AP235" s="652">
        <f t="shared" ca="1" si="154"/>
        <v>51.042692475740161</v>
      </c>
      <c r="AQ235" s="652">
        <f t="shared" ca="1" si="154"/>
        <v>0</v>
      </c>
      <c r="AR235" s="652">
        <f t="shared" ca="1" si="154"/>
        <v>0</v>
      </c>
      <c r="AS235" s="652">
        <f t="shared" ca="1" si="154"/>
        <v>1.3127795616E-2</v>
      </c>
      <c r="AT235" s="652">
        <f t="shared" ca="1" si="154"/>
        <v>1.90353036432E-2</v>
      </c>
      <c r="AU235" s="652">
        <f t="shared" ca="1" si="154"/>
        <v>1.90353036432E-2</v>
      </c>
      <c r="AV235" s="652">
        <f t="shared" ca="1" si="154"/>
        <v>1.522824291456E-2</v>
      </c>
      <c r="AW235" s="652">
        <f t="shared" ca="1" si="151"/>
        <v>1.2182594331648E-2</v>
      </c>
      <c r="AX235" s="652">
        <f t="shared" ca="1" si="151"/>
        <v>0</v>
      </c>
      <c r="AY235" s="652">
        <f t="shared" ca="1" si="151"/>
        <v>0</v>
      </c>
      <c r="AZ235" s="652">
        <f t="shared" ca="1" si="151"/>
        <v>0</v>
      </c>
      <c r="BA235" s="652">
        <f t="shared" ca="1" si="151"/>
        <v>0</v>
      </c>
      <c r="BB235" s="652">
        <f t="shared" ca="1" si="151"/>
        <v>0</v>
      </c>
      <c r="BC235" s="652">
        <f t="shared" ca="1" si="151"/>
        <v>0</v>
      </c>
      <c r="BD235" s="652">
        <f t="shared" ca="1" si="151"/>
        <v>0</v>
      </c>
      <c r="BE235" s="652" t="str">
        <f t="shared" ca="1" si="162"/>
        <v>Commercial</v>
      </c>
      <c r="BF235" s="652" t="str">
        <f t="shared" ca="1" si="162"/>
        <v>OFFLGInLight</v>
      </c>
      <c r="BG235" s="652" t="str">
        <f t="shared" ca="1" si="162"/>
        <v>OFFSMGasDHW</v>
      </c>
      <c r="BH235" s="652" t="str">
        <f t="shared" ca="1" si="162"/>
        <v>KU NonRes</v>
      </c>
      <c r="BI235" s="652" t="str">
        <f t="shared" ca="1" si="162"/>
        <v>KU NonRes</v>
      </c>
      <c r="BJ235" s="652">
        <f t="shared" ca="1" si="152"/>
        <v>20</v>
      </c>
      <c r="BK235" s="652">
        <f t="shared" ca="1" si="152"/>
        <v>0</v>
      </c>
      <c r="BL235" s="652">
        <f t="shared" ca="1" si="163"/>
        <v>0</v>
      </c>
      <c r="BM235" s="652">
        <f t="shared" ca="1" si="163"/>
        <v>0</v>
      </c>
      <c r="BN235" s="652">
        <f t="shared" ca="1" si="163"/>
        <v>0</v>
      </c>
      <c r="BO235" s="652">
        <f t="shared" ca="1" si="163"/>
        <v>0</v>
      </c>
      <c r="BP235" s="652">
        <f t="shared" ca="1" si="163"/>
        <v>0</v>
      </c>
      <c r="BQ235" s="652">
        <f t="shared" ca="1" si="163"/>
        <v>0</v>
      </c>
      <c r="BR235" s="652">
        <f t="shared" ca="1" si="144"/>
        <v>2.8742399999999999</v>
      </c>
      <c r="BS235" s="652">
        <f t="shared" ca="1" si="151"/>
        <v>192.93335999999999</v>
      </c>
      <c r="BT235" s="652">
        <f t="shared" ca="1" si="151"/>
        <v>0</v>
      </c>
      <c r="BU235" s="652">
        <f t="shared" ca="1" si="151"/>
        <v>28.742399999999996</v>
      </c>
      <c r="BV235" s="652">
        <f t="shared" ca="1" si="151"/>
        <v>0</v>
      </c>
      <c r="BW235" s="652">
        <f t="shared" ca="1" si="151"/>
        <v>329.35737343182336</v>
      </c>
      <c r="BX235" s="652">
        <f t="shared" ca="1" si="123"/>
        <v>7.8609240148608012E-2</v>
      </c>
      <c r="BY235" s="652">
        <f t="shared" ca="1" si="123"/>
        <v>0</v>
      </c>
    </row>
    <row r="236" spans="1:77">
      <c r="A236" s="425" t="str">
        <f t="shared" ca="1" si="138"/>
        <v>NonRes Midstream LightingKU - LED High Bay</v>
      </c>
      <c r="B236" s="1298" t="str">
        <f t="shared" ref="B236:B243" si="164">IF(ISNUMBER(SEARCH("KU",C236)),"KU"&amp;D236,"LG&amp;E"&amp;D236)</f>
        <v>KUNonRes Midstream Lighting</v>
      </c>
      <c r="C236" s="661" t="s">
        <v>173</v>
      </c>
      <c r="D236" s="662" t="s">
        <v>68</v>
      </c>
      <c r="E236" s="652" t="str">
        <f t="shared" ref="E236:G243" ca="1" si="165">VLOOKUP($C236,INDIRECT("'"&amp;$D236&amp;"'!A6:FC1000"),IF(E$6="Participation 2023",MATCH("__Participation 2023",INDIRECT("'"&amp;$D236&amp;"'!1:1"),0),IF(E$6="Participation",MATCH("_Total Plan Summary _Participation",INDIRECT("'"&amp;$D236&amp;"'!1:1"),0),MATCH(E$4&amp;"_"&amp;E$5&amp;"_"&amp;E$6,INDIRECT("'"&amp;$D236&amp;"'!1:1"),0))),0)</f>
        <v>KU - LED High Bay</v>
      </c>
      <c r="F236" s="652" t="str">
        <f t="shared" ca="1" si="165"/>
        <v>Any LED lamps or ballasts must also be ENERGY STAR® certified or listed on the Design Lights Consortium (DLC) qualified list.</v>
      </c>
      <c r="G236" s="652" t="str">
        <f t="shared" ca="1" si="165"/>
        <v>Per Unit</v>
      </c>
      <c r="H236" s="652">
        <f t="shared" ref="H236:Q243" ca="1" si="166">VLOOKUP($C236,INDIRECT("'"&amp;$D236&amp;"'!A6:FR1000"),IF(H$6="Participation 2023",MATCH("__Participation 2023",INDIRECT("'"&amp;$D236&amp;"'!1:1"),0),IF(H$6="Participation",MATCH("_Total Plan Summary _Participation",INDIRECT("'"&amp;$D236&amp;"'!1:1"),0),MATCH(H$4&amp;"_"&amp;H$5&amp;"_"&amp;H$6,INDIRECT("'"&amp;$D236&amp;"'!1:1"),0))),0)</f>
        <v>0</v>
      </c>
      <c r="I236" s="652">
        <f t="shared" ca="1" si="166"/>
        <v>0</v>
      </c>
      <c r="J236" s="652">
        <f t="shared" ca="1" si="166"/>
        <v>0</v>
      </c>
      <c r="K236" s="652">
        <f t="shared" ca="1" si="166"/>
        <v>0</v>
      </c>
      <c r="L236" s="652">
        <f t="shared" ca="1" si="166"/>
        <v>0</v>
      </c>
      <c r="M236" s="652">
        <f t="shared" ca="1" si="166"/>
        <v>0</v>
      </c>
      <c r="N236" s="652">
        <f t="shared" ca="1" si="166"/>
        <v>0</v>
      </c>
      <c r="O236" s="652">
        <f t="shared" ca="1" si="166"/>
        <v>0</v>
      </c>
      <c r="P236" s="652">
        <f t="shared" ca="1" si="166"/>
        <v>0</v>
      </c>
      <c r="Q236" s="652">
        <f t="shared" ca="1" si="166"/>
        <v>0</v>
      </c>
      <c r="R236" s="652">
        <f t="shared" ca="1" si="155"/>
        <v>0</v>
      </c>
      <c r="S236" s="652">
        <f t="shared" ca="1" si="155"/>
        <v>0</v>
      </c>
      <c r="T236" s="652">
        <f t="shared" ca="1" si="155"/>
        <v>0</v>
      </c>
      <c r="U236" s="652">
        <f t="shared" ca="1" si="155"/>
        <v>0</v>
      </c>
      <c r="V236" s="652">
        <f t="shared" ca="1" si="153"/>
        <v>0</v>
      </c>
      <c r="W236" s="652">
        <f t="shared" ca="1" si="153"/>
        <v>0</v>
      </c>
      <c r="X236" s="652">
        <f t="shared" ca="1" si="153"/>
        <v>0</v>
      </c>
      <c r="Y236" s="652">
        <f t="shared" ca="1" si="153"/>
        <v>0</v>
      </c>
      <c r="Z236" s="652">
        <f t="shared" ca="1" si="153"/>
        <v>0</v>
      </c>
      <c r="AA236" s="652">
        <f t="shared" ca="1" si="153"/>
        <v>0</v>
      </c>
      <c r="AB236" s="652">
        <f t="shared" ca="1" si="153"/>
        <v>0</v>
      </c>
      <c r="AC236" s="652">
        <f t="shared" ca="1" si="153"/>
        <v>0</v>
      </c>
      <c r="AD236" s="652">
        <f t="shared" ca="1" si="153"/>
        <v>0</v>
      </c>
      <c r="AE236" s="652">
        <f t="shared" ca="1" si="153"/>
        <v>0</v>
      </c>
      <c r="AF236" s="652">
        <f t="shared" ca="1" si="153"/>
        <v>0</v>
      </c>
      <c r="AG236" s="652">
        <f t="shared" ca="1" si="153"/>
        <v>0</v>
      </c>
      <c r="AH236" s="652">
        <f t="shared" ca="1" si="153"/>
        <v>0</v>
      </c>
      <c r="AI236" s="652">
        <f t="shared" ca="1" si="154"/>
        <v>0</v>
      </c>
      <c r="AJ236" s="652">
        <f t="shared" ca="1" si="154"/>
        <v>0</v>
      </c>
      <c r="AK236" s="652">
        <f t="shared" ca="1" si="154"/>
        <v>0</v>
      </c>
      <c r="AL236" s="652">
        <f t="shared" ca="1" si="154"/>
        <v>0</v>
      </c>
      <c r="AM236" s="652">
        <f t="shared" ca="1" si="154"/>
        <v>0</v>
      </c>
      <c r="AN236" s="652">
        <f t="shared" ca="1" si="154"/>
        <v>0</v>
      </c>
      <c r="AO236" s="652">
        <f t="shared" ca="1" si="154"/>
        <v>0</v>
      </c>
      <c r="AP236" s="652">
        <f t="shared" ca="1" si="154"/>
        <v>0</v>
      </c>
      <c r="AQ236" s="652">
        <f t="shared" ca="1" si="154"/>
        <v>0</v>
      </c>
      <c r="AR236" s="652">
        <f t="shared" ca="1" si="154"/>
        <v>0</v>
      </c>
      <c r="AS236" s="652">
        <f t="shared" ca="1" si="154"/>
        <v>0</v>
      </c>
      <c r="AT236" s="652">
        <f t="shared" ca="1" si="154"/>
        <v>0</v>
      </c>
      <c r="AU236" s="652">
        <f t="shared" ca="1" si="154"/>
        <v>0</v>
      </c>
      <c r="AV236" s="652">
        <f t="shared" ca="1" si="154"/>
        <v>0</v>
      </c>
      <c r="AW236" s="652">
        <f t="shared" ca="1" si="151"/>
        <v>0</v>
      </c>
      <c r="AX236" s="652">
        <f t="shared" ca="1" si="151"/>
        <v>0</v>
      </c>
      <c r="AY236" s="652">
        <f t="shared" ca="1" si="151"/>
        <v>0</v>
      </c>
      <c r="AZ236" s="652">
        <f t="shared" ca="1" si="151"/>
        <v>0</v>
      </c>
      <c r="BA236" s="652">
        <f t="shared" ca="1" si="151"/>
        <v>0</v>
      </c>
      <c r="BB236" s="652">
        <f t="shared" ca="1" si="151"/>
        <v>0</v>
      </c>
      <c r="BC236" s="652">
        <f t="shared" ca="1" si="151"/>
        <v>0</v>
      </c>
      <c r="BD236" s="652">
        <f t="shared" ca="1" si="151"/>
        <v>0</v>
      </c>
      <c r="BE236" s="652" t="str">
        <f t="shared" ca="1" si="162"/>
        <v>Commercial</v>
      </c>
      <c r="BF236" s="652" t="str">
        <f t="shared" ca="1" si="162"/>
        <v>OFFLGInLight</v>
      </c>
      <c r="BG236" s="652" t="str">
        <f t="shared" ca="1" si="162"/>
        <v>OFFSMGasDHW</v>
      </c>
      <c r="BH236" s="652" t="str">
        <f t="shared" ca="1" si="162"/>
        <v>KU NonRes</v>
      </c>
      <c r="BI236" s="652" t="str">
        <f t="shared" ca="1" si="162"/>
        <v>KU NonRes</v>
      </c>
      <c r="BJ236" s="652">
        <f t="shared" ca="1" si="152"/>
        <v>20</v>
      </c>
      <c r="BK236" s="652">
        <f t="shared" ca="1" si="152"/>
        <v>0</v>
      </c>
      <c r="BL236" s="652">
        <f t="shared" ca="1" si="163"/>
        <v>0</v>
      </c>
      <c r="BM236" s="652">
        <f t="shared" ca="1" si="163"/>
        <v>0</v>
      </c>
      <c r="BN236" s="652">
        <f t="shared" ca="1" si="163"/>
        <v>0</v>
      </c>
      <c r="BO236" s="652">
        <f t="shared" ca="1" si="163"/>
        <v>0</v>
      </c>
      <c r="BP236" s="652">
        <f t="shared" ca="1" si="163"/>
        <v>0</v>
      </c>
      <c r="BQ236" s="652">
        <f t="shared" ca="1" si="163"/>
        <v>0</v>
      </c>
      <c r="BR236" s="652">
        <f t="shared" ca="1" si="144"/>
        <v>0</v>
      </c>
      <c r="BS236" s="652">
        <f t="shared" ref="BS236:BY243" ca="1" si="167">VLOOKUP($C236,INDIRECT("'"&amp;$D236&amp;"'!A6:FR1000"),IF(BS$6="Participation 2023",MATCH("__Participation 2023",INDIRECT("'"&amp;$D236&amp;"'!1:1"),0),IF(BS$6="Participation",MATCH("_Total Plan Summary _Participation",INDIRECT("'"&amp;$D236&amp;"'!1:1"),0),MATCH(BS$4&amp;"_"&amp;BS$5&amp;"_"&amp;BS$6,INDIRECT("'"&amp;$D236&amp;"'!1:1"),0))),0)</f>
        <v>0</v>
      </c>
      <c r="BT236" s="652">
        <f t="shared" ca="1" si="167"/>
        <v>0</v>
      </c>
      <c r="BU236" s="652">
        <f t="shared" ca="1" si="167"/>
        <v>0</v>
      </c>
      <c r="BV236" s="652">
        <f t="shared" ca="1" si="167"/>
        <v>0</v>
      </c>
      <c r="BW236" s="652">
        <f t="shared" ca="1" si="167"/>
        <v>0</v>
      </c>
      <c r="BX236" s="652">
        <f t="shared" ca="1" si="167"/>
        <v>0</v>
      </c>
      <c r="BY236" s="652">
        <f t="shared" ca="1" si="167"/>
        <v>0</v>
      </c>
    </row>
    <row r="237" spans="1:77">
      <c r="A237" s="425" t="str">
        <f t="shared" ca="1" si="138"/>
        <v>NonRes Midstream LightingKU - LED Tube</v>
      </c>
      <c r="B237" s="1298" t="str">
        <f t="shared" si="164"/>
        <v>KUNonRes Midstream Lighting</v>
      </c>
      <c r="C237" s="661" t="s">
        <v>175</v>
      </c>
      <c r="D237" s="662" t="s">
        <v>68</v>
      </c>
      <c r="E237" s="652" t="str">
        <f t="shared" ca="1" si="165"/>
        <v>KU - LED Tube</v>
      </c>
      <c r="F237" s="652" t="str">
        <f t="shared" ca="1" si="165"/>
        <v>Any LED lamps or ballasts must also be ENERGY STAR® certified or listed on the Design Lights Consortium (DLC) qualified list.</v>
      </c>
      <c r="G237" s="652" t="str">
        <f t="shared" ca="1" si="165"/>
        <v>Per Unit</v>
      </c>
      <c r="H237" s="652">
        <f t="shared" ca="1" si="166"/>
        <v>0</v>
      </c>
      <c r="I237" s="652">
        <f t="shared" ca="1" si="166"/>
        <v>0</v>
      </c>
      <c r="J237" s="652">
        <f t="shared" ca="1" si="166"/>
        <v>2914.08</v>
      </c>
      <c r="K237" s="652">
        <f t="shared" ca="1" si="166"/>
        <v>4371.12</v>
      </c>
      <c r="L237" s="652">
        <f t="shared" ca="1" si="166"/>
        <v>4371.12</v>
      </c>
      <c r="M237" s="652">
        <f t="shared" ca="1" si="166"/>
        <v>3496.8960000000002</v>
      </c>
      <c r="N237" s="652">
        <f t="shared" ca="1" si="166"/>
        <v>2797.5168000000003</v>
      </c>
      <c r="O237" s="652">
        <f t="shared" ca="1" si="166"/>
        <v>0</v>
      </c>
      <c r="P237" s="652">
        <f t="shared" ca="1" si="166"/>
        <v>0</v>
      </c>
      <c r="Q237" s="652">
        <f t="shared" ca="1" si="166"/>
        <v>88019.786399999997</v>
      </c>
      <c r="R237" s="652">
        <f t="shared" ca="1" si="155"/>
        <v>132029.6796</v>
      </c>
      <c r="S237" s="652">
        <f t="shared" ca="1" si="155"/>
        <v>132029.6796</v>
      </c>
      <c r="T237" s="652">
        <f t="shared" ca="1" si="155"/>
        <v>105623.74368000001</v>
      </c>
      <c r="U237" s="652">
        <f t="shared" ca="1" si="155"/>
        <v>84498.99494400002</v>
      </c>
      <c r="V237" s="652">
        <f t="shared" ca="1" si="153"/>
        <v>0</v>
      </c>
      <c r="W237" s="652">
        <f t="shared" ca="1" si="153"/>
        <v>0</v>
      </c>
      <c r="X237" s="652">
        <f t="shared" ca="1" si="153"/>
        <v>0</v>
      </c>
      <c r="Y237" s="652">
        <f t="shared" ca="1" si="153"/>
        <v>0</v>
      </c>
      <c r="Z237" s="652">
        <f t="shared" ca="1" si="153"/>
        <v>0</v>
      </c>
      <c r="AA237" s="652">
        <f t="shared" ca="1" si="153"/>
        <v>0</v>
      </c>
      <c r="AB237" s="652">
        <f t="shared" ca="1" si="153"/>
        <v>0</v>
      </c>
      <c r="AC237" s="652">
        <f t="shared" ca="1" si="153"/>
        <v>0</v>
      </c>
      <c r="AD237" s="652">
        <f t="shared" ca="1" si="153"/>
        <v>0</v>
      </c>
      <c r="AE237" s="652">
        <f t="shared" ca="1" si="153"/>
        <v>8742.24</v>
      </c>
      <c r="AF237" s="652">
        <f t="shared" ca="1" si="153"/>
        <v>13113.36</v>
      </c>
      <c r="AG237" s="652">
        <f t="shared" ca="1" si="153"/>
        <v>13113.36</v>
      </c>
      <c r="AH237" s="652">
        <f t="shared" ca="1" si="153"/>
        <v>10490.688</v>
      </c>
      <c r="AI237" s="652">
        <f t="shared" ca="1" si="154"/>
        <v>8392.5504000000001</v>
      </c>
      <c r="AJ237" s="652">
        <f t="shared" ca="1" si="154"/>
        <v>0</v>
      </c>
      <c r="AK237" s="652">
        <f t="shared" ca="1" si="154"/>
        <v>0</v>
      </c>
      <c r="AL237" s="652">
        <f t="shared" ca="1" si="154"/>
        <v>115069.73399999998</v>
      </c>
      <c r="AM237" s="652">
        <f t="shared" ca="1" si="154"/>
        <v>172604.601</v>
      </c>
      <c r="AN237" s="652">
        <f t="shared" ca="1" si="154"/>
        <v>172604.601</v>
      </c>
      <c r="AO237" s="652">
        <f t="shared" ca="1" si="154"/>
        <v>138083.6808</v>
      </c>
      <c r="AP237" s="652">
        <f t="shared" ca="1" si="154"/>
        <v>110466.94464</v>
      </c>
      <c r="AQ237" s="652">
        <f t="shared" ca="1" si="154"/>
        <v>0</v>
      </c>
      <c r="AR237" s="652">
        <f t="shared" ca="1" si="154"/>
        <v>0</v>
      </c>
      <c r="AS237" s="652">
        <f t="shared" ca="1" si="154"/>
        <v>17.757674999999999</v>
      </c>
      <c r="AT237" s="652">
        <f t="shared" ca="1" si="154"/>
        <v>26.636512499999998</v>
      </c>
      <c r="AU237" s="652">
        <f t="shared" ca="1" si="154"/>
        <v>26.636512499999998</v>
      </c>
      <c r="AV237" s="652">
        <f t="shared" ca="1" si="154"/>
        <v>21.30921</v>
      </c>
      <c r="AW237" s="652">
        <f t="shared" ca="1" si="151"/>
        <v>17.047368000000002</v>
      </c>
      <c r="AX237" s="652">
        <f t="shared" ca="1" si="151"/>
        <v>0</v>
      </c>
      <c r="AY237" s="652">
        <f t="shared" ca="1" si="151"/>
        <v>0</v>
      </c>
      <c r="AZ237" s="652">
        <f t="shared" ca="1" si="151"/>
        <v>0</v>
      </c>
      <c r="BA237" s="652">
        <f t="shared" ca="1" si="151"/>
        <v>0</v>
      </c>
      <c r="BB237" s="652">
        <f t="shared" ca="1" si="151"/>
        <v>0</v>
      </c>
      <c r="BC237" s="652">
        <f t="shared" ca="1" si="151"/>
        <v>0</v>
      </c>
      <c r="BD237" s="652">
        <f t="shared" ca="1" si="151"/>
        <v>0</v>
      </c>
      <c r="BE237" s="652" t="str">
        <f t="shared" ca="1" si="162"/>
        <v>Commercial</v>
      </c>
      <c r="BF237" s="652" t="str">
        <f t="shared" ca="1" si="162"/>
        <v>OFFLGInLight</v>
      </c>
      <c r="BG237" s="652" t="str">
        <f t="shared" ca="1" si="162"/>
        <v>OFFSMGasDHW</v>
      </c>
      <c r="BH237" s="652" t="str">
        <f t="shared" ca="1" si="162"/>
        <v>KU NonRes</v>
      </c>
      <c r="BI237" s="652" t="str">
        <f t="shared" ca="1" si="162"/>
        <v>KU NonRes</v>
      </c>
      <c r="BJ237" s="652">
        <f t="shared" ca="1" si="152"/>
        <v>20</v>
      </c>
      <c r="BK237" s="652">
        <f t="shared" ca="1" si="152"/>
        <v>0</v>
      </c>
      <c r="BL237" s="652">
        <f t="shared" ca="1" si="163"/>
        <v>0</v>
      </c>
      <c r="BM237" s="652">
        <f t="shared" ca="1" si="163"/>
        <v>0</v>
      </c>
      <c r="BN237" s="652">
        <f t="shared" ca="1" si="163"/>
        <v>0</v>
      </c>
      <c r="BO237" s="652">
        <f t="shared" ca="1" si="163"/>
        <v>0</v>
      </c>
      <c r="BP237" s="652">
        <f t="shared" ca="1" si="163"/>
        <v>0</v>
      </c>
      <c r="BQ237" s="652">
        <f t="shared" ca="1" si="163"/>
        <v>0</v>
      </c>
      <c r="BR237" s="652">
        <f t="shared" ca="1" si="144"/>
        <v>17950.732800000002</v>
      </c>
      <c r="BS237" s="652">
        <f t="shared" ca="1" si="167"/>
        <v>542201.88422400004</v>
      </c>
      <c r="BT237" s="652">
        <f t="shared" ca="1" si="167"/>
        <v>0</v>
      </c>
      <c r="BU237" s="652">
        <f t="shared" ca="1" si="167"/>
        <v>53852.198400000001</v>
      </c>
      <c r="BV237" s="652">
        <f t="shared" ca="1" si="167"/>
        <v>0</v>
      </c>
      <c r="BW237" s="652">
        <f t="shared" ca="1" si="167"/>
        <v>708829.56143999996</v>
      </c>
      <c r="BX237" s="652">
        <f t="shared" ca="1" si="167"/>
        <v>109.38727800000001</v>
      </c>
      <c r="BY237" s="652">
        <f t="shared" ca="1" si="167"/>
        <v>0</v>
      </c>
    </row>
    <row r="238" spans="1:77">
      <c r="A238" s="425" t="str">
        <f t="shared" ca="1" si="138"/>
        <v>NonRes Midstream LightingKU - Interior ≤ 10W</v>
      </c>
      <c r="B238" s="1298" t="str">
        <f t="shared" si="164"/>
        <v>KUNonRes Midstream Lighting</v>
      </c>
      <c r="C238" s="661" t="s">
        <v>176</v>
      </c>
      <c r="D238" s="662" t="s">
        <v>68</v>
      </c>
      <c r="E238" s="652" t="str">
        <f t="shared" ca="1" si="165"/>
        <v>KU - Interior ≤ 10W</v>
      </c>
      <c r="F238" s="652" t="str">
        <f t="shared" ca="1" si="165"/>
        <v>Any LED lamps or ballasts must also be ENERGY STAR® certified or listed on the Design Lights Consortium (DLC) qualified list.</v>
      </c>
      <c r="G238" s="652" t="str">
        <f t="shared" ca="1" si="165"/>
        <v>Per Unit</v>
      </c>
      <c r="H238" s="652">
        <f t="shared" ca="1" si="166"/>
        <v>0</v>
      </c>
      <c r="I238" s="652">
        <f t="shared" ca="1" si="166"/>
        <v>0</v>
      </c>
      <c r="J238" s="652">
        <f t="shared" ca="1" si="166"/>
        <v>7070.88</v>
      </c>
      <c r="K238" s="652">
        <f t="shared" ca="1" si="166"/>
        <v>10606.32</v>
      </c>
      <c r="L238" s="652">
        <f t="shared" ca="1" si="166"/>
        <v>10606.32</v>
      </c>
      <c r="M238" s="652">
        <f t="shared" ca="1" si="166"/>
        <v>8485.0560000000005</v>
      </c>
      <c r="N238" s="652">
        <f t="shared" ca="1" si="166"/>
        <v>6788.0448000000006</v>
      </c>
      <c r="O238" s="652">
        <f t="shared" ca="1" si="166"/>
        <v>0</v>
      </c>
      <c r="P238" s="652">
        <f t="shared" ca="1" si="166"/>
        <v>0</v>
      </c>
      <c r="Q238" s="652">
        <f t="shared" ca="1" si="166"/>
        <v>254551.67999999999</v>
      </c>
      <c r="R238" s="652">
        <f t="shared" ca="1" si="155"/>
        <v>381827.52</v>
      </c>
      <c r="S238" s="652">
        <f t="shared" ca="1" si="155"/>
        <v>381827.52</v>
      </c>
      <c r="T238" s="652">
        <f t="shared" ca="1" si="155"/>
        <v>305462.016</v>
      </c>
      <c r="U238" s="652">
        <f t="shared" ca="1" si="155"/>
        <v>244369.61280000003</v>
      </c>
      <c r="V238" s="652">
        <f t="shared" ca="1" si="153"/>
        <v>0</v>
      </c>
      <c r="W238" s="652">
        <f t="shared" ca="1" si="153"/>
        <v>0</v>
      </c>
      <c r="X238" s="652">
        <f t="shared" ca="1" si="153"/>
        <v>0</v>
      </c>
      <c r="Y238" s="652">
        <f t="shared" ca="1" si="153"/>
        <v>0</v>
      </c>
      <c r="Z238" s="652">
        <f t="shared" ca="1" si="153"/>
        <v>0</v>
      </c>
      <c r="AA238" s="652">
        <f t="shared" ca="1" si="153"/>
        <v>0</v>
      </c>
      <c r="AB238" s="652">
        <f t="shared" ca="1" si="153"/>
        <v>0</v>
      </c>
      <c r="AC238" s="652">
        <f t="shared" ca="1" si="153"/>
        <v>0</v>
      </c>
      <c r="AD238" s="652">
        <f t="shared" ca="1" si="153"/>
        <v>0</v>
      </c>
      <c r="AE238" s="652">
        <f t="shared" ca="1" si="153"/>
        <v>35354.400000000001</v>
      </c>
      <c r="AF238" s="652">
        <f t="shared" ca="1" si="153"/>
        <v>53031.6</v>
      </c>
      <c r="AG238" s="652">
        <f t="shared" ca="1" si="153"/>
        <v>53031.6</v>
      </c>
      <c r="AH238" s="652">
        <f t="shared" ca="1" si="153"/>
        <v>42425.279999999999</v>
      </c>
      <c r="AI238" s="652">
        <f t="shared" ca="1" si="154"/>
        <v>33940.224000000002</v>
      </c>
      <c r="AJ238" s="652">
        <f t="shared" ca="1" si="154"/>
        <v>0</v>
      </c>
      <c r="AK238" s="652">
        <f t="shared" ca="1" si="154"/>
        <v>0</v>
      </c>
      <c r="AL238" s="652">
        <f t="shared" ca="1" si="154"/>
        <v>1181737.8910835667</v>
      </c>
      <c r="AM238" s="652">
        <f t="shared" ca="1" si="154"/>
        <v>1772606.8366253502</v>
      </c>
      <c r="AN238" s="652">
        <f t="shared" ca="1" si="154"/>
        <v>1772606.8366253502</v>
      </c>
      <c r="AO238" s="652">
        <f t="shared" ca="1" si="154"/>
        <v>1418085.4693002803</v>
      </c>
      <c r="AP238" s="652">
        <f t="shared" ca="1" si="154"/>
        <v>1134468.3754402243</v>
      </c>
      <c r="AQ238" s="652">
        <f t="shared" ca="1" si="154"/>
        <v>0</v>
      </c>
      <c r="AR238" s="652">
        <f t="shared" ca="1" si="154"/>
        <v>0</v>
      </c>
      <c r="AS238" s="652">
        <f t="shared" ca="1" si="154"/>
        <v>272.56496516814701</v>
      </c>
      <c r="AT238" s="652">
        <f t="shared" ca="1" si="154"/>
        <v>408.84744775222049</v>
      </c>
      <c r="AU238" s="652">
        <f t="shared" ca="1" si="154"/>
        <v>408.84744775222049</v>
      </c>
      <c r="AV238" s="652">
        <f t="shared" ca="1" si="154"/>
        <v>327.07795820177643</v>
      </c>
      <c r="AW238" s="652">
        <f t="shared" ca="1" si="151"/>
        <v>261.66236656142115</v>
      </c>
      <c r="AX238" s="652">
        <f t="shared" ca="1" si="151"/>
        <v>0</v>
      </c>
      <c r="AY238" s="652">
        <f t="shared" ca="1" si="151"/>
        <v>0</v>
      </c>
      <c r="AZ238" s="652">
        <f t="shared" ca="1" si="151"/>
        <v>0</v>
      </c>
      <c r="BA238" s="652">
        <f t="shared" ca="1" si="151"/>
        <v>0</v>
      </c>
      <c r="BB238" s="652">
        <f t="shared" ca="1" si="151"/>
        <v>0</v>
      </c>
      <c r="BC238" s="652">
        <f t="shared" ca="1" si="151"/>
        <v>0</v>
      </c>
      <c r="BD238" s="652">
        <f t="shared" ca="1" si="151"/>
        <v>0</v>
      </c>
      <c r="BE238" s="652" t="str">
        <f t="shared" ca="1" si="162"/>
        <v>Commercial</v>
      </c>
      <c r="BF238" s="652" t="str">
        <f t="shared" ca="1" si="162"/>
        <v>OFFLGInLight</v>
      </c>
      <c r="BG238" s="652" t="str">
        <f t="shared" ca="1" si="162"/>
        <v>OFFSMGasDHW</v>
      </c>
      <c r="BH238" s="652" t="str">
        <f t="shared" ca="1" si="162"/>
        <v>KU NonRes</v>
      </c>
      <c r="BI238" s="652" t="str">
        <f t="shared" ca="1" si="162"/>
        <v>KU NonRes</v>
      </c>
      <c r="BJ238" s="652">
        <f t="shared" ca="1" si="152"/>
        <v>12</v>
      </c>
      <c r="BK238" s="652">
        <f t="shared" ca="1" si="152"/>
        <v>0</v>
      </c>
      <c r="BL238" s="652">
        <f t="shared" ca="1" si="163"/>
        <v>0</v>
      </c>
      <c r="BM238" s="652">
        <f t="shared" ca="1" si="163"/>
        <v>0</v>
      </c>
      <c r="BN238" s="652">
        <f t="shared" ca="1" si="163"/>
        <v>0</v>
      </c>
      <c r="BO238" s="652">
        <f t="shared" ca="1" si="163"/>
        <v>0</v>
      </c>
      <c r="BP238" s="652">
        <f t="shared" ca="1" si="163"/>
        <v>0</v>
      </c>
      <c r="BQ238" s="652">
        <f t="shared" ca="1" si="163"/>
        <v>0</v>
      </c>
      <c r="BR238" s="652">
        <f t="shared" ca="1" si="144"/>
        <v>43556.620800000004</v>
      </c>
      <c r="BS238" s="652">
        <f t="shared" ca="1" si="167"/>
        <v>1568038.3488</v>
      </c>
      <c r="BT238" s="652">
        <f t="shared" ca="1" si="167"/>
        <v>0</v>
      </c>
      <c r="BU238" s="652">
        <f t="shared" ca="1" si="167"/>
        <v>217783.10399999999</v>
      </c>
      <c r="BV238" s="652">
        <f t="shared" ca="1" si="167"/>
        <v>0</v>
      </c>
      <c r="BW238" s="652">
        <f t="shared" ca="1" si="167"/>
        <v>7279505.4090747721</v>
      </c>
      <c r="BX238" s="652">
        <f t="shared" ca="1" si="167"/>
        <v>1679.0001854357856</v>
      </c>
      <c r="BY238" s="652">
        <f t="shared" ca="1" si="167"/>
        <v>0</v>
      </c>
    </row>
    <row r="239" spans="1:77">
      <c r="A239" s="425" t="str">
        <f t="shared" ca="1" si="138"/>
        <v>NonRes Midstream LightingKU - Interior &gt; 10W and &lt; 50W</v>
      </c>
      <c r="B239" s="1298" t="str">
        <f t="shared" si="164"/>
        <v>KUNonRes Midstream Lighting</v>
      </c>
      <c r="C239" s="661" t="s">
        <v>177</v>
      </c>
      <c r="D239" s="662" t="s">
        <v>68</v>
      </c>
      <c r="E239" s="652" t="str">
        <f t="shared" ca="1" si="165"/>
        <v>KU - Interior &gt; 10W and &lt; 50W</v>
      </c>
      <c r="F239" s="652" t="str">
        <f t="shared" ca="1" si="165"/>
        <v>Any LED lamps or ballasts must also be ENERGY STAR® certified or listed on the Design Lights Consortium (DLC) qualified list.</v>
      </c>
      <c r="G239" s="652" t="str">
        <f t="shared" ca="1" si="165"/>
        <v>Per Unit</v>
      </c>
      <c r="H239" s="652">
        <f t="shared" ca="1" si="166"/>
        <v>0</v>
      </c>
      <c r="I239" s="652">
        <f t="shared" ca="1" si="166"/>
        <v>0</v>
      </c>
      <c r="J239" s="652">
        <f t="shared" ca="1" si="166"/>
        <v>94302.720000000001</v>
      </c>
      <c r="K239" s="652">
        <f t="shared" ca="1" si="166"/>
        <v>141454.07999999999</v>
      </c>
      <c r="L239" s="652">
        <f t="shared" ca="1" si="166"/>
        <v>141454.07999999999</v>
      </c>
      <c r="M239" s="652">
        <f t="shared" ca="1" si="166"/>
        <v>113163.264</v>
      </c>
      <c r="N239" s="652">
        <f t="shared" ca="1" si="166"/>
        <v>90530.611199999999</v>
      </c>
      <c r="O239" s="652">
        <f t="shared" ca="1" si="166"/>
        <v>0</v>
      </c>
      <c r="P239" s="652">
        <f t="shared" ca="1" si="166"/>
        <v>0</v>
      </c>
      <c r="Q239" s="652">
        <f t="shared" ca="1" si="166"/>
        <v>3421841.5542857144</v>
      </c>
      <c r="R239" s="652">
        <f t="shared" ca="1" si="155"/>
        <v>5132762.3314285707</v>
      </c>
      <c r="S239" s="652">
        <f t="shared" ca="1" si="155"/>
        <v>5132762.3314285707</v>
      </c>
      <c r="T239" s="652">
        <f t="shared" ca="1" si="155"/>
        <v>4106209.8651428567</v>
      </c>
      <c r="U239" s="652">
        <f t="shared" ca="1" si="155"/>
        <v>3284967.8921142854</v>
      </c>
      <c r="V239" s="652">
        <f t="shared" ca="1" si="153"/>
        <v>0</v>
      </c>
      <c r="W239" s="652">
        <f t="shared" ca="1" si="153"/>
        <v>0</v>
      </c>
      <c r="X239" s="652">
        <f t="shared" ca="1" si="153"/>
        <v>0</v>
      </c>
      <c r="Y239" s="652">
        <f t="shared" ca="1" si="153"/>
        <v>0</v>
      </c>
      <c r="Z239" s="652">
        <f t="shared" ca="1" si="153"/>
        <v>0</v>
      </c>
      <c r="AA239" s="652">
        <f t="shared" ca="1" si="153"/>
        <v>0</v>
      </c>
      <c r="AB239" s="652">
        <f t="shared" ca="1" si="153"/>
        <v>0</v>
      </c>
      <c r="AC239" s="652">
        <f t="shared" ca="1" si="153"/>
        <v>0</v>
      </c>
      <c r="AD239" s="652">
        <f t="shared" ca="1" si="153"/>
        <v>0</v>
      </c>
      <c r="AE239" s="652">
        <f t="shared" ca="1" si="153"/>
        <v>471513.59999999998</v>
      </c>
      <c r="AF239" s="652">
        <f t="shared" ca="1" si="153"/>
        <v>707270.39999999991</v>
      </c>
      <c r="AG239" s="652">
        <f t="shared" ca="1" si="153"/>
        <v>707270.39999999991</v>
      </c>
      <c r="AH239" s="652">
        <f t="shared" ca="1" si="153"/>
        <v>565816.31999999995</v>
      </c>
      <c r="AI239" s="652">
        <f t="shared" ca="1" si="154"/>
        <v>452653.05599999998</v>
      </c>
      <c r="AJ239" s="652">
        <f t="shared" ca="1" si="154"/>
        <v>0</v>
      </c>
      <c r="AK239" s="652">
        <f t="shared" ca="1" si="154"/>
        <v>0</v>
      </c>
      <c r="AL239" s="652">
        <f t="shared" ca="1" si="154"/>
        <v>12176375.307612205</v>
      </c>
      <c r="AM239" s="652">
        <f t="shared" ca="1" si="154"/>
        <v>18264562.961418305</v>
      </c>
      <c r="AN239" s="652">
        <f t="shared" ca="1" si="154"/>
        <v>18264562.961418305</v>
      </c>
      <c r="AO239" s="652">
        <f t="shared" ca="1" si="154"/>
        <v>14611650.369134646</v>
      </c>
      <c r="AP239" s="652">
        <f t="shared" ca="1" si="154"/>
        <v>11689320.295307716</v>
      </c>
      <c r="AQ239" s="652">
        <f t="shared" ca="1" si="154"/>
        <v>0</v>
      </c>
      <c r="AR239" s="652">
        <f t="shared" ca="1" si="154"/>
        <v>0</v>
      </c>
      <c r="AS239" s="652">
        <f t="shared" ca="1" si="154"/>
        <v>5888.9498519754306</v>
      </c>
      <c r="AT239" s="652">
        <f t="shared" ca="1" si="154"/>
        <v>8833.4247779631442</v>
      </c>
      <c r="AU239" s="652">
        <f t="shared" ca="1" si="154"/>
        <v>8833.4247779631442</v>
      </c>
      <c r="AV239" s="652">
        <f t="shared" ca="1" si="154"/>
        <v>7066.7398223705159</v>
      </c>
      <c r="AW239" s="652">
        <f t="shared" ca="1" si="151"/>
        <v>5653.3918578964131</v>
      </c>
      <c r="AX239" s="652">
        <f t="shared" ca="1" si="151"/>
        <v>0</v>
      </c>
      <c r="AY239" s="652">
        <f t="shared" ca="1" si="151"/>
        <v>0</v>
      </c>
      <c r="AZ239" s="652">
        <f t="shared" ca="1" si="151"/>
        <v>0</v>
      </c>
      <c r="BA239" s="652">
        <f t="shared" ca="1" si="151"/>
        <v>0</v>
      </c>
      <c r="BB239" s="652">
        <f t="shared" ca="1" si="151"/>
        <v>0</v>
      </c>
      <c r="BC239" s="652">
        <f t="shared" ca="1" si="151"/>
        <v>0</v>
      </c>
      <c r="BD239" s="652">
        <f t="shared" ca="1" si="151"/>
        <v>0</v>
      </c>
      <c r="BE239" s="652" t="str">
        <f t="shared" ca="1" si="162"/>
        <v>Commercial</v>
      </c>
      <c r="BF239" s="652" t="str">
        <f t="shared" ca="1" si="162"/>
        <v>OFFLGInLight</v>
      </c>
      <c r="BG239" s="652" t="str">
        <f t="shared" ca="1" si="162"/>
        <v>OFFSMGasDHW</v>
      </c>
      <c r="BH239" s="652" t="str">
        <f t="shared" ca="1" si="162"/>
        <v>KU NonRes</v>
      </c>
      <c r="BI239" s="652" t="str">
        <f t="shared" ca="1" si="162"/>
        <v>KU NonRes</v>
      </c>
      <c r="BJ239" s="652">
        <f t="shared" ca="1" si="162"/>
        <v>12</v>
      </c>
      <c r="BK239" s="652">
        <f t="shared" ca="1" si="162"/>
        <v>0</v>
      </c>
      <c r="BL239" s="652">
        <f t="shared" ca="1" si="163"/>
        <v>0</v>
      </c>
      <c r="BM239" s="652">
        <f t="shared" ca="1" si="163"/>
        <v>0</v>
      </c>
      <c r="BN239" s="652">
        <f t="shared" ca="1" si="163"/>
        <v>0</v>
      </c>
      <c r="BO239" s="652">
        <f t="shared" ca="1" si="163"/>
        <v>0</v>
      </c>
      <c r="BP239" s="652">
        <f t="shared" ca="1" si="163"/>
        <v>0</v>
      </c>
      <c r="BQ239" s="652">
        <f t="shared" ca="1" si="163"/>
        <v>0</v>
      </c>
      <c r="BR239" s="652">
        <f t="shared" ca="1" si="144"/>
        <v>580904.75520000001</v>
      </c>
      <c r="BS239" s="652">
        <f t="shared" ca="1" si="167"/>
        <v>21078543.974399999</v>
      </c>
      <c r="BT239" s="652">
        <f t="shared" ca="1" si="167"/>
        <v>0</v>
      </c>
      <c r="BU239" s="652">
        <f t="shared" ca="1" si="167"/>
        <v>2904523.7759999996</v>
      </c>
      <c r="BV239" s="652">
        <f t="shared" ca="1" si="167"/>
        <v>0</v>
      </c>
      <c r="BW239" s="652">
        <f t="shared" ca="1" si="167"/>
        <v>75006471.894891173</v>
      </c>
      <c r="BX239" s="652">
        <f t="shared" ca="1" si="167"/>
        <v>36275.931088168647</v>
      </c>
      <c r="BY239" s="652">
        <f t="shared" ca="1" si="167"/>
        <v>0</v>
      </c>
    </row>
    <row r="240" spans="1:77">
      <c r="A240" s="425" t="str">
        <f t="shared" ca="1" si="138"/>
        <v>NonRes Midstream LightingKU - Interior ≥ 50W</v>
      </c>
      <c r="B240" s="1298" t="str">
        <f t="shared" si="164"/>
        <v>KUNonRes Midstream Lighting</v>
      </c>
      <c r="C240" s="661" t="s">
        <v>178</v>
      </c>
      <c r="D240" s="662" t="s">
        <v>68</v>
      </c>
      <c r="E240" s="652" t="str">
        <f t="shared" ca="1" si="165"/>
        <v>KU - Interior ≥ 50W</v>
      </c>
      <c r="F240" s="652" t="str">
        <f t="shared" ca="1" si="165"/>
        <v>Any LED lamps or ballasts must also be ENERGY STAR® certified or listed on the Design Lights Consortium (DLC) qualified list.</v>
      </c>
      <c r="G240" s="652" t="str">
        <f t="shared" ca="1" si="165"/>
        <v>Per Unit</v>
      </c>
      <c r="H240" s="652">
        <f t="shared" ca="1" si="166"/>
        <v>0</v>
      </c>
      <c r="I240" s="652">
        <f t="shared" ca="1" si="166"/>
        <v>0</v>
      </c>
      <c r="J240" s="652">
        <f t="shared" ca="1" si="166"/>
        <v>11697.6</v>
      </c>
      <c r="K240" s="652">
        <f t="shared" ca="1" si="166"/>
        <v>17546.399999999998</v>
      </c>
      <c r="L240" s="652">
        <f t="shared" ca="1" si="166"/>
        <v>17546.399999999998</v>
      </c>
      <c r="M240" s="652">
        <f t="shared" ca="1" si="166"/>
        <v>14037.119999999999</v>
      </c>
      <c r="N240" s="652">
        <f t="shared" ca="1" si="166"/>
        <v>11229.696</v>
      </c>
      <c r="O240" s="652">
        <f t="shared" ca="1" si="166"/>
        <v>0</v>
      </c>
      <c r="P240" s="652">
        <f t="shared" ca="1" si="166"/>
        <v>0</v>
      </c>
      <c r="Q240" s="652">
        <f t="shared" ca="1" si="166"/>
        <v>1778035.2</v>
      </c>
      <c r="R240" s="652">
        <f t="shared" ca="1" si="155"/>
        <v>2667052.7999999998</v>
      </c>
      <c r="S240" s="652">
        <f t="shared" ca="1" si="155"/>
        <v>2667052.7999999998</v>
      </c>
      <c r="T240" s="652">
        <f t="shared" ca="1" si="155"/>
        <v>2133642.2399999998</v>
      </c>
      <c r="U240" s="652">
        <f t="shared" ca="1" si="155"/>
        <v>1706913.7919999999</v>
      </c>
      <c r="V240" s="652">
        <f t="shared" ca="1" si="153"/>
        <v>0</v>
      </c>
      <c r="W240" s="652">
        <f t="shared" ca="1" si="153"/>
        <v>0</v>
      </c>
      <c r="X240" s="652">
        <f t="shared" ca="1" si="153"/>
        <v>0</v>
      </c>
      <c r="Y240" s="652">
        <f t="shared" ca="1" si="153"/>
        <v>0</v>
      </c>
      <c r="Z240" s="652">
        <f t="shared" ca="1" si="153"/>
        <v>0</v>
      </c>
      <c r="AA240" s="652">
        <f t="shared" ca="1" si="153"/>
        <v>0</v>
      </c>
      <c r="AB240" s="652">
        <f t="shared" ca="1" si="153"/>
        <v>0</v>
      </c>
      <c r="AC240" s="652">
        <f t="shared" ca="1" si="153"/>
        <v>0</v>
      </c>
      <c r="AD240" s="652">
        <f t="shared" ca="1" si="153"/>
        <v>0</v>
      </c>
      <c r="AE240" s="652">
        <f t="shared" ca="1" si="153"/>
        <v>70185.600000000006</v>
      </c>
      <c r="AF240" s="652">
        <f t="shared" ca="1" si="153"/>
        <v>105278.39999999999</v>
      </c>
      <c r="AG240" s="652">
        <f t="shared" ca="1" si="153"/>
        <v>105278.39999999999</v>
      </c>
      <c r="AH240" s="652">
        <f t="shared" ca="1" si="153"/>
        <v>84222.720000000001</v>
      </c>
      <c r="AI240" s="652">
        <f t="shared" ca="1" si="154"/>
        <v>67378.176000000007</v>
      </c>
      <c r="AJ240" s="652">
        <f t="shared" ca="1" si="154"/>
        <v>0</v>
      </c>
      <c r="AK240" s="652">
        <f t="shared" ca="1" si="154"/>
        <v>0</v>
      </c>
      <c r="AL240" s="652">
        <f t="shared" ca="1" si="154"/>
        <v>2437209.6432819394</v>
      </c>
      <c r="AM240" s="652">
        <f t="shared" ca="1" si="154"/>
        <v>3655814.4649229082</v>
      </c>
      <c r="AN240" s="652">
        <f t="shared" ca="1" si="154"/>
        <v>3655814.4649229082</v>
      </c>
      <c r="AO240" s="652">
        <f t="shared" ca="1" si="154"/>
        <v>2924651.571938327</v>
      </c>
      <c r="AP240" s="652">
        <f t="shared" ca="1" si="154"/>
        <v>2339721.2575506615</v>
      </c>
      <c r="AQ240" s="652">
        <f t="shared" ca="1" si="154"/>
        <v>0</v>
      </c>
      <c r="AR240" s="652">
        <f t="shared" ca="1" si="154"/>
        <v>0</v>
      </c>
      <c r="AS240" s="652">
        <f t="shared" ca="1" si="154"/>
        <v>519.23977976187609</v>
      </c>
      <c r="AT240" s="652">
        <f t="shared" ca="1" si="154"/>
        <v>778.85966964281397</v>
      </c>
      <c r="AU240" s="652">
        <f t="shared" ca="1" si="154"/>
        <v>778.85966964281397</v>
      </c>
      <c r="AV240" s="652">
        <f t="shared" ca="1" si="154"/>
        <v>623.08773571425115</v>
      </c>
      <c r="AW240" s="652">
        <f t="shared" ca="1" si="151"/>
        <v>498.47018857140097</v>
      </c>
      <c r="AX240" s="652">
        <f t="shared" ca="1" si="151"/>
        <v>0</v>
      </c>
      <c r="AY240" s="652">
        <f t="shared" ca="1" si="151"/>
        <v>0</v>
      </c>
      <c r="AZ240" s="652">
        <f t="shared" ca="1" si="151"/>
        <v>0</v>
      </c>
      <c r="BA240" s="652">
        <f t="shared" ca="1" si="151"/>
        <v>0</v>
      </c>
      <c r="BB240" s="652">
        <f t="shared" ca="1" si="151"/>
        <v>0</v>
      </c>
      <c r="BC240" s="652">
        <f t="shared" ca="1" si="151"/>
        <v>0</v>
      </c>
      <c r="BD240" s="652">
        <f t="shared" ca="1" si="151"/>
        <v>0</v>
      </c>
      <c r="BE240" s="652" t="str">
        <f t="shared" ca="1" si="162"/>
        <v>Commercial</v>
      </c>
      <c r="BF240" s="652" t="str">
        <f t="shared" ca="1" si="162"/>
        <v>OFFLGInLight</v>
      </c>
      <c r="BG240" s="652" t="str">
        <f t="shared" ca="1" si="162"/>
        <v>OFFSMGasDHW</v>
      </c>
      <c r="BH240" s="652" t="str">
        <f t="shared" ca="1" si="162"/>
        <v>KU NonRes</v>
      </c>
      <c r="BI240" s="652" t="str">
        <f t="shared" ca="1" si="162"/>
        <v>KU NonRes</v>
      </c>
      <c r="BJ240" s="652">
        <f t="shared" ca="1" si="162"/>
        <v>12</v>
      </c>
      <c r="BK240" s="652">
        <f t="shared" ca="1" si="162"/>
        <v>0</v>
      </c>
      <c r="BL240" s="652">
        <f t="shared" ca="1" si="163"/>
        <v>0</v>
      </c>
      <c r="BM240" s="652">
        <f t="shared" ca="1" si="163"/>
        <v>0</v>
      </c>
      <c r="BN240" s="652">
        <f t="shared" ca="1" si="163"/>
        <v>0</v>
      </c>
      <c r="BO240" s="652">
        <f t="shared" ca="1" si="163"/>
        <v>0</v>
      </c>
      <c r="BP240" s="652">
        <f t="shared" ca="1" si="163"/>
        <v>0</v>
      </c>
      <c r="BQ240" s="652">
        <f t="shared" ca="1" si="163"/>
        <v>0</v>
      </c>
      <c r="BR240" s="652">
        <f t="shared" ca="1" si="144"/>
        <v>72057.215999999986</v>
      </c>
      <c r="BS240" s="652">
        <f t="shared" ca="1" si="167"/>
        <v>10952696.831999999</v>
      </c>
      <c r="BT240" s="652">
        <f t="shared" ca="1" si="167"/>
        <v>0</v>
      </c>
      <c r="BU240" s="652">
        <f t="shared" ca="1" si="167"/>
        <v>432343.29599999997</v>
      </c>
      <c r="BV240" s="652">
        <f t="shared" ca="1" si="167"/>
        <v>0</v>
      </c>
      <c r="BW240" s="652">
        <f t="shared" ca="1" si="167"/>
        <v>15013211.402616743</v>
      </c>
      <c r="BX240" s="652">
        <f t="shared" ca="1" si="167"/>
        <v>3198.5170433331559</v>
      </c>
      <c r="BY240" s="652">
        <f t="shared" ca="1" si="167"/>
        <v>0</v>
      </c>
    </row>
    <row r="241" spans="1:77">
      <c r="A241" s="425" t="str">
        <f t="shared" ca="1" si="138"/>
        <v>NonRes Midstream LightingKU - Exterior: LED Other</v>
      </c>
      <c r="B241" s="1298" t="str">
        <f t="shared" si="164"/>
        <v>KUNonRes Midstream Lighting</v>
      </c>
      <c r="C241" s="661" t="s">
        <v>183</v>
      </c>
      <c r="D241" s="662" t="s">
        <v>68</v>
      </c>
      <c r="E241" s="652" t="str">
        <f t="shared" ca="1" si="165"/>
        <v>KU - Exterior: LED Other</v>
      </c>
      <c r="F241" s="652" t="str">
        <f t="shared" ca="1" si="165"/>
        <v>Any LED lamps or ballasts must also be ENERGY STAR® certified or listed on the Design Lights Consortium (DLC) qualified list.</v>
      </c>
      <c r="G241" s="652" t="str">
        <f t="shared" ca="1" si="165"/>
        <v>Per Unit</v>
      </c>
      <c r="H241" s="652">
        <f t="shared" ca="1" si="166"/>
        <v>0</v>
      </c>
      <c r="I241" s="652">
        <f t="shared" ca="1" si="166"/>
        <v>0</v>
      </c>
      <c r="J241" s="652">
        <f t="shared" ca="1" si="166"/>
        <v>27309.120000000003</v>
      </c>
      <c r="K241" s="652">
        <f t="shared" ca="1" si="166"/>
        <v>40963.68</v>
      </c>
      <c r="L241" s="652">
        <f t="shared" ca="1" si="166"/>
        <v>40963.68</v>
      </c>
      <c r="M241" s="652">
        <f t="shared" ca="1" si="166"/>
        <v>32770.944000000003</v>
      </c>
      <c r="N241" s="652">
        <f t="shared" ca="1" si="166"/>
        <v>26216.755200000003</v>
      </c>
      <c r="O241" s="652">
        <f t="shared" ca="1" si="166"/>
        <v>0</v>
      </c>
      <c r="P241" s="652">
        <f t="shared" ca="1" si="166"/>
        <v>0</v>
      </c>
      <c r="Q241" s="652">
        <f t="shared" ca="1" si="166"/>
        <v>505218.72000000003</v>
      </c>
      <c r="R241" s="652">
        <f t="shared" ca="1" si="155"/>
        <v>757828.08</v>
      </c>
      <c r="S241" s="652">
        <f t="shared" ca="1" si="155"/>
        <v>757828.08</v>
      </c>
      <c r="T241" s="652">
        <f t="shared" ca="1" si="155"/>
        <v>606262.46400000004</v>
      </c>
      <c r="U241" s="652">
        <f t="shared" ca="1" si="155"/>
        <v>485009.97120000009</v>
      </c>
      <c r="V241" s="652">
        <f t="shared" ca="1" si="153"/>
        <v>0</v>
      </c>
      <c r="W241" s="652">
        <f t="shared" ca="1" si="153"/>
        <v>0</v>
      </c>
      <c r="X241" s="652">
        <f t="shared" ca="1" si="153"/>
        <v>0</v>
      </c>
      <c r="Y241" s="652">
        <f t="shared" ca="1" si="153"/>
        <v>0</v>
      </c>
      <c r="Z241" s="652">
        <f t="shared" ca="1" si="153"/>
        <v>0</v>
      </c>
      <c r="AA241" s="652">
        <f t="shared" ca="1" si="153"/>
        <v>0</v>
      </c>
      <c r="AB241" s="652">
        <f t="shared" ca="1" si="153"/>
        <v>0</v>
      </c>
      <c r="AC241" s="652">
        <f t="shared" ca="1" si="153"/>
        <v>0</v>
      </c>
      <c r="AD241" s="652">
        <f t="shared" ca="1" si="153"/>
        <v>0</v>
      </c>
      <c r="AE241" s="652">
        <f t="shared" ca="1" si="153"/>
        <v>355018.56000000006</v>
      </c>
      <c r="AF241" s="652">
        <f t="shared" ca="1" si="153"/>
        <v>532527.84</v>
      </c>
      <c r="AG241" s="652">
        <f t="shared" ca="1" si="153"/>
        <v>532527.84</v>
      </c>
      <c r="AH241" s="652">
        <f t="shared" ca="1" si="153"/>
        <v>426022.27200000006</v>
      </c>
      <c r="AI241" s="652">
        <f t="shared" ca="1" si="154"/>
        <v>340817.81760000007</v>
      </c>
      <c r="AJ241" s="652">
        <f t="shared" ca="1" si="154"/>
        <v>0</v>
      </c>
      <c r="AK241" s="652">
        <f t="shared" ca="1" si="154"/>
        <v>0</v>
      </c>
      <c r="AL241" s="652">
        <f t="shared" ca="1" si="154"/>
        <v>17327765.820655234</v>
      </c>
      <c r="AM241" s="652">
        <f t="shared" ca="1" si="154"/>
        <v>25991648.730982848</v>
      </c>
      <c r="AN241" s="652">
        <f t="shared" ca="1" si="154"/>
        <v>25991648.730982848</v>
      </c>
      <c r="AO241" s="652">
        <f t="shared" ca="1" si="154"/>
        <v>20793318.984786279</v>
      </c>
      <c r="AP241" s="652">
        <f t="shared" ca="1" si="154"/>
        <v>16634655.187829025</v>
      </c>
      <c r="AQ241" s="652">
        <f t="shared" ca="1" si="154"/>
        <v>0</v>
      </c>
      <c r="AR241" s="652">
        <f t="shared" ca="1" si="154"/>
        <v>0</v>
      </c>
      <c r="AS241" s="652">
        <f t="shared" ca="1" si="154"/>
        <v>0</v>
      </c>
      <c r="AT241" s="652">
        <f t="shared" ca="1" si="154"/>
        <v>0</v>
      </c>
      <c r="AU241" s="652">
        <f t="shared" ca="1" si="154"/>
        <v>0</v>
      </c>
      <c r="AV241" s="652">
        <f t="shared" ca="1" si="154"/>
        <v>0</v>
      </c>
      <c r="AW241" s="652">
        <f t="shared" ca="1" si="151"/>
        <v>0</v>
      </c>
      <c r="AX241" s="652">
        <f t="shared" ca="1" si="151"/>
        <v>0</v>
      </c>
      <c r="AY241" s="652">
        <f t="shared" ca="1" si="151"/>
        <v>0</v>
      </c>
      <c r="AZ241" s="652">
        <f t="shared" ca="1" si="151"/>
        <v>0</v>
      </c>
      <c r="BA241" s="652">
        <f t="shared" ca="1" si="151"/>
        <v>0</v>
      </c>
      <c r="BB241" s="652">
        <f t="shared" ca="1" si="151"/>
        <v>0</v>
      </c>
      <c r="BC241" s="652">
        <f t="shared" ca="1" si="151"/>
        <v>0</v>
      </c>
      <c r="BD241" s="652">
        <f t="shared" ca="1" si="151"/>
        <v>0</v>
      </c>
      <c r="BE241" s="652" t="str">
        <f t="shared" ca="1" si="162"/>
        <v>Commercial</v>
      </c>
      <c r="BF241" s="652" t="str">
        <f t="shared" ca="1" si="162"/>
        <v>OFFLGInLight</v>
      </c>
      <c r="BG241" s="652" t="str">
        <f t="shared" ca="1" si="162"/>
        <v>OFFSMGasDHW</v>
      </c>
      <c r="BH241" s="652" t="str">
        <f t="shared" ca="1" si="162"/>
        <v>KU NonRes</v>
      </c>
      <c r="BI241" s="652" t="str">
        <f t="shared" ca="1" si="162"/>
        <v>KU NonRes</v>
      </c>
      <c r="BJ241" s="652">
        <f t="shared" ca="1" si="162"/>
        <v>20</v>
      </c>
      <c r="BK241" s="652">
        <f t="shared" ca="1" si="162"/>
        <v>0</v>
      </c>
      <c r="BL241" s="652">
        <f t="shared" ca="1" si="163"/>
        <v>0</v>
      </c>
      <c r="BM241" s="652">
        <f t="shared" ca="1" si="163"/>
        <v>0</v>
      </c>
      <c r="BN241" s="652">
        <f t="shared" ca="1" si="163"/>
        <v>0</v>
      </c>
      <c r="BO241" s="652">
        <f t="shared" ca="1" si="163"/>
        <v>0</v>
      </c>
      <c r="BP241" s="652">
        <f t="shared" ca="1" si="163"/>
        <v>0</v>
      </c>
      <c r="BQ241" s="652">
        <f t="shared" ca="1" si="163"/>
        <v>0</v>
      </c>
      <c r="BR241" s="652">
        <f t="shared" ca="1" si="144"/>
        <v>168224.17920000001</v>
      </c>
      <c r="BS241" s="652">
        <f t="shared" ca="1" si="167"/>
        <v>3112147.3152000001</v>
      </c>
      <c r="BT241" s="652">
        <f t="shared" ca="1" si="167"/>
        <v>0</v>
      </c>
      <c r="BU241" s="652">
        <f t="shared" ca="1" si="167"/>
        <v>2186914.3296000003</v>
      </c>
      <c r="BV241" s="652">
        <f t="shared" ca="1" si="167"/>
        <v>0</v>
      </c>
      <c r="BW241" s="652">
        <f t="shared" ca="1" si="167"/>
        <v>106739037.45523623</v>
      </c>
      <c r="BX241" s="652">
        <f t="shared" ca="1" si="167"/>
        <v>0</v>
      </c>
      <c r="BY241" s="652">
        <f t="shared" ca="1" si="167"/>
        <v>0</v>
      </c>
    </row>
    <row r="242" spans="1:77">
      <c r="A242" s="425" t="str">
        <f t="shared" ca="1" si="138"/>
        <v>NonRes Midstream LightingKU - Wall Pack &amp; Canopy Fixtures ≤ 150W</v>
      </c>
      <c r="B242" s="1298" t="str">
        <f t="shared" si="164"/>
        <v>KUNonRes Midstream Lighting</v>
      </c>
      <c r="C242" s="661" t="s">
        <v>184</v>
      </c>
      <c r="D242" s="662" t="s">
        <v>68</v>
      </c>
      <c r="E242" s="652" t="str">
        <f t="shared" ca="1" si="165"/>
        <v>KU - Wall Pack &amp; Canopy Fixtures ≤ 150W</v>
      </c>
      <c r="F242" s="652" t="str">
        <f t="shared" ca="1" si="165"/>
        <v>Any LED lamps or ballasts must also be ENERGY STAR® certified or listed on the Design Lights Consortium (DLC) qualified list.</v>
      </c>
      <c r="G242" s="652" t="str">
        <f t="shared" ca="1" si="165"/>
        <v>Per Unit</v>
      </c>
      <c r="H242" s="652">
        <f t="shared" ca="1" si="166"/>
        <v>0</v>
      </c>
      <c r="I242" s="652">
        <f t="shared" ca="1" si="166"/>
        <v>0</v>
      </c>
      <c r="J242" s="652">
        <f t="shared" ca="1" si="166"/>
        <v>4347.84</v>
      </c>
      <c r="K242" s="652">
        <f t="shared" ca="1" si="166"/>
        <v>6521.76</v>
      </c>
      <c r="L242" s="652">
        <f t="shared" ca="1" si="166"/>
        <v>6521.76</v>
      </c>
      <c r="M242" s="652">
        <f t="shared" ca="1" si="166"/>
        <v>5217.4080000000004</v>
      </c>
      <c r="N242" s="652">
        <f t="shared" ca="1" si="166"/>
        <v>4173.9264000000003</v>
      </c>
      <c r="O242" s="652">
        <f t="shared" ca="1" si="166"/>
        <v>0</v>
      </c>
      <c r="P242" s="652">
        <f t="shared" ca="1" si="166"/>
        <v>0</v>
      </c>
      <c r="Q242" s="652">
        <f t="shared" ca="1" si="166"/>
        <v>2743487.04</v>
      </c>
      <c r="R242" s="652">
        <f t="shared" ca="1" si="155"/>
        <v>4115230.56</v>
      </c>
      <c r="S242" s="652">
        <f t="shared" ca="1" si="155"/>
        <v>4115230.56</v>
      </c>
      <c r="T242" s="652">
        <f t="shared" ca="1" si="155"/>
        <v>3292184.4480000003</v>
      </c>
      <c r="U242" s="652">
        <f t="shared" ca="1" si="155"/>
        <v>2633747.5584</v>
      </c>
      <c r="V242" s="652">
        <f t="shared" ca="1" si="153"/>
        <v>0</v>
      </c>
      <c r="W242" s="652">
        <f t="shared" ca="1" si="153"/>
        <v>0</v>
      </c>
      <c r="X242" s="652">
        <f t="shared" ca="1" si="153"/>
        <v>-12458.01088</v>
      </c>
      <c r="Y242" s="652">
        <f t="shared" ca="1" si="153"/>
        <v>-18687.016319999999</v>
      </c>
      <c r="Z242" s="652">
        <f t="shared" ca="1" si="153"/>
        <v>-18687.016319999999</v>
      </c>
      <c r="AA242" s="652">
        <f t="shared" ca="1" si="153"/>
        <v>-14949.613056</v>
      </c>
      <c r="AB242" s="652">
        <f t="shared" ca="1" si="153"/>
        <v>-11959.6904448</v>
      </c>
      <c r="AC242" s="652">
        <f t="shared" ca="1" si="153"/>
        <v>0</v>
      </c>
      <c r="AD242" s="652">
        <f t="shared" ca="1" si="153"/>
        <v>0</v>
      </c>
      <c r="AE242" s="652">
        <f t="shared" ca="1" si="153"/>
        <v>86956.800000000003</v>
      </c>
      <c r="AF242" s="652">
        <f t="shared" ca="1" si="153"/>
        <v>130435.20000000001</v>
      </c>
      <c r="AG242" s="652">
        <f t="shared" ca="1" si="153"/>
        <v>130435.20000000001</v>
      </c>
      <c r="AH242" s="652">
        <f t="shared" ca="1" si="153"/>
        <v>104348.16</v>
      </c>
      <c r="AI242" s="652">
        <f t="shared" ca="1" si="154"/>
        <v>83478.528000000006</v>
      </c>
      <c r="AJ242" s="652">
        <f t="shared" ca="1" si="154"/>
        <v>0</v>
      </c>
      <c r="AK242" s="652">
        <f t="shared" ca="1" si="154"/>
        <v>0</v>
      </c>
      <c r="AL242" s="652">
        <f t="shared" ca="1" si="154"/>
        <v>2025106.4803199999</v>
      </c>
      <c r="AM242" s="652">
        <f t="shared" ca="1" si="154"/>
        <v>3037659.7204799997</v>
      </c>
      <c r="AN242" s="652">
        <f t="shared" ca="1" si="154"/>
        <v>3037659.7204799997</v>
      </c>
      <c r="AO242" s="652">
        <f t="shared" ca="1" si="154"/>
        <v>2430127.7763840002</v>
      </c>
      <c r="AP242" s="652">
        <f t="shared" ca="1" si="154"/>
        <v>1944102.2211072</v>
      </c>
      <c r="AQ242" s="652">
        <f t="shared" ca="1" si="154"/>
        <v>0</v>
      </c>
      <c r="AR242" s="652">
        <f t="shared" ca="1" si="154"/>
        <v>0</v>
      </c>
      <c r="AS242" s="652">
        <f t="shared" ca="1" si="154"/>
        <v>167.39184</v>
      </c>
      <c r="AT242" s="652">
        <f t="shared" ca="1" si="154"/>
        <v>251.08776</v>
      </c>
      <c r="AU242" s="652">
        <f t="shared" ca="1" si="154"/>
        <v>251.08776</v>
      </c>
      <c r="AV242" s="652">
        <f t="shared" ca="1" si="154"/>
        <v>200.87020800000002</v>
      </c>
      <c r="AW242" s="652">
        <f t="shared" ca="1" si="151"/>
        <v>160.69616640000001</v>
      </c>
      <c r="AX242" s="652">
        <f t="shared" ca="1" si="151"/>
        <v>0</v>
      </c>
      <c r="AY242" s="652">
        <f t="shared" ca="1" si="151"/>
        <v>0</v>
      </c>
      <c r="AZ242" s="652">
        <f t="shared" ca="1" si="151"/>
        <v>0</v>
      </c>
      <c r="BA242" s="652">
        <f t="shared" ca="1" si="151"/>
        <v>0</v>
      </c>
      <c r="BB242" s="652">
        <f t="shared" ca="1" si="151"/>
        <v>0</v>
      </c>
      <c r="BC242" s="652">
        <f t="shared" ca="1" si="151"/>
        <v>0</v>
      </c>
      <c r="BD242" s="652">
        <f t="shared" ca="1" si="151"/>
        <v>0</v>
      </c>
      <c r="BE242" s="652" t="str">
        <f t="shared" ca="1" si="162"/>
        <v>Commercial</v>
      </c>
      <c r="BF242" s="652" t="str">
        <f t="shared" ca="1" si="162"/>
        <v>OFFLGInLight</v>
      </c>
      <c r="BG242" s="652" t="str">
        <f t="shared" ca="1" si="162"/>
        <v>OFFSMGasDHW</v>
      </c>
      <c r="BH242" s="652" t="str">
        <f t="shared" ca="1" si="162"/>
        <v>KU NonRes</v>
      </c>
      <c r="BI242" s="652" t="str">
        <f t="shared" ca="1" si="162"/>
        <v>KU NonRes</v>
      </c>
      <c r="BJ242" s="652">
        <f t="shared" ca="1" si="162"/>
        <v>8</v>
      </c>
      <c r="BK242" s="652">
        <f t="shared" ca="1" si="162"/>
        <v>0</v>
      </c>
      <c r="BL242" s="652">
        <f t="shared" ca="1" si="163"/>
        <v>0</v>
      </c>
      <c r="BM242" s="652">
        <f t="shared" ca="1" si="163"/>
        <v>0</v>
      </c>
      <c r="BN242" s="652">
        <f t="shared" ca="1" si="163"/>
        <v>0</v>
      </c>
      <c r="BO242" s="652">
        <f t="shared" ca="1" si="163"/>
        <v>0</v>
      </c>
      <c r="BP242" s="652">
        <f t="shared" ca="1" si="163"/>
        <v>0</v>
      </c>
      <c r="BQ242" s="652">
        <f t="shared" ca="1" si="163"/>
        <v>0</v>
      </c>
      <c r="BR242" s="652">
        <f t="shared" ca="1" si="144"/>
        <v>26782.6944</v>
      </c>
      <c r="BS242" s="652">
        <f t="shared" ca="1" si="167"/>
        <v>16899880.1664</v>
      </c>
      <c r="BT242" s="652">
        <f t="shared" ca="1" si="167"/>
        <v>-76741.347020799993</v>
      </c>
      <c r="BU242" s="652">
        <f t="shared" ca="1" si="167"/>
        <v>535653.88800000004</v>
      </c>
      <c r="BV242" s="652">
        <f t="shared" ca="1" si="167"/>
        <v>0</v>
      </c>
      <c r="BW242" s="652">
        <f t="shared" ca="1" si="167"/>
        <v>12474655.9187712</v>
      </c>
      <c r="BX242" s="652">
        <f t="shared" ca="1" si="167"/>
        <v>1031.1337344000001</v>
      </c>
      <c r="BY242" s="652">
        <f t="shared" ca="1" si="167"/>
        <v>0</v>
      </c>
    </row>
    <row r="243" spans="1:77">
      <c r="A243" s="425" t="str">
        <f t="shared" ca="1" si="138"/>
        <v>NonRes Midstream LightingKU - Wall Pack &amp; Canopy Fixtures &gt; 150W</v>
      </c>
      <c r="B243" s="1298" t="str">
        <f t="shared" si="164"/>
        <v>KUNonRes Midstream Lighting</v>
      </c>
      <c r="C243" s="661" t="s">
        <v>185</v>
      </c>
      <c r="D243" s="662" t="s">
        <v>68</v>
      </c>
      <c r="E243" s="652" t="str">
        <f t="shared" ca="1" si="165"/>
        <v>KU - Wall Pack &amp; Canopy Fixtures &gt; 150W</v>
      </c>
      <c r="F243" s="652" t="str">
        <f t="shared" ca="1" si="165"/>
        <v>Any LED lamps or ballasts must also be ENERGY STAR® certified or listed on the Design Lights Consortium (DLC) qualified list.</v>
      </c>
      <c r="G243" s="652" t="str">
        <f t="shared" ca="1" si="165"/>
        <v>Per Unit</v>
      </c>
      <c r="H243" s="652">
        <f t="shared" ca="1" si="166"/>
        <v>0</v>
      </c>
      <c r="I243" s="652">
        <f t="shared" ca="1" si="166"/>
        <v>0</v>
      </c>
      <c r="J243" s="652">
        <f t="shared" ca="1" si="166"/>
        <v>0.48</v>
      </c>
      <c r="K243" s="652">
        <f t="shared" ca="1" si="166"/>
        <v>0.72</v>
      </c>
      <c r="L243" s="652">
        <f t="shared" ca="1" si="166"/>
        <v>0.72</v>
      </c>
      <c r="M243" s="652">
        <f t="shared" ca="1" si="166"/>
        <v>0.57599999999999996</v>
      </c>
      <c r="N243" s="652">
        <f t="shared" ca="1" si="166"/>
        <v>0.46079999999999999</v>
      </c>
      <c r="O243" s="652">
        <f t="shared" ca="1" si="166"/>
        <v>0</v>
      </c>
      <c r="P243" s="652">
        <f t="shared" ca="1" si="166"/>
        <v>0</v>
      </c>
      <c r="Q243" s="652">
        <f t="shared" ca="1" si="166"/>
        <v>886.07999999999993</v>
      </c>
      <c r="R243" s="652">
        <f t="shared" ca="1" si="155"/>
        <v>1329.12</v>
      </c>
      <c r="S243" s="652">
        <f t="shared" ca="1" si="155"/>
        <v>1329.12</v>
      </c>
      <c r="T243" s="652">
        <f t="shared" ca="1" si="155"/>
        <v>1063.2959999999998</v>
      </c>
      <c r="U243" s="652">
        <f t="shared" ca="1" si="155"/>
        <v>850.63679999999999</v>
      </c>
      <c r="V243" s="652">
        <f t="shared" ca="1" si="153"/>
        <v>0</v>
      </c>
      <c r="W243" s="652">
        <f t="shared" ca="1" si="153"/>
        <v>0</v>
      </c>
      <c r="X243" s="652">
        <f t="shared" ca="1" si="153"/>
        <v>-1.3753599999999999</v>
      </c>
      <c r="Y243" s="652">
        <f t="shared" ca="1" si="153"/>
        <v>-2.0630399999999995</v>
      </c>
      <c r="Z243" s="652">
        <f t="shared" ca="1" si="153"/>
        <v>-2.0630399999999995</v>
      </c>
      <c r="AA243" s="652">
        <f t="shared" ca="1" si="153"/>
        <v>-1.6504319999999997</v>
      </c>
      <c r="AB243" s="652">
        <f t="shared" ca="1" si="153"/>
        <v>-1.3203455999999998</v>
      </c>
      <c r="AC243" s="652">
        <f t="shared" ca="1" si="153"/>
        <v>0</v>
      </c>
      <c r="AD243" s="652">
        <f t="shared" ca="1" si="153"/>
        <v>0</v>
      </c>
      <c r="AE243" s="652">
        <f t="shared" ca="1" si="153"/>
        <v>14.399999999999999</v>
      </c>
      <c r="AF243" s="652">
        <f t="shared" ca="1" si="153"/>
        <v>21.599999999999998</v>
      </c>
      <c r="AG243" s="652">
        <f t="shared" ca="1" si="153"/>
        <v>21.599999999999998</v>
      </c>
      <c r="AH243" s="652">
        <f t="shared" ca="1" si="153"/>
        <v>17.279999999999998</v>
      </c>
      <c r="AI243" s="652">
        <f t="shared" ca="1" si="154"/>
        <v>13.824</v>
      </c>
      <c r="AJ243" s="652">
        <f t="shared" ca="1" si="154"/>
        <v>0</v>
      </c>
      <c r="AK243" s="652">
        <f t="shared" ca="1" si="154"/>
        <v>0</v>
      </c>
      <c r="AL243" s="652">
        <f t="shared" ca="1" si="154"/>
        <v>479.08080000000001</v>
      </c>
      <c r="AM243" s="652">
        <f t="shared" ca="1" si="154"/>
        <v>718.62120000000004</v>
      </c>
      <c r="AN243" s="652">
        <f t="shared" ca="1" si="154"/>
        <v>718.62120000000004</v>
      </c>
      <c r="AO243" s="652">
        <f t="shared" ca="1" si="154"/>
        <v>574.89695999999992</v>
      </c>
      <c r="AP243" s="652">
        <f t="shared" ca="1" si="154"/>
        <v>459.91756800000002</v>
      </c>
      <c r="AQ243" s="652">
        <f t="shared" ca="1" si="154"/>
        <v>0</v>
      </c>
      <c r="AR243" s="652">
        <f t="shared" ca="1" si="154"/>
        <v>0</v>
      </c>
      <c r="AS243" s="652">
        <f t="shared" ca="1" si="154"/>
        <v>3.9600000000000003E-2</v>
      </c>
      <c r="AT243" s="652">
        <f t="shared" ca="1" si="154"/>
        <v>5.9400000000000001E-2</v>
      </c>
      <c r="AU243" s="652">
        <f t="shared" ca="1" si="154"/>
        <v>5.9400000000000001E-2</v>
      </c>
      <c r="AV243" s="652">
        <f t="shared" ca="1" si="154"/>
        <v>4.752E-2</v>
      </c>
      <c r="AW243" s="652">
        <f t="shared" ca="1" si="151"/>
        <v>3.8016000000000001E-2</v>
      </c>
      <c r="AX243" s="652">
        <f t="shared" ca="1" si="151"/>
        <v>0</v>
      </c>
      <c r="AY243" s="652">
        <f t="shared" ca="1" si="151"/>
        <v>0</v>
      </c>
      <c r="AZ243" s="652">
        <f t="shared" ca="1" si="151"/>
        <v>0</v>
      </c>
      <c r="BA243" s="652">
        <f t="shared" ca="1" si="151"/>
        <v>0</v>
      </c>
      <c r="BB243" s="652">
        <f t="shared" ca="1" si="151"/>
        <v>0</v>
      </c>
      <c r="BC243" s="652">
        <f t="shared" ca="1" si="151"/>
        <v>0</v>
      </c>
      <c r="BD243" s="652">
        <f t="shared" ca="1" si="151"/>
        <v>0</v>
      </c>
      <c r="BE243" s="652" t="str">
        <f t="shared" ref="BE243:BK252" ca="1" si="168">VLOOKUP($C243,INDIRECT("'"&amp;$D243&amp;"'!A6:FR1000"),IF(BE$6="Participation 2023",MATCH("__Participation 2023",INDIRECT("'"&amp;$D243&amp;"'!1:1"),0),IF(BE$6="Participation",MATCH("_Total Plan Summary _Participation",INDIRECT("'"&amp;$D243&amp;"'!1:1"),0),MATCH(BE$4&amp;"_"&amp;BE$5&amp;"_"&amp;BE$6,INDIRECT("'"&amp;$D243&amp;"'!1:1"),0))),0)</f>
        <v>Commercial</v>
      </c>
      <c r="BF243" s="652" t="str">
        <f t="shared" ca="1" si="168"/>
        <v>OFFLGInLight</v>
      </c>
      <c r="BG243" s="652" t="str">
        <f t="shared" ca="1" si="168"/>
        <v>OFFSMGasDHW</v>
      </c>
      <c r="BH243" s="652" t="str">
        <f t="shared" ca="1" si="168"/>
        <v>KU NonRes</v>
      </c>
      <c r="BI243" s="652" t="str">
        <f t="shared" ca="1" si="168"/>
        <v>KU NonRes</v>
      </c>
      <c r="BJ243" s="652">
        <f t="shared" ca="1" si="162"/>
        <v>8</v>
      </c>
      <c r="BK243" s="652">
        <f t="shared" ca="1" si="162"/>
        <v>0</v>
      </c>
      <c r="BL243" s="652">
        <f t="shared" ca="1" si="163"/>
        <v>0</v>
      </c>
      <c r="BM243" s="652">
        <f t="shared" ca="1" si="163"/>
        <v>0</v>
      </c>
      <c r="BN243" s="652">
        <f t="shared" ca="1" si="163"/>
        <v>0</v>
      </c>
      <c r="BO243" s="652">
        <f t="shared" ca="1" si="163"/>
        <v>0</v>
      </c>
      <c r="BP243" s="652">
        <f t="shared" ca="1" si="163"/>
        <v>0</v>
      </c>
      <c r="BQ243" s="652">
        <f t="shared" ca="1" si="163"/>
        <v>0</v>
      </c>
      <c r="BR243" s="652">
        <f t="shared" ca="1" si="144"/>
        <v>2.9567999999999999</v>
      </c>
      <c r="BS243" s="652">
        <f t="shared" ca="1" si="167"/>
        <v>5458.2528000000002</v>
      </c>
      <c r="BT243" s="652">
        <f t="shared" ca="1" si="167"/>
        <v>-8.4722175999999987</v>
      </c>
      <c r="BU243" s="652">
        <f t="shared" ca="1" si="167"/>
        <v>88.703999999999994</v>
      </c>
      <c r="BV243" s="652">
        <f t="shared" ca="1" si="167"/>
        <v>0</v>
      </c>
      <c r="BW243" s="652">
        <f t="shared" ca="1" si="167"/>
        <v>2951.1377279999997</v>
      </c>
      <c r="BX243" s="652">
        <f t="shared" ca="1" si="167"/>
        <v>0.24393600000000001</v>
      </c>
      <c r="BY243" s="652">
        <f t="shared" ca="1" si="167"/>
        <v>0</v>
      </c>
    </row>
    <row r="244" spans="1:77">
      <c r="A244" s="425" t="str">
        <f t="shared" ca="1" si="138"/>
        <v>NonRes Midstream LightingLGE - LED Troffer</v>
      </c>
      <c r="B244" s="1297" t="str">
        <f t="shared" si="130"/>
        <v>LG&amp;ENonRes Midstream Lighting</v>
      </c>
      <c r="C244" s="661" t="s">
        <v>172</v>
      </c>
      <c r="D244" s="662" t="s">
        <v>68</v>
      </c>
      <c r="E244" s="652" t="str">
        <f t="shared" ref="E244:G244" ca="1" si="169">VLOOKUP($C244,INDIRECT("'"&amp;$D244&amp;"'!A6:FC1000"),IF(E$6="Participation 2023",MATCH("__Participation 2023",INDIRECT("'"&amp;$D244&amp;"'!1:1"),0),IF(E$6="Participation",MATCH("_Total Plan Summary _Participation",INDIRECT("'"&amp;$D244&amp;"'!1:1"),0),MATCH(E$4&amp;"_"&amp;E$5&amp;"_"&amp;E$6,INDIRECT("'"&amp;$D244&amp;"'!1:1"),0))),0)</f>
        <v>LGE - LED Troffer</v>
      </c>
      <c r="F244" s="652" t="str">
        <f t="shared" ca="1" si="169"/>
        <v>Any LED lamps or ballasts must also be ENERGY STAR® certified or listed on the Design Lights Consortium (DLC) qualified list.</v>
      </c>
      <c r="G244" s="652" t="str">
        <f t="shared" ca="1" si="169"/>
        <v>Per Unit</v>
      </c>
      <c r="H244" s="652">
        <f t="shared" ca="1" si="155"/>
        <v>0</v>
      </c>
      <c r="I244" s="652">
        <f t="shared" ca="1" si="155"/>
        <v>0</v>
      </c>
      <c r="J244" s="652">
        <f t="shared" ca="1" si="155"/>
        <v>0.48</v>
      </c>
      <c r="K244" s="652">
        <f t="shared" ca="1" si="155"/>
        <v>0.69599999999999995</v>
      </c>
      <c r="L244" s="652">
        <f t="shared" ca="1" si="155"/>
        <v>0.69599999999999995</v>
      </c>
      <c r="M244" s="652">
        <f t="shared" ca="1" si="155"/>
        <v>0.55679999999999996</v>
      </c>
      <c r="N244" s="652">
        <f t="shared" ca="1" si="155"/>
        <v>0.44544</v>
      </c>
      <c r="O244" s="652">
        <f t="shared" ca="1" si="155"/>
        <v>0</v>
      </c>
      <c r="P244" s="652">
        <f t="shared" ca="1" si="155"/>
        <v>0</v>
      </c>
      <c r="Q244" s="652">
        <f t="shared" ca="1" si="155"/>
        <v>32.22</v>
      </c>
      <c r="R244" s="652">
        <f t="shared" ca="1" si="155"/>
        <v>46.718999999999994</v>
      </c>
      <c r="S244" s="652">
        <f t="shared" ca="1" si="155"/>
        <v>46.718999999999994</v>
      </c>
      <c r="T244" s="652">
        <f t="shared" ca="1" si="155"/>
        <v>37.3752</v>
      </c>
      <c r="U244" s="652">
        <f t="shared" ca="1" si="155"/>
        <v>29.90016</v>
      </c>
      <c r="V244" s="652">
        <f t="shared" ca="1" si="153"/>
        <v>0</v>
      </c>
      <c r="W244" s="652">
        <f t="shared" ca="1" si="153"/>
        <v>0</v>
      </c>
      <c r="X244" s="652">
        <f t="shared" ca="1" si="153"/>
        <v>0</v>
      </c>
      <c r="Y244" s="652">
        <f t="shared" ca="1" si="153"/>
        <v>0</v>
      </c>
      <c r="Z244" s="652">
        <f t="shared" ca="1" si="153"/>
        <v>0</v>
      </c>
      <c r="AA244" s="652">
        <f t="shared" ca="1" si="153"/>
        <v>0</v>
      </c>
      <c r="AB244" s="652">
        <f t="shared" ca="1" si="153"/>
        <v>0</v>
      </c>
      <c r="AC244" s="652">
        <f t="shared" ca="1" si="153"/>
        <v>0</v>
      </c>
      <c r="AD244" s="652">
        <f t="shared" ca="1" si="153"/>
        <v>0</v>
      </c>
      <c r="AE244" s="652">
        <f t="shared" ca="1" si="153"/>
        <v>4.8</v>
      </c>
      <c r="AF244" s="652">
        <f t="shared" ca="1" si="153"/>
        <v>6.9599999999999991</v>
      </c>
      <c r="AG244" s="652">
        <f t="shared" ca="1" si="153"/>
        <v>6.9599999999999991</v>
      </c>
      <c r="AH244" s="652">
        <f t="shared" ca="1" si="153"/>
        <v>5.5679999999999996</v>
      </c>
      <c r="AI244" s="652">
        <f t="shared" ca="1" si="154"/>
        <v>4.4543999999999997</v>
      </c>
      <c r="AJ244" s="652">
        <f t="shared" ca="1" si="154"/>
        <v>0</v>
      </c>
      <c r="AK244" s="652">
        <f t="shared" ca="1" si="154"/>
        <v>0</v>
      </c>
      <c r="AL244" s="652">
        <f t="shared" ref="AI244:AV252" ca="1" si="170">VLOOKUP($C244,INDIRECT("'"&amp;$D244&amp;"'!A6:FR1000"),IF(AL$6="Participation 2023",MATCH("__Participation 2023",INDIRECT("'"&amp;$D244&amp;"'!1:1"),0),IF(AL$6="Participation",MATCH("_Total Plan Summary _Participation",INDIRECT("'"&amp;$D244&amp;"'!1:1"),0),MATCH(AL$4&amp;"_"&amp;AL$5&amp;"_"&amp;AL$6,INDIRECT("'"&amp;$D244&amp;"'!1:1"),0))),0)</f>
        <v>55.002901374719997</v>
      </c>
      <c r="AM244" s="652">
        <f t="shared" ca="1" si="170"/>
        <v>79.754206993343999</v>
      </c>
      <c r="AN244" s="652">
        <f t="shared" ca="1" si="170"/>
        <v>79.754206993343999</v>
      </c>
      <c r="AO244" s="652">
        <f t="shared" ca="1" si="170"/>
        <v>63.803365594675192</v>
      </c>
      <c r="AP244" s="652">
        <f t="shared" ca="1" si="170"/>
        <v>51.042692475740161</v>
      </c>
      <c r="AQ244" s="652">
        <f t="shared" ca="1" si="170"/>
        <v>0</v>
      </c>
      <c r="AR244" s="652">
        <f t="shared" ca="1" si="170"/>
        <v>0</v>
      </c>
      <c r="AS244" s="652">
        <f t="shared" ca="1" si="170"/>
        <v>1.3127795616E-2</v>
      </c>
      <c r="AT244" s="652">
        <f t="shared" ca="1" si="170"/>
        <v>1.90353036432E-2</v>
      </c>
      <c r="AU244" s="652">
        <f t="shared" ca="1" si="170"/>
        <v>1.90353036432E-2</v>
      </c>
      <c r="AV244" s="652">
        <f t="shared" ca="1" si="170"/>
        <v>1.522824291456E-2</v>
      </c>
      <c r="AW244" s="652">
        <f t="shared" ca="1" si="151"/>
        <v>1.2182594331648E-2</v>
      </c>
      <c r="AX244" s="652">
        <f t="shared" ca="1" si="151"/>
        <v>0</v>
      </c>
      <c r="AY244" s="652">
        <f t="shared" ca="1" si="151"/>
        <v>0</v>
      </c>
      <c r="AZ244" s="652">
        <f t="shared" ca="1" si="151"/>
        <v>0</v>
      </c>
      <c r="BA244" s="652">
        <f t="shared" ca="1" si="151"/>
        <v>0</v>
      </c>
      <c r="BB244" s="652">
        <f t="shared" ca="1" si="151"/>
        <v>0</v>
      </c>
      <c r="BC244" s="652">
        <f t="shared" ca="1" si="151"/>
        <v>0</v>
      </c>
      <c r="BD244" s="652">
        <f t="shared" ca="1" si="151"/>
        <v>0</v>
      </c>
      <c r="BE244" s="652" t="str">
        <f t="shared" ca="1" si="168"/>
        <v>Commercial</v>
      </c>
      <c r="BF244" s="652" t="str">
        <f t="shared" ca="1" si="168"/>
        <v>OFFLGInLight</v>
      </c>
      <c r="BG244" s="652" t="str">
        <f t="shared" ca="1" si="168"/>
        <v>OFFSMGasDHW</v>
      </c>
      <c r="BH244" s="652" t="str">
        <f t="shared" ca="1" si="168"/>
        <v>LGE NonRes</v>
      </c>
      <c r="BI244" s="652" t="str">
        <f t="shared" ca="1" si="168"/>
        <v>LGE NonRes</v>
      </c>
      <c r="BJ244" s="652">
        <f t="shared" ca="1" si="162"/>
        <v>20</v>
      </c>
      <c r="BK244" s="652">
        <f t="shared" ca="1" si="162"/>
        <v>0</v>
      </c>
      <c r="BL244" s="652">
        <f t="shared" ca="1" si="163"/>
        <v>0</v>
      </c>
      <c r="BM244" s="652">
        <f t="shared" ca="1" si="163"/>
        <v>0</v>
      </c>
      <c r="BN244" s="652">
        <f t="shared" ca="1" si="163"/>
        <v>0</v>
      </c>
      <c r="BO244" s="652">
        <f t="shared" ca="1" si="163"/>
        <v>0</v>
      </c>
      <c r="BP244" s="652">
        <f t="shared" ca="1" si="163"/>
        <v>0</v>
      </c>
      <c r="BQ244" s="652">
        <f t="shared" ca="1" si="163"/>
        <v>0</v>
      </c>
      <c r="BR244" s="652">
        <f t="shared" ca="1" si="144"/>
        <v>2.8742399999999999</v>
      </c>
      <c r="BS244" s="652">
        <f t="shared" ca="1" si="151"/>
        <v>192.93335999999999</v>
      </c>
      <c r="BT244" s="652">
        <f t="shared" ca="1" si="151"/>
        <v>0</v>
      </c>
      <c r="BU244" s="652">
        <f t="shared" ca="1" si="151"/>
        <v>28.742399999999996</v>
      </c>
      <c r="BV244" s="652">
        <f t="shared" ca="1" si="151"/>
        <v>0</v>
      </c>
      <c r="BW244" s="652">
        <f t="shared" ca="1" si="151"/>
        <v>329.35737343182336</v>
      </c>
      <c r="BX244" s="652">
        <f t="shared" ca="1" si="123"/>
        <v>7.8609240148608012E-2</v>
      </c>
      <c r="BY244" s="652">
        <f t="shared" ca="1" si="123"/>
        <v>0</v>
      </c>
    </row>
    <row r="245" spans="1:77">
      <c r="A245" s="425" t="str">
        <f t="shared" ca="1" si="138"/>
        <v>NonRes Midstream LightingLGE - LED High Bay</v>
      </c>
      <c r="B245" s="1298" t="str">
        <f t="shared" ref="B245:B252" si="171">IF(ISNUMBER(SEARCH("KU",C245)),"KU"&amp;D245,"LG&amp;E"&amp;D245)</f>
        <v>LG&amp;ENonRes Midstream Lighting</v>
      </c>
      <c r="C245" s="661" t="s">
        <v>174</v>
      </c>
      <c r="D245" s="662" t="s">
        <v>68</v>
      </c>
      <c r="E245" s="652" t="str">
        <f t="shared" ref="E245:G252" ca="1" si="172">VLOOKUP($C245,INDIRECT("'"&amp;$D245&amp;"'!A6:FC1000"),IF(E$6="Participation 2023",MATCH("__Participation 2023",INDIRECT("'"&amp;$D245&amp;"'!1:1"),0),IF(E$6="Participation",MATCH("_Total Plan Summary _Participation",INDIRECT("'"&amp;$D245&amp;"'!1:1"),0),MATCH(E$4&amp;"_"&amp;E$5&amp;"_"&amp;E$6,INDIRECT("'"&amp;$D245&amp;"'!1:1"),0))),0)</f>
        <v>LGE - LED High Bay</v>
      </c>
      <c r="F245" s="652" t="str">
        <f t="shared" ca="1" si="172"/>
        <v>Any LED lamps or ballasts must also be ENERGY STAR® certified or listed on the Design Lights Consortium (DLC) qualified list.</v>
      </c>
      <c r="G245" s="652" t="str">
        <f t="shared" ca="1" si="172"/>
        <v>Per Unit</v>
      </c>
      <c r="H245" s="652">
        <f t="shared" ref="H245:Q252" ca="1" si="173">VLOOKUP($C245,INDIRECT("'"&amp;$D245&amp;"'!A6:FR1000"),IF(H$6="Participation 2023",MATCH("__Participation 2023",INDIRECT("'"&amp;$D245&amp;"'!1:1"),0),IF(H$6="Participation",MATCH("_Total Plan Summary _Participation",INDIRECT("'"&amp;$D245&amp;"'!1:1"),0),MATCH(H$4&amp;"_"&amp;H$5&amp;"_"&amp;H$6,INDIRECT("'"&amp;$D245&amp;"'!1:1"),0))),0)</f>
        <v>0</v>
      </c>
      <c r="I245" s="652">
        <f t="shared" ca="1" si="173"/>
        <v>0</v>
      </c>
      <c r="J245" s="652">
        <f t="shared" ca="1" si="173"/>
        <v>0</v>
      </c>
      <c r="K245" s="652">
        <f t="shared" ca="1" si="173"/>
        <v>0</v>
      </c>
      <c r="L245" s="652">
        <f t="shared" ca="1" si="173"/>
        <v>0</v>
      </c>
      <c r="M245" s="652">
        <f t="shared" ca="1" si="173"/>
        <v>0</v>
      </c>
      <c r="N245" s="652">
        <f t="shared" ca="1" si="173"/>
        <v>0</v>
      </c>
      <c r="O245" s="652">
        <f t="shared" ca="1" si="173"/>
        <v>0</v>
      </c>
      <c r="P245" s="652">
        <f t="shared" ca="1" si="173"/>
        <v>0</v>
      </c>
      <c r="Q245" s="652">
        <f t="shared" ca="1" si="173"/>
        <v>0</v>
      </c>
      <c r="R245" s="652">
        <f t="shared" ref="R245:AA252" ca="1" si="174">VLOOKUP($C245,INDIRECT("'"&amp;$D245&amp;"'!A6:FR1000"),IF(R$6="Participation 2023",MATCH("__Participation 2023",INDIRECT("'"&amp;$D245&amp;"'!1:1"),0),IF(R$6="Participation",MATCH("_Total Plan Summary _Participation",INDIRECT("'"&amp;$D245&amp;"'!1:1"),0),MATCH(R$4&amp;"_"&amp;R$5&amp;"_"&amp;R$6,INDIRECT("'"&amp;$D245&amp;"'!1:1"),0))),0)</f>
        <v>0</v>
      </c>
      <c r="S245" s="652">
        <f t="shared" ca="1" si="174"/>
        <v>0</v>
      </c>
      <c r="T245" s="652">
        <f t="shared" ca="1" si="174"/>
        <v>0</v>
      </c>
      <c r="U245" s="652">
        <f t="shared" ca="1" si="174"/>
        <v>0</v>
      </c>
      <c r="V245" s="652">
        <f t="shared" ca="1" si="174"/>
        <v>0</v>
      </c>
      <c r="W245" s="652">
        <f t="shared" ca="1" si="174"/>
        <v>0</v>
      </c>
      <c r="X245" s="652">
        <f t="shared" ca="1" si="174"/>
        <v>0</v>
      </c>
      <c r="Y245" s="652">
        <f t="shared" ca="1" si="174"/>
        <v>0</v>
      </c>
      <c r="Z245" s="652">
        <f t="shared" ca="1" si="174"/>
        <v>0</v>
      </c>
      <c r="AA245" s="652">
        <f t="shared" ca="1" si="174"/>
        <v>0</v>
      </c>
      <c r="AB245" s="652">
        <f t="shared" ca="1" si="153"/>
        <v>0</v>
      </c>
      <c r="AC245" s="652">
        <f t="shared" ca="1" si="153"/>
        <v>0</v>
      </c>
      <c r="AD245" s="652">
        <f t="shared" ca="1" si="153"/>
        <v>0</v>
      </c>
      <c r="AE245" s="652">
        <f t="shared" ca="1" si="153"/>
        <v>0</v>
      </c>
      <c r="AF245" s="652">
        <f t="shared" ca="1" si="153"/>
        <v>0</v>
      </c>
      <c r="AG245" s="652">
        <f t="shared" ca="1" si="153"/>
        <v>0</v>
      </c>
      <c r="AH245" s="652">
        <f t="shared" ca="1" si="153"/>
        <v>0</v>
      </c>
      <c r="AI245" s="652">
        <f t="shared" ca="1" si="170"/>
        <v>0</v>
      </c>
      <c r="AJ245" s="652">
        <f t="shared" ca="1" si="170"/>
        <v>0</v>
      </c>
      <c r="AK245" s="652">
        <f t="shared" ca="1" si="170"/>
        <v>0</v>
      </c>
      <c r="AL245" s="652">
        <f t="shared" ca="1" si="170"/>
        <v>0</v>
      </c>
      <c r="AM245" s="652">
        <f t="shared" ca="1" si="170"/>
        <v>0</v>
      </c>
      <c r="AN245" s="652">
        <f t="shared" ca="1" si="170"/>
        <v>0</v>
      </c>
      <c r="AO245" s="652">
        <f t="shared" ca="1" si="170"/>
        <v>0</v>
      </c>
      <c r="AP245" s="652">
        <f t="shared" ca="1" si="170"/>
        <v>0</v>
      </c>
      <c r="AQ245" s="652">
        <f t="shared" ca="1" si="170"/>
        <v>0</v>
      </c>
      <c r="AR245" s="652">
        <f t="shared" ca="1" si="170"/>
        <v>0</v>
      </c>
      <c r="AS245" s="652">
        <f t="shared" ca="1" si="170"/>
        <v>0</v>
      </c>
      <c r="AT245" s="652">
        <f t="shared" ca="1" si="170"/>
        <v>0</v>
      </c>
      <c r="AU245" s="652">
        <f t="shared" ca="1" si="170"/>
        <v>0</v>
      </c>
      <c r="AV245" s="652">
        <f t="shared" ca="1" si="170"/>
        <v>0</v>
      </c>
      <c r="AW245" s="652">
        <f t="shared" ca="1" si="151"/>
        <v>0</v>
      </c>
      <c r="AX245" s="652">
        <f t="shared" ca="1" si="151"/>
        <v>0</v>
      </c>
      <c r="AY245" s="652">
        <f t="shared" ca="1" si="151"/>
        <v>0</v>
      </c>
      <c r="AZ245" s="652">
        <f t="shared" ca="1" si="151"/>
        <v>0</v>
      </c>
      <c r="BA245" s="652">
        <f t="shared" ca="1" si="151"/>
        <v>0</v>
      </c>
      <c r="BB245" s="652">
        <f t="shared" ca="1" si="151"/>
        <v>0</v>
      </c>
      <c r="BC245" s="652">
        <f t="shared" ca="1" si="151"/>
        <v>0</v>
      </c>
      <c r="BD245" s="652">
        <f t="shared" ca="1" si="151"/>
        <v>0</v>
      </c>
      <c r="BE245" s="652" t="str">
        <f t="shared" ca="1" si="168"/>
        <v>Commercial</v>
      </c>
      <c r="BF245" s="652" t="str">
        <f t="shared" ca="1" si="168"/>
        <v>OFFLGInLight</v>
      </c>
      <c r="BG245" s="652" t="str">
        <f t="shared" ca="1" si="168"/>
        <v>OFFSMGasDHW</v>
      </c>
      <c r="BH245" s="652" t="str">
        <f t="shared" ca="1" si="168"/>
        <v>LGE NonRes</v>
      </c>
      <c r="BI245" s="652" t="str">
        <f t="shared" ca="1" si="168"/>
        <v>LGE NonRes</v>
      </c>
      <c r="BJ245" s="652">
        <f t="shared" ca="1" si="162"/>
        <v>20</v>
      </c>
      <c r="BK245" s="652">
        <f t="shared" ca="1" si="162"/>
        <v>0</v>
      </c>
      <c r="BL245" s="652">
        <f t="shared" ca="1" si="163"/>
        <v>0</v>
      </c>
      <c r="BM245" s="652">
        <f t="shared" ca="1" si="163"/>
        <v>0</v>
      </c>
      <c r="BN245" s="652">
        <f t="shared" ca="1" si="163"/>
        <v>0</v>
      </c>
      <c r="BO245" s="652">
        <f t="shared" ca="1" si="163"/>
        <v>0</v>
      </c>
      <c r="BP245" s="652">
        <f t="shared" ca="1" si="163"/>
        <v>0</v>
      </c>
      <c r="BQ245" s="652">
        <f t="shared" ca="1" si="163"/>
        <v>0</v>
      </c>
      <c r="BR245" s="652">
        <f t="shared" ca="1" si="144"/>
        <v>0</v>
      </c>
      <c r="BS245" s="652">
        <f t="shared" ref="BS245:BY252" ca="1" si="175">VLOOKUP($C245,INDIRECT("'"&amp;$D245&amp;"'!A6:FR1000"),IF(BS$6="Participation 2023",MATCH("__Participation 2023",INDIRECT("'"&amp;$D245&amp;"'!1:1"),0),IF(BS$6="Participation",MATCH("_Total Plan Summary _Participation",INDIRECT("'"&amp;$D245&amp;"'!1:1"),0),MATCH(BS$4&amp;"_"&amp;BS$5&amp;"_"&amp;BS$6,INDIRECT("'"&amp;$D245&amp;"'!1:1"),0))),0)</f>
        <v>0</v>
      </c>
      <c r="BT245" s="652">
        <f t="shared" ca="1" si="175"/>
        <v>0</v>
      </c>
      <c r="BU245" s="652">
        <f t="shared" ca="1" si="175"/>
        <v>0</v>
      </c>
      <c r="BV245" s="652">
        <f t="shared" ca="1" si="175"/>
        <v>0</v>
      </c>
      <c r="BW245" s="652">
        <f t="shared" ca="1" si="175"/>
        <v>0</v>
      </c>
      <c r="BX245" s="652">
        <f t="shared" ca="1" si="175"/>
        <v>0</v>
      </c>
      <c r="BY245" s="652">
        <f t="shared" ca="1" si="175"/>
        <v>0</v>
      </c>
    </row>
    <row r="246" spans="1:77">
      <c r="A246" s="425" t="str">
        <f t="shared" ca="1" si="138"/>
        <v>NonRes Midstream LightingLGE - LED Tube</v>
      </c>
      <c r="B246" s="1298" t="str">
        <f t="shared" si="171"/>
        <v>LG&amp;ENonRes Midstream Lighting</v>
      </c>
      <c r="C246" s="661" t="s">
        <v>179</v>
      </c>
      <c r="D246" s="662" t="s">
        <v>68</v>
      </c>
      <c r="E246" s="652" t="str">
        <f t="shared" ca="1" si="172"/>
        <v>LGE - LED Tube</v>
      </c>
      <c r="F246" s="652" t="str">
        <f t="shared" ca="1" si="172"/>
        <v>Any LED lamps or ballasts must also be ENERGY STAR® certified or listed on the Design Lights Consortium (DLC) qualified list.</v>
      </c>
      <c r="G246" s="652" t="str">
        <f t="shared" ca="1" si="172"/>
        <v>Per Unit</v>
      </c>
      <c r="H246" s="652">
        <f t="shared" ca="1" si="173"/>
        <v>0</v>
      </c>
      <c r="I246" s="652">
        <f t="shared" ca="1" si="173"/>
        <v>0</v>
      </c>
      <c r="J246" s="652">
        <f t="shared" ca="1" si="173"/>
        <v>2914.08</v>
      </c>
      <c r="K246" s="652">
        <f t="shared" ca="1" si="173"/>
        <v>4371.12</v>
      </c>
      <c r="L246" s="652">
        <f t="shared" ca="1" si="173"/>
        <v>4371.12</v>
      </c>
      <c r="M246" s="652">
        <f t="shared" ca="1" si="173"/>
        <v>3496.8960000000002</v>
      </c>
      <c r="N246" s="652">
        <f t="shared" ca="1" si="173"/>
        <v>2797.5168000000003</v>
      </c>
      <c r="O246" s="652">
        <f t="shared" ca="1" si="173"/>
        <v>0</v>
      </c>
      <c r="P246" s="652">
        <f t="shared" ca="1" si="173"/>
        <v>0</v>
      </c>
      <c r="Q246" s="652">
        <f t="shared" ca="1" si="173"/>
        <v>88019.786399999997</v>
      </c>
      <c r="R246" s="652">
        <f t="shared" ca="1" si="174"/>
        <v>132029.6796</v>
      </c>
      <c r="S246" s="652">
        <f t="shared" ca="1" si="174"/>
        <v>132029.6796</v>
      </c>
      <c r="T246" s="652">
        <f t="shared" ca="1" si="174"/>
        <v>105623.74368000001</v>
      </c>
      <c r="U246" s="652">
        <f t="shared" ca="1" si="174"/>
        <v>84498.99494400002</v>
      </c>
      <c r="V246" s="652">
        <f t="shared" ca="1" si="174"/>
        <v>0</v>
      </c>
      <c r="W246" s="652">
        <f t="shared" ca="1" si="174"/>
        <v>0</v>
      </c>
      <c r="X246" s="652">
        <f t="shared" ca="1" si="174"/>
        <v>0</v>
      </c>
      <c r="Y246" s="652">
        <f t="shared" ca="1" si="174"/>
        <v>0</v>
      </c>
      <c r="Z246" s="652">
        <f t="shared" ca="1" si="174"/>
        <v>0</v>
      </c>
      <c r="AA246" s="652">
        <f t="shared" ca="1" si="174"/>
        <v>0</v>
      </c>
      <c r="AB246" s="652">
        <f t="shared" ref="AB246:AH252" ca="1" si="176">VLOOKUP($C246,INDIRECT("'"&amp;$D246&amp;"'!A6:FR1000"),IF(AB$6="Participation 2023",MATCH("__Participation 2023",INDIRECT("'"&amp;$D246&amp;"'!1:1"),0),IF(AB$6="Participation",MATCH("_Total Plan Summary _Participation",INDIRECT("'"&amp;$D246&amp;"'!1:1"),0),MATCH(AB$4&amp;"_"&amp;AB$5&amp;"_"&amp;AB$6,INDIRECT("'"&amp;$D246&amp;"'!1:1"),0))),0)</f>
        <v>0</v>
      </c>
      <c r="AC246" s="652">
        <f t="shared" ca="1" si="176"/>
        <v>0</v>
      </c>
      <c r="AD246" s="652">
        <f t="shared" ca="1" si="176"/>
        <v>0</v>
      </c>
      <c r="AE246" s="652">
        <f t="shared" ca="1" si="176"/>
        <v>8742.24</v>
      </c>
      <c r="AF246" s="652">
        <f t="shared" ca="1" si="176"/>
        <v>13113.36</v>
      </c>
      <c r="AG246" s="652">
        <f t="shared" ca="1" si="176"/>
        <v>13113.36</v>
      </c>
      <c r="AH246" s="652">
        <f t="shared" ca="1" si="176"/>
        <v>10490.688</v>
      </c>
      <c r="AI246" s="652">
        <f t="shared" ca="1" si="170"/>
        <v>8392.5504000000001</v>
      </c>
      <c r="AJ246" s="652">
        <f t="shared" ca="1" si="170"/>
        <v>0</v>
      </c>
      <c r="AK246" s="652">
        <f t="shared" ca="1" si="170"/>
        <v>0</v>
      </c>
      <c r="AL246" s="652">
        <f t="shared" ca="1" si="170"/>
        <v>115069.73399999998</v>
      </c>
      <c r="AM246" s="652">
        <f t="shared" ca="1" si="170"/>
        <v>172604.601</v>
      </c>
      <c r="AN246" s="652">
        <f t="shared" ca="1" si="170"/>
        <v>172604.601</v>
      </c>
      <c r="AO246" s="652">
        <f t="shared" ca="1" si="170"/>
        <v>138083.6808</v>
      </c>
      <c r="AP246" s="652">
        <f t="shared" ca="1" si="170"/>
        <v>110466.94464</v>
      </c>
      <c r="AQ246" s="652">
        <f t="shared" ca="1" si="170"/>
        <v>0</v>
      </c>
      <c r="AR246" s="652">
        <f t="shared" ca="1" si="170"/>
        <v>0</v>
      </c>
      <c r="AS246" s="652">
        <f t="shared" ca="1" si="170"/>
        <v>17.757674999999999</v>
      </c>
      <c r="AT246" s="652">
        <f t="shared" ca="1" si="170"/>
        <v>26.636512499999998</v>
      </c>
      <c r="AU246" s="652">
        <f t="shared" ca="1" si="170"/>
        <v>26.636512499999998</v>
      </c>
      <c r="AV246" s="652">
        <f t="shared" ca="1" si="170"/>
        <v>21.30921</v>
      </c>
      <c r="AW246" s="652">
        <f t="shared" ca="1" si="151"/>
        <v>17.047368000000002</v>
      </c>
      <c r="AX246" s="652">
        <f t="shared" ca="1" si="151"/>
        <v>0</v>
      </c>
      <c r="AY246" s="652">
        <f t="shared" ca="1" si="151"/>
        <v>0</v>
      </c>
      <c r="AZ246" s="652">
        <f t="shared" ca="1" si="151"/>
        <v>0</v>
      </c>
      <c r="BA246" s="652">
        <f t="shared" ca="1" si="151"/>
        <v>0</v>
      </c>
      <c r="BB246" s="652">
        <f t="shared" ca="1" si="151"/>
        <v>0</v>
      </c>
      <c r="BC246" s="652">
        <f t="shared" ca="1" si="151"/>
        <v>0</v>
      </c>
      <c r="BD246" s="652">
        <f t="shared" ca="1" si="151"/>
        <v>0</v>
      </c>
      <c r="BE246" s="652" t="str">
        <f t="shared" ca="1" si="168"/>
        <v>Commercial</v>
      </c>
      <c r="BF246" s="652" t="str">
        <f t="shared" ca="1" si="168"/>
        <v>OFFLGInLight</v>
      </c>
      <c r="BG246" s="652" t="str">
        <f t="shared" ca="1" si="168"/>
        <v>OFFSMGasDHW</v>
      </c>
      <c r="BH246" s="652" t="str">
        <f t="shared" ca="1" si="168"/>
        <v>LGE NonRes</v>
      </c>
      <c r="BI246" s="652" t="str">
        <f t="shared" ca="1" si="168"/>
        <v>LGE NonRes</v>
      </c>
      <c r="BJ246" s="652">
        <f t="shared" ca="1" si="162"/>
        <v>20</v>
      </c>
      <c r="BK246" s="652">
        <f t="shared" ca="1" si="162"/>
        <v>0</v>
      </c>
      <c r="BL246" s="652">
        <f t="shared" ca="1" si="163"/>
        <v>0</v>
      </c>
      <c r="BM246" s="652">
        <f t="shared" ca="1" si="163"/>
        <v>0</v>
      </c>
      <c r="BN246" s="652">
        <f t="shared" ca="1" si="163"/>
        <v>0</v>
      </c>
      <c r="BO246" s="652">
        <f t="shared" ca="1" si="163"/>
        <v>0</v>
      </c>
      <c r="BP246" s="652">
        <f t="shared" ca="1" si="163"/>
        <v>0</v>
      </c>
      <c r="BQ246" s="652">
        <f t="shared" ca="1" si="163"/>
        <v>0</v>
      </c>
      <c r="BR246" s="652">
        <f t="shared" ca="1" si="144"/>
        <v>17950.732800000002</v>
      </c>
      <c r="BS246" s="652">
        <f t="shared" ca="1" si="175"/>
        <v>542201.88422400004</v>
      </c>
      <c r="BT246" s="652">
        <f t="shared" ca="1" si="175"/>
        <v>0</v>
      </c>
      <c r="BU246" s="652">
        <f t="shared" ca="1" si="175"/>
        <v>53852.198400000001</v>
      </c>
      <c r="BV246" s="652">
        <f t="shared" ca="1" si="175"/>
        <v>0</v>
      </c>
      <c r="BW246" s="652">
        <f t="shared" ca="1" si="175"/>
        <v>708829.56143999996</v>
      </c>
      <c r="BX246" s="652">
        <f t="shared" ca="1" si="175"/>
        <v>109.38727800000001</v>
      </c>
      <c r="BY246" s="652">
        <f t="shared" ca="1" si="175"/>
        <v>0</v>
      </c>
    </row>
    <row r="247" spans="1:77">
      <c r="A247" s="425" t="str">
        <f t="shared" ca="1" si="138"/>
        <v>NonRes Midstream LightingLGE - Interior ≤ 10W</v>
      </c>
      <c r="B247" s="1298" t="str">
        <f t="shared" si="171"/>
        <v>LG&amp;ENonRes Midstream Lighting</v>
      </c>
      <c r="C247" s="661" t="s">
        <v>180</v>
      </c>
      <c r="D247" s="662" t="s">
        <v>68</v>
      </c>
      <c r="E247" s="652" t="str">
        <f t="shared" ca="1" si="172"/>
        <v>LGE - Interior ≤ 10W</v>
      </c>
      <c r="F247" s="652" t="str">
        <f t="shared" ca="1" si="172"/>
        <v>Any LED lamps or ballasts must also be ENERGY STAR® certified or listed on the Design Lights Consortium (DLC) qualified list.</v>
      </c>
      <c r="G247" s="652" t="str">
        <f t="shared" ca="1" si="172"/>
        <v>Per Unit</v>
      </c>
      <c r="H247" s="652">
        <f t="shared" ca="1" si="173"/>
        <v>0</v>
      </c>
      <c r="I247" s="652">
        <f t="shared" ca="1" si="173"/>
        <v>0</v>
      </c>
      <c r="J247" s="652">
        <f t="shared" ca="1" si="173"/>
        <v>7070.88</v>
      </c>
      <c r="K247" s="652">
        <f t="shared" ca="1" si="173"/>
        <v>10606.32</v>
      </c>
      <c r="L247" s="652">
        <f t="shared" ca="1" si="173"/>
        <v>10606.32</v>
      </c>
      <c r="M247" s="652">
        <f t="shared" ca="1" si="173"/>
        <v>8485.0560000000005</v>
      </c>
      <c r="N247" s="652">
        <f t="shared" ca="1" si="173"/>
        <v>6788.0448000000006</v>
      </c>
      <c r="O247" s="652">
        <f t="shared" ca="1" si="173"/>
        <v>0</v>
      </c>
      <c r="P247" s="652">
        <f t="shared" ca="1" si="173"/>
        <v>0</v>
      </c>
      <c r="Q247" s="652">
        <f t="shared" ca="1" si="173"/>
        <v>254551.67999999999</v>
      </c>
      <c r="R247" s="652">
        <f t="shared" ca="1" si="174"/>
        <v>381827.52</v>
      </c>
      <c r="S247" s="652">
        <f t="shared" ca="1" si="174"/>
        <v>381827.52</v>
      </c>
      <c r="T247" s="652">
        <f t="shared" ca="1" si="174"/>
        <v>305462.016</v>
      </c>
      <c r="U247" s="652">
        <f t="shared" ca="1" si="174"/>
        <v>244369.61280000003</v>
      </c>
      <c r="V247" s="652">
        <f t="shared" ca="1" si="174"/>
        <v>0</v>
      </c>
      <c r="W247" s="652">
        <f t="shared" ca="1" si="174"/>
        <v>0</v>
      </c>
      <c r="X247" s="652">
        <f t="shared" ca="1" si="174"/>
        <v>0</v>
      </c>
      <c r="Y247" s="652">
        <f t="shared" ca="1" si="174"/>
        <v>0</v>
      </c>
      <c r="Z247" s="652">
        <f t="shared" ca="1" si="174"/>
        <v>0</v>
      </c>
      <c r="AA247" s="652">
        <f t="shared" ca="1" si="174"/>
        <v>0</v>
      </c>
      <c r="AB247" s="652">
        <f t="shared" ca="1" si="176"/>
        <v>0</v>
      </c>
      <c r="AC247" s="652">
        <f t="shared" ca="1" si="176"/>
        <v>0</v>
      </c>
      <c r="AD247" s="652">
        <f t="shared" ca="1" si="176"/>
        <v>0</v>
      </c>
      <c r="AE247" s="652">
        <f t="shared" ca="1" si="176"/>
        <v>35354.400000000001</v>
      </c>
      <c r="AF247" s="652">
        <f t="shared" ca="1" si="176"/>
        <v>53031.6</v>
      </c>
      <c r="AG247" s="652">
        <f t="shared" ca="1" si="176"/>
        <v>53031.6</v>
      </c>
      <c r="AH247" s="652">
        <f t="shared" ca="1" si="176"/>
        <v>42425.279999999999</v>
      </c>
      <c r="AI247" s="652">
        <f t="shared" ca="1" si="170"/>
        <v>33940.224000000002</v>
      </c>
      <c r="AJ247" s="652">
        <f t="shared" ca="1" si="170"/>
        <v>0</v>
      </c>
      <c r="AK247" s="652">
        <f t="shared" ca="1" si="170"/>
        <v>0</v>
      </c>
      <c r="AL247" s="652">
        <f t="shared" ca="1" si="170"/>
        <v>1181737.8910835667</v>
      </c>
      <c r="AM247" s="652">
        <f t="shared" ca="1" si="170"/>
        <v>1772606.8366253502</v>
      </c>
      <c r="AN247" s="652">
        <f t="shared" ca="1" si="170"/>
        <v>1772606.8366253502</v>
      </c>
      <c r="AO247" s="652">
        <f t="shared" ca="1" si="170"/>
        <v>1418085.4693002803</v>
      </c>
      <c r="AP247" s="652">
        <f t="shared" ca="1" si="170"/>
        <v>1134468.3754402243</v>
      </c>
      <c r="AQ247" s="652">
        <f t="shared" ca="1" si="170"/>
        <v>0</v>
      </c>
      <c r="AR247" s="652">
        <f t="shared" ca="1" si="170"/>
        <v>0</v>
      </c>
      <c r="AS247" s="652">
        <f t="shared" ca="1" si="170"/>
        <v>272.56496516814701</v>
      </c>
      <c r="AT247" s="652">
        <f t="shared" ca="1" si="170"/>
        <v>408.84744775222049</v>
      </c>
      <c r="AU247" s="652">
        <f t="shared" ca="1" si="170"/>
        <v>408.84744775222049</v>
      </c>
      <c r="AV247" s="652">
        <f t="shared" ca="1" si="170"/>
        <v>327.07795820177643</v>
      </c>
      <c r="AW247" s="652">
        <f t="shared" ca="1" si="151"/>
        <v>261.66236656142115</v>
      </c>
      <c r="AX247" s="652">
        <f t="shared" ca="1" si="151"/>
        <v>0</v>
      </c>
      <c r="AY247" s="652">
        <f t="shared" ca="1" si="151"/>
        <v>0</v>
      </c>
      <c r="AZ247" s="652">
        <f t="shared" ca="1" si="151"/>
        <v>0</v>
      </c>
      <c r="BA247" s="652">
        <f t="shared" ca="1" si="151"/>
        <v>0</v>
      </c>
      <c r="BB247" s="652">
        <f t="shared" ca="1" si="151"/>
        <v>0</v>
      </c>
      <c r="BC247" s="652">
        <f t="shared" ca="1" si="151"/>
        <v>0</v>
      </c>
      <c r="BD247" s="652">
        <f t="shared" ca="1" si="151"/>
        <v>0</v>
      </c>
      <c r="BE247" s="652" t="str">
        <f t="shared" ca="1" si="168"/>
        <v>Commercial</v>
      </c>
      <c r="BF247" s="652" t="str">
        <f t="shared" ca="1" si="168"/>
        <v>OFFLGInLight</v>
      </c>
      <c r="BG247" s="652" t="str">
        <f t="shared" ca="1" si="168"/>
        <v>OFFSMGasDHW</v>
      </c>
      <c r="BH247" s="652" t="str">
        <f t="shared" ca="1" si="168"/>
        <v>LGE NonRes</v>
      </c>
      <c r="BI247" s="652" t="str">
        <f t="shared" ca="1" si="168"/>
        <v>LGE NonRes</v>
      </c>
      <c r="BJ247" s="652">
        <f t="shared" ca="1" si="162"/>
        <v>12</v>
      </c>
      <c r="BK247" s="652">
        <f t="shared" ca="1" si="162"/>
        <v>0</v>
      </c>
      <c r="BL247" s="652">
        <f t="shared" ca="1" si="163"/>
        <v>0</v>
      </c>
      <c r="BM247" s="652">
        <f t="shared" ca="1" si="163"/>
        <v>0</v>
      </c>
      <c r="BN247" s="652">
        <f t="shared" ca="1" si="163"/>
        <v>0</v>
      </c>
      <c r="BO247" s="652">
        <f t="shared" ca="1" si="163"/>
        <v>0</v>
      </c>
      <c r="BP247" s="652">
        <f t="shared" ca="1" si="163"/>
        <v>0</v>
      </c>
      <c r="BQ247" s="652">
        <f t="shared" ca="1" si="163"/>
        <v>0</v>
      </c>
      <c r="BR247" s="652">
        <f t="shared" ca="1" si="144"/>
        <v>43556.620800000004</v>
      </c>
      <c r="BS247" s="652">
        <f t="shared" ca="1" si="175"/>
        <v>1568038.3488</v>
      </c>
      <c r="BT247" s="652">
        <f t="shared" ca="1" si="175"/>
        <v>0</v>
      </c>
      <c r="BU247" s="652">
        <f t="shared" ca="1" si="175"/>
        <v>217783.10399999999</v>
      </c>
      <c r="BV247" s="652">
        <f t="shared" ca="1" si="175"/>
        <v>0</v>
      </c>
      <c r="BW247" s="652">
        <f t="shared" ca="1" si="175"/>
        <v>7279505.4090747721</v>
      </c>
      <c r="BX247" s="652">
        <f t="shared" ca="1" si="175"/>
        <v>1679.0001854357856</v>
      </c>
      <c r="BY247" s="652">
        <f t="shared" ca="1" si="175"/>
        <v>0</v>
      </c>
    </row>
    <row r="248" spans="1:77">
      <c r="A248" s="425" t="str">
        <f t="shared" ca="1" si="138"/>
        <v>NonRes Midstream LightingLGE - Interior &gt; 10W and &lt; 50W</v>
      </c>
      <c r="B248" s="1298" t="str">
        <f t="shared" si="171"/>
        <v>LG&amp;ENonRes Midstream Lighting</v>
      </c>
      <c r="C248" s="661" t="s">
        <v>181</v>
      </c>
      <c r="D248" s="662" t="s">
        <v>68</v>
      </c>
      <c r="E248" s="652" t="str">
        <f t="shared" ca="1" si="172"/>
        <v>LGE - Interior &gt; 10W and &lt; 50W</v>
      </c>
      <c r="F248" s="652" t="str">
        <f t="shared" ca="1" si="172"/>
        <v>Any LED lamps or ballasts must also be ENERGY STAR® certified or listed on the Design Lights Consortium (DLC) qualified list.</v>
      </c>
      <c r="G248" s="652" t="str">
        <f t="shared" ca="1" si="172"/>
        <v>Per Unit</v>
      </c>
      <c r="H248" s="652">
        <f t="shared" ca="1" si="173"/>
        <v>0</v>
      </c>
      <c r="I248" s="652">
        <f t="shared" ca="1" si="173"/>
        <v>0</v>
      </c>
      <c r="J248" s="652">
        <f t="shared" ca="1" si="173"/>
        <v>94302.720000000001</v>
      </c>
      <c r="K248" s="652">
        <f t="shared" ca="1" si="173"/>
        <v>141454.07999999999</v>
      </c>
      <c r="L248" s="652">
        <f t="shared" ca="1" si="173"/>
        <v>141454.07999999999</v>
      </c>
      <c r="M248" s="652">
        <f t="shared" ca="1" si="173"/>
        <v>113163.264</v>
      </c>
      <c r="N248" s="652">
        <f t="shared" ca="1" si="173"/>
        <v>90530.611199999999</v>
      </c>
      <c r="O248" s="652">
        <f t="shared" ca="1" si="173"/>
        <v>0</v>
      </c>
      <c r="P248" s="652">
        <f t="shared" ca="1" si="173"/>
        <v>0</v>
      </c>
      <c r="Q248" s="652">
        <f t="shared" ca="1" si="173"/>
        <v>3421841.5542857144</v>
      </c>
      <c r="R248" s="652">
        <f t="shared" ca="1" si="174"/>
        <v>5132762.3314285707</v>
      </c>
      <c r="S248" s="652">
        <f t="shared" ca="1" si="174"/>
        <v>5132762.3314285707</v>
      </c>
      <c r="T248" s="652">
        <f t="shared" ca="1" si="174"/>
        <v>4106209.8651428567</v>
      </c>
      <c r="U248" s="652">
        <f t="shared" ca="1" si="174"/>
        <v>3284967.8921142854</v>
      </c>
      <c r="V248" s="652">
        <f t="shared" ca="1" si="174"/>
        <v>0</v>
      </c>
      <c r="W248" s="652">
        <f t="shared" ca="1" si="174"/>
        <v>0</v>
      </c>
      <c r="X248" s="652">
        <f t="shared" ca="1" si="174"/>
        <v>0</v>
      </c>
      <c r="Y248" s="652">
        <f t="shared" ca="1" si="174"/>
        <v>0</v>
      </c>
      <c r="Z248" s="652">
        <f t="shared" ca="1" si="174"/>
        <v>0</v>
      </c>
      <c r="AA248" s="652">
        <f t="shared" ca="1" si="174"/>
        <v>0</v>
      </c>
      <c r="AB248" s="652">
        <f t="shared" ca="1" si="176"/>
        <v>0</v>
      </c>
      <c r="AC248" s="652">
        <f t="shared" ca="1" si="176"/>
        <v>0</v>
      </c>
      <c r="AD248" s="652">
        <f t="shared" ca="1" si="176"/>
        <v>0</v>
      </c>
      <c r="AE248" s="652">
        <f t="shared" ca="1" si="176"/>
        <v>471513.59999999998</v>
      </c>
      <c r="AF248" s="652">
        <f t="shared" ca="1" si="176"/>
        <v>707270.39999999991</v>
      </c>
      <c r="AG248" s="652">
        <f t="shared" ca="1" si="176"/>
        <v>707270.39999999991</v>
      </c>
      <c r="AH248" s="652">
        <f t="shared" ca="1" si="176"/>
        <v>565816.31999999995</v>
      </c>
      <c r="AI248" s="652">
        <f t="shared" ca="1" si="170"/>
        <v>452653.05599999998</v>
      </c>
      <c r="AJ248" s="652">
        <f t="shared" ca="1" si="170"/>
        <v>0</v>
      </c>
      <c r="AK248" s="652">
        <f t="shared" ca="1" si="170"/>
        <v>0</v>
      </c>
      <c r="AL248" s="652">
        <f t="shared" ca="1" si="170"/>
        <v>12176375.307612205</v>
      </c>
      <c r="AM248" s="652">
        <f t="shared" ca="1" si="170"/>
        <v>18264562.961418305</v>
      </c>
      <c r="AN248" s="652">
        <f t="shared" ca="1" si="170"/>
        <v>18264562.961418305</v>
      </c>
      <c r="AO248" s="652">
        <f t="shared" ca="1" si="170"/>
        <v>14611650.369134646</v>
      </c>
      <c r="AP248" s="652">
        <f t="shared" ca="1" si="170"/>
        <v>11689320.295307716</v>
      </c>
      <c r="AQ248" s="652">
        <f t="shared" ca="1" si="170"/>
        <v>0</v>
      </c>
      <c r="AR248" s="652">
        <f t="shared" ca="1" si="170"/>
        <v>0</v>
      </c>
      <c r="AS248" s="652">
        <f t="shared" ca="1" si="170"/>
        <v>5888.9498519754306</v>
      </c>
      <c r="AT248" s="652">
        <f t="shared" ca="1" si="170"/>
        <v>8833.4247779631442</v>
      </c>
      <c r="AU248" s="652">
        <f t="shared" ca="1" si="170"/>
        <v>8833.4247779631442</v>
      </c>
      <c r="AV248" s="652">
        <f t="shared" ca="1" si="170"/>
        <v>7066.7398223705159</v>
      </c>
      <c r="AW248" s="652">
        <f t="shared" ca="1" si="151"/>
        <v>5653.3918578964131</v>
      </c>
      <c r="AX248" s="652">
        <f t="shared" ca="1" si="151"/>
        <v>0</v>
      </c>
      <c r="AY248" s="652">
        <f t="shared" ca="1" si="151"/>
        <v>0</v>
      </c>
      <c r="AZ248" s="652">
        <f t="shared" ca="1" si="151"/>
        <v>0</v>
      </c>
      <c r="BA248" s="652">
        <f t="shared" ca="1" si="151"/>
        <v>0</v>
      </c>
      <c r="BB248" s="652">
        <f t="shared" ca="1" si="151"/>
        <v>0</v>
      </c>
      <c r="BC248" s="652">
        <f t="shared" ca="1" si="151"/>
        <v>0</v>
      </c>
      <c r="BD248" s="652">
        <f t="shared" ca="1" si="151"/>
        <v>0</v>
      </c>
      <c r="BE248" s="652" t="str">
        <f t="shared" ca="1" si="168"/>
        <v>Commercial</v>
      </c>
      <c r="BF248" s="652" t="str">
        <f t="shared" ca="1" si="168"/>
        <v>OFFLGInLight</v>
      </c>
      <c r="BG248" s="652" t="str">
        <f t="shared" ca="1" si="168"/>
        <v>OFFSMGasDHW</v>
      </c>
      <c r="BH248" s="652" t="str">
        <f t="shared" ca="1" si="168"/>
        <v>LGE NonRes</v>
      </c>
      <c r="BI248" s="652" t="str">
        <f t="shared" ca="1" si="168"/>
        <v>LGE NonRes</v>
      </c>
      <c r="BJ248" s="652">
        <f t="shared" ca="1" si="162"/>
        <v>12</v>
      </c>
      <c r="BK248" s="652">
        <f t="shared" ca="1" si="162"/>
        <v>0</v>
      </c>
      <c r="BL248" s="652">
        <f t="shared" ca="1" si="163"/>
        <v>0</v>
      </c>
      <c r="BM248" s="652">
        <f t="shared" ca="1" si="163"/>
        <v>0</v>
      </c>
      <c r="BN248" s="652">
        <f t="shared" ca="1" si="163"/>
        <v>0</v>
      </c>
      <c r="BO248" s="652">
        <f t="shared" ca="1" si="163"/>
        <v>0</v>
      </c>
      <c r="BP248" s="652">
        <f t="shared" ca="1" si="163"/>
        <v>0</v>
      </c>
      <c r="BQ248" s="652">
        <f t="shared" ca="1" si="163"/>
        <v>0</v>
      </c>
      <c r="BR248" s="652">
        <f t="shared" ca="1" si="144"/>
        <v>580904.75520000001</v>
      </c>
      <c r="BS248" s="652">
        <f t="shared" ca="1" si="175"/>
        <v>21078543.974399999</v>
      </c>
      <c r="BT248" s="652">
        <f t="shared" ca="1" si="175"/>
        <v>0</v>
      </c>
      <c r="BU248" s="652">
        <f t="shared" ca="1" si="175"/>
        <v>2904523.7759999996</v>
      </c>
      <c r="BV248" s="652">
        <f t="shared" ca="1" si="175"/>
        <v>0</v>
      </c>
      <c r="BW248" s="652">
        <f t="shared" ca="1" si="175"/>
        <v>75006471.894891173</v>
      </c>
      <c r="BX248" s="652">
        <f t="shared" ca="1" si="175"/>
        <v>36275.931088168647</v>
      </c>
      <c r="BY248" s="652">
        <f t="shared" ca="1" si="175"/>
        <v>0</v>
      </c>
    </row>
    <row r="249" spans="1:77">
      <c r="A249" s="425" t="str">
        <f t="shared" ca="1" si="138"/>
        <v>NonRes Midstream LightingLGE - Interior ≥ 50W</v>
      </c>
      <c r="B249" s="1298" t="str">
        <f t="shared" si="171"/>
        <v>LG&amp;ENonRes Midstream Lighting</v>
      </c>
      <c r="C249" s="661" t="s">
        <v>182</v>
      </c>
      <c r="D249" s="662" t="s">
        <v>68</v>
      </c>
      <c r="E249" s="652" t="str">
        <f t="shared" ca="1" si="172"/>
        <v>LGE - Interior ≥ 50W</v>
      </c>
      <c r="F249" s="652" t="str">
        <f t="shared" ca="1" si="172"/>
        <v>Any LED lamps or ballasts must also be ENERGY STAR® certified or listed on the Design Lights Consortium (DLC) qualified list.</v>
      </c>
      <c r="G249" s="652" t="str">
        <f t="shared" ca="1" si="172"/>
        <v>Per Unit</v>
      </c>
      <c r="H249" s="652">
        <f t="shared" ca="1" si="173"/>
        <v>0</v>
      </c>
      <c r="I249" s="652">
        <f t="shared" ca="1" si="173"/>
        <v>0</v>
      </c>
      <c r="J249" s="652">
        <f t="shared" ca="1" si="173"/>
        <v>11697.6</v>
      </c>
      <c r="K249" s="652">
        <f t="shared" ca="1" si="173"/>
        <v>17546.399999999998</v>
      </c>
      <c r="L249" s="652">
        <f t="shared" ca="1" si="173"/>
        <v>17546.399999999998</v>
      </c>
      <c r="M249" s="652">
        <f t="shared" ca="1" si="173"/>
        <v>14037.119999999999</v>
      </c>
      <c r="N249" s="652">
        <f t="shared" ca="1" si="173"/>
        <v>11229.696</v>
      </c>
      <c r="O249" s="652">
        <f t="shared" ca="1" si="173"/>
        <v>0</v>
      </c>
      <c r="P249" s="652">
        <f t="shared" ca="1" si="173"/>
        <v>0</v>
      </c>
      <c r="Q249" s="652">
        <f t="shared" ca="1" si="173"/>
        <v>1778035.2</v>
      </c>
      <c r="R249" s="652">
        <f t="shared" ca="1" si="174"/>
        <v>2667052.7999999998</v>
      </c>
      <c r="S249" s="652">
        <f t="shared" ca="1" si="174"/>
        <v>2667052.7999999998</v>
      </c>
      <c r="T249" s="652">
        <f t="shared" ca="1" si="174"/>
        <v>2133642.2399999998</v>
      </c>
      <c r="U249" s="652">
        <f t="shared" ca="1" si="174"/>
        <v>1706913.7919999999</v>
      </c>
      <c r="V249" s="652">
        <f t="shared" ca="1" si="174"/>
        <v>0</v>
      </c>
      <c r="W249" s="652">
        <f t="shared" ca="1" si="174"/>
        <v>0</v>
      </c>
      <c r="X249" s="652">
        <f t="shared" ca="1" si="174"/>
        <v>0</v>
      </c>
      <c r="Y249" s="652">
        <f t="shared" ca="1" si="174"/>
        <v>0</v>
      </c>
      <c r="Z249" s="652">
        <f t="shared" ca="1" si="174"/>
        <v>0</v>
      </c>
      <c r="AA249" s="652">
        <f t="shared" ca="1" si="174"/>
        <v>0</v>
      </c>
      <c r="AB249" s="652">
        <f t="shared" ca="1" si="176"/>
        <v>0</v>
      </c>
      <c r="AC249" s="652">
        <f t="shared" ca="1" si="176"/>
        <v>0</v>
      </c>
      <c r="AD249" s="652">
        <f t="shared" ca="1" si="176"/>
        <v>0</v>
      </c>
      <c r="AE249" s="652">
        <f t="shared" ca="1" si="176"/>
        <v>70185.600000000006</v>
      </c>
      <c r="AF249" s="652">
        <f t="shared" ca="1" si="176"/>
        <v>105278.39999999999</v>
      </c>
      <c r="AG249" s="652">
        <f t="shared" ca="1" si="176"/>
        <v>105278.39999999999</v>
      </c>
      <c r="AH249" s="652">
        <f t="shared" ca="1" si="176"/>
        <v>84222.720000000001</v>
      </c>
      <c r="AI249" s="652">
        <f t="shared" ca="1" si="170"/>
        <v>67378.176000000007</v>
      </c>
      <c r="AJ249" s="652">
        <f t="shared" ca="1" si="170"/>
        <v>0</v>
      </c>
      <c r="AK249" s="652">
        <f t="shared" ca="1" si="170"/>
        <v>0</v>
      </c>
      <c r="AL249" s="652">
        <f t="shared" ca="1" si="170"/>
        <v>2437209.6432819394</v>
      </c>
      <c r="AM249" s="652">
        <f t="shared" ca="1" si="170"/>
        <v>3655814.4649229082</v>
      </c>
      <c r="AN249" s="652">
        <f t="shared" ca="1" si="170"/>
        <v>3655814.4649229082</v>
      </c>
      <c r="AO249" s="652">
        <f t="shared" ca="1" si="170"/>
        <v>2924651.571938327</v>
      </c>
      <c r="AP249" s="652">
        <f t="shared" ca="1" si="170"/>
        <v>2339721.2575506615</v>
      </c>
      <c r="AQ249" s="652">
        <f t="shared" ca="1" si="170"/>
        <v>0</v>
      </c>
      <c r="AR249" s="652">
        <f t="shared" ca="1" si="170"/>
        <v>0</v>
      </c>
      <c r="AS249" s="652">
        <f t="shared" ca="1" si="170"/>
        <v>519.23977976187609</v>
      </c>
      <c r="AT249" s="652">
        <f t="shared" ca="1" si="170"/>
        <v>778.85966964281397</v>
      </c>
      <c r="AU249" s="652">
        <f t="shared" ca="1" si="170"/>
        <v>778.85966964281397</v>
      </c>
      <c r="AV249" s="652">
        <f t="shared" ca="1" si="170"/>
        <v>623.08773571425115</v>
      </c>
      <c r="AW249" s="652">
        <f t="shared" ca="1" si="151"/>
        <v>498.47018857140097</v>
      </c>
      <c r="AX249" s="652">
        <f t="shared" ca="1" si="151"/>
        <v>0</v>
      </c>
      <c r="AY249" s="652">
        <f t="shared" ref="AW249:BD252" ca="1" si="177">VLOOKUP($C249,INDIRECT("'"&amp;$D249&amp;"'!A6:FR1000"),IF(AY$6="Participation 2023",MATCH("__Participation 2023",INDIRECT("'"&amp;$D249&amp;"'!1:1"),0),IF(AY$6="Participation",MATCH("_Total Plan Summary _Participation",INDIRECT("'"&amp;$D249&amp;"'!1:1"),0),MATCH(AY$4&amp;"_"&amp;AY$5&amp;"_"&amp;AY$6,INDIRECT("'"&amp;$D249&amp;"'!1:1"),0))),0)</f>
        <v>0</v>
      </c>
      <c r="AZ249" s="652">
        <f t="shared" ca="1" si="177"/>
        <v>0</v>
      </c>
      <c r="BA249" s="652">
        <f t="shared" ca="1" si="177"/>
        <v>0</v>
      </c>
      <c r="BB249" s="652">
        <f t="shared" ca="1" si="177"/>
        <v>0</v>
      </c>
      <c r="BC249" s="652">
        <f t="shared" ca="1" si="177"/>
        <v>0</v>
      </c>
      <c r="BD249" s="652">
        <f t="shared" ca="1" si="177"/>
        <v>0</v>
      </c>
      <c r="BE249" s="652" t="str">
        <f t="shared" ca="1" si="168"/>
        <v>Commercial</v>
      </c>
      <c r="BF249" s="652" t="str">
        <f t="shared" ca="1" si="168"/>
        <v>OFFLGInLight</v>
      </c>
      <c r="BG249" s="652" t="str">
        <f t="shared" ca="1" si="168"/>
        <v>OFFSMGasDHW</v>
      </c>
      <c r="BH249" s="652" t="str">
        <f t="shared" ca="1" si="168"/>
        <v>LGE NonRes</v>
      </c>
      <c r="BI249" s="652" t="str">
        <f t="shared" ca="1" si="168"/>
        <v>LGE NonRes</v>
      </c>
      <c r="BJ249" s="652">
        <f t="shared" ca="1" si="168"/>
        <v>12</v>
      </c>
      <c r="BK249" s="652">
        <f t="shared" ca="1" si="168"/>
        <v>0</v>
      </c>
      <c r="BL249" s="652">
        <f t="shared" ca="1" si="163"/>
        <v>0</v>
      </c>
      <c r="BM249" s="652">
        <f t="shared" ca="1" si="163"/>
        <v>0</v>
      </c>
      <c r="BN249" s="652">
        <f t="shared" ca="1" si="163"/>
        <v>0</v>
      </c>
      <c r="BO249" s="652">
        <f t="shared" ca="1" si="163"/>
        <v>0</v>
      </c>
      <c r="BP249" s="652">
        <f t="shared" ca="1" si="163"/>
        <v>0</v>
      </c>
      <c r="BQ249" s="652">
        <f t="shared" ca="1" si="163"/>
        <v>0</v>
      </c>
      <c r="BR249" s="652">
        <f t="shared" ca="1" si="144"/>
        <v>72057.215999999986</v>
      </c>
      <c r="BS249" s="652">
        <f t="shared" ca="1" si="175"/>
        <v>10952696.831999999</v>
      </c>
      <c r="BT249" s="652">
        <f t="shared" ca="1" si="175"/>
        <v>0</v>
      </c>
      <c r="BU249" s="652">
        <f t="shared" ca="1" si="175"/>
        <v>432343.29599999997</v>
      </c>
      <c r="BV249" s="652">
        <f t="shared" ca="1" si="175"/>
        <v>0</v>
      </c>
      <c r="BW249" s="652">
        <f t="shared" ca="1" si="175"/>
        <v>15013211.402616743</v>
      </c>
      <c r="BX249" s="652">
        <f t="shared" ca="1" si="175"/>
        <v>3198.5170433331559</v>
      </c>
      <c r="BY249" s="652">
        <f t="shared" ca="1" si="175"/>
        <v>0</v>
      </c>
    </row>
    <row r="250" spans="1:77">
      <c r="A250" s="425" t="str">
        <f t="shared" ca="1" si="138"/>
        <v>NonRes Midstream LightingLGE - Exterior: LED Other</v>
      </c>
      <c r="B250" s="1298" t="str">
        <f t="shared" si="171"/>
        <v>LG&amp;ENonRes Midstream Lighting</v>
      </c>
      <c r="C250" s="661" t="s">
        <v>191</v>
      </c>
      <c r="D250" s="662" t="s">
        <v>68</v>
      </c>
      <c r="E250" s="652" t="str">
        <f t="shared" ca="1" si="172"/>
        <v>LGE - Exterior: LED Other</v>
      </c>
      <c r="F250" s="652" t="str">
        <f t="shared" ca="1" si="172"/>
        <v>Any LED lamps or ballasts must also be ENERGY STAR® certified or listed on the Design Lights Consortium (DLC) qualified list.</v>
      </c>
      <c r="G250" s="652" t="str">
        <f t="shared" ca="1" si="172"/>
        <v>Per Unit</v>
      </c>
      <c r="H250" s="652">
        <f t="shared" ca="1" si="173"/>
        <v>0</v>
      </c>
      <c r="I250" s="652">
        <f t="shared" ca="1" si="173"/>
        <v>0</v>
      </c>
      <c r="J250" s="652">
        <f t="shared" ca="1" si="173"/>
        <v>27309.120000000003</v>
      </c>
      <c r="K250" s="652">
        <f t="shared" ca="1" si="173"/>
        <v>40963.68</v>
      </c>
      <c r="L250" s="652">
        <f t="shared" ca="1" si="173"/>
        <v>40963.68</v>
      </c>
      <c r="M250" s="652">
        <f t="shared" ca="1" si="173"/>
        <v>32770.944000000003</v>
      </c>
      <c r="N250" s="652">
        <f t="shared" ca="1" si="173"/>
        <v>26216.755200000003</v>
      </c>
      <c r="O250" s="652">
        <f t="shared" ca="1" si="173"/>
        <v>0</v>
      </c>
      <c r="P250" s="652">
        <f t="shared" ca="1" si="173"/>
        <v>0</v>
      </c>
      <c r="Q250" s="652">
        <f t="shared" ca="1" si="173"/>
        <v>505218.72000000003</v>
      </c>
      <c r="R250" s="652">
        <f t="shared" ca="1" si="174"/>
        <v>757828.08</v>
      </c>
      <c r="S250" s="652">
        <f t="shared" ca="1" si="174"/>
        <v>757828.08</v>
      </c>
      <c r="T250" s="652">
        <f t="shared" ca="1" si="174"/>
        <v>606262.46400000004</v>
      </c>
      <c r="U250" s="652">
        <f t="shared" ca="1" si="174"/>
        <v>485009.97120000009</v>
      </c>
      <c r="V250" s="652">
        <f t="shared" ca="1" si="174"/>
        <v>0</v>
      </c>
      <c r="W250" s="652">
        <f t="shared" ca="1" si="174"/>
        <v>0</v>
      </c>
      <c r="X250" s="652">
        <f t="shared" ca="1" si="174"/>
        <v>0</v>
      </c>
      <c r="Y250" s="652">
        <f t="shared" ca="1" si="174"/>
        <v>0</v>
      </c>
      <c r="Z250" s="652">
        <f t="shared" ca="1" si="174"/>
        <v>0</v>
      </c>
      <c r="AA250" s="652">
        <f t="shared" ca="1" si="174"/>
        <v>0</v>
      </c>
      <c r="AB250" s="652">
        <f t="shared" ca="1" si="176"/>
        <v>0</v>
      </c>
      <c r="AC250" s="652">
        <f t="shared" ca="1" si="176"/>
        <v>0</v>
      </c>
      <c r="AD250" s="652">
        <f t="shared" ca="1" si="176"/>
        <v>0</v>
      </c>
      <c r="AE250" s="652">
        <f t="shared" ca="1" si="176"/>
        <v>355018.56000000006</v>
      </c>
      <c r="AF250" s="652">
        <f t="shared" ca="1" si="176"/>
        <v>532527.84</v>
      </c>
      <c r="AG250" s="652">
        <f t="shared" ca="1" si="176"/>
        <v>532527.84</v>
      </c>
      <c r="AH250" s="652">
        <f t="shared" ca="1" si="176"/>
        <v>426022.27200000006</v>
      </c>
      <c r="AI250" s="652">
        <f t="shared" ca="1" si="170"/>
        <v>340817.81760000007</v>
      </c>
      <c r="AJ250" s="652">
        <f t="shared" ca="1" si="170"/>
        <v>0</v>
      </c>
      <c r="AK250" s="652">
        <f t="shared" ca="1" si="170"/>
        <v>0</v>
      </c>
      <c r="AL250" s="652">
        <f t="shared" ca="1" si="170"/>
        <v>17327765.820655234</v>
      </c>
      <c r="AM250" s="652">
        <f t="shared" ca="1" si="170"/>
        <v>25991648.730982848</v>
      </c>
      <c r="AN250" s="652">
        <f t="shared" ca="1" si="170"/>
        <v>25991648.730982848</v>
      </c>
      <c r="AO250" s="652">
        <f t="shared" ca="1" si="170"/>
        <v>20793318.984786279</v>
      </c>
      <c r="AP250" s="652">
        <f t="shared" ca="1" si="170"/>
        <v>16634655.187829025</v>
      </c>
      <c r="AQ250" s="652">
        <f t="shared" ca="1" si="170"/>
        <v>0</v>
      </c>
      <c r="AR250" s="652">
        <f t="shared" ca="1" si="170"/>
        <v>0</v>
      </c>
      <c r="AS250" s="652">
        <f t="shared" ca="1" si="170"/>
        <v>0</v>
      </c>
      <c r="AT250" s="652">
        <f t="shared" ca="1" si="170"/>
        <v>0</v>
      </c>
      <c r="AU250" s="652">
        <f t="shared" ca="1" si="170"/>
        <v>0</v>
      </c>
      <c r="AV250" s="652">
        <f t="shared" ca="1" si="170"/>
        <v>0</v>
      </c>
      <c r="AW250" s="652">
        <f t="shared" ca="1" si="177"/>
        <v>0</v>
      </c>
      <c r="AX250" s="652">
        <f t="shared" ca="1" si="177"/>
        <v>0</v>
      </c>
      <c r="AY250" s="652">
        <f t="shared" ca="1" si="177"/>
        <v>0</v>
      </c>
      <c r="AZ250" s="652">
        <f t="shared" ca="1" si="177"/>
        <v>0</v>
      </c>
      <c r="BA250" s="652">
        <f t="shared" ca="1" si="177"/>
        <v>0</v>
      </c>
      <c r="BB250" s="652">
        <f t="shared" ca="1" si="177"/>
        <v>0</v>
      </c>
      <c r="BC250" s="652">
        <f t="shared" ca="1" si="177"/>
        <v>0</v>
      </c>
      <c r="BD250" s="652">
        <f t="shared" ca="1" si="177"/>
        <v>0</v>
      </c>
      <c r="BE250" s="652" t="str">
        <f t="shared" ca="1" si="168"/>
        <v>Commercial</v>
      </c>
      <c r="BF250" s="652" t="str">
        <f t="shared" ca="1" si="168"/>
        <v>OFFLGInLight</v>
      </c>
      <c r="BG250" s="652" t="str">
        <f t="shared" ca="1" si="168"/>
        <v>OFFSMGasDHW</v>
      </c>
      <c r="BH250" s="652" t="str">
        <f t="shared" ca="1" si="168"/>
        <v>LGE NonRes</v>
      </c>
      <c r="BI250" s="652" t="str">
        <f t="shared" ca="1" si="168"/>
        <v>LGE NonRes</v>
      </c>
      <c r="BJ250" s="652">
        <f t="shared" ca="1" si="168"/>
        <v>20</v>
      </c>
      <c r="BK250" s="652">
        <f t="shared" ca="1" si="168"/>
        <v>0</v>
      </c>
      <c r="BL250" s="652">
        <f t="shared" ca="1" si="163"/>
        <v>0</v>
      </c>
      <c r="BM250" s="652">
        <f t="shared" ca="1" si="163"/>
        <v>0</v>
      </c>
      <c r="BN250" s="652">
        <f t="shared" ca="1" si="163"/>
        <v>0</v>
      </c>
      <c r="BO250" s="652">
        <f t="shared" ca="1" si="163"/>
        <v>0</v>
      </c>
      <c r="BP250" s="652">
        <f t="shared" ca="1" si="163"/>
        <v>0</v>
      </c>
      <c r="BQ250" s="652">
        <f t="shared" ca="1" si="163"/>
        <v>0</v>
      </c>
      <c r="BR250" s="652">
        <f t="shared" ca="1" si="144"/>
        <v>168224.17920000001</v>
      </c>
      <c r="BS250" s="652">
        <f t="shared" ca="1" si="175"/>
        <v>3112147.3152000001</v>
      </c>
      <c r="BT250" s="652">
        <f t="shared" ca="1" si="175"/>
        <v>0</v>
      </c>
      <c r="BU250" s="652">
        <f t="shared" ca="1" si="175"/>
        <v>2186914.3296000003</v>
      </c>
      <c r="BV250" s="652">
        <f t="shared" ca="1" si="175"/>
        <v>0</v>
      </c>
      <c r="BW250" s="652">
        <f t="shared" ca="1" si="175"/>
        <v>106739037.45523623</v>
      </c>
      <c r="BX250" s="652">
        <f t="shared" ca="1" si="175"/>
        <v>0</v>
      </c>
      <c r="BY250" s="652">
        <f t="shared" ca="1" si="175"/>
        <v>0</v>
      </c>
    </row>
    <row r="251" spans="1:77">
      <c r="A251" s="425" t="str">
        <f t="shared" ca="1" si="138"/>
        <v>NonRes Midstream LightingLGE - Wall Pack &amp; Canopy Fixtures ≤ 150W</v>
      </c>
      <c r="B251" s="1298" t="str">
        <f t="shared" si="171"/>
        <v>LG&amp;ENonRes Midstream Lighting</v>
      </c>
      <c r="C251" s="661" t="s">
        <v>192</v>
      </c>
      <c r="D251" s="662" t="s">
        <v>68</v>
      </c>
      <c r="E251" s="652" t="str">
        <f t="shared" ca="1" si="172"/>
        <v>LGE - Wall Pack &amp; Canopy Fixtures ≤ 150W</v>
      </c>
      <c r="F251" s="652" t="str">
        <f t="shared" ca="1" si="172"/>
        <v>Any LED lamps or ballasts must also be ENERGY STAR® certified or listed on the Design Lights Consortium (DLC) qualified list.</v>
      </c>
      <c r="G251" s="652" t="str">
        <f t="shared" ca="1" si="172"/>
        <v>Per Unit</v>
      </c>
      <c r="H251" s="652">
        <f t="shared" ca="1" si="173"/>
        <v>0</v>
      </c>
      <c r="I251" s="652">
        <f t="shared" ca="1" si="173"/>
        <v>0</v>
      </c>
      <c r="J251" s="652">
        <f t="shared" ca="1" si="173"/>
        <v>4347.84</v>
      </c>
      <c r="K251" s="652">
        <f t="shared" ca="1" si="173"/>
        <v>6521.76</v>
      </c>
      <c r="L251" s="652">
        <f t="shared" ca="1" si="173"/>
        <v>6521.76</v>
      </c>
      <c r="M251" s="652">
        <f t="shared" ca="1" si="173"/>
        <v>5217.4080000000004</v>
      </c>
      <c r="N251" s="652">
        <f t="shared" ca="1" si="173"/>
        <v>4173.9264000000003</v>
      </c>
      <c r="O251" s="652">
        <f t="shared" ca="1" si="173"/>
        <v>0</v>
      </c>
      <c r="P251" s="652">
        <f t="shared" ca="1" si="173"/>
        <v>0</v>
      </c>
      <c r="Q251" s="652">
        <f t="shared" ca="1" si="173"/>
        <v>2743487.04</v>
      </c>
      <c r="R251" s="652">
        <f t="shared" ca="1" si="174"/>
        <v>4115230.56</v>
      </c>
      <c r="S251" s="652">
        <f t="shared" ca="1" si="174"/>
        <v>4115230.56</v>
      </c>
      <c r="T251" s="652">
        <f t="shared" ca="1" si="174"/>
        <v>3292184.4480000003</v>
      </c>
      <c r="U251" s="652">
        <f t="shared" ca="1" si="174"/>
        <v>2633747.5584</v>
      </c>
      <c r="V251" s="652">
        <f t="shared" ca="1" si="174"/>
        <v>0</v>
      </c>
      <c r="W251" s="652">
        <f t="shared" ca="1" si="174"/>
        <v>0</v>
      </c>
      <c r="X251" s="652">
        <f t="shared" ca="1" si="174"/>
        <v>-12458.01088</v>
      </c>
      <c r="Y251" s="652">
        <f t="shared" ca="1" si="174"/>
        <v>-18687.016319999999</v>
      </c>
      <c r="Z251" s="652">
        <f t="shared" ca="1" si="174"/>
        <v>-18687.016319999999</v>
      </c>
      <c r="AA251" s="652">
        <f t="shared" ca="1" si="174"/>
        <v>-14949.613056</v>
      </c>
      <c r="AB251" s="652">
        <f t="shared" ca="1" si="176"/>
        <v>-11959.6904448</v>
      </c>
      <c r="AC251" s="652">
        <f t="shared" ca="1" si="176"/>
        <v>0</v>
      </c>
      <c r="AD251" s="652">
        <f t="shared" ca="1" si="176"/>
        <v>0</v>
      </c>
      <c r="AE251" s="652">
        <f t="shared" ca="1" si="176"/>
        <v>86956.800000000003</v>
      </c>
      <c r="AF251" s="652">
        <f t="shared" ca="1" si="176"/>
        <v>130435.20000000001</v>
      </c>
      <c r="AG251" s="652">
        <f t="shared" ca="1" si="176"/>
        <v>130435.20000000001</v>
      </c>
      <c r="AH251" s="652">
        <f t="shared" ca="1" si="176"/>
        <v>104348.16</v>
      </c>
      <c r="AI251" s="652">
        <f t="shared" ca="1" si="170"/>
        <v>83478.528000000006</v>
      </c>
      <c r="AJ251" s="652">
        <f t="shared" ca="1" si="170"/>
        <v>0</v>
      </c>
      <c r="AK251" s="652">
        <f t="shared" ca="1" si="170"/>
        <v>0</v>
      </c>
      <c r="AL251" s="652">
        <f t="shared" ca="1" si="170"/>
        <v>2025106.4803199999</v>
      </c>
      <c r="AM251" s="652">
        <f t="shared" ca="1" si="170"/>
        <v>3037659.7204799997</v>
      </c>
      <c r="AN251" s="652">
        <f t="shared" ca="1" si="170"/>
        <v>3037659.7204799997</v>
      </c>
      <c r="AO251" s="652">
        <f t="shared" ca="1" si="170"/>
        <v>2430127.7763840002</v>
      </c>
      <c r="AP251" s="652">
        <f t="shared" ca="1" si="170"/>
        <v>1944102.2211072</v>
      </c>
      <c r="AQ251" s="652">
        <f t="shared" ca="1" si="170"/>
        <v>0</v>
      </c>
      <c r="AR251" s="652">
        <f t="shared" ca="1" si="170"/>
        <v>0</v>
      </c>
      <c r="AS251" s="652">
        <f t="shared" ca="1" si="170"/>
        <v>167.39184</v>
      </c>
      <c r="AT251" s="652">
        <f t="shared" ca="1" si="170"/>
        <v>251.08776</v>
      </c>
      <c r="AU251" s="652">
        <f t="shared" ca="1" si="170"/>
        <v>251.08776</v>
      </c>
      <c r="AV251" s="652">
        <f t="shared" ca="1" si="170"/>
        <v>200.87020800000002</v>
      </c>
      <c r="AW251" s="652">
        <f t="shared" ca="1" si="177"/>
        <v>160.69616640000001</v>
      </c>
      <c r="AX251" s="652">
        <f t="shared" ca="1" si="177"/>
        <v>0</v>
      </c>
      <c r="AY251" s="652">
        <f t="shared" ca="1" si="177"/>
        <v>0</v>
      </c>
      <c r="AZ251" s="652">
        <f t="shared" ca="1" si="177"/>
        <v>0</v>
      </c>
      <c r="BA251" s="652">
        <f t="shared" ca="1" si="177"/>
        <v>0</v>
      </c>
      <c r="BB251" s="652">
        <f t="shared" ca="1" si="177"/>
        <v>0</v>
      </c>
      <c r="BC251" s="652">
        <f t="shared" ca="1" si="177"/>
        <v>0</v>
      </c>
      <c r="BD251" s="652">
        <f t="shared" ca="1" si="177"/>
        <v>0</v>
      </c>
      <c r="BE251" s="652" t="str">
        <f t="shared" ca="1" si="168"/>
        <v>Commercial</v>
      </c>
      <c r="BF251" s="652" t="str">
        <f t="shared" ca="1" si="168"/>
        <v>OFFLGInLight</v>
      </c>
      <c r="BG251" s="652" t="str">
        <f t="shared" ca="1" si="168"/>
        <v>OFFSMGasDHW</v>
      </c>
      <c r="BH251" s="652" t="str">
        <f t="shared" ca="1" si="168"/>
        <v>LGE NonRes</v>
      </c>
      <c r="BI251" s="652" t="str">
        <f t="shared" ca="1" si="168"/>
        <v>LGE NonRes</v>
      </c>
      <c r="BJ251" s="652">
        <f t="shared" ca="1" si="168"/>
        <v>8</v>
      </c>
      <c r="BK251" s="652">
        <f t="shared" ca="1" si="168"/>
        <v>0</v>
      </c>
      <c r="BL251" s="652">
        <f t="shared" ca="1" si="163"/>
        <v>0</v>
      </c>
      <c r="BM251" s="652">
        <f t="shared" ca="1" si="163"/>
        <v>0</v>
      </c>
      <c r="BN251" s="652">
        <f t="shared" ca="1" si="163"/>
        <v>0</v>
      </c>
      <c r="BO251" s="652">
        <f t="shared" ca="1" si="163"/>
        <v>0</v>
      </c>
      <c r="BP251" s="652">
        <f t="shared" ca="1" si="163"/>
        <v>0</v>
      </c>
      <c r="BQ251" s="652">
        <f t="shared" ca="1" si="163"/>
        <v>0</v>
      </c>
      <c r="BR251" s="652">
        <f t="shared" ca="1" si="144"/>
        <v>26782.6944</v>
      </c>
      <c r="BS251" s="652">
        <f t="shared" ca="1" si="175"/>
        <v>16899880.1664</v>
      </c>
      <c r="BT251" s="652">
        <f t="shared" ca="1" si="175"/>
        <v>-76741.347020799993</v>
      </c>
      <c r="BU251" s="652">
        <f t="shared" ca="1" si="175"/>
        <v>535653.88800000004</v>
      </c>
      <c r="BV251" s="652">
        <f t="shared" ca="1" si="175"/>
        <v>0</v>
      </c>
      <c r="BW251" s="652">
        <f t="shared" ca="1" si="175"/>
        <v>12474655.9187712</v>
      </c>
      <c r="BX251" s="652">
        <f t="shared" ca="1" si="175"/>
        <v>1031.1337344000001</v>
      </c>
      <c r="BY251" s="652">
        <f t="shared" ca="1" si="175"/>
        <v>0</v>
      </c>
    </row>
    <row r="252" spans="1:77">
      <c r="A252" s="425" t="str">
        <f t="shared" ca="1" si="138"/>
        <v>NonRes Midstream LightingLGE - Wall Pack &amp; Canopy Fixtures &gt; 150W</v>
      </c>
      <c r="B252" s="1298" t="str">
        <f t="shared" si="171"/>
        <v>LG&amp;ENonRes Midstream Lighting</v>
      </c>
      <c r="C252" s="661" t="s">
        <v>193</v>
      </c>
      <c r="D252" s="662" t="s">
        <v>68</v>
      </c>
      <c r="E252" s="652" t="str">
        <f t="shared" ca="1" si="172"/>
        <v>LGE - Wall Pack &amp; Canopy Fixtures &gt; 150W</v>
      </c>
      <c r="F252" s="652" t="str">
        <f t="shared" ca="1" si="172"/>
        <v>Any LED lamps or ballasts must also be ENERGY STAR® certified or listed on the Design Lights Consortium (DLC) qualified list.</v>
      </c>
      <c r="G252" s="652" t="str">
        <f t="shared" ca="1" si="172"/>
        <v>Per Unit</v>
      </c>
      <c r="H252" s="652">
        <f t="shared" ca="1" si="173"/>
        <v>0</v>
      </c>
      <c r="I252" s="652">
        <f t="shared" ca="1" si="173"/>
        <v>0</v>
      </c>
      <c r="J252" s="652">
        <f t="shared" ca="1" si="173"/>
        <v>0.48</v>
      </c>
      <c r="K252" s="652">
        <f t="shared" ca="1" si="173"/>
        <v>0.72</v>
      </c>
      <c r="L252" s="652">
        <f t="shared" ca="1" si="173"/>
        <v>0.72</v>
      </c>
      <c r="M252" s="652">
        <f t="shared" ca="1" si="173"/>
        <v>0.57599999999999996</v>
      </c>
      <c r="N252" s="652">
        <f t="shared" ca="1" si="173"/>
        <v>0.46079999999999999</v>
      </c>
      <c r="O252" s="652">
        <f t="shared" ca="1" si="173"/>
        <v>0</v>
      </c>
      <c r="P252" s="652">
        <f t="shared" ca="1" si="173"/>
        <v>0</v>
      </c>
      <c r="Q252" s="652">
        <f t="shared" ca="1" si="173"/>
        <v>886.07999999999993</v>
      </c>
      <c r="R252" s="652">
        <f t="shared" ca="1" si="174"/>
        <v>1329.12</v>
      </c>
      <c r="S252" s="652">
        <f t="shared" ca="1" si="174"/>
        <v>1329.12</v>
      </c>
      <c r="T252" s="652">
        <f t="shared" ca="1" si="174"/>
        <v>1063.2959999999998</v>
      </c>
      <c r="U252" s="652">
        <f t="shared" ca="1" si="174"/>
        <v>850.63679999999999</v>
      </c>
      <c r="V252" s="652">
        <f t="shared" ca="1" si="174"/>
        <v>0</v>
      </c>
      <c r="W252" s="652">
        <f t="shared" ca="1" si="174"/>
        <v>0</v>
      </c>
      <c r="X252" s="652">
        <f t="shared" ca="1" si="174"/>
        <v>-1.3753599999999999</v>
      </c>
      <c r="Y252" s="652">
        <f t="shared" ca="1" si="174"/>
        <v>-2.0630399999999995</v>
      </c>
      <c r="Z252" s="652">
        <f t="shared" ca="1" si="174"/>
        <v>-2.0630399999999995</v>
      </c>
      <c r="AA252" s="652">
        <f t="shared" ca="1" si="174"/>
        <v>-1.6504319999999997</v>
      </c>
      <c r="AB252" s="652">
        <f t="shared" ca="1" si="176"/>
        <v>-1.3203455999999998</v>
      </c>
      <c r="AC252" s="652">
        <f t="shared" ca="1" si="176"/>
        <v>0</v>
      </c>
      <c r="AD252" s="652">
        <f t="shared" ca="1" si="176"/>
        <v>0</v>
      </c>
      <c r="AE252" s="652">
        <f t="shared" ca="1" si="176"/>
        <v>14.399999999999999</v>
      </c>
      <c r="AF252" s="652">
        <f t="shared" ca="1" si="176"/>
        <v>21.599999999999998</v>
      </c>
      <c r="AG252" s="652">
        <f t="shared" ca="1" si="176"/>
        <v>21.599999999999998</v>
      </c>
      <c r="AH252" s="652">
        <f t="shared" ca="1" si="176"/>
        <v>17.279999999999998</v>
      </c>
      <c r="AI252" s="652">
        <f t="shared" ca="1" si="170"/>
        <v>13.824</v>
      </c>
      <c r="AJ252" s="652">
        <f t="shared" ca="1" si="170"/>
        <v>0</v>
      </c>
      <c r="AK252" s="652">
        <f t="shared" ca="1" si="170"/>
        <v>0</v>
      </c>
      <c r="AL252" s="652">
        <f t="shared" ca="1" si="170"/>
        <v>479.08080000000001</v>
      </c>
      <c r="AM252" s="652">
        <f t="shared" ca="1" si="170"/>
        <v>718.62120000000004</v>
      </c>
      <c r="AN252" s="652">
        <f t="shared" ca="1" si="170"/>
        <v>718.62120000000004</v>
      </c>
      <c r="AO252" s="652">
        <f t="shared" ca="1" si="170"/>
        <v>574.89695999999992</v>
      </c>
      <c r="AP252" s="652">
        <f t="shared" ca="1" si="170"/>
        <v>459.91756800000002</v>
      </c>
      <c r="AQ252" s="652">
        <f t="shared" ca="1" si="170"/>
        <v>0</v>
      </c>
      <c r="AR252" s="652">
        <f t="shared" ca="1" si="170"/>
        <v>0</v>
      </c>
      <c r="AS252" s="652">
        <f t="shared" ca="1" si="170"/>
        <v>3.9600000000000003E-2</v>
      </c>
      <c r="AT252" s="652">
        <f t="shared" ca="1" si="170"/>
        <v>5.9400000000000001E-2</v>
      </c>
      <c r="AU252" s="652">
        <f t="shared" ca="1" si="170"/>
        <v>5.9400000000000001E-2</v>
      </c>
      <c r="AV252" s="652">
        <f t="shared" ca="1" si="170"/>
        <v>4.752E-2</v>
      </c>
      <c r="AW252" s="652">
        <f t="shared" ca="1" si="177"/>
        <v>3.8016000000000001E-2</v>
      </c>
      <c r="AX252" s="652">
        <f t="shared" ca="1" si="177"/>
        <v>0</v>
      </c>
      <c r="AY252" s="652">
        <f t="shared" ca="1" si="177"/>
        <v>0</v>
      </c>
      <c r="AZ252" s="652">
        <f t="shared" ca="1" si="177"/>
        <v>0</v>
      </c>
      <c r="BA252" s="652">
        <f t="shared" ca="1" si="177"/>
        <v>0</v>
      </c>
      <c r="BB252" s="652">
        <f t="shared" ca="1" si="177"/>
        <v>0</v>
      </c>
      <c r="BC252" s="652">
        <f t="shared" ca="1" si="177"/>
        <v>0</v>
      </c>
      <c r="BD252" s="652">
        <f t="shared" ca="1" si="177"/>
        <v>0</v>
      </c>
      <c r="BE252" s="652" t="str">
        <f t="shared" ca="1" si="168"/>
        <v>Commercial</v>
      </c>
      <c r="BF252" s="652" t="str">
        <f t="shared" ca="1" si="168"/>
        <v>OFFLGInLight</v>
      </c>
      <c r="BG252" s="652" t="str">
        <f t="shared" ca="1" si="168"/>
        <v>OFFSMGasDHW</v>
      </c>
      <c r="BH252" s="652" t="str">
        <f t="shared" ca="1" si="168"/>
        <v>LGE NonRes</v>
      </c>
      <c r="BI252" s="652" t="str">
        <f t="shared" ca="1" si="168"/>
        <v>LGE NonRes</v>
      </c>
      <c r="BJ252" s="652">
        <f t="shared" ca="1" si="168"/>
        <v>8</v>
      </c>
      <c r="BK252" s="652">
        <f t="shared" ca="1" si="168"/>
        <v>0</v>
      </c>
      <c r="BL252" s="652">
        <f t="shared" ca="1" si="163"/>
        <v>0</v>
      </c>
      <c r="BM252" s="652">
        <f t="shared" ca="1" si="163"/>
        <v>0</v>
      </c>
      <c r="BN252" s="652">
        <f t="shared" ca="1" si="163"/>
        <v>0</v>
      </c>
      <c r="BO252" s="652">
        <f t="shared" ca="1" si="163"/>
        <v>0</v>
      </c>
      <c r="BP252" s="652">
        <f t="shared" ca="1" si="163"/>
        <v>0</v>
      </c>
      <c r="BQ252" s="652">
        <f t="shared" ca="1" si="163"/>
        <v>0</v>
      </c>
      <c r="BR252" s="652">
        <f t="shared" ca="1" si="144"/>
        <v>2.9567999999999999</v>
      </c>
      <c r="BS252" s="652">
        <f t="shared" ca="1" si="175"/>
        <v>5458.2528000000002</v>
      </c>
      <c r="BT252" s="652">
        <f t="shared" ca="1" si="175"/>
        <v>-8.4722175999999987</v>
      </c>
      <c r="BU252" s="652">
        <f t="shared" ca="1" si="175"/>
        <v>88.703999999999994</v>
      </c>
      <c r="BV252" s="652">
        <f t="shared" ca="1" si="175"/>
        <v>0</v>
      </c>
      <c r="BW252" s="652">
        <f t="shared" ca="1" si="175"/>
        <v>2951.1377279999997</v>
      </c>
      <c r="BX252" s="652">
        <f t="shared" ca="1" si="175"/>
        <v>0.24393600000000001</v>
      </c>
      <c r="BY252" s="652">
        <f t="shared" ca="1" si="175"/>
        <v>0</v>
      </c>
    </row>
    <row r="254" spans="1:77" s="318" customFormat="1">
      <c r="A254" s="425"/>
      <c r="B254" s="2"/>
    </row>
    <row r="255" spans="1:77">
      <c r="F255" s="11" t="s">
        <v>145</v>
      </c>
    </row>
    <row r="256" spans="1:77" s="5" customFormat="1" ht="15.5">
      <c r="A256" s="426"/>
      <c r="B256" s="1" t="s">
        <v>164</v>
      </c>
      <c r="C256" s="1"/>
      <c r="D256" s="1"/>
      <c r="E256" s="4"/>
      <c r="F256" s="4"/>
      <c r="G256" s="4"/>
      <c r="H256" s="6"/>
      <c r="I256" s="6"/>
      <c r="J256" s="6"/>
      <c r="K256" s="6"/>
      <c r="L256" s="6"/>
      <c r="M256" s="6"/>
      <c r="N256" s="6"/>
      <c r="O256" s="1348"/>
      <c r="P256" s="1348"/>
      <c r="Q256" s="1348"/>
      <c r="R256" s="1348"/>
      <c r="S256" s="1348"/>
      <c r="T256" s="1348"/>
      <c r="U256" s="1348"/>
      <c r="V256" s="1348"/>
      <c r="W256" s="1348"/>
      <c r="X256" s="1348"/>
      <c r="Y256" s="1348"/>
      <c r="Z256" s="1348"/>
      <c r="AA256" s="1348"/>
      <c r="AB256" s="1348"/>
      <c r="AC256" s="1348"/>
      <c r="AD256" s="1348"/>
      <c r="AE256" s="1348"/>
      <c r="AF256" s="1348"/>
      <c r="AG256" s="1348"/>
      <c r="AH256" s="1349"/>
      <c r="AI256" s="441"/>
      <c r="AJ256" s="1350"/>
      <c r="AK256" s="1350"/>
      <c r="AL256" s="1350"/>
      <c r="AM256" s="1350"/>
      <c r="AN256" s="1350"/>
      <c r="AO256" s="1351"/>
      <c r="AP256" s="654"/>
      <c r="AQ256" s="1350"/>
      <c r="AR256" s="1350"/>
      <c r="AS256" s="1350"/>
      <c r="AT256" s="1350"/>
      <c r="AU256" s="1350"/>
      <c r="AV256" s="1351"/>
      <c r="AW256" s="655"/>
      <c r="AX256" s="1352"/>
      <c r="AY256" s="1352"/>
      <c r="AZ256" s="1352"/>
      <c r="BA256" s="1352"/>
      <c r="BB256" s="1352"/>
      <c r="BC256" s="1352"/>
      <c r="BD256" s="279"/>
      <c r="BE256" s="279"/>
      <c r="BF256" s="279"/>
      <c r="BG256" s="279"/>
      <c r="BH256" s="279"/>
      <c r="BI256" s="279"/>
      <c r="BJ256" s="279"/>
      <c r="BK256" s="279"/>
      <c r="BL256" s="279"/>
      <c r="BM256" s="279"/>
      <c r="BN256" s="279"/>
      <c r="BO256" s="279"/>
      <c r="BP256" s="279"/>
      <c r="BQ256" s="279"/>
    </row>
    <row r="257" spans="1:77">
      <c r="E257" s="8"/>
      <c r="F257" s="8"/>
      <c r="O257" s="476" t="s">
        <v>0</v>
      </c>
      <c r="P257" s="476" t="s">
        <v>0</v>
      </c>
      <c r="Q257" s="476" t="s">
        <v>0</v>
      </c>
      <c r="R257" s="476" t="s">
        <v>0</v>
      </c>
      <c r="S257" s="476" t="s">
        <v>0</v>
      </c>
      <c r="T257" s="476" t="s">
        <v>0</v>
      </c>
      <c r="U257" s="476" t="s">
        <v>0</v>
      </c>
      <c r="V257" s="476" t="s">
        <v>0</v>
      </c>
      <c r="W257" s="476" t="s">
        <v>0</v>
      </c>
      <c r="X257" s="476" t="s">
        <v>0</v>
      </c>
      <c r="Y257" s="476" t="s">
        <v>0</v>
      </c>
      <c r="Z257" s="476" t="s">
        <v>0</v>
      </c>
      <c r="AA257" s="476" t="s">
        <v>0</v>
      </c>
      <c r="AB257" s="476" t="s">
        <v>0</v>
      </c>
      <c r="AC257" s="476" t="s">
        <v>0</v>
      </c>
      <c r="AD257" s="476" t="s">
        <v>0</v>
      </c>
      <c r="AE257" s="476" t="s">
        <v>0</v>
      </c>
      <c r="AF257" s="476" t="s">
        <v>0</v>
      </c>
      <c r="AG257" s="476" t="s">
        <v>0</v>
      </c>
      <c r="AH257" s="476" t="s">
        <v>0</v>
      </c>
      <c r="AI257" s="476" t="s">
        <v>0</v>
      </c>
      <c r="AJ257" s="478" t="s">
        <v>0</v>
      </c>
      <c r="AK257" s="478" t="s">
        <v>0</v>
      </c>
      <c r="AL257" s="478" t="s">
        <v>0</v>
      </c>
      <c r="AM257" s="478" t="s">
        <v>0</v>
      </c>
      <c r="AN257" s="478" t="s">
        <v>0</v>
      </c>
      <c r="AO257" s="478" t="s">
        <v>0</v>
      </c>
      <c r="AP257" s="478" t="s">
        <v>0</v>
      </c>
      <c r="AQ257" s="478" t="s">
        <v>0</v>
      </c>
      <c r="AR257" s="478" t="s">
        <v>0</v>
      </c>
      <c r="AS257" s="478" t="s">
        <v>0</v>
      </c>
      <c r="AT257" s="478" t="s">
        <v>0</v>
      </c>
      <c r="AU257" s="478" t="s">
        <v>0</v>
      </c>
      <c r="AV257" s="478" t="s">
        <v>0</v>
      </c>
      <c r="AW257" s="478" t="s">
        <v>0</v>
      </c>
      <c r="AX257" s="478" t="s">
        <v>0</v>
      </c>
      <c r="AY257" s="478" t="s">
        <v>0</v>
      </c>
      <c r="AZ257" s="478" t="s">
        <v>0</v>
      </c>
      <c r="BA257" s="478" t="s">
        <v>0</v>
      </c>
      <c r="BB257" s="478" t="s">
        <v>0</v>
      </c>
      <c r="BC257" s="478" t="s">
        <v>0</v>
      </c>
      <c r="BD257" s="478" t="s">
        <v>0</v>
      </c>
      <c r="BE257" s="424"/>
      <c r="BF257" s="424"/>
      <c r="BG257" s="424"/>
      <c r="BH257" s="424"/>
      <c r="BI257" s="424"/>
      <c r="BJ257" s="424"/>
      <c r="BK257" s="424"/>
      <c r="BL257" s="424"/>
      <c r="BM257" s="424"/>
      <c r="BN257" s="424"/>
      <c r="BO257" s="424"/>
      <c r="BP257" s="424"/>
      <c r="BQ257" s="424"/>
    </row>
    <row r="258" spans="1:77" ht="26">
      <c r="C258" s="368"/>
      <c r="D258" s="368"/>
      <c r="E258" s="368"/>
      <c r="F258" s="368"/>
      <c r="G258" s="368"/>
      <c r="H258" s="1346"/>
      <c r="I258" s="1346"/>
      <c r="J258" s="1346"/>
      <c r="K258" s="1346"/>
      <c r="L258" s="1346"/>
      <c r="M258" s="1347"/>
      <c r="N258" s="657"/>
      <c r="O258" s="476" t="s">
        <v>128</v>
      </c>
      <c r="P258" s="476" t="s">
        <v>128</v>
      </c>
      <c r="Q258" s="476" t="s">
        <v>128</v>
      </c>
      <c r="R258" s="476" t="s">
        <v>128</v>
      </c>
      <c r="S258" s="476" t="s">
        <v>128</v>
      </c>
      <c r="T258" s="476" t="s">
        <v>128</v>
      </c>
      <c r="U258" s="476" t="s">
        <v>128</v>
      </c>
      <c r="V258" s="476" t="s">
        <v>129</v>
      </c>
      <c r="W258" s="476" t="s">
        <v>129</v>
      </c>
      <c r="X258" s="476" t="s">
        <v>129</v>
      </c>
      <c r="Y258" s="476" t="s">
        <v>129</v>
      </c>
      <c r="Z258" s="476" t="s">
        <v>129</v>
      </c>
      <c r="AA258" s="476" t="s">
        <v>129</v>
      </c>
      <c r="AB258" s="476" t="s">
        <v>129</v>
      </c>
      <c r="AC258" s="476" t="s">
        <v>130</v>
      </c>
      <c r="AD258" s="476" t="s">
        <v>130</v>
      </c>
      <c r="AE258" s="476" t="s">
        <v>130</v>
      </c>
      <c r="AF258" s="476" t="s">
        <v>130</v>
      </c>
      <c r="AG258" s="476" t="s">
        <v>130</v>
      </c>
      <c r="AH258" s="476" t="s">
        <v>130</v>
      </c>
      <c r="AI258" s="476" t="s">
        <v>130</v>
      </c>
      <c r="AJ258" s="477" t="s">
        <v>131</v>
      </c>
      <c r="AK258" s="477" t="s">
        <v>131</v>
      </c>
      <c r="AL258" s="477" t="s">
        <v>131</v>
      </c>
      <c r="AM258" s="477" t="s">
        <v>131</v>
      </c>
      <c r="AN258" s="477" t="s">
        <v>131</v>
      </c>
      <c r="AO258" s="477" t="s">
        <v>131</v>
      </c>
      <c r="AP258" s="477" t="s">
        <v>131</v>
      </c>
      <c r="AQ258" s="477" t="s">
        <v>132</v>
      </c>
      <c r="AR258" s="477" t="s">
        <v>132</v>
      </c>
      <c r="AS258" s="477" t="s">
        <v>132</v>
      </c>
      <c r="AT258" s="477" t="s">
        <v>132</v>
      </c>
      <c r="AU258" s="477" t="s">
        <v>132</v>
      </c>
      <c r="AV258" s="477" t="s">
        <v>132</v>
      </c>
      <c r="AW258" s="477" t="s">
        <v>132</v>
      </c>
      <c r="AX258" s="477" t="s">
        <v>133</v>
      </c>
      <c r="AY258" s="477" t="s">
        <v>133</v>
      </c>
      <c r="AZ258" s="477" t="s">
        <v>133</v>
      </c>
      <c r="BA258" s="477" t="s">
        <v>133</v>
      </c>
      <c r="BB258" s="477" t="s">
        <v>133</v>
      </c>
      <c r="BC258" s="477" t="s">
        <v>133</v>
      </c>
      <c r="BD258" s="477" t="s">
        <v>133</v>
      </c>
      <c r="BE258" s="512"/>
      <c r="BF258" s="512"/>
      <c r="BG258" s="512"/>
      <c r="BH258" s="512"/>
      <c r="BI258" s="512"/>
      <c r="BJ258" s="512"/>
      <c r="BK258" s="512"/>
      <c r="BL258" s="512"/>
      <c r="BM258" s="512"/>
      <c r="BN258" s="512"/>
      <c r="BO258" s="512"/>
      <c r="BP258" s="512"/>
      <c r="BQ258" s="512"/>
      <c r="BR258" s="1343" t="s">
        <v>134</v>
      </c>
      <c r="BS258" s="1344"/>
      <c r="BT258" s="1344"/>
      <c r="BU258" s="1344"/>
      <c r="BV258" s="1344"/>
      <c r="BW258" s="1344"/>
      <c r="BX258" s="1344"/>
      <c r="BY258" s="1345"/>
    </row>
    <row r="259" spans="1:77" ht="42" customHeight="1">
      <c r="A259" s="2"/>
      <c r="C259" s="119"/>
      <c r="D259" s="119"/>
      <c r="E259" s="119"/>
      <c r="F259" s="119"/>
      <c r="G259" s="580" t="s">
        <v>283</v>
      </c>
      <c r="H259" s="671" t="s">
        <v>15</v>
      </c>
      <c r="I259" s="671" t="s">
        <v>16</v>
      </c>
      <c r="J259" s="671" t="s">
        <v>17</v>
      </c>
      <c r="K259" s="671" t="s">
        <v>18</v>
      </c>
      <c r="L259" s="671" t="s">
        <v>19</v>
      </c>
      <c r="M259" s="671" t="s">
        <v>20</v>
      </c>
      <c r="N259" s="671" t="s">
        <v>21</v>
      </c>
      <c r="O259" s="672">
        <v>2024</v>
      </c>
      <c r="P259" s="672">
        <v>2025</v>
      </c>
      <c r="Q259" s="672">
        <v>2026</v>
      </c>
      <c r="R259" s="672">
        <v>2027</v>
      </c>
      <c r="S259" s="672">
        <v>2028</v>
      </c>
      <c r="T259" s="672">
        <v>2029</v>
      </c>
      <c r="U259" s="672">
        <v>2030</v>
      </c>
      <c r="V259" s="672">
        <v>2024</v>
      </c>
      <c r="W259" s="672">
        <v>2025</v>
      </c>
      <c r="X259" s="672">
        <v>2026</v>
      </c>
      <c r="Y259" s="672">
        <v>2027</v>
      </c>
      <c r="Z259" s="672">
        <v>2028</v>
      </c>
      <c r="AA259" s="672">
        <v>2029</v>
      </c>
      <c r="AB259" s="672">
        <v>2030</v>
      </c>
      <c r="AC259" s="672">
        <v>2024</v>
      </c>
      <c r="AD259" s="672">
        <v>2025</v>
      </c>
      <c r="AE259" s="672">
        <v>2026</v>
      </c>
      <c r="AF259" s="672">
        <v>2027</v>
      </c>
      <c r="AG259" s="672">
        <v>2028</v>
      </c>
      <c r="AH259" s="672">
        <v>2029</v>
      </c>
      <c r="AI259" s="672">
        <v>2030</v>
      </c>
      <c r="AJ259" s="673" t="s">
        <v>36</v>
      </c>
      <c r="AK259" s="673" t="s">
        <v>37</v>
      </c>
      <c r="AL259" s="673" t="s">
        <v>38</v>
      </c>
      <c r="AM259" s="673" t="s">
        <v>39</v>
      </c>
      <c r="AN259" s="673" t="s">
        <v>40</v>
      </c>
      <c r="AO259" s="673" t="s">
        <v>41</v>
      </c>
      <c r="AP259" s="673" t="s">
        <v>42</v>
      </c>
      <c r="AQ259" s="673" t="s">
        <v>43</v>
      </c>
      <c r="AR259" s="673" t="s">
        <v>44</v>
      </c>
      <c r="AS259" s="673" t="s">
        <v>45</v>
      </c>
      <c r="AT259" s="673" t="s">
        <v>46</v>
      </c>
      <c r="AU259" s="673" t="s">
        <v>47</v>
      </c>
      <c r="AV259" s="673" t="s">
        <v>48</v>
      </c>
      <c r="AW259" s="673" t="s">
        <v>49</v>
      </c>
      <c r="AX259" s="673" t="s">
        <v>50</v>
      </c>
      <c r="AY259" s="673" t="s">
        <v>51</v>
      </c>
      <c r="AZ259" s="673" t="s">
        <v>52</v>
      </c>
      <c r="BA259" s="673" t="s">
        <v>53</v>
      </c>
      <c r="BB259" s="673" t="s">
        <v>54</v>
      </c>
      <c r="BC259" s="673" t="s">
        <v>55</v>
      </c>
      <c r="BD259" s="673" t="s">
        <v>56</v>
      </c>
      <c r="BE259" s="674"/>
      <c r="BF259" s="674"/>
      <c r="BG259" s="674"/>
      <c r="BH259" s="674"/>
      <c r="BI259" s="674"/>
      <c r="BJ259" s="674"/>
      <c r="BK259" s="674"/>
      <c r="BL259" s="674"/>
      <c r="BM259" s="674"/>
      <c r="BN259" s="674"/>
      <c r="BO259" s="674"/>
      <c r="BP259" s="674"/>
      <c r="BQ259" s="674"/>
      <c r="BR259" s="673" t="s">
        <v>9</v>
      </c>
      <c r="BS259" s="673" t="s">
        <v>139</v>
      </c>
      <c r="BT259" s="673" t="s">
        <v>140</v>
      </c>
      <c r="BU259" s="673" t="s">
        <v>11</v>
      </c>
      <c r="BV259" s="673" t="s">
        <v>142</v>
      </c>
      <c r="BW259" s="673" t="s">
        <v>12</v>
      </c>
      <c r="BX259" s="673" t="s">
        <v>13</v>
      </c>
      <c r="BY259" s="673" t="s">
        <v>14</v>
      </c>
    </row>
    <row r="260" spans="1:77">
      <c r="E260" s="660" t="str">
        <f>"KU"&amp;F260</f>
        <v>KUWeCare V2</v>
      </c>
      <c r="F260" s="662" t="s">
        <v>57</v>
      </c>
      <c r="G260" s="660" t="s">
        <v>146</v>
      </c>
      <c r="H260" s="652">
        <f t="shared" ref="H260:Q272" ca="1" si="178">SUMIF($B$7:$B$252,$E260,H$7:H$252)</f>
        <v>2556</v>
      </c>
      <c r="I260" s="652">
        <f t="shared" ca="1" si="178"/>
        <v>2556</v>
      </c>
      <c r="J260" s="652">
        <f t="shared" ca="1" si="178"/>
        <v>2556</v>
      </c>
      <c r="K260" s="652">
        <f t="shared" ca="1" si="178"/>
        <v>2556</v>
      </c>
      <c r="L260" s="652">
        <f t="shared" ca="1" si="178"/>
        <v>2556</v>
      </c>
      <c r="M260" s="652">
        <f t="shared" ca="1" si="178"/>
        <v>2556</v>
      </c>
      <c r="N260" s="652">
        <f t="shared" ca="1" si="178"/>
        <v>2556</v>
      </c>
      <c r="O260" s="652">
        <f t="shared" ca="1" si="178"/>
        <v>0</v>
      </c>
      <c r="P260" s="652">
        <f t="shared" ca="1" si="178"/>
        <v>0</v>
      </c>
      <c r="Q260" s="652">
        <f t="shared" ca="1" si="178"/>
        <v>0</v>
      </c>
      <c r="R260" s="652">
        <f t="shared" ref="R260:AA272" ca="1" si="179">SUMIF($B$7:$B$252,$E260,R$7:R$252)</f>
        <v>0</v>
      </c>
      <c r="S260" s="652">
        <f t="shared" ca="1" si="179"/>
        <v>0</v>
      </c>
      <c r="T260" s="652">
        <f t="shared" ca="1" si="179"/>
        <v>0</v>
      </c>
      <c r="U260" s="652">
        <f t="shared" ca="1" si="179"/>
        <v>0</v>
      </c>
      <c r="V260" s="652">
        <f t="shared" ca="1" si="179"/>
        <v>0</v>
      </c>
      <c r="W260" s="652">
        <f t="shared" ca="1" si="179"/>
        <v>0</v>
      </c>
      <c r="X260" s="652">
        <f t="shared" ca="1" si="179"/>
        <v>0</v>
      </c>
      <c r="Y260" s="652">
        <f t="shared" ca="1" si="179"/>
        <v>0</v>
      </c>
      <c r="Z260" s="652">
        <f t="shared" ca="1" si="179"/>
        <v>0</v>
      </c>
      <c r="AA260" s="652">
        <f t="shared" ca="1" si="179"/>
        <v>0</v>
      </c>
      <c r="AB260" s="652">
        <f t="shared" ref="AB260:AK272" ca="1" si="180">SUMIF($B$7:$B$252,$E260,AB$7:AB$252)</f>
        <v>0</v>
      </c>
      <c r="AC260" s="652">
        <f t="shared" ca="1" si="180"/>
        <v>0</v>
      </c>
      <c r="AD260" s="652">
        <f t="shared" ca="1" si="180"/>
        <v>0</v>
      </c>
      <c r="AE260" s="652">
        <f t="shared" ca="1" si="180"/>
        <v>0</v>
      </c>
      <c r="AF260" s="652">
        <f t="shared" ca="1" si="180"/>
        <v>0</v>
      </c>
      <c r="AG260" s="652">
        <f t="shared" ca="1" si="180"/>
        <v>0</v>
      </c>
      <c r="AH260" s="652">
        <f t="shared" ca="1" si="180"/>
        <v>0</v>
      </c>
      <c r="AI260" s="652">
        <f t="shared" ca="1" si="180"/>
        <v>0</v>
      </c>
      <c r="AJ260" s="652">
        <f t="shared" ca="1" si="180"/>
        <v>2112135.0294764596</v>
      </c>
      <c r="AK260" s="652">
        <f t="shared" ca="1" si="180"/>
        <v>2112135.0294764596</v>
      </c>
      <c r="AL260" s="652">
        <f t="shared" ref="AL260:AU272" ca="1" si="181">SUMIF($B$7:$B$252,$E260,AL$7:AL$252)</f>
        <v>2112135.0294764596</v>
      </c>
      <c r="AM260" s="652">
        <f t="shared" ca="1" si="181"/>
        <v>2112135.0294764596</v>
      </c>
      <c r="AN260" s="652">
        <f t="shared" ca="1" si="181"/>
        <v>2112135.0294764596</v>
      </c>
      <c r="AO260" s="652">
        <f t="shared" ca="1" si="181"/>
        <v>2112135.0294764596</v>
      </c>
      <c r="AP260" s="652">
        <f t="shared" ca="1" si="181"/>
        <v>2112135.0294764596</v>
      </c>
      <c r="AQ260" s="652">
        <f t="shared" ca="1" si="181"/>
        <v>173.63608868795583</v>
      </c>
      <c r="AR260" s="652">
        <f t="shared" ca="1" si="181"/>
        <v>173.63608868795583</v>
      </c>
      <c r="AS260" s="652">
        <f t="shared" ca="1" si="181"/>
        <v>173.63608868795583</v>
      </c>
      <c r="AT260" s="652">
        <f t="shared" ca="1" si="181"/>
        <v>173.63608868795583</v>
      </c>
      <c r="AU260" s="652">
        <f t="shared" ca="1" si="181"/>
        <v>173.63608868795583</v>
      </c>
      <c r="AV260" s="652">
        <f t="shared" ref="AV260:BD272" ca="1" si="182">SUMIF($B$7:$B$252,$E260,AV$7:AV$252)</f>
        <v>173.63608868795583</v>
      </c>
      <c r="AW260" s="652">
        <f t="shared" ca="1" si="182"/>
        <v>173.63608868795583</v>
      </c>
      <c r="AX260" s="652">
        <f t="shared" ca="1" si="182"/>
        <v>0</v>
      </c>
      <c r="AY260" s="652">
        <f t="shared" ca="1" si="182"/>
        <v>0</v>
      </c>
      <c r="AZ260" s="652">
        <f t="shared" ca="1" si="182"/>
        <v>0</v>
      </c>
      <c r="BA260" s="652">
        <f t="shared" ca="1" si="182"/>
        <v>0</v>
      </c>
      <c r="BB260" s="652">
        <f t="shared" ca="1" si="182"/>
        <v>0</v>
      </c>
      <c r="BC260" s="652">
        <f t="shared" ca="1" si="182"/>
        <v>0</v>
      </c>
      <c r="BD260" s="652">
        <f t="shared" ca="1" si="182"/>
        <v>0</v>
      </c>
      <c r="BE260" s="652"/>
      <c r="BF260" s="652"/>
      <c r="BG260" s="652"/>
      <c r="BH260" s="652"/>
      <c r="BI260" s="652"/>
      <c r="BJ260" s="652"/>
      <c r="BK260" s="652"/>
      <c r="BL260" s="652"/>
      <c r="BM260" s="652"/>
      <c r="BN260" s="652"/>
      <c r="BO260" s="652"/>
      <c r="BP260" s="652"/>
      <c r="BQ260" s="652"/>
      <c r="BR260" s="652">
        <f t="shared" ref="BR260:BY272" ca="1" si="183">SUMIF($B$7:$B$252,$E260,BR$7:BR$252)</f>
        <v>17892</v>
      </c>
      <c r="BS260" s="652">
        <f t="shared" ca="1" si="183"/>
        <v>0</v>
      </c>
      <c r="BT260" s="652">
        <f t="shared" ca="1" si="183"/>
        <v>0</v>
      </c>
      <c r="BU260" s="652">
        <f t="shared" ca="1" si="183"/>
        <v>0</v>
      </c>
      <c r="BV260" s="652">
        <f t="shared" ca="1" si="183"/>
        <v>29530683</v>
      </c>
      <c r="BW260" s="652">
        <f t="shared" ca="1" si="183"/>
        <v>14784945.206335217</v>
      </c>
      <c r="BX260" s="652">
        <f t="shared" ca="1" si="183"/>
        <v>1215.4526208156908</v>
      </c>
      <c r="BY260" s="652">
        <f t="shared" ca="1" si="183"/>
        <v>0</v>
      </c>
    </row>
    <row r="261" spans="1:77">
      <c r="E261" s="660" t="str">
        <f>"KU"&amp;F261</f>
        <v>KULI Multifamily - Whole Building</v>
      </c>
      <c r="F261" s="662" t="s">
        <v>58</v>
      </c>
      <c r="G261" s="660" t="s">
        <v>146</v>
      </c>
      <c r="H261" s="652">
        <f t="shared" ca="1" si="178"/>
        <v>19150</v>
      </c>
      <c r="I261" s="652">
        <f t="shared" ca="1" si="178"/>
        <v>19150</v>
      </c>
      <c r="J261" s="652">
        <f t="shared" ca="1" si="178"/>
        <v>19150</v>
      </c>
      <c r="K261" s="652">
        <f t="shared" ca="1" si="178"/>
        <v>19150</v>
      </c>
      <c r="L261" s="652">
        <f t="shared" ca="1" si="178"/>
        <v>19150</v>
      </c>
      <c r="M261" s="652">
        <f t="shared" ca="1" si="178"/>
        <v>19150</v>
      </c>
      <c r="N261" s="652">
        <f t="shared" ca="1" si="178"/>
        <v>19150</v>
      </c>
      <c r="O261" s="652">
        <f t="shared" ca="1" si="178"/>
        <v>0</v>
      </c>
      <c r="P261" s="652">
        <f t="shared" ca="1" si="178"/>
        <v>0</v>
      </c>
      <c r="Q261" s="652">
        <f t="shared" ca="1" si="178"/>
        <v>0</v>
      </c>
      <c r="R261" s="652">
        <f t="shared" ca="1" si="179"/>
        <v>0</v>
      </c>
      <c r="S261" s="652">
        <f t="shared" ca="1" si="179"/>
        <v>0</v>
      </c>
      <c r="T261" s="652">
        <f t="shared" ca="1" si="179"/>
        <v>0</v>
      </c>
      <c r="U261" s="652">
        <f t="shared" ca="1" si="179"/>
        <v>0</v>
      </c>
      <c r="V261" s="652">
        <f t="shared" ca="1" si="179"/>
        <v>0</v>
      </c>
      <c r="W261" s="652">
        <f t="shared" ca="1" si="179"/>
        <v>0</v>
      </c>
      <c r="X261" s="652">
        <f t="shared" ca="1" si="179"/>
        <v>0</v>
      </c>
      <c r="Y261" s="652">
        <f t="shared" ca="1" si="179"/>
        <v>0</v>
      </c>
      <c r="Z261" s="652">
        <f t="shared" ca="1" si="179"/>
        <v>0</v>
      </c>
      <c r="AA261" s="652">
        <f t="shared" ca="1" si="179"/>
        <v>0</v>
      </c>
      <c r="AB261" s="652">
        <f t="shared" ca="1" si="180"/>
        <v>0</v>
      </c>
      <c r="AC261" s="652">
        <f t="shared" ca="1" si="180"/>
        <v>0</v>
      </c>
      <c r="AD261" s="652">
        <f t="shared" ca="1" si="180"/>
        <v>0</v>
      </c>
      <c r="AE261" s="652">
        <f t="shared" ca="1" si="180"/>
        <v>0</v>
      </c>
      <c r="AF261" s="652">
        <f t="shared" ca="1" si="180"/>
        <v>0</v>
      </c>
      <c r="AG261" s="652">
        <f t="shared" ca="1" si="180"/>
        <v>0</v>
      </c>
      <c r="AH261" s="652">
        <f t="shared" ca="1" si="180"/>
        <v>0</v>
      </c>
      <c r="AI261" s="652">
        <f t="shared" ca="1" si="180"/>
        <v>0</v>
      </c>
      <c r="AJ261" s="652">
        <f t="shared" ca="1" si="180"/>
        <v>262188.98549356189</v>
      </c>
      <c r="AK261" s="652">
        <f t="shared" ca="1" si="180"/>
        <v>262188.98549356189</v>
      </c>
      <c r="AL261" s="652">
        <f t="shared" ca="1" si="181"/>
        <v>262188.98549356189</v>
      </c>
      <c r="AM261" s="652">
        <f t="shared" ca="1" si="181"/>
        <v>262188.98549356189</v>
      </c>
      <c r="AN261" s="652">
        <f t="shared" ca="1" si="181"/>
        <v>262188.98549356189</v>
      </c>
      <c r="AO261" s="652">
        <f t="shared" ca="1" si="181"/>
        <v>262188.98549356189</v>
      </c>
      <c r="AP261" s="652">
        <f t="shared" ca="1" si="181"/>
        <v>262188.98549356189</v>
      </c>
      <c r="AQ261" s="652">
        <f t="shared" ca="1" si="181"/>
        <v>25.719424060636353</v>
      </c>
      <c r="AR261" s="652">
        <f t="shared" ca="1" si="181"/>
        <v>25.719424060636353</v>
      </c>
      <c r="AS261" s="652">
        <f t="shared" ca="1" si="181"/>
        <v>25.719424060636353</v>
      </c>
      <c r="AT261" s="652">
        <f t="shared" ca="1" si="181"/>
        <v>25.719424060636353</v>
      </c>
      <c r="AU261" s="652">
        <f t="shared" ca="1" si="181"/>
        <v>25.719424060636353</v>
      </c>
      <c r="AV261" s="652">
        <f t="shared" ca="1" si="182"/>
        <v>25.719424060636353</v>
      </c>
      <c r="AW261" s="652">
        <f t="shared" ca="1" si="182"/>
        <v>25.719424060636353</v>
      </c>
      <c r="AX261" s="652">
        <f t="shared" ca="1" si="182"/>
        <v>0</v>
      </c>
      <c r="AY261" s="652">
        <f t="shared" ca="1" si="182"/>
        <v>0</v>
      </c>
      <c r="AZ261" s="652">
        <f t="shared" ca="1" si="182"/>
        <v>0</v>
      </c>
      <c r="BA261" s="652">
        <f t="shared" ca="1" si="182"/>
        <v>0</v>
      </c>
      <c r="BB261" s="652">
        <f t="shared" ca="1" si="182"/>
        <v>0</v>
      </c>
      <c r="BC261" s="652">
        <f t="shared" ca="1" si="182"/>
        <v>0</v>
      </c>
      <c r="BD261" s="652">
        <f t="shared" ca="1" si="182"/>
        <v>0</v>
      </c>
      <c r="BE261" s="652"/>
      <c r="BF261" s="652"/>
      <c r="BG261" s="652"/>
      <c r="BH261" s="652"/>
      <c r="BI261" s="652"/>
      <c r="BJ261" s="652"/>
      <c r="BK261" s="652"/>
      <c r="BL261" s="652"/>
      <c r="BM261" s="652"/>
      <c r="BN261" s="652"/>
      <c r="BO261" s="652"/>
      <c r="BP261" s="652"/>
      <c r="BQ261" s="652"/>
      <c r="BR261" s="652">
        <f t="shared" ca="1" si="183"/>
        <v>134050</v>
      </c>
      <c r="BS261" s="652">
        <f t="shared" ca="1" si="183"/>
        <v>0</v>
      </c>
      <c r="BT261" s="652">
        <f t="shared" ca="1" si="183"/>
        <v>0</v>
      </c>
      <c r="BU261" s="652">
        <f t="shared" ca="1" si="183"/>
        <v>0</v>
      </c>
      <c r="BV261" s="652">
        <f t="shared" ca="1" si="183"/>
        <v>2382574.2783204857</v>
      </c>
      <c r="BW261" s="652">
        <f t="shared" ca="1" si="183"/>
        <v>1835322.8984549334</v>
      </c>
      <c r="BX261" s="652">
        <f t="shared" ca="1" si="183"/>
        <v>180.03596842445447</v>
      </c>
      <c r="BY261" s="652">
        <f t="shared" ca="1" si="183"/>
        <v>0</v>
      </c>
    </row>
    <row r="262" spans="1:77">
      <c r="E262" s="660" t="str">
        <f>"KU"&amp;F262</f>
        <v>KUAppliance Recycling</v>
      </c>
      <c r="F262" s="662" t="s">
        <v>59</v>
      </c>
      <c r="G262" s="660" t="s">
        <v>146</v>
      </c>
      <c r="H262" s="652">
        <f t="shared" ca="1" si="178"/>
        <v>0</v>
      </c>
      <c r="I262" s="652">
        <f t="shared" ca="1" si="178"/>
        <v>0</v>
      </c>
      <c r="J262" s="652">
        <f t="shared" ca="1" si="178"/>
        <v>3045</v>
      </c>
      <c r="K262" s="652">
        <f t="shared" ca="1" si="178"/>
        <v>3552.5</v>
      </c>
      <c r="L262" s="652">
        <f t="shared" ca="1" si="178"/>
        <v>4060</v>
      </c>
      <c r="M262" s="652">
        <f t="shared" ca="1" si="178"/>
        <v>4060</v>
      </c>
      <c r="N262" s="652">
        <f t="shared" ca="1" si="178"/>
        <v>4060</v>
      </c>
      <c r="O262" s="652">
        <f t="shared" ca="1" si="178"/>
        <v>0</v>
      </c>
      <c r="P262" s="652">
        <f t="shared" ca="1" si="178"/>
        <v>0</v>
      </c>
      <c r="Q262" s="652">
        <f t="shared" ca="1" si="178"/>
        <v>0</v>
      </c>
      <c r="R262" s="652">
        <f t="shared" ca="1" si="179"/>
        <v>0</v>
      </c>
      <c r="S262" s="652">
        <f t="shared" ca="1" si="179"/>
        <v>0</v>
      </c>
      <c r="T262" s="652">
        <f t="shared" ca="1" si="179"/>
        <v>0</v>
      </c>
      <c r="U262" s="652">
        <f t="shared" ca="1" si="179"/>
        <v>0</v>
      </c>
      <c r="V262" s="652">
        <f t="shared" ca="1" si="179"/>
        <v>0</v>
      </c>
      <c r="W262" s="652">
        <f t="shared" ca="1" si="179"/>
        <v>0</v>
      </c>
      <c r="X262" s="652">
        <f t="shared" ca="1" si="179"/>
        <v>0</v>
      </c>
      <c r="Y262" s="652">
        <f t="shared" ca="1" si="179"/>
        <v>0</v>
      </c>
      <c r="Z262" s="652">
        <f t="shared" ca="1" si="179"/>
        <v>0</v>
      </c>
      <c r="AA262" s="652">
        <f t="shared" ca="1" si="179"/>
        <v>0</v>
      </c>
      <c r="AB262" s="652">
        <f t="shared" ca="1" si="180"/>
        <v>0</v>
      </c>
      <c r="AC262" s="652">
        <f t="shared" ca="1" si="180"/>
        <v>0</v>
      </c>
      <c r="AD262" s="652">
        <f t="shared" ca="1" si="180"/>
        <v>0</v>
      </c>
      <c r="AE262" s="652">
        <f t="shared" ca="1" si="180"/>
        <v>150000</v>
      </c>
      <c r="AF262" s="652">
        <f t="shared" ca="1" si="180"/>
        <v>175000.00000000003</v>
      </c>
      <c r="AG262" s="652">
        <f t="shared" ca="1" si="180"/>
        <v>200000</v>
      </c>
      <c r="AH262" s="652">
        <f t="shared" ca="1" si="180"/>
        <v>200000</v>
      </c>
      <c r="AI262" s="652">
        <f t="shared" ca="1" si="180"/>
        <v>200000</v>
      </c>
      <c r="AJ262" s="652">
        <f t="shared" ca="1" si="180"/>
        <v>0</v>
      </c>
      <c r="AK262" s="652">
        <f t="shared" ca="1" si="180"/>
        <v>0</v>
      </c>
      <c r="AL262" s="652">
        <f t="shared" ca="1" si="181"/>
        <v>2271326.6326530613</v>
      </c>
      <c r="AM262" s="652">
        <f t="shared" ca="1" si="181"/>
        <v>2649881.0714285718</v>
      </c>
      <c r="AN262" s="652">
        <f t="shared" ca="1" si="181"/>
        <v>3028435.5102040814</v>
      </c>
      <c r="AO262" s="652">
        <f t="shared" ca="1" si="181"/>
        <v>3028435.5102040814</v>
      </c>
      <c r="AP262" s="652">
        <f t="shared" ca="1" si="181"/>
        <v>3028435.5102040814</v>
      </c>
      <c r="AQ262" s="652">
        <f t="shared" ca="1" si="181"/>
        <v>0</v>
      </c>
      <c r="AR262" s="652">
        <f t="shared" ca="1" si="181"/>
        <v>0</v>
      </c>
      <c r="AS262" s="652">
        <f t="shared" ca="1" si="181"/>
        <v>265.97632653061225</v>
      </c>
      <c r="AT262" s="652">
        <f t="shared" ca="1" si="181"/>
        <v>310.30571428571432</v>
      </c>
      <c r="AU262" s="652">
        <f t="shared" ca="1" si="181"/>
        <v>354.63510204081638</v>
      </c>
      <c r="AV262" s="652">
        <f t="shared" ca="1" si="182"/>
        <v>354.63510204081638</v>
      </c>
      <c r="AW262" s="652">
        <f t="shared" ca="1" si="182"/>
        <v>354.63510204081638</v>
      </c>
      <c r="AX262" s="652">
        <f t="shared" ca="1" si="182"/>
        <v>0</v>
      </c>
      <c r="AY262" s="652">
        <f t="shared" ca="1" si="182"/>
        <v>0</v>
      </c>
      <c r="AZ262" s="652">
        <f t="shared" ca="1" si="182"/>
        <v>0</v>
      </c>
      <c r="BA262" s="652">
        <f t="shared" ca="1" si="182"/>
        <v>0</v>
      </c>
      <c r="BB262" s="652">
        <f t="shared" ca="1" si="182"/>
        <v>0</v>
      </c>
      <c r="BC262" s="652">
        <f t="shared" ca="1" si="182"/>
        <v>0</v>
      </c>
      <c r="BD262" s="652">
        <f t="shared" ca="1" si="182"/>
        <v>0</v>
      </c>
      <c r="BE262" s="652"/>
      <c r="BF262" s="652"/>
      <c r="BG262" s="652"/>
      <c r="BH262" s="652"/>
      <c r="BI262" s="652"/>
      <c r="BJ262" s="652"/>
      <c r="BK262" s="652"/>
      <c r="BL262" s="652"/>
      <c r="BM262" s="652"/>
      <c r="BN262" s="652"/>
      <c r="BO262" s="652"/>
      <c r="BP262" s="652"/>
      <c r="BQ262" s="652"/>
      <c r="BR262" s="652">
        <f t="shared" ca="1" si="183"/>
        <v>18777.500000000004</v>
      </c>
      <c r="BS262" s="652">
        <f t="shared" ca="1" si="183"/>
        <v>0</v>
      </c>
      <c r="BT262" s="652">
        <f t="shared" ca="1" si="183"/>
        <v>0</v>
      </c>
      <c r="BU262" s="652">
        <f t="shared" ca="1" si="183"/>
        <v>925000</v>
      </c>
      <c r="BV262" s="652">
        <f t="shared" ca="1" si="183"/>
        <v>0</v>
      </c>
      <c r="BW262" s="652">
        <f t="shared" ca="1" si="183"/>
        <v>14006514.234693877</v>
      </c>
      <c r="BX262" s="652">
        <f t="shared" ca="1" si="183"/>
        <v>1640.1873469387756</v>
      </c>
      <c r="BY262" s="652">
        <f t="shared" ca="1" si="183"/>
        <v>0</v>
      </c>
    </row>
    <row r="263" spans="1:77">
      <c r="E263" s="660" t="str">
        <f>"KU"&amp;F263</f>
        <v>KUOnline Marketplace</v>
      </c>
      <c r="F263" s="662" t="s">
        <v>60</v>
      </c>
      <c r="G263" s="660" t="s">
        <v>146</v>
      </c>
      <c r="H263" s="652">
        <f t="shared" ca="1" si="178"/>
        <v>535</v>
      </c>
      <c r="I263" s="652">
        <f t="shared" ca="1" si="178"/>
        <v>1058.0999999999999</v>
      </c>
      <c r="J263" s="652">
        <f t="shared" ca="1" si="178"/>
        <v>2108.73</v>
      </c>
      <c r="K263" s="652">
        <f t="shared" ca="1" si="178"/>
        <v>4201.8914999999997</v>
      </c>
      <c r="L263" s="652">
        <f t="shared" ca="1" si="178"/>
        <v>6026.3360750000002</v>
      </c>
      <c r="M263" s="652">
        <f t="shared" ca="1" si="178"/>
        <v>6032.6903787499996</v>
      </c>
      <c r="N263" s="652">
        <f t="shared" ca="1" si="178"/>
        <v>6041.8936476874997</v>
      </c>
      <c r="O263" s="652">
        <f t="shared" ca="1" si="178"/>
        <v>80695.88</v>
      </c>
      <c r="P263" s="652">
        <f t="shared" ca="1" si="178"/>
        <v>161172.424</v>
      </c>
      <c r="Q263" s="652">
        <f t="shared" ca="1" si="178"/>
        <v>322364.54519999999</v>
      </c>
      <c r="R263" s="652">
        <f t="shared" ca="1" si="179"/>
        <v>644362.27246000001</v>
      </c>
      <c r="S263" s="652">
        <f t="shared" ca="1" si="179"/>
        <v>924843.13608299999</v>
      </c>
      <c r="T263" s="652">
        <f t="shared" ca="1" si="179"/>
        <v>925138.41788714996</v>
      </c>
      <c r="U263" s="652">
        <f t="shared" ca="1" si="179"/>
        <v>925575.02628150745</v>
      </c>
      <c r="V263" s="652">
        <f t="shared" ca="1" si="179"/>
        <v>0</v>
      </c>
      <c r="W263" s="652">
        <f t="shared" ca="1" si="179"/>
        <v>0</v>
      </c>
      <c r="X263" s="652">
        <f t="shared" ca="1" si="179"/>
        <v>0</v>
      </c>
      <c r="Y263" s="652">
        <f t="shared" ca="1" si="179"/>
        <v>0</v>
      </c>
      <c r="Z263" s="652">
        <f t="shared" ca="1" si="179"/>
        <v>0</v>
      </c>
      <c r="AA263" s="652">
        <f t="shared" ca="1" si="179"/>
        <v>0</v>
      </c>
      <c r="AB263" s="652">
        <f t="shared" ca="1" si="180"/>
        <v>0</v>
      </c>
      <c r="AC263" s="652">
        <f t="shared" ca="1" si="180"/>
        <v>39307.5</v>
      </c>
      <c r="AD263" s="652">
        <f t="shared" ca="1" si="180"/>
        <v>78501</v>
      </c>
      <c r="AE263" s="652">
        <f t="shared" ca="1" si="180"/>
        <v>157132.29999999999</v>
      </c>
      <c r="AF263" s="652">
        <f t="shared" ca="1" si="180"/>
        <v>314013.91499999998</v>
      </c>
      <c r="AG263" s="652">
        <f t="shared" ca="1" si="180"/>
        <v>450708.36074999999</v>
      </c>
      <c r="AH263" s="652">
        <f t="shared" ca="1" si="180"/>
        <v>450996.90378749999</v>
      </c>
      <c r="AI263" s="652">
        <f t="shared" ca="1" si="180"/>
        <v>451426.43647687498</v>
      </c>
      <c r="AJ263" s="652">
        <f t="shared" ca="1" si="180"/>
        <v>163037.34636570927</v>
      </c>
      <c r="AK263" s="652">
        <f t="shared" ca="1" si="180"/>
        <v>325350.79273141851</v>
      </c>
      <c r="AL263" s="652">
        <f t="shared" ca="1" si="181"/>
        <v>649941.49046283704</v>
      </c>
      <c r="AM263" s="652">
        <f t="shared" ca="1" si="181"/>
        <v>1299084.881175674</v>
      </c>
      <c r="AN263" s="652">
        <f t="shared" ca="1" si="181"/>
        <v>1864375.169244329</v>
      </c>
      <c r="AO263" s="652">
        <f t="shared" ca="1" si="181"/>
        <v>1864421.480032454</v>
      </c>
      <c r="AP263" s="652">
        <f t="shared" ca="1" si="181"/>
        <v>1864470.1063599852</v>
      </c>
      <c r="AQ263" s="652">
        <f t="shared" ca="1" si="181"/>
        <v>0</v>
      </c>
      <c r="AR263" s="652">
        <f t="shared" ca="1" si="181"/>
        <v>0</v>
      </c>
      <c r="AS263" s="652">
        <f t="shared" ca="1" si="181"/>
        <v>0</v>
      </c>
      <c r="AT263" s="652">
        <f t="shared" ca="1" si="181"/>
        <v>0</v>
      </c>
      <c r="AU263" s="652">
        <f t="shared" ca="1" si="181"/>
        <v>0</v>
      </c>
      <c r="AV263" s="652">
        <f t="shared" ca="1" si="182"/>
        <v>0</v>
      </c>
      <c r="AW263" s="652">
        <f t="shared" ca="1" si="182"/>
        <v>0</v>
      </c>
      <c r="AX263" s="652">
        <f t="shared" ca="1" si="182"/>
        <v>0</v>
      </c>
      <c r="AY263" s="652">
        <f t="shared" ca="1" si="182"/>
        <v>0</v>
      </c>
      <c r="AZ263" s="652">
        <f t="shared" ca="1" si="182"/>
        <v>0</v>
      </c>
      <c r="BA263" s="652">
        <f t="shared" ca="1" si="182"/>
        <v>0</v>
      </c>
      <c r="BB263" s="652">
        <f t="shared" ca="1" si="182"/>
        <v>0</v>
      </c>
      <c r="BC263" s="652">
        <f t="shared" ca="1" si="182"/>
        <v>0</v>
      </c>
      <c r="BD263" s="652">
        <f t="shared" ca="1" si="182"/>
        <v>0</v>
      </c>
      <c r="BE263" s="652"/>
      <c r="BF263" s="652"/>
      <c r="BG263" s="652"/>
      <c r="BH263" s="652"/>
      <c r="BI263" s="652"/>
      <c r="BJ263" s="652"/>
      <c r="BK263" s="652"/>
      <c r="BL263" s="652"/>
      <c r="BM263" s="652"/>
      <c r="BN263" s="652"/>
      <c r="BO263" s="652"/>
      <c r="BP263" s="652"/>
      <c r="BQ263" s="652"/>
      <c r="BR263" s="652">
        <f t="shared" ca="1" si="183"/>
        <v>26004.641601437499</v>
      </c>
      <c r="BS263" s="652">
        <f t="shared" ca="1" si="183"/>
        <v>3984151.7019116576</v>
      </c>
      <c r="BT263" s="652">
        <f t="shared" ca="1" si="183"/>
        <v>0</v>
      </c>
      <c r="BU263" s="652">
        <f t="shared" ca="1" si="183"/>
        <v>1942086.4160143749</v>
      </c>
      <c r="BV263" s="652">
        <f t="shared" ca="1" si="183"/>
        <v>0</v>
      </c>
      <c r="BW263" s="652">
        <f t="shared" ca="1" si="183"/>
        <v>8030681.2663724069</v>
      </c>
      <c r="BX263" s="652">
        <f t="shared" ca="1" si="183"/>
        <v>0</v>
      </c>
      <c r="BY263" s="652">
        <f t="shared" ca="1" si="183"/>
        <v>0</v>
      </c>
    </row>
    <row r="264" spans="1:77">
      <c r="E264" s="660" t="str">
        <f t="shared" ref="E264:E265" si="184">"KU"&amp;F264</f>
        <v>KUResidential Audit Online</v>
      </c>
      <c r="F264" s="662" t="s">
        <v>61</v>
      </c>
      <c r="G264" s="660" t="s">
        <v>146</v>
      </c>
      <c r="H264" s="652">
        <f t="shared" ca="1" si="178"/>
        <v>0</v>
      </c>
      <c r="I264" s="652">
        <f t="shared" ca="1" si="178"/>
        <v>1991.75</v>
      </c>
      <c r="J264" s="652">
        <f t="shared" ca="1" si="178"/>
        <v>2276.75</v>
      </c>
      <c r="K264" s="652">
        <f t="shared" ca="1" si="178"/>
        <v>2566.125</v>
      </c>
      <c r="L264" s="652">
        <f t="shared" ca="1" si="178"/>
        <v>2932.03125</v>
      </c>
      <c r="M264" s="652">
        <f t="shared" ca="1" si="178"/>
        <v>2932.03125</v>
      </c>
      <c r="N264" s="652">
        <f t="shared" ca="1" si="178"/>
        <v>2932.03125</v>
      </c>
      <c r="O264" s="652">
        <f t="shared" ca="1" si="178"/>
        <v>0</v>
      </c>
      <c r="P264" s="652">
        <f t="shared" ca="1" si="178"/>
        <v>448152</v>
      </c>
      <c r="Q264" s="652">
        <f t="shared" ca="1" si="178"/>
        <v>582476</v>
      </c>
      <c r="R264" s="652">
        <f t="shared" ca="1" si="179"/>
        <v>717735</v>
      </c>
      <c r="S264" s="652">
        <f t="shared" ca="1" si="179"/>
        <v>897177</v>
      </c>
      <c r="T264" s="652">
        <f t="shared" ca="1" si="179"/>
        <v>897177</v>
      </c>
      <c r="U264" s="652">
        <f t="shared" ca="1" si="179"/>
        <v>897177</v>
      </c>
      <c r="V264" s="652">
        <f t="shared" ca="1" si="179"/>
        <v>0</v>
      </c>
      <c r="W264" s="652">
        <f t="shared" ca="1" si="179"/>
        <v>0</v>
      </c>
      <c r="X264" s="652">
        <f t="shared" ca="1" si="179"/>
        <v>0</v>
      </c>
      <c r="Y264" s="652">
        <f t="shared" ca="1" si="179"/>
        <v>0</v>
      </c>
      <c r="Z264" s="652">
        <f t="shared" ca="1" si="179"/>
        <v>0</v>
      </c>
      <c r="AA264" s="652">
        <f t="shared" ca="1" si="179"/>
        <v>0</v>
      </c>
      <c r="AB264" s="652">
        <f t="shared" ca="1" si="180"/>
        <v>0</v>
      </c>
      <c r="AC264" s="652">
        <f t="shared" ca="1" si="180"/>
        <v>0</v>
      </c>
      <c r="AD264" s="652">
        <f t="shared" ca="1" si="180"/>
        <v>268950</v>
      </c>
      <c r="AE264" s="652">
        <f t="shared" ca="1" si="180"/>
        <v>349650</v>
      </c>
      <c r="AF264" s="652">
        <f t="shared" ca="1" si="180"/>
        <v>430750</v>
      </c>
      <c r="AG264" s="652">
        <f t="shared" ca="1" si="180"/>
        <v>538450</v>
      </c>
      <c r="AH264" s="652">
        <f t="shared" ca="1" si="180"/>
        <v>538450</v>
      </c>
      <c r="AI264" s="652">
        <f t="shared" ca="1" si="180"/>
        <v>538450</v>
      </c>
      <c r="AJ264" s="652">
        <f t="shared" ca="1" si="180"/>
        <v>0</v>
      </c>
      <c r="AK264" s="652">
        <f t="shared" ca="1" si="180"/>
        <v>1203933.1162771182</v>
      </c>
      <c r="AL264" s="652">
        <f t="shared" ca="1" si="181"/>
        <v>1542779.0418135645</v>
      </c>
      <c r="AM264" s="652">
        <f t="shared" ca="1" si="181"/>
        <v>1883659.3900361974</v>
      </c>
      <c r="AN264" s="652">
        <f t="shared" ca="1" si="181"/>
        <v>2334908.5110271676</v>
      </c>
      <c r="AO264" s="652">
        <f t="shared" ca="1" si="181"/>
        <v>2334908.5110271676</v>
      </c>
      <c r="AP264" s="652">
        <f t="shared" ca="1" si="181"/>
        <v>2334908.5110271676</v>
      </c>
      <c r="AQ264" s="652">
        <f t="shared" ca="1" si="181"/>
        <v>0</v>
      </c>
      <c r="AR264" s="652">
        <f t="shared" ca="1" si="181"/>
        <v>98.531714300877667</v>
      </c>
      <c r="AS264" s="652">
        <f t="shared" ca="1" si="181"/>
        <v>126.48404781650807</v>
      </c>
      <c r="AT264" s="652">
        <f t="shared" ca="1" si="181"/>
        <v>154.57954043246318</v>
      </c>
      <c r="AU264" s="652">
        <f t="shared" ca="1" si="181"/>
        <v>191.79385170357875</v>
      </c>
      <c r="AV264" s="652">
        <f t="shared" ca="1" si="182"/>
        <v>191.79385170357875</v>
      </c>
      <c r="AW264" s="652">
        <f t="shared" ca="1" si="182"/>
        <v>191.79385170357875</v>
      </c>
      <c r="AX264" s="652">
        <f t="shared" ca="1" si="182"/>
        <v>0</v>
      </c>
      <c r="AY264" s="652">
        <f t="shared" ca="1" si="182"/>
        <v>0</v>
      </c>
      <c r="AZ264" s="652">
        <f t="shared" ca="1" si="182"/>
        <v>0</v>
      </c>
      <c r="BA264" s="652">
        <f t="shared" ca="1" si="182"/>
        <v>0</v>
      </c>
      <c r="BB264" s="652">
        <f t="shared" ca="1" si="182"/>
        <v>0</v>
      </c>
      <c r="BC264" s="652">
        <f t="shared" ca="1" si="182"/>
        <v>0</v>
      </c>
      <c r="BD264" s="652">
        <f t="shared" ca="1" si="182"/>
        <v>0</v>
      </c>
      <c r="BE264" s="652"/>
      <c r="BF264" s="652"/>
      <c r="BG264" s="652"/>
      <c r="BH264" s="652"/>
      <c r="BI264" s="652"/>
      <c r="BJ264" s="652"/>
      <c r="BK264" s="652"/>
      <c r="BL264" s="652"/>
      <c r="BM264" s="652"/>
      <c r="BN264" s="652"/>
      <c r="BO264" s="652"/>
      <c r="BP264" s="652"/>
      <c r="BQ264" s="652"/>
      <c r="BR264" s="652">
        <f t="shared" ca="1" si="183"/>
        <v>15630.71875</v>
      </c>
      <c r="BS264" s="652">
        <f t="shared" ca="1" si="183"/>
        <v>4439894</v>
      </c>
      <c r="BT264" s="652">
        <f t="shared" ca="1" si="183"/>
        <v>0</v>
      </c>
      <c r="BU264" s="652">
        <f t="shared" ca="1" si="183"/>
        <v>2664700</v>
      </c>
      <c r="BV264" s="652">
        <f t="shared" ca="1" si="183"/>
        <v>138139.06875000001</v>
      </c>
      <c r="BW264" s="652">
        <f t="shared" ca="1" si="183"/>
        <v>11635097.081208386</v>
      </c>
      <c r="BX264" s="652">
        <f t="shared" ca="1" si="183"/>
        <v>954.97685766058498</v>
      </c>
      <c r="BY264" s="652">
        <f t="shared" ca="1" si="183"/>
        <v>0</v>
      </c>
    </row>
    <row r="265" spans="1:77">
      <c r="E265" s="660" t="str">
        <f t="shared" si="184"/>
        <v>KUBYOT &amp; BYOD</v>
      </c>
      <c r="F265" s="662" t="s">
        <v>62</v>
      </c>
      <c r="G265" s="660" t="s">
        <v>146</v>
      </c>
      <c r="H265" s="652">
        <f t="shared" ca="1" si="178"/>
        <v>1750</v>
      </c>
      <c r="I265" s="652">
        <f t="shared" ca="1" si="178"/>
        <v>3600</v>
      </c>
      <c r="J265" s="652">
        <f t="shared" ca="1" si="178"/>
        <v>7160</v>
      </c>
      <c r="K265" s="652">
        <f t="shared" ca="1" si="178"/>
        <v>12494.2</v>
      </c>
      <c r="L265" s="652">
        <f t="shared" ca="1" si="178"/>
        <v>20014.900000000001</v>
      </c>
      <c r="M265" s="652">
        <f t="shared" ca="1" si="178"/>
        <v>27539.35</v>
      </c>
      <c r="N265" s="652">
        <f t="shared" ca="1" si="178"/>
        <v>35069.425000000003</v>
      </c>
      <c r="O265" s="652">
        <f t="shared" ca="1" si="178"/>
        <v>0</v>
      </c>
      <c r="P265" s="652">
        <f t="shared" ca="1" si="178"/>
        <v>0</v>
      </c>
      <c r="Q265" s="652">
        <f t="shared" ca="1" si="178"/>
        <v>0</v>
      </c>
      <c r="R265" s="652">
        <f t="shared" ca="1" si="179"/>
        <v>0</v>
      </c>
      <c r="S265" s="652">
        <f t="shared" ca="1" si="179"/>
        <v>0</v>
      </c>
      <c r="T265" s="652">
        <f t="shared" ca="1" si="179"/>
        <v>0</v>
      </c>
      <c r="U265" s="652">
        <f t="shared" ca="1" si="179"/>
        <v>0</v>
      </c>
      <c r="V265" s="652">
        <f t="shared" ca="1" si="179"/>
        <v>0</v>
      </c>
      <c r="W265" s="652">
        <f t="shared" ca="1" si="179"/>
        <v>0</v>
      </c>
      <c r="X265" s="652">
        <f t="shared" ca="1" si="179"/>
        <v>0</v>
      </c>
      <c r="Y265" s="652">
        <f t="shared" ca="1" si="179"/>
        <v>0</v>
      </c>
      <c r="Z265" s="652">
        <f t="shared" ca="1" si="179"/>
        <v>0</v>
      </c>
      <c r="AA265" s="652">
        <f t="shared" ca="1" si="179"/>
        <v>0</v>
      </c>
      <c r="AB265" s="652">
        <f t="shared" ca="1" si="180"/>
        <v>0</v>
      </c>
      <c r="AC265" s="652">
        <f t="shared" ca="1" si="180"/>
        <v>294000</v>
      </c>
      <c r="AD265" s="652">
        <f t="shared" ca="1" si="180"/>
        <v>536000</v>
      </c>
      <c r="AE265" s="652">
        <f t="shared" ca="1" si="180"/>
        <v>1078375</v>
      </c>
      <c r="AF265" s="652">
        <f t="shared" ca="1" si="180"/>
        <v>1860526.5</v>
      </c>
      <c r="AG265" s="652">
        <f t="shared" ca="1" si="180"/>
        <v>2929251.75</v>
      </c>
      <c r="AH265" s="652">
        <f t="shared" ca="1" si="180"/>
        <v>3907742.625</v>
      </c>
      <c r="AI265" s="652">
        <f t="shared" ca="1" si="180"/>
        <v>4887381.9375</v>
      </c>
      <c r="AJ265" s="652">
        <f t="shared" ca="1" si="180"/>
        <v>0</v>
      </c>
      <c r="AK265" s="652">
        <f t="shared" ca="1" si="180"/>
        <v>0</v>
      </c>
      <c r="AL265" s="652">
        <f t="shared" ca="1" si="181"/>
        <v>0</v>
      </c>
      <c r="AM265" s="652">
        <f t="shared" ca="1" si="181"/>
        <v>0</v>
      </c>
      <c r="AN265" s="652">
        <f t="shared" ca="1" si="181"/>
        <v>0</v>
      </c>
      <c r="AO265" s="652">
        <f t="shared" ca="1" si="181"/>
        <v>0</v>
      </c>
      <c r="AP265" s="652">
        <f t="shared" ca="1" si="181"/>
        <v>0</v>
      </c>
      <c r="AQ265" s="652">
        <f t="shared" ca="1" si="181"/>
        <v>881.52985074626883</v>
      </c>
      <c r="AR265" s="652">
        <f t="shared" ca="1" si="181"/>
        <v>1811.0341151385928</v>
      </c>
      <c r="AS265" s="652">
        <f t="shared" ca="1" si="181"/>
        <v>3769.6194029850749</v>
      </c>
      <c r="AT265" s="652">
        <f t="shared" ca="1" si="181"/>
        <v>6601.8374200426442</v>
      </c>
      <c r="AU265" s="652">
        <f t="shared" ca="1" si="181"/>
        <v>10471.210554371002</v>
      </c>
      <c r="AV265" s="652">
        <f t="shared" ca="1" si="182"/>
        <v>14342.458688699362</v>
      </c>
      <c r="AW265" s="652">
        <f t="shared" ca="1" si="182"/>
        <v>18216.519323027718</v>
      </c>
      <c r="AX265" s="652">
        <f t="shared" ca="1" si="182"/>
        <v>0</v>
      </c>
      <c r="AY265" s="652">
        <f t="shared" ca="1" si="182"/>
        <v>0</v>
      </c>
      <c r="AZ265" s="652">
        <f t="shared" ca="1" si="182"/>
        <v>0</v>
      </c>
      <c r="BA265" s="652">
        <f t="shared" ca="1" si="182"/>
        <v>0</v>
      </c>
      <c r="BB265" s="652">
        <f t="shared" ca="1" si="182"/>
        <v>0</v>
      </c>
      <c r="BC265" s="652">
        <f t="shared" ca="1" si="182"/>
        <v>0</v>
      </c>
      <c r="BD265" s="652">
        <f t="shared" ca="1" si="182"/>
        <v>0</v>
      </c>
      <c r="BE265" s="652"/>
      <c r="BF265" s="652"/>
      <c r="BG265" s="652"/>
      <c r="BH265" s="652"/>
      <c r="BI265" s="652"/>
      <c r="BJ265" s="652"/>
      <c r="BK265" s="652"/>
      <c r="BL265" s="652"/>
      <c r="BM265" s="652"/>
      <c r="BN265" s="652"/>
      <c r="BO265" s="652"/>
      <c r="BP265" s="652"/>
      <c r="BQ265" s="652"/>
      <c r="BR265" s="652">
        <f t="shared" ca="1" si="183"/>
        <v>107627.875</v>
      </c>
      <c r="BS265" s="652">
        <f t="shared" ca="1" si="183"/>
        <v>0</v>
      </c>
      <c r="BT265" s="652">
        <f t="shared" ca="1" si="183"/>
        <v>0</v>
      </c>
      <c r="BU265" s="652">
        <f t="shared" ca="1" si="183"/>
        <v>15493277.8125</v>
      </c>
      <c r="BV265" s="652">
        <f t="shared" ca="1" si="183"/>
        <v>3186427.5</v>
      </c>
      <c r="BW265" s="652">
        <f t="shared" ca="1" si="183"/>
        <v>0</v>
      </c>
      <c r="BX265" s="652">
        <f t="shared" ca="1" si="183"/>
        <v>18216.519323027718</v>
      </c>
      <c r="BY265" s="652">
        <f t="shared" ca="1" si="183"/>
        <v>0</v>
      </c>
    </row>
    <row r="266" spans="1:77">
      <c r="E266" s="660" t="str">
        <f t="shared" ref="E266:E270" si="185">"KU"&amp;F266</f>
        <v>KUBusiness Rebates</v>
      </c>
      <c r="F266" s="662" t="s">
        <v>63</v>
      </c>
      <c r="G266" s="660" t="s">
        <v>146</v>
      </c>
      <c r="H266" s="652">
        <f t="shared" ca="1" si="178"/>
        <v>5345606</v>
      </c>
      <c r="I266" s="652">
        <f t="shared" ca="1" si="178"/>
        <v>8345606.5</v>
      </c>
      <c r="J266" s="652">
        <f t="shared" ca="1" si="178"/>
        <v>12228722.779999999</v>
      </c>
      <c r="K266" s="652">
        <f t="shared" ca="1" si="178"/>
        <v>12191810.5</v>
      </c>
      <c r="L266" s="652">
        <f t="shared" ca="1" si="178"/>
        <v>12191812</v>
      </c>
      <c r="M266" s="652">
        <f t="shared" ca="1" si="178"/>
        <v>12191811.5</v>
      </c>
      <c r="N266" s="652">
        <f t="shared" ca="1" si="178"/>
        <v>12191811</v>
      </c>
      <c r="O266" s="652">
        <f t="shared" ca="1" si="178"/>
        <v>11235771.728673538</v>
      </c>
      <c r="P266" s="652">
        <f t="shared" ca="1" si="178"/>
        <v>11896723.177394055</v>
      </c>
      <c r="Q266" s="652">
        <f t="shared" ca="1" si="178"/>
        <v>5850700.0133257955</v>
      </c>
      <c r="R266" s="652">
        <f t="shared" ca="1" si="179"/>
        <v>3616379.225286711</v>
      </c>
      <c r="S266" s="652">
        <f t="shared" ca="1" si="179"/>
        <v>3632264.712096232</v>
      </c>
      <c r="T266" s="652">
        <f t="shared" ca="1" si="179"/>
        <v>3643448.1371447863</v>
      </c>
      <c r="U266" s="652">
        <f t="shared" ca="1" si="179"/>
        <v>3625614.373796293</v>
      </c>
      <c r="V266" s="652">
        <f t="shared" ca="1" si="179"/>
        <v>-13970.579833333333</v>
      </c>
      <c r="W266" s="652">
        <f t="shared" ca="1" si="179"/>
        <v>-13970.579833333333</v>
      </c>
      <c r="X266" s="652">
        <f t="shared" ca="1" si="179"/>
        <v>-4106.8990599999997</v>
      </c>
      <c r="Y266" s="652">
        <f t="shared" ca="1" si="179"/>
        <v>-992.0524999999999</v>
      </c>
      <c r="Z266" s="652">
        <f t="shared" ca="1" si="179"/>
        <v>-992.0524999999999</v>
      </c>
      <c r="AA266" s="652">
        <f t="shared" ca="1" si="179"/>
        <v>-992.0524999999999</v>
      </c>
      <c r="AB266" s="652">
        <f t="shared" ca="1" si="180"/>
        <v>-992.0524999999999</v>
      </c>
      <c r="AC266" s="652">
        <f t="shared" ca="1" si="180"/>
        <v>1584565.1077591642</v>
      </c>
      <c r="AD266" s="652">
        <f t="shared" ca="1" si="180"/>
        <v>1836531.2116289483</v>
      </c>
      <c r="AE266" s="652">
        <f t="shared" ca="1" si="180"/>
        <v>1366675.5701219935</v>
      </c>
      <c r="AF266" s="652">
        <f t="shared" ca="1" si="180"/>
        <v>1100533.5351219936</v>
      </c>
      <c r="AG266" s="652">
        <f t="shared" ca="1" si="180"/>
        <v>1104878.1701219936</v>
      </c>
      <c r="AH266" s="652">
        <f t="shared" ca="1" si="180"/>
        <v>1107328.1701219936</v>
      </c>
      <c r="AI266" s="652">
        <f t="shared" ca="1" si="180"/>
        <v>1102933.5351219936</v>
      </c>
      <c r="AJ266" s="652">
        <f t="shared" ca="1" si="180"/>
        <v>43748573.09886492</v>
      </c>
      <c r="AK266" s="652">
        <f t="shared" ca="1" si="180"/>
        <v>46755622.71541591</v>
      </c>
      <c r="AL266" s="652">
        <f t="shared" ca="1" si="181"/>
        <v>22933882.992095597</v>
      </c>
      <c r="AM266" s="652">
        <f t="shared" ca="1" si="181"/>
        <v>13965308.835651968</v>
      </c>
      <c r="AN266" s="652">
        <f t="shared" ca="1" si="181"/>
        <v>14072639.143932378</v>
      </c>
      <c r="AO266" s="652">
        <f t="shared" ca="1" si="181"/>
        <v>14067795.197854863</v>
      </c>
      <c r="AP266" s="652">
        <f t="shared" ca="1" si="181"/>
        <v>14015449.181516679</v>
      </c>
      <c r="AQ266" s="652">
        <f t="shared" ca="1" si="181"/>
        <v>8874.0389429849765</v>
      </c>
      <c r="AR266" s="652">
        <f t="shared" ca="1" si="181"/>
        <v>9679.6399085602352</v>
      </c>
      <c r="AS266" s="652">
        <f t="shared" ca="1" si="181"/>
        <v>5355.5105977472758</v>
      </c>
      <c r="AT266" s="652">
        <f t="shared" ca="1" si="181"/>
        <v>3620.4850070400689</v>
      </c>
      <c r="AU266" s="652">
        <f t="shared" ca="1" si="181"/>
        <v>3633.4801819749168</v>
      </c>
      <c r="AV266" s="652">
        <f t="shared" ca="1" si="182"/>
        <v>3625.6389546545602</v>
      </c>
      <c r="AW266" s="652">
        <f t="shared" ca="1" si="182"/>
        <v>3633.8679871990007</v>
      </c>
      <c r="AX266" s="652">
        <f t="shared" ca="1" si="182"/>
        <v>0</v>
      </c>
      <c r="AY266" s="652">
        <f t="shared" ca="1" si="182"/>
        <v>0</v>
      </c>
      <c r="AZ266" s="652">
        <f t="shared" ca="1" si="182"/>
        <v>0</v>
      </c>
      <c r="BA266" s="652">
        <f t="shared" ca="1" si="182"/>
        <v>0</v>
      </c>
      <c r="BB266" s="652">
        <f t="shared" ca="1" si="182"/>
        <v>0</v>
      </c>
      <c r="BC266" s="652">
        <f t="shared" ca="1" si="182"/>
        <v>0</v>
      </c>
      <c r="BD266" s="652">
        <f t="shared" ca="1" si="182"/>
        <v>0</v>
      </c>
      <c r="BE266" s="652"/>
      <c r="BF266" s="652"/>
      <c r="BG266" s="652"/>
      <c r="BH266" s="652"/>
      <c r="BI266" s="652"/>
      <c r="BJ266" s="652"/>
      <c r="BK266" s="652"/>
      <c r="BL266" s="652"/>
      <c r="BM266" s="652"/>
      <c r="BN266" s="652"/>
      <c r="BO266" s="652"/>
      <c r="BP266" s="652"/>
      <c r="BQ266" s="652"/>
      <c r="BR266" s="652">
        <f t="shared" ca="1" si="183"/>
        <v>74687180.280000001</v>
      </c>
      <c r="BS266" s="652">
        <f t="shared" ca="1" si="183"/>
        <v>43500901.367717423</v>
      </c>
      <c r="BT266" s="652">
        <f t="shared" ca="1" si="183"/>
        <v>-36016.268726666662</v>
      </c>
      <c r="BU266" s="652">
        <f t="shared" ca="1" si="183"/>
        <v>9203445.2999980804</v>
      </c>
      <c r="BV266" s="652">
        <f t="shared" ca="1" si="183"/>
        <v>0</v>
      </c>
      <c r="BW266" s="652">
        <f t="shared" ca="1" si="183"/>
        <v>169559271.16533229</v>
      </c>
      <c r="BX266" s="652">
        <f t="shared" ca="1" si="183"/>
        <v>38422.661580161031</v>
      </c>
      <c r="BY266" s="652">
        <f t="shared" ca="1" si="183"/>
        <v>0</v>
      </c>
    </row>
    <row r="267" spans="1:77">
      <c r="E267" s="660" t="str">
        <f t="shared" si="185"/>
        <v>KUSmall Business - Audit &amp; DI</v>
      </c>
      <c r="F267" s="662" t="s">
        <v>64</v>
      </c>
      <c r="G267" s="660" t="s">
        <v>146</v>
      </c>
      <c r="H267" s="652">
        <f t="shared" ca="1" si="178"/>
        <v>1465.25</v>
      </c>
      <c r="I267" s="652">
        <f t="shared" ca="1" si="178"/>
        <v>2930.5</v>
      </c>
      <c r="J267" s="652">
        <f t="shared" ca="1" si="178"/>
        <v>2930.5</v>
      </c>
      <c r="K267" s="652">
        <f t="shared" ca="1" si="178"/>
        <v>2930.5</v>
      </c>
      <c r="L267" s="652">
        <f t="shared" ca="1" si="178"/>
        <v>2930.5</v>
      </c>
      <c r="M267" s="652">
        <f t="shared" ca="1" si="178"/>
        <v>2930.5</v>
      </c>
      <c r="N267" s="652">
        <f t="shared" ca="1" si="178"/>
        <v>2930.5</v>
      </c>
      <c r="O267" s="652">
        <f t="shared" ca="1" si="178"/>
        <v>0</v>
      </c>
      <c r="P267" s="652">
        <f t="shared" ca="1" si="178"/>
        <v>0</v>
      </c>
      <c r="Q267" s="652">
        <f t="shared" ca="1" si="178"/>
        <v>0</v>
      </c>
      <c r="R267" s="652">
        <f t="shared" ca="1" si="179"/>
        <v>0</v>
      </c>
      <c r="S267" s="652">
        <f t="shared" ca="1" si="179"/>
        <v>0</v>
      </c>
      <c r="T267" s="652">
        <f t="shared" ca="1" si="179"/>
        <v>0</v>
      </c>
      <c r="U267" s="652">
        <f t="shared" ca="1" si="179"/>
        <v>0</v>
      </c>
      <c r="V267" s="652">
        <f t="shared" ca="1" si="179"/>
        <v>0</v>
      </c>
      <c r="W267" s="652">
        <f t="shared" ca="1" si="179"/>
        <v>0</v>
      </c>
      <c r="X267" s="652">
        <f t="shared" ca="1" si="179"/>
        <v>0</v>
      </c>
      <c r="Y267" s="652">
        <f t="shared" ca="1" si="179"/>
        <v>0</v>
      </c>
      <c r="Z267" s="652">
        <f t="shared" ca="1" si="179"/>
        <v>0</v>
      </c>
      <c r="AA267" s="652">
        <f t="shared" ca="1" si="179"/>
        <v>0</v>
      </c>
      <c r="AB267" s="652">
        <f t="shared" ca="1" si="180"/>
        <v>0</v>
      </c>
      <c r="AC267" s="652">
        <f t="shared" ca="1" si="180"/>
        <v>0</v>
      </c>
      <c r="AD267" s="652">
        <f t="shared" ca="1" si="180"/>
        <v>0</v>
      </c>
      <c r="AE267" s="652">
        <f t="shared" ca="1" si="180"/>
        <v>0</v>
      </c>
      <c r="AF267" s="652">
        <f t="shared" ca="1" si="180"/>
        <v>0</v>
      </c>
      <c r="AG267" s="652">
        <f t="shared" ca="1" si="180"/>
        <v>0</v>
      </c>
      <c r="AH267" s="652">
        <f t="shared" ca="1" si="180"/>
        <v>0</v>
      </c>
      <c r="AI267" s="652">
        <f t="shared" ca="1" si="180"/>
        <v>0</v>
      </c>
      <c r="AJ267" s="652">
        <f t="shared" ca="1" si="180"/>
        <v>109132.14681099761</v>
      </c>
      <c r="AK267" s="652">
        <f t="shared" ca="1" si="180"/>
        <v>218264.29362199522</v>
      </c>
      <c r="AL267" s="652">
        <f t="shared" ca="1" si="181"/>
        <v>218264.29362199522</v>
      </c>
      <c r="AM267" s="652">
        <f t="shared" ca="1" si="181"/>
        <v>218264.29362199522</v>
      </c>
      <c r="AN267" s="652">
        <f t="shared" ca="1" si="181"/>
        <v>218264.29362199522</v>
      </c>
      <c r="AO267" s="652">
        <f t="shared" ca="1" si="181"/>
        <v>218264.29362199522</v>
      </c>
      <c r="AP267" s="652">
        <f t="shared" ca="1" si="181"/>
        <v>218264.29362199522</v>
      </c>
      <c r="AQ267" s="652">
        <f t="shared" ca="1" si="181"/>
        <v>29.120330860792421</v>
      </c>
      <c r="AR267" s="652">
        <f t="shared" ca="1" si="181"/>
        <v>58.240661721584843</v>
      </c>
      <c r="AS267" s="652">
        <f t="shared" ca="1" si="181"/>
        <v>58.240661721584843</v>
      </c>
      <c r="AT267" s="652">
        <f t="shared" ca="1" si="181"/>
        <v>58.240661721584843</v>
      </c>
      <c r="AU267" s="652">
        <f t="shared" ca="1" si="181"/>
        <v>58.240661721584843</v>
      </c>
      <c r="AV267" s="652">
        <f t="shared" ca="1" si="182"/>
        <v>58.240661721584843</v>
      </c>
      <c r="AW267" s="652">
        <f t="shared" ca="1" si="182"/>
        <v>58.240661721584843</v>
      </c>
      <c r="AX267" s="652">
        <f t="shared" ca="1" si="182"/>
        <v>0</v>
      </c>
      <c r="AY267" s="652">
        <f t="shared" ca="1" si="182"/>
        <v>0</v>
      </c>
      <c r="AZ267" s="652">
        <f t="shared" ca="1" si="182"/>
        <v>0</v>
      </c>
      <c r="BA267" s="652">
        <f t="shared" ca="1" si="182"/>
        <v>0</v>
      </c>
      <c r="BB267" s="652">
        <f t="shared" ca="1" si="182"/>
        <v>0</v>
      </c>
      <c r="BC267" s="652">
        <f t="shared" ca="1" si="182"/>
        <v>0</v>
      </c>
      <c r="BD267" s="652">
        <f t="shared" ca="1" si="182"/>
        <v>0</v>
      </c>
      <c r="BE267" s="652"/>
      <c r="BF267" s="652"/>
      <c r="BG267" s="652"/>
      <c r="BH267" s="652"/>
      <c r="BI267" s="652"/>
      <c r="BJ267" s="652"/>
      <c r="BK267" s="652"/>
      <c r="BL267" s="652"/>
      <c r="BM267" s="652"/>
      <c r="BN267" s="652"/>
      <c r="BO267" s="652"/>
      <c r="BP267" s="652"/>
      <c r="BQ267" s="652"/>
      <c r="BR267" s="652">
        <f t="shared" ca="1" si="183"/>
        <v>19048.25</v>
      </c>
      <c r="BS267" s="652">
        <f t="shared" ca="1" si="183"/>
        <v>0</v>
      </c>
      <c r="BT267" s="652">
        <f t="shared" ca="1" si="183"/>
        <v>0</v>
      </c>
      <c r="BU267" s="652">
        <f t="shared" ca="1" si="183"/>
        <v>0</v>
      </c>
      <c r="BV267" s="652">
        <f t="shared" ca="1" si="183"/>
        <v>931766.29</v>
      </c>
      <c r="BW267" s="652">
        <f t="shared" ca="1" si="183"/>
        <v>1418717.9085429693</v>
      </c>
      <c r="BX267" s="652">
        <f t="shared" ca="1" si="183"/>
        <v>378.56430119030142</v>
      </c>
      <c r="BY267" s="652">
        <f t="shared" ca="1" si="183"/>
        <v>0</v>
      </c>
    </row>
    <row r="268" spans="1:77">
      <c r="E268" s="660" t="str">
        <f t="shared" ref="E268" si="186">"KU"&amp;F268</f>
        <v>KUResidential Demand Conservation</v>
      </c>
      <c r="F268" s="662" t="s">
        <v>4</v>
      </c>
      <c r="G268" s="660" t="s">
        <v>146</v>
      </c>
      <c r="H268" s="652">
        <f t="shared" ca="1" si="178"/>
        <v>88530</v>
      </c>
      <c r="I268" s="652">
        <f t="shared" ca="1" si="178"/>
        <v>79614</v>
      </c>
      <c r="J268" s="652">
        <f t="shared" ca="1" si="178"/>
        <v>71500</v>
      </c>
      <c r="K268" s="652">
        <f t="shared" ca="1" si="178"/>
        <v>64200</v>
      </c>
      <c r="L268" s="652">
        <f t="shared" ca="1" si="178"/>
        <v>57650</v>
      </c>
      <c r="M268" s="652">
        <f t="shared" ca="1" si="178"/>
        <v>51800</v>
      </c>
      <c r="N268" s="652">
        <f t="shared" ca="1" si="178"/>
        <v>46550</v>
      </c>
      <c r="O268" s="652">
        <f t="shared" ca="1" si="178"/>
        <v>0</v>
      </c>
      <c r="P268" s="652">
        <f t="shared" ca="1" si="178"/>
        <v>0</v>
      </c>
      <c r="Q268" s="652">
        <f t="shared" ca="1" si="178"/>
        <v>0</v>
      </c>
      <c r="R268" s="652">
        <f t="shared" ca="1" si="179"/>
        <v>0</v>
      </c>
      <c r="S268" s="652">
        <f t="shared" ca="1" si="179"/>
        <v>0</v>
      </c>
      <c r="T268" s="652">
        <f t="shared" ca="1" si="179"/>
        <v>0</v>
      </c>
      <c r="U268" s="652">
        <f t="shared" ca="1" si="179"/>
        <v>0</v>
      </c>
      <c r="V268" s="652">
        <f t="shared" ca="1" si="179"/>
        <v>0</v>
      </c>
      <c r="W268" s="652">
        <f t="shared" ca="1" si="179"/>
        <v>0</v>
      </c>
      <c r="X268" s="652">
        <f t="shared" ca="1" si="179"/>
        <v>0</v>
      </c>
      <c r="Y268" s="652">
        <f t="shared" ca="1" si="179"/>
        <v>0</v>
      </c>
      <c r="Z268" s="652">
        <f t="shared" ca="1" si="179"/>
        <v>0</v>
      </c>
      <c r="AA268" s="652">
        <f t="shared" ca="1" si="179"/>
        <v>0</v>
      </c>
      <c r="AB268" s="652">
        <f t="shared" ca="1" si="180"/>
        <v>0</v>
      </c>
      <c r="AC268" s="652">
        <f t="shared" ca="1" si="180"/>
        <v>1167742.545101529</v>
      </c>
      <c r="AD268" s="652">
        <f t="shared" ca="1" si="180"/>
        <v>1049024.3507806812</v>
      </c>
      <c r="AE268" s="652">
        <f t="shared" ca="1" si="180"/>
        <v>938106.15645983338</v>
      </c>
      <c r="AF268" s="652">
        <f t="shared" ca="1" si="180"/>
        <v>1715837.9621389855</v>
      </c>
      <c r="AG268" s="652">
        <f t="shared" ca="1" si="180"/>
        <v>5484109.1659250874</v>
      </c>
      <c r="AH268" s="652">
        <f t="shared" ca="1" si="180"/>
        <v>4928430.3697111886</v>
      </c>
      <c r="AI268" s="652">
        <f t="shared" ca="1" si="180"/>
        <v>4430751.5734972898</v>
      </c>
      <c r="AJ268" s="652">
        <f t="shared" ca="1" si="180"/>
        <v>0</v>
      </c>
      <c r="AK268" s="652">
        <f t="shared" ca="1" si="180"/>
        <v>0</v>
      </c>
      <c r="AL268" s="652">
        <f t="shared" ca="1" si="181"/>
        <v>0</v>
      </c>
      <c r="AM268" s="652">
        <f t="shared" ca="1" si="181"/>
        <v>0</v>
      </c>
      <c r="AN268" s="652">
        <f t="shared" ca="1" si="181"/>
        <v>0</v>
      </c>
      <c r="AO268" s="652">
        <f t="shared" ca="1" si="181"/>
        <v>0</v>
      </c>
      <c r="AP268" s="652">
        <f t="shared" ca="1" si="181"/>
        <v>0</v>
      </c>
      <c r="AQ268" s="652">
        <f t="shared" ca="1" si="181"/>
        <v>62067.5</v>
      </c>
      <c r="AR268" s="652">
        <f t="shared" ca="1" si="181"/>
        <v>55817.599999999999</v>
      </c>
      <c r="AS268" s="652">
        <f t="shared" ca="1" si="181"/>
        <v>50128.5</v>
      </c>
      <c r="AT268" s="652">
        <f t="shared" ca="1" si="181"/>
        <v>45005</v>
      </c>
      <c r="AU268" s="652">
        <f t="shared" ca="1" si="181"/>
        <v>40436</v>
      </c>
      <c r="AV268" s="652">
        <f t="shared" ca="1" si="182"/>
        <v>36327</v>
      </c>
      <c r="AW268" s="652">
        <f t="shared" ca="1" si="182"/>
        <v>32638</v>
      </c>
      <c r="AX268" s="652">
        <f t="shared" ca="1" si="182"/>
        <v>0</v>
      </c>
      <c r="AY268" s="652">
        <f t="shared" ca="1" si="182"/>
        <v>0</v>
      </c>
      <c r="AZ268" s="652">
        <f t="shared" ca="1" si="182"/>
        <v>0</v>
      </c>
      <c r="BA268" s="652">
        <f t="shared" ca="1" si="182"/>
        <v>0</v>
      </c>
      <c r="BB268" s="652">
        <f t="shared" ca="1" si="182"/>
        <v>0</v>
      </c>
      <c r="BC268" s="652">
        <f t="shared" ca="1" si="182"/>
        <v>0</v>
      </c>
      <c r="BD268" s="652">
        <f t="shared" ca="1" si="182"/>
        <v>0</v>
      </c>
      <c r="BE268" s="652"/>
      <c r="BF268" s="652"/>
      <c r="BG268" s="652"/>
      <c r="BH268" s="652"/>
      <c r="BI268" s="652"/>
      <c r="BJ268" s="652"/>
      <c r="BK268" s="652"/>
      <c r="BL268" s="652"/>
      <c r="BM268" s="652"/>
      <c r="BN268" s="652"/>
      <c r="BO268" s="652"/>
      <c r="BP268" s="652"/>
      <c r="BQ268" s="652"/>
      <c r="BR268" s="652">
        <f t="shared" ca="1" si="183"/>
        <v>459844</v>
      </c>
      <c r="BS268" s="652">
        <f t="shared" ca="1" si="183"/>
        <v>0</v>
      </c>
      <c r="BT268" s="652">
        <f t="shared" ca="1" si="183"/>
        <v>0</v>
      </c>
      <c r="BU268" s="652">
        <f t="shared" ca="1" si="183"/>
        <v>19714002.123614594</v>
      </c>
      <c r="BV268" s="652">
        <f t="shared" ca="1" si="183"/>
        <v>0</v>
      </c>
      <c r="BW268" s="652">
        <f t="shared" ca="1" si="183"/>
        <v>0</v>
      </c>
      <c r="BX268" s="652">
        <f t="shared" ca="1" si="183"/>
        <v>62067.5</v>
      </c>
      <c r="BY268" s="652">
        <f t="shared" ca="1" si="183"/>
        <v>0</v>
      </c>
    </row>
    <row r="269" spans="1:77">
      <c r="E269" s="660" t="str">
        <f t="shared" si="185"/>
        <v>KULarge Nonres Demand Con.</v>
      </c>
      <c r="F269" s="662" t="s">
        <v>65</v>
      </c>
      <c r="G269" s="660" t="s">
        <v>146</v>
      </c>
      <c r="H269" s="652">
        <f t="shared" ca="1" si="178"/>
        <v>106.43257950281924</v>
      </c>
      <c r="I269" s="652">
        <f t="shared" ca="1" si="178"/>
        <v>133.57184207121639</v>
      </c>
      <c r="J269" s="652">
        <f t="shared" ca="1" si="178"/>
        <v>164.30090450104825</v>
      </c>
      <c r="K269" s="652">
        <f t="shared" ca="1" si="178"/>
        <v>204.80311335695447</v>
      </c>
      <c r="L269" s="652">
        <f t="shared" ca="1" si="178"/>
        <v>246.692311035421</v>
      </c>
      <c r="M269" s="652">
        <f t="shared" ca="1" si="178"/>
        <v>289.1696272259137</v>
      </c>
      <c r="N269" s="652">
        <f t="shared" ca="1" si="178"/>
        <v>289.1696272259137</v>
      </c>
      <c r="O269" s="652">
        <f t="shared" ca="1" si="178"/>
        <v>814557.30485918536</v>
      </c>
      <c r="P269" s="652">
        <f t="shared" ca="1" si="178"/>
        <v>1022261.4183632068</v>
      </c>
      <c r="Q269" s="652">
        <f t="shared" ca="1" si="178"/>
        <v>1257439.2407050063</v>
      </c>
      <c r="R269" s="652">
        <f t="shared" ca="1" si="179"/>
        <v>1567413.5948043256</v>
      </c>
      <c r="S269" s="652">
        <f t="shared" ca="1" si="179"/>
        <v>1888002.9493335139</v>
      </c>
      <c r="T269" s="652">
        <f t="shared" ca="1" si="179"/>
        <v>2213093.3338323943</v>
      </c>
      <c r="U269" s="652">
        <f t="shared" ca="1" si="179"/>
        <v>2213093.3338323943</v>
      </c>
      <c r="V269" s="652">
        <f t="shared" ca="1" si="179"/>
        <v>0</v>
      </c>
      <c r="W269" s="652">
        <f t="shared" ca="1" si="179"/>
        <v>0</v>
      </c>
      <c r="X269" s="652">
        <f t="shared" ca="1" si="179"/>
        <v>0</v>
      </c>
      <c r="Y269" s="652">
        <f t="shared" ca="1" si="179"/>
        <v>0</v>
      </c>
      <c r="Z269" s="652">
        <f t="shared" ca="1" si="179"/>
        <v>0</v>
      </c>
      <c r="AA269" s="652">
        <f t="shared" ca="1" si="179"/>
        <v>0</v>
      </c>
      <c r="AB269" s="652">
        <f t="shared" ca="1" si="180"/>
        <v>0</v>
      </c>
      <c r="AC269" s="652">
        <f t="shared" ca="1" si="180"/>
        <v>1086076.406478914</v>
      </c>
      <c r="AD269" s="652">
        <f t="shared" ca="1" si="180"/>
        <v>1363015.2244842758</v>
      </c>
      <c r="AE269" s="652">
        <f t="shared" ca="1" si="180"/>
        <v>1676585.6542733419</v>
      </c>
      <c r="AF269" s="652">
        <f t="shared" ca="1" si="180"/>
        <v>2089884.7930724339</v>
      </c>
      <c r="AG269" s="652">
        <f t="shared" ca="1" si="180"/>
        <v>2517337.2657780182</v>
      </c>
      <c r="AH269" s="652">
        <f t="shared" ca="1" si="180"/>
        <v>2950791.1117765256</v>
      </c>
      <c r="AI269" s="652">
        <f t="shared" ca="1" si="180"/>
        <v>2950791.1117765256</v>
      </c>
      <c r="AJ269" s="652">
        <f t="shared" ca="1" si="180"/>
        <v>143934.13488233107</v>
      </c>
      <c r="AK269" s="652">
        <f t="shared" ca="1" si="180"/>
        <v>180635.92579423136</v>
      </c>
      <c r="AL269" s="652">
        <f t="shared" ca="1" si="181"/>
        <v>222192.38376268477</v>
      </c>
      <c r="AM269" s="652">
        <f t="shared" ca="1" si="181"/>
        <v>276965.5596053687</v>
      </c>
      <c r="AN269" s="652">
        <f t="shared" ca="1" si="181"/>
        <v>333614.43025127205</v>
      </c>
      <c r="AO269" s="652">
        <f t="shared" ca="1" si="181"/>
        <v>391058.64316579455</v>
      </c>
      <c r="AP269" s="652">
        <f t="shared" ca="1" si="181"/>
        <v>391058.64316579455</v>
      </c>
      <c r="AQ269" s="652">
        <f t="shared" ca="1" si="181"/>
        <v>14481.018753052183</v>
      </c>
      <c r="AR269" s="652">
        <f t="shared" ca="1" si="181"/>
        <v>18173.536326457011</v>
      </c>
      <c r="AS269" s="652">
        <f t="shared" ca="1" si="181"/>
        <v>22354.475390311225</v>
      </c>
      <c r="AT269" s="652">
        <f t="shared" ca="1" si="181"/>
        <v>27865.130574299117</v>
      </c>
      <c r="AU269" s="652">
        <f t="shared" ca="1" si="181"/>
        <v>33564.496877040241</v>
      </c>
      <c r="AV269" s="652">
        <f t="shared" ca="1" si="182"/>
        <v>39343.88149035367</v>
      </c>
      <c r="AW269" s="652">
        <f t="shared" ca="1" si="182"/>
        <v>39343.88149035367</v>
      </c>
      <c r="AX269" s="652">
        <f t="shared" ca="1" si="182"/>
        <v>0</v>
      </c>
      <c r="AY269" s="652">
        <f t="shared" ca="1" si="182"/>
        <v>0</v>
      </c>
      <c r="AZ269" s="652">
        <f t="shared" ca="1" si="182"/>
        <v>0</v>
      </c>
      <c r="BA269" s="652">
        <f t="shared" ca="1" si="182"/>
        <v>0</v>
      </c>
      <c r="BB269" s="652">
        <f t="shared" ca="1" si="182"/>
        <v>0</v>
      </c>
      <c r="BC269" s="652">
        <f t="shared" ca="1" si="182"/>
        <v>0</v>
      </c>
      <c r="BD269" s="652">
        <f t="shared" ca="1" si="182"/>
        <v>0</v>
      </c>
      <c r="BE269" s="652"/>
      <c r="BF269" s="652"/>
      <c r="BG269" s="652"/>
      <c r="BH269" s="652"/>
      <c r="BI269" s="652"/>
      <c r="BJ269" s="652"/>
      <c r="BK269" s="652"/>
      <c r="BL269" s="652"/>
      <c r="BM269" s="652"/>
      <c r="BN269" s="652"/>
      <c r="BO269" s="652"/>
      <c r="BP269" s="652"/>
      <c r="BQ269" s="652"/>
      <c r="BR269" s="652">
        <f t="shared" ca="1" si="183"/>
        <v>1434.1400049192869</v>
      </c>
      <c r="BS269" s="652">
        <f t="shared" ca="1" si="183"/>
        <v>10975861.175730027</v>
      </c>
      <c r="BT269" s="652">
        <f t="shared" ca="1" si="183"/>
        <v>0</v>
      </c>
      <c r="BU269" s="652">
        <f t="shared" ca="1" si="183"/>
        <v>14634481.567640034</v>
      </c>
      <c r="BV269" s="652">
        <f t="shared" ca="1" si="183"/>
        <v>0</v>
      </c>
      <c r="BW269" s="652">
        <f t="shared" ca="1" si="183"/>
        <v>391058.64316579455</v>
      </c>
      <c r="BX269" s="652">
        <f t="shared" ca="1" si="183"/>
        <v>39343.88149035367</v>
      </c>
      <c r="BY269" s="652">
        <f t="shared" ca="1" si="183"/>
        <v>0</v>
      </c>
    </row>
    <row r="270" spans="1:77">
      <c r="E270" s="660" t="str">
        <f t="shared" si="185"/>
        <v>KUPeak Time Rebate</v>
      </c>
      <c r="F270" s="662" t="s">
        <v>66</v>
      </c>
      <c r="G270" s="660" t="s">
        <v>146</v>
      </c>
      <c r="H270" s="652">
        <f t="shared" ca="1" si="178"/>
        <v>0</v>
      </c>
      <c r="I270" s="652">
        <f t="shared" ca="1" si="178"/>
        <v>13000</v>
      </c>
      <c r="J270" s="652">
        <f t="shared" ca="1" si="178"/>
        <v>26000</v>
      </c>
      <c r="K270" s="652">
        <f t="shared" ca="1" si="178"/>
        <v>52000</v>
      </c>
      <c r="L270" s="652">
        <f t="shared" ca="1" si="178"/>
        <v>92500</v>
      </c>
      <c r="M270" s="652">
        <f t="shared" ca="1" si="178"/>
        <v>92500</v>
      </c>
      <c r="N270" s="652">
        <f t="shared" ca="1" si="178"/>
        <v>92500</v>
      </c>
      <c r="O270" s="652">
        <f t="shared" ca="1" si="178"/>
        <v>0</v>
      </c>
      <c r="P270" s="652">
        <f t="shared" ca="1" si="178"/>
        <v>0</v>
      </c>
      <c r="Q270" s="652">
        <f t="shared" ca="1" si="178"/>
        <v>0</v>
      </c>
      <c r="R270" s="652">
        <f t="shared" ca="1" si="179"/>
        <v>0</v>
      </c>
      <c r="S270" s="652">
        <f t="shared" ca="1" si="179"/>
        <v>0</v>
      </c>
      <c r="T270" s="652">
        <f t="shared" ca="1" si="179"/>
        <v>0</v>
      </c>
      <c r="U270" s="652">
        <f t="shared" ca="1" si="179"/>
        <v>0</v>
      </c>
      <c r="V270" s="652">
        <f t="shared" ca="1" si="179"/>
        <v>0</v>
      </c>
      <c r="W270" s="652">
        <f t="shared" ca="1" si="179"/>
        <v>0</v>
      </c>
      <c r="X270" s="652">
        <f t="shared" ca="1" si="179"/>
        <v>0</v>
      </c>
      <c r="Y270" s="652">
        <f t="shared" ca="1" si="179"/>
        <v>0</v>
      </c>
      <c r="Z270" s="652">
        <f t="shared" ca="1" si="179"/>
        <v>0</v>
      </c>
      <c r="AA270" s="652">
        <f t="shared" ca="1" si="179"/>
        <v>0</v>
      </c>
      <c r="AB270" s="652">
        <f t="shared" ca="1" si="180"/>
        <v>0</v>
      </c>
      <c r="AC270" s="652">
        <f t="shared" ca="1" si="180"/>
        <v>0</v>
      </c>
      <c r="AD270" s="652">
        <f t="shared" ca="1" si="180"/>
        <v>627881.04749413347</v>
      </c>
      <c r="AE270" s="652">
        <f t="shared" ca="1" si="180"/>
        <v>1255762.0949882669</v>
      </c>
      <c r="AF270" s="652">
        <f t="shared" ca="1" si="180"/>
        <v>2511524.1899765339</v>
      </c>
      <c r="AG270" s="652">
        <f t="shared" ca="1" si="180"/>
        <v>4467615.1456313347</v>
      </c>
      <c r="AH270" s="652">
        <f t="shared" ca="1" si="180"/>
        <v>4467615.1456313347</v>
      </c>
      <c r="AI270" s="652">
        <f t="shared" ca="1" si="180"/>
        <v>4467615.1456313347</v>
      </c>
      <c r="AJ270" s="652">
        <f t="shared" ca="1" si="180"/>
        <v>0</v>
      </c>
      <c r="AK270" s="652">
        <f t="shared" ca="1" si="180"/>
        <v>0</v>
      </c>
      <c r="AL270" s="652">
        <f t="shared" ca="1" si="181"/>
        <v>0</v>
      </c>
      <c r="AM270" s="652">
        <f t="shared" ca="1" si="181"/>
        <v>0</v>
      </c>
      <c r="AN270" s="652">
        <f t="shared" ca="1" si="181"/>
        <v>0</v>
      </c>
      <c r="AO270" s="652">
        <f t="shared" ca="1" si="181"/>
        <v>0</v>
      </c>
      <c r="AP270" s="652">
        <f t="shared" ca="1" si="181"/>
        <v>0</v>
      </c>
      <c r="AQ270" s="652">
        <f t="shared" ca="1" si="181"/>
        <v>0</v>
      </c>
      <c r="AR270" s="652">
        <f t="shared" ca="1" si="181"/>
        <v>2164.4052374706675</v>
      </c>
      <c r="AS270" s="652">
        <f t="shared" ca="1" si="181"/>
        <v>4328.8104749413351</v>
      </c>
      <c r="AT270" s="652">
        <f t="shared" ca="1" si="181"/>
        <v>8657.6209498826702</v>
      </c>
      <c r="AU270" s="652">
        <f t="shared" ca="1" si="181"/>
        <v>15400.575728156675</v>
      </c>
      <c r="AV270" s="652">
        <f t="shared" ca="1" si="182"/>
        <v>15400.575728156675</v>
      </c>
      <c r="AW270" s="652">
        <f t="shared" ca="1" si="182"/>
        <v>15400.575728156675</v>
      </c>
      <c r="AX270" s="652">
        <f t="shared" ca="1" si="182"/>
        <v>0</v>
      </c>
      <c r="AY270" s="652">
        <f t="shared" ca="1" si="182"/>
        <v>0</v>
      </c>
      <c r="AZ270" s="652">
        <f t="shared" ca="1" si="182"/>
        <v>0</v>
      </c>
      <c r="BA270" s="652">
        <f t="shared" ca="1" si="182"/>
        <v>0</v>
      </c>
      <c r="BB270" s="652">
        <f t="shared" ca="1" si="182"/>
        <v>0</v>
      </c>
      <c r="BC270" s="652">
        <f t="shared" ca="1" si="182"/>
        <v>0</v>
      </c>
      <c r="BD270" s="652">
        <f t="shared" ca="1" si="182"/>
        <v>0</v>
      </c>
      <c r="BE270" s="652"/>
      <c r="BF270" s="652"/>
      <c r="BG270" s="652"/>
      <c r="BH270" s="652"/>
      <c r="BI270" s="652"/>
      <c r="BJ270" s="652"/>
      <c r="BK270" s="652"/>
      <c r="BL270" s="652"/>
      <c r="BM270" s="652"/>
      <c r="BN270" s="652"/>
      <c r="BO270" s="652"/>
      <c r="BP270" s="652"/>
      <c r="BQ270" s="652"/>
      <c r="BR270" s="652">
        <f t="shared" ca="1" si="183"/>
        <v>368500</v>
      </c>
      <c r="BS270" s="652">
        <f t="shared" ca="1" si="183"/>
        <v>0</v>
      </c>
      <c r="BT270" s="652">
        <f t="shared" ca="1" si="183"/>
        <v>0</v>
      </c>
      <c r="BU270" s="652">
        <f t="shared" ca="1" si="183"/>
        <v>17798012.769352939</v>
      </c>
      <c r="BV270" s="652">
        <f t="shared" ca="1" si="183"/>
        <v>1474000</v>
      </c>
      <c r="BW270" s="652">
        <f t="shared" ca="1" si="183"/>
        <v>0</v>
      </c>
      <c r="BX270" s="652">
        <f t="shared" ca="1" si="183"/>
        <v>15400.575728156675</v>
      </c>
      <c r="BY270" s="652">
        <f t="shared" ca="1" si="183"/>
        <v>0</v>
      </c>
    </row>
    <row r="271" spans="1:77">
      <c r="E271" s="660" t="str">
        <f t="shared" ref="E271" si="187">"KU"&amp;F271</f>
        <v>KUResidential Managed Charging</v>
      </c>
      <c r="F271" s="662" t="s">
        <v>67</v>
      </c>
      <c r="G271" s="660" t="s">
        <v>146</v>
      </c>
      <c r="H271" s="652">
        <f t="shared" ca="1" si="178"/>
        <v>375</v>
      </c>
      <c r="I271" s="652">
        <f t="shared" ca="1" si="178"/>
        <v>750</v>
      </c>
      <c r="J271" s="652">
        <f t="shared" ca="1" si="178"/>
        <v>1125</v>
      </c>
      <c r="K271" s="652">
        <f t="shared" ca="1" si="178"/>
        <v>1500</v>
      </c>
      <c r="L271" s="652">
        <f t="shared" ca="1" si="178"/>
        <v>2250</v>
      </c>
      <c r="M271" s="652">
        <f t="shared" ca="1" si="178"/>
        <v>3000</v>
      </c>
      <c r="N271" s="652">
        <f t="shared" ca="1" si="178"/>
        <v>3750</v>
      </c>
      <c r="O271" s="652">
        <f t="shared" ca="1" si="178"/>
        <v>0</v>
      </c>
      <c r="P271" s="652">
        <f t="shared" ca="1" si="178"/>
        <v>0</v>
      </c>
      <c r="Q271" s="652">
        <f t="shared" ca="1" si="178"/>
        <v>0</v>
      </c>
      <c r="R271" s="652">
        <f t="shared" ca="1" si="179"/>
        <v>0</v>
      </c>
      <c r="S271" s="652">
        <f t="shared" ca="1" si="179"/>
        <v>0</v>
      </c>
      <c r="T271" s="652">
        <f t="shared" ca="1" si="179"/>
        <v>0</v>
      </c>
      <c r="U271" s="652">
        <f t="shared" ca="1" si="179"/>
        <v>0</v>
      </c>
      <c r="V271" s="652">
        <f t="shared" ca="1" si="179"/>
        <v>0</v>
      </c>
      <c r="W271" s="652">
        <f t="shared" ca="1" si="179"/>
        <v>0</v>
      </c>
      <c r="X271" s="652">
        <f t="shared" ca="1" si="179"/>
        <v>0</v>
      </c>
      <c r="Y271" s="652">
        <f t="shared" ca="1" si="179"/>
        <v>0</v>
      </c>
      <c r="Z271" s="652">
        <f t="shared" ca="1" si="179"/>
        <v>0</v>
      </c>
      <c r="AA271" s="652">
        <f t="shared" ca="1" si="179"/>
        <v>0</v>
      </c>
      <c r="AB271" s="652">
        <f t="shared" ca="1" si="180"/>
        <v>0</v>
      </c>
      <c r="AC271" s="652">
        <f t="shared" ca="1" si="180"/>
        <v>41250</v>
      </c>
      <c r="AD271" s="652">
        <f t="shared" ca="1" si="180"/>
        <v>63750</v>
      </c>
      <c r="AE271" s="652">
        <f t="shared" ca="1" si="180"/>
        <v>86250</v>
      </c>
      <c r="AF271" s="652">
        <f t="shared" ca="1" si="180"/>
        <v>108750</v>
      </c>
      <c r="AG271" s="652">
        <f t="shared" ca="1" si="180"/>
        <v>172500</v>
      </c>
      <c r="AH271" s="652">
        <f t="shared" ca="1" si="180"/>
        <v>217500</v>
      </c>
      <c r="AI271" s="652">
        <f t="shared" ca="1" si="180"/>
        <v>262500</v>
      </c>
      <c r="AJ271" s="652">
        <f t="shared" ca="1" si="180"/>
        <v>0</v>
      </c>
      <c r="AK271" s="652">
        <f t="shared" ca="1" si="180"/>
        <v>0</v>
      </c>
      <c r="AL271" s="652">
        <f t="shared" ca="1" si="181"/>
        <v>0</v>
      </c>
      <c r="AM271" s="652">
        <f t="shared" ca="1" si="181"/>
        <v>0</v>
      </c>
      <c r="AN271" s="652">
        <f t="shared" ca="1" si="181"/>
        <v>0</v>
      </c>
      <c r="AO271" s="652">
        <f t="shared" ca="1" si="181"/>
        <v>0</v>
      </c>
      <c r="AP271" s="652">
        <f t="shared" ca="1" si="181"/>
        <v>0</v>
      </c>
      <c r="AQ271" s="652">
        <f t="shared" ca="1" si="181"/>
        <v>150</v>
      </c>
      <c r="AR271" s="652">
        <f t="shared" ca="1" si="181"/>
        <v>300</v>
      </c>
      <c r="AS271" s="652">
        <f t="shared" ca="1" si="181"/>
        <v>450</v>
      </c>
      <c r="AT271" s="652">
        <f t="shared" ca="1" si="181"/>
        <v>600</v>
      </c>
      <c r="AU271" s="652">
        <f t="shared" ca="1" si="181"/>
        <v>900</v>
      </c>
      <c r="AV271" s="652">
        <f t="shared" ca="1" si="182"/>
        <v>1200</v>
      </c>
      <c r="AW271" s="652">
        <f t="shared" ca="1" si="182"/>
        <v>1500</v>
      </c>
      <c r="AX271" s="652">
        <f t="shared" ca="1" si="182"/>
        <v>0</v>
      </c>
      <c r="AY271" s="652">
        <f t="shared" ca="1" si="182"/>
        <v>0</v>
      </c>
      <c r="AZ271" s="652">
        <f t="shared" ca="1" si="182"/>
        <v>0</v>
      </c>
      <c r="BA271" s="652">
        <f t="shared" ca="1" si="182"/>
        <v>0</v>
      </c>
      <c r="BB271" s="652">
        <f t="shared" ca="1" si="182"/>
        <v>0</v>
      </c>
      <c r="BC271" s="652">
        <f t="shared" ca="1" si="182"/>
        <v>0</v>
      </c>
      <c r="BD271" s="652">
        <f t="shared" ca="1" si="182"/>
        <v>0</v>
      </c>
      <c r="BE271" s="652"/>
      <c r="BF271" s="652"/>
      <c r="BG271" s="652"/>
      <c r="BH271" s="652"/>
      <c r="BI271" s="652"/>
      <c r="BJ271" s="652"/>
      <c r="BK271" s="652"/>
      <c r="BL271" s="652"/>
      <c r="BM271" s="652"/>
      <c r="BN271" s="652"/>
      <c r="BO271" s="652"/>
      <c r="BP271" s="652"/>
      <c r="BQ271" s="652"/>
      <c r="BR271" s="652">
        <f t="shared" ca="1" si="183"/>
        <v>12750</v>
      </c>
      <c r="BS271" s="652">
        <f t="shared" ca="1" si="183"/>
        <v>0</v>
      </c>
      <c r="BT271" s="652">
        <f t="shared" ca="1" si="183"/>
        <v>0</v>
      </c>
      <c r="BU271" s="652">
        <f t="shared" ca="1" si="183"/>
        <v>952500</v>
      </c>
      <c r="BV271" s="652">
        <f t="shared" ca="1" si="183"/>
        <v>1530000</v>
      </c>
      <c r="BW271" s="652">
        <f t="shared" ca="1" si="183"/>
        <v>0</v>
      </c>
      <c r="BX271" s="652">
        <f t="shared" ca="1" si="183"/>
        <v>1500</v>
      </c>
      <c r="BY271" s="652">
        <f t="shared" ca="1" si="183"/>
        <v>0</v>
      </c>
    </row>
    <row r="272" spans="1:77">
      <c r="E272" s="660" t="str">
        <f t="shared" ref="E272" si="188">"KU"&amp;F272</f>
        <v>KUNonRes Midstream Lighting</v>
      </c>
      <c r="F272" s="662" t="s">
        <v>68</v>
      </c>
      <c r="G272" s="660" t="s">
        <v>146</v>
      </c>
      <c r="H272" s="652">
        <f t="shared" ca="1" si="178"/>
        <v>0</v>
      </c>
      <c r="I272" s="652">
        <f t="shared" ca="1" si="178"/>
        <v>0</v>
      </c>
      <c r="J272" s="652">
        <f t="shared" ca="1" si="178"/>
        <v>147643.20000000001</v>
      </c>
      <c r="K272" s="652">
        <f t="shared" ca="1" si="178"/>
        <v>221464.77599999998</v>
      </c>
      <c r="L272" s="652">
        <f t="shared" ca="1" si="178"/>
        <v>221464.77599999998</v>
      </c>
      <c r="M272" s="652">
        <f t="shared" ca="1" si="178"/>
        <v>177171.82079999999</v>
      </c>
      <c r="N272" s="652">
        <f t="shared" ca="1" si="178"/>
        <v>141737.45663999999</v>
      </c>
      <c r="O272" s="652">
        <f t="shared" ca="1" si="178"/>
        <v>0</v>
      </c>
      <c r="P272" s="652">
        <f t="shared" ca="1" si="178"/>
        <v>0</v>
      </c>
      <c r="Q272" s="652">
        <f t="shared" ca="1" si="178"/>
        <v>8792072.2806857135</v>
      </c>
      <c r="R272" s="652">
        <f t="shared" ca="1" si="179"/>
        <v>13188106.81002857</v>
      </c>
      <c r="S272" s="652">
        <f t="shared" ca="1" si="179"/>
        <v>13188106.81002857</v>
      </c>
      <c r="T272" s="652">
        <f t="shared" ca="1" si="179"/>
        <v>10550485.448022857</v>
      </c>
      <c r="U272" s="652">
        <f t="shared" ca="1" si="179"/>
        <v>8440388.3584182858</v>
      </c>
      <c r="V272" s="652">
        <f t="shared" ca="1" si="179"/>
        <v>0</v>
      </c>
      <c r="W272" s="652">
        <f t="shared" ca="1" si="179"/>
        <v>0</v>
      </c>
      <c r="X272" s="652">
        <f t="shared" ca="1" si="179"/>
        <v>-12459.38624</v>
      </c>
      <c r="Y272" s="652">
        <f t="shared" ca="1" si="179"/>
        <v>-18689.07936</v>
      </c>
      <c r="Z272" s="652">
        <f t="shared" ca="1" si="179"/>
        <v>-18689.07936</v>
      </c>
      <c r="AA272" s="652">
        <f t="shared" ca="1" si="179"/>
        <v>-14951.263488000001</v>
      </c>
      <c r="AB272" s="652">
        <f t="shared" ca="1" si="180"/>
        <v>-11961.0107904</v>
      </c>
      <c r="AC272" s="652">
        <f t="shared" ca="1" si="180"/>
        <v>0</v>
      </c>
      <c r="AD272" s="652">
        <f t="shared" ca="1" si="180"/>
        <v>0</v>
      </c>
      <c r="AE272" s="652">
        <f t="shared" ca="1" si="180"/>
        <v>1027790.4000000001</v>
      </c>
      <c r="AF272" s="652">
        <f t="shared" ca="1" si="180"/>
        <v>1541685.36</v>
      </c>
      <c r="AG272" s="652">
        <f t="shared" ca="1" si="180"/>
        <v>1541685.36</v>
      </c>
      <c r="AH272" s="652">
        <f t="shared" ca="1" si="180"/>
        <v>1233348.2879999999</v>
      </c>
      <c r="AI272" s="652">
        <f t="shared" ca="1" si="180"/>
        <v>986678.63040000014</v>
      </c>
      <c r="AJ272" s="652">
        <f t="shared" ca="1" si="180"/>
        <v>0</v>
      </c>
      <c r="AK272" s="652">
        <f t="shared" ca="1" si="180"/>
        <v>0</v>
      </c>
      <c r="AL272" s="652">
        <f t="shared" ca="1" si="181"/>
        <v>35263798.960654318</v>
      </c>
      <c r="AM272" s="652">
        <f t="shared" ca="1" si="181"/>
        <v>52895695.690836415</v>
      </c>
      <c r="AN272" s="652">
        <f t="shared" ca="1" si="181"/>
        <v>52895695.690836415</v>
      </c>
      <c r="AO272" s="652">
        <f t="shared" ca="1" si="181"/>
        <v>42316556.55266913</v>
      </c>
      <c r="AP272" s="652">
        <f t="shared" ca="1" si="181"/>
        <v>33853245.242135301</v>
      </c>
      <c r="AQ272" s="652">
        <f t="shared" ca="1" si="181"/>
        <v>0</v>
      </c>
      <c r="AR272" s="652">
        <f t="shared" ca="1" si="181"/>
        <v>0</v>
      </c>
      <c r="AS272" s="652">
        <f t="shared" ca="1" si="181"/>
        <v>6865.9568397010698</v>
      </c>
      <c r="AT272" s="652">
        <f t="shared" ca="1" si="181"/>
        <v>10298.934603161822</v>
      </c>
      <c r="AU272" s="652">
        <f t="shared" ca="1" si="181"/>
        <v>10298.934603161822</v>
      </c>
      <c r="AV272" s="652">
        <f t="shared" ca="1" si="182"/>
        <v>8239.1476825294576</v>
      </c>
      <c r="AW272" s="652">
        <f t="shared" ca="1" si="182"/>
        <v>6591.3181460235674</v>
      </c>
      <c r="AX272" s="652">
        <f t="shared" ca="1" si="182"/>
        <v>0</v>
      </c>
      <c r="AY272" s="652">
        <f t="shared" ca="1" si="182"/>
        <v>0</v>
      </c>
      <c r="AZ272" s="652">
        <f t="shared" ca="1" si="182"/>
        <v>0</v>
      </c>
      <c r="BA272" s="652">
        <f t="shared" ca="1" si="182"/>
        <v>0</v>
      </c>
      <c r="BB272" s="652">
        <f t="shared" ca="1" si="182"/>
        <v>0</v>
      </c>
      <c r="BC272" s="652">
        <f t="shared" ca="1" si="182"/>
        <v>0</v>
      </c>
      <c r="BD272" s="652">
        <f t="shared" ca="1" si="182"/>
        <v>0</v>
      </c>
      <c r="BE272" s="652"/>
      <c r="BF272" s="652"/>
      <c r="BG272" s="652"/>
      <c r="BH272" s="652"/>
      <c r="BI272" s="652"/>
      <c r="BJ272" s="652"/>
      <c r="BK272" s="652"/>
      <c r="BL272" s="652"/>
      <c r="BM272" s="652"/>
      <c r="BN272" s="652"/>
      <c r="BO272" s="652"/>
      <c r="BP272" s="652"/>
      <c r="BQ272" s="652"/>
      <c r="BR272" s="652">
        <f t="shared" ca="1" si="183"/>
        <v>909482.02944000019</v>
      </c>
      <c r="BS272" s="652">
        <f t="shared" ca="1" si="183"/>
        <v>54159159.707184002</v>
      </c>
      <c r="BT272" s="652">
        <f t="shared" ca="1" si="183"/>
        <v>-76749.819238399999</v>
      </c>
      <c r="BU272" s="652">
        <f t="shared" ca="1" si="183"/>
        <v>6331188.0384</v>
      </c>
      <c r="BV272" s="652">
        <f t="shared" ca="1" si="183"/>
        <v>0</v>
      </c>
      <c r="BW272" s="652">
        <f t="shared" ca="1" si="183"/>
        <v>217224992.13713154</v>
      </c>
      <c r="BX272" s="652">
        <f t="shared" ca="1" si="183"/>
        <v>42294.291874577735</v>
      </c>
      <c r="BY272" s="652">
        <f t="shared" ca="1" si="183"/>
        <v>0</v>
      </c>
    </row>
    <row r="273" spans="1:77">
      <c r="E273" s="516" t="s">
        <v>284</v>
      </c>
      <c r="F273" s="660" t="s">
        <v>284</v>
      </c>
      <c r="G273" s="660" t="s">
        <v>148</v>
      </c>
      <c r="H273" s="652">
        <f t="shared" ref="H273:AM273" ca="1" si="189">SUM(H260:H272)</f>
        <v>5460073.6825795025</v>
      </c>
      <c r="I273" s="652">
        <f t="shared" ca="1" si="189"/>
        <v>8470390.4218420703</v>
      </c>
      <c r="J273" s="652">
        <f t="shared" ca="1" si="189"/>
        <v>12514382.2609045</v>
      </c>
      <c r="K273" s="652">
        <f t="shared" ca="1" si="189"/>
        <v>12578631.295613356</v>
      </c>
      <c r="L273" s="652">
        <f t="shared" ca="1" si="189"/>
        <v>12623593.235636037</v>
      </c>
      <c r="M273" s="652">
        <f t="shared" ca="1" si="189"/>
        <v>12581773.062055975</v>
      </c>
      <c r="N273" s="652">
        <f t="shared" ca="1" si="189"/>
        <v>12549377.476164913</v>
      </c>
      <c r="O273" s="652">
        <f t="shared" ca="1" si="189"/>
        <v>12131024.913532725</v>
      </c>
      <c r="P273" s="652">
        <f t="shared" ca="1" si="189"/>
        <v>13528309.019757261</v>
      </c>
      <c r="Q273" s="652">
        <f t="shared" ca="1" si="189"/>
        <v>16805052.079916514</v>
      </c>
      <c r="R273" s="652">
        <f t="shared" ca="1" si="189"/>
        <v>19733996.902579606</v>
      </c>
      <c r="S273" s="652">
        <f t="shared" ca="1" si="189"/>
        <v>20530394.607541315</v>
      </c>
      <c r="T273" s="652">
        <f t="shared" ca="1" si="189"/>
        <v>18229342.336887188</v>
      </c>
      <c r="U273" s="652">
        <f t="shared" ca="1" si="189"/>
        <v>16101848.092328481</v>
      </c>
      <c r="V273" s="652">
        <f t="shared" ca="1" si="189"/>
        <v>-13970.579833333333</v>
      </c>
      <c r="W273" s="652">
        <f t="shared" ca="1" si="189"/>
        <v>-13970.579833333333</v>
      </c>
      <c r="X273" s="652">
        <f t="shared" ca="1" si="189"/>
        <v>-16566.2853</v>
      </c>
      <c r="Y273" s="652">
        <f t="shared" ca="1" si="189"/>
        <v>-19681.131860000001</v>
      </c>
      <c r="Z273" s="652">
        <f t="shared" ca="1" si="189"/>
        <v>-19681.131860000001</v>
      </c>
      <c r="AA273" s="652">
        <f t="shared" ca="1" si="189"/>
        <v>-15943.315988</v>
      </c>
      <c r="AB273" s="652">
        <f t="shared" ca="1" si="189"/>
        <v>-12953.063290399999</v>
      </c>
      <c r="AC273" s="652">
        <f t="shared" ca="1" si="189"/>
        <v>4212941.5593396071</v>
      </c>
      <c r="AD273" s="652">
        <f t="shared" ca="1" si="189"/>
        <v>5823652.8343880381</v>
      </c>
      <c r="AE273" s="652">
        <f t="shared" ca="1" si="189"/>
        <v>8086327.1758434363</v>
      </c>
      <c r="AF273" s="652">
        <f t="shared" ca="1" si="189"/>
        <v>11848506.255309947</v>
      </c>
      <c r="AG273" s="652">
        <f t="shared" ca="1" si="189"/>
        <v>19406535.218206432</v>
      </c>
      <c r="AH273" s="652">
        <f t="shared" ca="1" si="189"/>
        <v>20002202.61402854</v>
      </c>
      <c r="AI273" s="652">
        <f t="shared" ca="1" si="189"/>
        <v>20278528.37040402</v>
      </c>
      <c r="AJ273" s="652">
        <f t="shared" ca="1" si="189"/>
        <v>46539000.741893984</v>
      </c>
      <c r="AK273" s="652">
        <f t="shared" ca="1" si="189"/>
        <v>51058130.858810693</v>
      </c>
      <c r="AL273" s="652">
        <f t="shared" ca="1" si="189"/>
        <v>65476509.810034081</v>
      </c>
      <c r="AM273" s="652">
        <f t="shared" ca="1" si="189"/>
        <v>75563183.737326205</v>
      </c>
      <c r="AN273" s="652">
        <f t="shared" ref="AN273:BD273" ca="1" si="190">SUM(AN260:AN272)</f>
        <v>77122256.764087647</v>
      </c>
      <c r="AO273" s="652">
        <f t="shared" ca="1" si="190"/>
        <v>66595764.203545511</v>
      </c>
      <c r="AP273" s="652">
        <f t="shared" ca="1" si="190"/>
        <v>58080155.503001019</v>
      </c>
      <c r="AQ273" s="652">
        <f t="shared" ca="1" si="190"/>
        <v>86682.56339039281</v>
      </c>
      <c r="AR273" s="652">
        <f t="shared" ca="1" si="190"/>
        <v>88302.343476397567</v>
      </c>
      <c r="AS273" s="652">
        <f t="shared" ca="1" si="190"/>
        <v>93902.92925450328</v>
      </c>
      <c r="AT273" s="652">
        <f t="shared" ca="1" si="190"/>
        <v>103371.48998361468</v>
      </c>
      <c r="AU273" s="652">
        <f t="shared" ca="1" si="190"/>
        <v>115508.72307291922</v>
      </c>
      <c r="AV273" s="652">
        <f t="shared" ca="1" si="190"/>
        <v>119282.72767260829</v>
      </c>
      <c r="AW273" s="652">
        <f t="shared" ca="1" si="190"/>
        <v>118128.1878029752</v>
      </c>
      <c r="AX273" s="652">
        <f t="shared" ca="1" si="190"/>
        <v>0</v>
      </c>
      <c r="AY273" s="652">
        <f t="shared" ca="1" si="190"/>
        <v>0</v>
      </c>
      <c r="AZ273" s="652">
        <f t="shared" ca="1" si="190"/>
        <v>0</v>
      </c>
      <c r="BA273" s="652">
        <f t="shared" ca="1" si="190"/>
        <v>0</v>
      </c>
      <c r="BB273" s="652">
        <f t="shared" ca="1" si="190"/>
        <v>0</v>
      </c>
      <c r="BC273" s="652">
        <f t="shared" ca="1" si="190"/>
        <v>0</v>
      </c>
      <c r="BD273" s="652">
        <f t="shared" ca="1" si="190"/>
        <v>0</v>
      </c>
      <c r="BE273" s="652"/>
      <c r="BF273" s="652"/>
      <c r="BG273" s="652"/>
      <c r="BH273" s="652"/>
      <c r="BI273" s="652"/>
      <c r="BJ273" s="652"/>
      <c r="BK273" s="652"/>
      <c r="BL273" s="652"/>
      <c r="BM273" s="652"/>
      <c r="BN273" s="652"/>
      <c r="BO273" s="652"/>
      <c r="BP273" s="652"/>
      <c r="BQ273" s="652"/>
      <c r="BR273" s="652">
        <f t="shared" ref="BR273:BY273" ca="1" si="191">SUM(BR260:BR272)</f>
        <v>76778221.434796363</v>
      </c>
      <c r="BS273" s="652">
        <f t="shared" ca="1" si="191"/>
        <v>117059967.95254311</v>
      </c>
      <c r="BT273" s="652">
        <f t="shared" ca="1" si="191"/>
        <v>-112766.08796506666</v>
      </c>
      <c r="BU273" s="652">
        <f t="shared" ca="1" si="191"/>
        <v>89658694.027520016</v>
      </c>
      <c r="BV273" s="652">
        <f t="shared" ca="1" si="191"/>
        <v>39173590.137070484</v>
      </c>
      <c r="BW273" s="652">
        <f t="shared" ca="1" si="191"/>
        <v>438886600.54123741</v>
      </c>
      <c r="BX273" s="652">
        <f t="shared" ca="1" si="191"/>
        <v>221614.6470913066</v>
      </c>
      <c r="BY273" s="652">
        <f t="shared" ca="1" si="191"/>
        <v>0</v>
      </c>
    </row>
    <row r="274" spans="1:77">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row>
    <row r="275" spans="1:77" ht="42" customHeight="1">
      <c r="A275" s="2"/>
      <c r="C275" s="119"/>
      <c r="D275" s="119"/>
      <c r="E275" s="119"/>
      <c r="F275" s="119"/>
      <c r="G275" s="580" t="s">
        <v>285</v>
      </c>
      <c r="H275" s="671" t="s">
        <v>15</v>
      </c>
      <c r="I275" s="671" t="s">
        <v>16</v>
      </c>
      <c r="J275" s="671" t="s">
        <v>17</v>
      </c>
      <c r="K275" s="671" t="s">
        <v>18</v>
      </c>
      <c r="L275" s="671" t="s">
        <v>19</v>
      </c>
      <c r="M275" s="671" t="s">
        <v>20</v>
      </c>
      <c r="N275" s="671" t="s">
        <v>21</v>
      </c>
      <c r="O275" s="672">
        <v>2024</v>
      </c>
      <c r="P275" s="672">
        <v>2025</v>
      </c>
      <c r="Q275" s="672">
        <v>2026</v>
      </c>
      <c r="R275" s="672">
        <v>2027</v>
      </c>
      <c r="S275" s="672">
        <v>2028</v>
      </c>
      <c r="T275" s="672">
        <v>2029</v>
      </c>
      <c r="U275" s="672">
        <v>2030</v>
      </c>
      <c r="V275" s="672">
        <v>2024</v>
      </c>
      <c r="W275" s="672">
        <v>2025</v>
      </c>
      <c r="X275" s="672">
        <v>2026</v>
      </c>
      <c r="Y275" s="672">
        <v>2027</v>
      </c>
      <c r="Z275" s="672">
        <v>2028</v>
      </c>
      <c r="AA275" s="672">
        <v>2029</v>
      </c>
      <c r="AB275" s="672">
        <v>2030</v>
      </c>
      <c r="AC275" s="672">
        <v>2024</v>
      </c>
      <c r="AD275" s="672">
        <v>2025</v>
      </c>
      <c r="AE275" s="672">
        <v>2026</v>
      </c>
      <c r="AF275" s="672">
        <v>2027</v>
      </c>
      <c r="AG275" s="672">
        <v>2028</v>
      </c>
      <c r="AH275" s="672">
        <v>2029</v>
      </c>
      <c r="AI275" s="672">
        <v>2030</v>
      </c>
      <c r="AJ275" s="673" t="s">
        <v>36</v>
      </c>
      <c r="AK275" s="673" t="s">
        <v>37</v>
      </c>
      <c r="AL275" s="673" t="s">
        <v>38</v>
      </c>
      <c r="AM275" s="673" t="s">
        <v>39</v>
      </c>
      <c r="AN275" s="673" t="s">
        <v>40</v>
      </c>
      <c r="AO275" s="673" t="s">
        <v>41</v>
      </c>
      <c r="AP275" s="673" t="s">
        <v>42</v>
      </c>
      <c r="AQ275" s="673" t="s">
        <v>43</v>
      </c>
      <c r="AR275" s="673" t="s">
        <v>44</v>
      </c>
      <c r="AS275" s="673" t="s">
        <v>45</v>
      </c>
      <c r="AT275" s="673" t="s">
        <v>46</v>
      </c>
      <c r="AU275" s="673" t="s">
        <v>47</v>
      </c>
      <c r="AV275" s="673" t="s">
        <v>48</v>
      </c>
      <c r="AW275" s="673" t="s">
        <v>49</v>
      </c>
      <c r="AX275" s="673" t="s">
        <v>50</v>
      </c>
      <c r="AY275" s="673" t="s">
        <v>51</v>
      </c>
      <c r="AZ275" s="673" t="s">
        <v>52</v>
      </c>
      <c r="BA275" s="673" t="s">
        <v>53</v>
      </c>
      <c r="BB275" s="673" t="s">
        <v>54</v>
      </c>
      <c r="BC275" s="673" t="s">
        <v>55</v>
      </c>
      <c r="BD275" s="673" t="s">
        <v>56</v>
      </c>
      <c r="BE275" s="674"/>
      <c r="BF275" s="674"/>
      <c r="BG275" s="674"/>
      <c r="BH275" s="674"/>
      <c r="BI275" s="674"/>
      <c r="BJ275" s="674"/>
      <c r="BK275" s="674"/>
      <c r="BL275" s="674"/>
      <c r="BM275" s="674"/>
      <c r="BN275" s="674"/>
      <c r="BO275" s="674"/>
      <c r="BP275" s="674"/>
      <c r="BQ275" s="674"/>
      <c r="BR275" s="673" t="s">
        <v>9</v>
      </c>
      <c r="BS275" s="673" t="s">
        <v>139</v>
      </c>
      <c r="BT275" s="673" t="s">
        <v>140</v>
      </c>
      <c r="BU275" s="673" t="s">
        <v>11</v>
      </c>
      <c r="BV275" s="673" t="s">
        <v>142</v>
      </c>
      <c r="BW275" s="673" t="s">
        <v>12</v>
      </c>
      <c r="BX275" s="673" t="s">
        <v>13</v>
      </c>
      <c r="BY275" s="673" t="s">
        <v>14</v>
      </c>
    </row>
    <row r="276" spans="1:77" ht="14.5">
      <c r="D276"/>
      <c r="E276" s="660" t="str">
        <f>"LG&amp;E"&amp;F276</f>
        <v>LG&amp;EWeCare V2</v>
      </c>
      <c r="F276" s="662" t="s">
        <v>57</v>
      </c>
      <c r="G276" s="660" t="s">
        <v>146</v>
      </c>
      <c r="H276" s="652">
        <f t="shared" ref="H276:Q288" ca="1" si="192">SUMIF($B$7:$B$252,$E276,H$7:H$252)</f>
        <v>2556</v>
      </c>
      <c r="I276" s="652">
        <f t="shared" ca="1" si="192"/>
        <v>2556</v>
      </c>
      <c r="J276" s="652">
        <f t="shared" ca="1" si="192"/>
        <v>2556</v>
      </c>
      <c r="K276" s="652">
        <f t="shared" ca="1" si="192"/>
        <v>2556</v>
      </c>
      <c r="L276" s="652">
        <f t="shared" ca="1" si="192"/>
        <v>2556</v>
      </c>
      <c r="M276" s="652">
        <f t="shared" ca="1" si="192"/>
        <v>2556</v>
      </c>
      <c r="N276" s="652">
        <f t="shared" ca="1" si="192"/>
        <v>2556</v>
      </c>
      <c r="O276" s="652">
        <f t="shared" ca="1" si="192"/>
        <v>0</v>
      </c>
      <c r="P276" s="652">
        <f t="shared" ca="1" si="192"/>
        <v>0</v>
      </c>
      <c r="Q276" s="652">
        <f t="shared" ca="1" si="192"/>
        <v>0</v>
      </c>
      <c r="R276" s="652">
        <f t="shared" ref="R276:AA288" ca="1" si="193">SUMIF($B$7:$B$252,$E276,R$7:R$252)</f>
        <v>0</v>
      </c>
      <c r="S276" s="652">
        <f t="shared" ca="1" si="193"/>
        <v>0</v>
      </c>
      <c r="T276" s="652">
        <f t="shared" ca="1" si="193"/>
        <v>0</v>
      </c>
      <c r="U276" s="652">
        <f t="shared" ca="1" si="193"/>
        <v>0</v>
      </c>
      <c r="V276" s="652">
        <f t="shared" ca="1" si="193"/>
        <v>0</v>
      </c>
      <c r="W276" s="652">
        <f t="shared" ca="1" si="193"/>
        <v>0</v>
      </c>
      <c r="X276" s="652">
        <f t="shared" ca="1" si="193"/>
        <v>0</v>
      </c>
      <c r="Y276" s="652">
        <f t="shared" ca="1" si="193"/>
        <v>0</v>
      </c>
      <c r="Z276" s="652">
        <f t="shared" ca="1" si="193"/>
        <v>0</v>
      </c>
      <c r="AA276" s="652">
        <f t="shared" ca="1" si="193"/>
        <v>0</v>
      </c>
      <c r="AB276" s="652">
        <f t="shared" ref="AB276:AK288" ca="1" si="194">SUMIF($B$7:$B$252,$E276,AB$7:AB$252)</f>
        <v>0</v>
      </c>
      <c r="AC276" s="652">
        <f t="shared" ca="1" si="194"/>
        <v>0</v>
      </c>
      <c r="AD276" s="652">
        <f t="shared" ca="1" si="194"/>
        <v>0</v>
      </c>
      <c r="AE276" s="652">
        <f t="shared" ca="1" si="194"/>
        <v>0</v>
      </c>
      <c r="AF276" s="652">
        <f t="shared" ca="1" si="194"/>
        <v>0</v>
      </c>
      <c r="AG276" s="652">
        <f t="shared" ca="1" si="194"/>
        <v>0</v>
      </c>
      <c r="AH276" s="652">
        <f t="shared" ca="1" si="194"/>
        <v>0</v>
      </c>
      <c r="AI276" s="652">
        <f t="shared" ca="1" si="194"/>
        <v>0</v>
      </c>
      <c r="AJ276" s="652">
        <f t="shared" ca="1" si="194"/>
        <v>1691002.5294764596</v>
      </c>
      <c r="AK276" s="652">
        <f t="shared" ca="1" si="194"/>
        <v>1691002.5294764596</v>
      </c>
      <c r="AL276" s="652">
        <f t="shared" ref="AL276:AU288" ca="1" si="195">SUMIF($B$7:$B$252,$E276,AL$7:AL$252)</f>
        <v>1691002.5294764596</v>
      </c>
      <c r="AM276" s="652">
        <f t="shared" ca="1" si="195"/>
        <v>1691002.5294764596</v>
      </c>
      <c r="AN276" s="652">
        <f t="shared" ca="1" si="195"/>
        <v>1691002.5294764596</v>
      </c>
      <c r="AO276" s="652">
        <f t="shared" ca="1" si="195"/>
        <v>1691002.5294764596</v>
      </c>
      <c r="AP276" s="652">
        <f t="shared" ca="1" si="195"/>
        <v>1691002.5294764596</v>
      </c>
      <c r="AQ276" s="652">
        <f t="shared" ca="1" si="195"/>
        <v>137.63357764361695</v>
      </c>
      <c r="AR276" s="652">
        <f t="shared" ca="1" si="195"/>
        <v>137.63357764361695</v>
      </c>
      <c r="AS276" s="652">
        <f t="shared" ca="1" si="195"/>
        <v>137.63357764361695</v>
      </c>
      <c r="AT276" s="652">
        <f t="shared" ca="1" si="195"/>
        <v>137.63357764361695</v>
      </c>
      <c r="AU276" s="652">
        <f t="shared" ca="1" si="195"/>
        <v>137.63357764361695</v>
      </c>
      <c r="AV276" s="652">
        <f t="shared" ref="AV276:BD288" ca="1" si="196">SUMIF($B$7:$B$252,$E276,AV$7:AV$252)</f>
        <v>137.63357764361695</v>
      </c>
      <c r="AW276" s="652">
        <f t="shared" ca="1" si="196"/>
        <v>137.63357764361695</v>
      </c>
      <c r="AX276" s="652">
        <f t="shared" ca="1" si="196"/>
        <v>130926.60719999998</v>
      </c>
      <c r="AY276" s="652">
        <f t="shared" ca="1" si="196"/>
        <v>130926.60719999998</v>
      </c>
      <c r="AZ276" s="652">
        <f t="shared" ca="1" si="196"/>
        <v>130926.60719999998</v>
      </c>
      <c r="BA276" s="652">
        <f t="shared" ca="1" si="196"/>
        <v>130926.60719999998</v>
      </c>
      <c r="BB276" s="652">
        <f t="shared" ca="1" si="196"/>
        <v>130926.60719999998</v>
      </c>
      <c r="BC276" s="652">
        <f t="shared" ca="1" si="196"/>
        <v>130926.60719999998</v>
      </c>
      <c r="BD276" s="652">
        <f t="shared" ca="1" si="196"/>
        <v>130926.60719999998</v>
      </c>
      <c r="BE276" s="652"/>
      <c r="BF276" s="652"/>
      <c r="BG276" s="652"/>
      <c r="BH276" s="652"/>
      <c r="BI276" s="652"/>
      <c r="BJ276" s="652"/>
      <c r="BK276" s="652"/>
      <c r="BL276" s="652"/>
      <c r="BM276" s="652"/>
      <c r="BN276" s="652"/>
      <c r="BO276" s="652"/>
      <c r="BP276" s="652"/>
      <c r="BQ276" s="652"/>
      <c r="BR276" s="652">
        <f t="shared" ref="BR276:BU288" ca="1" si="197">SUMIF($B$7:$B$252,$E276,BR$7:BR$252)</f>
        <v>17892</v>
      </c>
      <c r="BS276" s="652">
        <f t="shared" ca="1" si="197"/>
        <v>0</v>
      </c>
      <c r="BT276" s="652">
        <f t="shared" ca="1" si="197"/>
        <v>0</v>
      </c>
      <c r="BU276" s="652">
        <f t="shared" ca="1" si="197"/>
        <v>0</v>
      </c>
      <c r="BV276" s="652"/>
      <c r="BW276" s="652">
        <f t="shared" ref="BW276:BY288" ca="1" si="198">SUMIF($B$7:$B$252,$E276,BW$7:BW$252)</f>
        <v>11837017.706335217</v>
      </c>
      <c r="BX276" s="652">
        <f t="shared" ca="1" si="198"/>
        <v>963.43504350531862</v>
      </c>
      <c r="BY276" s="652">
        <f t="shared" ca="1" si="198"/>
        <v>916486.25039999979</v>
      </c>
    </row>
    <row r="277" spans="1:77" ht="14.5">
      <c r="D277"/>
      <c r="E277" s="660" t="str">
        <f>"LG&amp;E"&amp;F277</f>
        <v>LG&amp;ELI Multifamily - Whole Building</v>
      </c>
      <c r="F277" s="662" t="s">
        <v>58</v>
      </c>
      <c r="G277" s="660" t="s">
        <v>146</v>
      </c>
      <c r="H277" s="652">
        <f t="shared" ca="1" si="192"/>
        <v>19150</v>
      </c>
      <c r="I277" s="652">
        <f t="shared" ca="1" si="192"/>
        <v>19150</v>
      </c>
      <c r="J277" s="652">
        <f t="shared" ca="1" si="192"/>
        <v>19150</v>
      </c>
      <c r="K277" s="652">
        <f t="shared" ca="1" si="192"/>
        <v>19150</v>
      </c>
      <c r="L277" s="652">
        <f t="shared" ca="1" si="192"/>
        <v>19150</v>
      </c>
      <c r="M277" s="652">
        <f t="shared" ca="1" si="192"/>
        <v>19150</v>
      </c>
      <c r="N277" s="652">
        <f t="shared" ca="1" si="192"/>
        <v>19150</v>
      </c>
      <c r="O277" s="652">
        <f t="shared" ca="1" si="192"/>
        <v>0</v>
      </c>
      <c r="P277" s="652">
        <f t="shared" ca="1" si="192"/>
        <v>0</v>
      </c>
      <c r="Q277" s="652">
        <f t="shared" ca="1" si="192"/>
        <v>0</v>
      </c>
      <c r="R277" s="652">
        <f t="shared" ca="1" si="193"/>
        <v>0</v>
      </c>
      <c r="S277" s="652">
        <f t="shared" ca="1" si="193"/>
        <v>0</v>
      </c>
      <c r="T277" s="652">
        <f t="shared" ca="1" si="193"/>
        <v>0</v>
      </c>
      <c r="U277" s="652">
        <f t="shared" ca="1" si="193"/>
        <v>0</v>
      </c>
      <c r="V277" s="652">
        <f t="shared" ca="1" si="193"/>
        <v>0</v>
      </c>
      <c r="W277" s="652">
        <f t="shared" ca="1" si="193"/>
        <v>0</v>
      </c>
      <c r="X277" s="652">
        <f t="shared" ca="1" si="193"/>
        <v>0</v>
      </c>
      <c r="Y277" s="652">
        <f t="shared" ca="1" si="193"/>
        <v>0</v>
      </c>
      <c r="Z277" s="652">
        <f t="shared" ca="1" si="193"/>
        <v>0</v>
      </c>
      <c r="AA277" s="652">
        <f t="shared" ca="1" si="193"/>
        <v>0</v>
      </c>
      <c r="AB277" s="652">
        <f t="shared" ca="1" si="194"/>
        <v>0</v>
      </c>
      <c r="AC277" s="652">
        <f t="shared" ca="1" si="194"/>
        <v>0</v>
      </c>
      <c r="AD277" s="652">
        <f t="shared" ca="1" si="194"/>
        <v>0</v>
      </c>
      <c r="AE277" s="652">
        <f t="shared" ca="1" si="194"/>
        <v>0</v>
      </c>
      <c r="AF277" s="652">
        <f t="shared" ca="1" si="194"/>
        <v>0</v>
      </c>
      <c r="AG277" s="652">
        <f t="shared" ca="1" si="194"/>
        <v>0</v>
      </c>
      <c r="AH277" s="652">
        <f t="shared" ca="1" si="194"/>
        <v>0</v>
      </c>
      <c r="AI277" s="652">
        <f t="shared" ca="1" si="194"/>
        <v>0</v>
      </c>
      <c r="AJ277" s="652">
        <f t="shared" ca="1" si="194"/>
        <v>339401.3496456407</v>
      </c>
      <c r="AK277" s="652">
        <f t="shared" ca="1" si="194"/>
        <v>339401.3496456407</v>
      </c>
      <c r="AL277" s="652">
        <f t="shared" ca="1" si="195"/>
        <v>339401.3496456407</v>
      </c>
      <c r="AM277" s="652">
        <f t="shared" ca="1" si="195"/>
        <v>339401.3496456407</v>
      </c>
      <c r="AN277" s="652">
        <f t="shared" ca="1" si="195"/>
        <v>339401.3496456407</v>
      </c>
      <c r="AO277" s="652">
        <f t="shared" ca="1" si="195"/>
        <v>339401.3496456407</v>
      </c>
      <c r="AP277" s="652">
        <f t="shared" ca="1" si="195"/>
        <v>339401.3496456407</v>
      </c>
      <c r="AQ277" s="652">
        <f t="shared" ca="1" si="195"/>
        <v>32.746663084702448</v>
      </c>
      <c r="AR277" s="652">
        <f t="shared" ca="1" si="195"/>
        <v>32.746663084702448</v>
      </c>
      <c r="AS277" s="652">
        <f t="shared" ca="1" si="195"/>
        <v>32.746663084702448</v>
      </c>
      <c r="AT277" s="652">
        <f t="shared" ca="1" si="195"/>
        <v>32.746663084702448</v>
      </c>
      <c r="AU277" s="652">
        <f t="shared" ca="1" si="195"/>
        <v>32.746663084702448</v>
      </c>
      <c r="AV277" s="652">
        <f t="shared" ca="1" si="196"/>
        <v>32.746663084702448</v>
      </c>
      <c r="AW277" s="652">
        <f t="shared" ca="1" si="196"/>
        <v>32.746663084702448</v>
      </c>
      <c r="AX277" s="652">
        <f t="shared" ca="1" si="196"/>
        <v>6412.4071004607695</v>
      </c>
      <c r="AY277" s="652">
        <f t="shared" ca="1" si="196"/>
        <v>6412.4071004607695</v>
      </c>
      <c r="AZ277" s="652">
        <f t="shared" ca="1" si="196"/>
        <v>6412.4071004607695</v>
      </c>
      <c r="BA277" s="652">
        <f t="shared" ca="1" si="196"/>
        <v>6412.4071004607695</v>
      </c>
      <c r="BB277" s="652">
        <f t="shared" ca="1" si="196"/>
        <v>6412.4071004607695</v>
      </c>
      <c r="BC277" s="652">
        <f t="shared" ca="1" si="196"/>
        <v>6412.4071004607695</v>
      </c>
      <c r="BD277" s="652">
        <f t="shared" ca="1" si="196"/>
        <v>6412.4071004607695</v>
      </c>
      <c r="BE277" s="652"/>
      <c r="BF277" s="652"/>
      <c r="BG277" s="652"/>
      <c r="BH277" s="652"/>
      <c r="BI277" s="652"/>
      <c r="BJ277" s="652"/>
      <c r="BK277" s="652"/>
      <c r="BL277" s="652"/>
      <c r="BM277" s="652"/>
      <c r="BN277" s="652"/>
      <c r="BO277" s="652"/>
      <c r="BP277" s="652"/>
      <c r="BQ277" s="652"/>
      <c r="BR277" s="652">
        <f t="shared" ca="1" si="197"/>
        <v>134050</v>
      </c>
      <c r="BS277" s="652">
        <f t="shared" ca="1" si="197"/>
        <v>0</v>
      </c>
      <c r="BT277" s="652">
        <f t="shared" ca="1" si="197"/>
        <v>0</v>
      </c>
      <c r="BU277" s="652">
        <f t="shared" ca="1" si="197"/>
        <v>0</v>
      </c>
      <c r="BV277" s="652"/>
      <c r="BW277" s="652">
        <f t="shared" ca="1" si="198"/>
        <v>2375809.4475194854</v>
      </c>
      <c r="BX277" s="652">
        <f t="shared" ca="1" si="198"/>
        <v>229.2266415929171</v>
      </c>
      <c r="BY277" s="652">
        <f t="shared" ca="1" si="198"/>
        <v>44886.849703225373</v>
      </c>
    </row>
    <row r="278" spans="1:77" ht="14.5">
      <c r="D278"/>
      <c r="E278" s="660" t="str">
        <f t="shared" ref="E278:E280" si="199">"LG&amp;E"&amp;F278</f>
        <v>LG&amp;EAppliance Recycling</v>
      </c>
      <c r="F278" s="662" t="s">
        <v>59</v>
      </c>
      <c r="G278" s="660" t="s">
        <v>146</v>
      </c>
      <c r="H278" s="652">
        <f t="shared" ca="1" si="192"/>
        <v>0</v>
      </c>
      <c r="I278" s="652">
        <f t="shared" ca="1" si="192"/>
        <v>0</v>
      </c>
      <c r="J278" s="652">
        <f t="shared" ca="1" si="192"/>
        <v>3045</v>
      </c>
      <c r="K278" s="652">
        <f t="shared" ca="1" si="192"/>
        <v>3552.5</v>
      </c>
      <c r="L278" s="652">
        <f t="shared" ca="1" si="192"/>
        <v>4060</v>
      </c>
      <c r="M278" s="652">
        <f t="shared" ca="1" si="192"/>
        <v>4060</v>
      </c>
      <c r="N278" s="652">
        <f t="shared" ca="1" si="192"/>
        <v>4060</v>
      </c>
      <c r="O278" s="652">
        <f t="shared" ca="1" si="192"/>
        <v>0</v>
      </c>
      <c r="P278" s="652">
        <f t="shared" ca="1" si="192"/>
        <v>0</v>
      </c>
      <c r="Q278" s="652">
        <f t="shared" ca="1" si="192"/>
        <v>0</v>
      </c>
      <c r="R278" s="652">
        <f t="shared" ca="1" si="193"/>
        <v>0</v>
      </c>
      <c r="S278" s="652">
        <f t="shared" ca="1" si="193"/>
        <v>0</v>
      </c>
      <c r="T278" s="652">
        <f t="shared" ca="1" si="193"/>
        <v>0</v>
      </c>
      <c r="U278" s="652">
        <f t="shared" ca="1" si="193"/>
        <v>0</v>
      </c>
      <c r="V278" s="652">
        <f t="shared" ca="1" si="193"/>
        <v>0</v>
      </c>
      <c r="W278" s="652">
        <f t="shared" ca="1" si="193"/>
        <v>0</v>
      </c>
      <c r="X278" s="652">
        <f t="shared" ca="1" si="193"/>
        <v>0</v>
      </c>
      <c r="Y278" s="652">
        <f t="shared" ca="1" si="193"/>
        <v>0</v>
      </c>
      <c r="Z278" s="652">
        <f t="shared" ca="1" si="193"/>
        <v>0</v>
      </c>
      <c r="AA278" s="652">
        <f t="shared" ca="1" si="193"/>
        <v>0</v>
      </c>
      <c r="AB278" s="652">
        <f t="shared" ca="1" si="194"/>
        <v>0</v>
      </c>
      <c r="AC278" s="652">
        <f t="shared" ca="1" si="194"/>
        <v>0</v>
      </c>
      <c r="AD278" s="652">
        <f t="shared" ca="1" si="194"/>
        <v>0</v>
      </c>
      <c r="AE278" s="652">
        <f t="shared" ca="1" si="194"/>
        <v>150000</v>
      </c>
      <c r="AF278" s="652">
        <f t="shared" ca="1" si="194"/>
        <v>175000.00000000003</v>
      </c>
      <c r="AG278" s="652">
        <f t="shared" ca="1" si="194"/>
        <v>200000</v>
      </c>
      <c r="AH278" s="652">
        <f t="shared" ca="1" si="194"/>
        <v>200000</v>
      </c>
      <c r="AI278" s="652">
        <f t="shared" ca="1" si="194"/>
        <v>200000</v>
      </c>
      <c r="AJ278" s="652">
        <f t="shared" ca="1" si="194"/>
        <v>0</v>
      </c>
      <c r="AK278" s="652">
        <f t="shared" ca="1" si="194"/>
        <v>0</v>
      </c>
      <c r="AL278" s="652">
        <f t="shared" ca="1" si="195"/>
        <v>2271326.6326530613</v>
      </c>
      <c r="AM278" s="652">
        <f t="shared" ca="1" si="195"/>
        <v>2649881.0714285718</v>
      </c>
      <c r="AN278" s="652">
        <f t="shared" ca="1" si="195"/>
        <v>3028435.5102040814</v>
      </c>
      <c r="AO278" s="652">
        <f t="shared" ca="1" si="195"/>
        <v>3028435.5102040814</v>
      </c>
      <c r="AP278" s="652">
        <f t="shared" ca="1" si="195"/>
        <v>3028435.5102040814</v>
      </c>
      <c r="AQ278" s="652">
        <f t="shared" ca="1" si="195"/>
        <v>0</v>
      </c>
      <c r="AR278" s="652">
        <f t="shared" ca="1" si="195"/>
        <v>0</v>
      </c>
      <c r="AS278" s="652">
        <f t="shared" ca="1" si="195"/>
        <v>265.97632653061225</v>
      </c>
      <c r="AT278" s="652">
        <f t="shared" ca="1" si="195"/>
        <v>310.30571428571432</v>
      </c>
      <c r="AU278" s="652">
        <f t="shared" ca="1" si="195"/>
        <v>354.63510204081638</v>
      </c>
      <c r="AV278" s="652">
        <f t="shared" ca="1" si="196"/>
        <v>354.63510204081638</v>
      </c>
      <c r="AW278" s="652">
        <f t="shared" ca="1" si="196"/>
        <v>354.63510204081638</v>
      </c>
      <c r="AX278" s="652">
        <f t="shared" ca="1" si="196"/>
        <v>0</v>
      </c>
      <c r="AY278" s="652">
        <f t="shared" ca="1" si="196"/>
        <v>0</v>
      </c>
      <c r="AZ278" s="652">
        <f t="shared" ca="1" si="196"/>
        <v>0</v>
      </c>
      <c r="BA278" s="652">
        <f t="shared" ca="1" si="196"/>
        <v>0</v>
      </c>
      <c r="BB278" s="652">
        <f t="shared" ca="1" si="196"/>
        <v>0</v>
      </c>
      <c r="BC278" s="652">
        <f t="shared" ca="1" si="196"/>
        <v>0</v>
      </c>
      <c r="BD278" s="652">
        <f t="shared" ca="1" si="196"/>
        <v>0</v>
      </c>
      <c r="BE278" s="652"/>
      <c r="BF278" s="652"/>
      <c r="BG278" s="652"/>
      <c r="BH278" s="652"/>
      <c r="BI278" s="652"/>
      <c r="BJ278" s="652"/>
      <c r="BK278" s="652"/>
      <c r="BL278" s="652"/>
      <c r="BM278" s="652"/>
      <c r="BN278" s="652"/>
      <c r="BO278" s="652"/>
      <c r="BP278" s="652"/>
      <c r="BQ278" s="652"/>
      <c r="BR278" s="652">
        <f t="shared" ca="1" si="197"/>
        <v>18777.500000000004</v>
      </c>
      <c r="BS278" s="652">
        <f t="shared" ca="1" si="197"/>
        <v>0</v>
      </c>
      <c r="BT278" s="652">
        <f t="shared" ca="1" si="197"/>
        <v>0</v>
      </c>
      <c r="BU278" s="652">
        <f t="shared" ca="1" si="197"/>
        <v>925000</v>
      </c>
      <c r="BV278" s="652"/>
      <c r="BW278" s="652">
        <f t="shared" ca="1" si="198"/>
        <v>14006514.234693877</v>
      </c>
      <c r="BX278" s="652">
        <f t="shared" ca="1" si="198"/>
        <v>1640.1873469387756</v>
      </c>
      <c r="BY278" s="652">
        <f t="shared" ca="1" si="198"/>
        <v>0</v>
      </c>
    </row>
    <row r="279" spans="1:77" ht="14.5">
      <c r="D279"/>
      <c r="E279" s="660" t="str">
        <f t="shared" ref="E279" si="200">"LG&amp;E"&amp;F279</f>
        <v>LG&amp;EOnline Marketplace</v>
      </c>
      <c r="F279" s="662" t="s">
        <v>60</v>
      </c>
      <c r="G279" s="660" t="s">
        <v>146</v>
      </c>
      <c r="H279" s="652">
        <f t="shared" ca="1" si="192"/>
        <v>535</v>
      </c>
      <c r="I279" s="652">
        <f t="shared" ca="1" si="192"/>
        <v>1058.0999999999999</v>
      </c>
      <c r="J279" s="652">
        <f t="shared" ca="1" si="192"/>
        <v>2108.73</v>
      </c>
      <c r="K279" s="652">
        <f t="shared" ca="1" si="192"/>
        <v>4201.8914999999997</v>
      </c>
      <c r="L279" s="652">
        <f t="shared" ca="1" si="192"/>
        <v>6026.3360750000002</v>
      </c>
      <c r="M279" s="652">
        <f t="shared" ca="1" si="192"/>
        <v>6032.6903787499996</v>
      </c>
      <c r="N279" s="652">
        <f t="shared" ca="1" si="192"/>
        <v>6041.8936476874997</v>
      </c>
      <c r="O279" s="652">
        <f t="shared" ca="1" si="192"/>
        <v>80695.88</v>
      </c>
      <c r="P279" s="652">
        <f t="shared" ca="1" si="192"/>
        <v>161172.424</v>
      </c>
      <c r="Q279" s="652">
        <f t="shared" ca="1" si="192"/>
        <v>322364.54519999999</v>
      </c>
      <c r="R279" s="652">
        <f t="shared" ca="1" si="193"/>
        <v>644362.27246000001</v>
      </c>
      <c r="S279" s="652">
        <f t="shared" ca="1" si="193"/>
        <v>924843.13608299999</v>
      </c>
      <c r="T279" s="652">
        <f t="shared" ca="1" si="193"/>
        <v>925138.41788714996</v>
      </c>
      <c r="U279" s="652">
        <f t="shared" ca="1" si="193"/>
        <v>925575.02628150745</v>
      </c>
      <c r="V279" s="652">
        <f t="shared" ca="1" si="193"/>
        <v>0</v>
      </c>
      <c r="W279" s="652">
        <f t="shared" ca="1" si="193"/>
        <v>0</v>
      </c>
      <c r="X279" s="652">
        <f t="shared" ca="1" si="193"/>
        <v>0</v>
      </c>
      <c r="Y279" s="652">
        <f t="shared" ca="1" si="193"/>
        <v>0</v>
      </c>
      <c r="Z279" s="652">
        <f t="shared" ca="1" si="193"/>
        <v>0</v>
      </c>
      <c r="AA279" s="652">
        <f t="shared" ca="1" si="193"/>
        <v>0</v>
      </c>
      <c r="AB279" s="652">
        <f t="shared" ca="1" si="194"/>
        <v>0</v>
      </c>
      <c r="AC279" s="652">
        <f t="shared" ca="1" si="194"/>
        <v>39307.5</v>
      </c>
      <c r="AD279" s="652">
        <f t="shared" ca="1" si="194"/>
        <v>78501</v>
      </c>
      <c r="AE279" s="652">
        <f t="shared" ca="1" si="194"/>
        <v>157132.29999999999</v>
      </c>
      <c r="AF279" s="652">
        <f t="shared" ca="1" si="194"/>
        <v>314013.91499999998</v>
      </c>
      <c r="AG279" s="652">
        <f t="shared" ca="1" si="194"/>
        <v>450708.36074999999</v>
      </c>
      <c r="AH279" s="652">
        <f t="shared" ca="1" si="194"/>
        <v>450996.90378749999</v>
      </c>
      <c r="AI279" s="652">
        <f t="shared" ca="1" si="194"/>
        <v>451426.43647687498</v>
      </c>
      <c r="AJ279" s="652">
        <f t="shared" ca="1" si="194"/>
        <v>163037.34636570927</v>
      </c>
      <c r="AK279" s="652">
        <f t="shared" ca="1" si="194"/>
        <v>325350.79273141851</v>
      </c>
      <c r="AL279" s="652">
        <f t="shared" ca="1" si="195"/>
        <v>649941.49046283704</v>
      </c>
      <c r="AM279" s="652">
        <f t="shared" ca="1" si="195"/>
        <v>1299084.881175674</v>
      </c>
      <c r="AN279" s="652">
        <f t="shared" ca="1" si="195"/>
        <v>1864375.169244329</v>
      </c>
      <c r="AO279" s="652">
        <f t="shared" ca="1" si="195"/>
        <v>1864421.480032454</v>
      </c>
      <c r="AP279" s="652">
        <f t="shared" ca="1" si="195"/>
        <v>1864470.1063599852</v>
      </c>
      <c r="AQ279" s="652">
        <f t="shared" ca="1" si="195"/>
        <v>0</v>
      </c>
      <c r="AR279" s="652">
        <f t="shared" ca="1" si="195"/>
        <v>0</v>
      </c>
      <c r="AS279" s="652">
        <f t="shared" ca="1" si="195"/>
        <v>0</v>
      </c>
      <c r="AT279" s="652">
        <f t="shared" ca="1" si="195"/>
        <v>0</v>
      </c>
      <c r="AU279" s="652">
        <f t="shared" ca="1" si="195"/>
        <v>0</v>
      </c>
      <c r="AV279" s="652">
        <f t="shared" ca="1" si="196"/>
        <v>0</v>
      </c>
      <c r="AW279" s="652">
        <f t="shared" ca="1" si="196"/>
        <v>0</v>
      </c>
      <c r="AX279" s="652">
        <f t="shared" ca="1" si="196"/>
        <v>14355.792000000001</v>
      </c>
      <c r="AY279" s="652">
        <f t="shared" ca="1" si="196"/>
        <v>28711.584000000003</v>
      </c>
      <c r="AZ279" s="652">
        <f t="shared" ca="1" si="196"/>
        <v>57423.168000000005</v>
      </c>
      <c r="BA279" s="652">
        <f t="shared" ca="1" si="196"/>
        <v>114846.33600000001</v>
      </c>
      <c r="BB279" s="652">
        <f t="shared" ca="1" si="196"/>
        <v>164851.20000000001</v>
      </c>
      <c r="BC279" s="652">
        <f t="shared" ca="1" si="196"/>
        <v>164851.20000000001</v>
      </c>
      <c r="BD279" s="652">
        <f t="shared" ca="1" si="196"/>
        <v>164851.20000000001</v>
      </c>
      <c r="BE279" s="652"/>
      <c r="BF279" s="652"/>
      <c r="BG279" s="652"/>
      <c r="BH279" s="652"/>
      <c r="BI279" s="652"/>
      <c r="BJ279" s="652"/>
      <c r="BK279" s="652"/>
      <c r="BL279" s="652"/>
      <c r="BM279" s="652"/>
      <c r="BN279" s="652"/>
      <c r="BO279" s="652"/>
      <c r="BP279" s="652"/>
      <c r="BQ279" s="652"/>
      <c r="BR279" s="652">
        <f t="shared" ca="1" si="197"/>
        <v>26004.641601437499</v>
      </c>
      <c r="BS279" s="652">
        <f t="shared" ca="1" si="197"/>
        <v>3984151.7019116576</v>
      </c>
      <c r="BT279" s="652">
        <f t="shared" ca="1" si="197"/>
        <v>0</v>
      </c>
      <c r="BU279" s="652">
        <f t="shared" ca="1" si="197"/>
        <v>1942086.4160143749</v>
      </c>
      <c r="BV279" s="652"/>
      <c r="BW279" s="652">
        <f t="shared" ca="1" si="198"/>
        <v>8030681.2663724069</v>
      </c>
      <c r="BX279" s="652">
        <f t="shared" ca="1" si="198"/>
        <v>0</v>
      </c>
      <c r="BY279" s="652">
        <f t="shared" ca="1" si="198"/>
        <v>709890.48</v>
      </c>
    </row>
    <row r="280" spans="1:77" ht="14.5">
      <c r="D280"/>
      <c r="E280" s="660" t="str">
        <f t="shared" si="199"/>
        <v>LG&amp;EResidential Audit Online</v>
      </c>
      <c r="F280" s="662" t="s">
        <v>61</v>
      </c>
      <c r="G280" s="660" t="s">
        <v>146</v>
      </c>
      <c r="H280" s="652">
        <f t="shared" ca="1" si="192"/>
        <v>0</v>
      </c>
      <c r="I280" s="652">
        <f t="shared" ca="1" si="192"/>
        <v>2041.75</v>
      </c>
      <c r="J280" s="652">
        <f t="shared" ca="1" si="192"/>
        <v>2376.75</v>
      </c>
      <c r="K280" s="652">
        <f t="shared" ca="1" si="192"/>
        <v>2716.125</v>
      </c>
      <c r="L280" s="652">
        <f t="shared" ca="1" si="192"/>
        <v>3132.03125</v>
      </c>
      <c r="M280" s="652">
        <f t="shared" ca="1" si="192"/>
        <v>2932.03125</v>
      </c>
      <c r="N280" s="652">
        <f t="shared" ca="1" si="192"/>
        <v>2932.03125</v>
      </c>
      <c r="O280" s="652">
        <f t="shared" ca="1" si="192"/>
        <v>0</v>
      </c>
      <c r="P280" s="652">
        <f t="shared" ca="1" si="192"/>
        <v>496995</v>
      </c>
      <c r="Q280" s="652">
        <f t="shared" ca="1" si="192"/>
        <v>680162</v>
      </c>
      <c r="R280" s="652">
        <f t="shared" ca="1" si="193"/>
        <v>864264</v>
      </c>
      <c r="S280" s="652">
        <f t="shared" ca="1" si="193"/>
        <v>1092549</v>
      </c>
      <c r="T280" s="652">
        <f t="shared" ca="1" si="193"/>
        <v>897177</v>
      </c>
      <c r="U280" s="652">
        <f t="shared" ca="1" si="193"/>
        <v>897177</v>
      </c>
      <c r="V280" s="652">
        <f t="shared" ca="1" si="193"/>
        <v>0</v>
      </c>
      <c r="W280" s="652">
        <f t="shared" ca="1" si="193"/>
        <v>0</v>
      </c>
      <c r="X280" s="652">
        <f t="shared" ca="1" si="193"/>
        <v>0</v>
      </c>
      <c r="Y280" s="652">
        <f t="shared" ca="1" si="193"/>
        <v>0</v>
      </c>
      <c r="Z280" s="652">
        <f t="shared" ca="1" si="193"/>
        <v>0</v>
      </c>
      <c r="AA280" s="652">
        <f t="shared" ca="1" si="193"/>
        <v>0</v>
      </c>
      <c r="AB280" s="652">
        <f t="shared" ca="1" si="194"/>
        <v>0</v>
      </c>
      <c r="AC280" s="652">
        <f t="shared" ca="1" si="194"/>
        <v>0</v>
      </c>
      <c r="AD280" s="652">
        <f t="shared" ca="1" si="194"/>
        <v>281450</v>
      </c>
      <c r="AE280" s="652">
        <f t="shared" ca="1" si="194"/>
        <v>374650</v>
      </c>
      <c r="AF280" s="652">
        <f t="shared" ca="1" si="194"/>
        <v>468250</v>
      </c>
      <c r="AG280" s="652">
        <f t="shared" ca="1" si="194"/>
        <v>588450</v>
      </c>
      <c r="AH280" s="652">
        <f t="shared" ca="1" si="194"/>
        <v>538450</v>
      </c>
      <c r="AI280" s="652">
        <f t="shared" ca="1" si="194"/>
        <v>538450</v>
      </c>
      <c r="AJ280" s="652">
        <f t="shared" ca="1" si="194"/>
        <v>0</v>
      </c>
      <c r="AK280" s="652">
        <f t="shared" ca="1" si="194"/>
        <v>1203933.1162771182</v>
      </c>
      <c r="AL280" s="652">
        <f t="shared" ca="1" si="195"/>
        <v>1542779.0418135645</v>
      </c>
      <c r="AM280" s="652">
        <f t="shared" ca="1" si="195"/>
        <v>1883659.3900361974</v>
      </c>
      <c r="AN280" s="652">
        <f t="shared" ca="1" si="195"/>
        <v>2334908.5110271676</v>
      </c>
      <c r="AO280" s="652">
        <f t="shared" ca="1" si="195"/>
        <v>2334908.5110271676</v>
      </c>
      <c r="AP280" s="652">
        <f t="shared" ca="1" si="195"/>
        <v>2334908.5110271676</v>
      </c>
      <c r="AQ280" s="652">
        <f t="shared" ca="1" si="195"/>
        <v>0</v>
      </c>
      <c r="AR280" s="652">
        <f t="shared" ca="1" si="195"/>
        <v>98.531714300877667</v>
      </c>
      <c r="AS280" s="652">
        <f t="shared" ca="1" si="195"/>
        <v>126.48404781650807</v>
      </c>
      <c r="AT280" s="652">
        <f t="shared" ca="1" si="195"/>
        <v>154.57954043246318</v>
      </c>
      <c r="AU280" s="652">
        <f t="shared" ca="1" si="195"/>
        <v>191.79385170357875</v>
      </c>
      <c r="AV280" s="652">
        <f t="shared" ca="1" si="196"/>
        <v>191.79385170357875</v>
      </c>
      <c r="AW280" s="652">
        <f t="shared" ca="1" si="196"/>
        <v>191.79385170357875</v>
      </c>
      <c r="AX280" s="652">
        <f t="shared" ca="1" si="196"/>
        <v>0</v>
      </c>
      <c r="AY280" s="652">
        <f t="shared" ca="1" si="196"/>
        <v>7967.580807328949</v>
      </c>
      <c r="AZ280" s="652">
        <f t="shared" ca="1" si="196"/>
        <v>11944.491097695392</v>
      </c>
      <c r="BA280" s="652">
        <f t="shared" ca="1" si="196"/>
        <v>15931.903152580158</v>
      </c>
      <c r="BB280" s="652">
        <f t="shared" ca="1" si="196"/>
        <v>19930.342060209161</v>
      </c>
      <c r="BC280" s="652">
        <f t="shared" ca="1" si="196"/>
        <v>4862.8420602091801</v>
      </c>
      <c r="BD280" s="652">
        <f t="shared" ca="1" si="196"/>
        <v>4862.8420602091801</v>
      </c>
      <c r="BE280" s="652"/>
      <c r="BF280" s="652"/>
      <c r="BG280" s="652"/>
      <c r="BH280" s="652"/>
      <c r="BI280" s="652"/>
      <c r="BJ280" s="652"/>
      <c r="BK280" s="652"/>
      <c r="BL280" s="652"/>
      <c r="BM280" s="652"/>
      <c r="BN280" s="652"/>
      <c r="BO280" s="652"/>
      <c r="BP280" s="652"/>
      <c r="BQ280" s="652"/>
      <c r="BR280" s="652">
        <f t="shared" ca="1" si="197"/>
        <v>16130.71875</v>
      </c>
      <c r="BS280" s="652">
        <f t="shared" ca="1" si="197"/>
        <v>4928324</v>
      </c>
      <c r="BT280" s="652">
        <f t="shared" ca="1" si="197"/>
        <v>0</v>
      </c>
      <c r="BU280" s="652">
        <f t="shared" ca="1" si="197"/>
        <v>2789700</v>
      </c>
      <c r="BV280" s="652"/>
      <c r="BW280" s="652">
        <f t="shared" ca="1" si="198"/>
        <v>11635097.081208386</v>
      </c>
      <c r="BX280" s="652">
        <f t="shared" ca="1" si="198"/>
        <v>954.97685766058498</v>
      </c>
      <c r="BY280" s="652">
        <f t="shared" ca="1" si="198"/>
        <v>65500.00123823202</v>
      </c>
    </row>
    <row r="281" spans="1:77" ht="14.5">
      <c r="D281"/>
      <c r="E281" s="660" t="str">
        <f>"LG&amp;E"&amp;F281</f>
        <v>LG&amp;EBYOT &amp; BYOD</v>
      </c>
      <c r="F281" s="662" t="s">
        <v>62</v>
      </c>
      <c r="G281" s="660" t="s">
        <v>146</v>
      </c>
      <c r="H281" s="652">
        <f t="shared" ca="1" si="192"/>
        <v>1750</v>
      </c>
      <c r="I281" s="652">
        <f t="shared" ca="1" si="192"/>
        <v>3600</v>
      </c>
      <c r="J281" s="652">
        <f t="shared" ca="1" si="192"/>
        <v>7160</v>
      </c>
      <c r="K281" s="652">
        <f t="shared" ca="1" si="192"/>
        <v>12494.2</v>
      </c>
      <c r="L281" s="652">
        <f t="shared" ca="1" si="192"/>
        <v>20014.900000000001</v>
      </c>
      <c r="M281" s="652">
        <f t="shared" ca="1" si="192"/>
        <v>27539.35</v>
      </c>
      <c r="N281" s="652">
        <f t="shared" ca="1" si="192"/>
        <v>35069.425000000003</v>
      </c>
      <c r="O281" s="652">
        <f t="shared" ca="1" si="192"/>
        <v>0</v>
      </c>
      <c r="P281" s="652">
        <f t="shared" ca="1" si="192"/>
        <v>0</v>
      </c>
      <c r="Q281" s="652">
        <f t="shared" ca="1" si="192"/>
        <v>0</v>
      </c>
      <c r="R281" s="652">
        <f t="shared" ca="1" si="193"/>
        <v>0</v>
      </c>
      <c r="S281" s="652">
        <f t="shared" ca="1" si="193"/>
        <v>0</v>
      </c>
      <c r="T281" s="652">
        <f t="shared" ca="1" si="193"/>
        <v>0</v>
      </c>
      <c r="U281" s="652">
        <f t="shared" ca="1" si="193"/>
        <v>0</v>
      </c>
      <c r="V281" s="652">
        <f t="shared" ca="1" si="193"/>
        <v>0</v>
      </c>
      <c r="W281" s="652">
        <f t="shared" ca="1" si="193"/>
        <v>0</v>
      </c>
      <c r="X281" s="652">
        <f t="shared" ca="1" si="193"/>
        <v>0</v>
      </c>
      <c r="Y281" s="652">
        <f t="shared" ca="1" si="193"/>
        <v>0</v>
      </c>
      <c r="Z281" s="652">
        <f t="shared" ca="1" si="193"/>
        <v>0</v>
      </c>
      <c r="AA281" s="652">
        <f t="shared" ca="1" si="193"/>
        <v>0</v>
      </c>
      <c r="AB281" s="652">
        <f t="shared" ca="1" si="194"/>
        <v>0</v>
      </c>
      <c r="AC281" s="652">
        <f t="shared" ca="1" si="194"/>
        <v>294000</v>
      </c>
      <c r="AD281" s="652">
        <f t="shared" ca="1" si="194"/>
        <v>536000</v>
      </c>
      <c r="AE281" s="652">
        <f t="shared" ca="1" si="194"/>
        <v>1078375</v>
      </c>
      <c r="AF281" s="652">
        <f t="shared" ca="1" si="194"/>
        <v>1860526.5</v>
      </c>
      <c r="AG281" s="652">
        <f t="shared" ca="1" si="194"/>
        <v>2929251.75</v>
      </c>
      <c r="AH281" s="652">
        <f t="shared" ca="1" si="194"/>
        <v>3907742.625</v>
      </c>
      <c r="AI281" s="652">
        <f t="shared" ca="1" si="194"/>
        <v>4887381.9375</v>
      </c>
      <c r="AJ281" s="652">
        <f t="shared" ca="1" si="194"/>
        <v>0</v>
      </c>
      <c r="AK281" s="652">
        <f t="shared" ca="1" si="194"/>
        <v>0</v>
      </c>
      <c r="AL281" s="652">
        <f t="shared" ca="1" si="195"/>
        <v>0</v>
      </c>
      <c r="AM281" s="652">
        <f t="shared" ca="1" si="195"/>
        <v>0</v>
      </c>
      <c r="AN281" s="652">
        <f t="shared" ca="1" si="195"/>
        <v>0</v>
      </c>
      <c r="AO281" s="652">
        <f t="shared" ca="1" si="195"/>
        <v>0</v>
      </c>
      <c r="AP281" s="652">
        <f t="shared" ca="1" si="195"/>
        <v>0</v>
      </c>
      <c r="AQ281" s="652">
        <f t="shared" ca="1" si="195"/>
        <v>881.52985074626883</v>
      </c>
      <c r="AR281" s="652">
        <f t="shared" ca="1" si="195"/>
        <v>1811.0341151385928</v>
      </c>
      <c r="AS281" s="652">
        <f t="shared" ca="1" si="195"/>
        <v>3769.6194029850749</v>
      </c>
      <c r="AT281" s="652">
        <f t="shared" ca="1" si="195"/>
        <v>6601.8374200426442</v>
      </c>
      <c r="AU281" s="652">
        <f t="shared" ca="1" si="195"/>
        <v>10471.210554371002</v>
      </c>
      <c r="AV281" s="652">
        <f t="shared" ca="1" si="196"/>
        <v>14342.458688699362</v>
      </c>
      <c r="AW281" s="652">
        <f t="shared" ca="1" si="196"/>
        <v>18216.519323027718</v>
      </c>
      <c r="AX281" s="652">
        <f t="shared" ca="1" si="196"/>
        <v>0</v>
      </c>
      <c r="AY281" s="652">
        <f t="shared" ca="1" si="196"/>
        <v>0</v>
      </c>
      <c r="AZ281" s="652">
        <f t="shared" ca="1" si="196"/>
        <v>0</v>
      </c>
      <c r="BA281" s="652">
        <f t="shared" ca="1" si="196"/>
        <v>0</v>
      </c>
      <c r="BB281" s="652">
        <f t="shared" ca="1" si="196"/>
        <v>0</v>
      </c>
      <c r="BC281" s="652">
        <f t="shared" ca="1" si="196"/>
        <v>0</v>
      </c>
      <c r="BD281" s="652">
        <f t="shared" ca="1" si="196"/>
        <v>0</v>
      </c>
      <c r="BE281" s="652"/>
      <c r="BF281" s="652"/>
      <c r="BG281" s="652"/>
      <c r="BH281" s="652"/>
      <c r="BI281" s="652"/>
      <c r="BJ281" s="652"/>
      <c r="BK281" s="652"/>
      <c r="BL281" s="652"/>
      <c r="BM281" s="652"/>
      <c r="BN281" s="652"/>
      <c r="BO281" s="652"/>
      <c r="BP281" s="652"/>
      <c r="BQ281" s="652"/>
      <c r="BR281" s="652">
        <f t="shared" ca="1" si="197"/>
        <v>107627.875</v>
      </c>
      <c r="BS281" s="652">
        <f t="shared" ca="1" si="197"/>
        <v>0</v>
      </c>
      <c r="BT281" s="652">
        <f t="shared" ca="1" si="197"/>
        <v>0</v>
      </c>
      <c r="BU281" s="652">
        <f t="shared" ca="1" si="197"/>
        <v>15493277.8125</v>
      </c>
      <c r="BV281" s="652"/>
      <c r="BW281" s="652">
        <f t="shared" ca="1" si="198"/>
        <v>0</v>
      </c>
      <c r="BX281" s="652">
        <f t="shared" ca="1" si="198"/>
        <v>18216.519323027718</v>
      </c>
      <c r="BY281" s="652">
        <f t="shared" ca="1" si="198"/>
        <v>0</v>
      </c>
    </row>
    <row r="282" spans="1:77" ht="14.5">
      <c r="D282"/>
      <c r="E282" s="660" t="str">
        <f>"LG&amp;E"&amp;F282</f>
        <v>LG&amp;EBusiness Rebates</v>
      </c>
      <c r="F282" s="662" t="s">
        <v>63</v>
      </c>
      <c r="G282" s="660" t="s">
        <v>146</v>
      </c>
      <c r="H282" s="652">
        <f t="shared" ca="1" si="192"/>
        <v>5345606</v>
      </c>
      <c r="I282" s="652">
        <f t="shared" ca="1" si="192"/>
        <v>8345606.5</v>
      </c>
      <c r="J282" s="652">
        <f t="shared" ca="1" si="192"/>
        <v>12228722.779999999</v>
      </c>
      <c r="K282" s="652">
        <f t="shared" ca="1" si="192"/>
        <v>12191810.5</v>
      </c>
      <c r="L282" s="652">
        <f t="shared" ca="1" si="192"/>
        <v>12191812</v>
      </c>
      <c r="M282" s="652">
        <f t="shared" ca="1" si="192"/>
        <v>12191811.5</v>
      </c>
      <c r="N282" s="652">
        <f t="shared" ca="1" si="192"/>
        <v>12191811</v>
      </c>
      <c r="O282" s="652">
        <f t="shared" ca="1" si="192"/>
        <v>11235771.728673538</v>
      </c>
      <c r="P282" s="652">
        <f t="shared" ca="1" si="192"/>
        <v>11896723.177394055</v>
      </c>
      <c r="Q282" s="652">
        <f t="shared" ca="1" si="192"/>
        <v>5850700.0133257955</v>
      </c>
      <c r="R282" s="652">
        <f t="shared" ca="1" si="193"/>
        <v>3616379.225286711</v>
      </c>
      <c r="S282" s="652">
        <f t="shared" ca="1" si="193"/>
        <v>3632264.712096232</v>
      </c>
      <c r="T282" s="652">
        <f t="shared" ca="1" si="193"/>
        <v>3643448.1371447863</v>
      </c>
      <c r="U282" s="652">
        <f t="shared" ca="1" si="193"/>
        <v>3625614.373796293</v>
      </c>
      <c r="V282" s="652">
        <f t="shared" ca="1" si="193"/>
        <v>-13970.579833333333</v>
      </c>
      <c r="W282" s="652">
        <f t="shared" ca="1" si="193"/>
        <v>-13970.579833333333</v>
      </c>
      <c r="X282" s="652">
        <f t="shared" ca="1" si="193"/>
        <v>-4106.8990599999997</v>
      </c>
      <c r="Y282" s="652">
        <f t="shared" ca="1" si="193"/>
        <v>-992.0524999999999</v>
      </c>
      <c r="Z282" s="652">
        <f t="shared" ca="1" si="193"/>
        <v>-992.0524999999999</v>
      </c>
      <c r="AA282" s="652">
        <f t="shared" ca="1" si="193"/>
        <v>-992.0524999999999</v>
      </c>
      <c r="AB282" s="652">
        <f t="shared" ca="1" si="194"/>
        <v>-992.0524999999999</v>
      </c>
      <c r="AC282" s="652">
        <f t="shared" ca="1" si="194"/>
        <v>1584565.1077591642</v>
      </c>
      <c r="AD282" s="652">
        <f t="shared" ca="1" si="194"/>
        <v>1836531.2116289483</v>
      </c>
      <c r="AE282" s="652">
        <f t="shared" ca="1" si="194"/>
        <v>1366675.5701219935</v>
      </c>
      <c r="AF282" s="652">
        <f t="shared" ca="1" si="194"/>
        <v>1100533.5351219936</v>
      </c>
      <c r="AG282" s="652">
        <f t="shared" ca="1" si="194"/>
        <v>1104878.1701219936</v>
      </c>
      <c r="AH282" s="652">
        <f t="shared" ca="1" si="194"/>
        <v>1107328.1701219936</v>
      </c>
      <c r="AI282" s="652">
        <f t="shared" ca="1" si="194"/>
        <v>1102933.5351219936</v>
      </c>
      <c r="AJ282" s="652">
        <f t="shared" ca="1" si="194"/>
        <v>43748573.09886492</v>
      </c>
      <c r="AK282" s="652">
        <f t="shared" ca="1" si="194"/>
        <v>46755622.71541591</v>
      </c>
      <c r="AL282" s="652">
        <f t="shared" ca="1" si="195"/>
        <v>22933882.992095597</v>
      </c>
      <c r="AM282" s="652">
        <f t="shared" ca="1" si="195"/>
        <v>13965308.835651968</v>
      </c>
      <c r="AN282" s="652">
        <f t="shared" ca="1" si="195"/>
        <v>14072639.143932378</v>
      </c>
      <c r="AO282" s="652">
        <f t="shared" ca="1" si="195"/>
        <v>14067795.197854863</v>
      </c>
      <c r="AP282" s="652">
        <f t="shared" ca="1" si="195"/>
        <v>14015449.181516679</v>
      </c>
      <c r="AQ282" s="652">
        <f t="shared" ca="1" si="195"/>
        <v>8874.0389429849765</v>
      </c>
      <c r="AR282" s="652">
        <f t="shared" ca="1" si="195"/>
        <v>9679.6399085602352</v>
      </c>
      <c r="AS282" s="652">
        <f t="shared" ca="1" si="195"/>
        <v>5355.5105977472758</v>
      </c>
      <c r="AT282" s="652">
        <f t="shared" ca="1" si="195"/>
        <v>3620.4850070400689</v>
      </c>
      <c r="AU282" s="652">
        <f t="shared" ca="1" si="195"/>
        <v>3633.4801819749168</v>
      </c>
      <c r="AV282" s="652">
        <f t="shared" ca="1" si="196"/>
        <v>3625.6389546545602</v>
      </c>
      <c r="AW282" s="652">
        <f t="shared" ca="1" si="196"/>
        <v>3633.8679871990007</v>
      </c>
      <c r="AX282" s="652">
        <f t="shared" ca="1" si="196"/>
        <v>2781.84</v>
      </c>
      <c r="AY282" s="652">
        <f t="shared" ca="1" si="196"/>
        <v>3179.2449999999999</v>
      </c>
      <c r="AZ282" s="652">
        <f t="shared" ca="1" si="196"/>
        <v>4768.87</v>
      </c>
      <c r="BA282" s="652">
        <f t="shared" ca="1" si="196"/>
        <v>2185.73</v>
      </c>
      <c r="BB282" s="652">
        <f t="shared" ca="1" si="196"/>
        <v>3775.355</v>
      </c>
      <c r="BC282" s="652">
        <f t="shared" ca="1" si="196"/>
        <v>4172.76</v>
      </c>
      <c r="BD282" s="652">
        <f t="shared" ca="1" si="196"/>
        <v>2781.84</v>
      </c>
      <c r="BE282" s="652"/>
      <c r="BF282" s="652"/>
      <c r="BG282" s="652"/>
      <c r="BH282" s="652"/>
      <c r="BI282" s="652"/>
      <c r="BJ282" s="652"/>
      <c r="BK282" s="652"/>
      <c r="BL282" s="652"/>
      <c r="BM282" s="652"/>
      <c r="BN282" s="652"/>
      <c r="BO282" s="652"/>
      <c r="BP282" s="652"/>
      <c r="BQ282" s="652"/>
      <c r="BR282" s="652">
        <f t="shared" ca="1" si="197"/>
        <v>74687180.280000001</v>
      </c>
      <c r="BS282" s="652">
        <f t="shared" ca="1" si="197"/>
        <v>43500901.367717423</v>
      </c>
      <c r="BT282" s="652">
        <f t="shared" ca="1" si="197"/>
        <v>-36016.268726666662</v>
      </c>
      <c r="BU282" s="652">
        <f t="shared" ca="1" si="197"/>
        <v>9203445.2999980804</v>
      </c>
      <c r="BV282" s="652"/>
      <c r="BW282" s="652">
        <f t="shared" ca="1" si="198"/>
        <v>169559271.16533229</v>
      </c>
      <c r="BX282" s="652">
        <f t="shared" ca="1" si="198"/>
        <v>38422.661580161031</v>
      </c>
      <c r="BY282" s="652">
        <f t="shared" ca="1" si="198"/>
        <v>23645.64</v>
      </c>
    </row>
    <row r="283" spans="1:77" ht="14.5">
      <c r="D283"/>
      <c r="E283" s="660" t="str">
        <f t="shared" ref="E283:E284" si="201">"LG&amp;E"&amp;F283</f>
        <v>LG&amp;ESmall Business - Audit &amp; DI</v>
      </c>
      <c r="F283" s="662" t="s">
        <v>64</v>
      </c>
      <c r="G283" s="660" t="s">
        <v>146</v>
      </c>
      <c r="H283" s="652">
        <f t="shared" ca="1" si="192"/>
        <v>1465.25</v>
      </c>
      <c r="I283" s="652">
        <f t="shared" ca="1" si="192"/>
        <v>2930.5</v>
      </c>
      <c r="J283" s="652">
        <f t="shared" ca="1" si="192"/>
        <v>2930.5</v>
      </c>
      <c r="K283" s="652">
        <f t="shared" ca="1" si="192"/>
        <v>2930.5</v>
      </c>
      <c r="L283" s="652">
        <f t="shared" ca="1" si="192"/>
        <v>2930.5</v>
      </c>
      <c r="M283" s="652">
        <f t="shared" ca="1" si="192"/>
        <v>2930.5</v>
      </c>
      <c r="N283" s="652">
        <f t="shared" ca="1" si="192"/>
        <v>2930.5</v>
      </c>
      <c r="O283" s="652">
        <f t="shared" ca="1" si="192"/>
        <v>0</v>
      </c>
      <c r="P283" s="652">
        <f t="shared" ca="1" si="192"/>
        <v>0</v>
      </c>
      <c r="Q283" s="652">
        <f t="shared" ca="1" si="192"/>
        <v>0</v>
      </c>
      <c r="R283" s="652">
        <f t="shared" ca="1" si="193"/>
        <v>0</v>
      </c>
      <c r="S283" s="652">
        <f t="shared" ca="1" si="193"/>
        <v>0</v>
      </c>
      <c r="T283" s="652">
        <f t="shared" ca="1" si="193"/>
        <v>0</v>
      </c>
      <c r="U283" s="652">
        <f t="shared" ca="1" si="193"/>
        <v>0</v>
      </c>
      <c r="V283" s="652">
        <f t="shared" ca="1" si="193"/>
        <v>0</v>
      </c>
      <c r="W283" s="652">
        <f t="shared" ca="1" si="193"/>
        <v>0</v>
      </c>
      <c r="X283" s="652">
        <f t="shared" ca="1" si="193"/>
        <v>0</v>
      </c>
      <c r="Y283" s="652">
        <f t="shared" ca="1" si="193"/>
        <v>0</v>
      </c>
      <c r="Z283" s="652">
        <f t="shared" ca="1" si="193"/>
        <v>0</v>
      </c>
      <c r="AA283" s="652">
        <f t="shared" ca="1" si="193"/>
        <v>0</v>
      </c>
      <c r="AB283" s="652">
        <f t="shared" ca="1" si="194"/>
        <v>0</v>
      </c>
      <c r="AC283" s="652">
        <f t="shared" ca="1" si="194"/>
        <v>0</v>
      </c>
      <c r="AD283" s="652">
        <f t="shared" ca="1" si="194"/>
        <v>0</v>
      </c>
      <c r="AE283" s="652">
        <f t="shared" ca="1" si="194"/>
        <v>0</v>
      </c>
      <c r="AF283" s="652">
        <f t="shared" ca="1" si="194"/>
        <v>0</v>
      </c>
      <c r="AG283" s="652">
        <f t="shared" ca="1" si="194"/>
        <v>0</v>
      </c>
      <c r="AH283" s="652">
        <f t="shared" ca="1" si="194"/>
        <v>0</v>
      </c>
      <c r="AI283" s="652">
        <f t="shared" ca="1" si="194"/>
        <v>0</v>
      </c>
      <c r="AJ283" s="652">
        <f t="shared" ca="1" si="194"/>
        <v>109132.14681099761</v>
      </c>
      <c r="AK283" s="652">
        <f t="shared" ca="1" si="194"/>
        <v>218264.29362199522</v>
      </c>
      <c r="AL283" s="652">
        <f t="shared" ca="1" si="195"/>
        <v>218264.29362199522</v>
      </c>
      <c r="AM283" s="652">
        <f t="shared" ca="1" si="195"/>
        <v>218264.29362199522</v>
      </c>
      <c r="AN283" s="652">
        <f t="shared" ca="1" si="195"/>
        <v>218264.29362199522</v>
      </c>
      <c r="AO283" s="652">
        <f t="shared" ca="1" si="195"/>
        <v>218264.29362199522</v>
      </c>
      <c r="AP283" s="652">
        <f t="shared" ca="1" si="195"/>
        <v>218264.29362199522</v>
      </c>
      <c r="AQ283" s="652">
        <f t="shared" ca="1" si="195"/>
        <v>29.120330860792421</v>
      </c>
      <c r="AR283" s="652">
        <f t="shared" ca="1" si="195"/>
        <v>58.240661721584843</v>
      </c>
      <c r="AS283" s="652">
        <f t="shared" ca="1" si="195"/>
        <v>58.240661721584843</v>
      </c>
      <c r="AT283" s="652">
        <f t="shared" ca="1" si="195"/>
        <v>58.240661721584843</v>
      </c>
      <c r="AU283" s="652">
        <f t="shared" ca="1" si="195"/>
        <v>58.240661721584843</v>
      </c>
      <c r="AV283" s="652">
        <f t="shared" ca="1" si="196"/>
        <v>58.240661721584843</v>
      </c>
      <c r="AW283" s="652">
        <f t="shared" ca="1" si="196"/>
        <v>58.240661721584843</v>
      </c>
      <c r="AX283" s="652">
        <f t="shared" ca="1" si="196"/>
        <v>166.32362130934936</v>
      </c>
      <c r="AY283" s="652">
        <f t="shared" ca="1" si="196"/>
        <v>332.64724261869873</v>
      </c>
      <c r="AZ283" s="652">
        <f t="shared" ca="1" si="196"/>
        <v>332.64724261869873</v>
      </c>
      <c r="BA283" s="652">
        <f t="shared" ca="1" si="196"/>
        <v>332.64724261869873</v>
      </c>
      <c r="BB283" s="652">
        <f t="shared" ca="1" si="196"/>
        <v>332.64724261869873</v>
      </c>
      <c r="BC283" s="652">
        <f t="shared" ca="1" si="196"/>
        <v>332.64724261869873</v>
      </c>
      <c r="BD283" s="652">
        <f t="shared" ca="1" si="196"/>
        <v>332.64724261869873</v>
      </c>
      <c r="BE283" s="652"/>
      <c r="BF283" s="652"/>
      <c r="BG283" s="652"/>
      <c r="BH283" s="652"/>
      <c r="BI283" s="652"/>
      <c r="BJ283" s="652"/>
      <c r="BK283" s="652"/>
      <c r="BL283" s="652"/>
      <c r="BM283" s="652"/>
      <c r="BN283" s="652"/>
      <c r="BO283" s="652"/>
      <c r="BP283" s="652"/>
      <c r="BQ283" s="652"/>
      <c r="BR283" s="652">
        <f t="shared" ca="1" si="197"/>
        <v>19048.25</v>
      </c>
      <c r="BS283" s="652">
        <f t="shared" ca="1" si="197"/>
        <v>0</v>
      </c>
      <c r="BT283" s="652">
        <f t="shared" ca="1" si="197"/>
        <v>0</v>
      </c>
      <c r="BU283" s="652">
        <f t="shared" ca="1" si="197"/>
        <v>0</v>
      </c>
      <c r="BV283" s="652"/>
      <c r="BW283" s="652">
        <f t="shared" ca="1" si="198"/>
        <v>1418717.9085429693</v>
      </c>
      <c r="BX283" s="652">
        <f t="shared" ca="1" si="198"/>
        <v>378.56430119030142</v>
      </c>
      <c r="BY283" s="652">
        <f t="shared" ca="1" si="198"/>
        <v>2162.2070770215414</v>
      </c>
    </row>
    <row r="284" spans="1:77" ht="14.5">
      <c r="D284"/>
      <c r="E284" s="660" t="str">
        <f t="shared" si="201"/>
        <v>LG&amp;EResidential Demand Conservation</v>
      </c>
      <c r="F284" s="662" t="s">
        <v>4</v>
      </c>
      <c r="G284" s="660" t="s">
        <v>146</v>
      </c>
      <c r="H284" s="652">
        <f t="shared" ca="1" si="192"/>
        <v>88530</v>
      </c>
      <c r="I284" s="652">
        <f t="shared" ca="1" si="192"/>
        <v>79614</v>
      </c>
      <c r="J284" s="652">
        <f t="shared" ca="1" si="192"/>
        <v>71500</v>
      </c>
      <c r="K284" s="652">
        <f t="shared" ca="1" si="192"/>
        <v>64200</v>
      </c>
      <c r="L284" s="652">
        <f t="shared" ca="1" si="192"/>
        <v>57650</v>
      </c>
      <c r="M284" s="652">
        <f t="shared" ca="1" si="192"/>
        <v>51800</v>
      </c>
      <c r="N284" s="652">
        <f t="shared" ca="1" si="192"/>
        <v>46550</v>
      </c>
      <c r="O284" s="652">
        <f t="shared" ca="1" si="192"/>
        <v>0</v>
      </c>
      <c r="P284" s="652">
        <f t="shared" ca="1" si="192"/>
        <v>0</v>
      </c>
      <c r="Q284" s="652">
        <f t="shared" ca="1" si="192"/>
        <v>0</v>
      </c>
      <c r="R284" s="652">
        <f t="shared" ca="1" si="193"/>
        <v>0</v>
      </c>
      <c r="S284" s="652">
        <f t="shared" ca="1" si="193"/>
        <v>0</v>
      </c>
      <c r="T284" s="652">
        <f t="shared" ca="1" si="193"/>
        <v>0</v>
      </c>
      <c r="U284" s="652">
        <f t="shared" ca="1" si="193"/>
        <v>0</v>
      </c>
      <c r="V284" s="652">
        <f t="shared" ca="1" si="193"/>
        <v>0</v>
      </c>
      <c r="W284" s="652">
        <f t="shared" ca="1" si="193"/>
        <v>0</v>
      </c>
      <c r="X284" s="652">
        <f t="shared" ca="1" si="193"/>
        <v>0</v>
      </c>
      <c r="Y284" s="652">
        <f t="shared" ca="1" si="193"/>
        <v>0</v>
      </c>
      <c r="Z284" s="652">
        <f t="shared" ca="1" si="193"/>
        <v>0</v>
      </c>
      <c r="AA284" s="652">
        <f t="shared" ca="1" si="193"/>
        <v>0</v>
      </c>
      <c r="AB284" s="652">
        <f t="shared" ca="1" si="194"/>
        <v>0</v>
      </c>
      <c r="AC284" s="652">
        <f t="shared" ca="1" si="194"/>
        <v>1167742.545101529</v>
      </c>
      <c r="AD284" s="652">
        <f t="shared" ca="1" si="194"/>
        <v>1049024.3507806812</v>
      </c>
      <c r="AE284" s="652">
        <f t="shared" ca="1" si="194"/>
        <v>938106.15645983338</v>
      </c>
      <c r="AF284" s="652">
        <f t="shared" ca="1" si="194"/>
        <v>1715837.9621389855</v>
      </c>
      <c r="AG284" s="652">
        <f t="shared" ca="1" si="194"/>
        <v>5484109.1659250874</v>
      </c>
      <c r="AH284" s="652">
        <f t="shared" ca="1" si="194"/>
        <v>4928430.3697111886</v>
      </c>
      <c r="AI284" s="652">
        <f t="shared" ca="1" si="194"/>
        <v>4430751.5734972898</v>
      </c>
      <c r="AJ284" s="652">
        <f t="shared" ca="1" si="194"/>
        <v>0</v>
      </c>
      <c r="AK284" s="652">
        <f t="shared" ca="1" si="194"/>
        <v>0</v>
      </c>
      <c r="AL284" s="652">
        <f t="shared" ca="1" si="195"/>
        <v>0</v>
      </c>
      <c r="AM284" s="652">
        <f t="shared" ca="1" si="195"/>
        <v>0</v>
      </c>
      <c r="AN284" s="652">
        <f t="shared" ca="1" si="195"/>
        <v>0</v>
      </c>
      <c r="AO284" s="652">
        <f t="shared" ca="1" si="195"/>
        <v>0</v>
      </c>
      <c r="AP284" s="652">
        <f t="shared" ca="1" si="195"/>
        <v>0</v>
      </c>
      <c r="AQ284" s="652">
        <f t="shared" ca="1" si="195"/>
        <v>62067.5</v>
      </c>
      <c r="AR284" s="652">
        <f t="shared" ca="1" si="195"/>
        <v>55817.599999999999</v>
      </c>
      <c r="AS284" s="652">
        <f t="shared" ca="1" si="195"/>
        <v>50128.5</v>
      </c>
      <c r="AT284" s="652">
        <f t="shared" ca="1" si="195"/>
        <v>45005</v>
      </c>
      <c r="AU284" s="652">
        <f t="shared" ca="1" si="195"/>
        <v>40436</v>
      </c>
      <c r="AV284" s="652">
        <f t="shared" ca="1" si="196"/>
        <v>36327</v>
      </c>
      <c r="AW284" s="652">
        <f t="shared" ca="1" si="196"/>
        <v>32638</v>
      </c>
      <c r="AX284" s="652">
        <f t="shared" ca="1" si="196"/>
        <v>0</v>
      </c>
      <c r="AY284" s="652">
        <f t="shared" ca="1" si="196"/>
        <v>0</v>
      </c>
      <c r="AZ284" s="652">
        <f t="shared" ca="1" si="196"/>
        <v>0</v>
      </c>
      <c r="BA284" s="652">
        <f t="shared" ca="1" si="196"/>
        <v>0</v>
      </c>
      <c r="BB284" s="652">
        <f t="shared" ca="1" si="196"/>
        <v>0</v>
      </c>
      <c r="BC284" s="652">
        <f t="shared" ca="1" si="196"/>
        <v>0</v>
      </c>
      <c r="BD284" s="652">
        <f t="shared" ca="1" si="196"/>
        <v>0</v>
      </c>
      <c r="BE284" s="652"/>
      <c r="BF284" s="652"/>
      <c r="BG284" s="652"/>
      <c r="BH284" s="652"/>
      <c r="BI284" s="652"/>
      <c r="BJ284" s="652"/>
      <c r="BK284" s="652"/>
      <c r="BL284" s="652"/>
      <c r="BM284" s="652"/>
      <c r="BN284" s="652"/>
      <c r="BO284" s="652"/>
      <c r="BP284" s="652"/>
      <c r="BQ284" s="652"/>
      <c r="BR284" s="652">
        <f t="shared" ca="1" si="197"/>
        <v>459844</v>
      </c>
      <c r="BS284" s="652">
        <f t="shared" ca="1" si="197"/>
        <v>0</v>
      </c>
      <c r="BT284" s="652">
        <f t="shared" ca="1" si="197"/>
        <v>0</v>
      </c>
      <c r="BU284" s="652">
        <f t="shared" ca="1" si="197"/>
        <v>19714002.123614594</v>
      </c>
      <c r="BV284" s="652"/>
      <c r="BW284" s="652">
        <f t="shared" ca="1" si="198"/>
        <v>0</v>
      </c>
      <c r="BX284" s="652">
        <f t="shared" ca="1" si="198"/>
        <v>62067.5</v>
      </c>
      <c r="BY284" s="652">
        <f t="shared" ca="1" si="198"/>
        <v>0</v>
      </c>
    </row>
    <row r="285" spans="1:77" ht="14.5">
      <c r="D285"/>
      <c r="E285" s="660" t="str">
        <f>"LG&amp;E"&amp;F285</f>
        <v>LG&amp;ELarge Nonres Demand Con.</v>
      </c>
      <c r="F285" s="662" t="s">
        <v>65</v>
      </c>
      <c r="G285" s="660" t="s">
        <v>146</v>
      </c>
      <c r="H285" s="652">
        <f t="shared" ca="1" si="192"/>
        <v>106.43257950281924</v>
      </c>
      <c r="I285" s="652">
        <f t="shared" ca="1" si="192"/>
        <v>133.57184207121639</v>
      </c>
      <c r="J285" s="652">
        <f t="shared" ca="1" si="192"/>
        <v>164.30090450104825</v>
      </c>
      <c r="K285" s="652">
        <f t="shared" ca="1" si="192"/>
        <v>204.80311335695447</v>
      </c>
      <c r="L285" s="652">
        <f t="shared" ca="1" si="192"/>
        <v>246.692311035421</v>
      </c>
      <c r="M285" s="652">
        <f t="shared" ca="1" si="192"/>
        <v>289.1696272259137</v>
      </c>
      <c r="N285" s="652">
        <f t="shared" ca="1" si="192"/>
        <v>289.1696272259137</v>
      </c>
      <c r="O285" s="652">
        <f t="shared" ca="1" si="192"/>
        <v>814557.30485918536</v>
      </c>
      <c r="P285" s="652">
        <f t="shared" ca="1" si="192"/>
        <v>1022261.4183632068</v>
      </c>
      <c r="Q285" s="652">
        <f t="shared" ca="1" si="192"/>
        <v>1257439.2407050063</v>
      </c>
      <c r="R285" s="652">
        <f t="shared" ca="1" si="193"/>
        <v>1567413.5948043256</v>
      </c>
      <c r="S285" s="652">
        <f t="shared" ca="1" si="193"/>
        <v>1888002.9493335139</v>
      </c>
      <c r="T285" s="652">
        <f t="shared" ca="1" si="193"/>
        <v>2213093.3338323943</v>
      </c>
      <c r="U285" s="652">
        <f t="shared" ca="1" si="193"/>
        <v>2213093.3338323943</v>
      </c>
      <c r="V285" s="652">
        <f t="shared" ca="1" si="193"/>
        <v>0</v>
      </c>
      <c r="W285" s="652">
        <f t="shared" ca="1" si="193"/>
        <v>0</v>
      </c>
      <c r="X285" s="652">
        <f t="shared" ca="1" si="193"/>
        <v>0</v>
      </c>
      <c r="Y285" s="652">
        <f t="shared" ca="1" si="193"/>
        <v>0</v>
      </c>
      <c r="Z285" s="652">
        <f t="shared" ca="1" si="193"/>
        <v>0</v>
      </c>
      <c r="AA285" s="652">
        <f t="shared" ca="1" si="193"/>
        <v>0</v>
      </c>
      <c r="AB285" s="652">
        <f t="shared" ca="1" si="194"/>
        <v>0</v>
      </c>
      <c r="AC285" s="652">
        <f t="shared" ca="1" si="194"/>
        <v>1086076.406478914</v>
      </c>
      <c r="AD285" s="652">
        <f t="shared" ca="1" si="194"/>
        <v>1363015.2244842758</v>
      </c>
      <c r="AE285" s="652">
        <f t="shared" ca="1" si="194"/>
        <v>1676585.6542733419</v>
      </c>
      <c r="AF285" s="652">
        <f t="shared" ca="1" si="194"/>
        <v>2089884.7930724339</v>
      </c>
      <c r="AG285" s="652">
        <f t="shared" ca="1" si="194"/>
        <v>2517337.2657780182</v>
      </c>
      <c r="AH285" s="652">
        <f t="shared" ca="1" si="194"/>
        <v>2950791.1117765256</v>
      </c>
      <c r="AI285" s="652">
        <f t="shared" ca="1" si="194"/>
        <v>2950791.1117765256</v>
      </c>
      <c r="AJ285" s="652">
        <f t="shared" ca="1" si="194"/>
        <v>143934.13488233107</v>
      </c>
      <c r="AK285" s="652">
        <f t="shared" ca="1" si="194"/>
        <v>180635.92579423136</v>
      </c>
      <c r="AL285" s="652">
        <f t="shared" ca="1" si="195"/>
        <v>222192.38376268477</v>
      </c>
      <c r="AM285" s="652">
        <f t="shared" ca="1" si="195"/>
        <v>276965.5596053687</v>
      </c>
      <c r="AN285" s="652">
        <f t="shared" ca="1" si="195"/>
        <v>333614.43025127205</v>
      </c>
      <c r="AO285" s="652">
        <f t="shared" ca="1" si="195"/>
        <v>391058.64316579455</v>
      </c>
      <c r="AP285" s="652">
        <f t="shared" ca="1" si="195"/>
        <v>391058.64316579455</v>
      </c>
      <c r="AQ285" s="652">
        <f t="shared" ca="1" si="195"/>
        <v>14481.018753052183</v>
      </c>
      <c r="AR285" s="652">
        <f t="shared" ca="1" si="195"/>
        <v>18173.536326457011</v>
      </c>
      <c r="AS285" s="652">
        <f t="shared" ca="1" si="195"/>
        <v>22354.475390311225</v>
      </c>
      <c r="AT285" s="652">
        <f t="shared" ca="1" si="195"/>
        <v>27865.130574299117</v>
      </c>
      <c r="AU285" s="652">
        <f t="shared" ca="1" si="195"/>
        <v>33564.496877040241</v>
      </c>
      <c r="AV285" s="652">
        <f t="shared" ca="1" si="196"/>
        <v>39343.88149035367</v>
      </c>
      <c r="AW285" s="652">
        <f t="shared" ca="1" si="196"/>
        <v>39343.88149035367</v>
      </c>
      <c r="AX285" s="652">
        <f t="shared" ca="1" si="196"/>
        <v>0</v>
      </c>
      <c r="AY285" s="652">
        <f t="shared" ca="1" si="196"/>
        <v>0</v>
      </c>
      <c r="AZ285" s="652">
        <f t="shared" ca="1" si="196"/>
        <v>0</v>
      </c>
      <c r="BA285" s="652">
        <f t="shared" ca="1" si="196"/>
        <v>0</v>
      </c>
      <c r="BB285" s="652">
        <f t="shared" ca="1" si="196"/>
        <v>0</v>
      </c>
      <c r="BC285" s="652">
        <f t="shared" ca="1" si="196"/>
        <v>0</v>
      </c>
      <c r="BD285" s="652">
        <f t="shared" ca="1" si="196"/>
        <v>0</v>
      </c>
      <c r="BE285" s="652"/>
      <c r="BF285" s="652"/>
      <c r="BG285" s="652"/>
      <c r="BH285" s="652"/>
      <c r="BI285" s="652"/>
      <c r="BJ285" s="652"/>
      <c r="BK285" s="652"/>
      <c r="BL285" s="652"/>
      <c r="BM285" s="652"/>
      <c r="BN285" s="652"/>
      <c r="BO285" s="652"/>
      <c r="BP285" s="652"/>
      <c r="BQ285" s="652"/>
      <c r="BR285" s="652">
        <f t="shared" ca="1" si="197"/>
        <v>1434.1400049192869</v>
      </c>
      <c r="BS285" s="652">
        <f t="shared" ca="1" si="197"/>
        <v>10975861.175730027</v>
      </c>
      <c r="BT285" s="652">
        <f t="shared" ca="1" si="197"/>
        <v>0</v>
      </c>
      <c r="BU285" s="652">
        <f t="shared" ca="1" si="197"/>
        <v>14634481.567640034</v>
      </c>
      <c r="BV285" s="652"/>
      <c r="BW285" s="652">
        <f t="shared" ca="1" si="198"/>
        <v>391058.64316579455</v>
      </c>
      <c r="BX285" s="652">
        <f t="shared" ca="1" si="198"/>
        <v>39343.88149035367</v>
      </c>
      <c r="BY285" s="652">
        <f t="shared" ca="1" si="198"/>
        <v>0</v>
      </c>
    </row>
    <row r="286" spans="1:77" ht="14.5">
      <c r="D286"/>
      <c r="E286" s="660" t="str">
        <f>"LG&amp;E"&amp;F286</f>
        <v>LG&amp;EPeak Time Rebate</v>
      </c>
      <c r="F286" s="662" t="s">
        <v>66</v>
      </c>
      <c r="G286" s="660" t="s">
        <v>146</v>
      </c>
      <c r="H286" s="652">
        <f t="shared" ca="1" si="192"/>
        <v>0</v>
      </c>
      <c r="I286" s="652">
        <f t="shared" ca="1" si="192"/>
        <v>13000</v>
      </c>
      <c r="J286" s="652">
        <f t="shared" ca="1" si="192"/>
        <v>26000</v>
      </c>
      <c r="K286" s="652">
        <f t="shared" ca="1" si="192"/>
        <v>52000</v>
      </c>
      <c r="L286" s="652">
        <f t="shared" ca="1" si="192"/>
        <v>92500</v>
      </c>
      <c r="M286" s="652">
        <f t="shared" ca="1" si="192"/>
        <v>92500</v>
      </c>
      <c r="N286" s="652">
        <f t="shared" ca="1" si="192"/>
        <v>92500</v>
      </c>
      <c r="O286" s="652">
        <f t="shared" ca="1" si="192"/>
        <v>0</v>
      </c>
      <c r="P286" s="652">
        <f t="shared" ca="1" si="192"/>
        <v>0</v>
      </c>
      <c r="Q286" s="652">
        <f t="shared" ca="1" si="192"/>
        <v>0</v>
      </c>
      <c r="R286" s="652">
        <f t="shared" ca="1" si="193"/>
        <v>0</v>
      </c>
      <c r="S286" s="652">
        <f t="shared" ca="1" si="193"/>
        <v>0</v>
      </c>
      <c r="T286" s="652">
        <f t="shared" ca="1" si="193"/>
        <v>0</v>
      </c>
      <c r="U286" s="652">
        <f t="shared" ca="1" si="193"/>
        <v>0</v>
      </c>
      <c r="V286" s="652">
        <f t="shared" ca="1" si="193"/>
        <v>0</v>
      </c>
      <c r="W286" s="652">
        <f t="shared" ca="1" si="193"/>
        <v>0</v>
      </c>
      <c r="X286" s="652">
        <f t="shared" ca="1" si="193"/>
        <v>0</v>
      </c>
      <c r="Y286" s="652">
        <f t="shared" ca="1" si="193"/>
        <v>0</v>
      </c>
      <c r="Z286" s="652">
        <f t="shared" ca="1" si="193"/>
        <v>0</v>
      </c>
      <c r="AA286" s="652">
        <f t="shared" ca="1" si="193"/>
        <v>0</v>
      </c>
      <c r="AB286" s="652">
        <f t="shared" ca="1" si="194"/>
        <v>0</v>
      </c>
      <c r="AC286" s="652">
        <f t="shared" ca="1" si="194"/>
        <v>0</v>
      </c>
      <c r="AD286" s="652">
        <f t="shared" ca="1" si="194"/>
        <v>627881.04749413347</v>
      </c>
      <c r="AE286" s="652">
        <f t="shared" ca="1" si="194"/>
        <v>1255762.0949882669</v>
      </c>
      <c r="AF286" s="652">
        <f t="shared" ca="1" si="194"/>
        <v>2511524.1899765339</v>
      </c>
      <c r="AG286" s="652">
        <f t="shared" ca="1" si="194"/>
        <v>4467615.1456313347</v>
      </c>
      <c r="AH286" s="652">
        <f t="shared" ca="1" si="194"/>
        <v>4467615.1456313347</v>
      </c>
      <c r="AI286" s="652">
        <f t="shared" ca="1" si="194"/>
        <v>4467615.1456313347</v>
      </c>
      <c r="AJ286" s="652">
        <f t="shared" ca="1" si="194"/>
        <v>0</v>
      </c>
      <c r="AK286" s="652">
        <f t="shared" ca="1" si="194"/>
        <v>0</v>
      </c>
      <c r="AL286" s="652">
        <f t="shared" ca="1" si="195"/>
        <v>0</v>
      </c>
      <c r="AM286" s="652">
        <f t="shared" ca="1" si="195"/>
        <v>0</v>
      </c>
      <c r="AN286" s="652">
        <f t="shared" ca="1" si="195"/>
        <v>0</v>
      </c>
      <c r="AO286" s="652">
        <f t="shared" ca="1" si="195"/>
        <v>0</v>
      </c>
      <c r="AP286" s="652">
        <f t="shared" ca="1" si="195"/>
        <v>0</v>
      </c>
      <c r="AQ286" s="652">
        <f t="shared" ca="1" si="195"/>
        <v>0</v>
      </c>
      <c r="AR286" s="652">
        <f t="shared" ca="1" si="195"/>
        <v>2164.4052374706675</v>
      </c>
      <c r="AS286" s="652">
        <f t="shared" ca="1" si="195"/>
        <v>4328.8104749413351</v>
      </c>
      <c r="AT286" s="652">
        <f t="shared" ca="1" si="195"/>
        <v>8657.6209498826702</v>
      </c>
      <c r="AU286" s="652">
        <f t="shared" ca="1" si="195"/>
        <v>15400.575728156675</v>
      </c>
      <c r="AV286" s="652">
        <f t="shared" ca="1" si="196"/>
        <v>15400.575728156675</v>
      </c>
      <c r="AW286" s="652">
        <f t="shared" ca="1" si="196"/>
        <v>15400.575728156675</v>
      </c>
      <c r="AX286" s="652">
        <f t="shared" ca="1" si="196"/>
        <v>0</v>
      </c>
      <c r="AY286" s="652">
        <f t="shared" ca="1" si="196"/>
        <v>0</v>
      </c>
      <c r="AZ286" s="652">
        <f t="shared" ca="1" si="196"/>
        <v>0</v>
      </c>
      <c r="BA286" s="652">
        <f t="shared" ca="1" si="196"/>
        <v>0</v>
      </c>
      <c r="BB286" s="652">
        <f t="shared" ca="1" si="196"/>
        <v>0</v>
      </c>
      <c r="BC286" s="652">
        <f t="shared" ca="1" si="196"/>
        <v>0</v>
      </c>
      <c r="BD286" s="652">
        <f t="shared" ca="1" si="196"/>
        <v>0</v>
      </c>
      <c r="BE286" s="652"/>
      <c r="BF286" s="652"/>
      <c r="BG286" s="652"/>
      <c r="BH286" s="652"/>
      <c r="BI286" s="652"/>
      <c r="BJ286" s="652"/>
      <c r="BK286" s="652"/>
      <c r="BL286" s="652"/>
      <c r="BM286" s="652"/>
      <c r="BN286" s="652"/>
      <c r="BO286" s="652"/>
      <c r="BP286" s="652"/>
      <c r="BQ286" s="652"/>
      <c r="BR286" s="652">
        <f t="shared" ca="1" si="197"/>
        <v>368500</v>
      </c>
      <c r="BS286" s="652">
        <f t="shared" ca="1" si="197"/>
        <v>0</v>
      </c>
      <c r="BT286" s="652">
        <f t="shared" ca="1" si="197"/>
        <v>0</v>
      </c>
      <c r="BU286" s="652">
        <f t="shared" ca="1" si="197"/>
        <v>17798012.769352939</v>
      </c>
      <c r="BV286" s="652"/>
      <c r="BW286" s="652">
        <f t="shared" ca="1" si="198"/>
        <v>0</v>
      </c>
      <c r="BX286" s="652">
        <f t="shared" ca="1" si="198"/>
        <v>15400.575728156675</v>
      </c>
      <c r="BY286" s="652">
        <f t="shared" ca="1" si="198"/>
        <v>0</v>
      </c>
    </row>
    <row r="287" spans="1:77" ht="14.5">
      <c r="D287"/>
      <c r="E287" s="660" t="str">
        <f t="shared" ref="E287:E288" si="202">"LG&amp;E"&amp;F287</f>
        <v>LG&amp;EResidential Managed Charging</v>
      </c>
      <c r="F287" s="662" t="s">
        <v>67</v>
      </c>
      <c r="G287" s="660" t="s">
        <v>146</v>
      </c>
      <c r="H287" s="652">
        <f t="shared" ca="1" si="192"/>
        <v>375</v>
      </c>
      <c r="I287" s="652">
        <f t="shared" ca="1" si="192"/>
        <v>750</v>
      </c>
      <c r="J287" s="652">
        <f t="shared" ca="1" si="192"/>
        <v>1125</v>
      </c>
      <c r="K287" s="652">
        <f t="shared" ca="1" si="192"/>
        <v>1500</v>
      </c>
      <c r="L287" s="652">
        <f t="shared" ca="1" si="192"/>
        <v>2250</v>
      </c>
      <c r="M287" s="652">
        <f t="shared" ca="1" si="192"/>
        <v>3000</v>
      </c>
      <c r="N287" s="652">
        <f t="shared" ca="1" si="192"/>
        <v>3750</v>
      </c>
      <c r="O287" s="652">
        <f t="shared" ca="1" si="192"/>
        <v>0</v>
      </c>
      <c r="P287" s="652">
        <f t="shared" ca="1" si="192"/>
        <v>0</v>
      </c>
      <c r="Q287" s="652">
        <f t="shared" ca="1" si="192"/>
        <v>0</v>
      </c>
      <c r="R287" s="652">
        <f t="shared" ca="1" si="193"/>
        <v>0</v>
      </c>
      <c r="S287" s="652">
        <f t="shared" ca="1" si="193"/>
        <v>0</v>
      </c>
      <c r="T287" s="652">
        <f t="shared" ca="1" si="193"/>
        <v>0</v>
      </c>
      <c r="U287" s="652">
        <f t="shared" ca="1" si="193"/>
        <v>0</v>
      </c>
      <c r="V287" s="652">
        <f t="shared" ca="1" si="193"/>
        <v>0</v>
      </c>
      <c r="W287" s="652">
        <f t="shared" ca="1" si="193"/>
        <v>0</v>
      </c>
      <c r="X287" s="652">
        <f t="shared" ca="1" si="193"/>
        <v>0</v>
      </c>
      <c r="Y287" s="652">
        <f t="shared" ca="1" si="193"/>
        <v>0</v>
      </c>
      <c r="Z287" s="652">
        <f t="shared" ca="1" si="193"/>
        <v>0</v>
      </c>
      <c r="AA287" s="652">
        <f t="shared" ca="1" si="193"/>
        <v>0</v>
      </c>
      <c r="AB287" s="652">
        <f t="shared" ca="1" si="194"/>
        <v>0</v>
      </c>
      <c r="AC287" s="652">
        <f t="shared" ca="1" si="194"/>
        <v>41250</v>
      </c>
      <c r="AD287" s="652">
        <f t="shared" ca="1" si="194"/>
        <v>63750</v>
      </c>
      <c r="AE287" s="652">
        <f t="shared" ca="1" si="194"/>
        <v>86250</v>
      </c>
      <c r="AF287" s="652">
        <f t="shared" ca="1" si="194"/>
        <v>108750</v>
      </c>
      <c r="AG287" s="652">
        <f t="shared" ca="1" si="194"/>
        <v>172500</v>
      </c>
      <c r="AH287" s="652">
        <f t="shared" ca="1" si="194"/>
        <v>217500</v>
      </c>
      <c r="AI287" s="652">
        <f t="shared" ca="1" si="194"/>
        <v>262500</v>
      </c>
      <c r="AJ287" s="652">
        <f t="shared" ca="1" si="194"/>
        <v>0</v>
      </c>
      <c r="AK287" s="652">
        <f t="shared" ca="1" si="194"/>
        <v>0</v>
      </c>
      <c r="AL287" s="652">
        <f t="shared" ca="1" si="195"/>
        <v>0</v>
      </c>
      <c r="AM287" s="652">
        <f t="shared" ca="1" si="195"/>
        <v>0</v>
      </c>
      <c r="AN287" s="652">
        <f t="shared" ca="1" si="195"/>
        <v>0</v>
      </c>
      <c r="AO287" s="652">
        <f t="shared" ca="1" si="195"/>
        <v>0</v>
      </c>
      <c r="AP287" s="652">
        <f t="shared" ca="1" si="195"/>
        <v>0</v>
      </c>
      <c r="AQ287" s="652">
        <f t="shared" ca="1" si="195"/>
        <v>150</v>
      </c>
      <c r="AR287" s="652">
        <f t="shared" ca="1" si="195"/>
        <v>300</v>
      </c>
      <c r="AS287" s="652">
        <f t="shared" ca="1" si="195"/>
        <v>450</v>
      </c>
      <c r="AT287" s="652">
        <f t="shared" ca="1" si="195"/>
        <v>600</v>
      </c>
      <c r="AU287" s="652">
        <f t="shared" ca="1" si="195"/>
        <v>900</v>
      </c>
      <c r="AV287" s="652">
        <f t="shared" ca="1" si="196"/>
        <v>1200</v>
      </c>
      <c r="AW287" s="652">
        <f t="shared" ca="1" si="196"/>
        <v>1500</v>
      </c>
      <c r="AX287" s="652">
        <f t="shared" ca="1" si="196"/>
        <v>0</v>
      </c>
      <c r="AY287" s="652">
        <f t="shared" ca="1" si="196"/>
        <v>0</v>
      </c>
      <c r="AZ287" s="652">
        <f t="shared" ca="1" si="196"/>
        <v>0</v>
      </c>
      <c r="BA287" s="652">
        <f t="shared" ca="1" si="196"/>
        <v>0</v>
      </c>
      <c r="BB287" s="652">
        <f t="shared" ca="1" si="196"/>
        <v>0</v>
      </c>
      <c r="BC287" s="652">
        <f t="shared" ca="1" si="196"/>
        <v>0</v>
      </c>
      <c r="BD287" s="652">
        <f t="shared" ca="1" si="196"/>
        <v>0</v>
      </c>
      <c r="BE287" s="652"/>
      <c r="BF287" s="652"/>
      <c r="BG287" s="652"/>
      <c r="BH287" s="652"/>
      <c r="BI287" s="652"/>
      <c r="BJ287" s="652"/>
      <c r="BK287" s="652"/>
      <c r="BL287" s="652"/>
      <c r="BM287" s="652"/>
      <c r="BN287" s="652"/>
      <c r="BO287" s="652"/>
      <c r="BP287" s="652"/>
      <c r="BQ287" s="652"/>
      <c r="BR287" s="652">
        <f t="shared" ca="1" si="197"/>
        <v>12750</v>
      </c>
      <c r="BS287" s="652">
        <f t="shared" ca="1" si="197"/>
        <v>0</v>
      </c>
      <c r="BT287" s="652">
        <f t="shared" ca="1" si="197"/>
        <v>0</v>
      </c>
      <c r="BU287" s="652">
        <f t="shared" ca="1" si="197"/>
        <v>952500</v>
      </c>
      <c r="BV287" s="652"/>
      <c r="BW287" s="652">
        <f t="shared" ca="1" si="198"/>
        <v>0</v>
      </c>
      <c r="BX287" s="652">
        <f t="shared" ca="1" si="198"/>
        <v>1500</v>
      </c>
      <c r="BY287" s="652">
        <f t="shared" ca="1" si="198"/>
        <v>0</v>
      </c>
    </row>
    <row r="288" spans="1:77" ht="14.5">
      <c r="D288"/>
      <c r="E288" s="660" t="str">
        <f t="shared" si="202"/>
        <v>LG&amp;ENonRes Midstream Lighting</v>
      </c>
      <c r="F288" s="662" t="s">
        <v>68</v>
      </c>
      <c r="G288" s="660" t="s">
        <v>146</v>
      </c>
      <c r="H288" s="652">
        <f t="shared" ca="1" si="192"/>
        <v>0</v>
      </c>
      <c r="I288" s="652">
        <f t="shared" ca="1" si="192"/>
        <v>0</v>
      </c>
      <c r="J288" s="652">
        <f t="shared" ca="1" si="192"/>
        <v>147643.20000000001</v>
      </c>
      <c r="K288" s="652">
        <f t="shared" ca="1" si="192"/>
        <v>221464.77599999998</v>
      </c>
      <c r="L288" s="652">
        <f t="shared" ca="1" si="192"/>
        <v>221464.77599999998</v>
      </c>
      <c r="M288" s="652">
        <f t="shared" ca="1" si="192"/>
        <v>177171.82079999999</v>
      </c>
      <c r="N288" s="652">
        <f t="shared" ca="1" si="192"/>
        <v>141737.45663999999</v>
      </c>
      <c r="O288" s="652">
        <f t="shared" ca="1" si="192"/>
        <v>0</v>
      </c>
      <c r="P288" s="652">
        <f t="shared" ca="1" si="192"/>
        <v>0</v>
      </c>
      <c r="Q288" s="652">
        <f t="shared" ca="1" si="192"/>
        <v>8792072.2806857135</v>
      </c>
      <c r="R288" s="652">
        <f t="shared" ca="1" si="193"/>
        <v>13188106.81002857</v>
      </c>
      <c r="S288" s="652">
        <f t="shared" ca="1" si="193"/>
        <v>13188106.81002857</v>
      </c>
      <c r="T288" s="652">
        <f t="shared" ca="1" si="193"/>
        <v>10550485.448022857</v>
      </c>
      <c r="U288" s="652">
        <f t="shared" ca="1" si="193"/>
        <v>8440388.3584182858</v>
      </c>
      <c r="V288" s="652">
        <f t="shared" ca="1" si="193"/>
        <v>0</v>
      </c>
      <c r="W288" s="652">
        <f t="shared" ca="1" si="193"/>
        <v>0</v>
      </c>
      <c r="X288" s="652">
        <f t="shared" ca="1" si="193"/>
        <v>-12459.38624</v>
      </c>
      <c r="Y288" s="652">
        <f t="shared" ca="1" si="193"/>
        <v>-18689.07936</v>
      </c>
      <c r="Z288" s="652">
        <f t="shared" ca="1" si="193"/>
        <v>-18689.07936</v>
      </c>
      <c r="AA288" s="652">
        <f t="shared" ca="1" si="193"/>
        <v>-14951.263488000001</v>
      </c>
      <c r="AB288" s="652">
        <f t="shared" ca="1" si="194"/>
        <v>-11961.0107904</v>
      </c>
      <c r="AC288" s="652">
        <f t="shared" ca="1" si="194"/>
        <v>0</v>
      </c>
      <c r="AD288" s="652">
        <f t="shared" ca="1" si="194"/>
        <v>0</v>
      </c>
      <c r="AE288" s="652">
        <f t="shared" ca="1" si="194"/>
        <v>1027790.4000000001</v>
      </c>
      <c r="AF288" s="652">
        <f t="shared" ca="1" si="194"/>
        <v>1541685.36</v>
      </c>
      <c r="AG288" s="652">
        <f t="shared" ca="1" si="194"/>
        <v>1541685.36</v>
      </c>
      <c r="AH288" s="652">
        <f t="shared" ca="1" si="194"/>
        <v>1233348.2879999999</v>
      </c>
      <c r="AI288" s="652">
        <f t="shared" ca="1" si="194"/>
        <v>986678.63040000014</v>
      </c>
      <c r="AJ288" s="652">
        <f t="shared" ca="1" si="194"/>
        <v>0</v>
      </c>
      <c r="AK288" s="652">
        <f t="shared" ca="1" si="194"/>
        <v>0</v>
      </c>
      <c r="AL288" s="652">
        <f t="shared" ca="1" si="195"/>
        <v>35263798.960654318</v>
      </c>
      <c r="AM288" s="652">
        <f t="shared" ca="1" si="195"/>
        <v>52895695.690836415</v>
      </c>
      <c r="AN288" s="652">
        <f t="shared" ca="1" si="195"/>
        <v>52895695.690836415</v>
      </c>
      <c r="AO288" s="652">
        <f t="shared" ca="1" si="195"/>
        <v>42316556.55266913</v>
      </c>
      <c r="AP288" s="652">
        <f t="shared" ca="1" si="195"/>
        <v>33853245.242135301</v>
      </c>
      <c r="AQ288" s="652">
        <f t="shared" ca="1" si="195"/>
        <v>0</v>
      </c>
      <c r="AR288" s="652">
        <f t="shared" ca="1" si="195"/>
        <v>0</v>
      </c>
      <c r="AS288" s="652">
        <f t="shared" ca="1" si="195"/>
        <v>6865.9568397010698</v>
      </c>
      <c r="AT288" s="652">
        <f t="shared" ca="1" si="195"/>
        <v>10298.934603161822</v>
      </c>
      <c r="AU288" s="652">
        <f t="shared" ca="1" si="195"/>
        <v>10298.934603161822</v>
      </c>
      <c r="AV288" s="652">
        <f t="shared" ca="1" si="196"/>
        <v>8239.1476825294576</v>
      </c>
      <c r="AW288" s="652">
        <f t="shared" ca="1" si="196"/>
        <v>6591.3181460235674</v>
      </c>
      <c r="AX288" s="652">
        <f t="shared" ca="1" si="196"/>
        <v>0</v>
      </c>
      <c r="AY288" s="652">
        <f t="shared" ca="1" si="196"/>
        <v>0</v>
      </c>
      <c r="AZ288" s="652">
        <f t="shared" ca="1" si="196"/>
        <v>0</v>
      </c>
      <c r="BA288" s="652">
        <f t="shared" ca="1" si="196"/>
        <v>0</v>
      </c>
      <c r="BB288" s="652">
        <f t="shared" ca="1" si="196"/>
        <v>0</v>
      </c>
      <c r="BC288" s="652">
        <f t="shared" ca="1" si="196"/>
        <v>0</v>
      </c>
      <c r="BD288" s="652">
        <f t="shared" ca="1" si="196"/>
        <v>0</v>
      </c>
      <c r="BE288" s="652"/>
      <c r="BF288" s="652"/>
      <c r="BG288" s="652"/>
      <c r="BH288" s="652"/>
      <c r="BI288" s="652"/>
      <c r="BJ288" s="652"/>
      <c r="BK288" s="652"/>
      <c r="BL288" s="652"/>
      <c r="BM288" s="652"/>
      <c r="BN288" s="652"/>
      <c r="BO288" s="652"/>
      <c r="BP288" s="652"/>
      <c r="BQ288" s="652"/>
      <c r="BR288" s="652">
        <f t="shared" ca="1" si="197"/>
        <v>909482.02944000019</v>
      </c>
      <c r="BS288" s="652">
        <f t="shared" ca="1" si="197"/>
        <v>54159159.707184002</v>
      </c>
      <c r="BT288" s="652">
        <f t="shared" ca="1" si="197"/>
        <v>-76749.819238399999</v>
      </c>
      <c r="BU288" s="652">
        <f t="shared" ca="1" si="197"/>
        <v>6331188.0384</v>
      </c>
      <c r="BV288" s="652"/>
      <c r="BW288" s="652">
        <f t="shared" ca="1" si="198"/>
        <v>217224992.13713154</v>
      </c>
      <c r="BX288" s="652">
        <f t="shared" ca="1" si="198"/>
        <v>42294.291874577735</v>
      </c>
      <c r="BY288" s="652">
        <f t="shared" ca="1" si="198"/>
        <v>0</v>
      </c>
    </row>
    <row r="289" spans="4:77" ht="14.5">
      <c r="D289"/>
      <c r="E289" s="516" t="s">
        <v>286</v>
      </c>
      <c r="F289" s="660" t="s">
        <v>286</v>
      </c>
      <c r="G289" s="660" t="s">
        <v>148</v>
      </c>
      <c r="H289" s="652">
        <f t="shared" ref="H289:AM289" ca="1" si="203">SUM(H276:H288)</f>
        <v>5460073.6825795025</v>
      </c>
      <c r="I289" s="652">
        <f t="shared" ca="1" si="203"/>
        <v>8470440.4218420703</v>
      </c>
      <c r="J289" s="652">
        <f t="shared" ca="1" si="203"/>
        <v>12514482.2609045</v>
      </c>
      <c r="K289" s="652">
        <f t="shared" ca="1" si="203"/>
        <v>12578781.295613356</v>
      </c>
      <c r="L289" s="652">
        <f t="shared" ca="1" si="203"/>
        <v>12623793.235636037</v>
      </c>
      <c r="M289" s="652">
        <f t="shared" ca="1" si="203"/>
        <v>12581773.062055975</v>
      </c>
      <c r="N289" s="652">
        <f t="shared" ca="1" si="203"/>
        <v>12549377.476164913</v>
      </c>
      <c r="O289" s="652">
        <f t="shared" ca="1" si="203"/>
        <v>12131024.913532725</v>
      </c>
      <c r="P289" s="652">
        <f t="shared" ca="1" si="203"/>
        <v>13577152.019757261</v>
      </c>
      <c r="Q289" s="652">
        <f t="shared" ca="1" si="203"/>
        <v>16902738.079916514</v>
      </c>
      <c r="R289" s="652">
        <f t="shared" ca="1" si="203"/>
        <v>19880525.902579606</v>
      </c>
      <c r="S289" s="652">
        <f t="shared" ca="1" si="203"/>
        <v>20725766.607541315</v>
      </c>
      <c r="T289" s="652">
        <f t="shared" ca="1" si="203"/>
        <v>18229342.336887188</v>
      </c>
      <c r="U289" s="652">
        <f t="shared" ca="1" si="203"/>
        <v>16101848.092328481</v>
      </c>
      <c r="V289" s="652">
        <f t="shared" ca="1" si="203"/>
        <v>-13970.579833333333</v>
      </c>
      <c r="W289" s="652">
        <f t="shared" ca="1" si="203"/>
        <v>-13970.579833333333</v>
      </c>
      <c r="X289" s="652">
        <f t="shared" ca="1" si="203"/>
        <v>-16566.2853</v>
      </c>
      <c r="Y289" s="652">
        <f t="shared" ca="1" si="203"/>
        <v>-19681.131860000001</v>
      </c>
      <c r="Z289" s="652">
        <f t="shared" ca="1" si="203"/>
        <v>-19681.131860000001</v>
      </c>
      <c r="AA289" s="652">
        <f t="shared" ca="1" si="203"/>
        <v>-15943.315988</v>
      </c>
      <c r="AB289" s="652">
        <f t="shared" ca="1" si="203"/>
        <v>-12953.063290399999</v>
      </c>
      <c r="AC289" s="652">
        <f t="shared" ca="1" si="203"/>
        <v>4212941.5593396071</v>
      </c>
      <c r="AD289" s="652">
        <f t="shared" ca="1" si="203"/>
        <v>5836152.8343880381</v>
      </c>
      <c r="AE289" s="652">
        <f t="shared" ca="1" si="203"/>
        <v>8111327.1758434363</v>
      </c>
      <c r="AF289" s="652">
        <f t="shared" ca="1" si="203"/>
        <v>11886006.255309947</v>
      </c>
      <c r="AG289" s="652">
        <f t="shared" ca="1" si="203"/>
        <v>19456535.218206432</v>
      </c>
      <c r="AH289" s="652">
        <f t="shared" ca="1" si="203"/>
        <v>20002202.61402854</v>
      </c>
      <c r="AI289" s="652">
        <f t="shared" ca="1" si="203"/>
        <v>20278528.37040402</v>
      </c>
      <c r="AJ289" s="652">
        <f t="shared" ca="1" si="203"/>
        <v>46195080.606046058</v>
      </c>
      <c r="AK289" s="652">
        <f t="shared" ca="1" si="203"/>
        <v>50714210.722962774</v>
      </c>
      <c r="AL289" s="652">
        <f t="shared" ca="1" si="203"/>
        <v>65132589.674186155</v>
      </c>
      <c r="AM289" s="652">
        <f t="shared" ca="1" si="203"/>
        <v>75219263.601478279</v>
      </c>
      <c r="AN289" s="652">
        <f t="shared" ref="AN289:BD289" ca="1" si="204">SUM(AN276:AN288)</f>
        <v>76778336.628239736</v>
      </c>
      <c r="AO289" s="652">
        <f t="shared" ca="1" si="204"/>
        <v>66251844.067697585</v>
      </c>
      <c r="AP289" s="652">
        <f t="shared" ca="1" si="204"/>
        <v>57736235.367153108</v>
      </c>
      <c r="AQ289" s="652">
        <f t="shared" ca="1" si="204"/>
        <v>86653.588118372543</v>
      </c>
      <c r="AR289" s="652">
        <f t="shared" ca="1" si="204"/>
        <v>88273.368204377301</v>
      </c>
      <c r="AS289" s="652">
        <f t="shared" ca="1" si="204"/>
        <v>93873.953982483014</v>
      </c>
      <c r="AT289" s="652">
        <f t="shared" ca="1" si="204"/>
        <v>103342.5147115944</v>
      </c>
      <c r="AU289" s="652">
        <f t="shared" ca="1" si="204"/>
        <v>115479.74780089896</v>
      </c>
      <c r="AV289" s="652">
        <f t="shared" ca="1" si="204"/>
        <v>119253.75240058803</v>
      </c>
      <c r="AW289" s="652">
        <f t="shared" ca="1" si="204"/>
        <v>118099.21253095493</v>
      </c>
      <c r="AX289" s="652">
        <f t="shared" ca="1" si="204"/>
        <v>154642.96992177013</v>
      </c>
      <c r="AY289" s="652">
        <f t="shared" ca="1" si="204"/>
        <v>177530.0713504084</v>
      </c>
      <c r="AZ289" s="652">
        <f t="shared" ca="1" si="204"/>
        <v>211808.19064077485</v>
      </c>
      <c r="BA289" s="652">
        <f t="shared" ca="1" si="204"/>
        <v>270635.63069565961</v>
      </c>
      <c r="BB289" s="652">
        <f t="shared" ca="1" si="204"/>
        <v>326228.55860328861</v>
      </c>
      <c r="BC289" s="652">
        <f t="shared" ca="1" si="204"/>
        <v>311558.46360328869</v>
      </c>
      <c r="BD289" s="652">
        <f t="shared" ca="1" si="204"/>
        <v>310167.54360328871</v>
      </c>
      <c r="BE289" s="652"/>
      <c r="BF289" s="652"/>
      <c r="BG289" s="652"/>
      <c r="BH289" s="652"/>
      <c r="BI289" s="652"/>
      <c r="BJ289" s="652"/>
      <c r="BK289" s="652"/>
      <c r="BL289" s="652"/>
      <c r="BM289" s="652"/>
      <c r="BN289" s="652"/>
      <c r="BO289" s="652"/>
      <c r="BP289" s="652"/>
      <c r="BQ289" s="652"/>
      <c r="BR289" s="652">
        <f t="shared" ref="BR289:BY289" ca="1" si="205">SUM(BR276:BR288)</f>
        <v>76778721.434796363</v>
      </c>
      <c r="BS289" s="652">
        <f t="shared" ca="1" si="205"/>
        <v>117548397.95254311</v>
      </c>
      <c r="BT289" s="652">
        <f t="shared" ca="1" si="205"/>
        <v>-112766.08796506666</v>
      </c>
      <c r="BU289" s="652">
        <f t="shared" ca="1" si="205"/>
        <v>89783694.027520016</v>
      </c>
      <c r="BV289" s="652">
        <f t="shared" si="205"/>
        <v>0</v>
      </c>
      <c r="BW289" s="652">
        <f t="shared" ca="1" si="205"/>
        <v>436479159.59030199</v>
      </c>
      <c r="BX289" s="652">
        <f t="shared" ca="1" si="205"/>
        <v>221411.8201871647</v>
      </c>
      <c r="BY289" s="652">
        <f t="shared" ca="1" si="205"/>
        <v>1762571.4284184785</v>
      </c>
    </row>
    <row r="290" spans="4:77" ht="14.5">
      <c r="D290"/>
    </row>
    <row r="291" spans="4:77" ht="14.5">
      <c r="D291"/>
    </row>
    <row r="292" spans="4:77" ht="14.5">
      <c r="D292"/>
    </row>
  </sheetData>
  <autoFilter ref="C6:BY252" xr:uid="{00000000-0009-0000-0000-000006000000}"/>
  <mergeCells count="12">
    <mergeCell ref="AQ3:AV3"/>
    <mergeCell ref="AX3:BC3"/>
    <mergeCell ref="AJ3:AO3"/>
    <mergeCell ref="O3:AH3"/>
    <mergeCell ref="BR258:BY258"/>
    <mergeCell ref="H258:M258"/>
    <mergeCell ref="BR5:BY5"/>
    <mergeCell ref="H5:N5"/>
    <mergeCell ref="O256:AH256"/>
    <mergeCell ref="AJ256:AO256"/>
    <mergeCell ref="AQ256:AV256"/>
    <mergeCell ref="AX256:BC256"/>
  </mergeCells>
  <phoneticPr fontId="78" type="noConversion"/>
  <pageMargins left="0.7" right="0.7" top="0.75" bottom="0.75" header="0.3" footer="0.3"/>
  <pageSetup orientation="portrait" r:id="rId1"/>
  <headerFooter>
    <oddFooter>&amp;L&amp;1#&amp;"Calibri"&amp;14&amp;K000000Business Use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Y250"/>
  <sheetViews>
    <sheetView zoomScale="70" zoomScaleNormal="70" workbookViewId="0">
      <selection activeCell="O72" sqref="O72"/>
    </sheetView>
  </sheetViews>
  <sheetFormatPr defaultColWidth="9.1796875" defaultRowHeight="13"/>
  <cols>
    <col min="1" max="1" width="4.26953125" style="159" customWidth="1"/>
    <col min="2" max="2" width="27.81640625" style="159" customWidth="1"/>
    <col min="3" max="3" width="16.7265625" style="159" customWidth="1"/>
    <col min="4" max="4" width="24.1796875" style="159" customWidth="1"/>
    <col min="5" max="7" width="13.54296875" style="160" customWidth="1"/>
    <col min="8" max="11" width="13.54296875" style="159" customWidth="1"/>
    <col min="12" max="12" width="68.81640625" style="159" customWidth="1"/>
    <col min="13" max="13" width="17.453125" style="159" customWidth="1"/>
    <col min="14" max="15" width="15.26953125" style="159" customWidth="1"/>
    <col min="16" max="16" width="17.81640625" style="159" customWidth="1"/>
    <col min="17" max="18" width="15.26953125" style="159" customWidth="1"/>
    <col min="19" max="21" width="15.1796875" style="159" customWidth="1"/>
    <col min="22" max="22" width="14.81640625" style="159" customWidth="1"/>
    <col min="23" max="23" width="13.7265625" style="159" customWidth="1"/>
    <col min="24" max="25" width="16.453125" style="159" customWidth="1"/>
    <col min="26" max="26" width="12.1796875" style="159" customWidth="1"/>
    <col min="27" max="16384" width="9.1796875" style="159"/>
  </cols>
  <sheetData>
    <row r="1" spans="1:25">
      <c r="E1" s="517"/>
      <c r="L1" s="160" t="str">
        <f>"AdminCostsOverheadAndGA"&amp;"2024Q1"</f>
        <v>AdminCostsOverheadAndGA2024Q1</v>
      </c>
      <c r="M1" s="160" t="str">
        <f>"AdminCostsOverheadAndGA"&amp;"2025Q1"</f>
        <v>AdminCostsOverheadAndGA2025Q1</v>
      </c>
      <c r="N1" s="160" t="str">
        <f>"AdminCostsOverheadAndGA"&amp;"2026Q1"</f>
        <v>AdminCostsOverheadAndGA2026Q1</v>
      </c>
      <c r="O1" s="160" t="str">
        <f>"AdminCostsOverheadAndGA"&amp;"2027Q1"</f>
        <v>AdminCostsOverheadAndGA2027Q1</v>
      </c>
      <c r="P1" s="160" t="str">
        <f>"AdminCostsOverheadAndGA"&amp;"2028Q1"</f>
        <v>AdminCostsOverheadAndGA2028Q1</v>
      </c>
      <c r="Q1" s="160" t="str">
        <f>"AdminCostsOverheadAndGA"&amp;"2029Q1"</f>
        <v>AdminCostsOverheadAndGA2029Q1</v>
      </c>
      <c r="R1" s="160" t="str">
        <f>"AdminCostsOverheadAndGA"&amp;"2030Q1"</f>
        <v>AdminCostsOverheadAndGA2030Q1</v>
      </c>
    </row>
    <row r="2" spans="1:25" s="164" customFormat="1">
      <c r="A2" s="530" t="s">
        <v>287</v>
      </c>
      <c r="C2" s="529">
        <v>3</v>
      </c>
      <c r="D2" s="529">
        <v>4</v>
      </c>
      <c r="E2" s="529">
        <v>5</v>
      </c>
      <c r="F2" s="529">
        <v>6</v>
      </c>
      <c r="G2" s="529">
        <v>7</v>
      </c>
      <c r="H2" s="529">
        <v>8</v>
      </c>
      <c r="I2" s="529">
        <v>9</v>
      </c>
      <c r="J2" s="529">
        <v>10</v>
      </c>
      <c r="K2" s="529">
        <v>11</v>
      </c>
      <c r="L2" s="529">
        <v>12</v>
      </c>
      <c r="M2" s="529">
        <v>13</v>
      </c>
      <c r="N2" s="529">
        <v>14</v>
      </c>
      <c r="O2" s="529">
        <v>15</v>
      </c>
      <c r="P2" s="529">
        <v>16</v>
      </c>
      <c r="Q2" s="529">
        <v>17</v>
      </c>
      <c r="R2" s="529">
        <v>18</v>
      </c>
      <c r="S2" s="529">
        <v>19</v>
      </c>
      <c r="T2" s="529">
        <v>20</v>
      </c>
      <c r="U2" s="529">
        <v>21</v>
      </c>
      <c r="V2" s="529">
        <v>22</v>
      </c>
      <c r="W2" s="529">
        <v>23</v>
      </c>
      <c r="X2" s="529">
        <v>24</v>
      </c>
      <c r="Y2" s="529">
        <v>25</v>
      </c>
    </row>
    <row r="3" spans="1:25" ht="15" customHeight="1">
      <c r="B3" s="1360" t="s">
        <v>288</v>
      </c>
      <c r="C3" s="1361"/>
      <c r="D3" s="1361"/>
      <c r="E3" s="1361"/>
      <c r="F3" s="1361"/>
      <c r="G3" s="1361"/>
      <c r="H3" s="1361"/>
      <c r="I3" s="1361"/>
      <c r="J3" s="1361"/>
      <c r="K3" s="1362"/>
      <c r="L3" s="1357" t="s">
        <v>289</v>
      </c>
      <c r="M3" s="1358"/>
      <c r="N3" s="1358"/>
      <c r="O3" s="1358"/>
      <c r="P3" s="1358"/>
      <c r="Q3" s="1358"/>
      <c r="R3" s="1359"/>
      <c r="S3" s="1354" t="s">
        <v>290</v>
      </c>
      <c r="T3" s="1355"/>
      <c r="U3" s="1355"/>
      <c r="V3" s="1355"/>
      <c r="W3" s="1355"/>
      <c r="X3" s="1355"/>
      <c r="Y3" s="1356"/>
    </row>
    <row r="4" spans="1:25">
      <c r="B4" s="1363"/>
      <c r="C4" s="1363"/>
      <c r="D4" s="1363"/>
      <c r="E4" s="444">
        <v>2024</v>
      </c>
      <c r="F4" s="444">
        <v>2025</v>
      </c>
      <c r="G4" s="444">
        <v>2026</v>
      </c>
      <c r="H4" s="444">
        <v>2027</v>
      </c>
      <c r="I4" s="444">
        <v>2028</v>
      </c>
      <c r="J4" s="444">
        <v>2029</v>
      </c>
      <c r="K4" s="444">
        <v>2030</v>
      </c>
      <c r="L4" s="675">
        <v>2024</v>
      </c>
      <c r="M4" s="675">
        <v>2025</v>
      </c>
      <c r="N4" s="675">
        <v>2026</v>
      </c>
      <c r="O4" s="675">
        <v>2027</v>
      </c>
      <c r="P4" s="675">
        <v>2028</v>
      </c>
      <c r="Q4" s="675">
        <v>2029</v>
      </c>
      <c r="R4" s="675">
        <v>2030</v>
      </c>
      <c r="S4" s="676">
        <v>2024</v>
      </c>
      <c r="T4" s="676">
        <v>2025</v>
      </c>
      <c r="U4" s="676">
        <v>2026</v>
      </c>
      <c r="V4" s="676">
        <v>2027</v>
      </c>
      <c r="W4" s="676">
        <v>2028</v>
      </c>
      <c r="X4" s="676">
        <v>2029</v>
      </c>
      <c r="Y4" s="676">
        <v>2030</v>
      </c>
    </row>
    <row r="5" spans="1:25" ht="26">
      <c r="B5" s="204" t="s">
        <v>291</v>
      </c>
      <c r="C5" s="205" t="s">
        <v>292</v>
      </c>
      <c r="D5" s="206"/>
      <c r="E5" s="332" t="s">
        <v>293</v>
      </c>
      <c r="F5" s="332" t="s">
        <v>294</v>
      </c>
      <c r="G5" s="332" t="s">
        <v>295</v>
      </c>
      <c r="H5" s="332" t="s">
        <v>296</v>
      </c>
      <c r="I5" s="332" t="s">
        <v>297</v>
      </c>
      <c r="J5" s="332" t="s">
        <v>298</v>
      </c>
      <c r="K5" s="332" t="s">
        <v>299</v>
      </c>
      <c r="L5" s="333" t="s">
        <v>300</v>
      </c>
      <c r="M5" s="333" t="s">
        <v>301</v>
      </c>
      <c r="N5" s="333" t="s">
        <v>302</v>
      </c>
      <c r="O5" s="333" t="s">
        <v>303</v>
      </c>
      <c r="P5" s="333" t="s">
        <v>304</v>
      </c>
      <c r="Q5" s="333" t="s">
        <v>305</v>
      </c>
      <c r="R5" s="333" t="s">
        <v>306</v>
      </c>
      <c r="S5" s="676" t="s">
        <v>307</v>
      </c>
      <c r="T5" s="676" t="s">
        <v>308</v>
      </c>
      <c r="U5" s="676" t="s">
        <v>309</v>
      </c>
      <c r="V5" s="676" t="s">
        <v>310</v>
      </c>
      <c r="W5" s="676" t="s">
        <v>311</v>
      </c>
      <c r="X5" s="676" t="s">
        <v>312</v>
      </c>
      <c r="Y5" s="676" t="s">
        <v>313</v>
      </c>
    </row>
    <row r="6" spans="1:25" s="581" customFormat="1">
      <c r="A6" s="582" t="str">
        <f t="shared" ref="A6:A50" si="0">B6&amp;C6</f>
        <v>WeCare V2Total</v>
      </c>
      <c r="B6" s="649" t="s">
        <v>57</v>
      </c>
      <c r="C6" s="677" t="s">
        <v>148</v>
      </c>
      <c r="D6" s="677"/>
      <c r="E6" s="1313">
        <v>8969.1424806129526</v>
      </c>
      <c r="F6" s="1313">
        <v>8960.6166150313402</v>
      </c>
      <c r="G6" s="1313">
        <v>8971.3349734822805</v>
      </c>
      <c r="H6" s="1313">
        <v>8982.3748826867486</v>
      </c>
      <c r="I6" s="1313">
        <v>8993.7459891673516</v>
      </c>
      <c r="J6" s="1313">
        <v>9005.4582288423735</v>
      </c>
      <c r="K6" s="1313">
        <v>9017.5218357076428</v>
      </c>
      <c r="L6" s="1313">
        <v>8969.1424806129526</v>
      </c>
      <c r="M6" s="1313">
        <v>8960.6166150313402</v>
      </c>
      <c r="N6" s="1313">
        <v>8971.3349734822805</v>
      </c>
      <c r="O6" s="1313">
        <v>8982.3748826867486</v>
      </c>
      <c r="P6" s="1313">
        <v>8993.7459891673516</v>
      </c>
      <c r="Q6" s="1313">
        <v>9005.4582288423735</v>
      </c>
      <c r="R6" s="1313">
        <v>9017.5218357076428</v>
      </c>
      <c r="S6" s="1313">
        <v>0</v>
      </c>
      <c r="T6" s="1313">
        <v>0</v>
      </c>
      <c r="U6" s="1313">
        <v>0</v>
      </c>
      <c r="V6" s="1313">
        <v>0</v>
      </c>
      <c r="W6" s="1313">
        <v>0</v>
      </c>
      <c r="X6" s="1313">
        <v>0</v>
      </c>
      <c r="Y6" s="1313">
        <v>0</v>
      </c>
    </row>
    <row r="7" spans="1:25" s="581" customFormat="1">
      <c r="A7" s="582" t="str">
        <f t="shared" si="0"/>
        <v>LI Multifamily - Whole BuildingTotal</v>
      </c>
      <c r="B7" s="649" t="s">
        <v>58</v>
      </c>
      <c r="C7" s="677" t="s">
        <v>148</v>
      </c>
      <c r="D7" s="677"/>
      <c r="E7" s="1313">
        <v>1091.2524677694</v>
      </c>
      <c r="F7" s="1313">
        <v>1111.4879765597352</v>
      </c>
      <c r="G7" s="1313">
        <v>1267.3305506137804</v>
      </c>
      <c r="H7" s="1313">
        <v>1123.3484018894464</v>
      </c>
      <c r="I7" s="1313">
        <v>1129.5467887033828</v>
      </c>
      <c r="J7" s="1313">
        <v>1135.9311271217375</v>
      </c>
      <c r="K7" s="1313">
        <v>1142.5069956926427</v>
      </c>
      <c r="L7" s="1313">
        <v>1091.2524677694</v>
      </c>
      <c r="M7" s="1313">
        <v>1111.4879765597352</v>
      </c>
      <c r="N7" s="1313">
        <v>1267.3305506137804</v>
      </c>
      <c r="O7" s="1313">
        <v>1123.3484018894464</v>
      </c>
      <c r="P7" s="1313">
        <v>1129.5467887033828</v>
      </c>
      <c r="Q7" s="1313">
        <v>1135.9311271217375</v>
      </c>
      <c r="R7" s="1313">
        <v>1142.5069956926427</v>
      </c>
      <c r="S7" s="1313">
        <v>0</v>
      </c>
      <c r="T7" s="1313">
        <v>0</v>
      </c>
      <c r="U7" s="1313">
        <v>0</v>
      </c>
      <c r="V7" s="1313">
        <v>0</v>
      </c>
      <c r="W7" s="1313">
        <v>0</v>
      </c>
      <c r="X7" s="1313">
        <v>0</v>
      </c>
      <c r="Y7" s="1313">
        <v>0</v>
      </c>
    </row>
    <row r="8" spans="1:25" s="581" customFormat="1">
      <c r="A8" s="582" t="str">
        <f t="shared" ref="A8:A13" si="1">B8&amp;C8</f>
        <v>Appliance RecyclingTotal</v>
      </c>
      <c r="B8" s="649" t="s">
        <v>59</v>
      </c>
      <c r="C8" s="677" t="s">
        <v>148</v>
      </c>
      <c r="D8" s="677"/>
      <c r="E8" s="1313">
        <v>0</v>
      </c>
      <c r="F8" s="1313">
        <v>0</v>
      </c>
      <c r="G8" s="1313">
        <v>1671.1799064754125</v>
      </c>
      <c r="H8" s="1313">
        <v>1723.4953036696747</v>
      </c>
      <c r="I8" s="1313">
        <v>1925.8801627797652</v>
      </c>
      <c r="J8" s="1313">
        <v>1778.3365676631579</v>
      </c>
      <c r="K8" s="1313">
        <v>1780.8666646930528</v>
      </c>
      <c r="L8" s="1313">
        <v>0</v>
      </c>
      <c r="M8" s="1313">
        <v>0</v>
      </c>
      <c r="N8" s="1313">
        <v>1371.1799064754125</v>
      </c>
      <c r="O8" s="1313">
        <v>1373.4953036696747</v>
      </c>
      <c r="P8" s="1313">
        <v>1525.8801627797652</v>
      </c>
      <c r="Q8" s="1313">
        <v>1378.3365676631579</v>
      </c>
      <c r="R8" s="1313">
        <v>1380.8666646930528</v>
      </c>
      <c r="S8" s="1313">
        <v>0</v>
      </c>
      <c r="T8" s="1313">
        <v>0</v>
      </c>
      <c r="U8" s="1313">
        <v>300</v>
      </c>
      <c r="V8" s="1313">
        <v>350.00000000000006</v>
      </c>
      <c r="W8" s="1313">
        <v>400</v>
      </c>
      <c r="X8" s="1313">
        <v>400</v>
      </c>
      <c r="Y8" s="1313">
        <v>400</v>
      </c>
    </row>
    <row r="9" spans="1:25" s="581" customFormat="1">
      <c r="A9" s="582" t="str">
        <f t="shared" si="1"/>
        <v>Online MarketplaceTotal</v>
      </c>
      <c r="B9" s="649" t="s">
        <v>60</v>
      </c>
      <c r="C9" s="677" t="s">
        <v>148</v>
      </c>
      <c r="D9" s="677"/>
      <c r="E9" s="1313">
        <v>234.61500000000001</v>
      </c>
      <c r="F9" s="1313">
        <v>313.00200000000001</v>
      </c>
      <c r="G9" s="1313">
        <v>510.26459999999997</v>
      </c>
      <c r="H9" s="1313">
        <v>974.02782999999999</v>
      </c>
      <c r="I9" s="1313">
        <v>1097.4167215</v>
      </c>
      <c r="J9" s="1313">
        <v>1097.9938075750001</v>
      </c>
      <c r="K9" s="1313">
        <v>1098.85287295375</v>
      </c>
      <c r="L9" s="1313">
        <v>156</v>
      </c>
      <c r="M9" s="1313">
        <v>156</v>
      </c>
      <c r="N9" s="1313">
        <v>196</v>
      </c>
      <c r="O9" s="1313">
        <v>346</v>
      </c>
      <c r="P9" s="1313">
        <v>196</v>
      </c>
      <c r="Q9" s="1313">
        <v>196</v>
      </c>
      <c r="R9" s="1313">
        <v>196</v>
      </c>
      <c r="S9" s="1313">
        <v>78.614999999999995</v>
      </c>
      <c r="T9" s="1313">
        <v>157.00200000000001</v>
      </c>
      <c r="U9" s="1313">
        <v>314.26459999999997</v>
      </c>
      <c r="V9" s="1313">
        <v>628.02782999999999</v>
      </c>
      <c r="W9" s="1313">
        <v>901.41672149999999</v>
      </c>
      <c r="X9" s="1313">
        <v>901.99380757500001</v>
      </c>
      <c r="Y9" s="1313">
        <v>902.85287295374997</v>
      </c>
    </row>
    <row r="10" spans="1:25" s="581" customFormat="1">
      <c r="A10" s="582" t="str">
        <f t="shared" si="1"/>
        <v>Residential Audit OnlineTotal</v>
      </c>
      <c r="B10" s="649" t="s">
        <v>61</v>
      </c>
      <c r="C10" s="677" t="s">
        <v>148</v>
      </c>
      <c r="D10" s="677"/>
      <c r="E10" s="1313">
        <v>0</v>
      </c>
      <c r="F10" s="1313">
        <v>1085.326321904995</v>
      </c>
      <c r="G10" s="1313">
        <v>1265.428111562145</v>
      </c>
      <c r="H10" s="1313">
        <v>1596.5576549090092</v>
      </c>
      <c r="I10" s="1313">
        <v>1681.1238695562797</v>
      </c>
      <c r="J10" s="1313">
        <v>1635.622396767968</v>
      </c>
      <c r="K10" s="1313">
        <v>1640.2558797960071</v>
      </c>
      <c r="L10" s="1313">
        <v>0</v>
      </c>
      <c r="M10" s="1313">
        <v>534.92632190499512</v>
      </c>
      <c r="N10" s="1313">
        <v>541.12811156214502</v>
      </c>
      <c r="O10" s="1313">
        <v>697.55765490900933</v>
      </c>
      <c r="P10" s="1313">
        <v>554.22386955627962</v>
      </c>
      <c r="Q10" s="1313">
        <v>558.72239676796801</v>
      </c>
      <c r="R10" s="1313">
        <v>563.355879796007</v>
      </c>
      <c r="S10" s="1313">
        <v>0</v>
      </c>
      <c r="T10" s="1313">
        <v>550.4</v>
      </c>
      <c r="U10" s="1313">
        <v>724.3</v>
      </c>
      <c r="V10" s="1313">
        <v>899</v>
      </c>
      <c r="W10" s="1313">
        <v>1126.9000000000001</v>
      </c>
      <c r="X10" s="1313">
        <v>1076.9000000000001</v>
      </c>
      <c r="Y10" s="1313">
        <v>1076.9000000000001</v>
      </c>
    </row>
    <row r="11" spans="1:25" s="581" customFormat="1">
      <c r="A11" s="582" t="str">
        <f t="shared" si="1"/>
        <v>BYOT &amp; BYODTotal</v>
      </c>
      <c r="B11" s="649" t="s">
        <v>62</v>
      </c>
      <c r="C11" s="677" t="s">
        <v>148</v>
      </c>
      <c r="D11" s="677"/>
      <c r="E11" s="1313">
        <v>1581.5864491572181</v>
      </c>
      <c r="F11" s="1313">
        <v>1679.1900426319348</v>
      </c>
      <c r="G11" s="1313">
        <v>2975.631743910893</v>
      </c>
      <c r="H11" s="1313">
        <v>4865.9915962282194</v>
      </c>
      <c r="I11" s="1313">
        <v>7610.897294115066</v>
      </c>
      <c r="J11" s="1313">
        <v>9875.7879379385176</v>
      </c>
      <c r="K11" s="1313">
        <v>12293.569663576674</v>
      </c>
      <c r="L11" s="1313">
        <v>993.58644915721811</v>
      </c>
      <c r="M11" s="1313">
        <v>607.19004263193483</v>
      </c>
      <c r="N11" s="1313">
        <v>818.88174391089285</v>
      </c>
      <c r="O11" s="1313">
        <v>1144.9385962282195</v>
      </c>
      <c r="P11" s="1313">
        <v>1752.3937941150662</v>
      </c>
      <c r="Q11" s="1313">
        <v>2060.3026879385184</v>
      </c>
      <c r="R11" s="1313">
        <v>2518.8057885766739</v>
      </c>
      <c r="S11" s="1313">
        <v>588</v>
      </c>
      <c r="T11" s="1313">
        <v>1072</v>
      </c>
      <c r="U11" s="1313">
        <v>2156.75</v>
      </c>
      <c r="V11" s="1313">
        <v>3721.0529999999999</v>
      </c>
      <c r="W11" s="1313">
        <v>5858.5034999999998</v>
      </c>
      <c r="X11" s="1313">
        <v>7815.4852499999997</v>
      </c>
      <c r="Y11" s="1313">
        <v>9774.7638750000006</v>
      </c>
    </row>
    <row r="12" spans="1:25" s="581" customFormat="1">
      <c r="A12" s="582" t="str">
        <f t="shared" si="1"/>
        <v>Business RebatesTotal</v>
      </c>
      <c r="B12" s="649" t="s">
        <v>63</v>
      </c>
      <c r="C12" s="677" t="s">
        <v>148</v>
      </c>
      <c r="D12" s="677"/>
      <c r="E12" s="1313">
        <v>4667.6150707028255</v>
      </c>
      <c r="F12" s="1313">
        <v>5177.445639249886</v>
      </c>
      <c r="G12" s="1313">
        <v>4293.8096678676939</v>
      </c>
      <c r="H12" s="1313">
        <v>3767.783168848362</v>
      </c>
      <c r="I12" s="1313">
        <v>3882.9177369584504</v>
      </c>
      <c r="J12" s="1313">
        <v>3794.4563940118419</v>
      </c>
      <c r="K12" s="1313">
        <v>3792.5049407768347</v>
      </c>
      <c r="L12" s="1313">
        <v>1498.4848551844971</v>
      </c>
      <c r="M12" s="1313">
        <v>1504.3832159919891</v>
      </c>
      <c r="N12" s="1313">
        <v>1560.4585276237062</v>
      </c>
      <c r="O12" s="1313">
        <v>1566.7160986043746</v>
      </c>
      <c r="P12" s="1313">
        <v>1673.1613967144631</v>
      </c>
      <c r="Q12" s="1313">
        <v>1579.8000537678545</v>
      </c>
      <c r="R12" s="1313">
        <v>1586.6378705328473</v>
      </c>
      <c r="S12" s="1313">
        <v>3169.1302155183284</v>
      </c>
      <c r="T12" s="1313">
        <v>3673.0624232578966</v>
      </c>
      <c r="U12" s="1313">
        <v>2733.3511402439872</v>
      </c>
      <c r="V12" s="1313">
        <v>2201.0670702439875</v>
      </c>
      <c r="W12" s="1313">
        <v>2209.7563402439873</v>
      </c>
      <c r="X12" s="1313">
        <v>2214.6563402439874</v>
      </c>
      <c r="Y12" s="1313">
        <v>2205.8670702439872</v>
      </c>
    </row>
    <row r="13" spans="1:25" s="581" customFormat="1">
      <c r="A13" s="582" t="str">
        <f t="shared" si="1"/>
        <v>Small Business - Audit &amp; DITotal</v>
      </c>
      <c r="B13" s="649" t="s">
        <v>64</v>
      </c>
      <c r="C13" s="677" t="s">
        <v>148</v>
      </c>
      <c r="D13" s="677"/>
      <c r="E13" s="1313">
        <v>622.09812411104951</v>
      </c>
      <c r="F13" s="1313">
        <v>617.62926803438108</v>
      </c>
      <c r="G13" s="1313">
        <v>619.8772264754125</v>
      </c>
      <c r="H13" s="1313">
        <v>622.19262366967484</v>
      </c>
      <c r="I13" s="1313">
        <v>724.57748277976509</v>
      </c>
      <c r="J13" s="1313">
        <v>627.033887663158</v>
      </c>
      <c r="K13" s="1313">
        <v>629.56398469305282</v>
      </c>
      <c r="L13" s="1313">
        <v>622.09812411104951</v>
      </c>
      <c r="M13" s="1313">
        <v>617.62926803438108</v>
      </c>
      <c r="N13" s="1313">
        <v>619.8772264754125</v>
      </c>
      <c r="O13" s="1313">
        <v>622.19262366967484</v>
      </c>
      <c r="P13" s="1313">
        <v>724.57748277976509</v>
      </c>
      <c r="Q13" s="1313">
        <v>627.033887663158</v>
      </c>
      <c r="R13" s="1313">
        <v>629.56398469305282</v>
      </c>
      <c r="S13" s="1313">
        <v>0</v>
      </c>
      <c r="T13" s="1313">
        <v>0</v>
      </c>
      <c r="U13" s="1313">
        <v>0</v>
      </c>
      <c r="V13" s="1313">
        <v>0</v>
      </c>
      <c r="W13" s="1313">
        <v>0</v>
      </c>
      <c r="X13" s="1313">
        <v>0</v>
      </c>
      <c r="Y13" s="1313">
        <v>0</v>
      </c>
    </row>
    <row r="14" spans="1:25" s="581" customFormat="1">
      <c r="A14" s="582" t="str">
        <f t="shared" si="0"/>
        <v>Residential Demand ConservationTotal</v>
      </c>
      <c r="B14" s="649" t="s">
        <v>4</v>
      </c>
      <c r="C14" s="677" t="s">
        <v>148</v>
      </c>
      <c r="D14" s="677"/>
      <c r="E14" s="1313">
        <v>3474.7145289457717</v>
      </c>
      <c r="F14" s="1313">
        <v>3391.2750234663577</v>
      </c>
      <c r="G14" s="1313">
        <v>3023.5554244818118</v>
      </c>
      <c r="H14" s="1313">
        <v>4583.2593291869798</v>
      </c>
      <c r="I14" s="1313">
        <v>12124.169238906456</v>
      </c>
      <c r="J14" s="1313">
        <v>11017.310173690345</v>
      </c>
      <c r="K14" s="1313">
        <v>10026.586064290586</v>
      </c>
      <c r="L14" s="1313">
        <v>1139.2294387427137</v>
      </c>
      <c r="M14" s="1313">
        <v>1293.2263219049951</v>
      </c>
      <c r="N14" s="1313">
        <v>1147.3431115621449</v>
      </c>
      <c r="O14" s="1313">
        <v>1151.5834049090095</v>
      </c>
      <c r="P14" s="1313">
        <v>1155.9509070562797</v>
      </c>
      <c r="Q14" s="1313">
        <v>1160.4494342679679</v>
      </c>
      <c r="R14" s="1313">
        <v>1165.0829172960071</v>
      </c>
      <c r="S14" s="1313">
        <v>2335.485090203058</v>
      </c>
      <c r="T14" s="1313">
        <v>2098.0487015613626</v>
      </c>
      <c r="U14" s="1313">
        <v>1876.2123129196668</v>
      </c>
      <c r="V14" s="1313">
        <v>3431.6759242779708</v>
      </c>
      <c r="W14" s="1313">
        <v>10968.218331850176</v>
      </c>
      <c r="X14" s="1313">
        <v>9856.8607394223764</v>
      </c>
      <c r="Y14" s="1313">
        <v>8861.5031469945789</v>
      </c>
    </row>
    <row r="15" spans="1:25" s="581" customFormat="1">
      <c r="A15" s="582" t="str">
        <f>B15&amp;C15</f>
        <v>Large Nonres Demand Con.Total</v>
      </c>
      <c r="B15" s="649" t="s">
        <v>65</v>
      </c>
      <c r="C15" s="677" t="s">
        <v>148</v>
      </c>
      <c r="D15" s="677"/>
      <c r="E15" s="1313">
        <v>3468.7850825115743</v>
      </c>
      <c r="F15" s="1313">
        <v>4133.5187434138443</v>
      </c>
      <c r="G15" s="1313">
        <v>4650.4604716691629</v>
      </c>
      <c r="H15" s="1313">
        <v>5578.8101696928152</v>
      </c>
      <c r="I15" s="1313">
        <v>6451.7255581792533</v>
      </c>
      <c r="J15" s="1313">
        <v>7328.7792067916871</v>
      </c>
      <c r="K15" s="1313">
        <v>6908.3987595267708</v>
      </c>
      <c r="L15" s="1313">
        <v>1296.6322695537465</v>
      </c>
      <c r="M15" s="1313">
        <v>1407.4882944452922</v>
      </c>
      <c r="N15" s="1313">
        <v>1297.2891631224788</v>
      </c>
      <c r="O15" s="1313">
        <v>1399.0405835479473</v>
      </c>
      <c r="P15" s="1313">
        <v>1417.051026623217</v>
      </c>
      <c r="Q15" s="1313">
        <v>1427.1969832386353</v>
      </c>
      <c r="R15" s="1313">
        <v>1006.8165359737194</v>
      </c>
      <c r="S15" s="1313">
        <v>2172.1528129578278</v>
      </c>
      <c r="T15" s="1313">
        <v>2726.0304489685518</v>
      </c>
      <c r="U15" s="1313">
        <v>3353.1713085466836</v>
      </c>
      <c r="V15" s="1313">
        <v>4179.7695861448674</v>
      </c>
      <c r="W15" s="1313">
        <v>5034.6745315560365</v>
      </c>
      <c r="X15" s="1313">
        <v>5901.5822235530513</v>
      </c>
      <c r="Y15" s="1313">
        <v>5901.5822235530513</v>
      </c>
    </row>
    <row r="16" spans="1:25" s="581" customFormat="1">
      <c r="A16" s="582" t="str">
        <f t="shared" si="0"/>
        <v>Peak Time RebateTotal</v>
      </c>
      <c r="B16" s="649" t="s">
        <v>66</v>
      </c>
      <c r="C16" s="677" t="s">
        <v>148</v>
      </c>
      <c r="D16" s="677"/>
      <c r="E16" s="1313">
        <v>250</v>
      </c>
      <c r="F16" s="1313">
        <v>2745.2201895858207</v>
      </c>
      <c r="G16" s="1313">
        <v>2958.5060274120142</v>
      </c>
      <c r="H16" s="1313">
        <v>5681.6596725116124</v>
      </c>
      <c r="I16" s="1313">
        <v>9921.5799225979699</v>
      </c>
      <c r="J16" s="1313">
        <v>10075.430411538029</v>
      </c>
      <c r="K16" s="1313">
        <v>9929.3964151462897</v>
      </c>
      <c r="L16" s="1313">
        <v>250</v>
      </c>
      <c r="M16" s="1313">
        <v>1489.4580945975538</v>
      </c>
      <c r="N16" s="1313">
        <v>446.98183743548032</v>
      </c>
      <c r="O16" s="1313">
        <v>658.61129255854473</v>
      </c>
      <c r="P16" s="1313">
        <v>986.34963133530107</v>
      </c>
      <c r="Q16" s="1313">
        <v>1140.2001202753602</v>
      </c>
      <c r="R16" s="1313">
        <v>994.16612388362091</v>
      </c>
      <c r="S16" s="1313">
        <v>0</v>
      </c>
      <c r="T16" s="1313">
        <v>1255.7620949882669</v>
      </c>
      <c r="U16" s="1313">
        <v>2511.5241899765338</v>
      </c>
      <c r="V16" s="1313">
        <v>5023.0483799530675</v>
      </c>
      <c r="W16" s="1313">
        <v>8935.2302912626692</v>
      </c>
      <c r="X16" s="1313">
        <v>8935.2302912626692</v>
      </c>
      <c r="Y16" s="1313">
        <v>8935.2302912626692</v>
      </c>
    </row>
    <row r="17" spans="1:25" s="581" customFormat="1">
      <c r="A17" s="582" t="str">
        <f t="shared" si="0"/>
        <v>Residential Managed ChargingTotal</v>
      </c>
      <c r="B17" s="649" t="s">
        <v>67</v>
      </c>
      <c r="C17" s="677" t="s">
        <v>148</v>
      </c>
      <c r="D17" s="677"/>
      <c r="E17" s="1313">
        <v>526.24946411104952</v>
      </c>
      <c r="F17" s="1313">
        <v>538.43194803438109</v>
      </c>
      <c r="G17" s="1313">
        <v>675.67990647541251</v>
      </c>
      <c r="H17" s="1313">
        <v>812.99530366967485</v>
      </c>
      <c r="I17" s="1313">
        <v>1122.8801627797652</v>
      </c>
      <c r="J17" s="1313">
        <v>1395.3365676631579</v>
      </c>
      <c r="K17" s="1313">
        <v>1817.8666646930528</v>
      </c>
      <c r="L17" s="1313">
        <v>443.74946411104952</v>
      </c>
      <c r="M17" s="1313">
        <v>410.93194803438104</v>
      </c>
      <c r="N17" s="1313">
        <v>503.17990647541245</v>
      </c>
      <c r="O17" s="1313">
        <v>595.49530366967485</v>
      </c>
      <c r="P17" s="1313">
        <v>777.8801627797651</v>
      </c>
      <c r="Q17" s="1313">
        <v>960.33656766315801</v>
      </c>
      <c r="R17" s="1313">
        <v>1292.8666646930528</v>
      </c>
      <c r="S17" s="1313">
        <v>82.5</v>
      </c>
      <c r="T17" s="1313">
        <v>127.5</v>
      </c>
      <c r="U17" s="1313">
        <v>172.5</v>
      </c>
      <c r="V17" s="1313">
        <v>217.5</v>
      </c>
      <c r="W17" s="1313">
        <v>345</v>
      </c>
      <c r="X17" s="1313">
        <v>435</v>
      </c>
      <c r="Y17" s="1313">
        <v>525</v>
      </c>
    </row>
    <row r="18" spans="1:25" s="581" customFormat="1">
      <c r="A18" s="582" t="str">
        <f>B18&amp;C18</f>
        <v>NonRes Midstream LightingTotal</v>
      </c>
      <c r="B18" s="649" t="s">
        <v>68</v>
      </c>
      <c r="C18" s="677" t="s">
        <v>148</v>
      </c>
      <c r="D18" s="677"/>
      <c r="E18" s="1313">
        <v>0</v>
      </c>
      <c r="F18" s="1313">
        <v>0</v>
      </c>
      <c r="G18" s="1313">
        <v>2906.003294268884</v>
      </c>
      <c r="H18" s="1313">
        <v>3688.1258890969502</v>
      </c>
      <c r="I18" s="1313">
        <v>3792.5885441698592</v>
      </c>
      <c r="J18" s="1313">
        <v>3080.5109348949545</v>
      </c>
      <c r="K18" s="1313">
        <v>2591.9060504618033</v>
      </c>
      <c r="L18" s="1313">
        <v>0</v>
      </c>
      <c r="M18" s="1313">
        <v>0</v>
      </c>
      <c r="N18" s="1313">
        <v>850.42249426888361</v>
      </c>
      <c r="O18" s="1313">
        <v>604.75516909695011</v>
      </c>
      <c r="P18" s="1313">
        <v>709.21782416985866</v>
      </c>
      <c r="Q18" s="1313">
        <v>613.81435889495447</v>
      </c>
      <c r="R18" s="1313">
        <v>618.54878966180308</v>
      </c>
      <c r="S18" s="1313">
        <v>0</v>
      </c>
      <c r="T18" s="1313">
        <v>0</v>
      </c>
      <c r="U18" s="1313">
        <v>2055.5808000000002</v>
      </c>
      <c r="V18" s="1313">
        <v>3083.3707200000003</v>
      </c>
      <c r="W18" s="1313">
        <v>3083.3707200000003</v>
      </c>
      <c r="X18" s="1313">
        <v>2466.6965759999998</v>
      </c>
      <c r="Y18" s="1313">
        <v>1973.3572608000002</v>
      </c>
    </row>
    <row r="19" spans="1:25" s="581" customFormat="1">
      <c r="A19" s="582" t="str">
        <f t="shared" si="0"/>
        <v>PDATotal</v>
      </c>
      <c r="B19" s="649" t="s">
        <v>69</v>
      </c>
      <c r="C19" s="677" t="s">
        <v>148</v>
      </c>
      <c r="D19" s="677"/>
      <c r="E19" s="1313">
        <v>3628.6533749999999</v>
      </c>
      <c r="F19" s="1313">
        <v>3556.4333750000001</v>
      </c>
      <c r="G19" s="1313">
        <v>2710.0467749999998</v>
      </c>
      <c r="H19" s="1313">
        <v>2889.5185769999998</v>
      </c>
      <c r="I19" s="1313">
        <v>2769.87453306</v>
      </c>
      <c r="J19" s="1313">
        <v>2801.1411678018003</v>
      </c>
      <c r="K19" s="1313">
        <v>2983.3458015858541</v>
      </c>
      <c r="L19" s="1313">
        <v>3628.6533749999999</v>
      </c>
      <c r="M19" s="1313">
        <v>3556.4333750000001</v>
      </c>
      <c r="N19" s="1313">
        <v>2710.0467749999998</v>
      </c>
      <c r="O19" s="1313">
        <v>2889.5185769999998</v>
      </c>
      <c r="P19" s="1313">
        <v>2769.87453306</v>
      </c>
      <c r="Q19" s="1313">
        <v>2801.1411678018003</v>
      </c>
      <c r="R19" s="1313">
        <v>2983.3458015858541</v>
      </c>
      <c r="S19" s="1313">
        <v>0</v>
      </c>
      <c r="T19" s="1313">
        <v>0</v>
      </c>
      <c r="U19" s="1313">
        <v>0</v>
      </c>
      <c r="V19" s="1313">
        <v>0</v>
      </c>
      <c r="W19" s="1313">
        <v>0</v>
      </c>
      <c r="X19" s="1313">
        <v>0</v>
      </c>
      <c r="Y19" s="1313">
        <v>0</v>
      </c>
    </row>
    <row r="20" spans="1:25" s="581" customFormat="1">
      <c r="A20" s="582" t="str">
        <f t="shared" si="0"/>
        <v>TotalTotal</v>
      </c>
      <c r="B20" s="678" t="s">
        <v>148</v>
      </c>
      <c r="C20" s="679" t="s">
        <v>148</v>
      </c>
      <c r="D20" s="677"/>
      <c r="E20" s="1314">
        <v>28514.712042921841</v>
      </c>
      <c r="F20" s="1314">
        <v>33309.577142912676</v>
      </c>
      <c r="G20" s="1314">
        <v>38499.108679694909</v>
      </c>
      <c r="H20" s="1314">
        <v>46890.140403059166</v>
      </c>
      <c r="I20" s="1314">
        <v>63228.924005253364</v>
      </c>
      <c r="J20" s="1314">
        <v>64649.128809963731</v>
      </c>
      <c r="K20" s="1314">
        <v>65653.142593594006</v>
      </c>
      <c r="L20" s="1314">
        <v>20088.828924242625</v>
      </c>
      <c r="M20" s="1314">
        <v>21649.7714741366</v>
      </c>
      <c r="N20" s="1314">
        <v>22301.454328008032</v>
      </c>
      <c r="O20" s="1314">
        <v>23155.627892439272</v>
      </c>
      <c r="P20" s="1314">
        <v>24365.853568840495</v>
      </c>
      <c r="Q20" s="1314">
        <v>24644.723581906645</v>
      </c>
      <c r="R20" s="1314">
        <v>25096.085852785975</v>
      </c>
      <c r="S20" s="1314">
        <v>8425.883118679214</v>
      </c>
      <c r="T20" s="1314">
        <v>11659.805668776078</v>
      </c>
      <c r="U20" s="1314">
        <v>16197.654351686871</v>
      </c>
      <c r="V20" s="1314">
        <v>23734.51251061989</v>
      </c>
      <c r="W20" s="1314">
        <v>38863.070436412869</v>
      </c>
      <c r="X20" s="1314">
        <v>40004.405228057083</v>
      </c>
      <c r="Y20" s="1314">
        <v>40557.056740808039</v>
      </c>
    </row>
    <row r="21" spans="1:25" s="581" customFormat="1">
      <c r="A21" s="582" t="str">
        <f>B21&amp;C21</f>
        <v>WeCare V2KU</v>
      </c>
      <c r="B21" s="649" t="s">
        <v>57</v>
      </c>
      <c r="C21" s="677" t="s">
        <v>283</v>
      </c>
      <c r="D21" s="677"/>
      <c r="E21" s="1313">
        <v>4484.5712403064763</v>
      </c>
      <c r="F21" s="1313">
        <v>4480.3083075156701</v>
      </c>
      <c r="G21" s="1313">
        <v>4485.6674867411402</v>
      </c>
      <c r="H21" s="1313">
        <v>4491.1874413433743</v>
      </c>
      <c r="I21" s="1313">
        <v>4496.8729945836758</v>
      </c>
      <c r="J21" s="1313">
        <v>4502.7291144211868</v>
      </c>
      <c r="K21" s="1313">
        <v>4508.7609178538214</v>
      </c>
      <c r="L21" s="1313">
        <v>4484.5712403064763</v>
      </c>
      <c r="M21" s="1313">
        <v>4480.3083075156701</v>
      </c>
      <c r="N21" s="1313">
        <v>4485.6674867411402</v>
      </c>
      <c r="O21" s="1313">
        <v>4491.1874413433743</v>
      </c>
      <c r="P21" s="1313">
        <v>4496.8729945836758</v>
      </c>
      <c r="Q21" s="1313">
        <v>4502.7291144211868</v>
      </c>
      <c r="R21" s="1313">
        <v>4508.7609178538214</v>
      </c>
      <c r="S21" s="1313">
        <v>0</v>
      </c>
      <c r="T21" s="1313">
        <v>0</v>
      </c>
      <c r="U21" s="1313">
        <v>0</v>
      </c>
      <c r="V21" s="1313">
        <v>0</v>
      </c>
      <c r="W21" s="1313">
        <v>0</v>
      </c>
      <c r="X21" s="1313">
        <v>0</v>
      </c>
      <c r="Y21" s="1313">
        <v>0</v>
      </c>
    </row>
    <row r="22" spans="1:25" s="581" customFormat="1">
      <c r="A22" s="582" t="str">
        <f t="shared" si="0"/>
        <v>LI Multifamily - Whole BuildingKU</v>
      </c>
      <c r="B22" s="649" t="s">
        <v>58</v>
      </c>
      <c r="C22" s="677" t="s">
        <v>283</v>
      </c>
      <c r="D22" s="677"/>
      <c r="E22" s="1313">
        <v>545.62623388470001</v>
      </c>
      <c r="F22" s="1313">
        <v>555.74398827986761</v>
      </c>
      <c r="G22" s="1313">
        <v>633.66527530689018</v>
      </c>
      <c r="H22" s="1313">
        <v>561.67420094472322</v>
      </c>
      <c r="I22" s="1313">
        <v>564.77339435169142</v>
      </c>
      <c r="J22" s="1313">
        <v>567.96556356086876</v>
      </c>
      <c r="K22" s="1313">
        <v>571.25349784632135</v>
      </c>
      <c r="L22" s="1313">
        <v>545.62623388470001</v>
      </c>
      <c r="M22" s="1313">
        <v>555.74398827986761</v>
      </c>
      <c r="N22" s="1313">
        <v>633.66527530689018</v>
      </c>
      <c r="O22" s="1313">
        <v>561.67420094472322</v>
      </c>
      <c r="P22" s="1313">
        <v>564.77339435169142</v>
      </c>
      <c r="Q22" s="1313">
        <v>567.96556356086876</v>
      </c>
      <c r="R22" s="1313">
        <v>571.25349784632135</v>
      </c>
      <c r="S22" s="1313">
        <v>0</v>
      </c>
      <c r="T22" s="1313">
        <v>0</v>
      </c>
      <c r="U22" s="1313">
        <v>0</v>
      </c>
      <c r="V22" s="1313">
        <v>0</v>
      </c>
      <c r="W22" s="1313">
        <v>0</v>
      </c>
      <c r="X22" s="1313">
        <v>0</v>
      </c>
      <c r="Y22" s="1313">
        <v>0</v>
      </c>
    </row>
    <row r="23" spans="1:25" s="581" customFormat="1">
      <c r="A23" s="582" t="str">
        <f t="shared" si="0"/>
        <v>Appliance RecyclingKU</v>
      </c>
      <c r="B23" s="649" t="s">
        <v>59</v>
      </c>
      <c r="C23" s="677" t="s">
        <v>283</v>
      </c>
      <c r="D23" s="677"/>
      <c r="E23" s="1313">
        <v>0</v>
      </c>
      <c r="F23" s="1313">
        <v>0</v>
      </c>
      <c r="G23" s="1313">
        <v>835.58995323770625</v>
      </c>
      <c r="H23" s="1313">
        <v>861.74765183483737</v>
      </c>
      <c r="I23" s="1313">
        <v>962.94008138988261</v>
      </c>
      <c r="J23" s="1313">
        <v>889.16828383157895</v>
      </c>
      <c r="K23" s="1313">
        <v>890.43333234652641</v>
      </c>
      <c r="L23" s="1313">
        <v>0</v>
      </c>
      <c r="M23" s="1313">
        <v>0</v>
      </c>
      <c r="N23" s="1313">
        <v>685.58995323770625</v>
      </c>
      <c r="O23" s="1313">
        <v>686.74765183483737</v>
      </c>
      <c r="P23" s="1313">
        <v>762.94008138988261</v>
      </c>
      <c r="Q23" s="1313">
        <v>689.16828383157895</v>
      </c>
      <c r="R23" s="1313">
        <v>690.43333234652641</v>
      </c>
      <c r="S23" s="1313">
        <v>0</v>
      </c>
      <c r="T23" s="1313">
        <v>0</v>
      </c>
      <c r="U23" s="1313">
        <v>150</v>
      </c>
      <c r="V23" s="1313">
        <v>175.00000000000003</v>
      </c>
      <c r="W23" s="1313">
        <v>200</v>
      </c>
      <c r="X23" s="1313">
        <v>200</v>
      </c>
      <c r="Y23" s="1313">
        <v>200</v>
      </c>
    </row>
    <row r="24" spans="1:25" s="581" customFormat="1">
      <c r="A24" s="582" t="str">
        <f t="shared" si="0"/>
        <v>Online MarketplaceKU</v>
      </c>
      <c r="B24" s="649" t="s">
        <v>60</v>
      </c>
      <c r="C24" s="677" t="s">
        <v>283</v>
      </c>
      <c r="D24" s="677"/>
      <c r="E24" s="1313">
        <v>117.3075</v>
      </c>
      <c r="F24" s="1313">
        <v>156.501</v>
      </c>
      <c r="G24" s="1313">
        <v>255.13229999999999</v>
      </c>
      <c r="H24" s="1313">
        <v>487.013915</v>
      </c>
      <c r="I24" s="1313">
        <v>548.70836075</v>
      </c>
      <c r="J24" s="1313">
        <v>548.99690378750006</v>
      </c>
      <c r="K24" s="1313">
        <v>549.42643647687498</v>
      </c>
      <c r="L24" s="1313">
        <v>78</v>
      </c>
      <c r="M24" s="1313">
        <v>78</v>
      </c>
      <c r="N24" s="1313">
        <v>98</v>
      </c>
      <c r="O24" s="1313">
        <v>173</v>
      </c>
      <c r="P24" s="1313">
        <v>98</v>
      </c>
      <c r="Q24" s="1313">
        <v>98</v>
      </c>
      <c r="R24" s="1313">
        <v>98</v>
      </c>
      <c r="S24" s="1313">
        <v>39.307499999999997</v>
      </c>
      <c r="T24" s="1313">
        <v>78.501000000000005</v>
      </c>
      <c r="U24" s="1313">
        <v>157.13229999999999</v>
      </c>
      <c r="V24" s="1313">
        <v>314.013915</v>
      </c>
      <c r="W24" s="1313">
        <v>450.70836075</v>
      </c>
      <c r="X24" s="1313">
        <v>450.9969037875</v>
      </c>
      <c r="Y24" s="1313">
        <v>451.42643647687498</v>
      </c>
    </row>
    <row r="25" spans="1:25" s="581" customFormat="1">
      <c r="A25" s="582" t="str">
        <f t="shared" si="0"/>
        <v>Residential Audit OnlineKU</v>
      </c>
      <c r="B25" s="649" t="s">
        <v>61</v>
      </c>
      <c r="C25" s="677" t="s">
        <v>283</v>
      </c>
      <c r="D25" s="677"/>
      <c r="E25" s="1313">
        <v>0</v>
      </c>
      <c r="F25" s="1313">
        <v>542.66316095249749</v>
      </c>
      <c r="G25" s="1313">
        <v>632.71405578107249</v>
      </c>
      <c r="H25" s="1313">
        <v>798.27882745450461</v>
      </c>
      <c r="I25" s="1313">
        <v>840.56193477813986</v>
      </c>
      <c r="J25" s="1313">
        <v>817.81119838398399</v>
      </c>
      <c r="K25" s="1313">
        <v>820.12793989800355</v>
      </c>
      <c r="L25" s="1313">
        <v>0</v>
      </c>
      <c r="M25" s="1313">
        <v>267.46316095249756</v>
      </c>
      <c r="N25" s="1313">
        <v>270.56405578107251</v>
      </c>
      <c r="O25" s="1313">
        <v>348.77882745450466</v>
      </c>
      <c r="P25" s="1313">
        <v>277.11193477813981</v>
      </c>
      <c r="Q25" s="1313">
        <v>279.361198383984</v>
      </c>
      <c r="R25" s="1313">
        <v>281.6779398980035</v>
      </c>
      <c r="S25" s="1313">
        <v>0</v>
      </c>
      <c r="T25" s="1313">
        <v>275.2</v>
      </c>
      <c r="U25" s="1313">
        <v>362.15</v>
      </c>
      <c r="V25" s="1313">
        <v>449.5</v>
      </c>
      <c r="W25" s="1313">
        <v>563.45000000000005</v>
      </c>
      <c r="X25" s="1313">
        <v>538.45000000000005</v>
      </c>
      <c r="Y25" s="1313">
        <v>538.45000000000005</v>
      </c>
    </row>
    <row r="26" spans="1:25" s="581" customFormat="1">
      <c r="A26" s="582" t="str">
        <f t="shared" si="0"/>
        <v>BYOT &amp; BYODKU</v>
      </c>
      <c r="B26" s="649" t="s">
        <v>62</v>
      </c>
      <c r="C26" s="677" t="s">
        <v>283</v>
      </c>
      <c r="D26" s="677"/>
      <c r="E26" s="1313">
        <v>790.79322457860906</v>
      </c>
      <c r="F26" s="1313">
        <v>839.59502131596741</v>
      </c>
      <c r="G26" s="1313">
        <v>1487.8158719554465</v>
      </c>
      <c r="H26" s="1313">
        <v>2432.9957981141097</v>
      </c>
      <c r="I26" s="1313">
        <v>3805.448647057533</v>
      </c>
      <c r="J26" s="1313">
        <v>4937.8939689692588</v>
      </c>
      <c r="K26" s="1313">
        <v>6146.7848317883372</v>
      </c>
      <c r="L26" s="1313">
        <v>496.79322457860906</v>
      </c>
      <c r="M26" s="1313">
        <v>303.59502131596741</v>
      </c>
      <c r="N26" s="1313">
        <v>409.44087195544643</v>
      </c>
      <c r="O26" s="1313">
        <v>572.46929811410973</v>
      </c>
      <c r="P26" s="1313">
        <v>876.19689705753308</v>
      </c>
      <c r="Q26" s="1313">
        <v>1030.1513439692592</v>
      </c>
      <c r="R26" s="1313">
        <v>1259.4028942883369</v>
      </c>
      <c r="S26" s="1313">
        <v>294</v>
      </c>
      <c r="T26" s="1313">
        <v>536</v>
      </c>
      <c r="U26" s="1313">
        <v>1078.375</v>
      </c>
      <c r="V26" s="1313">
        <v>1860.5264999999999</v>
      </c>
      <c r="W26" s="1313">
        <v>2929.2517499999999</v>
      </c>
      <c r="X26" s="1313">
        <v>3907.7426249999999</v>
      </c>
      <c r="Y26" s="1313">
        <v>4887.3819375000003</v>
      </c>
    </row>
    <row r="27" spans="1:25" s="581" customFormat="1">
      <c r="A27" s="582" t="str">
        <f t="shared" si="0"/>
        <v>Business RebatesKU</v>
      </c>
      <c r="B27" s="649" t="s">
        <v>63</v>
      </c>
      <c r="C27" s="677" t="s">
        <v>283</v>
      </c>
      <c r="D27" s="677"/>
      <c r="E27" s="1313">
        <v>2333.8075353514128</v>
      </c>
      <c r="F27" s="1313">
        <v>2588.722819624943</v>
      </c>
      <c r="G27" s="1313">
        <v>2146.9048339338469</v>
      </c>
      <c r="H27" s="1313">
        <v>1883.891584424181</v>
      </c>
      <c r="I27" s="1313">
        <v>1941.4588684792252</v>
      </c>
      <c r="J27" s="1313">
        <v>1897.2281970059209</v>
      </c>
      <c r="K27" s="1313">
        <v>1896.2524703884174</v>
      </c>
      <c r="L27" s="1313">
        <v>749.24242759224853</v>
      </c>
      <c r="M27" s="1313">
        <v>752.19160799599456</v>
      </c>
      <c r="N27" s="1313">
        <v>780.22926381185312</v>
      </c>
      <c r="O27" s="1313">
        <v>783.35804930218728</v>
      </c>
      <c r="P27" s="1313">
        <v>836.58069835723154</v>
      </c>
      <c r="Q27" s="1313">
        <v>789.90002688392724</v>
      </c>
      <c r="R27" s="1313">
        <v>793.31893526642364</v>
      </c>
      <c r="S27" s="1313">
        <v>1584.5651077591642</v>
      </c>
      <c r="T27" s="1313">
        <v>1836.5312116289483</v>
      </c>
      <c r="U27" s="1313">
        <v>1366.6755701219936</v>
      </c>
      <c r="V27" s="1313">
        <v>1100.5335351219937</v>
      </c>
      <c r="W27" s="1313">
        <v>1104.8781701219937</v>
      </c>
      <c r="X27" s="1313">
        <v>1107.3281701219937</v>
      </c>
      <c r="Y27" s="1313">
        <v>1102.9335351219936</v>
      </c>
    </row>
    <row r="28" spans="1:25" s="581" customFormat="1">
      <c r="A28" s="582" t="str">
        <f t="shared" ref="A28:A34" si="2">B28&amp;C28</f>
        <v>Small Business - Audit &amp; DIKU</v>
      </c>
      <c r="B28" s="649" t="s">
        <v>64</v>
      </c>
      <c r="C28" s="677" t="s">
        <v>283</v>
      </c>
      <c r="D28" s="677"/>
      <c r="E28" s="1313">
        <v>311.04906205552476</v>
      </c>
      <c r="F28" s="1313">
        <v>308.81463401719054</v>
      </c>
      <c r="G28" s="1313">
        <v>309.93861323770625</v>
      </c>
      <c r="H28" s="1313">
        <v>311.09631183483742</v>
      </c>
      <c r="I28" s="1313">
        <v>362.28874138988255</v>
      </c>
      <c r="J28" s="1313">
        <v>313.516943831579</v>
      </c>
      <c r="K28" s="1313">
        <v>314.78199234652641</v>
      </c>
      <c r="L28" s="1313">
        <v>311.04906205552476</v>
      </c>
      <c r="M28" s="1313">
        <v>308.81463401719054</v>
      </c>
      <c r="N28" s="1313">
        <v>309.93861323770625</v>
      </c>
      <c r="O28" s="1313">
        <v>311.09631183483742</v>
      </c>
      <c r="P28" s="1313">
        <v>362.28874138988255</v>
      </c>
      <c r="Q28" s="1313">
        <v>313.516943831579</v>
      </c>
      <c r="R28" s="1313">
        <v>314.78199234652641</v>
      </c>
      <c r="S28" s="1313">
        <v>0</v>
      </c>
      <c r="T28" s="1313">
        <v>0</v>
      </c>
      <c r="U28" s="1313">
        <v>0</v>
      </c>
      <c r="V28" s="1313">
        <v>0</v>
      </c>
      <c r="W28" s="1313">
        <v>0</v>
      </c>
      <c r="X28" s="1313">
        <v>0</v>
      </c>
      <c r="Y28" s="1313">
        <v>0</v>
      </c>
    </row>
    <row r="29" spans="1:25" s="581" customFormat="1">
      <c r="A29" s="582" t="str">
        <f t="shared" si="2"/>
        <v>Residential Demand ConservationKU</v>
      </c>
      <c r="B29" s="649" t="s">
        <v>4</v>
      </c>
      <c r="C29" s="677" t="s">
        <v>283</v>
      </c>
      <c r="D29" s="677"/>
      <c r="E29" s="1313">
        <v>1737.3572644728858</v>
      </c>
      <c r="F29" s="1313">
        <v>1695.6375117331788</v>
      </c>
      <c r="G29" s="1313">
        <v>1511.7777122409059</v>
      </c>
      <c r="H29" s="1313">
        <v>2291.6296645934899</v>
      </c>
      <c r="I29" s="1313">
        <v>6062.0846194532278</v>
      </c>
      <c r="J29" s="1313">
        <v>5508.6550868451723</v>
      </c>
      <c r="K29" s="1313">
        <v>5013.2930321452932</v>
      </c>
      <c r="L29" s="1313">
        <v>569.61471937135684</v>
      </c>
      <c r="M29" s="1313">
        <v>646.61316095249754</v>
      </c>
      <c r="N29" s="1313">
        <v>573.67155578107247</v>
      </c>
      <c r="O29" s="1313">
        <v>575.79170245450473</v>
      </c>
      <c r="P29" s="1313">
        <v>577.97545352813984</v>
      </c>
      <c r="Q29" s="1313">
        <v>580.22471713398397</v>
      </c>
      <c r="R29" s="1313">
        <v>582.54145864800353</v>
      </c>
      <c r="S29" s="1313">
        <v>1167.742545101529</v>
      </c>
      <c r="T29" s="1313">
        <v>1049.0243507806813</v>
      </c>
      <c r="U29" s="1313">
        <v>938.10615645983341</v>
      </c>
      <c r="V29" s="1313">
        <v>1715.8379621389854</v>
      </c>
      <c r="W29" s="1313">
        <v>5484.1091659250878</v>
      </c>
      <c r="X29" s="1313">
        <v>4928.4303697111882</v>
      </c>
      <c r="Y29" s="1313">
        <v>4430.7515734972894</v>
      </c>
    </row>
    <row r="30" spans="1:25" s="581" customFormat="1">
      <c r="A30" s="582" t="str">
        <f t="shared" si="2"/>
        <v>Large Nonres Demand Con.KU</v>
      </c>
      <c r="B30" s="649" t="s">
        <v>65</v>
      </c>
      <c r="C30" s="677" t="s">
        <v>283</v>
      </c>
      <c r="D30" s="677"/>
      <c r="E30" s="1313">
        <v>1734.3925412557871</v>
      </c>
      <c r="F30" s="1313">
        <v>2066.7593717069221</v>
      </c>
      <c r="G30" s="1313">
        <v>2325.2302358345814</v>
      </c>
      <c r="H30" s="1313">
        <v>2789.4050848464076</v>
      </c>
      <c r="I30" s="1313">
        <v>3225.8627790896267</v>
      </c>
      <c r="J30" s="1313">
        <v>3664.3896033958436</v>
      </c>
      <c r="K30" s="1313">
        <v>3454.1993797633854</v>
      </c>
      <c r="L30" s="1313">
        <v>648.31613477687324</v>
      </c>
      <c r="M30" s="1313">
        <v>703.74414722264612</v>
      </c>
      <c r="N30" s="1313">
        <v>648.64458156123942</v>
      </c>
      <c r="O30" s="1313">
        <v>699.52029177397367</v>
      </c>
      <c r="P30" s="1313">
        <v>708.52551331160851</v>
      </c>
      <c r="Q30" s="1313">
        <v>713.59849161931766</v>
      </c>
      <c r="R30" s="1313">
        <v>503.4082679868597</v>
      </c>
      <c r="S30" s="1313">
        <v>1086.0764064789139</v>
      </c>
      <c r="T30" s="1313">
        <v>1363.0152244842759</v>
      </c>
      <c r="U30" s="1313">
        <v>1676.5856542733418</v>
      </c>
      <c r="V30" s="1313">
        <v>2089.8847930724337</v>
      </c>
      <c r="W30" s="1313">
        <v>2517.3372657780183</v>
      </c>
      <c r="X30" s="1313">
        <v>2950.7911117765257</v>
      </c>
      <c r="Y30" s="1313">
        <v>2950.7911117765257</v>
      </c>
    </row>
    <row r="31" spans="1:25" s="581" customFormat="1">
      <c r="A31" s="582" t="str">
        <f t="shared" si="2"/>
        <v>Peak Time RebateKU</v>
      </c>
      <c r="B31" s="649" t="s">
        <v>66</v>
      </c>
      <c r="C31" s="677" t="s">
        <v>283</v>
      </c>
      <c r="D31" s="677"/>
      <c r="E31" s="1313">
        <v>125</v>
      </c>
      <c r="F31" s="1313">
        <v>1372.6100947929103</v>
      </c>
      <c r="G31" s="1313">
        <v>1479.2530137060071</v>
      </c>
      <c r="H31" s="1313">
        <v>2840.8298362558062</v>
      </c>
      <c r="I31" s="1313">
        <v>4960.789961298985</v>
      </c>
      <c r="J31" s="1313">
        <v>5037.7152057690146</v>
      </c>
      <c r="K31" s="1313">
        <v>4964.6982075731448</v>
      </c>
      <c r="L31" s="1313">
        <v>125</v>
      </c>
      <c r="M31" s="1313">
        <v>744.72904729877689</v>
      </c>
      <c r="N31" s="1313">
        <v>223.49091871774016</v>
      </c>
      <c r="O31" s="1313">
        <v>329.30564627927237</v>
      </c>
      <c r="P31" s="1313">
        <v>493.17481566765053</v>
      </c>
      <c r="Q31" s="1313">
        <v>570.10006013768009</v>
      </c>
      <c r="R31" s="1313">
        <v>497.08306194181046</v>
      </c>
      <c r="S31" s="1313">
        <v>0</v>
      </c>
      <c r="T31" s="1313">
        <v>627.88104749413344</v>
      </c>
      <c r="U31" s="1313">
        <v>1255.7620949882669</v>
      </c>
      <c r="V31" s="1313">
        <v>2511.5241899765338</v>
      </c>
      <c r="W31" s="1313">
        <v>4467.6151456313346</v>
      </c>
      <c r="X31" s="1313">
        <v>4467.6151456313346</v>
      </c>
      <c r="Y31" s="1313">
        <v>4467.6151456313346</v>
      </c>
    </row>
    <row r="32" spans="1:25" s="581" customFormat="1">
      <c r="A32" s="582" t="str">
        <f t="shared" si="2"/>
        <v>Residential Managed ChargingKU</v>
      </c>
      <c r="B32" s="649" t="s">
        <v>67</v>
      </c>
      <c r="C32" s="677" t="s">
        <v>283</v>
      </c>
      <c r="D32" s="677"/>
      <c r="E32" s="1313">
        <v>263.12473205552476</v>
      </c>
      <c r="F32" s="1313">
        <v>269.21597401719055</v>
      </c>
      <c r="G32" s="1313">
        <v>337.83995323770625</v>
      </c>
      <c r="H32" s="1313">
        <v>406.49765183483743</v>
      </c>
      <c r="I32" s="1313">
        <v>561.44008138988261</v>
      </c>
      <c r="J32" s="1313">
        <v>697.66828383157895</v>
      </c>
      <c r="K32" s="1313">
        <v>908.93333234652641</v>
      </c>
      <c r="L32" s="1313">
        <v>221.87473205552476</v>
      </c>
      <c r="M32" s="1313">
        <v>205.46597401719052</v>
      </c>
      <c r="N32" s="1313">
        <v>251.58995323770623</v>
      </c>
      <c r="O32" s="1313">
        <v>297.74765183483743</v>
      </c>
      <c r="P32" s="1313">
        <v>388.94008138988255</v>
      </c>
      <c r="Q32" s="1313">
        <v>480.168283831579</v>
      </c>
      <c r="R32" s="1313">
        <v>646.43333234652641</v>
      </c>
      <c r="S32" s="1313">
        <v>41.25</v>
      </c>
      <c r="T32" s="1313">
        <v>63.75</v>
      </c>
      <c r="U32" s="1313">
        <v>86.25</v>
      </c>
      <c r="V32" s="1313">
        <v>108.75</v>
      </c>
      <c r="W32" s="1313">
        <v>172.5</v>
      </c>
      <c r="X32" s="1313">
        <v>217.5</v>
      </c>
      <c r="Y32" s="1313">
        <v>262.5</v>
      </c>
    </row>
    <row r="33" spans="1:25" s="581" customFormat="1">
      <c r="A33" s="582" t="str">
        <f t="shared" si="2"/>
        <v>NonRes Midstream LightingKU</v>
      </c>
      <c r="B33" s="649" t="s">
        <v>68</v>
      </c>
      <c r="C33" s="677" t="s">
        <v>283</v>
      </c>
      <c r="D33" s="677"/>
      <c r="E33" s="1313">
        <v>0</v>
      </c>
      <c r="F33" s="1313">
        <v>0</v>
      </c>
      <c r="G33" s="1313">
        <v>1453.001647134442</v>
      </c>
      <c r="H33" s="1313">
        <v>1844.0629445484751</v>
      </c>
      <c r="I33" s="1313">
        <v>1896.2942720849296</v>
      </c>
      <c r="J33" s="1313">
        <v>1540.2554674474773</v>
      </c>
      <c r="K33" s="1313">
        <v>1295.9530252309016</v>
      </c>
      <c r="L33" s="1313">
        <v>0</v>
      </c>
      <c r="M33" s="1313">
        <v>0</v>
      </c>
      <c r="N33" s="1313">
        <v>425.21124713444181</v>
      </c>
      <c r="O33" s="1313">
        <v>302.37758454847506</v>
      </c>
      <c r="P33" s="1313">
        <v>354.60891208492933</v>
      </c>
      <c r="Q33" s="1313">
        <v>306.90717944747723</v>
      </c>
      <c r="R33" s="1313">
        <v>309.27439483090154</v>
      </c>
      <c r="S33" s="1313">
        <v>0</v>
      </c>
      <c r="T33" s="1313">
        <v>0</v>
      </c>
      <c r="U33" s="1313">
        <v>1027.7904000000001</v>
      </c>
      <c r="V33" s="1313">
        <v>1541.6853600000002</v>
      </c>
      <c r="W33" s="1313">
        <v>1541.6853600000002</v>
      </c>
      <c r="X33" s="1313">
        <v>1233.3482879999999</v>
      </c>
      <c r="Y33" s="1313">
        <v>986.67863040000009</v>
      </c>
    </row>
    <row r="34" spans="1:25" s="581" customFormat="1">
      <c r="A34" s="582" t="str">
        <f t="shared" si="2"/>
        <v>PDAKU</v>
      </c>
      <c r="B34" s="649" t="s">
        <v>69</v>
      </c>
      <c r="C34" s="677" t="s">
        <v>283</v>
      </c>
      <c r="D34" s="677"/>
      <c r="E34" s="1313">
        <v>1814.3266874999999</v>
      </c>
      <c r="F34" s="1313">
        <v>1778.2166875</v>
      </c>
      <c r="G34" s="1313">
        <v>1355.0233874999999</v>
      </c>
      <c r="H34" s="1313">
        <v>1444.7592884999999</v>
      </c>
      <c r="I34" s="1313">
        <v>1384.93726653</v>
      </c>
      <c r="J34" s="1313">
        <v>1400.5705839009001</v>
      </c>
      <c r="K34" s="1313">
        <v>1491.6729007929271</v>
      </c>
      <c r="L34" s="1313">
        <v>1814.3266874999999</v>
      </c>
      <c r="M34" s="1313">
        <v>1778.2166875</v>
      </c>
      <c r="N34" s="1313">
        <v>1355.0233874999999</v>
      </c>
      <c r="O34" s="1313">
        <v>1444.7592884999999</v>
      </c>
      <c r="P34" s="1313">
        <v>1384.93726653</v>
      </c>
      <c r="Q34" s="1313">
        <v>1400.5705839009001</v>
      </c>
      <c r="R34" s="1313">
        <v>1491.6729007929271</v>
      </c>
      <c r="S34" s="1313">
        <v>0</v>
      </c>
      <c r="T34" s="1313">
        <v>0</v>
      </c>
      <c r="U34" s="1313">
        <v>0</v>
      </c>
      <c r="V34" s="1313">
        <v>0</v>
      </c>
      <c r="W34" s="1313">
        <v>0</v>
      </c>
      <c r="X34" s="1313">
        <v>0</v>
      </c>
      <c r="Y34" s="1313">
        <v>0</v>
      </c>
    </row>
    <row r="35" spans="1:25" s="581" customFormat="1">
      <c r="A35" s="582" t="str">
        <f t="shared" si="0"/>
        <v>TotalKU</v>
      </c>
      <c r="B35" s="678" t="s">
        <v>148</v>
      </c>
      <c r="C35" s="679" t="s">
        <v>283</v>
      </c>
      <c r="D35" s="679"/>
      <c r="E35" s="1314">
        <v>14257.356021460921</v>
      </c>
      <c r="F35" s="1314">
        <v>16654.788571456338</v>
      </c>
      <c r="G35" s="1314">
        <v>19249.554339847455</v>
      </c>
      <c r="H35" s="1314">
        <v>23445.070201529583</v>
      </c>
      <c r="I35" s="1314">
        <v>31614.462002626682</v>
      </c>
      <c r="J35" s="1314">
        <v>32324.564404981866</v>
      </c>
      <c r="K35" s="1314">
        <v>32826.571296797003</v>
      </c>
      <c r="L35" s="1314">
        <v>10044.414462121313</v>
      </c>
      <c r="M35" s="1314">
        <v>10824.8857370683</v>
      </c>
      <c r="N35" s="1314">
        <v>11150.727164004016</v>
      </c>
      <c r="O35" s="1314">
        <v>11577.813946219636</v>
      </c>
      <c r="P35" s="1314">
        <v>12182.926784420248</v>
      </c>
      <c r="Q35" s="1314">
        <v>12322.361790953322</v>
      </c>
      <c r="R35" s="1314">
        <v>12548.042926392987</v>
      </c>
      <c r="S35" s="1314">
        <v>4212.941559339607</v>
      </c>
      <c r="T35" s="1314">
        <v>5829.9028343880391</v>
      </c>
      <c r="U35" s="1314">
        <v>8098.8271758434357</v>
      </c>
      <c r="V35" s="1314">
        <v>11867.256255309945</v>
      </c>
      <c r="W35" s="1314">
        <v>19431.535218206434</v>
      </c>
      <c r="X35" s="1314">
        <v>20002.202614028542</v>
      </c>
      <c r="Y35" s="1314">
        <v>20278.528370404019</v>
      </c>
    </row>
    <row r="36" spans="1:25" s="581" customFormat="1">
      <c r="A36" s="582" t="str">
        <f t="shared" si="0"/>
        <v>WeCare V2LG&amp;E</v>
      </c>
      <c r="B36" s="649" t="s">
        <v>57</v>
      </c>
      <c r="C36" s="677" t="s">
        <v>314</v>
      </c>
      <c r="D36" s="677"/>
      <c r="E36" s="1313">
        <v>4484.5712403064763</v>
      </c>
      <c r="F36" s="1313">
        <v>4480.3083075156701</v>
      </c>
      <c r="G36" s="1313">
        <v>4485.6674867411402</v>
      </c>
      <c r="H36" s="1313">
        <v>4491.1874413433743</v>
      </c>
      <c r="I36" s="1313">
        <v>4496.8729945836758</v>
      </c>
      <c r="J36" s="1313">
        <v>4502.7291144211868</v>
      </c>
      <c r="K36" s="1313">
        <v>4508.7609178538214</v>
      </c>
      <c r="L36" s="1313">
        <v>4484.5712403064763</v>
      </c>
      <c r="M36" s="1313">
        <v>4480.3083075156701</v>
      </c>
      <c r="N36" s="1313">
        <v>4485.6674867411402</v>
      </c>
      <c r="O36" s="1313">
        <v>4491.1874413433743</v>
      </c>
      <c r="P36" s="1313">
        <v>4496.8729945836758</v>
      </c>
      <c r="Q36" s="1313">
        <v>4502.7291144211868</v>
      </c>
      <c r="R36" s="1313">
        <v>4508.7609178538214</v>
      </c>
      <c r="S36" s="1313">
        <v>0</v>
      </c>
      <c r="T36" s="1313">
        <v>0</v>
      </c>
      <c r="U36" s="1313">
        <v>0</v>
      </c>
      <c r="V36" s="1313">
        <v>0</v>
      </c>
      <c r="W36" s="1313">
        <v>0</v>
      </c>
      <c r="X36" s="1313">
        <v>0</v>
      </c>
      <c r="Y36" s="1313">
        <v>0</v>
      </c>
    </row>
    <row r="37" spans="1:25" s="581" customFormat="1">
      <c r="A37" s="582" t="str">
        <f t="shared" si="0"/>
        <v>LI Multifamily - Whole BuildingLG&amp;E</v>
      </c>
      <c r="B37" s="649" t="s">
        <v>58</v>
      </c>
      <c r="C37" s="677" t="s">
        <v>314</v>
      </c>
      <c r="D37" s="677"/>
      <c r="E37" s="1313">
        <v>545.62623388470001</v>
      </c>
      <c r="F37" s="1313">
        <v>555.74398827986761</v>
      </c>
      <c r="G37" s="1313">
        <v>633.66527530689018</v>
      </c>
      <c r="H37" s="1313">
        <v>561.67420094472322</v>
      </c>
      <c r="I37" s="1313">
        <v>564.77339435169142</v>
      </c>
      <c r="J37" s="1313">
        <v>567.96556356086876</v>
      </c>
      <c r="K37" s="1313">
        <v>571.25349784632135</v>
      </c>
      <c r="L37" s="1313">
        <v>545.62623388470001</v>
      </c>
      <c r="M37" s="1313">
        <v>555.74398827986761</v>
      </c>
      <c r="N37" s="1313">
        <v>633.66527530689018</v>
      </c>
      <c r="O37" s="1313">
        <v>561.67420094472322</v>
      </c>
      <c r="P37" s="1313">
        <v>564.77339435169142</v>
      </c>
      <c r="Q37" s="1313">
        <v>567.96556356086876</v>
      </c>
      <c r="R37" s="1313">
        <v>571.25349784632135</v>
      </c>
      <c r="S37" s="1313">
        <v>0</v>
      </c>
      <c r="T37" s="1313">
        <v>0</v>
      </c>
      <c r="U37" s="1313">
        <v>0</v>
      </c>
      <c r="V37" s="1313">
        <v>0</v>
      </c>
      <c r="W37" s="1313">
        <v>0</v>
      </c>
      <c r="X37" s="1313">
        <v>0</v>
      </c>
      <c r="Y37" s="1313">
        <v>0</v>
      </c>
    </row>
    <row r="38" spans="1:25" s="581" customFormat="1">
      <c r="A38" s="582" t="str">
        <f t="shared" si="0"/>
        <v>Appliance RecyclingLG&amp;E</v>
      </c>
      <c r="B38" s="649" t="s">
        <v>59</v>
      </c>
      <c r="C38" s="677" t="s">
        <v>314</v>
      </c>
      <c r="D38" s="677"/>
      <c r="E38" s="1313">
        <v>0</v>
      </c>
      <c r="F38" s="1313">
        <v>0</v>
      </c>
      <c r="G38" s="1313">
        <v>835.58995323770625</v>
      </c>
      <c r="H38" s="1313">
        <v>861.74765183483737</v>
      </c>
      <c r="I38" s="1313">
        <v>962.94008138988261</v>
      </c>
      <c r="J38" s="1313">
        <v>889.16828383157895</v>
      </c>
      <c r="K38" s="1313">
        <v>890.43333234652641</v>
      </c>
      <c r="L38" s="1313">
        <v>0</v>
      </c>
      <c r="M38" s="1313">
        <v>0</v>
      </c>
      <c r="N38" s="1313">
        <v>685.58995323770625</v>
      </c>
      <c r="O38" s="1313">
        <v>686.74765183483737</v>
      </c>
      <c r="P38" s="1313">
        <v>762.94008138988261</v>
      </c>
      <c r="Q38" s="1313">
        <v>689.16828383157895</v>
      </c>
      <c r="R38" s="1313">
        <v>690.43333234652641</v>
      </c>
      <c r="S38" s="1313">
        <v>0</v>
      </c>
      <c r="T38" s="1313">
        <v>0</v>
      </c>
      <c r="U38" s="1313">
        <v>150</v>
      </c>
      <c r="V38" s="1313">
        <v>175.00000000000003</v>
      </c>
      <c r="W38" s="1313">
        <v>200</v>
      </c>
      <c r="X38" s="1313">
        <v>200</v>
      </c>
      <c r="Y38" s="1313">
        <v>200</v>
      </c>
    </row>
    <row r="39" spans="1:25" s="581" customFormat="1">
      <c r="A39" s="582" t="str">
        <f t="shared" si="0"/>
        <v>Online MarketplaceLG&amp;E</v>
      </c>
      <c r="B39" s="649" t="s">
        <v>60</v>
      </c>
      <c r="C39" s="677" t="s">
        <v>314</v>
      </c>
      <c r="D39" s="677"/>
      <c r="E39" s="1313">
        <v>117.3075</v>
      </c>
      <c r="F39" s="1313">
        <v>156.501</v>
      </c>
      <c r="G39" s="1313">
        <v>255.13229999999999</v>
      </c>
      <c r="H39" s="1313">
        <v>487.013915</v>
      </c>
      <c r="I39" s="1313">
        <v>548.70836075</v>
      </c>
      <c r="J39" s="1313">
        <v>548.99690378750006</v>
      </c>
      <c r="K39" s="1313">
        <v>549.42643647687498</v>
      </c>
      <c r="L39" s="1313">
        <v>78</v>
      </c>
      <c r="M39" s="1313">
        <v>78</v>
      </c>
      <c r="N39" s="1313">
        <v>98</v>
      </c>
      <c r="O39" s="1313">
        <v>173</v>
      </c>
      <c r="P39" s="1313">
        <v>98</v>
      </c>
      <c r="Q39" s="1313">
        <v>98</v>
      </c>
      <c r="R39" s="1313">
        <v>98</v>
      </c>
      <c r="S39" s="1313">
        <v>39.307499999999997</v>
      </c>
      <c r="T39" s="1313">
        <v>78.501000000000005</v>
      </c>
      <c r="U39" s="1313">
        <v>157.13229999999999</v>
      </c>
      <c r="V39" s="1313">
        <v>314.013915</v>
      </c>
      <c r="W39" s="1313">
        <v>450.70836075</v>
      </c>
      <c r="X39" s="1313">
        <v>450.9969037875</v>
      </c>
      <c r="Y39" s="1313">
        <v>451.42643647687498</v>
      </c>
    </row>
    <row r="40" spans="1:25" s="581" customFormat="1">
      <c r="A40" s="582" t="str">
        <f t="shared" si="0"/>
        <v>Residential Audit OnlineLG&amp;E</v>
      </c>
      <c r="B40" s="649" t="s">
        <v>61</v>
      </c>
      <c r="C40" s="677" t="s">
        <v>314</v>
      </c>
      <c r="D40" s="677"/>
      <c r="E40" s="1313">
        <v>0</v>
      </c>
      <c r="F40" s="1313">
        <v>542.66316095249749</v>
      </c>
      <c r="G40" s="1313">
        <v>632.71405578107249</v>
      </c>
      <c r="H40" s="1313">
        <v>798.27882745450461</v>
      </c>
      <c r="I40" s="1313">
        <v>840.56193477813986</v>
      </c>
      <c r="J40" s="1313">
        <v>817.81119838398399</v>
      </c>
      <c r="K40" s="1313">
        <v>820.12793989800355</v>
      </c>
      <c r="L40" s="1313">
        <v>0</v>
      </c>
      <c r="M40" s="1313">
        <v>267.46316095249756</v>
      </c>
      <c r="N40" s="1313">
        <v>270.56405578107251</v>
      </c>
      <c r="O40" s="1313">
        <v>348.77882745450466</v>
      </c>
      <c r="P40" s="1313">
        <v>277.11193477813981</v>
      </c>
      <c r="Q40" s="1313">
        <v>279.361198383984</v>
      </c>
      <c r="R40" s="1313">
        <v>281.6779398980035</v>
      </c>
      <c r="S40" s="1313">
        <v>0</v>
      </c>
      <c r="T40" s="1313">
        <v>275.2</v>
      </c>
      <c r="U40" s="1313">
        <v>362.15</v>
      </c>
      <c r="V40" s="1313">
        <v>449.5</v>
      </c>
      <c r="W40" s="1313">
        <v>563.45000000000005</v>
      </c>
      <c r="X40" s="1313">
        <v>538.45000000000005</v>
      </c>
      <c r="Y40" s="1313">
        <v>538.45000000000005</v>
      </c>
    </row>
    <row r="41" spans="1:25" s="581" customFormat="1">
      <c r="A41" s="582" t="str">
        <f t="shared" si="0"/>
        <v>BYOT &amp; BYODLG&amp;E</v>
      </c>
      <c r="B41" s="649" t="s">
        <v>62</v>
      </c>
      <c r="C41" s="677" t="s">
        <v>314</v>
      </c>
      <c r="D41" s="677"/>
      <c r="E41" s="1313">
        <v>790.79322457860906</v>
      </c>
      <c r="F41" s="1313">
        <v>839.59502131596741</v>
      </c>
      <c r="G41" s="1313">
        <v>1487.8158719554465</v>
      </c>
      <c r="H41" s="1313">
        <v>2432.9957981141097</v>
      </c>
      <c r="I41" s="1313">
        <v>3805.448647057533</v>
      </c>
      <c r="J41" s="1313">
        <v>4937.8939689692588</v>
      </c>
      <c r="K41" s="1313">
        <v>6146.7848317883372</v>
      </c>
      <c r="L41" s="1313">
        <v>496.79322457860906</v>
      </c>
      <c r="M41" s="1313">
        <v>303.59502131596741</v>
      </c>
      <c r="N41" s="1313">
        <v>409.44087195544643</v>
      </c>
      <c r="O41" s="1313">
        <v>572.46929811410973</v>
      </c>
      <c r="P41" s="1313">
        <v>876.19689705753308</v>
      </c>
      <c r="Q41" s="1313">
        <v>1030.1513439692592</v>
      </c>
      <c r="R41" s="1313">
        <v>1259.4028942883369</v>
      </c>
      <c r="S41" s="1313">
        <v>294</v>
      </c>
      <c r="T41" s="1313">
        <v>536</v>
      </c>
      <c r="U41" s="1313">
        <v>1078.375</v>
      </c>
      <c r="V41" s="1313">
        <v>1860.5264999999999</v>
      </c>
      <c r="W41" s="1313">
        <v>2929.2517499999999</v>
      </c>
      <c r="X41" s="1313">
        <v>3907.7426249999999</v>
      </c>
      <c r="Y41" s="1313">
        <v>4887.3819375000003</v>
      </c>
    </row>
    <row r="42" spans="1:25" s="581" customFormat="1">
      <c r="A42" s="582" t="str">
        <f t="shared" si="0"/>
        <v>Business RebatesLG&amp;E</v>
      </c>
      <c r="B42" s="649" t="s">
        <v>63</v>
      </c>
      <c r="C42" s="677" t="s">
        <v>314</v>
      </c>
      <c r="D42" s="677"/>
      <c r="E42" s="1313">
        <v>2333.8075353514128</v>
      </c>
      <c r="F42" s="1313">
        <v>2588.722819624943</v>
      </c>
      <c r="G42" s="1313">
        <v>2146.9048339338469</v>
      </c>
      <c r="H42" s="1313">
        <v>1883.891584424181</v>
      </c>
      <c r="I42" s="1313">
        <v>1941.4588684792252</v>
      </c>
      <c r="J42" s="1313">
        <v>1897.2281970059209</v>
      </c>
      <c r="K42" s="1313">
        <v>1896.2524703884174</v>
      </c>
      <c r="L42" s="1313">
        <v>749.24242759224853</v>
      </c>
      <c r="M42" s="1313">
        <v>752.19160799599456</v>
      </c>
      <c r="N42" s="1313">
        <v>780.22926381185312</v>
      </c>
      <c r="O42" s="1313">
        <v>783.35804930218728</v>
      </c>
      <c r="P42" s="1313">
        <v>836.58069835723154</v>
      </c>
      <c r="Q42" s="1313">
        <v>789.90002688392724</v>
      </c>
      <c r="R42" s="1313">
        <v>793.31893526642364</v>
      </c>
      <c r="S42" s="1313">
        <v>1584.5651077591642</v>
      </c>
      <c r="T42" s="1313">
        <v>1836.5312116289483</v>
      </c>
      <c r="U42" s="1313">
        <v>1366.6755701219936</v>
      </c>
      <c r="V42" s="1313">
        <v>1100.5335351219937</v>
      </c>
      <c r="W42" s="1313">
        <v>1104.8781701219937</v>
      </c>
      <c r="X42" s="1313">
        <v>1107.3281701219937</v>
      </c>
      <c r="Y42" s="1313">
        <v>1102.9335351219936</v>
      </c>
    </row>
    <row r="43" spans="1:25" s="581" customFormat="1">
      <c r="A43" s="582" t="str">
        <f t="shared" ref="A43:A49" si="3">B43&amp;C43</f>
        <v>Small Business - Audit &amp; DILG&amp;E</v>
      </c>
      <c r="B43" s="649" t="s">
        <v>64</v>
      </c>
      <c r="C43" s="677" t="s">
        <v>314</v>
      </c>
      <c r="D43" s="677"/>
      <c r="E43" s="1313">
        <v>311.04906205552476</v>
      </c>
      <c r="F43" s="1313">
        <v>308.81463401719054</v>
      </c>
      <c r="G43" s="1313">
        <v>309.93861323770625</v>
      </c>
      <c r="H43" s="1313">
        <v>311.09631183483742</v>
      </c>
      <c r="I43" s="1313">
        <v>362.28874138988255</v>
      </c>
      <c r="J43" s="1313">
        <v>313.516943831579</v>
      </c>
      <c r="K43" s="1313">
        <v>314.78199234652641</v>
      </c>
      <c r="L43" s="1313">
        <v>311.04906205552476</v>
      </c>
      <c r="M43" s="1313">
        <v>308.81463401719054</v>
      </c>
      <c r="N43" s="1313">
        <v>309.93861323770625</v>
      </c>
      <c r="O43" s="1313">
        <v>311.09631183483742</v>
      </c>
      <c r="P43" s="1313">
        <v>362.28874138988255</v>
      </c>
      <c r="Q43" s="1313">
        <v>313.516943831579</v>
      </c>
      <c r="R43" s="1313">
        <v>314.78199234652641</v>
      </c>
      <c r="S43" s="1313">
        <v>0</v>
      </c>
      <c r="T43" s="1313">
        <v>0</v>
      </c>
      <c r="U43" s="1313">
        <v>0</v>
      </c>
      <c r="V43" s="1313">
        <v>0</v>
      </c>
      <c r="W43" s="1313">
        <v>0</v>
      </c>
      <c r="X43" s="1313">
        <v>0</v>
      </c>
      <c r="Y43" s="1313">
        <v>0</v>
      </c>
    </row>
    <row r="44" spans="1:25" s="581" customFormat="1">
      <c r="A44" s="582" t="str">
        <f t="shared" si="3"/>
        <v>Residential Demand ConservationLG&amp;E</v>
      </c>
      <c r="B44" s="649" t="s">
        <v>4</v>
      </c>
      <c r="C44" s="677" t="s">
        <v>314</v>
      </c>
      <c r="D44" s="677"/>
      <c r="E44" s="1313">
        <v>1737.3572644728858</v>
      </c>
      <c r="F44" s="1313">
        <v>1695.6375117331788</v>
      </c>
      <c r="G44" s="1313">
        <v>1511.7777122409059</v>
      </c>
      <c r="H44" s="1313">
        <v>2291.6296645934899</v>
      </c>
      <c r="I44" s="1313">
        <v>6062.0846194532278</v>
      </c>
      <c r="J44" s="1313">
        <v>5508.6550868451723</v>
      </c>
      <c r="K44" s="1313">
        <v>5013.2930321452932</v>
      </c>
      <c r="L44" s="1313">
        <v>569.61471937135684</v>
      </c>
      <c r="M44" s="1313">
        <v>646.61316095249754</v>
      </c>
      <c r="N44" s="1313">
        <v>573.67155578107247</v>
      </c>
      <c r="O44" s="1313">
        <v>575.79170245450473</v>
      </c>
      <c r="P44" s="1313">
        <v>577.97545352813984</v>
      </c>
      <c r="Q44" s="1313">
        <v>580.22471713398397</v>
      </c>
      <c r="R44" s="1313">
        <v>582.54145864800353</v>
      </c>
      <c r="S44" s="1313">
        <v>1167.742545101529</v>
      </c>
      <c r="T44" s="1313">
        <v>1049.0243507806813</v>
      </c>
      <c r="U44" s="1313">
        <v>938.10615645983341</v>
      </c>
      <c r="V44" s="1313">
        <v>1715.8379621389854</v>
      </c>
      <c r="W44" s="1313">
        <v>5484.1091659250878</v>
      </c>
      <c r="X44" s="1313">
        <v>4928.4303697111882</v>
      </c>
      <c r="Y44" s="1313">
        <v>4430.7515734972894</v>
      </c>
    </row>
    <row r="45" spans="1:25" s="581" customFormat="1">
      <c r="A45" s="582" t="str">
        <f t="shared" si="3"/>
        <v>Large Nonres Demand Con.LG&amp;E</v>
      </c>
      <c r="B45" s="649" t="s">
        <v>65</v>
      </c>
      <c r="C45" s="677" t="s">
        <v>314</v>
      </c>
      <c r="D45" s="677"/>
      <c r="E45" s="1313">
        <v>1734.3925412557871</v>
      </c>
      <c r="F45" s="1313">
        <v>2066.7593717069221</v>
      </c>
      <c r="G45" s="1313">
        <v>2325.2302358345814</v>
      </c>
      <c r="H45" s="1313">
        <v>2789.4050848464076</v>
      </c>
      <c r="I45" s="1313">
        <v>3225.8627790896267</v>
      </c>
      <c r="J45" s="1313">
        <v>3664.3896033958436</v>
      </c>
      <c r="K45" s="1313">
        <v>3454.1993797633854</v>
      </c>
      <c r="L45" s="1313">
        <v>648.31613477687324</v>
      </c>
      <c r="M45" s="1313">
        <v>703.74414722264612</v>
      </c>
      <c r="N45" s="1313">
        <v>648.64458156123942</v>
      </c>
      <c r="O45" s="1313">
        <v>699.52029177397367</v>
      </c>
      <c r="P45" s="1313">
        <v>708.52551331160851</v>
      </c>
      <c r="Q45" s="1313">
        <v>713.59849161931766</v>
      </c>
      <c r="R45" s="1313">
        <v>503.4082679868597</v>
      </c>
      <c r="S45" s="1313">
        <v>1086.0764064789139</v>
      </c>
      <c r="T45" s="1313">
        <v>1363.0152244842759</v>
      </c>
      <c r="U45" s="1313">
        <v>1676.5856542733418</v>
      </c>
      <c r="V45" s="1313">
        <v>2089.8847930724337</v>
      </c>
      <c r="W45" s="1313">
        <v>2517.3372657780183</v>
      </c>
      <c r="X45" s="1313">
        <v>2950.7911117765257</v>
      </c>
      <c r="Y45" s="1313">
        <v>2950.7911117765257</v>
      </c>
    </row>
    <row r="46" spans="1:25" s="581" customFormat="1">
      <c r="A46" s="582" t="str">
        <f t="shared" si="3"/>
        <v>Peak Time RebateLG&amp;E</v>
      </c>
      <c r="B46" s="649" t="s">
        <v>66</v>
      </c>
      <c r="C46" s="677" t="s">
        <v>314</v>
      </c>
      <c r="D46" s="677"/>
      <c r="E46" s="1313">
        <v>125</v>
      </c>
      <c r="F46" s="1313">
        <v>1372.6100947929103</v>
      </c>
      <c r="G46" s="1313">
        <v>1479.2530137060071</v>
      </c>
      <c r="H46" s="1313">
        <v>2840.8298362558062</v>
      </c>
      <c r="I46" s="1313">
        <v>4960.789961298985</v>
      </c>
      <c r="J46" s="1313">
        <v>5037.7152057690146</v>
      </c>
      <c r="K46" s="1313">
        <v>4964.6982075731448</v>
      </c>
      <c r="L46" s="1313">
        <v>125</v>
      </c>
      <c r="M46" s="1313">
        <v>744.72904729877689</v>
      </c>
      <c r="N46" s="1313">
        <v>223.49091871774016</v>
      </c>
      <c r="O46" s="1313">
        <v>329.30564627927237</v>
      </c>
      <c r="P46" s="1313">
        <v>493.17481566765053</v>
      </c>
      <c r="Q46" s="1313">
        <v>570.10006013768009</v>
      </c>
      <c r="R46" s="1313">
        <v>497.08306194181046</v>
      </c>
      <c r="S46" s="1313">
        <v>0</v>
      </c>
      <c r="T46" s="1313">
        <v>627.88104749413344</v>
      </c>
      <c r="U46" s="1313">
        <v>1255.7620949882669</v>
      </c>
      <c r="V46" s="1313">
        <v>2511.5241899765338</v>
      </c>
      <c r="W46" s="1313">
        <v>4467.6151456313346</v>
      </c>
      <c r="X46" s="1313">
        <v>4467.6151456313346</v>
      </c>
      <c r="Y46" s="1313">
        <v>4467.6151456313346</v>
      </c>
    </row>
    <row r="47" spans="1:25" s="581" customFormat="1">
      <c r="A47" s="582" t="str">
        <f t="shared" si="3"/>
        <v>Residential Managed ChargingLG&amp;E</v>
      </c>
      <c r="B47" s="649" t="s">
        <v>67</v>
      </c>
      <c r="C47" s="677" t="s">
        <v>314</v>
      </c>
      <c r="D47" s="677"/>
      <c r="E47" s="1313">
        <v>263.12473205552476</v>
      </c>
      <c r="F47" s="1313">
        <v>269.21597401719055</v>
      </c>
      <c r="G47" s="1313">
        <v>337.83995323770625</v>
      </c>
      <c r="H47" s="1313">
        <v>406.49765183483743</v>
      </c>
      <c r="I47" s="1313">
        <v>561.44008138988261</v>
      </c>
      <c r="J47" s="1313">
        <v>697.66828383157895</v>
      </c>
      <c r="K47" s="1313">
        <v>908.93333234652641</v>
      </c>
      <c r="L47" s="1313">
        <v>221.87473205552476</v>
      </c>
      <c r="M47" s="1313">
        <v>205.46597401719052</v>
      </c>
      <c r="N47" s="1313">
        <v>251.58995323770623</v>
      </c>
      <c r="O47" s="1313">
        <v>297.74765183483743</v>
      </c>
      <c r="P47" s="1313">
        <v>388.94008138988255</v>
      </c>
      <c r="Q47" s="1313">
        <v>480.168283831579</v>
      </c>
      <c r="R47" s="1313">
        <v>646.43333234652641</v>
      </c>
      <c r="S47" s="1313">
        <v>41.25</v>
      </c>
      <c r="T47" s="1313">
        <v>63.75</v>
      </c>
      <c r="U47" s="1313">
        <v>86.25</v>
      </c>
      <c r="V47" s="1313">
        <v>108.75</v>
      </c>
      <c r="W47" s="1313">
        <v>172.5</v>
      </c>
      <c r="X47" s="1313">
        <v>217.5</v>
      </c>
      <c r="Y47" s="1313">
        <v>262.5</v>
      </c>
    </row>
    <row r="48" spans="1:25" s="581" customFormat="1">
      <c r="A48" s="582" t="str">
        <f t="shared" si="3"/>
        <v>NonRes Midstream LightingLG&amp;E</v>
      </c>
      <c r="B48" s="649" t="s">
        <v>68</v>
      </c>
      <c r="C48" s="677" t="s">
        <v>314</v>
      </c>
      <c r="D48" s="677"/>
      <c r="E48" s="1313">
        <v>0</v>
      </c>
      <c r="F48" s="1313">
        <v>0</v>
      </c>
      <c r="G48" s="1313">
        <v>1453.001647134442</v>
      </c>
      <c r="H48" s="1313">
        <v>1844.0629445484751</v>
      </c>
      <c r="I48" s="1313">
        <v>1896.2942720849296</v>
      </c>
      <c r="J48" s="1313">
        <v>1540.2554674474773</v>
      </c>
      <c r="K48" s="1313">
        <v>1295.9530252309016</v>
      </c>
      <c r="L48" s="1313">
        <v>0</v>
      </c>
      <c r="M48" s="1313">
        <v>0</v>
      </c>
      <c r="N48" s="1313">
        <v>425.21124713444181</v>
      </c>
      <c r="O48" s="1313">
        <v>302.37758454847506</v>
      </c>
      <c r="P48" s="1313">
        <v>354.60891208492933</v>
      </c>
      <c r="Q48" s="1313">
        <v>306.90717944747723</v>
      </c>
      <c r="R48" s="1313">
        <v>309.27439483090154</v>
      </c>
      <c r="S48" s="1313">
        <v>0</v>
      </c>
      <c r="T48" s="1313">
        <v>0</v>
      </c>
      <c r="U48" s="1313">
        <v>1027.7904000000001</v>
      </c>
      <c r="V48" s="1313">
        <v>1541.6853600000002</v>
      </c>
      <c r="W48" s="1313">
        <v>1541.6853600000002</v>
      </c>
      <c r="X48" s="1313">
        <v>1233.3482879999999</v>
      </c>
      <c r="Y48" s="1313">
        <v>986.67863040000009</v>
      </c>
    </row>
    <row r="49" spans="1:25" s="581" customFormat="1">
      <c r="A49" s="582" t="str">
        <f t="shared" si="3"/>
        <v>PDALG&amp;E</v>
      </c>
      <c r="B49" s="649" t="s">
        <v>69</v>
      </c>
      <c r="C49" s="677" t="s">
        <v>314</v>
      </c>
      <c r="D49" s="677"/>
      <c r="E49" s="1313">
        <v>1814.3266874999999</v>
      </c>
      <c r="F49" s="1313">
        <v>1778.2166875</v>
      </c>
      <c r="G49" s="1313">
        <v>1355.0233874999999</v>
      </c>
      <c r="H49" s="1313">
        <v>1444.7592884999999</v>
      </c>
      <c r="I49" s="1313">
        <v>1384.93726653</v>
      </c>
      <c r="J49" s="1313">
        <v>1400.5705839009001</v>
      </c>
      <c r="K49" s="1313">
        <v>1491.6729007929271</v>
      </c>
      <c r="L49" s="1313">
        <v>1814.3266874999999</v>
      </c>
      <c r="M49" s="1313">
        <v>1778.2166875</v>
      </c>
      <c r="N49" s="1313">
        <v>1355.0233874999999</v>
      </c>
      <c r="O49" s="1313">
        <v>1444.7592884999999</v>
      </c>
      <c r="P49" s="1313">
        <v>1384.93726653</v>
      </c>
      <c r="Q49" s="1313">
        <v>1400.5705839009001</v>
      </c>
      <c r="R49" s="1313">
        <v>1491.6729007929271</v>
      </c>
      <c r="S49" s="1313">
        <v>0</v>
      </c>
      <c r="T49" s="1313">
        <v>0</v>
      </c>
      <c r="U49" s="1313">
        <v>0</v>
      </c>
      <c r="V49" s="1313">
        <v>0</v>
      </c>
      <c r="W49" s="1313">
        <v>0</v>
      </c>
      <c r="X49" s="1313">
        <v>0</v>
      </c>
      <c r="Y49" s="1313">
        <v>0</v>
      </c>
    </row>
    <row r="50" spans="1:25" s="581" customFormat="1">
      <c r="A50" s="582" t="str">
        <f t="shared" si="0"/>
        <v>TotalLG&amp;E</v>
      </c>
      <c r="B50" s="678" t="s">
        <v>148</v>
      </c>
      <c r="C50" s="679" t="s">
        <v>314</v>
      </c>
      <c r="D50" s="679"/>
      <c r="E50" s="1314">
        <v>14257.356021460921</v>
      </c>
      <c r="F50" s="1314">
        <v>16654.788571456338</v>
      </c>
      <c r="G50" s="1314">
        <v>19249.554339847455</v>
      </c>
      <c r="H50" s="1314">
        <v>23445.070201529583</v>
      </c>
      <c r="I50" s="1314">
        <v>31614.462002626682</v>
      </c>
      <c r="J50" s="1314">
        <v>32324.564404981866</v>
      </c>
      <c r="K50" s="1314">
        <v>32826.571296797003</v>
      </c>
      <c r="L50" s="1314">
        <v>10044.414462121313</v>
      </c>
      <c r="M50" s="1314">
        <v>10824.8857370683</v>
      </c>
      <c r="N50" s="1314">
        <v>11150.727164004016</v>
      </c>
      <c r="O50" s="1314">
        <v>11577.813946219636</v>
      </c>
      <c r="P50" s="1314">
        <v>12182.926784420248</v>
      </c>
      <c r="Q50" s="1314">
        <v>12322.361790953322</v>
      </c>
      <c r="R50" s="1314">
        <v>12548.042926392987</v>
      </c>
      <c r="S50" s="1316">
        <v>4212.941559339607</v>
      </c>
      <c r="T50" s="1316">
        <v>5829.9028343880391</v>
      </c>
      <c r="U50" s="1316">
        <v>8098.8271758434357</v>
      </c>
      <c r="V50" s="1316">
        <v>11867.256255309945</v>
      </c>
      <c r="W50" s="1316">
        <v>19431.535218206434</v>
      </c>
      <c r="X50" s="1316">
        <v>20002.202614028542</v>
      </c>
      <c r="Y50" s="1316">
        <v>20278.528370404019</v>
      </c>
    </row>
    <row r="51" spans="1:25">
      <c r="B51" s="211"/>
      <c r="C51" s="211"/>
      <c r="D51" s="211"/>
      <c r="E51" s="209"/>
      <c r="F51" s="209"/>
      <c r="G51" s="209"/>
      <c r="H51" s="209"/>
      <c r="I51" s="209"/>
      <c r="J51" s="209"/>
      <c r="K51" s="212"/>
      <c r="L51" s="212"/>
      <c r="M51" s="212"/>
      <c r="N51" s="212"/>
      <c r="O51" s="212"/>
      <c r="P51" s="212"/>
      <c r="Q51" s="212"/>
      <c r="R51" s="212"/>
      <c r="S51" s="212"/>
      <c r="T51" s="210"/>
      <c r="U51" s="210"/>
      <c r="V51" s="210"/>
      <c r="W51" s="210"/>
      <c r="X51" s="210"/>
      <c r="Y51" s="212"/>
    </row>
    <row r="52" spans="1:25">
      <c r="B52" s="211"/>
      <c r="C52" s="211"/>
      <c r="D52" s="211"/>
      <c r="E52" s="583"/>
      <c r="F52" s="209"/>
      <c r="G52" s="209"/>
      <c r="H52" s="209"/>
      <c r="I52" s="209"/>
      <c r="J52" s="209"/>
      <c r="K52" s="212"/>
      <c r="L52" s="212"/>
      <c r="M52" s="212"/>
      <c r="N52" s="212"/>
      <c r="O52" s="212"/>
      <c r="P52" s="212"/>
      <c r="Q52" s="212"/>
      <c r="R52" s="212"/>
      <c r="S52" s="212"/>
      <c r="T52" s="210"/>
      <c r="U52" s="210"/>
      <c r="V52" s="210"/>
      <c r="W52" s="210"/>
      <c r="X52" s="210"/>
      <c r="Y52" s="212"/>
    </row>
    <row r="53" spans="1:25">
      <c r="B53" s="211"/>
      <c r="C53" s="211"/>
      <c r="D53" s="211"/>
      <c r="E53" s="209"/>
      <c r="F53" s="209"/>
      <c r="G53" s="209"/>
      <c r="H53" s="209"/>
      <c r="I53" s="209"/>
      <c r="J53" s="209"/>
      <c r="K53" s="212"/>
      <c r="L53" s="212"/>
      <c r="M53" s="212"/>
      <c r="N53" s="212"/>
      <c r="O53" s="212"/>
      <c r="P53" s="212"/>
      <c r="Q53" s="212"/>
      <c r="R53" s="212"/>
      <c r="S53" s="212"/>
      <c r="T53" s="210"/>
      <c r="U53" s="210"/>
      <c r="V53" s="210"/>
      <c r="W53" s="210"/>
      <c r="X53" s="210"/>
      <c r="Y53" s="212"/>
    </row>
    <row r="54" spans="1:25">
      <c r="B54" s="680" t="s">
        <v>315</v>
      </c>
      <c r="C54" s="211"/>
      <c r="D54" s="211"/>
      <c r="E54" s="209"/>
      <c r="F54" s="209"/>
      <c r="G54" s="209"/>
      <c r="H54" s="209"/>
      <c r="I54" s="209"/>
      <c r="J54" s="209"/>
      <c r="K54" s="212"/>
      <c r="L54" s="212"/>
      <c r="M54" s="212"/>
      <c r="N54" s="212"/>
      <c r="O54" s="212"/>
      <c r="P54" s="212"/>
      <c r="Q54" s="212"/>
      <c r="R54" s="212"/>
      <c r="S54" s="212"/>
      <c r="T54" s="210"/>
      <c r="U54" s="210"/>
      <c r="V54" s="210"/>
      <c r="W54" s="210"/>
      <c r="X54" s="210"/>
      <c r="Y54" s="212"/>
    </row>
    <row r="55" spans="1:25">
      <c r="B55" s="681">
        <v>0.03</v>
      </c>
      <c r="C55" s="211"/>
      <c r="D55" s="211"/>
      <c r="E55" s="209"/>
      <c r="F55" s="209"/>
      <c r="G55" s="209"/>
      <c r="H55" s="209"/>
      <c r="I55" s="209"/>
      <c r="J55" s="209"/>
      <c r="K55" s="212"/>
      <c r="L55" s="212"/>
      <c r="M55" s="212"/>
      <c r="N55" s="212"/>
      <c r="O55" s="212"/>
      <c r="P55" s="212"/>
      <c r="Q55" s="212"/>
      <c r="R55" s="212"/>
      <c r="S55" s="212"/>
      <c r="T55" s="210"/>
      <c r="U55" s="210"/>
      <c r="V55" s="210"/>
      <c r="W55" s="210"/>
      <c r="X55" s="210"/>
      <c r="Y55" s="212"/>
    </row>
    <row r="56" spans="1:25">
      <c r="B56" s="211"/>
      <c r="C56" s="211"/>
      <c r="D56" s="211"/>
      <c r="E56" s="209"/>
      <c r="F56" s="209"/>
      <c r="G56" s="209"/>
      <c r="H56" s="209"/>
      <c r="I56" s="209"/>
      <c r="J56" s="209"/>
      <c r="K56" s="212"/>
      <c r="L56" s="212"/>
      <c r="M56" s="212"/>
      <c r="N56" s="212"/>
      <c r="O56" s="212"/>
      <c r="P56" s="212"/>
      <c r="Q56" s="212"/>
      <c r="R56" s="212"/>
      <c r="S56" s="212"/>
      <c r="T56" s="210"/>
      <c r="U56" s="210"/>
      <c r="V56" s="210"/>
      <c r="W56" s="210"/>
      <c r="X56" s="210"/>
      <c r="Y56" s="212"/>
    </row>
    <row r="57" spans="1:25">
      <c r="D57" s="157"/>
      <c r="E57" s="161"/>
      <c r="F57" s="161"/>
      <c r="G57" s="161"/>
      <c r="H57" s="161"/>
      <c r="I57" s="161"/>
      <c r="J57" s="161"/>
      <c r="K57" s="160"/>
      <c r="L57" s="161"/>
      <c r="M57" s="161"/>
      <c r="N57" s="161"/>
      <c r="O57" s="161"/>
      <c r="P57" s="161"/>
      <c r="Q57" s="161"/>
      <c r="R57" s="160"/>
    </row>
    <row r="58" spans="1:25">
      <c r="B58" s="158"/>
      <c r="D58" s="157"/>
      <c r="E58" s="166">
        <v>5</v>
      </c>
      <c r="F58" s="166">
        <v>6</v>
      </c>
      <c r="G58" s="166">
        <v>7</v>
      </c>
      <c r="H58" s="166">
        <v>8</v>
      </c>
      <c r="I58" s="166">
        <v>9</v>
      </c>
      <c r="J58" s="166">
        <v>10</v>
      </c>
      <c r="K58" s="166">
        <v>11</v>
      </c>
    </row>
    <row r="59" spans="1:25" ht="29.25" customHeight="1">
      <c r="A59" s="589"/>
      <c r="B59" s="158" t="s">
        <v>316</v>
      </c>
      <c r="C59" s="266"/>
      <c r="D59" s="165"/>
      <c r="E59" s="165"/>
      <c r="F59" s="1364"/>
      <c r="G59" s="1364"/>
      <c r="H59" s="1364"/>
      <c r="I59" s="1364"/>
      <c r="J59" s="1364"/>
      <c r="K59" s="1364"/>
      <c r="L59" s="1328"/>
    </row>
    <row r="60" spans="1:25" ht="13.5" thickBot="1">
      <c r="A60" s="158"/>
      <c r="B60" s="163" t="s">
        <v>163</v>
      </c>
      <c r="C60" s="404" t="s">
        <v>317</v>
      </c>
      <c r="D60" s="404" t="s">
        <v>2719</v>
      </c>
      <c r="E60" s="405">
        <v>2024</v>
      </c>
      <c r="F60" s="405">
        <v>2025</v>
      </c>
      <c r="G60" s="405">
        <v>2026</v>
      </c>
      <c r="H60" s="405">
        <v>2027</v>
      </c>
      <c r="I60" s="405">
        <v>2028</v>
      </c>
      <c r="J60" s="405">
        <v>2029</v>
      </c>
      <c r="K60" s="405">
        <v>2030</v>
      </c>
    </row>
    <row r="61" spans="1:25">
      <c r="A61" s="590"/>
      <c r="B61" s="275" t="str">
        <f>C61&amp;D61</f>
        <v>WeCare V2Administration</v>
      </c>
      <c r="C61" s="584" t="s">
        <v>57</v>
      </c>
      <c r="D61" s="585" t="s">
        <v>318</v>
      </c>
      <c r="E61" s="1317">
        <v>221.80448061295201</v>
      </c>
      <c r="F61" s="1317">
        <v>228.27861503134056</v>
      </c>
      <c r="G61" s="1317">
        <v>234.94697348228078</v>
      </c>
      <c r="H61" s="1317">
        <v>241.81538268674922</v>
      </c>
      <c r="I61" s="1317">
        <v>248.8898441673517</v>
      </c>
      <c r="J61" s="1317">
        <v>256.17653949237229</v>
      </c>
      <c r="K61" s="1318">
        <v>263.6818356771434</v>
      </c>
    </row>
    <row r="62" spans="1:25">
      <c r="A62" s="590"/>
      <c r="B62" s="275" t="str">
        <f t="shared" ref="B62:B105" si="4">C62&amp;D62</f>
        <v>WeCare V2Implementation</v>
      </c>
      <c r="C62" s="682" t="s">
        <v>57</v>
      </c>
      <c r="D62" s="1319" t="s">
        <v>2710</v>
      </c>
      <c r="E62" s="1315">
        <v>8437.3379999999997</v>
      </c>
      <c r="F62" s="1315">
        <v>8572.3379999999997</v>
      </c>
      <c r="G62" s="1315">
        <v>8576.387999999999</v>
      </c>
      <c r="H62" s="1315">
        <v>8580.5594999999994</v>
      </c>
      <c r="I62" s="1315">
        <v>8584.8561449999997</v>
      </c>
      <c r="J62" s="1315">
        <v>8589.2816893500003</v>
      </c>
      <c r="K62" s="1320">
        <v>8593.8400000304991</v>
      </c>
    </row>
    <row r="63" spans="1:25">
      <c r="A63" s="590"/>
      <c r="B63" s="275" t="str">
        <f t="shared" si="4"/>
        <v>WeCare V2Incentives</v>
      </c>
      <c r="C63" s="682" t="s">
        <v>57</v>
      </c>
      <c r="D63" s="1319" t="s">
        <v>320</v>
      </c>
      <c r="E63" s="1315">
        <v>0</v>
      </c>
      <c r="F63" s="1315">
        <v>0</v>
      </c>
      <c r="G63" s="1315">
        <v>0</v>
      </c>
      <c r="H63" s="1315">
        <v>0</v>
      </c>
      <c r="I63" s="1315">
        <v>0</v>
      </c>
      <c r="J63" s="1315">
        <v>0</v>
      </c>
      <c r="K63" s="1320">
        <v>0</v>
      </c>
    </row>
    <row r="64" spans="1:25">
      <c r="A64" s="590"/>
      <c r="B64" s="275" t="str">
        <f t="shared" si="4"/>
        <v>WeCare V2Miscellaneous</v>
      </c>
      <c r="C64" s="682" t="s">
        <v>57</v>
      </c>
      <c r="D64" s="1319" t="s">
        <v>1195</v>
      </c>
      <c r="E64" s="1315">
        <v>310</v>
      </c>
      <c r="F64" s="1315">
        <v>160</v>
      </c>
      <c r="G64" s="1315">
        <v>160</v>
      </c>
      <c r="H64" s="1315">
        <v>160</v>
      </c>
      <c r="I64" s="1315">
        <v>160</v>
      </c>
      <c r="J64" s="1315">
        <v>160</v>
      </c>
      <c r="K64" s="1320">
        <v>160</v>
      </c>
    </row>
    <row r="65" spans="1:12" ht="13.5" thickBot="1">
      <c r="A65" s="590"/>
      <c r="B65" s="275" t="str">
        <f t="shared" si="4"/>
        <v>WeCare V2Total</v>
      </c>
      <c r="C65" s="586" t="s">
        <v>57</v>
      </c>
      <c r="D65" s="683" t="s">
        <v>148</v>
      </c>
      <c r="E65" s="1321">
        <v>8969.1424806129526</v>
      </c>
      <c r="F65" s="1321">
        <v>8960.6166150313402</v>
      </c>
      <c r="G65" s="1321">
        <v>8971.3349734822805</v>
      </c>
      <c r="H65" s="1321">
        <v>8982.3748826867486</v>
      </c>
      <c r="I65" s="1321">
        <v>8993.7459891673516</v>
      </c>
      <c r="J65" s="1321">
        <v>9005.4582288423735</v>
      </c>
      <c r="K65" s="1322">
        <v>9017.5218357076428</v>
      </c>
      <c r="L65" s="162">
        <f>SUM(E65:K65)</f>
        <v>62900.195005530688</v>
      </c>
    </row>
    <row r="66" spans="1:12">
      <c r="A66" s="590"/>
      <c r="B66" s="275" t="str">
        <f t="shared" si="4"/>
        <v>LI Multifamily - Whole BuildingAdministration</v>
      </c>
      <c r="C66" s="584" t="s">
        <v>58</v>
      </c>
      <c r="D66" s="585" t="s">
        <v>318</v>
      </c>
      <c r="E66" s="1317">
        <v>180.51695967783283</v>
      </c>
      <c r="F66" s="1317">
        <v>185.75246846816782</v>
      </c>
      <c r="G66" s="1317">
        <v>191.14504252221286</v>
      </c>
      <c r="H66" s="1317">
        <v>196.69939379787925</v>
      </c>
      <c r="I66" s="1317">
        <v>202.42037561181564</v>
      </c>
      <c r="J66" s="1317">
        <v>208.31298688017012</v>
      </c>
      <c r="K66" s="1318">
        <v>214.38237648657523</v>
      </c>
    </row>
    <row r="67" spans="1:12">
      <c r="A67" s="590"/>
      <c r="B67" s="275" t="str">
        <f t="shared" si="4"/>
        <v>LI Multifamily - Whole BuildingImplementation</v>
      </c>
      <c r="C67" s="682" t="s">
        <v>58</v>
      </c>
      <c r="D67" s="1319" t="s">
        <v>2710</v>
      </c>
      <c r="E67" s="1315">
        <v>830.73550809156734</v>
      </c>
      <c r="F67" s="1315">
        <v>845.73550809156734</v>
      </c>
      <c r="G67" s="1315">
        <v>846.18550809156739</v>
      </c>
      <c r="H67" s="1315">
        <v>846.64900809156734</v>
      </c>
      <c r="I67" s="1315">
        <v>847.12641309156731</v>
      </c>
      <c r="J67" s="1315">
        <v>847.61814024156729</v>
      </c>
      <c r="K67" s="1320">
        <v>848.12461920606734</v>
      </c>
    </row>
    <row r="68" spans="1:12">
      <c r="A68" s="590"/>
      <c r="B68" s="275" t="str">
        <f t="shared" si="4"/>
        <v>LI Multifamily - Whole BuildingIncentives</v>
      </c>
      <c r="C68" s="682" t="s">
        <v>58</v>
      </c>
      <c r="D68" s="1319" t="s">
        <v>320</v>
      </c>
      <c r="E68" s="1315">
        <v>0</v>
      </c>
      <c r="F68" s="1315">
        <v>0</v>
      </c>
      <c r="G68" s="1315">
        <v>0</v>
      </c>
      <c r="H68" s="1315">
        <v>0</v>
      </c>
      <c r="I68" s="1315">
        <v>0</v>
      </c>
      <c r="J68" s="1315">
        <v>0</v>
      </c>
      <c r="K68" s="1320">
        <v>0</v>
      </c>
    </row>
    <row r="69" spans="1:12">
      <c r="A69" s="590"/>
      <c r="B69" s="275" t="str">
        <f t="shared" si="4"/>
        <v>LI Multifamily - Whole BuildingMiscellaneous</v>
      </c>
      <c r="C69" s="682" t="s">
        <v>58</v>
      </c>
      <c r="D69" s="1319" t="s">
        <v>1195</v>
      </c>
      <c r="E69" s="1315">
        <v>80</v>
      </c>
      <c r="F69" s="1315">
        <v>80</v>
      </c>
      <c r="G69" s="1315">
        <v>230</v>
      </c>
      <c r="H69" s="1315">
        <v>80</v>
      </c>
      <c r="I69" s="1315">
        <v>80</v>
      </c>
      <c r="J69" s="1315">
        <v>80</v>
      </c>
      <c r="K69" s="1320">
        <v>80</v>
      </c>
    </row>
    <row r="70" spans="1:12" ht="13.5" thickBot="1">
      <c r="A70" s="590"/>
      <c r="B70" s="275" t="str">
        <f t="shared" si="4"/>
        <v>LI Multifamily - Whole BuildingTotal</v>
      </c>
      <c r="C70" s="586" t="s">
        <v>58</v>
      </c>
      <c r="D70" s="683" t="s">
        <v>148</v>
      </c>
      <c r="E70" s="1321">
        <v>1091.2524677694</v>
      </c>
      <c r="F70" s="1321">
        <v>1111.4879765597352</v>
      </c>
      <c r="G70" s="1321">
        <v>1267.3305506137804</v>
      </c>
      <c r="H70" s="1321">
        <v>1123.3484018894467</v>
      </c>
      <c r="I70" s="1321">
        <v>1129.5467887033828</v>
      </c>
      <c r="J70" s="1321">
        <v>1135.9311271217375</v>
      </c>
      <c r="K70" s="1322">
        <v>1142.5069956926425</v>
      </c>
      <c r="L70" s="162">
        <f>SUM(E70:K70)</f>
        <v>8001.4043083501256</v>
      </c>
    </row>
    <row r="71" spans="1:12">
      <c r="A71" s="590"/>
      <c r="B71" s="275" t="str">
        <f t="shared" si="4"/>
        <v>Appliance RecyclingAdministration</v>
      </c>
      <c r="C71" s="584" t="s">
        <v>59</v>
      </c>
      <c r="D71" s="585" t="s">
        <v>318</v>
      </c>
      <c r="E71" s="1317">
        <v>0</v>
      </c>
      <c r="F71" s="1317">
        <v>0</v>
      </c>
      <c r="G71" s="1317">
        <v>83.179906475412452</v>
      </c>
      <c r="H71" s="1317">
        <v>85.495303669674826</v>
      </c>
      <c r="I71" s="1317">
        <v>87.880162779765072</v>
      </c>
      <c r="J71" s="1317">
        <v>90.336567663158021</v>
      </c>
      <c r="K71" s="1318">
        <v>92.866664693052769</v>
      </c>
    </row>
    <row r="72" spans="1:12" s="158" customFormat="1">
      <c r="A72" s="591"/>
      <c r="B72" s="275" t="str">
        <f t="shared" si="4"/>
        <v>Appliance RecyclingImplementation</v>
      </c>
      <c r="C72" s="682" t="s">
        <v>59</v>
      </c>
      <c r="D72" s="1319" t="s">
        <v>2710</v>
      </c>
      <c r="E72" s="1315">
        <v>0</v>
      </c>
      <c r="F72" s="1315">
        <v>0</v>
      </c>
      <c r="G72" s="1315">
        <v>988</v>
      </c>
      <c r="H72" s="1315">
        <v>988</v>
      </c>
      <c r="I72" s="1315">
        <v>988</v>
      </c>
      <c r="J72" s="1315">
        <v>988</v>
      </c>
      <c r="K72" s="1320">
        <v>988</v>
      </c>
      <c r="L72" s="159"/>
    </row>
    <row r="73" spans="1:12">
      <c r="A73" s="590"/>
      <c r="B73" s="275" t="str">
        <f t="shared" si="4"/>
        <v>Appliance RecyclingIncentives</v>
      </c>
      <c r="C73" s="682" t="s">
        <v>59</v>
      </c>
      <c r="D73" s="1319" t="s">
        <v>320</v>
      </c>
      <c r="E73" s="1315">
        <v>0</v>
      </c>
      <c r="F73" s="1315">
        <v>0</v>
      </c>
      <c r="G73" s="1315">
        <v>300</v>
      </c>
      <c r="H73" s="1315">
        <v>350.00000000000006</v>
      </c>
      <c r="I73" s="1315">
        <v>400</v>
      </c>
      <c r="J73" s="1315">
        <v>400</v>
      </c>
      <c r="K73" s="1320">
        <v>400</v>
      </c>
    </row>
    <row r="74" spans="1:12">
      <c r="A74" s="591"/>
      <c r="B74" s="275" t="str">
        <f t="shared" si="4"/>
        <v>Appliance RecyclingMiscellaneous</v>
      </c>
      <c r="C74" s="682" t="s">
        <v>59</v>
      </c>
      <c r="D74" s="1319" t="s">
        <v>1195</v>
      </c>
      <c r="E74" s="1315">
        <v>0</v>
      </c>
      <c r="F74" s="1315">
        <v>0</v>
      </c>
      <c r="G74" s="1315">
        <v>300</v>
      </c>
      <c r="H74" s="1315">
        <v>300</v>
      </c>
      <c r="I74" s="1315">
        <v>450</v>
      </c>
      <c r="J74" s="1315">
        <v>300</v>
      </c>
      <c r="K74" s="1320">
        <v>300</v>
      </c>
    </row>
    <row r="75" spans="1:12" ht="13.5" thickBot="1">
      <c r="A75" s="591"/>
      <c r="B75" s="275" t="str">
        <f t="shared" si="4"/>
        <v>Appliance RecyclingTotal</v>
      </c>
      <c r="C75" s="586" t="s">
        <v>59</v>
      </c>
      <c r="D75" s="683" t="s">
        <v>148</v>
      </c>
      <c r="E75" s="1321">
        <v>0</v>
      </c>
      <c r="F75" s="1321">
        <v>0</v>
      </c>
      <c r="G75" s="1321">
        <v>1671.1799064754125</v>
      </c>
      <c r="H75" s="1321">
        <v>1723.4953036696747</v>
      </c>
      <c r="I75" s="1321">
        <v>1925.880162779765</v>
      </c>
      <c r="J75" s="1321">
        <v>1778.3365676631581</v>
      </c>
      <c r="K75" s="1322">
        <v>1780.8666646930528</v>
      </c>
      <c r="L75" s="162">
        <f>SUM(E75:K75)</f>
        <v>8879.7586052810639</v>
      </c>
    </row>
    <row r="76" spans="1:12">
      <c r="A76" s="591"/>
      <c r="B76" s="275" t="str">
        <f t="shared" si="4"/>
        <v>Online MarketplaceAdministration</v>
      </c>
      <c r="C76" s="584" t="s">
        <v>60</v>
      </c>
      <c r="D76" s="585" t="s">
        <v>318</v>
      </c>
      <c r="E76" s="1317">
        <v>6</v>
      </c>
      <c r="F76" s="1317">
        <v>6</v>
      </c>
      <c r="G76" s="1317">
        <v>6</v>
      </c>
      <c r="H76" s="1317">
        <v>6</v>
      </c>
      <c r="I76" s="1317">
        <v>6</v>
      </c>
      <c r="J76" s="1317">
        <v>6</v>
      </c>
      <c r="K76" s="1318">
        <v>6</v>
      </c>
    </row>
    <row r="77" spans="1:12">
      <c r="A77" s="591"/>
      <c r="B77" s="275" t="str">
        <f t="shared" si="4"/>
        <v>Online MarketplaceImplementation</v>
      </c>
      <c r="C77" s="682" t="s">
        <v>60</v>
      </c>
      <c r="D77" s="1319" t="s">
        <v>2710</v>
      </c>
      <c r="E77" s="1315">
        <v>100</v>
      </c>
      <c r="F77" s="1315">
        <v>100</v>
      </c>
      <c r="G77" s="1315">
        <v>100</v>
      </c>
      <c r="H77" s="1315">
        <v>100</v>
      </c>
      <c r="I77" s="1315">
        <v>100</v>
      </c>
      <c r="J77" s="1315">
        <v>100</v>
      </c>
      <c r="K77" s="1320">
        <v>100</v>
      </c>
    </row>
    <row r="78" spans="1:12">
      <c r="A78" s="591"/>
      <c r="B78" s="275" t="str">
        <f t="shared" si="4"/>
        <v>Online MarketplaceIncentives</v>
      </c>
      <c r="C78" s="682" t="s">
        <v>60</v>
      </c>
      <c r="D78" s="1319" t="s">
        <v>320</v>
      </c>
      <c r="E78" s="1315">
        <v>78.614999999999995</v>
      </c>
      <c r="F78" s="1315">
        <v>157.00200000000001</v>
      </c>
      <c r="G78" s="1315">
        <v>314.26459999999997</v>
      </c>
      <c r="H78" s="1315">
        <v>628.02782999999999</v>
      </c>
      <c r="I78" s="1315">
        <v>901.41672149999999</v>
      </c>
      <c r="J78" s="1315">
        <v>901.99380757500001</v>
      </c>
      <c r="K78" s="1320">
        <v>902.85287295374997</v>
      </c>
    </row>
    <row r="79" spans="1:12">
      <c r="A79" s="591"/>
      <c r="B79" s="275" t="str">
        <f t="shared" si="4"/>
        <v>Online MarketplaceMiscellaneous</v>
      </c>
      <c r="C79" s="682" t="s">
        <v>60</v>
      </c>
      <c r="D79" s="1319" t="s">
        <v>1195</v>
      </c>
      <c r="E79" s="1315">
        <v>50</v>
      </c>
      <c r="F79" s="1315">
        <v>50</v>
      </c>
      <c r="G79" s="1315">
        <v>90</v>
      </c>
      <c r="H79" s="1315">
        <v>240</v>
      </c>
      <c r="I79" s="1315">
        <v>90</v>
      </c>
      <c r="J79" s="1315">
        <v>90</v>
      </c>
      <c r="K79" s="1320">
        <v>90</v>
      </c>
    </row>
    <row r="80" spans="1:12" ht="13.5" thickBot="1">
      <c r="A80" s="591"/>
      <c r="B80" s="275" t="str">
        <f t="shared" si="4"/>
        <v>Online MarketplaceTotal</v>
      </c>
      <c r="C80" s="586" t="s">
        <v>60</v>
      </c>
      <c r="D80" s="683" t="s">
        <v>148</v>
      </c>
      <c r="E80" s="1321">
        <v>234.61500000000001</v>
      </c>
      <c r="F80" s="1321">
        <v>313.00200000000001</v>
      </c>
      <c r="G80" s="1321">
        <v>510.26459999999997</v>
      </c>
      <c r="H80" s="1321">
        <v>974.02782999999999</v>
      </c>
      <c r="I80" s="1321">
        <v>1097.4167215</v>
      </c>
      <c r="J80" s="1321">
        <v>1097.9938075750001</v>
      </c>
      <c r="K80" s="1322">
        <v>1098.85287295375</v>
      </c>
      <c r="L80" s="162">
        <f>SUM(E80:K80)</f>
        <v>5326.1728320287502</v>
      </c>
    </row>
    <row r="81" spans="1:12">
      <c r="A81" s="591"/>
      <c r="B81" s="275" t="str">
        <f t="shared" si="4"/>
        <v>Residential Audit OnlineAdministration</v>
      </c>
      <c r="C81" s="587" t="s">
        <v>61</v>
      </c>
      <c r="D81" s="585" t="s">
        <v>318</v>
      </c>
      <c r="E81" s="1317">
        <v>0</v>
      </c>
      <c r="F81" s="1317">
        <v>143.22632190499513</v>
      </c>
      <c r="G81" s="1317">
        <v>147.343111562145</v>
      </c>
      <c r="H81" s="1317">
        <v>151.58340490900935</v>
      </c>
      <c r="I81" s="1317">
        <v>155.95090705627962</v>
      </c>
      <c r="J81" s="1317">
        <v>160.449434267968</v>
      </c>
      <c r="K81" s="1318">
        <v>165.08291729600705</v>
      </c>
    </row>
    <row r="82" spans="1:12">
      <c r="A82" s="591"/>
      <c r="B82" s="275" t="str">
        <f t="shared" si="4"/>
        <v>Residential Audit OnlineImplementation</v>
      </c>
      <c r="C82" s="1323" t="s">
        <v>61</v>
      </c>
      <c r="D82" s="1324" t="s">
        <v>2710</v>
      </c>
      <c r="E82" s="1325">
        <v>0</v>
      </c>
      <c r="F82" s="1325">
        <v>291.7</v>
      </c>
      <c r="G82" s="1325">
        <v>293.78499999999997</v>
      </c>
      <c r="H82" s="1325">
        <v>295.97424999999998</v>
      </c>
      <c r="I82" s="1325">
        <v>298.27296250000001</v>
      </c>
      <c r="J82" s="1325">
        <v>298.27296250000001</v>
      </c>
      <c r="K82" s="1326">
        <v>298.27296250000001</v>
      </c>
    </row>
    <row r="83" spans="1:12">
      <c r="A83" s="591"/>
      <c r="B83" s="275" t="str">
        <f t="shared" si="4"/>
        <v>Residential Audit OnlineIncentives</v>
      </c>
      <c r="C83" s="1323" t="s">
        <v>61</v>
      </c>
      <c r="D83" s="1324" t="s">
        <v>320</v>
      </c>
      <c r="E83" s="1325">
        <v>0</v>
      </c>
      <c r="F83" s="1325">
        <v>550.4</v>
      </c>
      <c r="G83" s="1325">
        <v>724.3</v>
      </c>
      <c r="H83" s="1325">
        <v>899</v>
      </c>
      <c r="I83" s="1325">
        <v>1126.9000000000001</v>
      </c>
      <c r="J83" s="1325">
        <v>1076.9000000000001</v>
      </c>
      <c r="K83" s="1326">
        <v>1076.9000000000001</v>
      </c>
    </row>
    <row r="84" spans="1:12" s="158" customFormat="1">
      <c r="A84" s="591"/>
      <c r="B84" s="275" t="str">
        <f t="shared" si="4"/>
        <v>Residential Audit OnlineMiscellaneous</v>
      </c>
      <c r="C84" s="1323" t="s">
        <v>61</v>
      </c>
      <c r="D84" s="1324" t="s">
        <v>1195</v>
      </c>
      <c r="E84" s="1325">
        <v>0</v>
      </c>
      <c r="F84" s="1325">
        <v>100</v>
      </c>
      <c r="G84" s="1325">
        <v>100</v>
      </c>
      <c r="H84" s="1325">
        <v>250</v>
      </c>
      <c r="I84" s="1325">
        <v>100</v>
      </c>
      <c r="J84" s="1325">
        <v>100</v>
      </c>
      <c r="K84" s="1326">
        <v>100</v>
      </c>
      <c r="L84" s="159"/>
    </row>
    <row r="85" spans="1:12" ht="13.5" thickBot="1">
      <c r="A85" s="590"/>
      <c r="B85" s="275" t="str">
        <f t="shared" si="4"/>
        <v>Residential Audit OnlineTotal</v>
      </c>
      <c r="C85" s="684" t="s">
        <v>61</v>
      </c>
      <c r="D85" s="683" t="s">
        <v>148</v>
      </c>
      <c r="E85" s="1321">
        <v>0</v>
      </c>
      <c r="F85" s="1321">
        <v>1085.326321904995</v>
      </c>
      <c r="G85" s="1321">
        <v>1265.428111562145</v>
      </c>
      <c r="H85" s="1321">
        <v>1596.5576549090092</v>
      </c>
      <c r="I85" s="1321">
        <v>1681.1238695562797</v>
      </c>
      <c r="J85" s="1321">
        <v>1635.622396767968</v>
      </c>
      <c r="K85" s="1322">
        <v>1640.2558797960071</v>
      </c>
      <c r="L85" s="162">
        <f>SUM(E85:K85)</f>
        <v>8904.3142344964035</v>
      </c>
    </row>
    <row r="86" spans="1:12">
      <c r="A86" s="591"/>
      <c r="B86" s="275" t="str">
        <f t="shared" si="4"/>
        <v>BYOT &amp; BYODAdministration</v>
      </c>
      <c r="C86" s="587" t="s">
        <v>62</v>
      </c>
      <c r="D86" s="585" t="s">
        <v>318</v>
      </c>
      <c r="E86" s="1317">
        <v>692.78644915721816</v>
      </c>
      <c r="F86" s="1317">
        <v>198.39004263193476</v>
      </c>
      <c r="G86" s="1317">
        <v>204.1617439108928</v>
      </c>
      <c r="H86" s="1317">
        <v>210.10659622821959</v>
      </c>
      <c r="I86" s="1317">
        <v>216.22979411506617</v>
      </c>
      <c r="J86" s="1317">
        <v>222.53668793851816</v>
      </c>
      <c r="K86" s="1318">
        <v>229.03278857667371</v>
      </c>
    </row>
    <row r="87" spans="1:12">
      <c r="A87" s="591"/>
      <c r="B87" s="275" t="str">
        <f t="shared" si="4"/>
        <v>BYOT &amp; BYODImplementation</v>
      </c>
      <c r="C87" s="1323" t="s">
        <v>62</v>
      </c>
      <c r="D87" s="1324" t="s">
        <v>2710</v>
      </c>
      <c r="E87" s="1325">
        <v>250.8</v>
      </c>
      <c r="F87" s="1325">
        <v>358.8</v>
      </c>
      <c r="G87" s="1325">
        <v>564.72</v>
      </c>
      <c r="H87" s="1325">
        <v>884.83199999999999</v>
      </c>
      <c r="I87" s="1325">
        <v>1336.164</v>
      </c>
      <c r="J87" s="1325">
        <v>1787.7660000000001</v>
      </c>
      <c r="K87" s="1326">
        <v>2239.7730000000001</v>
      </c>
      <c r="L87" s="162"/>
    </row>
    <row r="88" spans="1:12">
      <c r="A88" s="591"/>
      <c r="B88" s="275" t="str">
        <f t="shared" si="4"/>
        <v>BYOT &amp; BYODIncentives</v>
      </c>
      <c r="C88" s="1323" t="s">
        <v>62</v>
      </c>
      <c r="D88" s="1324" t="s">
        <v>320</v>
      </c>
      <c r="E88" s="1325">
        <v>588</v>
      </c>
      <c r="F88" s="1325">
        <v>1072</v>
      </c>
      <c r="G88" s="1325">
        <v>2156.75</v>
      </c>
      <c r="H88" s="1325">
        <v>3721.0529999999999</v>
      </c>
      <c r="I88" s="1325">
        <v>5858.5034999999998</v>
      </c>
      <c r="J88" s="1325">
        <v>7815.4852499999997</v>
      </c>
      <c r="K88" s="1326">
        <v>9774.7638750000006</v>
      </c>
    </row>
    <row r="89" spans="1:12">
      <c r="A89" s="591"/>
      <c r="B89" s="275" t="str">
        <f t="shared" si="4"/>
        <v>BYOT &amp; BYODMiscellaneous</v>
      </c>
      <c r="C89" s="1323" t="s">
        <v>62</v>
      </c>
      <c r="D89" s="1324" t="s">
        <v>1195</v>
      </c>
      <c r="E89" s="1325">
        <v>50</v>
      </c>
      <c r="F89" s="1325">
        <v>50</v>
      </c>
      <c r="G89" s="1325">
        <v>50</v>
      </c>
      <c r="H89" s="1325">
        <v>50</v>
      </c>
      <c r="I89" s="1325">
        <v>200</v>
      </c>
      <c r="J89" s="1325">
        <v>50</v>
      </c>
      <c r="K89" s="1326">
        <v>50</v>
      </c>
    </row>
    <row r="90" spans="1:12" ht="13.5" thickBot="1">
      <c r="A90" s="591"/>
      <c r="B90" s="275" t="str">
        <f t="shared" si="4"/>
        <v>BYOT &amp; BYODTotal</v>
      </c>
      <c r="C90" s="684" t="s">
        <v>62</v>
      </c>
      <c r="D90" s="683" t="s">
        <v>148</v>
      </c>
      <c r="E90" s="1321">
        <v>1581.5864491572181</v>
      </c>
      <c r="F90" s="1321">
        <v>1679.1900426319348</v>
      </c>
      <c r="G90" s="1321">
        <v>2975.631743910893</v>
      </c>
      <c r="H90" s="1321">
        <v>4865.9915962282194</v>
      </c>
      <c r="I90" s="1321">
        <v>7610.897294115066</v>
      </c>
      <c r="J90" s="1321">
        <v>9875.7879379385176</v>
      </c>
      <c r="K90" s="1322">
        <v>12293.569663576674</v>
      </c>
      <c r="L90" s="162">
        <f>SUM(E90:K90)</f>
        <v>40882.654727558525</v>
      </c>
    </row>
    <row r="91" spans="1:12">
      <c r="A91" s="591"/>
      <c r="B91" s="275" t="str">
        <f t="shared" si="4"/>
        <v>Business RebatesAdministration</v>
      </c>
      <c r="C91" s="587" t="s">
        <v>63</v>
      </c>
      <c r="D91" s="585" t="s">
        <v>318</v>
      </c>
      <c r="E91" s="1317">
        <v>202.61202691640699</v>
      </c>
      <c r="F91" s="1317">
        <v>208.51038772389919</v>
      </c>
      <c r="G91" s="1317">
        <v>214.58569935561616</v>
      </c>
      <c r="H91" s="1317">
        <v>220.84327033628463</v>
      </c>
      <c r="I91" s="1317">
        <v>227.28856844637318</v>
      </c>
      <c r="J91" s="1317">
        <v>233.92722549976438</v>
      </c>
      <c r="K91" s="1318">
        <v>240.76504226475731</v>
      </c>
    </row>
    <row r="92" spans="1:12">
      <c r="A92" s="591"/>
      <c r="B92" s="275" t="str">
        <f t="shared" si="4"/>
        <v>Business RebatesImplementation</v>
      </c>
      <c r="C92" s="588" t="s">
        <v>63</v>
      </c>
      <c r="D92" s="1324" t="s">
        <v>2710</v>
      </c>
      <c r="E92" s="1325">
        <v>1195.87282826809</v>
      </c>
      <c r="F92" s="1325">
        <v>1195.87282826809</v>
      </c>
      <c r="G92" s="1325">
        <v>1195.87282826809</v>
      </c>
      <c r="H92" s="1325">
        <v>1195.87282826809</v>
      </c>
      <c r="I92" s="1325">
        <v>1195.87282826809</v>
      </c>
      <c r="J92" s="1325">
        <v>1195.87282826809</v>
      </c>
      <c r="K92" s="1326">
        <v>1195.87282826809</v>
      </c>
    </row>
    <row r="93" spans="1:12">
      <c r="A93" s="591"/>
      <c r="B93" s="275" t="str">
        <f t="shared" si="4"/>
        <v>Business RebatesIncentives</v>
      </c>
      <c r="C93" s="1323" t="s">
        <v>63</v>
      </c>
      <c r="D93" s="1324" t="s">
        <v>320</v>
      </c>
      <c r="E93" s="1325">
        <v>3169.1302155183284</v>
      </c>
      <c r="F93" s="1325">
        <v>3673.0624232578966</v>
      </c>
      <c r="G93" s="1325">
        <v>2733.3511402439872</v>
      </c>
      <c r="H93" s="1325">
        <v>2201.0670702439875</v>
      </c>
      <c r="I93" s="1325">
        <v>2209.7563402439873</v>
      </c>
      <c r="J93" s="1325">
        <v>2214.6563402439874</v>
      </c>
      <c r="K93" s="1326">
        <v>2205.8670702439872</v>
      </c>
    </row>
    <row r="94" spans="1:12">
      <c r="A94" s="591"/>
      <c r="B94" s="275" t="str">
        <f t="shared" si="4"/>
        <v>Business RebatesMiscellaneous</v>
      </c>
      <c r="C94" s="1323" t="s">
        <v>63</v>
      </c>
      <c r="D94" s="1324" t="s">
        <v>1195</v>
      </c>
      <c r="E94" s="1325">
        <v>100</v>
      </c>
      <c r="F94" s="1325">
        <v>100</v>
      </c>
      <c r="G94" s="1325">
        <v>150</v>
      </c>
      <c r="H94" s="1325">
        <v>150</v>
      </c>
      <c r="I94" s="1325">
        <v>250</v>
      </c>
      <c r="J94" s="1325">
        <v>150</v>
      </c>
      <c r="K94" s="1326">
        <v>150</v>
      </c>
    </row>
    <row r="95" spans="1:12" ht="13.5" thickBot="1">
      <c r="A95" s="591"/>
      <c r="B95" s="275" t="str">
        <f t="shared" si="4"/>
        <v>Business RebatesTotal</v>
      </c>
      <c r="C95" s="684" t="s">
        <v>63</v>
      </c>
      <c r="D95" s="683" t="s">
        <v>148</v>
      </c>
      <c r="E95" s="1321">
        <v>4667.6150707028255</v>
      </c>
      <c r="F95" s="1321">
        <v>5177.445639249886</v>
      </c>
      <c r="G95" s="1321">
        <v>4293.8096678676939</v>
      </c>
      <c r="H95" s="1321">
        <v>3767.783168848362</v>
      </c>
      <c r="I95" s="1321">
        <v>3882.9177369584504</v>
      </c>
      <c r="J95" s="1321">
        <v>3794.4563940118414</v>
      </c>
      <c r="K95" s="1322">
        <v>3792.5049407768347</v>
      </c>
      <c r="L95" s="162">
        <f>SUM(E95:K95)</f>
        <v>29376.532618415895</v>
      </c>
    </row>
    <row r="96" spans="1:12" s="158" customFormat="1">
      <c r="A96" s="591"/>
      <c r="B96" s="275" t="str">
        <f t="shared" si="4"/>
        <v>Small Business - Audit &amp; DIAdministration</v>
      </c>
      <c r="C96" s="587" t="s">
        <v>64</v>
      </c>
      <c r="D96" s="585" t="s">
        <v>318</v>
      </c>
      <c r="E96" s="1317">
        <v>228.74946411104952</v>
      </c>
      <c r="F96" s="1317">
        <v>80.931948034381023</v>
      </c>
      <c r="G96" s="1317">
        <v>83.179906475412452</v>
      </c>
      <c r="H96" s="1317">
        <v>85.495303669674826</v>
      </c>
      <c r="I96" s="1317">
        <v>87.880162779765072</v>
      </c>
      <c r="J96" s="1317">
        <v>90.336567663158021</v>
      </c>
      <c r="K96" s="1318">
        <v>92.866664693052769</v>
      </c>
      <c r="L96" s="159"/>
    </row>
    <row r="97" spans="1:12">
      <c r="A97" s="590"/>
      <c r="B97" s="369" t="str">
        <f t="shared" si="4"/>
        <v>Small Business - Audit &amp; DIImplementation</v>
      </c>
      <c r="C97" s="1323" t="s">
        <v>64</v>
      </c>
      <c r="D97" s="1324" t="s">
        <v>2710</v>
      </c>
      <c r="E97" s="1325">
        <v>293.34866</v>
      </c>
      <c r="F97" s="1325">
        <v>436.69731999999999</v>
      </c>
      <c r="G97" s="1325">
        <v>436.69731999999999</v>
      </c>
      <c r="H97" s="1325">
        <v>436.69731999999999</v>
      </c>
      <c r="I97" s="1325">
        <v>436.69731999999999</v>
      </c>
      <c r="J97" s="1325">
        <v>436.69731999999999</v>
      </c>
      <c r="K97" s="1326">
        <v>436.69731999999999</v>
      </c>
    </row>
    <row r="98" spans="1:12">
      <c r="A98" s="591"/>
      <c r="B98" s="369" t="str">
        <f t="shared" si="4"/>
        <v>Small Business - Audit &amp; DIIncentives</v>
      </c>
      <c r="C98" s="1323" t="s">
        <v>64</v>
      </c>
      <c r="D98" s="1324" t="s">
        <v>320</v>
      </c>
      <c r="E98" s="1325">
        <v>0</v>
      </c>
      <c r="F98" s="1325">
        <v>0</v>
      </c>
      <c r="G98" s="1325">
        <v>0</v>
      </c>
      <c r="H98" s="1325">
        <v>0</v>
      </c>
      <c r="I98" s="1325">
        <v>0</v>
      </c>
      <c r="J98" s="1325">
        <v>0</v>
      </c>
      <c r="K98" s="1326">
        <v>0</v>
      </c>
    </row>
    <row r="99" spans="1:12">
      <c r="A99" s="591"/>
      <c r="B99" s="369" t="str">
        <f t="shared" si="4"/>
        <v>Small Business - Audit &amp; DIMiscellaneous</v>
      </c>
      <c r="C99" s="1323" t="s">
        <v>64</v>
      </c>
      <c r="D99" s="1324" t="s">
        <v>1195</v>
      </c>
      <c r="E99" s="1325">
        <v>100</v>
      </c>
      <c r="F99" s="1325">
        <v>100</v>
      </c>
      <c r="G99" s="1325">
        <v>100</v>
      </c>
      <c r="H99" s="1325">
        <v>100</v>
      </c>
      <c r="I99" s="1325">
        <v>200</v>
      </c>
      <c r="J99" s="1325">
        <v>100</v>
      </c>
      <c r="K99" s="1326">
        <v>100</v>
      </c>
    </row>
    <row r="100" spans="1:12" ht="13.5" thickBot="1">
      <c r="A100" s="591"/>
      <c r="B100" s="369" t="str">
        <f t="shared" si="4"/>
        <v>Small Business - Audit &amp; DITotal</v>
      </c>
      <c r="C100" s="684" t="s">
        <v>64</v>
      </c>
      <c r="D100" s="683" t="s">
        <v>148</v>
      </c>
      <c r="E100" s="1321">
        <v>622.09812411104951</v>
      </c>
      <c r="F100" s="1321">
        <v>617.62926803438097</v>
      </c>
      <c r="G100" s="1321">
        <v>619.8772264754125</v>
      </c>
      <c r="H100" s="1321">
        <v>622.19262366967484</v>
      </c>
      <c r="I100" s="1321">
        <v>724.57748277976509</v>
      </c>
      <c r="J100" s="1321">
        <v>627.033887663158</v>
      </c>
      <c r="K100" s="1322">
        <v>629.56398469305282</v>
      </c>
      <c r="L100" s="162">
        <f>SUM(E100:K100)</f>
        <v>4462.9725974264938</v>
      </c>
    </row>
    <row r="101" spans="1:12">
      <c r="A101" s="591"/>
      <c r="B101" s="275" t="str">
        <f t="shared" si="4"/>
        <v>Residential Demand ConservationAdministration</v>
      </c>
      <c r="C101" s="584" t="s">
        <v>4</v>
      </c>
      <c r="D101" s="585" t="s">
        <v>318</v>
      </c>
      <c r="E101" s="1317">
        <v>139.22943874271371</v>
      </c>
      <c r="F101" s="1317">
        <v>143.22632190499513</v>
      </c>
      <c r="G101" s="1317">
        <v>147.343111562145</v>
      </c>
      <c r="H101" s="1317">
        <v>151.58340490900935</v>
      </c>
      <c r="I101" s="1317">
        <v>155.95090705627962</v>
      </c>
      <c r="J101" s="1317">
        <v>160.449434267968</v>
      </c>
      <c r="K101" s="1318">
        <v>165.08291729600705</v>
      </c>
    </row>
    <row r="102" spans="1:12">
      <c r="A102" s="591"/>
      <c r="B102" s="275" t="str">
        <f t="shared" si="4"/>
        <v>Residential Demand ConservationImplementation</v>
      </c>
      <c r="C102" s="1327" t="s">
        <v>4</v>
      </c>
      <c r="D102" s="1324" t="s">
        <v>2710</v>
      </c>
      <c r="E102" s="1325">
        <v>1000</v>
      </c>
      <c r="F102" s="1325">
        <v>1000</v>
      </c>
      <c r="G102" s="1325">
        <v>1000</v>
      </c>
      <c r="H102" s="1325">
        <v>1000</v>
      </c>
      <c r="I102" s="1325">
        <v>1000</v>
      </c>
      <c r="J102" s="1325">
        <v>1000</v>
      </c>
      <c r="K102" s="1326">
        <v>1000</v>
      </c>
    </row>
    <row r="103" spans="1:12">
      <c r="A103" s="591"/>
      <c r="B103" s="275" t="str">
        <f t="shared" si="4"/>
        <v>Residential Demand ConservationIncentives</v>
      </c>
      <c r="C103" s="1327" t="s">
        <v>4</v>
      </c>
      <c r="D103" s="1324" t="s">
        <v>320</v>
      </c>
      <c r="E103" s="1325">
        <v>2335.485090203058</v>
      </c>
      <c r="F103" s="1325">
        <v>2098.0487015613626</v>
      </c>
      <c r="G103" s="1325">
        <v>1876.2123129196668</v>
      </c>
      <c r="H103" s="1325">
        <v>3431.6759242779708</v>
      </c>
      <c r="I103" s="1325">
        <v>10968.218331850176</v>
      </c>
      <c r="J103" s="1325">
        <v>9856.8607394223764</v>
      </c>
      <c r="K103" s="1326">
        <v>8861.5031469945789</v>
      </c>
    </row>
    <row r="104" spans="1:12">
      <c r="A104" s="591"/>
      <c r="B104" s="275" t="str">
        <f t="shared" si="4"/>
        <v>Residential Demand ConservationMiscellaneous</v>
      </c>
      <c r="C104" s="1327" t="s">
        <v>4</v>
      </c>
      <c r="D104" s="1324" t="s">
        <v>1195</v>
      </c>
      <c r="E104" s="1325">
        <v>0</v>
      </c>
      <c r="F104" s="1325">
        <v>150</v>
      </c>
      <c r="G104" s="1325">
        <v>0</v>
      </c>
      <c r="H104" s="1325">
        <v>0</v>
      </c>
      <c r="I104" s="1325">
        <v>0</v>
      </c>
      <c r="J104" s="1325">
        <v>0</v>
      </c>
      <c r="K104" s="1326">
        <v>0</v>
      </c>
    </row>
    <row r="105" spans="1:12" ht="13.5" thickBot="1">
      <c r="A105" s="591"/>
      <c r="B105" s="275" t="str">
        <f t="shared" si="4"/>
        <v>Residential Demand ConservationTotal</v>
      </c>
      <c r="C105" s="586" t="s">
        <v>4</v>
      </c>
      <c r="D105" s="683" t="s">
        <v>148</v>
      </c>
      <c r="E105" s="1321">
        <v>3474.7145289457717</v>
      </c>
      <c r="F105" s="1321">
        <v>3391.2750234663577</v>
      </c>
      <c r="G105" s="1321">
        <v>3023.5554244818118</v>
      </c>
      <c r="H105" s="1321">
        <v>4583.2593291869798</v>
      </c>
      <c r="I105" s="1321">
        <v>12124.169238906456</v>
      </c>
      <c r="J105" s="1321">
        <v>11017.310173690345</v>
      </c>
      <c r="K105" s="1322">
        <v>10026.586064290586</v>
      </c>
      <c r="L105" s="370">
        <f>SUM(E105:K105)</f>
        <v>47640.869782968308</v>
      </c>
    </row>
    <row r="106" spans="1:12">
      <c r="A106" s="591"/>
      <c r="B106" s="275" t="str">
        <f>C106&amp;D106</f>
        <v>Large Nonres Demand Con.Administration</v>
      </c>
      <c r="C106" s="587" t="s">
        <v>65</v>
      </c>
      <c r="D106" s="585" t="s">
        <v>318</v>
      </c>
      <c r="E106" s="1317">
        <v>132.30647452555405</v>
      </c>
      <c r="F106" s="1317">
        <v>136.09566876132067</v>
      </c>
      <c r="G106" s="1317">
        <v>139.99853882416028</v>
      </c>
      <c r="H106" s="1317">
        <v>144.0184949888851</v>
      </c>
      <c r="I106" s="1317">
        <v>148.15904983855165</v>
      </c>
      <c r="J106" s="1317">
        <v>152.42382133370819</v>
      </c>
      <c r="K106" s="1318">
        <v>156.81653597371943</v>
      </c>
      <c r="L106" s="370"/>
    </row>
    <row r="107" spans="1:12">
      <c r="A107" s="591"/>
      <c r="B107" s="275" t="str">
        <f t="shared" ref="B107:B111" si="5">C107&amp;D107</f>
        <v>Large Nonres Demand Con.Implementation</v>
      </c>
      <c r="C107" s="1323" t="s">
        <v>65</v>
      </c>
      <c r="D107" s="1324" t="s">
        <v>2710</v>
      </c>
      <c r="E107" s="1325">
        <v>1064.3257950281923</v>
      </c>
      <c r="F107" s="1325">
        <v>1021.3926256839716</v>
      </c>
      <c r="G107" s="1325">
        <v>1057.2906242983186</v>
      </c>
      <c r="H107" s="1325">
        <v>1155.0220885590622</v>
      </c>
      <c r="I107" s="1325">
        <v>1168.8919767846653</v>
      </c>
      <c r="J107" s="1325">
        <v>1174.7731619049271</v>
      </c>
      <c r="K107" s="1326">
        <v>750</v>
      </c>
      <c r="L107" s="370"/>
    </row>
    <row r="108" spans="1:12" s="158" customFormat="1">
      <c r="A108" s="591"/>
      <c r="B108" s="275" t="str">
        <f t="shared" si="5"/>
        <v>Large Nonres Demand Con.Incentives</v>
      </c>
      <c r="C108" s="1323" t="s">
        <v>65</v>
      </c>
      <c r="D108" s="1324" t="s">
        <v>320</v>
      </c>
      <c r="E108" s="1325">
        <v>2172.1528129578278</v>
      </c>
      <c r="F108" s="1325">
        <v>2726.0304489685518</v>
      </c>
      <c r="G108" s="1325">
        <v>3353.1713085466836</v>
      </c>
      <c r="H108" s="1325">
        <v>4179.7695861448674</v>
      </c>
      <c r="I108" s="1325">
        <v>5034.6745315560365</v>
      </c>
      <c r="J108" s="1325">
        <v>5901.5822235530513</v>
      </c>
      <c r="K108" s="1326">
        <v>5901.5822235530513</v>
      </c>
      <c r="L108" s="370"/>
    </row>
    <row r="109" spans="1:12" s="158" customFormat="1">
      <c r="A109" s="590"/>
      <c r="B109" s="275" t="str">
        <f t="shared" si="5"/>
        <v>Large Nonres Demand Con.Miscellaneous</v>
      </c>
      <c r="C109" s="1323" t="s">
        <v>65</v>
      </c>
      <c r="D109" s="1324" t="s">
        <v>1195</v>
      </c>
      <c r="E109" s="1325">
        <v>100</v>
      </c>
      <c r="F109" s="1325">
        <v>250</v>
      </c>
      <c r="G109" s="1325">
        <v>100</v>
      </c>
      <c r="H109" s="1325">
        <v>100</v>
      </c>
      <c r="I109" s="1325">
        <v>100</v>
      </c>
      <c r="J109" s="1325">
        <v>100</v>
      </c>
      <c r="K109" s="1326">
        <v>100</v>
      </c>
      <c r="L109" s="370"/>
    </row>
    <row r="110" spans="1:12" ht="13.5" thickBot="1">
      <c r="A110" s="590"/>
      <c r="B110" s="275" t="str">
        <f t="shared" si="5"/>
        <v>Large Nonres Demand Con.Total</v>
      </c>
      <c r="C110" s="684" t="s">
        <v>65</v>
      </c>
      <c r="D110" s="683" t="s">
        <v>148</v>
      </c>
      <c r="E110" s="1321">
        <v>3468.7850825115738</v>
      </c>
      <c r="F110" s="1321">
        <v>4133.5187434138443</v>
      </c>
      <c r="G110" s="1321">
        <v>4650.4604716691629</v>
      </c>
      <c r="H110" s="1321">
        <v>5578.8101696928152</v>
      </c>
      <c r="I110" s="1321">
        <v>6451.7255581792533</v>
      </c>
      <c r="J110" s="1321">
        <v>7328.7792067916871</v>
      </c>
      <c r="K110" s="1322">
        <v>6908.3987595267708</v>
      </c>
      <c r="L110" s="162">
        <f>SUM(E110:K110)</f>
        <v>38520.477991785105</v>
      </c>
    </row>
    <row r="111" spans="1:12">
      <c r="A111" s="591"/>
      <c r="B111" s="275" t="str">
        <f t="shared" si="5"/>
        <v>Peak Time RebateAdministration</v>
      </c>
      <c r="C111" s="587" t="s">
        <v>66</v>
      </c>
      <c r="D111" s="585" t="s">
        <v>318</v>
      </c>
      <c r="E111" s="1317">
        <v>250</v>
      </c>
      <c r="F111" s="1317">
        <v>873.45809459755378</v>
      </c>
      <c r="G111" s="1317">
        <v>126.98183743548034</v>
      </c>
      <c r="H111" s="1317">
        <v>130.61129255854476</v>
      </c>
      <c r="I111" s="1317">
        <v>134.3496313353011</v>
      </c>
      <c r="J111" s="1317">
        <v>138.20012027536012</v>
      </c>
      <c r="K111" s="1318">
        <v>142.16612388362091</v>
      </c>
    </row>
    <row r="112" spans="1:12">
      <c r="A112" s="591"/>
      <c r="B112" s="275" t="str">
        <f>C112&amp;D112</f>
        <v>Peak Time RebateImplementation</v>
      </c>
      <c r="C112" s="1323" t="s">
        <v>66</v>
      </c>
      <c r="D112" s="1324" t="s">
        <v>2710</v>
      </c>
      <c r="E112" s="1325">
        <v>0</v>
      </c>
      <c r="F112" s="1325">
        <v>504</v>
      </c>
      <c r="G112" s="1325">
        <v>208</v>
      </c>
      <c r="H112" s="1325">
        <v>416</v>
      </c>
      <c r="I112" s="1325">
        <v>740</v>
      </c>
      <c r="J112" s="1325">
        <v>740</v>
      </c>
      <c r="K112" s="1326">
        <v>740</v>
      </c>
    </row>
    <row r="113" spans="1:12">
      <c r="A113" s="591"/>
      <c r="B113" s="275" t="str">
        <f t="shared" ref="B113" si="6">C113&amp;D113</f>
        <v>Peak Time RebateIncentives</v>
      </c>
      <c r="C113" s="1323" t="s">
        <v>66</v>
      </c>
      <c r="D113" s="1324" t="s">
        <v>320</v>
      </c>
      <c r="E113" s="1325">
        <v>0</v>
      </c>
      <c r="F113" s="1325">
        <v>1255.7620949882669</v>
      </c>
      <c r="G113" s="1325">
        <v>2511.5241899765338</v>
      </c>
      <c r="H113" s="1325">
        <v>5023.0483799530675</v>
      </c>
      <c r="I113" s="1325">
        <v>8935.2302912626692</v>
      </c>
      <c r="J113" s="1325">
        <v>8935.2302912626692</v>
      </c>
      <c r="K113" s="1326">
        <v>8935.2302912626692</v>
      </c>
    </row>
    <row r="114" spans="1:12">
      <c r="A114" s="591"/>
      <c r="B114" s="275" t="str">
        <f>C114&amp;D114</f>
        <v>Peak Time RebateMiscellaneous</v>
      </c>
      <c r="C114" s="1323" t="s">
        <v>66</v>
      </c>
      <c r="D114" s="1324" t="s">
        <v>1195</v>
      </c>
      <c r="E114" s="1325">
        <v>0</v>
      </c>
      <c r="F114" s="1325">
        <v>112</v>
      </c>
      <c r="G114" s="1325">
        <v>112</v>
      </c>
      <c r="H114" s="1325">
        <v>112</v>
      </c>
      <c r="I114" s="1325">
        <v>112</v>
      </c>
      <c r="J114" s="1325">
        <v>262</v>
      </c>
      <c r="K114" s="1326">
        <v>112</v>
      </c>
    </row>
    <row r="115" spans="1:12" ht="13.5" thickBot="1">
      <c r="A115" s="591"/>
      <c r="B115" s="275" t="str">
        <f t="shared" ref="B115:B116" si="7">C115&amp;D115</f>
        <v>Peak Time RebateTotal</v>
      </c>
      <c r="C115" s="684" t="s">
        <v>66</v>
      </c>
      <c r="D115" s="683" t="s">
        <v>148</v>
      </c>
      <c r="E115" s="1321">
        <v>250</v>
      </c>
      <c r="F115" s="1321">
        <v>2745.2201895858207</v>
      </c>
      <c r="G115" s="1321">
        <v>2958.5060274120142</v>
      </c>
      <c r="H115" s="1321">
        <v>5681.6596725116124</v>
      </c>
      <c r="I115" s="1321">
        <v>9921.5799225979699</v>
      </c>
      <c r="J115" s="1321">
        <v>10075.430411538029</v>
      </c>
      <c r="K115" s="1322">
        <v>9929.3964151462897</v>
      </c>
      <c r="L115" s="162">
        <f>SUM(E115:K115)</f>
        <v>41561.79263879174</v>
      </c>
    </row>
    <row r="116" spans="1:12">
      <c r="A116" s="591"/>
      <c r="B116" s="275" t="str">
        <f t="shared" si="7"/>
        <v>Residential Managed ChargingAdministration</v>
      </c>
      <c r="C116" s="587" t="s">
        <v>67</v>
      </c>
      <c r="D116" s="585" t="s">
        <v>318</v>
      </c>
      <c r="E116" s="1317">
        <v>203.74946411104952</v>
      </c>
      <c r="F116" s="1317">
        <v>80.931948034381023</v>
      </c>
      <c r="G116" s="1317">
        <v>83.179906475412452</v>
      </c>
      <c r="H116" s="1317">
        <v>85.495303669674826</v>
      </c>
      <c r="I116" s="1317">
        <v>87.880162779765072</v>
      </c>
      <c r="J116" s="1317">
        <v>90.336567663158021</v>
      </c>
      <c r="K116" s="1318">
        <v>92.866664693052769</v>
      </c>
    </row>
    <row r="117" spans="1:12">
      <c r="A117" s="591"/>
      <c r="B117" s="275" t="str">
        <f>C117&amp;D117</f>
        <v>Residential Managed ChargingImplementation</v>
      </c>
      <c r="C117" s="1323" t="s">
        <v>67</v>
      </c>
      <c r="D117" s="1324" t="s">
        <v>2710</v>
      </c>
      <c r="E117" s="1325">
        <v>90</v>
      </c>
      <c r="F117" s="1325">
        <v>180</v>
      </c>
      <c r="G117" s="1325">
        <v>270</v>
      </c>
      <c r="H117" s="1325">
        <v>360</v>
      </c>
      <c r="I117" s="1325">
        <v>540</v>
      </c>
      <c r="J117" s="1325">
        <v>720</v>
      </c>
      <c r="K117" s="1326">
        <v>900</v>
      </c>
    </row>
    <row r="118" spans="1:12">
      <c r="A118" s="591"/>
      <c r="B118" s="275" t="str">
        <f t="shared" ref="B118:B119" si="8">C118&amp;D118</f>
        <v>Residential Managed ChargingIncentives</v>
      </c>
      <c r="C118" s="1323" t="s">
        <v>67</v>
      </c>
      <c r="D118" s="1324" t="s">
        <v>320</v>
      </c>
      <c r="E118" s="1325">
        <v>82.5</v>
      </c>
      <c r="F118" s="1325">
        <v>127.5</v>
      </c>
      <c r="G118" s="1325">
        <v>172.5</v>
      </c>
      <c r="H118" s="1325">
        <v>217.5</v>
      </c>
      <c r="I118" s="1325">
        <v>345</v>
      </c>
      <c r="J118" s="1325">
        <v>435</v>
      </c>
      <c r="K118" s="1326">
        <v>525</v>
      </c>
    </row>
    <row r="119" spans="1:12">
      <c r="A119" s="591"/>
      <c r="B119" s="275" t="str">
        <f t="shared" si="8"/>
        <v>Residential Managed ChargingMiscellaneous</v>
      </c>
      <c r="C119" s="1323" t="s">
        <v>67</v>
      </c>
      <c r="D119" s="1324" t="s">
        <v>1195</v>
      </c>
      <c r="E119" s="1325">
        <v>150</v>
      </c>
      <c r="F119" s="1325">
        <v>150</v>
      </c>
      <c r="G119" s="1325">
        <v>150</v>
      </c>
      <c r="H119" s="1325">
        <v>150</v>
      </c>
      <c r="I119" s="1325">
        <v>150</v>
      </c>
      <c r="J119" s="1325">
        <v>150</v>
      </c>
      <c r="K119" s="1326">
        <v>300</v>
      </c>
    </row>
    <row r="120" spans="1:12" ht="13.5" thickBot="1">
      <c r="A120" s="591"/>
      <c r="B120" s="275" t="str">
        <f>C120&amp;D120</f>
        <v>Residential Managed ChargingTotal</v>
      </c>
      <c r="C120" s="684" t="s">
        <v>67</v>
      </c>
      <c r="D120" s="683" t="s">
        <v>148</v>
      </c>
      <c r="E120" s="1321">
        <v>526.24946411104952</v>
      </c>
      <c r="F120" s="1321">
        <v>538.43194803438109</v>
      </c>
      <c r="G120" s="1321">
        <v>675.67990647541251</v>
      </c>
      <c r="H120" s="1321">
        <v>812.99530366967485</v>
      </c>
      <c r="I120" s="1321">
        <v>1122.8801627797652</v>
      </c>
      <c r="J120" s="1321">
        <v>1395.3365676631579</v>
      </c>
      <c r="K120" s="1322">
        <v>1817.8666646930528</v>
      </c>
      <c r="L120" s="162">
        <f>SUM(E120:K120)</f>
        <v>6889.4400174264938</v>
      </c>
    </row>
    <row r="121" spans="1:12" s="158" customFormat="1">
      <c r="A121" s="591"/>
      <c r="B121" s="275" t="str">
        <f>C121&amp;D121</f>
        <v>NonRes Midstream LightingAdministration</v>
      </c>
      <c r="C121" s="587" t="s">
        <v>68</v>
      </c>
      <c r="D121" s="585" t="s">
        <v>318</v>
      </c>
      <c r="E121" s="1317">
        <v>0</v>
      </c>
      <c r="F121" s="1317">
        <v>0</v>
      </c>
      <c r="G121" s="1317">
        <v>400.42249426888367</v>
      </c>
      <c r="H121" s="1317">
        <v>154.75516909695017</v>
      </c>
      <c r="I121" s="1317">
        <v>159.21782416985869</v>
      </c>
      <c r="J121" s="1317">
        <v>163.81435889495444</v>
      </c>
      <c r="K121" s="1318">
        <v>168.54878966180308</v>
      </c>
      <c r="L121" s="159"/>
    </row>
    <row r="122" spans="1:12" s="158" customFormat="1">
      <c r="A122" s="590"/>
      <c r="B122" s="275" t="str">
        <f t="shared" ref="B122:B124" si="9">C122&amp;D122</f>
        <v>NonRes Midstream LightingImplementation</v>
      </c>
      <c r="C122" s="1323" t="s">
        <v>68</v>
      </c>
      <c r="D122" s="1324" t="s">
        <v>2710</v>
      </c>
      <c r="E122" s="1325">
        <v>0</v>
      </c>
      <c r="F122" s="1325">
        <v>0</v>
      </c>
      <c r="G122" s="1325">
        <v>300</v>
      </c>
      <c r="H122" s="1325">
        <v>300</v>
      </c>
      <c r="I122" s="1325">
        <v>300</v>
      </c>
      <c r="J122" s="1325">
        <v>300</v>
      </c>
      <c r="K122" s="1326">
        <v>300</v>
      </c>
      <c r="L122" s="162"/>
    </row>
    <row r="123" spans="1:12">
      <c r="A123" s="590"/>
      <c r="B123" s="275" t="str">
        <f t="shared" si="9"/>
        <v>NonRes Midstream LightingIncentives</v>
      </c>
      <c r="C123" s="1323" t="s">
        <v>68</v>
      </c>
      <c r="D123" s="1324" t="s">
        <v>320</v>
      </c>
      <c r="E123" s="1325">
        <v>0</v>
      </c>
      <c r="F123" s="1325">
        <v>0</v>
      </c>
      <c r="G123" s="1325">
        <v>2055.5808000000002</v>
      </c>
      <c r="H123" s="1325">
        <v>3083.3707200000003</v>
      </c>
      <c r="I123" s="1325">
        <v>3083.3707200000003</v>
      </c>
      <c r="J123" s="1325">
        <v>2466.6965759999998</v>
      </c>
      <c r="K123" s="1326">
        <v>1973.3572608000002</v>
      </c>
    </row>
    <row r="124" spans="1:12">
      <c r="A124" s="591"/>
      <c r="B124" s="275" t="str">
        <f t="shared" si="9"/>
        <v>NonRes Midstream LightingMiscellaneous</v>
      </c>
      <c r="C124" s="1323" t="s">
        <v>68</v>
      </c>
      <c r="D124" s="1324" t="s">
        <v>1195</v>
      </c>
      <c r="E124" s="1325">
        <v>0</v>
      </c>
      <c r="F124" s="1325">
        <v>0</v>
      </c>
      <c r="G124" s="1325">
        <v>150</v>
      </c>
      <c r="H124" s="1325">
        <v>150</v>
      </c>
      <c r="I124" s="1325">
        <v>250</v>
      </c>
      <c r="J124" s="1325">
        <v>150</v>
      </c>
      <c r="K124" s="1326">
        <v>150</v>
      </c>
    </row>
    <row r="125" spans="1:12" ht="13.5" thickBot="1">
      <c r="A125" s="591"/>
      <c r="B125" s="275" t="str">
        <f>C125&amp;D125</f>
        <v>NonRes Midstream LightingTotal</v>
      </c>
      <c r="C125" s="684" t="s">
        <v>68</v>
      </c>
      <c r="D125" s="683" t="s">
        <v>148</v>
      </c>
      <c r="E125" s="1321">
        <v>0</v>
      </c>
      <c r="F125" s="1321">
        <v>0</v>
      </c>
      <c r="G125" s="1321">
        <v>2906.003294268884</v>
      </c>
      <c r="H125" s="1321">
        <v>3688.1258890969507</v>
      </c>
      <c r="I125" s="1321">
        <v>3792.5885441698592</v>
      </c>
      <c r="J125" s="1321">
        <v>3080.5109348949545</v>
      </c>
      <c r="K125" s="1322">
        <v>2591.9060504618033</v>
      </c>
      <c r="L125" s="162">
        <f>SUM(E125:K125)</f>
        <v>16059.13471289245</v>
      </c>
    </row>
    <row r="126" spans="1:12">
      <c r="A126" s="591"/>
      <c r="B126" s="275" t="str">
        <f t="shared" ref="B126:B130" si="10">C126&amp;D126</f>
        <v>PDAAdministration</v>
      </c>
      <c r="C126" s="584" t="s">
        <v>69</v>
      </c>
      <c r="D126" s="585" t="s">
        <v>318</v>
      </c>
      <c r="E126" s="1317">
        <v>953.65337499999998</v>
      </c>
      <c r="F126" s="1317">
        <v>981.43337499999996</v>
      </c>
      <c r="G126" s="1317">
        <v>1010.0467749999999</v>
      </c>
      <c r="H126" s="1317">
        <v>1039.5185770000001</v>
      </c>
      <c r="I126" s="1317">
        <v>1069.87453306</v>
      </c>
      <c r="J126" s="1317">
        <v>1101.1411678018001</v>
      </c>
      <c r="K126" s="1318">
        <v>1133.3458015858541</v>
      </c>
      <c r="L126" s="162"/>
    </row>
    <row r="127" spans="1:12">
      <c r="A127" s="591"/>
      <c r="B127" s="275" t="str">
        <f t="shared" si="10"/>
        <v>PDAImplementation</v>
      </c>
      <c r="C127" s="1327" t="s">
        <v>69</v>
      </c>
      <c r="D127" s="1324" t="s">
        <v>2710</v>
      </c>
      <c r="E127" s="1325">
        <v>525</v>
      </c>
      <c r="F127" s="1325">
        <v>775</v>
      </c>
      <c r="G127" s="1325">
        <v>400</v>
      </c>
      <c r="H127" s="1325">
        <v>400</v>
      </c>
      <c r="I127" s="1325">
        <v>400</v>
      </c>
      <c r="J127" s="1325">
        <v>400</v>
      </c>
      <c r="K127" s="1326">
        <v>400</v>
      </c>
    </row>
    <row r="128" spans="1:12">
      <c r="A128" s="591"/>
      <c r="B128" s="275" t="str">
        <f t="shared" si="10"/>
        <v>PDAIncentives</v>
      </c>
      <c r="C128" s="1327" t="s">
        <v>69</v>
      </c>
      <c r="D128" s="1324" t="s">
        <v>320</v>
      </c>
      <c r="E128" s="1325">
        <v>0</v>
      </c>
      <c r="F128" s="1325">
        <v>0</v>
      </c>
      <c r="G128" s="1325">
        <v>0</v>
      </c>
      <c r="H128" s="1325">
        <v>0</v>
      </c>
      <c r="I128" s="1325">
        <v>0</v>
      </c>
      <c r="J128" s="1325">
        <v>0</v>
      </c>
      <c r="K128" s="1326">
        <v>0</v>
      </c>
    </row>
    <row r="129" spans="1:15">
      <c r="A129" s="591"/>
      <c r="B129" s="275" t="str">
        <f t="shared" si="10"/>
        <v>PDAMiscellaneous</v>
      </c>
      <c r="C129" s="1327" t="s">
        <v>69</v>
      </c>
      <c r="D129" s="1324" t="s">
        <v>1195</v>
      </c>
      <c r="E129" s="1325">
        <v>2150</v>
      </c>
      <c r="F129" s="1325">
        <v>1800</v>
      </c>
      <c r="G129" s="1325">
        <v>1300</v>
      </c>
      <c r="H129" s="1325">
        <v>1450</v>
      </c>
      <c r="I129" s="1325">
        <v>1300</v>
      </c>
      <c r="J129" s="1325">
        <v>1300</v>
      </c>
      <c r="K129" s="1326">
        <v>1450</v>
      </c>
    </row>
    <row r="130" spans="1:15" ht="13.5" thickBot="1">
      <c r="A130" s="591"/>
      <c r="B130" s="275" t="str">
        <f t="shared" si="10"/>
        <v>PDATotal</v>
      </c>
      <c r="C130" s="684" t="s">
        <v>69</v>
      </c>
      <c r="D130" s="683" t="s">
        <v>148</v>
      </c>
      <c r="E130" s="1321">
        <v>3628.6533749999999</v>
      </c>
      <c r="F130" s="1321">
        <v>3556.4333750000001</v>
      </c>
      <c r="G130" s="1321">
        <v>2710.0467749999998</v>
      </c>
      <c r="H130" s="1321">
        <v>2889.5185769999998</v>
      </c>
      <c r="I130" s="1321">
        <v>2769.87453306</v>
      </c>
      <c r="J130" s="1321">
        <v>2801.1411678018003</v>
      </c>
      <c r="K130" s="1322">
        <v>2983.3458015858541</v>
      </c>
      <c r="L130" s="162">
        <f>SUM(E130:K130)</f>
        <v>21339.013604447653</v>
      </c>
    </row>
    <row r="131" spans="1:15">
      <c r="A131" s="591"/>
      <c r="E131" s="159"/>
      <c r="F131" s="159"/>
      <c r="G131" s="159"/>
    </row>
    <row r="132" spans="1:15">
      <c r="A132" s="591"/>
      <c r="B132" s="581"/>
      <c r="C132" s="581"/>
      <c r="D132" s="581"/>
      <c r="E132" s="581"/>
      <c r="F132" s="581"/>
      <c r="G132" s="581"/>
      <c r="H132" s="581"/>
      <c r="I132" s="581"/>
      <c r="J132" s="581"/>
      <c r="K132" s="581"/>
      <c r="L132" s="581"/>
      <c r="M132" s="581"/>
      <c r="N132" s="581"/>
      <c r="O132" s="162"/>
    </row>
    <row r="133" spans="1:15">
      <c r="A133" s="591"/>
      <c r="B133" s="581"/>
      <c r="C133" s="581"/>
      <c r="D133" s="581"/>
      <c r="E133" s="581"/>
      <c r="F133" s="581"/>
      <c r="G133" s="581"/>
      <c r="H133" s="581"/>
      <c r="I133" s="581"/>
      <c r="J133" s="581"/>
      <c r="K133" s="581"/>
      <c r="L133" s="581"/>
      <c r="M133" s="581"/>
      <c r="N133" s="581"/>
    </row>
    <row r="134" spans="1:15" s="158" customFormat="1">
      <c r="A134" s="591"/>
      <c r="B134" s="581"/>
      <c r="C134" s="581"/>
      <c r="D134" s="581"/>
      <c r="E134" s="581"/>
      <c r="F134" s="581"/>
      <c r="G134" s="581"/>
      <c r="H134" s="581"/>
      <c r="I134" s="581"/>
      <c r="J134" s="581"/>
      <c r="K134" s="581"/>
      <c r="L134" s="581"/>
      <c r="M134" s="581"/>
      <c r="N134" s="581"/>
      <c r="O134" s="159"/>
    </row>
    <row r="135" spans="1:15" s="158" customFormat="1">
      <c r="A135" s="590"/>
      <c r="B135" s="581"/>
      <c r="C135" s="581"/>
      <c r="D135" s="581"/>
      <c r="E135" s="581"/>
      <c r="F135" s="581"/>
      <c r="G135" s="581"/>
      <c r="H135" s="581"/>
      <c r="I135" s="581"/>
      <c r="J135" s="581"/>
      <c r="K135" s="581"/>
      <c r="L135" s="581"/>
      <c r="M135" s="581"/>
      <c r="N135" s="581"/>
      <c r="O135" s="159"/>
    </row>
    <row r="136" spans="1:15">
      <c r="A136" s="590"/>
      <c r="B136" s="581"/>
      <c r="C136" s="581"/>
      <c r="D136" s="581"/>
      <c r="E136" s="581"/>
      <c r="F136" s="581"/>
      <c r="G136" s="581"/>
      <c r="H136" s="581"/>
      <c r="I136" s="581"/>
      <c r="J136" s="581"/>
      <c r="K136" s="581"/>
      <c r="L136" s="581"/>
      <c r="M136" s="581"/>
      <c r="N136" s="581"/>
    </row>
    <row r="137" spans="1:15">
      <c r="A137" s="419"/>
      <c r="B137" s="581"/>
      <c r="C137" s="581"/>
      <c r="D137" s="581"/>
      <c r="E137" s="581"/>
      <c r="F137" s="581"/>
      <c r="G137" s="581"/>
      <c r="H137" s="581"/>
      <c r="I137" s="581"/>
      <c r="J137" s="581"/>
      <c r="K137" s="581"/>
      <c r="L137" s="581"/>
      <c r="M137" s="581"/>
      <c r="N137" s="581"/>
    </row>
    <row r="138" spans="1:15">
      <c r="A138" s="419"/>
      <c r="B138" s="581"/>
      <c r="C138" s="581"/>
      <c r="D138" s="581"/>
      <c r="E138" s="581"/>
      <c r="F138" s="581"/>
      <c r="G138" s="581"/>
      <c r="H138" s="581"/>
      <c r="I138" s="581"/>
      <c r="J138" s="581"/>
      <c r="K138" s="581"/>
      <c r="L138" s="581"/>
      <c r="M138" s="581"/>
      <c r="N138" s="581"/>
    </row>
    <row r="139" spans="1:15">
      <c r="A139" s="419"/>
      <c r="B139" s="581"/>
      <c r="C139" s="581"/>
      <c r="D139" s="581"/>
      <c r="E139" s="581"/>
      <c r="F139" s="581"/>
      <c r="G139" s="581"/>
      <c r="H139" s="581"/>
      <c r="I139" s="581"/>
      <c r="J139" s="581"/>
      <c r="K139" s="581"/>
      <c r="L139" s="581"/>
      <c r="M139" s="581"/>
      <c r="N139" s="581"/>
    </row>
    <row r="140" spans="1:15">
      <c r="A140" s="419"/>
      <c r="B140" s="581"/>
      <c r="C140" s="581"/>
      <c r="D140" s="581"/>
      <c r="E140" s="581"/>
      <c r="F140" s="581"/>
      <c r="G140" s="581"/>
      <c r="H140" s="581"/>
      <c r="I140" s="581"/>
      <c r="J140" s="581"/>
      <c r="K140" s="581"/>
      <c r="L140" s="581"/>
      <c r="M140" s="581"/>
      <c r="N140" s="581"/>
    </row>
    <row r="141" spans="1:15">
      <c r="A141" s="419"/>
      <c r="B141" s="581"/>
      <c r="C141" s="581"/>
      <c r="D141" s="581"/>
      <c r="E141" s="581"/>
      <c r="F141" s="581"/>
      <c r="G141" s="581"/>
      <c r="H141" s="581"/>
      <c r="I141" s="581"/>
      <c r="J141" s="581"/>
      <c r="K141" s="581"/>
      <c r="L141" s="581"/>
      <c r="M141" s="581"/>
      <c r="N141" s="581"/>
    </row>
    <row r="142" spans="1:15">
      <c r="A142" s="419"/>
      <c r="B142" s="581"/>
      <c r="C142" s="581"/>
      <c r="D142" s="581"/>
      <c r="E142" s="581"/>
      <c r="F142" s="581"/>
      <c r="G142" s="581"/>
      <c r="H142" s="581"/>
      <c r="I142" s="581"/>
      <c r="J142" s="581"/>
      <c r="K142" s="581"/>
      <c r="L142" s="581"/>
      <c r="M142" s="581"/>
      <c r="N142" s="581"/>
    </row>
    <row r="143" spans="1:15">
      <c r="A143" s="419"/>
      <c r="B143" s="581"/>
      <c r="C143" s="581"/>
      <c r="D143" s="581"/>
      <c r="E143" s="581"/>
      <c r="F143" s="581"/>
      <c r="G143" s="581"/>
      <c r="H143" s="581"/>
      <c r="I143" s="581"/>
      <c r="J143" s="581"/>
      <c r="K143" s="581"/>
      <c r="L143" s="581"/>
      <c r="M143" s="581"/>
      <c r="N143" s="581"/>
    </row>
    <row r="144" spans="1:15">
      <c r="A144" s="419"/>
      <c r="B144" s="581"/>
      <c r="C144" s="581"/>
      <c r="D144" s="581"/>
      <c r="E144" s="581"/>
      <c r="F144" s="581"/>
      <c r="G144" s="581"/>
      <c r="H144" s="581"/>
      <c r="I144" s="581"/>
      <c r="J144" s="581"/>
      <c r="K144" s="581"/>
      <c r="L144" s="581"/>
      <c r="M144" s="581"/>
      <c r="N144" s="581"/>
    </row>
    <row r="145" spans="1:15">
      <c r="A145" s="419"/>
      <c r="E145" s="159"/>
      <c r="F145" s="159"/>
      <c r="G145" s="159"/>
      <c r="O145" s="162"/>
    </row>
    <row r="146" spans="1:15">
      <c r="A146" s="419"/>
      <c r="E146" s="159"/>
      <c r="F146" s="159"/>
      <c r="G146" s="159"/>
    </row>
    <row r="147" spans="1:15" s="158" customFormat="1">
      <c r="A147" s="591"/>
      <c r="B147" s="159"/>
      <c r="C147" s="159"/>
      <c r="D147" s="159"/>
      <c r="E147" s="159"/>
      <c r="F147" s="159"/>
      <c r="G147" s="159"/>
      <c r="H147" s="159"/>
      <c r="I147" s="159"/>
      <c r="J147" s="159"/>
      <c r="K147" s="159"/>
      <c r="L147" s="159"/>
      <c r="M147" s="159"/>
      <c r="N147" s="159"/>
      <c r="O147" s="159"/>
    </row>
    <row r="148" spans="1:15" s="158" customFormat="1">
      <c r="A148" s="590"/>
      <c r="B148" s="159"/>
      <c r="C148" s="159"/>
      <c r="D148" s="159"/>
      <c r="E148" s="159"/>
      <c r="F148" s="159"/>
      <c r="G148" s="159"/>
      <c r="H148" s="159"/>
      <c r="I148" s="159"/>
      <c r="J148" s="159"/>
      <c r="K148" s="159"/>
      <c r="L148" s="159"/>
      <c r="M148" s="159"/>
      <c r="N148" s="159"/>
      <c r="O148" s="159"/>
    </row>
    <row r="149" spans="1:15" s="370" customFormat="1">
      <c r="A149" s="590"/>
      <c r="B149" s="159"/>
      <c r="C149" s="159"/>
      <c r="D149" s="159"/>
      <c r="E149" s="159"/>
      <c r="F149" s="159"/>
      <c r="G149" s="159"/>
      <c r="H149" s="159"/>
      <c r="I149" s="159"/>
      <c r="J149" s="159"/>
      <c r="K149" s="159"/>
      <c r="L149" s="159"/>
      <c r="M149" s="159"/>
      <c r="N149" s="159"/>
      <c r="O149" s="159"/>
    </row>
    <row r="150" spans="1:15" s="370" customFormat="1">
      <c r="A150" s="592"/>
      <c r="B150" s="159"/>
      <c r="C150" s="159"/>
      <c r="D150" s="159"/>
      <c r="E150" s="159"/>
      <c r="F150" s="159"/>
      <c r="G150" s="159"/>
      <c r="H150" s="159"/>
      <c r="I150" s="159"/>
      <c r="J150" s="159"/>
      <c r="K150" s="159"/>
      <c r="L150" s="159"/>
      <c r="M150" s="159"/>
      <c r="N150" s="159"/>
      <c r="O150" s="159"/>
    </row>
    <row r="151" spans="1:15" s="370" customFormat="1">
      <c r="A151" s="592"/>
      <c r="B151" s="159"/>
      <c r="C151" s="159"/>
      <c r="D151" s="159"/>
      <c r="E151" s="159"/>
      <c r="F151" s="159"/>
      <c r="G151" s="159"/>
      <c r="H151" s="159"/>
      <c r="I151" s="159"/>
      <c r="J151" s="159"/>
      <c r="K151" s="159"/>
      <c r="L151" s="159"/>
      <c r="M151" s="159"/>
      <c r="N151" s="159"/>
      <c r="O151" s="159"/>
    </row>
    <row r="152" spans="1:15" s="370" customFormat="1">
      <c r="A152" s="592"/>
      <c r="B152" s="159"/>
      <c r="C152" s="159"/>
      <c r="D152" s="159"/>
      <c r="E152" s="159"/>
      <c r="F152" s="159"/>
      <c r="G152" s="159"/>
      <c r="H152" s="159"/>
      <c r="I152" s="159"/>
      <c r="J152" s="159"/>
      <c r="K152" s="159"/>
      <c r="L152" s="159"/>
      <c r="M152" s="159"/>
      <c r="N152" s="159"/>
      <c r="O152" s="159"/>
    </row>
    <row r="153" spans="1:15" s="370" customFormat="1">
      <c r="A153" s="592"/>
      <c r="B153" s="159"/>
      <c r="C153" s="159"/>
      <c r="D153" s="159"/>
      <c r="E153" s="159"/>
      <c r="F153" s="159"/>
      <c r="G153" s="159"/>
      <c r="H153" s="159"/>
      <c r="I153" s="159"/>
      <c r="J153" s="159"/>
      <c r="K153" s="159"/>
      <c r="L153" s="159"/>
      <c r="M153" s="159"/>
      <c r="N153" s="159"/>
      <c r="O153" s="159"/>
    </row>
    <row r="154" spans="1:15" s="370" customFormat="1">
      <c r="A154" s="592"/>
      <c r="B154" s="159"/>
      <c r="C154" s="159"/>
      <c r="D154" s="159"/>
      <c r="E154" s="159"/>
      <c r="F154" s="159"/>
      <c r="G154" s="159"/>
      <c r="H154" s="159"/>
      <c r="I154" s="159"/>
      <c r="J154" s="159"/>
      <c r="K154" s="159"/>
      <c r="L154" s="159"/>
      <c r="M154" s="159"/>
      <c r="N154" s="159"/>
      <c r="O154" s="159"/>
    </row>
    <row r="155" spans="1:15" s="370" customFormat="1">
      <c r="A155" s="592"/>
      <c r="B155" s="159"/>
      <c r="C155" s="159"/>
      <c r="D155" s="159"/>
      <c r="E155" s="159"/>
      <c r="F155" s="159"/>
      <c r="G155" s="159"/>
      <c r="H155" s="159"/>
      <c r="I155" s="159"/>
      <c r="J155" s="159"/>
      <c r="K155" s="159"/>
      <c r="L155" s="159"/>
      <c r="M155" s="159"/>
      <c r="N155" s="159"/>
      <c r="O155" s="159"/>
    </row>
    <row r="156" spans="1:15" s="370" customFormat="1">
      <c r="A156" s="592"/>
      <c r="B156" s="159"/>
      <c r="C156" s="159"/>
      <c r="D156" s="159"/>
      <c r="E156" s="159"/>
      <c r="F156" s="159"/>
      <c r="G156" s="159"/>
      <c r="H156" s="159"/>
      <c r="I156" s="159"/>
      <c r="J156" s="159"/>
      <c r="K156" s="159"/>
      <c r="L156" s="159"/>
      <c r="M156" s="159"/>
      <c r="N156" s="159"/>
      <c r="O156" s="159"/>
    </row>
    <row r="157" spans="1:15" s="370" customFormat="1">
      <c r="A157" s="592"/>
      <c r="B157" s="159"/>
      <c r="C157" s="159"/>
      <c r="D157" s="159"/>
      <c r="E157" s="159"/>
      <c r="F157" s="159"/>
      <c r="G157" s="159"/>
      <c r="H157" s="159"/>
      <c r="I157" s="159"/>
      <c r="J157" s="159"/>
      <c r="K157" s="159"/>
      <c r="L157" s="159"/>
      <c r="M157" s="159"/>
      <c r="N157" s="159"/>
      <c r="O157" s="159"/>
    </row>
    <row r="158" spans="1:15" s="370" customFormat="1">
      <c r="A158" s="592"/>
      <c r="B158" s="159"/>
      <c r="C158" s="159"/>
      <c r="D158" s="159"/>
      <c r="E158" s="159"/>
      <c r="F158" s="159"/>
      <c r="G158" s="159"/>
      <c r="H158" s="159"/>
      <c r="I158" s="159"/>
      <c r="J158" s="159"/>
      <c r="K158" s="159"/>
      <c r="L158" s="159"/>
      <c r="M158" s="159"/>
      <c r="N158" s="159"/>
      <c r="O158" s="162"/>
    </row>
    <row r="159" spans="1:15" s="370" customFormat="1">
      <c r="A159" s="592"/>
      <c r="B159" s="159"/>
      <c r="C159" s="159"/>
      <c r="D159" s="159"/>
      <c r="E159" s="159"/>
      <c r="F159" s="159"/>
      <c r="G159" s="159"/>
      <c r="H159" s="159"/>
      <c r="I159" s="159"/>
      <c r="J159" s="159"/>
      <c r="K159" s="159"/>
      <c r="L159" s="159"/>
      <c r="M159" s="159"/>
      <c r="N159" s="159"/>
      <c r="O159" s="159"/>
    </row>
    <row r="160" spans="1:15" s="370" customFormat="1">
      <c r="A160" s="592"/>
      <c r="B160" s="159"/>
      <c r="C160" s="159"/>
      <c r="D160" s="159"/>
      <c r="E160" s="159"/>
      <c r="F160" s="159"/>
      <c r="G160" s="159"/>
      <c r="H160" s="159"/>
      <c r="I160" s="159"/>
      <c r="J160" s="159"/>
      <c r="K160" s="159"/>
      <c r="L160" s="159"/>
      <c r="M160" s="159"/>
      <c r="N160" s="159"/>
      <c r="O160" s="159"/>
    </row>
    <row r="161" spans="1:15">
      <c r="A161" s="590"/>
      <c r="E161" s="159"/>
      <c r="F161" s="159"/>
      <c r="G161" s="159"/>
    </row>
    <row r="162" spans="1:15">
      <c r="A162" s="419"/>
      <c r="E162" s="159"/>
      <c r="F162" s="159"/>
      <c r="G162" s="159"/>
    </row>
    <row r="163" spans="1:15">
      <c r="A163" s="419"/>
      <c r="E163" s="159"/>
      <c r="F163" s="159"/>
      <c r="G163" s="159"/>
    </row>
    <row r="164" spans="1:15">
      <c r="A164" s="419"/>
      <c r="E164" s="159"/>
      <c r="F164" s="159"/>
      <c r="G164" s="159"/>
    </row>
    <row r="165" spans="1:15">
      <c r="A165" s="419"/>
      <c r="E165" s="159"/>
      <c r="F165" s="159"/>
      <c r="G165" s="159"/>
    </row>
    <row r="166" spans="1:15">
      <c r="A166" s="593"/>
      <c r="E166" s="159"/>
      <c r="F166" s="159"/>
      <c r="G166" s="159"/>
    </row>
    <row r="167" spans="1:15">
      <c r="A167" s="419"/>
      <c r="E167" s="159"/>
      <c r="F167" s="159"/>
      <c r="G167" s="159"/>
    </row>
    <row r="168" spans="1:15">
      <c r="A168" s="419"/>
      <c r="E168" s="159"/>
      <c r="F168" s="159"/>
      <c r="G168" s="159"/>
    </row>
    <row r="169" spans="1:15">
      <c r="A169" s="419"/>
      <c r="E169" s="159"/>
      <c r="F169" s="159"/>
      <c r="G169" s="159"/>
    </row>
    <row r="170" spans="1:15">
      <c r="A170" s="419"/>
      <c r="E170" s="159"/>
      <c r="F170" s="159"/>
      <c r="G170" s="159"/>
      <c r="O170" s="162"/>
    </row>
    <row r="171" spans="1:15">
      <c r="A171" s="419"/>
      <c r="E171" s="159"/>
      <c r="F171" s="159"/>
      <c r="G171" s="159"/>
    </row>
    <row r="172" spans="1:15">
      <c r="A172" s="419"/>
      <c r="E172" s="159"/>
      <c r="F172" s="159"/>
      <c r="G172" s="159"/>
      <c r="O172" s="581"/>
    </row>
    <row r="173" spans="1:15">
      <c r="A173" s="590"/>
      <c r="E173" s="159"/>
      <c r="F173" s="159"/>
      <c r="G173" s="159"/>
      <c r="O173" s="581"/>
    </row>
    <row r="174" spans="1:15">
      <c r="A174" s="419"/>
      <c r="E174" s="159"/>
      <c r="F174" s="159"/>
      <c r="G174" s="159"/>
      <c r="O174" s="581"/>
    </row>
    <row r="175" spans="1:15">
      <c r="A175" s="419"/>
      <c r="E175" s="159"/>
      <c r="F175" s="159"/>
      <c r="G175" s="159"/>
      <c r="O175" s="581"/>
    </row>
    <row r="176" spans="1:15">
      <c r="A176" s="419"/>
      <c r="E176" s="159"/>
      <c r="F176" s="159"/>
      <c r="G176" s="159"/>
      <c r="O176" s="581"/>
    </row>
    <row r="177" spans="1:15">
      <c r="A177" s="419"/>
      <c r="E177" s="159"/>
      <c r="F177" s="159"/>
      <c r="G177" s="159"/>
      <c r="O177" s="581"/>
    </row>
    <row r="178" spans="1:15">
      <c r="A178" s="419"/>
      <c r="E178" s="159"/>
      <c r="F178" s="159"/>
      <c r="G178" s="159"/>
      <c r="O178" s="581"/>
    </row>
    <row r="179" spans="1:15">
      <c r="A179" s="419"/>
      <c r="E179" s="159"/>
      <c r="F179" s="159"/>
      <c r="G179" s="159"/>
      <c r="O179" s="581"/>
    </row>
    <row r="180" spans="1:15">
      <c r="A180" s="419"/>
      <c r="E180" s="159"/>
      <c r="F180" s="159"/>
      <c r="G180" s="159"/>
      <c r="O180" s="581"/>
    </row>
    <row r="181" spans="1:15">
      <c r="A181" s="419"/>
      <c r="E181" s="159"/>
      <c r="F181" s="159"/>
      <c r="G181" s="159"/>
      <c r="O181" s="581"/>
    </row>
    <row r="182" spans="1:15">
      <c r="A182" s="419"/>
      <c r="E182" s="159"/>
      <c r="F182" s="159"/>
      <c r="G182" s="159"/>
      <c r="O182" s="581"/>
    </row>
    <row r="183" spans="1:15">
      <c r="A183" s="419"/>
      <c r="E183" s="159"/>
      <c r="F183" s="159"/>
      <c r="G183" s="159"/>
      <c r="O183" s="581"/>
    </row>
    <row r="184" spans="1:15" s="158" customFormat="1">
      <c r="A184" s="591"/>
      <c r="B184" s="159"/>
      <c r="C184" s="159"/>
      <c r="D184" s="159"/>
      <c r="E184" s="159"/>
      <c r="F184" s="159"/>
      <c r="G184" s="159"/>
      <c r="H184" s="159"/>
      <c r="I184" s="159"/>
      <c r="J184" s="159"/>
      <c r="K184" s="159"/>
      <c r="L184" s="159"/>
      <c r="M184" s="159"/>
      <c r="N184" s="159"/>
      <c r="O184" s="581"/>
    </row>
    <row r="185" spans="1:15" s="158" customFormat="1">
      <c r="A185" s="590"/>
      <c r="B185" s="159"/>
      <c r="C185" s="159"/>
      <c r="D185" s="159"/>
      <c r="E185" s="159"/>
      <c r="F185" s="159"/>
      <c r="G185" s="159"/>
      <c r="H185" s="159"/>
      <c r="I185" s="159"/>
      <c r="J185" s="159"/>
      <c r="K185" s="159"/>
      <c r="L185" s="159"/>
      <c r="M185" s="159"/>
      <c r="N185" s="159"/>
      <c r="O185" s="159"/>
    </row>
    <row r="186" spans="1:15" s="164" customFormat="1">
      <c r="A186" s="590"/>
      <c r="B186" s="159"/>
      <c r="C186" s="159"/>
      <c r="D186" s="159"/>
      <c r="E186" s="159"/>
      <c r="F186" s="159"/>
      <c r="G186" s="159"/>
      <c r="H186" s="159"/>
      <c r="I186" s="159"/>
      <c r="J186" s="159"/>
      <c r="K186" s="159"/>
      <c r="L186" s="159"/>
      <c r="M186" s="159"/>
      <c r="N186" s="159"/>
      <c r="O186" s="159"/>
    </row>
    <row r="187" spans="1:15">
      <c r="A187" s="419"/>
      <c r="E187" s="159"/>
      <c r="F187" s="159"/>
      <c r="G187" s="159"/>
    </row>
    <row r="188" spans="1:15">
      <c r="A188" s="419"/>
      <c r="E188" s="159"/>
      <c r="F188" s="159"/>
      <c r="G188" s="159"/>
    </row>
    <row r="189" spans="1:15">
      <c r="A189" s="419"/>
      <c r="E189" s="159"/>
      <c r="F189" s="159"/>
      <c r="G189" s="159"/>
    </row>
    <row r="190" spans="1:15">
      <c r="A190" s="419"/>
      <c r="E190" s="159"/>
      <c r="F190" s="159"/>
      <c r="G190" s="159"/>
    </row>
    <row r="191" spans="1:15">
      <c r="A191" s="419"/>
      <c r="E191" s="159"/>
      <c r="F191" s="159"/>
      <c r="G191" s="159"/>
    </row>
    <row r="192" spans="1:15">
      <c r="A192" s="419"/>
      <c r="E192" s="159"/>
      <c r="F192" s="159"/>
      <c r="G192" s="159"/>
    </row>
    <row r="193" spans="1:15">
      <c r="A193" s="419"/>
      <c r="E193" s="159"/>
      <c r="F193" s="159"/>
      <c r="G193" s="159"/>
    </row>
    <row r="194" spans="1:15">
      <c r="A194" s="419"/>
      <c r="E194" s="159"/>
      <c r="F194" s="159"/>
      <c r="G194" s="159"/>
    </row>
    <row r="195" spans="1:15">
      <c r="A195" s="419"/>
      <c r="E195" s="159"/>
      <c r="F195" s="159"/>
      <c r="G195" s="159"/>
    </row>
    <row r="196" spans="1:15">
      <c r="A196" s="419"/>
      <c r="E196" s="159"/>
      <c r="F196" s="159"/>
      <c r="G196" s="159"/>
    </row>
    <row r="197" spans="1:15" s="158" customFormat="1">
      <c r="A197" s="591"/>
      <c r="B197" s="159"/>
      <c r="C197" s="159"/>
      <c r="D197" s="159"/>
      <c r="E197" s="159"/>
      <c r="F197" s="159"/>
      <c r="G197" s="159"/>
      <c r="H197" s="159"/>
      <c r="I197" s="159"/>
      <c r="J197" s="159"/>
      <c r="K197" s="159"/>
      <c r="L197" s="159"/>
      <c r="M197" s="159"/>
      <c r="N197" s="159"/>
      <c r="O197" s="159"/>
    </row>
    <row r="198" spans="1:15" s="158" customFormat="1">
      <c r="A198" s="590"/>
      <c r="B198" s="159"/>
      <c r="C198" s="159"/>
      <c r="D198" s="159"/>
      <c r="E198" s="159"/>
      <c r="F198" s="159"/>
      <c r="G198" s="159"/>
      <c r="H198" s="159"/>
      <c r="I198" s="159"/>
      <c r="J198" s="159"/>
      <c r="K198" s="159"/>
      <c r="L198" s="159"/>
      <c r="M198" s="159"/>
      <c r="N198" s="159"/>
      <c r="O198" s="159"/>
    </row>
    <row r="199" spans="1:15" s="164" customFormat="1">
      <c r="A199" s="590"/>
      <c r="B199" s="159"/>
      <c r="C199" s="159"/>
      <c r="D199" s="159"/>
      <c r="E199" s="159"/>
      <c r="F199" s="159"/>
      <c r="G199" s="159"/>
      <c r="H199" s="159"/>
      <c r="I199" s="159"/>
      <c r="J199" s="159"/>
      <c r="K199" s="159"/>
      <c r="L199" s="159"/>
      <c r="M199" s="159"/>
      <c r="N199" s="159"/>
      <c r="O199" s="159"/>
    </row>
    <row r="200" spans="1:15">
      <c r="A200" s="419"/>
      <c r="E200" s="159"/>
      <c r="F200" s="159"/>
      <c r="G200" s="159"/>
    </row>
    <row r="201" spans="1:15">
      <c r="A201" s="419"/>
      <c r="E201" s="159"/>
      <c r="F201" s="159"/>
      <c r="G201" s="159"/>
    </row>
    <row r="202" spans="1:15">
      <c r="A202" s="419"/>
      <c r="E202" s="159"/>
      <c r="F202" s="159"/>
      <c r="G202" s="159"/>
    </row>
    <row r="203" spans="1:15">
      <c r="A203" s="419"/>
      <c r="E203" s="159"/>
      <c r="F203" s="159"/>
      <c r="G203" s="159"/>
    </row>
    <row r="204" spans="1:15">
      <c r="A204" s="419"/>
      <c r="E204" s="159"/>
      <c r="F204" s="159"/>
      <c r="G204" s="159"/>
    </row>
    <row r="205" spans="1:15">
      <c r="A205" s="419"/>
      <c r="E205" s="159"/>
      <c r="F205" s="159"/>
      <c r="G205" s="159"/>
    </row>
    <row r="206" spans="1:15">
      <c r="A206" s="419"/>
      <c r="E206" s="159"/>
      <c r="F206" s="159"/>
      <c r="G206" s="159"/>
    </row>
    <row r="207" spans="1:15">
      <c r="A207" s="419"/>
      <c r="E207" s="159"/>
      <c r="F207" s="159"/>
      <c r="G207" s="159"/>
    </row>
    <row r="208" spans="1:15">
      <c r="A208" s="419"/>
      <c r="E208" s="159"/>
      <c r="F208" s="159"/>
      <c r="G208" s="159"/>
    </row>
    <row r="209" spans="1:15">
      <c r="A209" s="419"/>
      <c r="E209" s="159"/>
      <c r="F209" s="159"/>
      <c r="G209" s="159"/>
    </row>
    <row r="210" spans="1:15" s="158" customFormat="1">
      <c r="A210" s="591"/>
      <c r="B210" s="159"/>
      <c r="C210" s="159"/>
      <c r="D210" s="159"/>
      <c r="E210" s="159"/>
      <c r="F210" s="159"/>
      <c r="G210" s="159"/>
      <c r="H210" s="159"/>
      <c r="I210" s="159"/>
      <c r="J210" s="159"/>
      <c r="K210" s="159"/>
      <c r="L210" s="159"/>
      <c r="M210" s="159"/>
      <c r="N210" s="159"/>
      <c r="O210" s="159"/>
    </row>
    <row r="211" spans="1:15" s="158" customFormat="1">
      <c r="A211" s="590"/>
      <c r="B211" s="159"/>
      <c r="C211" s="159"/>
      <c r="D211" s="159"/>
      <c r="E211" s="159"/>
      <c r="F211" s="159"/>
      <c r="G211" s="159"/>
      <c r="H211" s="159"/>
      <c r="I211" s="159"/>
      <c r="J211" s="159"/>
      <c r="K211" s="159"/>
      <c r="L211" s="159"/>
      <c r="M211" s="159"/>
      <c r="N211" s="159"/>
      <c r="O211" s="159"/>
    </row>
    <row r="212" spans="1:15" s="164" customFormat="1">
      <c r="A212" s="590"/>
      <c r="B212" s="159"/>
      <c r="C212" s="159"/>
      <c r="D212" s="159"/>
      <c r="E212" s="159"/>
      <c r="F212" s="159"/>
      <c r="G212" s="159"/>
      <c r="H212" s="159"/>
      <c r="I212" s="159"/>
      <c r="J212" s="159"/>
      <c r="K212" s="159"/>
      <c r="L212" s="159"/>
      <c r="M212" s="159"/>
      <c r="N212" s="159"/>
      <c r="O212" s="159"/>
    </row>
    <row r="213" spans="1:15">
      <c r="A213" s="419"/>
      <c r="E213" s="159"/>
      <c r="F213" s="159"/>
      <c r="G213" s="159"/>
    </row>
    <row r="214" spans="1:15">
      <c r="A214" s="419"/>
      <c r="E214" s="159"/>
      <c r="F214" s="159"/>
      <c r="G214" s="159"/>
    </row>
    <row r="215" spans="1:15">
      <c r="A215" s="419"/>
      <c r="E215" s="159"/>
      <c r="F215" s="159"/>
      <c r="G215" s="159"/>
    </row>
    <row r="216" spans="1:15">
      <c r="A216" s="419"/>
      <c r="E216" s="159"/>
      <c r="F216" s="159"/>
      <c r="G216" s="159"/>
    </row>
    <row r="217" spans="1:15">
      <c r="A217" s="419"/>
      <c r="E217" s="159"/>
      <c r="F217" s="159"/>
      <c r="G217" s="159"/>
    </row>
    <row r="218" spans="1:15">
      <c r="A218" s="419"/>
      <c r="E218" s="159"/>
      <c r="F218" s="159"/>
      <c r="G218" s="159"/>
    </row>
    <row r="219" spans="1:15">
      <c r="A219" s="419"/>
      <c r="E219" s="159"/>
      <c r="F219" s="159"/>
      <c r="G219" s="159"/>
    </row>
    <row r="220" spans="1:15">
      <c r="A220" s="419"/>
      <c r="E220" s="159"/>
      <c r="F220" s="159"/>
      <c r="G220" s="159"/>
    </row>
    <row r="221" spans="1:15">
      <c r="A221" s="419"/>
      <c r="E221" s="159"/>
      <c r="F221" s="159"/>
      <c r="G221" s="159"/>
    </row>
    <row r="222" spans="1:15">
      <c r="A222" s="419"/>
      <c r="E222" s="159"/>
      <c r="F222" s="159"/>
      <c r="G222" s="159"/>
    </row>
    <row r="223" spans="1:15" s="158" customFormat="1">
      <c r="A223" s="591"/>
      <c r="B223" s="159"/>
      <c r="C223" s="159"/>
      <c r="D223" s="159"/>
      <c r="E223" s="159"/>
      <c r="F223" s="159"/>
      <c r="G223" s="159"/>
      <c r="H223" s="159"/>
      <c r="I223" s="159"/>
      <c r="J223" s="159"/>
      <c r="K223" s="159"/>
      <c r="L223" s="159"/>
      <c r="M223" s="159"/>
      <c r="N223" s="159"/>
      <c r="O223" s="159"/>
    </row>
    <row r="224" spans="1:15">
      <c r="A224" s="590"/>
      <c r="E224" s="159"/>
      <c r="F224" s="159"/>
      <c r="G224" s="159"/>
    </row>
    <row r="225" spans="1:15">
      <c r="A225" s="419"/>
      <c r="E225" s="159"/>
      <c r="F225" s="159"/>
      <c r="G225" s="159"/>
    </row>
    <row r="226" spans="1:15">
      <c r="A226" s="419"/>
      <c r="E226" s="159"/>
      <c r="F226" s="159"/>
      <c r="G226" s="159"/>
    </row>
    <row r="227" spans="1:15">
      <c r="A227" s="419"/>
      <c r="E227" s="159"/>
      <c r="F227" s="159"/>
      <c r="G227" s="159"/>
    </row>
    <row r="228" spans="1:15">
      <c r="A228" s="419"/>
      <c r="E228" s="159"/>
      <c r="F228" s="159"/>
      <c r="G228" s="159"/>
    </row>
    <row r="229" spans="1:15">
      <c r="A229" s="419"/>
      <c r="E229" s="159"/>
      <c r="F229" s="159"/>
      <c r="G229" s="159"/>
    </row>
    <row r="230" spans="1:15">
      <c r="A230" s="419"/>
      <c r="E230" s="159"/>
      <c r="F230" s="159"/>
      <c r="G230" s="159"/>
    </row>
    <row r="231" spans="1:15">
      <c r="A231" s="419"/>
      <c r="E231" s="159"/>
      <c r="F231" s="159"/>
      <c r="G231" s="159"/>
    </row>
    <row r="232" spans="1:15">
      <c r="A232" s="419"/>
      <c r="E232" s="159"/>
      <c r="F232" s="159"/>
      <c r="G232" s="159"/>
    </row>
    <row r="233" spans="1:15">
      <c r="A233" s="419"/>
      <c r="E233" s="159"/>
      <c r="F233" s="159"/>
      <c r="G233" s="159"/>
    </row>
    <row r="234" spans="1:15">
      <c r="A234" s="419"/>
      <c r="E234" s="159"/>
      <c r="F234" s="159"/>
      <c r="G234" s="159"/>
    </row>
    <row r="235" spans="1:15">
      <c r="A235" s="419"/>
      <c r="E235" s="159"/>
      <c r="F235" s="159"/>
      <c r="G235" s="159"/>
    </row>
    <row r="236" spans="1:15" ht="125.5" customHeight="1">
      <c r="E236" s="159"/>
      <c r="F236" s="159"/>
      <c r="G236" s="159"/>
    </row>
    <row r="237" spans="1:15" s="581" customFormat="1">
      <c r="B237" s="159"/>
      <c r="C237" s="159"/>
      <c r="D237" s="159"/>
      <c r="E237" s="159"/>
      <c r="F237" s="159"/>
      <c r="G237" s="159"/>
      <c r="H237" s="159"/>
      <c r="I237" s="159"/>
      <c r="J237" s="159"/>
      <c r="K237" s="159"/>
      <c r="L237" s="159"/>
      <c r="M237" s="159"/>
      <c r="N237" s="159"/>
      <c r="O237" s="159"/>
    </row>
    <row r="238" spans="1:15" s="581" customFormat="1">
      <c r="B238" s="159"/>
      <c r="C238" s="159"/>
      <c r="D238" s="159"/>
      <c r="E238" s="159"/>
      <c r="F238" s="159"/>
      <c r="G238" s="159"/>
      <c r="H238" s="159"/>
      <c r="I238" s="159"/>
      <c r="J238" s="159"/>
      <c r="K238" s="159"/>
      <c r="L238" s="159"/>
      <c r="M238" s="159"/>
      <c r="N238" s="159"/>
      <c r="O238" s="159"/>
    </row>
    <row r="239" spans="1:15" s="581" customFormat="1">
      <c r="B239" s="159"/>
      <c r="C239" s="159"/>
      <c r="D239" s="159"/>
      <c r="E239" s="159"/>
      <c r="F239" s="159"/>
      <c r="G239" s="159"/>
      <c r="H239" s="159"/>
      <c r="I239" s="159"/>
      <c r="J239" s="159"/>
      <c r="K239" s="159"/>
      <c r="L239" s="159"/>
      <c r="M239" s="159"/>
      <c r="N239" s="159"/>
      <c r="O239" s="159"/>
    </row>
    <row r="240" spans="1:15" s="581" customFormat="1">
      <c r="B240" s="159"/>
      <c r="C240" s="159"/>
      <c r="D240" s="159"/>
      <c r="E240" s="159"/>
      <c r="F240" s="159"/>
      <c r="G240" s="159"/>
      <c r="H240" s="159"/>
      <c r="I240" s="159"/>
      <c r="J240" s="159"/>
      <c r="K240" s="159"/>
      <c r="L240" s="159"/>
      <c r="M240" s="159"/>
      <c r="N240" s="159"/>
      <c r="O240" s="159"/>
    </row>
    <row r="241" spans="2:15" s="581" customFormat="1">
      <c r="B241" s="159"/>
      <c r="C241" s="159"/>
      <c r="D241" s="159"/>
      <c r="E241" s="159"/>
      <c r="F241" s="159"/>
      <c r="G241" s="159"/>
      <c r="H241" s="159"/>
      <c r="I241" s="159"/>
      <c r="J241" s="159"/>
      <c r="K241" s="159"/>
      <c r="L241" s="159"/>
      <c r="M241" s="159"/>
      <c r="N241" s="159"/>
      <c r="O241" s="159"/>
    </row>
    <row r="242" spans="2:15" s="581" customFormat="1">
      <c r="B242" s="159"/>
      <c r="C242" s="159"/>
      <c r="D242" s="159"/>
      <c r="E242" s="159"/>
      <c r="F242" s="159"/>
      <c r="G242" s="159"/>
      <c r="H242" s="159"/>
      <c r="I242" s="159"/>
      <c r="J242" s="159"/>
      <c r="K242" s="159"/>
      <c r="L242" s="159"/>
      <c r="M242" s="159"/>
      <c r="N242" s="159"/>
      <c r="O242" s="159"/>
    </row>
    <row r="243" spans="2:15" s="581" customFormat="1">
      <c r="B243" s="159"/>
      <c r="C243" s="159"/>
      <c r="D243" s="159"/>
      <c r="E243" s="159"/>
      <c r="F243" s="159"/>
      <c r="G243" s="159"/>
      <c r="H243" s="159"/>
      <c r="I243" s="159"/>
      <c r="J243" s="159"/>
      <c r="K243" s="159"/>
      <c r="L243" s="159"/>
      <c r="M243" s="159"/>
      <c r="N243" s="159"/>
      <c r="O243" s="159"/>
    </row>
    <row r="244" spans="2:15" s="581" customFormat="1">
      <c r="B244" s="159"/>
      <c r="C244" s="159"/>
      <c r="D244" s="159"/>
      <c r="E244" s="159"/>
      <c r="F244" s="159"/>
      <c r="G244" s="159"/>
      <c r="H244" s="159"/>
      <c r="I244" s="159"/>
      <c r="J244" s="159"/>
      <c r="K244" s="159"/>
      <c r="L244" s="159"/>
      <c r="M244" s="159"/>
      <c r="N244" s="159"/>
      <c r="O244" s="159"/>
    </row>
    <row r="245" spans="2:15" s="581" customFormat="1">
      <c r="B245" s="159"/>
      <c r="C245" s="159"/>
      <c r="D245" s="159"/>
      <c r="E245" s="159"/>
      <c r="F245" s="159"/>
      <c r="G245" s="159"/>
      <c r="H245" s="159"/>
      <c r="I245" s="159"/>
      <c r="J245" s="159"/>
      <c r="K245" s="159"/>
      <c r="L245" s="159"/>
      <c r="M245" s="159"/>
      <c r="N245" s="159"/>
      <c r="O245" s="159"/>
    </row>
    <row r="246" spans="2:15" s="581" customFormat="1">
      <c r="B246" s="159"/>
      <c r="C246" s="159"/>
      <c r="D246" s="159"/>
      <c r="E246" s="159"/>
      <c r="F246" s="159"/>
      <c r="G246" s="159"/>
      <c r="H246" s="159"/>
      <c r="I246" s="159"/>
      <c r="J246" s="159"/>
      <c r="K246" s="159"/>
      <c r="L246" s="159"/>
      <c r="M246" s="159"/>
      <c r="N246" s="159"/>
      <c r="O246" s="159"/>
    </row>
    <row r="247" spans="2:15" s="581" customFormat="1">
      <c r="B247" s="159"/>
      <c r="C247" s="159"/>
      <c r="D247" s="159"/>
      <c r="E247" s="159"/>
      <c r="F247" s="159"/>
      <c r="G247" s="159"/>
      <c r="H247" s="159"/>
      <c r="I247" s="159"/>
      <c r="J247" s="159"/>
      <c r="K247" s="159"/>
      <c r="L247" s="159"/>
      <c r="M247" s="159"/>
      <c r="N247" s="159"/>
      <c r="O247" s="159"/>
    </row>
    <row r="248" spans="2:15" s="581" customFormat="1">
      <c r="B248" s="159"/>
      <c r="C248" s="159"/>
      <c r="D248" s="159"/>
      <c r="E248" s="159"/>
      <c r="F248" s="159"/>
      <c r="G248" s="159"/>
      <c r="H248" s="159"/>
      <c r="I248" s="159"/>
      <c r="J248" s="159"/>
      <c r="K248" s="159"/>
      <c r="L248" s="159"/>
      <c r="M248" s="159"/>
      <c r="N248" s="159"/>
      <c r="O248" s="159"/>
    </row>
    <row r="249" spans="2:15" s="581" customFormat="1">
      <c r="B249" s="159"/>
      <c r="C249" s="159"/>
      <c r="D249" s="159"/>
      <c r="E249" s="159"/>
      <c r="F249" s="159"/>
      <c r="G249" s="159"/>
      <c r="H249" s="159"/>
      <c r="I249" s="159"/>
      <c r="J249" s="159"/>
      <c r="K249" s="159"/>
      <c r="L249" s="159"/>
      <c r="M249" s="159"/>
      <c r="N249" s="159"/>
      <c r="O249" s="159"/>
    </row>
    <row r="250" spans="2:15">
      <c r="E250" s="159"/>
      <c r="F250" s="159"/>
      <c r="G250" s="159"/>
    </row>
  </sheetData>
  <mergeCells count="5">
    <mergeCell ref="S3:Y3"/>
    <mergeCell ref="L3:R3"/>
    <mergeCell ref="B3:K3"/>
    <mergeCell ref="B4:D4"/>
    <mergeCell ref="F59:K59"/>
  </mergeCells>
  <phoneticPr fontId="78" type="noConversion"/>
  <pageMargins left="0.7" right="0.7" top="0.75" bottom="0.75" header="0.3" footer="0.3"/>
  <pageSetup orientation="portrait" r:id="rId1"/>
  <headerFooter>
    <oddFooter>&amp;L&amp;1#&amp;"Calibri"&amp;14&amp;K000000Business Use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8D56E-4E97-4503-BCD4-877F6649C001}">
  <sheetPr>
    <tabColor theme="5"/>
  </sheetPr>
  <dimension ref="A1:FO307"/>
  <sheetViews>
    <sheetView topLeftCell="C58" zoomScale="70" zoomScaleNormal="70" workbookViewId="0">
      <selection activeCell="F72" sqref="F72"/>
    </sheetView>
  </sheetViews>
  <sheetFormatPr defaultColWidth="9.1796875" defaultRowHeight="13"/>
  <cols>
    <col min="1" max="1" width="20.81640625" style="2" customWidth="1"/>
    <col min="2" max="2" width="82.26953125" style="2" customWidth="1"/>
    <col min="3" max="3" width="58.26953125" style="2" customWidth="1"/>
    <col min="4" max="4" width="51" style="2" customWidth="1"/>
    <col min="5" max="5" width="45.54296875" style="2" customWidth="1"/>
    <col min="6" max="6" width="34.54296875" style="2" customWidth="1"/>
    <col min="7" max="7" width="24.26953125" style="2" customWidth="1"/>
    <col min="8" max="8" width="11.1796875" style="2" customWidth="1"/>
    <col min="9" max="9" width="15.7265625" style="2" customWidth="1"/>
    <col min="10" max="10" width="14.54296875" style="2" customWidth="1"/>
    <col min="11" max="11" width="15.453125" style="2" customWidth="1"/>
    <col min="12" max="13" width="15.26953125" style="2" customWidth="1"/>
    <col min="14" max="14" width="15" style="2" customWidth="1"/>
    <col min="15" max="15" width="10.7265625" style="2" customWidth="1"/>
    <col min="16" max="16" width="21.453125" style="2" customWidth="1"/>
    <col min="17" max="17" width="13.453125" style="2" customWidth="1"/>
    <col min="18" max="19" width="12.1796875" style="2" customWidth="1"/>
    <col min="20" max="20" width="29.453125" style="3" customWidth="1"/>
    <col min="21" max="25" width="10.81640625" style="3" customWidth="1"/>
    <col min="26" max="26" width="12.453125" style="3" customWidth="1"/>
    <col min="27" max="27" width="13.1796875" style="3" customWidth="1"/>
    <col min="28" max="29" width="10.1796875" style="3" customWidth="1"/>
    <col min="30" max="30" width="24" style="3" customWidth="1"/>
    <col min="31" max="36" width="10.1796875" style="3" customWidth="1"/>
    <col min="37" max="44" width="14.453125" style="2" customWidth="1"/>
    <col min="45" max="45" width="20.81640625" style="2" customWidth="1"/>
    <col min="46" max="46" width="14.453125" style="2" customWidth="1"/>
    <col min="47" max="47" width="16.453125" style="2" customWidth="1"/>
    <col min="48" max="53" width="12" style="2" customWidth="1"/>
    <col min="54" max="54" width="15.26953125" style="2" customWidth="1"/>
    <col min="55" max="57" width="17.81640625" style="2" customWidth="1"/>
    <col min="58" max="60" width="15.7265625" style="2" customWidth="1"/>
    <col min="61" max="67" width="12" style="2" customWidth="1"/>
    <col min="68" max="68" width="13.26953125" style="2" customWidth="1"/>
    <col min="69" max="81" width="11.7265625" style="2" customWidth="1"/>
    <col min="82" max="159" width="15.54296875" style="2" customWidth="1"/>
    <col min="160" max="160" width="9.1796875" style="2"/>
    <col min="161" max="164" width="9.26953125" style="2" bestFit="1" customWidth="1"/>
    <col min="165" max="165" width="10.26953125" style="2" bestFit="1" customWidth="1"/>
    <col min="166" max="166" width="11.453125" style="2" bestFit="1" customWidth="1"/>
    <col min="167" max="167" width="9.26953125" style="2" bestFit="1" customWidth="1"/>
    <col min="168" max="168" width="10.453125" style="2" bestFit="1" customWidth="1"/>
    <col min="169" max="16384" width="9.1796875" style="2"/>
  </cols>
  <sheetData>
    <row r="1" spans="1:171" ht="14.5">
      <c r="A1" t="str">
        <f>A3&amp;"_"&amp;A4&amp;"_"&amp;A5</f>
        <v>_Measure Details_Measure ID</v>
      </c>
      <c r="B1" t="str">
        <f t="shared" ref="B1:CD1" si="0">B3&amp;"_"&amp;B4&amp;"_"&amp;B5</f>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t="str">
        <f t="shared" si="0"/>
        <v>__Number of Unit Per Participant</v>
      </c>
      <c r="W1" t="str">
        <f t="shared" si="0"/>
        <v>1__2017</v>
      </c>
      <c r="X1" t="str">
        <f t="shared" si="0"/>
        <v>2__2018</v>
      </c>
      <c r="Y1" t="str">
        <f t="shared" si="0"/>
        <v>3__2019</v>
      </c>
      <c r="Z1" t="str">
        <f t="shared" si="0"/>
        <v>4__2020</v>
      </c>
      <c r="AA1" t="str">
        <f t="shared" si="0"/>
        <v>__Projected 2021</v>
      </c>
      <c r="AB1" t="str">
        <f t="shared" si="0"/>
        <v>__Projected 2022</v>
      </c>
      <c r="AC1" t="str">
        <f>AC3&amp;"_"&amp;AC4&amp;"_"&amp;AC5</f>
        <v>__Projected 2023</v>
      </c>
      <c r="AD1" t="str">
        <f t="shared" si="0"/>
        <v>__Participation 2024</v>
      </c>
      <c r="AE1" t="str">
        <f t="shared" si="0"/>
        <v>__Participation 2025</v>
      </c>
      <c r="AF1" t="str">
        <f t="shared" si="0"/>
        <v>__Participation 2026</v>
      </c>
      <c r="AG1" t="str">
        <f t="shared" si="0"/>
        <v>__Participation 2027</v>
      </c>
      <c r="AH1" t="str">
        <f>AH3&amp;"_"&amp;AH4&amp;"_"&amp;AH5</f>
        <v>__Participation 2028</v>
      </c>
      <c r="AI1" t="str">
        <f t="shared" si="0"/>
        <v>__Participation 2029</v>
      </c>
      <c r="AJ1" t="str">
        <f t="shared" si="0"/>
        <v>__Participation 2030</v>
      </c>
      <c r="AK1" t="str">
        <f t="shared" si="0"/>
        <v>_Modeling Measure-level Inputs_Fuel Type</v>
      </c>
      <c r="AL1" t="str">
        <f>AL3&amp;"_"&amp;AL4&amp;"_"&amp;AL5</f>
        <v>__Sector</v>
      </c>
      <c r="AM1" t="str">
        <f t="shared" si="0"/>
        <v>__Segment</v>
      </c>
      <c r="AN1" t="str">
        <f t="shared" si="0"/>
        <v>__Enduse</v>
      </c>
      <c r="AO1" t="str">
        <f t="shared" si="0"/>
        <v>__Construction Type</v>
      </c>
      <c r="AP1" t="str">
        <f t="shared" si="0"/>
        <v>__Potential Study Measure Name</v>
      </c>
      <c r="AQ1" t="str">
        <f t="shared" si="0"/>
        <v>__Potential Study Measure Description</v>
      </c>
      <c r="AR1" t="str">
        <f t="shared" si="0"/>
        <v>__Potential Study Baseline Description</v>
      </c>
      <c r="AS1" t="str">
        <f t="shared" si="0"/>
        <v>__Electric Load Shape</v>
      </c>
      <c r="AT1" t="str">
        <f t="shared" si="0"/>
        <v>__Natural Gas Load Shape</v>
      </c>
      <c r="AU1" t="str">
        <f t="shared" si="0"/>
        <v>__Customer Rate Class</v>
      </c>
      <c r="AV1" t="str">
        <f t="shared" si="0"/>
        <v>__Measure Life</v>
      </c>
      <c r="AW1" t="str">
        <f t="shared" si="0"/>
        <v>__Baseline Life</v>
      </c>
      <c r="AX1" t="str">
        <f t="shared" si="0"/>
        <v>__Life Source</v>
      </c>
      <c r="AY1" t="str">
        <f t="shared" si="0"/>
        <v>_Measure Tier Share_Tier Share</v>
      </c>
      <c r="AZ1" t="str">
        <f t="shared" si="0"/>
        <v>_Measure Fuel Weights_Electric Share</v>
      </c>
      <c r="BA1" t="str">
        <f t="shared" si="0"/>
        <v>__Natural Gas Share</v>
      </c>
      <c r="BB1" t="str">
        <f t="shared" si="0"/>
        <v>Per Unit_Incremental Costs_2024</v>
      </c>
      <c r="BC1" t="str">
        <f t="shared" si="0"/>
        <v>Per Unit_Incremental Costs_2025</v>
      </c>
      <c r="BD1" t="str">
        <f>BD3&amp;"_"&amp;BD4&amp;"_"&amp;BD5</f>
        <v>Per Unit_Incremental Costs_2026</v>
      </c>
      <c r="BE1" t="str">
        <f t="shared" si="0"/>
        <v>Per Unit_Incremental Costs_2027</v>
      </c>
      <c r="BF1" t="str">
        <f t="shared" si="0"/>
        <v>Per Unit_Incremental Costs_2028</v>
      </c>
      <c r="BG1" t="str">
        <f t="shared" si="0"/>
        <v>Per Unit_Incremental Costs_2029</v>
      </c>
      <c r="BH1" t="str">
        <f t="shared" si="0"/>
        <v>Per Unit_Incremental Costs_2030</v>
      </c>
      <c r="BI1" t="str">
        <f t="shared" si="0"/>
        <v>Per Unit_Incremental Annual O&amp;M_2024</v>
      </c>
      <c r="BJ1" t="str">
        <f t="shared" si="0"/>
        <v>Per Unit_Incremental Annual O&amp;M_2025</v>
      </c>
      <c r="BK1" t="str">
        <f t="shared" si="0"/>
        <v>Per Unit_Incremental Annual O&amp;M_2026</v>
      </c>
      <c r="BL1" t="str">
        <f t="shared" si="0"/>
        <v>Per Unit_Incremental Annual O&amp;M_2027</v>
      </c>
      <c r="BM1" t="str">
        <f t="shared" si="0"/>
        <v>Per Unit_Incremental Annual O&amp;M_2028</v>
      </c>
      <c r="BN1" t="str">
        <f t="shared" si="0"/>
        <v>Per Unit_Incremental Annual O&amp;M_2029</v>
      </c>
      <c r="BO1" t="str">
        <f t="shared" si="0"/>
        <v>Per Unit_Incremental Annual O&amp;M_2030</v>
      </c>
      <c r="BP1" t="str">
        <f t="shared" si="0"/>
        <v>Per Unit_Customer &amp; Dealer Incentives_2024</v>
      </c>
      <c r="BQ1" t="str">
        <f t="shared" si="0"/>
        <v>Per Unit_Customer &amp; Dealer Incentives_2025</v>
      </c>
      <c r="BR1" t="str">
        <f t="shared" si="0"/>
        <v>Per Unit_Customer &amp; Dealer Incentives_2026</v>
      </c>
      <c r="BS1" t="str">
        <f t="shared" si="0"/>
        <v>Per Unit_Customer &amp; Dealer Incentives_2027</v>
      </c>
      <c r="BT1" t="str">
        <f t="shared" si="0"/>
        <v>Per Unit_Customer &amp; Dealer Incentives_2028</v>
      </c>
      <c r="BU1" t="str">
        <f t="shared" si="0"/>
        <v>Per Unit_Customer &amp; Dealer Incentives_2029</v>
      </c>
      <c r="BV1" t="str">
        <f t="shared" si="0"/>
        <v>Per Unit_Customer &amp; Dealer Incentives_2030</v>
      </c>
      <c r="BW1" t="str">
        <f t="shared" si="0"/>
        <v>Per Unit_Implementation Cost_2024</v>
      </c>
      <c r="BX1" t="str">
        <f t="shared" si="0"/>
        <v>Per Unit_Implementation Cost_2025</v>
      </c>
      <c r="BY1" t="str">
        <f t="shared" si="0"/>
        <v>Per Unit_Implementation Cost_2026</v>
      </c>
      <c r="BZ1" t="str">
        <f t="shared" si="0"/>
        <v>Per Unit_Implementation Cost_2027</v>
      </c>
      <c r="CA1" t="str">
        <f t="shared" si="0"/>
        <v>Per Unit_Implementation Cost_2028</v>
      </c>
      <c r="CB1" t="str">
        <f t="shared" si="0"/>
        <v>Per Unit_Implementation Cost_2029</v>
      </c>
      <c r="CC1" t="str">
        <f t="shared" si="0"/>
        <v>Per Unit_Implementation Cost_2030</v>
      </c>
      <c r="CD1" t="str">
        <f t="shared" si="0"/>
        <v>Per Unit_kWh _2024</v>
      </c>
      <c r="CE1" t="str">
        <f t="shared" ref="CE1:FC1" si="1">CE3&amp;"_"&amp;CE4&amp;"_"&amp;CE5</f>
        <v>Per Unit_kWh _2025</v>
      </c>
      <c r="CF1" t="str">
        <f t="shared" si="1"/>
        <v>Per Unit_kWh _2026</v>
      </c>
      <c r="CG1" t="str">
        <f t="shared" si="1"/>
        <v>Per Unit_kWh _2027</v>
      </c>
      <c r="CH1" t="str">
        <f t="shared" si="1"/>
        <v>Per Unit_kWh _2028</v>
      </c>
      <c r="CI1" t="str">
        <f t="shared" si="1"/>
        <v>Per Unit_kWh _2029</v>
      </c>
      <c r="CJ1" t="str">
        <f t="shared" si="1"/>
        <v>Per Unit_kWh _2030</v>
      </c>
      <c r="CK1" t="str">
        <f t="shared" si="1"/>
        <v>Per Unit_kW_2024</v>
      </c>
      <c r="CL1" t="str">
        <f t="shared" si="1"/>
        <v>Per Unit_kW_2025</v>
      </c>
      <c r="CM1" t="str">
        <f t="shared" si="1"/>
        <v>Per Unit_kW_2026</v>
      </c>
      <c r="CN1" t="str">
        <f t="shared" si="1"/>
        <v>Per Unit_kW_2027</v>
      </c>
      <c r="CO1" t="str">
        <f t="shared" si="1"/>
        <v>Per Unit_kW_2028</v>
      </c>
      <c r="CP1" t="str">
        <f t="shared" si="1"/>
        <v>Per Unit_kW_2029</v>
      </c>
      <c r="CQ1" t="str">
        <f t="shared" si="1"/>
        <v>Per Unit_kW_2030</v>
      </c>
      <c r="CR1" t="str">
        <f t="shared" si="1"/>
        <v>Per Unit_Therms_2024</v>
      </c>
      <c r="CS1" t="str">
        <f t="shared" si="1"/>
        <v>Per Unit_Therms_2025</v>
      </c>
      <c r="CT1" t="str">
        <f t="shared" si="1"/>
        <v>Per Unit_Therms_2026</v>
      </c>
      <c r="CU1" t="str">
        <f t="shared" si="1"/>
        <v>Per Unit_Therms_2027</v>
      </c>
      <c r="CV1" t="str">
        <f t="shared" si="1"/>
        <v>Per Unit_Therms_2028</v>
      </c>
      <c r="CW1" t="str">
        <f t="shared" si="1"/>
        <v>Per Unit_Therms_2029</v>
      </c>
      <c r="CX1" t="str">
        <f t="shared" si="1"/>
        <v>Per Unit_Therms_2030</v>
      </c>
      <c r="CY1" t="str">
        <f>CY3&amp;"_"&amp;CY4&amp;"_"&amp;CY5</f>
        <v>Program_Incremental Costs_2024</v>
      </c>
      <c r="CZ1" t="str">
        <f t="shared" si="1"/>
        <v>Program_Incremental Costs_2025</v>
      </c>
      <c r="DA1" t="str">
        <f t="shared" si="1"/>
        <v>Program_Incremental Costs_2026</v>
      </c>
      <c r="DB1" t="str">
        <f t="shared" si="1"/>
        <v>Program_Incremental Costs_2027</v>
      </c>
      <c r="DC1" t="str">
        <f t="shared" si="1"/>
        <v>Program_Incremental Costs_2028</v>
      </c>
      <c r="DD1" t="str">
        <f t="shared" si="1"/>
        <v>Program_Incremental Costs_2029</v>
      </c>
      <c r="DE1" t="str">
        <f t="shared" si="1"/>
        <v>Program_Incremental Costs_2030</v>
      </c>
      <c r="DF1" t="str">
        <f t="shared" si="1"/>
        <v>Program_Incremental Annual O&amp;M_2024</v>
      </c>
      <c r="DG1" t="str">
        <f t="shared" si="1"/>
        <v>Program_Incremental Annual O&amp;M_2025</v>
      </c>
      <c r="DH1" t="str">
        <f t="shared" si="1"/>
        <v>Program_Incremental Annual O&amp;M_2026</v>
      </c>
      <c r="DI1" t="str">
        <f t="shared" si="1"/>
        <v>Program_Incremental Annual O&amp;M_2027</v>
      </c>
      <c r="DJ1" t="str">
        <f t="shared" si="1"/>
        <v>Program_Incremental Annual O&amp;M_2028</v>
      </c>
      <c r="DK1" t="str">
        <f t="shared" si="1"/>
        <v>Program_Incremental Annual O&amp;M_2029</v>
      </c>
      <c r="DL1" t="str">
        <f t="shared" si="1"/>
        <v>Program_Incremental Annual O&amp;M_2030</v>
      </c>
      <c r="DM1" t="str">
        <f t="shared" si="1"/>
        <v>Program_Customer &amp; Dealer Incentives_2024</v>
      </c>
      <c r="DN1" t="str">
        <f t="shared" si="1"/>
        <v>Program_Customer &amp; Dealer Incentives_2025</v>
      </c>
      <c r="DO1" t="str">
        <f t="shared" si="1"/>
        <v>Program_Customer &amp; Dealer Incentives_2026</v>
      </c>
      <c r="DP1" t="str">
        <f t="shared" si="1"/>
        <v>Program_Customer &amp; Dealer Incentives_2027</v>
      </c>
      <c r="DQ1" t="str">
        <f t="shared" si="1"/>
        <v>Program_Customer &amp; Dealer Incentives_2028</v>
      </c>
      <c r="DR1" t="str">
        <f t="shared" si="1"/>
        <v>Program_Customer &amp; Dealer Incentives_2029</v>
      </c>
      <c r="DS1" t="str">
        <f t="shared" si="1"/>
        <v>Program_Customer &amp; Dealer Incentives_2030</v>
      </c>
      <c r="DT1" t="str">
        <f t="shared" si="1"/>
        <v>Program_Implementation Costs_2024</v>
      </c>
      <c r="DU1" t="str">
        <f t="shared" si="1"/>
        <v>Program_Implementation Costs_2025</v>
      </c>
      <c r="DV1" t="str">
        <f t="shared" si="1"/>
        <v>Program_Implementation Costs_2026</v>
      </c>
      <c r="DW1" t="str">
        <f t="shared" si="1"/>
        <v>Program_Implementation Costs_2027</v>
      </c>
      <c r="DX1" t="str">
        <f t="shared" si="1"/>
        <v>Program_Implementation Costs_2028</v>
      </c>
      <c r="DY1" t="str">
        <f t="shared" si="1"/>
        <v>Program_Implementation Costs_2029</v>
      </c>
      <c r="DZ1" t="str">
        <f t="shared" si="1"/>
        <v>Program_Implementation Costs_2030</v>
      </c>
      <c r="EA1" t="str">
        <f t="shared" si="1"/>
        <v>Program_kWh _2024</v>
      </c>
      <c r="EB1" t="str">
        <f t="shared" si="1"/>
        <v>Program_kWh _2025</v>
      </c>
      <c r="EC1" t="str">
        <f t="shared" si="1"/>
        <v>Program_kWh _2026</v>
      </c>
      <c r="ED1" t="str">
        <f t="shared" si="1"/>
        <v>Program_kWh _2027</v>
      </c>
      <c r="EE1" t="str">
        <f t="shared" si="1"/>
        <v>Program_kWh _2028</v>
      </c>
      <c r="EF1" t="str">
        <f t="shared" si="1"/>
        <v>Program_kWh _2029</v>
      </c>
      <c r="EG1" t="str">
        <f t="shared" si="1"/>
        <v>Program_kWh _2030</v>
      </c>
      <c r="EH1" t="str">
        <f t="shared" si="1"/>
        <v>Program_kW_2024</v>
      </c>
      <c r="EI1" t="str">
        <f t="shared" si="1"/>
        <v>Program_kW_2025</v>
      </c>
      <c r="EJ1" t="str">
        <f t="shared" si="1"/>
        <v>Program_kW_2026</v>
      </c>
      <c r="EK1" t="str">
        <f t="shared" si="1"/>
        <v>Program_kW_2027</v>
      </c>
      <c r="EL1" t="str">
        <f t="shared" si="1"/>
        <v>Program_kW_2028</v>
      </c>
      <c r="EM1" t="str">
        <f t="shared" si="1"/>
        <v>Program_kW_2029</v>
      </c>
      <c r="EN1" t="str">
        <f t="shared" si="1"/>
        <v>Program_kW_2030</v>
      </c>
      <c r="EO1" t="str">
        <f t="shared" si="1"/>
        <v>Program_Therms_2024</v>
      </c>
      <c r="EP1" t="str">
        <f t="shared" si="1"/>
        <v>Program_Therms_2025</v>
      </c>
      <c r="EQ1" t="str">
        <f t="shared" si="1"/>
        <v>Program_Therms_2026</v>
      </c>
      <c r="ER1" t="str">
        <f t="shared" si="1"/>
        <v>Program_Therms_2027</v>
      </c>
      <c r="ES1" t="str">
        <f t="shared" si="1"/>
        <v>Program_Therms_2028</v>
      </c>
      <c r="ET1" t="str">
        <f t="shared" si="1"/>
        <v>Program_Therms_2029</v>
      </c>
      <c r="EU1" t="str">
        <f t="shared" si="1"/>
        <v>Program_Therms_2030</v>
      </c>
      <c r="EV1" t="str">
        <f>EV3&amp;"_"&amp;EV4&amp;"_"&amp;EV5</f>
        <v>_Total Plan Summary 2024 - 2030_Participation</v>
      </c>
      <c r="EW1" t="str">
        <f>EW3&amp;"_"&amp;EW4&amp;"_"&amp;EW5</f>
        <v>__Incremental Costs ($)</v>
      </c>
      <c r="EX1" t="str">
        <f t="shared" si="1"/>
        <v>__Incremental Annual O&amp;M ($)</v>
      </c>
      <c r="EY1" t="str">
        <f t="shared" si="1"/>
        <v>__Customer &amp; Dealer Incentives ($)</v>
      </c>
      <c r="EZ1" t="str">
        <f t="shared" si="1"/>
        <v>__Implementation Costs ($)</v>
      </c>
      <c r="FA1" t="str">
        <f t="shared" si="1"/>
        <v>__Electric kWh  Benefits</v>
      </c>
      <c r="FB1" t="str">
        <f t="shared" si="1"/>
        <v>__Electric kW Peak Demand Benefits</v>
      </c>
      <c r="FC1" t="str">
        <f t="shared" si="1"/>
        <v>__Natural Gas Therms Benefits</v>
      </c>
    </row>
    <row r="2" spans="1:171" s="5" customFormat="1" ht="16" thickBot="1">
      <c r="A2" s="1" t="s">
        <v>737</v>
      </c>
      <c r="B2" s="4"/>
      <c r="C2" s="4"/>
      <c r="U2" s="6"/>
      <c r="V2" s="6"/>
      <c r="W2" s="6"/>
      <c r="X2" s="6"/>
      <c r="Y2" s="6"/>
      <c r="Z2" s="6"/>
      <c r="AA2" s="6"/>
      <c r="AB2" s="6"/>
      <c r="AC2" s="6"/>
      <c r="AD2" s="6"/>
      <c r="AE2" s="6"/>
      <c r="AF2" s="6"/>
      <c r="AG2" s="6"/>
      <c r="AH2" s="6"/>
      <c r="AI2" s="6"/>
      <c r="AJ2" s="6"/>
      <c r="AK2" s="6"/>
      <c r="AL2" s="6"/>
      <c r="AM2" s="6"/>
      <c r="AN2" s="7"/>
      <c r="AO2" s="7"/>
      <c r="AP2" s="7"/>
      <c r="AQ2" s="7"/>
      <c r="AR2" s="7"/>
      <c r="AS2" s="7"/>
      <c r="AT2" s="7"/>
      <c r="AU2" s="7"/>
      <c r="BB2" s="1379" t="s">
        <v>327</v>
      </c>
      <c r="BC2" s="1380"/>
      <c r="BD2" s="1380"/>
      <c r="BE2" s="1380"/>
      <c r="BF2" s="1380"/>
      <c r="BG2" s="1380"/>
      <c r="BH2" s="1380"/>
      <c r="BI2" s="1380"/>
      <c r="BJ2" s="1380"/>
      <c r="BK2" s="1380"/>
      <c r="BL2" s="1380"/>
      <c r="BM2" s="1380"/>
      <c r="BN2" s="1380"/>
      <c r="BO2" s="1380"/>
      <c r="BP2" s="1380"/>
      <c r="BQ2" s="1380"/>
      <c r="BR2" s="1380"/>
      <c r="BS2" s="1380"/>
      <c r="BT2" s="1380"/>
      <c r="BU2" s="323"/>
      <c r="BV2" s="323"/>
      <c r="BW2" s="323"/>
      <c r="BX2" s="323"/>
      <c r="BY2" s="323"/>
      <c r="BZ2" s="323"/>
      <c r="CA2" s="323"/>
      <c r="CB2" s="323"/>
      <c r="CC2" s="323"/>
      <c r="CD2" s="1367" t="s">
        <v>328</v>
      </c>
      <c r="CE2" s="1367"/>
      <c r="CF2" s="1367"/>
      <c r="CG2" s="1367"/>
      <c r="CH2" s="1367"/>
      <c r="CI2" s="334"/>
      <c r="CJ2" s="334"/>
      <c r="CK2" s="1367" t="s">
        <v>329</v>
      </c>
      <c r="CL2" s="1367"/>
      <c r="CM2" s="1367"/>
      <c r="CN2" s="1367"/>
      <c r="CO2" s="1367"/>
      <c r="CP2" s="334"/>
      <c r="CQ2" s="334"/>
      <c r="CR2" s="1367" t="s">
        <v>330</v>
      </c>
      <c r="CS2" s="1367"/>
      <c r="CT2" s="1367"/>
      <c r="CU2" s="1367"/>
      <c r="CV2" s="1367"/>
      <c r="CW2" s="335"/>
      <c r="CX2" s="335"/>
      <c r="CY2" s="1379" t="s">
        <v>327</v>
      </c>
      <c r="CZ2" s="1380"/>
      <c r="DA2" s="1380"/>
      <c r="DB2" s="1380"/>
      <c r="DC2" s="1380"/>
      <c r="DD2" s="1380"/>
      <c r="DE2" s="1380"/>
      <c r="DF2" s="1380"/>
      <c r="DG2" s="1380"/>
      <c r="DH2" s="1380"/>
      <c r="DI2" s="1380"/>
      <c r="DJ2" s="1380"/>
      <c r="DK2" s="1380"/>
      <c r="DL2" s="1380"/>
      <c r="DM2" s="1380"/>
      <c r="DN2" s="1380"/>
      <c r="DO2" s="1380"/>
      <c r="DP2" s="1380"/>
      <c r="DQ2" s="1380"/>
      <c r="DR2" s="323"/>
      <c r="DS2" s="323"/>
      <c r="DT2" s="323"/>
      <c r="DU2" s="323"/>
      <c r="DV2" s="323"/>
      <c r="DW2" s="323"/>
      <c r="DX2" s="323"/>
      <c r="DY2" s="323"/>
      <c r="DZ2" s="323"/>
      <c r="EA2" s="1367" t="s">
        <v>328</v>
      </c>
      <c r="EB2" s="1367"/>
      <c r="EC2" s="1367"/>
      <c r="ED2" s="1367"/>
      <c r="EE2" s="1367"/>
      <c r="EF2" s="334"/>
      <c r="EG2" s="334"/>
      <c r="EH2" s="1367" t="s">
        <v>329</v>
      </c>
      <c r="EI2" s="1367"/>
      <c r="EJ2" s="1367"/>
      <c r="EK2" s="1367"/>
      <c r="EL2" s="1367"/>
      <c r="EM2" s="334"/>
      <c r="EN2" s="334"/>
      <c r="EO2" s="1368" t="s">
        <v>330</v>
      </c>
      <c r="EP2" s="1369"/>
      <c r="EQ2" s="1369"/>
      <c r="ER2" s="1369"/>
      <c r="ES2" s="1369"/>
      <c r="ET2" s="1369"/>
      <c r="EU2" s="1369"/>
    </row>
    <row r="3" spans="1:171" ht="13.5" thickBot="1">
      <c r="B3" s="8"/>
      <c r="C3" s="8"/>
      <c r="T3" s="2"/>
      <c r="W3" s="3">
        <v>1</v>
      </c>
      <c r="X3" s="3">
        <v>2</v>
      </c>
      <c r="Y3" s="3">
        <v>3</v>
      </c>
      <c r="Z3" s="3">
        <v>4</v>
      </c>
      <c r="AK3" s="3"/>
      <c r="AL3" s="3"/>
      <c r="AM3" s="3"/>
      <c r="AN3" s="9"/>
      <c r="AO3" s="9"/>
      <c r="AP3" s="9"/>
      <c r="AQ3" s="9"/>
      <c r="AR3" s="9"/>
      <c r="AS3" s="9"/>
      <c r="AT3" s="9"/>
      <c r="AU3" s="9"/>
      <c r="BB3" s="109" t="s">
        <v>331</v>
      </c>
      <c r="BC3" s="110" t="s">
        <v>331</v>
      </c>
      <c r="BD3" s="110" t="s">
        <v>331</v>
      </c>
      <c r="BE3" s="110" t="s">
        <v>331</v>
      </c>
      <c r="BF3" s="110" t="s">
        <v>331</v>
      </c>
      <c r="BG3" s="110" t="s">
        <v>331</v>
      </c>
      <c r="BH3" s="110" t="s">
        <v>331</v>
      </c>
      <c r="BI3" s="109" t="s">
        <v>331</v>
      </c>
      <c r="BJ3" s="110" t="s">
        <v>331</v>
      </c>
      <c r="BK3" s="110" t="s">
        <v>331</v>
      </c>
      <c r="BL3" s="110" t="s">
        <v>331</v>
      </c>
      <c r="BM3" s="110" t="s">
        <v>331</v>
      </c>
      <c r="BN3" s="110" t="s">
        <v>331</v>
      </c>
      <c r="BO3" s="110" t="s">
        <v>331</v>
      </c>
      <c r="BP3" s="109" t="s">
        <v>331</v>
      </c>
      <c r="BQ3" s="110" t="s">
        <v>331</v>
      </c>
      <c r="BR3" s="110" t="s">
        <v>331</v>
      </c>
      <c r="BS3" s="110" t="s">
        <v>331</v>
      </c>
      <c r="BT3" s="110" t="s">
        <v>331</v>
      </c>
      <c r="BU3" s="110" t="s">
        <v>331</v>
      </c>
      <c r="BV3" s="110" t="s">
        <v>331</v>
      </c>
      <c r="BW3" s="109" t="s">
        <v>331</v>
      </c>
      <c r="BX3" s="110" t="s">
        <v>331</v>
      </c>
      <c r="BY3" s="110" t="s">
        <v>331</v>
      </c>
      <c r="BZ3" s="110" t="s">
        <v>331</v>
      </c>
      <c r="CA3" s="110" t="s">
        <v>331</v>
      </c>
      <c r="CB3" s="110" t="s">
        <v>331</v>
      </c>
      <c r="CC3" s="110" t="s">
        <v>331</v>
      </c>
      <c r="CD3" s="112" t="s">
        <v>331</v>
      </c>
      <c r="CE3" s="113" t="s">
        <v>331</v>
      </c>
      <c r="CF3" s="113" t="s">
        <v>331</v>
      </c>
      <c r="CG3" s="113" t="s">
        <v>331</v>
      </c>
      <c r="CH3" s="113" t="s">
        <v>331</v>
      </c>
      <c r="CI3" s="113" t="s">
        <v>331</v>
      </c>
      <c r="CJ3" s="113" t="s">
        <v>331</v>
      </c>
      <c r="CK3" s="112" t="s">
        <v>331</v>
      </c>
      <c r="CL3" s="113" t="s">
        <v>331</v>
      </c>
      <c r="CM3" s="113" t="s">
        <v>331</v>
      </c>
      <c r="CN3" s="113" t="s">
        <v>331</v>
      </c>
      <c r="CO3" s="113" t="s">
        <v>331</v>
      </c>
      <c r="CP3" s="113" t="s">
        <v>331</v>
      </c>
      <c r="CQ3" s="113" t="s">
        <v>331</v>
      </c>
      <c r="CR3" s="112" t="s">
        <v>331</v>
      </c>
      <c r="CS3" s="113" t="s">
        <v>331</v>
      </c>
      <c r="CT3" s="113" t="s">
        <v>331</v>
      </c>
      <c r="CU3" s="113" t="s">
        <v>331</v>
      </c>
      <c r="CV3" s="113" t="s">
        <v>331</v>
      </c>
      <c r="CW3" s="113" t="s">
        <v>331</v>
      </c>
      <c r="CX3" s="113" t="s">
        <v>331</v>
      </c>
      <c r="CY3" s="290" t="s">
        <v>0</v>
      </c>
      <c r="CZ3" s="291" t="s">
        <v>0</v>
      </c>
      <c r="DA3" s="291" t="s">
        <v>0</v>
      </c>
      <c r="DB3" s="291" t="s">
        <v>0</v>
      </c>
      <c r="DC3" s="291" t="s">
        <v>0</v>
      </c>
      <c r="DD3" s="291" t="s">
        <v>0</v>
      </c>
      <c r="DE3" s="292" t="s">
        <v>0</v>
      </c>
      <c r="DF3" s="293" t="s">
        <v>0</v>
      </c>
      <c r="DG3" s="291" t="s">
        <v>0</v>
      </c>
      <c r="DH3" s="291" t="s">
        <v>0</v>
      </c>
      <c r="DI3" s="291" t="s">
        <v>0</v>
      </c>
      <c r="DJ3" s="291" t="s">
        <v>0</v>
      </c>
      <c r="DK3" s="291" t="s">
        <v>0</v>
      </c>
      <c r="DL3" s="421" t="s">
        <v>0</v>
      </c>
      <c r="DM3" s="295" t="s">
        <v>0</v>
      </c>
      <c r="DN3" s="296" t="s">
        <v>0</v>
      </c>
      <c r="DO3" s="296" t="s">
        <v>0</v>
      </c>
      <c r="DP3" s="296" t="s">
        <v>0</v>
      </c>
      <c r="DQ3" s="296" t="s">
        <v>0</v>
      </c>
      <c r="DR3" s="296" t="s">
        <v>0</v>
      </c>
      <c r="DS3" s="422" t="s">
        <v>0</v>
      </c>
      <c r="DT3" s="290" t="s">
        <v>0</v>
      </c>
      <c r="DU3" s="291" t="s">
        <v>0</v>
      </c>
      <c r="DV3" s="291" t="s">
        <v>0</v>
      </c>
      <c r="DW3" s="291" t="s">
        <v>0</v>
      </c>
      <c r="DX3" s="291" t="s">
        <v>0</v>
      </c>
      <c r="DY3" s="291" t="s">
        <v>0</v>
      </c>
      <c r="DZ3" s="292" t="s">
        <v>0</v>
      </c>
      <c r="EA3" s="297" t="s">
        <v>0</v>
      </c>
      <c r="EB3" s="298" t="s">
        <v>0</v>
      </c>
      <c r="EC3" s="298" t="s">
        <v>0</v>
      </c>
      <c r="ED3" s="298" t="s">
        <v>0</v>
      </c>
      <c r="EE3" s="298" t="s">
        <v>0</v>
      </c>
      <c r="EF3" s="298" t="s">
        <v>0</v>
      </c>
      <c r="EG3" s="367" t="s">
        <v>0</v>
      </c>
      <c r="EH3" s="300" t="s">
        <v>0</v>
      </c>
      <c r="EI3" s="298" t="s">
        <v>0</v>
      </c>
      <c r="EJ3" s="298" t="s">
        <v>0</v>
      </c>
      <c r="EK3" s="298" t="s">
        <v>0</v>
      </c>
      <c r="EL3" s="298" t="s">
        <v>0</v>
      </c>
      <c r="EM3" s="298" t="s">
        <v>0</v>
      </c>
      <c r="EN3" s="299" t="s">
        <v>0</v>
      </c>
      <c r="EO3" s="300" t="s">
        <v>0</v>
      </c>
      <c r="EP3" s="298" t="s">
        <v>0</v>
      </c>
      <c r="EQ3" s="298" t="s">
        <v>0</v>
      </c>
      <c r="ER3" s="298" t="s">
        <v>0</v>
      </c>
      <c r="ES3" s="298" t="s">
        <v>0</v>
      </c>
      <c r="ET3" s="298" t="s">
        <v>0</v>
      </c>
      <c r="EU3" s="299" t="s">
        <v>0</v>
      </c>
    </row>
    <row r="4" spans="1:171"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1375"/>
      <c r="AC4" s="1375"/>
      <c r="AD4" s="1375"/>
      <c r="AE4" s="1375"/>
      <c r="AF4" s="1375"/>
      <c r="AG4" s="1375"/>
      <c r="AH4" s="440"/>
      <c r="AI4" s="440"/>
      <c r="AJ4" s="440"/>
      <c r="AK4" s="1376" t="s">
        <v>335</v>
      </c>
      <c r="AL4" s="1377"/>
      <c r="AM4" s="1377"/>
      <c r="AN4" s="1377"/>
      <c r="AO4" s="1377"/>
      <c r="AP4" s="1377"/>
      <c r="AQ4" s="1377"/>
      <c r="AR4" s="1377"/>
      <c r="AS4" s="1377"/>
      <c r="AT4" s="1377"/>
      <c r="AU4" s="1377"/>
      <c r="AV4" s="1377"/>
      <c r="AW4" s="1377"/>
      <c r="AX4" s="1378"/>
      <c r="AY4" s="687" t="s">
        <v>336</v>
      </c>
      <c r="AZ4" s="1376" t="s">
        <v>337</v>
      </c>
      <c r="BA4" s="1377"/>
      <c r="BB4" s="688" t="s">
        <v>128</v>
      </c>
      <c r="BC4" s="476" t="s">
        <v>128</v>
      </c>
      <c r="BD4" s="476" t="s">
        <v>128</v>
      </c>
      <c r="BE4" s="476" t="s">
        <v>128</v>
      </c>
      <c r="BF4" s="476" t="s">
        <v>128</v>
      </c>
      <c r="BG4" s="476" t="s">
        <v>128</v>
      </c>
      <c r="BH4" s="476" t="s">
        <v>128</v>
      </c>
      <c r="BI4" s="688" t="s">
        <v>129</v>
      </c>
      <c r="BJ4" s="476" t="s">
        <v>129</v>
      </c>
      <c r="BK4" s="476" t="s">
        <v>129</v>
      </c>
      <c r="BL4" s="476" t="s">
        <v>129</v>
      </c>
      <c r="BM4" s="476" t="s">
        <v>129</v>
      </c>
      <c r="BN4" s="476" t="s">
        <v>129</v>
      </c>
      <c r="BO4" s="476" t="s">
        <v>129</v>
      </c>
      <c r="BP4" s="688" t="s">
        <v>130</v>
      </c>
      <c r="BQ4" s="476" t="s">
        <v>130</v>
      </c>
      <c r="BR4" s="476" t="s">
        <v>130</v>
      </c>
      <c r="BS4" s="476" t="s">
        <v>130</v>
      </c>
      <c r="BT4" s="476" t="s">
        <v>130</v>
      </c>
      <c r="BU4" s="476" t="s">
        <v>130</v>
      </c>
      <c r="BV4" s="476" t="s">
        <v>130</v>
      </c>
      <c r="BW4" s="688" t="s">
        <v>338</v>
      </c>
      <c r="BX4" s="476" t="s">
        <v>338</v>
      </c>
      <c r="BY4" s="476" t="s">
        <v>338</v>
      </c>
      <c r="BZ4" s="476" t="s">
        <v>338</v>
      </c>
      <c r="CA4" s="476" t="s">
        <v>338</v>
      </c>
      <c r="CB4" s="476" t="s">
        <v>338</v>
      </c>
      <c r="CC4" s="476" t="s">
        <v>338</v>
      </c>
      <c r="CD4" s="690" t="s">
        <v>131</v>
      </c>
      <c r="CE4" s="477" t="s">
        <v>131</v>
      </c>
      <c r="CF4" s="477" t="s">
        <v>131</v>
      </c>
      <c r="CG4" s="477" t="s">
        <v>131</v>
      </c>
      <c r="CH4" s="477" t="s">
        <v>131</v>
      </c>
      <c r="CI4" s="477" t="s">
        <v>131</v>
      </c>
      <c r="CJ4" s="477" t="s">
        <v>131</v>
      </c>
      <c r="CK4" s="690" t="s">
        <v>132</v>
      </c>
      <c r="CL4" s="477" t="s">
        <v>132</v>
      </c>
      <c r="CM4" s="477" t="s">
        <v>132</v>
      </c>
      <c r="CN4" s="477" t="s">
        <v>132</v>
      </c>
      <c r="CO4" s="477" t="s">
        <v>132</v>
      </c>
      <c r="CP4" s="477" t="s">
        <v>132</v>
      </c>
      <c r="CQ4" s="477" t="s">
        <v>132</v>
      </c>
      <c r="CR4" s="690" t="s">
        <v>133</v>
      </c>
      <c r="CS4" s="477" t="s">
        <v>133</v>
      </c>
      <c r="CT4" s="477" t="s">
        <v>133</v>
      </c>
      <c r="CU4" s="477" t="s">
        <v>133</v>
      </c>
      <c r="CV4" s="477" t="s">
        <v>133</v>
      </c>
      <c r="CW4" s="477" t="s">
        <v>133</v>
      </c>
      <c r="CX4" s="477" t="s">
        <v>133</v>
      </c>
      <c r="CY4" s="109" t="s">
        <v>128</v>
      </c>
      <c r="CZ4" s="110" t="s">
        <v>128</v>
      </c>
      <c r="DA4" s="110" t="s">
        <v>128</v>
      </c>
      <c r="DB4" s="110" t="s">
        <v>128</v>
      </c>
      <c r="DC4" s="110" t="s">
        <v>128</v>
      </c>
      <c r="DD4" s="110" t="s">
        <v>128</v>
      </c>
      <c r="DE4" s="110" t="s">
        <v>128</v>
      </c>
      <c r="DF4" s="109" t="s">
        <v>129</v>
      </c>
      <c r="DG4" s="110" t="s">
        <v>129</v>
      </c>
      <c r="DH4" s="110" t="s">
        <v>129</v>
      </c>
      <c r="DI4" s="110" t="s">
        <v>129</v>
      </c>
      <c r="DJ4" s="110" t="s">
        <v>129</v>
      </c>
      <c r="DK4" s="110" t="s">
        <v>129</v>
      </c>
      <c r="DL4" s="282" t="s">
        <v>129</v>
      </c>
      <c r="DM4" s="294" t="s">
        <v>130</v>
      </c>
      <c r="DN4" s="449" t="s">
        <v>130</v>
      </c>
      <c r="DO4" s="449" t="s">
        <v>130</v>
      </c>
      <c r="DP4" s="449" t="s">
        <v>130</v>
      </c>
      <c r="DQ4" s="449" t="s">
        <v>130</v>
      </c>
      <c r="DR4" s="449" t="s">
        <v>130</v>
      </c>
      <c r="DS4" s="423" t="s">
        <v>130</v>
      </c>
      <c r="DT4" s="288" t="s">
        <v>165</v>
      </c>
      <c r="DU4" s="110" t="s">
        <v>165</v>
      </c>
      <c r="DV4" s="110" t="s">
        <v>165</v>
      </c>
      <c r="DW4" s="110" t="s">
        <v>165</v>
      </c>
      <c r="DX4" s="110" t="s">
        <v>165</v>
      </c>
      <c r="DY4" s="110" t="s">
        <v>165</v>
      </c>
      <c r="DZ4" s="111" t="s">
        <v>165</v>
      </c>
      <c r="EA4" s="289" t="s">
        <v>131</v>
      </c>
      <c r="EB4" s="113" t="s">
        <v>131</v>
      </c>
      <c r="EC4" s="113" t="s">
        <v>131</v>
      </c>
      <c r="ED4" s="113" t="s">
        <v>131</v>
      </c>
      <c r="EE4" s="113" t="s">
        <v>131</v>
      </c>
      <c r="EF4" s="113" t="s">
        <v>131</v>
      </c>
      <c r="EG4" s="283" t="s">
        <v>131</v>
      </c>
      <c r="EH4" s="112" t="s">
        <v>132</v>
      </c>
      <c r="EI4" s="113" t="s">
        <v>132</v>
      </c>
      <c r="EJ4" s="113" t="s">
        <v>132</v>
      </c>
      <c r="EK4" s="113" t="s">
        <v>132</v>
      </c>
      <c r="EL4" s="113" t="s">
        <v>132</v>
      </c>
      <c r="EM4" s="113" t="s">
        <v>132</v>
      </c>
      <c r="EN4" s="283" t="s">
        <v>132</v>
      </c>
      <c r="EO4" s="112" t="s">
        <v>133</v>
      </c>
      <c r="EP4" s="113" t="s">
        <v>133</v>
      </c>
      <c r="EQ4" s="113" t="s">
        <v>133</v>
      </c>
      <c r="ER4" s="113" t="s">
        <v>133</v>
      </c>
      <c r="ES4" s="113" t="s">
        <v>133</v>
      </c>
      <c r="ET4" s="113" t="s">
        <v>133</v>
      </c>
      <c r="EU4" s="114" t="s">
        <v>133</v>
      </c>
      <c r="EV4" s="1345" t="s">
        <v>738</v>
      </c>
      <c r="EW4" s="1342"/>
      <c r="EX4" s="1342"/>
      <c r="EY4" s="1342"/>
      <c r="EZ4" s="1342"/>
      <c r="FA4" s="1342"/>
      <c r="FB4" s="1342"/>
      <c r="FC4" s="1342"/>
    </row>
    <row r="5" spans="1:171" ht="51" customHeight="1">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4">
        <v>2017</v>
      </c>
      <c r="X5" s="694">
        <v>2018</v>
      </c>
      <c r="Y5" s="694">
        <v>2019</v>
      </c>
      <c r="Z5" s="694">
        <v>2020</v>
      </c>
      <c r="AA5" s="694" t="s">
        <v>356</v>
      </c>
      <c r="AB5" s="694" t="s">
        <v>357</v>
      </c>
      <c r="AC5" s="694" t="s">
        <v>390</v>
      </c>
      <c r="AD5" s="695" t="s">
        <v>15</v>
      </c>
      <c r="AE5" s="695" t="s">
        <v>16</v>
      </c>
      <c r="AF5" s="695" t="s">
        <v>17</v>
      </c>
      <c r="AG5" s="695" t="s">
        <v>18</v>
      </c>
      <c r="AH5" s="695" t="s">
        <v>19</v>
      </c>
      <c r="AI5" s="695" t="s">
        <v>20</v>
      </c>
      <c r="AJ5" s="696" t="s">
        <v>21</v>
      </c>
      <c r="AK5" s="697" t="s">
        <v>359</v>
      </c>
      <c r="AL5" s="697" t="s">
        <v>166</v>
      </c>
      <c r="AM5" s="697" t="s">
        <v>360</v>
      </c>
      <c r="AN5" s="697" t="s">
        <v>361</v>
      </c>
      <c r="AO5" s="697" t="s">
        <v>362</v>
      </c>
      <c r="AP5" s="697" t="s">
        <v>363</v>
      </c>
      <c r="AQ5" s="697" t="s">
        <v>364</v>
      </c>
      <c r="AR5" s="697" t="s">
        <v>365</v>
      </c>
      <c r="AS5" s="698" t="s">
        <v>167</v>
      </c>
      <c r="AT5" s="698" t="s">
        <v>168</v>
      </c>
      <c r="AU5" s="698" t="s">
        <v>169</v>
      </c>
      <c r="AV5" s="697" t="s">
        <v>170</v>
      </c>
      <c r="AW5" s="697" t="s">
        <v>366</v>
      </c>
      <c r="AX5" s="699" t="s">
        <v>367</v>
      </c>
      <c r="AY5" s="699" t="s">
        <v>368</v>
      </c>
      <c r="AZ5" s="699" t="s">
        <v>369</v>
      </c>
      <c r="BA5" s="699" t="s">
        <v>370</v>
      </c>
      <c r="BB5" s="700">
        <v>2024</v>
      </c>
      <c r="BC5" s="486">
        <v>2025</v>
      </c>
      <c r="BD5" s="486">
        <v>2026</v>
      </c>
      <c r="BE5" s="486">
        <v>2027</v>
      </c>
      <c r="BF5" s="486">
        <v>2028</v>
      </c>
      <c r="BG5" s="486">
        <v>2029</v>
      </c>
      <c r="BH5" s="833">
        <v>2030</v>
      </c>
      <c r="BI5" s="700">
        <v>2024</v>
      </c>
      <c r="BJ5" s="486">
        <v>2025</v>
      </c>
      <c r="BK5" s="486">
        <v>2026</v>
      </c>
      <c r="BL5" s="486">
        <v>2027</v>
      </c>
      <c r="BM5" s="486">
        <v>2028</v>
      </c>
      <c r="BN5" s="486">
        <v>2029</v>
      </c>
      <c r="BO5" s="833">
        <v>2030</v>
      </c>
      <c r="BP5" s="700">
        <v>2024</v>
      </c>
      <c r="BQ5" s="486">
        <v>2025</v>
      </c>
      <c r="BR5" s="486">
        <v>2026</v>
      </c>
      <c r="BS5" s="486">
        <v>2027</v>
      </c>
      <c r="BT5" s="486">
        <v>2028</v>
      </c>
      <c r="BU5" s="486">
        <v>2029</v>
      </c>
      <c r="BV5" s="833">
        <v>2030</v>
      </c>
      <c r="BW5" s="700">
        <v>2024</v>
      </c>
      <c r="BX5" s="486">
        <v>2025</v>
      </c>
      <c r="BY5" s="486">
        <v>2026</v>
      </c>
      <c r="BZ5" s="486">
        <v>2027</v>
      </c>
      <c r="CA5" s="486">
        <v>2028</v>
      </c>
      <c r="CB5" s="486">
        <v>2029</v>
      </c>
      <c r="CC5" s="486">
        <v>2030</v>
      </c>
      <c r="CD5" s="700">
        <v>2024</v>
      </c>
      <c r="CE5" s="486">
        <v>2025</v>
      </c>
      <c r="CF5" s="486">
        <v>2026</v>
      </c>
      <c r="CG5" s="486">
        <v>2027</v>
      </c>
      <c r="CH5" s="486">
        <v>2028</v>
      </c>
      <c r="CI5" s="486">
        <v>2029</v>
      </c>
      <c r="CJ5" s="486">
        <v>2030</v>
      </c>
      <c r="CK5" s="486">
        <v>2024</v>
      </c>
      <c r="CL5" s="486">
        <v>2025</v>
      </c>
      <c r="CM5" s="486">
        <v>2026</v>
      </c>
      <c r="CN5" s="486">
        <v>2027</v>
      </c>
      <c r="CO5" s="486">
        <v>2028</v>
      </c>
      <c r="CP5" s="486">
        <v>2029</v>
      </c>
      <c r="CQ5" s="702">
        <v>2030</v>
      </c>
      <c r="CR5" s="700">
        <v>2024</v>
      </c>
      <c r="CS5" s="486">
        <v>2025</v>
      </c>
      <c r="CT5" s="486">
        <v>2026</v>
      </c>
      <c r="CU5" s="486">
        <v>2027</v>
      </c>
      <c r="CV5" s="486">
        <v>2028</v>
      </c>
      <c r="CW5" s="486">
        <v>2029</v>
      </c>
      <c r="CX5" s="486">
        <v>2030</v>
      </c>
      <c r="CY5" s="700">
        <v>2024</v>
      </c>
      <c r="CZ5" s="352">
        <v>2025</v>
      </c>
      <c r="DA5" s="352">
        <v>2026</v>
      </c>
      <c r="DB5" s="352">
        <v>2027</v>
      </c>
      <c r="DC5" s="352">
        <v>2028</v>
      </c>
      <c r="DD5" s="352">
        <v>2029</v>
      </c>
      <c r="DE5" s="486">
        <v>2030</v>
      </c>
      <c r="DF5" s="700">
        <v>2024</v>
      </c>
      <c r="DG5" s="352">
        <v>2025</v>
      </c>
      <c r="DH5" s="352">
        <v>2026</v>
      </c>
      <c r="DI5" s="352">
        <v>2027</v>
      </c>
      <c r="DJ5" s="352">
        <v>2028</v>
      </c>
      <c r="DK5" s="352">
        <v>2029</v>
      </c>
      <c r="DL5" s="479">
        <v>2030</v>
      </c>
      <c r="DM5" s="700">
        <v>2024</v>
      </c>
      <c r="DN5" s="352">
        <v>2025</v>
      </c>
      <c r="DO5" s="352">
        <v>2026</v>
      </c>
      <c r="DP5" s="352">
        <v>2027</v>
      </c>
      <c r="DQ5" s="352">
        <v>2028</v>
      </c>
      <c r="DR5" s="352">
        <v>2029</v>
      </c>
      <c r="DS5" s="701">
        <v>2030</v>
      </c>
      <c r="DT5" s="485">
        <v>2024</v>
      </c>
      <c r="DU5" s="486">
        <v>2025</v>
      </c>
      <c r="DV5" s="486">
        <v>2026</v>
      </c>
      <c r="DW5" s="486">
        <v>2027</v>
      </c>
      <c r="DX5" s="486">
        <v>2028</v>
      </c>
      <c r="DY5" s="486">
        <v>2029</v>
      </c>
      <c r="DZ5" s="701">
        <v>2030</v>
      </c>
      <c r="EA5" s="485">
        <v>2024</v>
      </c>
      <c r="EB5" s="486">
        <v>2025</v>
      </c>
      <c r="EC5" s="486">
        <v>2026</v>
      </c>
      <c r="ED5" s="486">
        <v>2027</v>
      </c>
      <c r="EE5" s="486">
        <v>2028</v>
      </c>
      <c r="EF5" s="486">
        <v>2029</v>
      </c>
      <c r="EG5" s="702">
        <v>2030</v>
      </c>
      <c r="EH5" s="700">
        <v>2024</v>
      </c>
      <c r="EI5" s="486">
        <v>2025</v>
      </c>
      <c r="EJ5" s="486">
        <v>2026</v>
      </c>
      <c r="EK5" s="486">
        <v>2027</v>
      </c>
      <c r="EL5" s="486">
        <v>2028</v>
      </c>
      <c r="EM5" s="486">
        <v>2029</v>
      </c>
      <c r="EN5" s="702">
        <v>2030</v>
      </c>
      <c r="EO5" s="700">
        <v>2024</v>
      </c>
      <c r="EP5" s="486">
        <v>2025</v>
      </c>
      <c r="EQ5" s="486">
        <v>2026</v>
      </c>
      <c r="ER5" s="486">
        <v>2027</v>
      </c>
      <c r="ES5" s="486">
        <v>2028</v>
      </c>
      <c r="ET5" s="486">
        <v>2029</v>
      </c>
      <c r="EU5" s="701">
        <v>2030</v>
      </c>
      <c r="EV5" s="514" t="s">
        <v>9</v>
      </c>
      <c r="EW5" s="659" t="s">
        <v>139</v>
      </c>
      <c r="EX5" s="659" t="s">
        <v>140</v>
      </c>
      <c r="EY5" s="659" t="s">
        <v>141</v>
      </c>
      <c r="EZ5" s="659" t="s">
        <v>142</v>
      </c>
      <c r="FA5" s="659" t="s">
        <v>12</v>
      </c>
      <c r="FB5" s="659" t="s">
        <v>13</v>
      </c>
      <c r="FC5" s="659" t="s">
        <v>14</v>
      </c>
    </row>
    <row r="6" spans="1:171" s="10" customFormat="1" ht="12.75" customHeight="1">
      <c r="A6" s="662">
        <v>1</v>
      </c>
      <c r="B6" s="703" t="s">
        <v>739</v>
      </c>
      <c r="C6" s="703" t="s">
        <v>740</v>
      </c>
      <c r="D6" s="703" t="s">
        <v>393</v>
      </c>
      <c r="E6" s="703" t="s">
        <v>394</v>
      </c>
      <c r="F6" s="704" t="s">
        <v>372</v>
      </c>
      <c r="G6" s="705">
        <v>0</v>
      </c>
      <c r="H6" s="704">
        <v>0</v>
      </c>
      <c r="I6" s="704">
        <v>0</v>
      </c>
      <c r="J6" s="704">
        <v>0</v>
      </c>
      <c r="K6" s="704" t="s">
        <v>378</v>
      </c>
      <c r="L6" s="711" t="s">
        <v>395</v>
      </c>
      <c r="M6" s="707">
        <v>0</v>
      </c>
      <c r="N6" s="708">
        <v>0</v>
      </c>
      <c r="O6" s="707">
        <v>0</v>
      </c>
      <c r="P6" s="709">
        <f>E71*P61+E71</f>
        <v>825</v>
      </c>
      <c r="Q6" s="834">
        <f>L71</f>
        <v>694.38897945843712</v>
      </c>
      <c r="R6" s="835">
        <f>M71</f>
        <v>5.9303919902941316E-2</v>
      </c>
      <c r="S6" s="835">
        <f>N71</f>
        <v>7.0613170935578253</v>
      </c>
      <c r="T6" s="711" t="s">
        <v>741</v>
      </c>
      <c r="U6" s="712">
        <v>0</v>
      </c>
      <c r="V6" s="713">
        <v>1</v>
      </c>
      <c r="W6" s="661">
        <f t="shared" ref="W6:Z7" si="2">W13+W20</f>
        <v>1773</v>
      </c>
      <c r="X6" s="661">
        <f t="shared" si="2"/>
        <v>2070</v>
      </c>
      <c r="Y6" s="661">
        <f t="shared" si="2"/>
        <v>853</v>
      </c>
      <c r="Z6" s="661">
        <f t="shared" si="2"/>
        <v>806</v>
      </c>
      <c r="AA6" s="714">
        <f>AB35</f>
        <v>806</v>
      </c>
      <c r="AB6" s="714">
        <v>359.99999999999989</v>
      </c>
      <c r="AC6" s="714">
        <f>(AB6+($U6*AB6))</f>
        <v>359.99999999999989</v>
      </c>
      <c r="AD6" s="714">
        <f>(AC6+($U6*AC6))</f>
        <v>359.99999999999989</v>
      </c>
      <c r="AE6" s="714">
        <f t="shared" ref="AD6:AJ7" si="3">(AD6+($U6*AD6))</f>
        <v>359.99999999999989</v>
      </c>
      <c r="AF6" s="714">
        <f t="shared" si="3"/>
        <v>359.99999999999989</v>
      </c>
      <c r="AG6" s="714">
        <f t="shared" si="3"/>
        <v>359.99999999999989</v>
      </c>
      <c r="AH6" s="714">
        <f t="shared" si="3"/>
        <v>359.99999999999989</v>
      </c>
      <c r="AI6" s="714">
        <f t="shared" si="3"/>
        <v>359.99999999999989</v>
      </c>
      <c r="AJ6" s="714">
        <f t="shared" si="3"/>
        <v>359.99999999999989</v>
      </c>
      <c r="AK6" s="711" t="s">
        <v>374</v>
      </c>
      <c r="AL6" s="711" t="s">
        <v>742</v>
      </c>
      <c r="AM6" s="711" t="s">
        <v>743</v>
      </c>
      <c r="AN6" s="711" t="s">
        <v>377</v>
      </c>
      <c r="AO6" s="711" t="s">
        <v>1</v>
      </c>
      <c r="AP6" s="711" t="s">
        <v>378</v>
      </c>
      <c r="AQ6" s="711" t="s">
        <v>378</v>
      </c>
      <c r="AR6" s="711" t="s">
        <v>378</v>
      </c>
      <c r="AS6" s="715" t="s">
        <v>744</v>
      </c>
      <c r="AT6" s="715" t="s">
        <v>745</v>
      </c>
      <c r="AU6" s="711" t="s">
        <v>746</v>
      </c>
      <c r="AV6" s="662">
        <v>20</v>
      </c>
      <c r="AW6" s="662">
        <f>AV6</f>
        <v>20</v>
      </c>
      <c r="AX6" s="711" t="s">
        <v>397</v>
      </c>
      <c r="AY6" s="716">
        <v>1</v>
      </c>
      <c r="AZ6" s="716">
        <v>1</v>
      </c>
      <c r="BA6" s="717">
        <v>1</v>
      </c>
      <c r="BB6" s="774">
        <f t="shared" ref="BB6:BB11" si="4">I6</f>
        <v>0</v>
      </c>
      <c r="BC6" s="499">
        <f>BB6</f>
        <v>0</v>
      </c>
      <c r="BD6" s="499">
        <f>BC6</f>
        <v>0</v>
      </c>
      <c r="BE6" s="499">
        <f>BD6</f>
        <v>0</v>
      </c>
      <c r="BF6" s="499">
        <f>BC6</f>
        <v>0</v>
      </c>
      <c r="BG6" s="499">
        <f>BD6</f>
        <v>0</v>
      </c>
      <c r="BH6" s="499">
        <f>BE6</f>
        <v>0</v>
      </c>
      <c r="BI6" s="721">
        <f t="shared" ref="BI6:BI11" si="5">J6</f>
        <v>0</v>
      </c>
      <c r="BJ6" s="499">
        <f t="shared" ref="BJ6:BO14" si="6">BI6</f>
        <v>0</v>
      </c>
      <c r="BK6" s="499">
        <f t="shared" si="6"/>
        <v>0</v>
      </c>
      <c r="BL6" s="499">
        <f t="shared" si="6"/>
        <v>0</v>
      </c>
      <c r="BM6" s="499">
        <f t="shared" ref="BM6:BM11" si="7">BL6</f>
        <v>0</v>
      </c>
      <c r="BN6" s="499">
        <f t="shared" ref="BN6:BN7" si="8">BM6</f>
        <v>0</v>
      </c>
      <c r="BO6" s="499">
        <f t="shared" ref="BO6:BO11" si="9">BN6</f>
        <v>0</v>
      </c>
      <c r="BP6" s="721">
        <f t="shared" ref="BP6:BP11" si="10">N6+O6</f>
        <v>0</v>
      </c>
      <c r="BQ6" s="499">
        <f t="shared" ref="BQ6:BQ11" si="11">BP6</f>
        <v>0</v>
      </c>
      <c r="BR6" s="499">
        <f t="shared" ref="BR6:BV14" si="12">BQ6</f>
        <v>0</v>
      </c>
      <c r="BS6" s="499">
        <f t="shared" si="12"/>
        <v>0</v>
      </c>
      <c r="BT6" s="499">
        <f t="shared" ref="BT6:BT11" si="13">BS6</f>
        <v>0</v>
      </c>
      <c r="BU6" s="499">
        <f t="shared" ref="BU6:BV7" si="14">BT6</f>
        <v>0</v>
      </c>
      <c r="BV6" s="499">
        <f>BU6</f>
        <v>0</v>
      </c>
      <c r="BW6" s="775">
        <f>$P6</f>
        <v>825</v>
      </c>
      <c r="BX6" s="836">
        <f>$P6</f>
        <v>825</v>
      </c>
      <c r="BY6" s="503">
        <f t="shared" ref="BX6:CC21" si="15">$P6</f>
        <v>825</v>
      </c>
      <c r="BZ6" s="503">
        <f t="shared" si="15"/>
        <v>825</v>
      </c>
      <c r="CA6" s="503">
        <f t="shared" si="15"/>
        <v>825</v>
      </c>
      <c r="CB6" s="503">
        <f t="shared" si="15"/>
        <v>825</v>
      </c>
      <c r="CC6" s="503">
        <f t="shared" si="15"/>
        <v>825</v>
      </c>
      <c r="CD6" s="722">
        <f t="shared" ref="CD6:CD11" si="16">Q6*AZ6</f>
        <v>694.38897945843712</v>
      </c>
      <c r="CE6" s="511">
        <f t="shared" ref="CE6:CJ10" si="17">CD6</f>
        <v>694.38897945843712</v>
      </c>
      <c r="CF6" s="511">
        <f t="shared" si="17"/>
        <v>694.38897945843712</v>
      </c>
      <c r="CG6" s="511">
        <f t="shared" si="17"/>
        <v>694.38897945843712</v>
      </c>
      <c r="CH6" s="511">
        <f t="shared" si="17"/>
        <v>694.38897945843712</v>
      </c>
      <c r="CI6" s="511">
        <f t="shared" si="17"/>
        <v>694.38897945843712</v>
      </c>
      <c r="CJ6" s="511">
        <f t="shared" si="17"/>
        <v>694.38897945843712</v>
      </c>
      <c r="CK6" s="722">
        <f t="shared" ref="CK6:CK11" si="18">R6*AZ6</f>
        <v>5.9303919902941316E-2</v>
      </c>
      <c r="CL6" s="511">
        <f t="shared" ref="CL6:CQ14" si="19">CK6</f>
        <v>5.9303919902941316E-2</v>
      </c>
      <c r="CM6" s="511">
        <f t="shared" si="19"/>
        <v>5.9303919902941316E-2</v>
      </c>
      <c r="CN6" s="511">
        <f t="shared" si="19"/>
        <v>5.9303919902941316E-2</v>
      </c>
      <c r="CO6" s="511">
        <f t="shared" ref="CO6:CO11" si="20">CN6</f>
        <v>5.9303919902941316E-2</v>
      </c>
      <c r="CP6" s="511">
        <f t="shared" ref="CP6:CQ7" si="21">CO6</f>
        <v>5.9303919902941316E-2</v>
      </c>
      <c r="CQ6" s="511">
        <f t="shared" si="21"/>
        <v>5.9303919902941316E-2</v>
      </c>
      <c r="CR6" s="722">
        <f t="shared" ref="CR6:CR10" si="22">S6*BA6</f>
        <v>7.0613170935578253</v>
      </c>
      <c r="CS6" s="511">
        <f t="shared" ref="CS6:CU14" si="23">CR6</f>
        <v>7.0613170935578253</v>
      </c>
      <c r="CT6" s="511">
        <f t="shared" si="23"/>
        <v>7.0613170935578253</v>
      </c>
      <c r="CU6" s="511">
        <f t="shared" si="23"/>
        <v>7.0613170935578253</v>
      </c>
      <c r="CV6" s="511">
        <f t="shared" ref="CV6:CV11" si="24">CU6</f>
        <v>7.0613170935578253</v>
      </c>
      <c r="CW6" s="511">
        <f t="shared" ref="CW6:CX7" si="25">CV6</f>
        <v>7.0613170935578253</v>
      </c>
      <c r="CX6" s="511">
        <f t="shared" si="25"/>
        <v>7.0613170935578253</v>
      </c>
      <c r="CY6" s="837">
        <f t="shared" ref="CY6" si="26">AD6*BB6</f>
        <v>0</v>
      </c>
      <c r="CZ6" s="508">
        <f t="shared" ref="CZ6:DE10" si="27">AE6*BC6</f>
        <v>0</v>
      </c>
      <c r="DA6" s="508">
        <f t="shared" si="27"/>
        <v>0</v>
      </c>
      <c r="DB6" s="508">
        <f t="shared" si="27"/>
        <v>0</v>
      </c>
      <c r="DC6" s="508">
        <f t="shared" si="27"/>
        <v>0</v>
      </c>
      <c r="DD6" s="508">
        <f t="shared" si="27"/>
        <v>0</v>
      </c>
      <c r="DE6" s="509">
        <f t="shared" si="27"/>
        <v>0</v>
      </c>
      <c r="DF6" s="837">
        <f t="shared" ref="DF6:DL10" si="28">AD6*BI6</f>
        <v>0</v>
      </c>
      <c r="DG6" s="508">
        <f t="shared" si="28"/>
        <v>0</v>
      </c>
      <c r="DH6" s="508">
        <f t="shared" si="28"/>
        <v>0</v>
      </c>
      <c r="DI6" s="508">
        <f t="shared" si="28"/>
        <v>0</v>
      </c>
      <c r="DJ6" s="508">
        <f t="shared" si="28"/>
        <v>0</v>
      </c>
      <c r="DK6" s="508">
        <f t="shared" si="28"/>
        <v>0</v>
      </c>
      <c r="DL6" s="450">
        <f t="shared" si="28"/>
        <v>0</v>
      </c>
      <c r="DM6" s="724">
        <f>AD6*BP6</f>
        <v>0</v>
      </c>
      <c r="DN6" s="508">
        <f t="shared" ref="DN6:DS11" si="29">AE6*BQ6</f>
        <v>0</v>
      </c>
      <c r="DO6" s="508">
        <f t="shared" si="29"/>
        <v>0</v>
      </c>
      <c r="DP6" s="508">
        <f t="shared" si="29"/>
        <v>0</v>
      </c>
      <c r="DQ6" s="508">
        <f t="shared" si="29"/>
        <v>0</v>
      </c>
      <c r="DR6" s="508">
        <f t="shared" si="29"/>
        <v>0</v>
      </c>
      <c r="DS6" s="725">
        <f t="shared" si="29"/>
        <v>0</v>
      </c>
      <c r="DT6" s="450">
        <f>BW6*AD6</f>
        <v>296999.99999999988</v>
      </c>
      <c r="DU6" s="508">
        <f t="shared" ref="DT6:DZ10" si="30">BX6*AE6</f>
        <v>296999.99999999988</v>
      </c>
      <c r="DV6" s="508">
        <f t="shared" si="30"/>
        <v>296999.99999999988</v>
      </c>
      <c r="DW6" s="508">
        <f t="shared" si="30"/>
        <v>296999.99999999988</v>
      </c>
      <c r="DX6" s="508">
        <f t="shared" si="30"/>
        <v>296999.99999999988</v>
      </c>
      <c r="DY6" s="508">
        <f t="shared" si="30"/>
        <v>296999.99999999988</v>
      </c>
      <c r="DZ6" s="451">
        <f t="shared" si="30"/>
        <v>296999.99999999988</v>
      </c>
      <c r="EA6" s="507">
        <f>AD6*CD6</f>
        <v>249980.0326050373</v>
      </c>
      <c r="EB6" s="507">
        <f t="shared" ref="EA6:EG10" si="31">AE6*CE6</f>
        <v>249980.0326050373</v>
      </c>
      <c r="EC6" s="507">
        <f t="shared" si="31"/>
        <v>249980.0326050373</v>
      </c>
      <c r="ED6" s="507">
        <f t="shared" si="31"/>
        <v>249980.0326050373</v>
      </c>
      <c r="EE6" s="507">
        <f t="shared" si="31"/>
        <v>249980.0326050373</v>
      </c>
      <c r="EF6" s="507">
        <f t="shared" si="31"/>
        <v>249980.0326050373</v>
      </c>
      <c r="EG6" s="452">
        <f t="shared" si="31"/>
        <v>249980.0326050373</v>
      </c>
      <c r="EH6" s="722">
        <f t="shared" ref="EH6:EN10" si="32">AD6*CK6</f>
        <v>21.349411165058868</v>
      </c>
      <c r="EI6" s="511">
        <f t="shared" si="32"/>
        <v>21.349411165058868</v>
      </c>
      <c r="EJ6" s="511">
        <f t="shared" si="32"/>
        <v>21.349411165058868</v>
      </c>
      <c r="EK6" s="511">
        <f t="shared" si="32"/>
        <v>21.349411165058868</v>
      </c>
      <c r="EL6" s="511">
        <f t="shared" si="32"/>
        <v>21.349411165058868</v>
      </c>
      <c r="EM6" s="511">
        <f t="shared" si="32"/>
        <v>21.349411165058868</v>
      </c>
      <c r="EN6" s="539">
        <f t="shared" si="32"/>
        <v>21.349411165058868</v>
      </c>
      <c r="EO6" s="838">
        <f t="shared" ref="EO6:EU10" si="33">AD6*CR6</f>
        <v>2542.0741536808164</v>
      </c>
      <c r="EP6" s="511">
        <f t="shared" si="33"/>
        <v>2542.0741536808164</v>
      </c>
      <c r="EQ6" s="511">
        <f t="shared" si="33"/>
        <v>2542.0741536808164</v>
      </c>
      <c r="ER6" s="511">
        <f t="shared" si="33"/>
        <v>2542.0741536808164</v>
      </c>
      <c r="ES6" s="511">
        <f t="shared" si="33"/>
        <v>2542.0741536808164</v>
      </c>
      <c r="ET6" s="511">
        <f t="shared" si="33"/>
        <v>2542.0741536808164</v>
      </c>
      <c r="EU6" s="453">
        <f t="shared" si="33"/>
        <v>2542.0741536808164</v>
      </c>
      <c r="EV6" s="727">
        <f t="shared" ref="EV6:EV11" si="34">SUM(AC6:AJ6)</f>
        <v>2879.9999999999995</v>
      </c>
      <c r="EW6" s="728">
        <f t="shared" ref="EW6:EW11" si="35">SUM(CY6:DE6)</f>
        <v>0</v>
      </c>
      <c r="EX6" s="728">
        <f t="shared" ref="EX6:EX11" si="36">SUM(DF6:DL6)</f>
        <v>0</v>
      </c>
      <c r="EY6" s="728">
        <f t="shared" ref="EY6:EY11" si="37">SUM(DM6:DS6)</f>
        <v>0</v>
      </c>
      <c r="EZ6" s="728">
        <f t="shared" ref="EZ6:EZ11" si="38">SUM(DT6:DZ6)</f>
        <v>2078999.9999999995</v>
      </c>
      <c r="FA6" s="777">
        <f t="shared" ref="FA6:FA11" si="39">SUM(EA6:EG6)</f>
        <v>1749860.228235261</v>
      </c>
      <c r="FB6" s="777">
        <f t="shared" ref="FB6:FB11" si="40">SUM(EH6:EN6)</f>
        <v>149.44587815541206</v>
      </c>
      <c r="FC6" s="778">
        <f t="shared" ref="FC6:FC11" si="41">SUM(EO6:EU6)</f>
        <v>17794.519075765715</v>
      </c>
      <c r="FE6" s="10" t="b">
        <f t="shared" ref="FE6:FL11" si="42">EV6=SUM(EV13,EV20)</f>
        <v>1</v>
      </c>
      <c r="FF6" s="10" t="b">
        <f t="shared" si="42"/>
        <v>1</v>
      </c>
      <c r="FG6" s="10" t="b">
        <f t="shared" si="42"/>
        <v>1</v>
      </c>
      <c r="FH6" s="10" t="b">
        <f t="shared" si="42"/>
        <v>1</v>
      </c>
      <c r="FI6" s="10" t="b">
        <f t="shared" si="42"/>
        <v>1</v>
      </c>
      <c r="FJ6" s="10" t="b">
        <f t="shared" si="42"/>
        <v>1</v>
      </c>
      <c r="FK6" s="10" t="b">
        <f t="shared" si="42"/>
        <v>1</v>
      </c>
      <c r="FL6" s="10" t="b">
        <f t="shared" si="42"/>
        <v>1</v>
      </c>
    </row>
    <row r="7" spans="1:171" s="10" customFormat="1" ht="12.75" customHeight="1">
      <c r="A7" s="662">
        <v>2</v>
      </c>
      <c r="B7" s="703" t="s">
        <v>747</v>
      </c>
      <c r="C7" s="703" t="s">
        <v>740</v>
      </c>
      <c r="D7" s="703" t="s">
        <v>393</v>
      </c>
      <c r="E7" s="703" t="s">
        <v>394</v>
      </c>
      <c r="F7" s="704" t="s">
        <v>372</v>
      </c>
      <c r="G7" s="705">
        <v>0</v>
      </c>
      <c r="H7" s="704">
        <v>0</v>
      </c>
      <c r="I7" s="704">
        <v>0</v>
      </c>
      <c r="J7" s="704">
        <v>0</v>
      </c>
      <c r="K7" s="704" t="s">
        <v>378</v>
      </c>
      <c r="L7" s="711" t="s">
        <v>395</v>
      </c>
      <c r="M7" s="707">
        <v>0</v>
      </c>
      <c r="N7" s="709">
        <v>0</v>
      </c>
      <c r="O7" s="707">
        <v>0</v>
      </c>
      <c r="P7" s="709">
        <f>P6</f>
        <v>825</v>
      </c>
      <c r="Q7" s="834">
        <f>O71</f>
        <v>713.88705121401233</v>
      </c>
      <c r="R7" s="835">
        <f>P71</f>
        <v>6.1078475212048906E-2</v>
      </c>
      <c r="S7" s="835">
        <f>Q71</f>
        <v>8.6661618875482382</v>
      </c>
      <c r="T7" s="711" t="s">
        <v>741</v>
      </c>
      <c r="U7" s="712">
        <v>0</v>
      </c>
      <c r="V7" s="713">
        <v>1</v>
      </c>
      <c r="W7" s="661">
        <f t="shared" si="2"/>
        <v>1017</v>
      </c>
      <c r="X7" s="661">
        <f t="shared" si="2"/>
        <v>1073</v>
      </c>
      <c r="Y7" s="661">
        <f t="shared" si="2"/>
        <v>3247</v>
      </c>
      <c r="Z7" s="661">
        <f t="shared" si="2"/>
        <v>3194</v>
      </c>
      <c r="AA7" s="714">
        <f>AB37</f>
        <v>3194</v>
      </c>
      <c r="AB7" s="714">
        <v>439.99999999999989</v>
      </c>
      <c r="AC7" s="714">
        <f>(AB7+($U7*AB7))</f>
        <v>439.99999999999989</v>
      </c>
      <c r="AD7" s="714">
        <f t="shared" si="3"/>
        <v>439.99999999999989</v>
      </c>
      <c r="AE7" s="714">
        <f t="shared" si="3"/>
        <v>439.99999999999989</v>
      </c>
      <c r="AF7" s="714">
        <f t="shared" si="3"/>
        <v>439.99999999999989</v>
      </c>
      <c r="AG7" s="714">
        <f>(AF7+($U7*AF7))</f>
        <v>439.99999999999989</v>
      </c>
      <c r="AH7" s="714">
        <f t="shared" si="3"/>
        <v>439.99999999999989</v>
      </c>
      <c r="AI7" s="714">
        <f t="shared" si="3"/>
        <v>439.99999999999989</v>
      </c>
      <c r="AJ7" s="714">
        <f t="shared" si="3"/>
        <v>439.99999999999989</v>
      </c>
      <c r="AK7" s="711" t="s">
        <v>374</v>
      </c>
      <c r="AL7" s="711" t="s">
        <v>742</v>
      </c>
      <c r="AM7" s="711" t="s">
        <v>743</v>
      </c>
      <c r="AN7" s="711" t="s">
        <v>377</v>
      </c>
      <c r="AO7" s="711" t="s">
        <v>1</v>
      </c>
      <c r="AP7" s="711" t="s">
        <v>378</v>
      </c>
      <c r="AQ7" s="711" t="s">
        <v>378</v>
      </c>
      <c r="AR7" s="711" t="s">
        <v>378</v>
      </c>
      <c r="AS7" s="715" t="s">
        <v>744</v>
      </c>
      <c r="AT7" s="715" t="s">
        <v>745</v>
      </c>
      <c r="AU7" s="711" t="s">
        <v>746</v>
      </c>
      <c r="AV7" s="662">
        <v>20</v>
      </c>
      <c r="AW7" s="662">
        <f>AV7</f>
        <v>20</v>
      </c>
      <c r="AX7" s="711" t="s">
        <v>397</v>
      </c>
      <c r="AY7" s="716">
        <v>1</v>
      </c>
      <c r="AZ7" s="716">
        <v>1</v>
      </c>
      <c r="BA7" s="717">
        <v>1</v>
      </c>
      <c r="BB7" s="721">
        <f t="shared" si="4"/>
        <v>0</v>
      </c>
      <c r="BC7" s="499">
        <f t="shared" ref="BC7:BE14" si="43">BB7</f>
        <v>0</v>
      </c>
      <c r="BD7" s="499">
        <f t="shared" si="43"/>
        <v>0</v>
      </c>
      <c r="BE7" s="499">
        <f t="shared" si="43"/>
        <v>0</v>
      </c>
      <c r="BF7" s="499">
        <f t="shared" ref="BF7:BH7" si="44">BC7</f>
        <v>0</v>
      </c>
      <c r="BG7" s="499">
        <f t="shared" si="44"/>
        <v>0</v>
      </c>
      <c r="BH7" s="499">
        <f t="shared" si="44"/>
        <v>0</v>
      </c>
      <c r="BI7" s="721">
        <f t="shared" si="5"/>
        <v>0</v>
      </c>
      <c r="BJ7" s="499">
        <f t="shared" si="6"/>
        <v>0</v>
      </c>
      <c r="BK7" s="499">
        <f t="shared" si="6"/>
        <v>0</v>
      </c>
      <c r="BL7" s="499">
        <f t="shared" si="6"/>
        <v>0</v>
      </c>
      <c r="BM7" s="499">
        <f t="shared" si="7"/>
        <v>0</v>
      </c>
      <c r="BN7" s="499">
        <f t="shared" si="8"/>
        <v>0</v>
      </c>
      <c r="BO7" s="499">
        <f t="shared" si="9"/>
        <v>0</v>
      </c>
      <c r="BP7" s="721">
        <f t="shared" si="10"/>
        <v>0</v>
      </c>
      <c r="BQ7" s="499">
        <f t="shared" si="11"/>
        <v>0</v>
      </c>
      <c r="BR7" s="499">
        <f t="shared" si="12"/>
        <v>0</v>
      </c>
      <c r="BS7" s="499">
        <f t="shared" si="12"/>
        <v>0</v>
      </c>
      <c r="BT7" s="499">
        <f t="shared" si="13"/>
        <v>0</v>
      </c>
      <c r="BU7" s="499">
        <f t="shared" si="14"/>
        <v>0</v>
      </c>
      <c r="BV7" s="499">
        <f t="shared" si="14"/>
        <v>0</v>
      </c>
      <c r="BW7" s="774">
        <f>$P7</f>
        <v>825</v>
      </c>
      <c r="BX7" s="503">
        <f t="shared" si="15"/>
        <v>825</v>
      </c>
      <c r="BY7" s="503">
        <f t="shared" si="15"/>
        <v>825</v>
      </c>
      <c r="BZ7" s="503">
        <f t="shared" si="15"/>
        <v>825</v>
      </c>
      <c r="CA7" s="503">
        <f t="shared" si="15"/>
        <v>825</v>
      </c>
      <c r="CB7" s="503">
        <f t="shared" si="15"/>
        <v>825</v>
      </c>
      <c r="CC7" s="503">
        <f t="shared" si="15"/>
        <v>825</v>
      </c>
      <c r="CD7" s="722">
        <f t="shared" si="16"/>
        <v>713.88705121401233</v>
      </c>
      <c r="CE7" s="511">
        <f t="shared" si="17"/>
        <v>713.88705121401233</v>
      </c>
      <c r="CF7" s="511">
        <f t="shared" si="17"/>
        <v>713.88705121401233</v>
      </c>
      <c r="CG7" s="511">
        <f t="shared" si="17"/>
        <v>713.88705121401233</v>
      </c>
      <c r="CH7" s="511">
        <f t="shared" si="17"/>
        <v>713.88705121401233</v>
      </c>
      <c r="CI7" s="511">
        <f t="shared" si="17"/>
        <v>713.88705121401233</v>
      </c>
      <c r="CJ7" s="511">
        <f t="shared" si="17"/>
        <v>713.88705121401233</v>
      </c>
      <c r="CK7" s="722">
        <f t="shared" si="18"/>
        <v>6.1078475212048906E-2</v>
      </c>
      <c r="CL7" s="511">
        <f t="shared" si="19"/>
        <v>6.1078475212048906E-2</v>
      </c>
      <c r="CM7" s="511">
        <f t="shared" si="19"/>
        <v>6.1078475212048906E-2</v>
      </c>
      <c r="CN7" s="511">
        <f t="shared" si="19"/>
        <v>6.1078475212048906E-2</v>
      </c>
      <c r="CO7" s="511">
        <f t="shared" si="20"/>
        <v>6.1078475212048906E-2</v>
      </c>
      <c r="CP7" s="511">
        <f t="shared" si="21"/>
        <v>6.1078475212048906E-2</v>
      </c>
      <c r="CQ7" s="511">
        <f t="shared" si="21"/>
        <v>6.1078475212048906E-2</v>
      </c>
      <c r="CR7" s="722">
        <f t="shared" si="22"/>
        <v>8.6661618875482382</v>
      </c>
      <c r="CS7" s="511">
        <f t="shared" si="23"/>
        <v>8.6661618875482382</v>
      </c>
      <c r="CT7" s="511">
        <f t="shared" si="23"/>
        <v>8.6661618875482382</v>
      </c>
      <c r="CU7" s="511">
        <f>CT7</f>
        <v>8.6661618875482382</v>
      </c>
      <c r="CV7" s="511">
        <f t="shared" si="24"/>
        <v>8.6661618875482382</v>
      </c>
      <c r="CW7" s="511">
        <f t="shared" si="25"/>
        <v>8.6661618875482382</v>
      </c>
      <c r="CX7" s="511">
        <f t="shared" si="25"/>
        <v>8.6661618875482382</v>
      </c>
      <c r="CY7" s="837">
        <f>AD7*BB7</f>
        <v>0</v>
      </c>
      <c r="CZ7" s="508">
        <f t="shared" si="27"/>
        <v>0</v>
      </c>
      <c r="DA7" s="508">
        <f t="shared" si="27"/>
        <v>0</v>
      </c>
      <c r="DB7" s="508">
        <f t="shared" si="27"/>
        <v>0</v>
      </c>
      <c r="DC7" s="508">
        <f t="shared" si="27"/>
        <v>0</v>
      </c>
      <c r="DD7" s="508">
        <f t="shared" si="27"/>
        <v>0</v>
      </c>
      <c r="DE7" s="509">
        <f t="shared" si="27"/>
        <v>0</v>
      </c>
      <c r="DF7" s="837">
        <f t="shared" si="28"/>
        <v>0</v>
      </c>
      <c r="DG7" s="508">
        <f t="shared" si="28"/>
        <v>0</v>
      </c>
      <c r="DH7" s="508">
        <f t="shared" si="28"/>
        <v>0</v>
      </c>
      <c r="DI7" s="508">
        <f t="shared" si="28"/>
        <v>0</v>
      </c>
      <c r="DJ7" s="508">
        <f t="shared" si="28"/>
        <v>0</v>
      </c>
      <c r="DK7" s="508">
        <f t="shared" si="28"/>
        <v>0</v>
      </c>
      <c r="DL7" s="450">
        <f t="shared" si="28"/>
        <v>0</v>
      </c>
      <c r="DM7" s="724">
        <f t="shared" ref="DM7:DM11" si="45">AD7*BP7</f>
        <v>0</v>
      </c>
      <c r="DN7" s="508">
        <f t="shared" si="29"/>
        <v>0</v>
      </c>
      <c r="DO7" s="508">
        <f t="shared" si="29"/>
        <v>0</v>
      </c>
      <c r="DP7" s="508">
        <f t="shared" si="29"/>
        <v>0</v>
      </c>
      <c r="DQ7" s="508">
        <f t="shared" si="29"/>
        <v>0</v>
      </c>
      <c r="DR7" s="508">
        <f t="shared" si="29"/>
        <v>0</v>
      </c>
      <c r="DS7" s="725">
        <f t="shared" si="29"/>
        <v>0</v>
      </c>
      <c r="DT7" s="450">
        <f t="shared" si="30"/>
        <v>362999.99999999988</v>
      </c>
      <c r="DU7" s="508">
        <f t="shared" si="30"/>
        <v>362999.99999999988</v>
      </c>
      <c r="DV7" s="508">
        <f t="shared" si="30"/>
        <v>362999.99999999988</v>
      </c>
      <c r="DW7" s="508">
        <f t="shared" si="30"/>
        <v>362999.99999999988</v>
      </c>
      <c r="DX7" s="508">
        <f t="shared" si="30"/>
        <v>362999.99999999988</v>
      </c>
      <c r="DY7" s="508">
        <f t="shared" si="30"/>
        <v>362999.99999999988</v>
      </c>
      <c r="DZ7" s="451">
        <f t="shared" si="30"/>
        <v>362999.99999999988</v>
      </c>
      <c r="EA7" s="507">
        <f t="shared" si="31"/>
        <v>314110.30253416533</v>
      </c>
      <c r="EB7" s="507">
        <f t="shared" si="31"/>
        <v>314110.30253416533</v>
      </c>
      <c r="EC7" s="507">
        <f t="shared" si="31"/>
        <v>314110.30253416533</v>
      </c>
      <c r="ED7" s="507">
        <f t="shared" si="31"/>
        <v>314110.30253416533</v>
      </c>
      <c r="EE7" s="507">
        <f t="shared" si="31"/>
        <v>314110.30253416533</v>
      </c>
      <c r="EF7" s="507">
        <f t="shared" si="31"/>
        <v>314110.30253416533</v>
      </c>
      <c r="EG7" s="452">
        <f t="shared" si="31"/>
        <v>314110.30253416533</v>
      </c>
      <c r="EH7" s="722">
        <f t="shared" si="32"/>
        <v>26.874529093301511</v>
      </c>
      <c r="EI7" s="511">
        <f t="shared" si="32"/>
        <v>26.874529093301511</v>
      </c>
      <c r="EJ7" s="511">
        <f t="shared" si="32"/>
        <v>26.874529093301511</v>
      </c>
      <c r="EK7" s="511">
        <f t="shared" si="32"/>
        <v>26.874529093301511</v>
      </c>
      <c r="EL7" s="511">
        <f t="shared" si="32"/>
        <v>26.874529093301511</v>
      </c>
      <c r="EM7" s="511">
        <f t="shared" si="32"/>
        <v>26.874529093301511</v>
      </c>
      <c r="EN7" s="539">
        <f t="shared" si="32"/>
        <v>26.874529093301511</v>
      </c>
      <c r="EO7" s="838">
        <f t="shared" si="33"/>
        <v>3813.1112305212237</v>
      </c>
      <c r="EP7" s="511">
        <f t="shared" si="33"/>
        <v>3813.1112305212237</v>
      </c>
      <c r="EQ7" s="511">
        <f t="shared" si="33"/>
        <v>3813.1112305212237</v>
      </c>
      <c r="ER7" s="511">
        <f t="shared" si="33"/>
        <v>3813.1112305212237</v>
      </c>
      <c r="ES7" s="511">
        <f t="shared" si="33"/>
        <v>3813.1112305212237</v>
      </c>
      <c r="ET7" s="511">
        <f t="shared" si="33"/>
        <v>3813.1112305212237</v>
      </c>
      <c r="EU7" s="453">
        <f t="shared" si="33"/>
        <v>3813.1112305212237</v>
      </c>
      <c r="EV7" s="727">
        <f t="shared" si="34"/>
        <v>3519.9999999999995</v>
      </c>
      <c r="EW7" s="728">
        <f t="shared" si="35"/>
        <v>0</v>
      </c>
      <c r="EX7" s="728">
        <f t="shared" si="36"/>
        <v>0</v>
      </c>
      <c r="EY7" s="728">
        <f t="shared" si="37"/>
        <v>0</v>
      </c>
      <c r="EZ7" s="728">
        <f t="shared" si="38"/>
        <v>2540999.9999999995</v>
      </c>
      <c r="FA7" s="777">
        <f t="shared" si="39"/>
        <v>2198772.1177391573</v>
      </c>
      <c r="FB7" s="777">
        <f t="shared" si="40"/>
        <v>188.12170365311056</v>
      </c>
      <c r="FC7" s="778">
        <f t="shared" si="41"/>
        <v>26691.778613648563</v>
      </c>
      <c r="FE7" s="10" t="b">
        <f t="shared" si="42"/>
        <v>1</v>
      </c>
      <c r="FF7" s="10" t="b">
        <f t="shared" si="42"/>
        <v>1</v>
      </c>
      <c r="FG7" s="10" t="b">
        <f t="shared" si="42"/>
        <v>1</v>
      </c>
      <c r="FH7" s="10" t="b">
        <f t="shared" si="42"/>
        <v>1</v>
      </c>
      <c r="FI7" s="10" t="b">
        <f t="shared" si="42"/>
        <v>1</v>
      </c>
      <c r="FJ7" s="10" t="b">
        <f t="shared" si="42"/>
        <v>1</v>
      </c>
      <c r="FK7" s="10" t="b">
        <f t="shared" si="42"/>
        <v>1</v>
      </c>
      <c r="FL7" s="10" t="b">
        <f t="shared" si="42"/>
        <v>1</v>
      </c>
    </row>
    <row r="8" spans="1:171" s="556" customFormat="1" ht="12.75" hidden="1" customHeight="1">
      <c r="A8" s="839">
        <v>3</v>
      </c>
      <c r="B8" s="840" t="s">
        <v>748</v>
      </c>
      <c r="C8" s="840" t="s">
        <v>749</v>
      </c>
      <c r="D8" s="840" t="s">
        <v>750</v>
      </c>
      <c r="E8" s="840" t="s">
        <v>331</v>
      </c>
      <c r="F8" s="840" t="s">
        <v>372</v>
      </c>
      <c r="G8" s="841">
        <v>0</v>
      </c>
      <c r="H8" s="841">
        <v>0</v>
      </c>
      <c r="I8" s="841">
        <v>0</v>
      </c>
      <c r="J8" s="841">
        <v>0</v>
      </c>
      <c r="K8" s="841">
        <v>0</v>
      </c>
      <c r="L8" s="842" t="s">
        <v>751</v>
      </c>
      <c r="M8" s="843">
        <v>0</v>
      </c>
      <c r="N8" s="843">
        <v>0</v>
      </c>
      <c r="O8" s="843">
        <v>0</v>
      </c>
      <c r="P8" s="841">
        <v>0</v>
      </c>
      <c r="Q8" s="844">
        <v>0</v>
      </c>
      <c r="R8" s="844">
        <f t="shared" ref="R8:R10" si="46">AVERAGE(O143,O150)</f>
        <v>1.5727978776865969E-3</v>
      </c>
      <c r="S8" s="844">
        <v>0</v>
      </c>
      <c r="T8" s="844" t="s">
        <v>752</v>
      </c>
      <c r="U8" s="845"/>
      <c r="V8" s="846"/>
      <c r="W8" s="844"/>
      <c r="X8" s="844"/>
      <c r="Y8" s="844"/>
      <c r="Z8" s="844"/>
      <c r="AA8" s="844"/>
      <c r="AB8" s="844"/>
      <c r="AC8" s="844"/>
      <c r="AD8" s="844">
        <v>0</v>
      </c>
      <c r="AE8" s="844">
        <v>0</v>
      </c>
      <c r="AF8" s="844">
        <v>0</v>
      </c>
      <c r="AG8" s="844">
        <v>0</v>
      </c>
      <c r="AH8" s="844">
        <v>0</v>
      </c>
      <c r="AI8" s="844">
        <v>0</v>
      </c>
      <c r="AJ8" s="844">
        <v>0</v>
      </c>
      <c r="AK8" s="847" t="s">
        <v>374</v>
      </c>
      <c r="AL8" s="847" t="s">
        <v>375</v>
      </c>
      <c r="AM8" s="847" t="s">
        <v>743</v>
      </c>
      <c r="AN8" s="847" t="s">
        <v>753</v>
      </c>
      <c r="AO8" s="847" t="s">
        <v>1</v>
      </c>
      <c r="AP8" s="847" t="s">
        <v>378</v>
      </c>
      <c r="AQ8" s="847" t="s">
        <v>378</v>
      </c>
      <c r="AR8" s="847" t="s">
        <v>378</v>
      </c>
      <c r="AS8" s="848" t="s">
        <v>754</v>
      </c>
      <c r="AT8" s="848" t="s">
        <v>755</v>
      </c>
      <c r="AU8" s="847" t="s">
        <v>746</v>
      </c>
      <c r="AV8" s="839">
        <v>10</v>
      </c>
      <c r="AW8" s="839">
        <v>10</v>
      </c>
      <c r="AX8" s="847" t="s">
        <v>756</v>
      </c>
      <c r="AY8" s="849">
        <v>1</v>
      </c>
      <c r="AZ8" s="849">
        <v>1</v>
      </c>
      <c r="BA8" s="850">
        <v>1</v>
      </c>
      <c r="BB8" s="851">
        <f t="shared" si="4"/>
        <v>0</v>
      </c>
      <c r="BC8" s="852">
        <f t="shared" ref="BC8:BE10" si="47">BB8</f>
        <v>0</v>
      </c>
      <c r="BD8" s="852">
        <f t="shared" si="47"/>
        <v>0</v>
      </c>
      <c r="BE8" s="852">
        <f t="shared" si="47"/>
        <v>0</v>
      </c>
      <c r="BF8" s="852">
        <f t="shared" ref="BF8:BH10" si="48">BC8</f>
        <v>0</v>
      </c>
      <c r="BG8" s="852">
        <f t="shared" si="48"/>
        <v>0</v>
      </c>
      <c r="BH8" s="852">
        <f t="shared" si="48"/>
        <v>0</v>
      </c>
      <c r="BI8" s="851">
        <f t="shared" si="5"/>
        <v>0</v>
      </c>
      <c r="BJ8" s="852">
        <f t="shared" ref="BJ8:BL10" si="49">BI8</f>
        <v>0</v>
      </c>
      <c r="BK8" s="852">
        <f t="shared" si="49"/>
        <v>0</v>
      </c>
      <c r="BL8" s="852">
        <f t="shared" si="49"/>
        <v>0</v>
      </c>
      <c r="BM8" s="852">
        <f t="shared" si="7"/>
        <v>0</v>
      </c>
      <c r="BN8" s="852">
        <f>BM8</f>
        <v>0</v>
      </c>
      <c r="BO8" s="852">
        <f t="shared" si="9"/>
        <v>0</v>
      </c>
      <c r="BP8" s="851">
        <f t="shared" si="10"/>
        <v>0</v>
      </c>
      <c r="BQ8" s="852">
        <f t="shared" si="11"/>
        <v>0</v>
      </c>
      <c r="BR8" s="852">
        <f t="shared" ref="BR8:BS10" si="50">BQ8</f>
        <v>0</v>
      </c>
      <c r="BS8" s="852">
        <f t="shared" si="50"/>
        <v>0</v>
      </c>
      <c r="BT8" s="852">
        <f t="shared" si="13"/>
        <v>0</v>
      </c>
      <c r="BU8" s="852">
        <f t="shared" ref="BU8:BV10" si="51">BT8</f>
        <v>0</v>
      </c>
      <c r="BV8" s="852">
        <f t="shared" si="51"/>
        <v>0</v>
      </c>
      <c r="BW8" s="853">
        <f>$P8</f>
        <v>0</v>
      </c>
      <c r="BX8" s="854">
        <f t="shared" ref="BX8:CC10" si="52">$P8</f>
        <v>0</v>
      </c>
      <c r="BY8" s="854">
        <f t="shared" si="52"/>
        <v>0</v>
      </c>
      <c r="BZ8" s="854">
        <f t="shared" si="52"/>
        <v>0</v>
      </c>
      <c r="CA8" s="854">
        <f t="shared" si="52"/>
        <v>0</v>
      </c>
      <c r="CB8" s="854">
        <f t="shared" si="52"/>
        <v>0</v>
      </c>
      <c r="CC8" s="854">
        <f t="shared" si="52"/>
        <v>0</v>
      </c>
      <c r="CD8" s="855">
        <f t="shared" si="16"/>
        <v>0</v>
      </c>
      <c r="CE8" s="856">
        <f t="shared" si="17"/>
        <v>0</v>
      </c>
      <c r="CF8" s="856">
        <f t="shared" si="17"/>
        <v>0</v>
      </c>
      <c r="CG8" s="856">
        <f t="shared" si="17"/>
        <v>0</v>
      </c>
      <c r="CH8" s="856">
        <f t="shared" si="17"/>
        <v>0</v>
      </c>
      <c r="CI8" s="856">
        <f t="shared" si="17"/>
        <v>0</v>
      </c>
      <c r="CJ8" s="856">
        <f t="shared" si="17"/>
        <v>0</v>
      </c>
      <c r="CK8" s="855">
        <f t="shared" si="18"/>
        <v>1.5727978776865969E-3</v>
      </c>
      <c r="CL8" s="856">
        <f t="shared" ref="CL8:CN10" si="53">CK8</f>
        <v>1.5727978776865969E-3</v>
      </c>
      <c r="CM8" s="856">
        <f t="shared" si="53"/>
        <v>1.5727978776865969E-3</v>
      </c>
      <c r="CN8" s="856">
        <f t="shared" si="53"/>
        <v>1.5727978776865969E-3</v>
      </c>
      <c r="CO8" s="856">
        <f t="shared" si="20"/>
        <v>1.5727978776865969E-3</v>
      </c>
      <c r="CP8" s="856">
        <f t="shared" ref="CP8:CQ10" si="54">CO8</f>
        <v>1.5727978776865969E-3</v>
      </c>
      <c r="CQ8" s="856">
        <f t="shared" si="54"/>
        <v>1.5727978776865969E-3</v>
      </c>
      <c r="CR8" s="855">
        <f t="shared" si="22"/>
        <v>0</v>
      </c>
      <c r="CS8" s="856">
        <f t="shared" ref="CS8:CT10" si="55">CR8</f>
        <v>0</v>
      </c>
      <c r="CT8" s="856">
        <f t="shared" si="55"/>
        <v>0</v>
      </c>
      <c r="CU8" s="856">
        <f>CT8</f>
        <v>0</v>
      </c>
      <c r="CV8" s="856">
        <f t="shared" si="24"/>
        <v>0</v>
      </c>
      <c r="CW8" s="856">
        <f t="shared" ref="CW8:CX10" si="56">CV8</f>
        <v>0</v>
      </c>
      <c r="CX8" s="856">
        <f t="shared" si="56"/>
        <v>0</v>
      </c>
      <c r="CY8" s="857">
        <f>AD8*BB8</f>
        <v>0</v>
      </c>
      <c r="CZ8" s="858">
        <f t="shared" si="27"/>
        <v>0</v>
      </c>
      <c r="DA8" s="858">
        <f t="shared" si="27"/>
        <v>0</v>
      </c>
      <c r="DB8" s="858">
        <f t="shared" si="27"/>
        <v>0</v>
      </c>
      <c r="DC8" s="858">
        <f t="shared" si="27"/>
        <v>0</v>
      </c>
      <c r="DD8" s="858">
        <f t="shared" si="27"/>
        <v>0</v>
      </c>
      <c r="DE8" s="859">
        <f t="shared" si="27"/>
        <v>0</v>
      </c>
      <c r="DF8" s="857">
        <f t="shared" si="28"/>
        <v>0</v>
      </c>
      <c r="DG8" s="858">
        <f t="shared" si="28"/>
        <v>0</v>
      </c>
      <c r="DH8" s="858">
        <f t="shared" si="28"/>
        <v>0</v>
      </c>
      <c r="DI8" s="858">
        <f t="shared" si="28"/>
        <v>0</v>
      </c>
      <c r="DJ8" s="858">
        <f t="shared" si="28"/>
        <v>0</v>
      </c>
      <c r="DK8" s="858">
        <f t="shared" si="28"/>
        <v>0</v>
      </c>
      <c r="DL8" s="552">
        <f t="shared" si="28"/>
        <v>0</v>
      </c>
      <c r="DM8" s="860">
        <f t="shared" si="45"/>
        <v>0</v>
      </c>
      <c r="DN8" s="858">
        <f t="shared" si="29"/>
        <v>0</v>
      </c>
      <c r="DO8" s="858">
        <f t="shared" si="29"/>
        <v>0</v>
      </c>
      <c r="DP8" s="858">
        <f t="shared" si="29"/>
        <v>0</v>
      </c>
      <c r="DQ8" s="858">
        <f t="shared" si="29"/>
        <v>0</v>
      </c>
      <c r="DR8" s="858">
        <f t="shared" si="29"/>
        <v>0</v>
      </c>
      <c r="DS8" s="861">
        <f t="shared" si="29"/>
        <v>0</v>
      </c>
      <c r="DT8" s="552">
        <f t="shared" si="30"/>
        <v>0</v>
      </c>
      <c r="DU8" s="858">
        <f t="shared" si="30"/>
        <v>0</v>
      </c>
      <c r="DV8" s="858">
        <f t="shared" si="30"/>
        <v>0</v>
      </c>
      <c r="DW8" s="858">
        <f t="shared" si="30"/>
        <v>0</v>
      </c>
      <c r="DX8" s="858">
        <f t="shared" si="30"/>
        <v>0</v>
      </c>
      <c r="DY8" s="858">
        <f t="shared" si="30"/>
        <v>0</v>
      </c>
      <c r="DZ8" s="553">
        <f t="shared" si="30"/>
        <v>0</v>
      </c>
      <c r="EA8" s="862">
        <f t="shared" si="31"/>
        <v>0</v>
      </c>
      <c r="EB8" s="862">
        <f t="shared" si="31"/>
        <v>0</v>
      </c>
      <c r="EC8" s="862">
        <f t="shared" si="31"/>
        <v>0</v>
      </c>
      <c r="ED8" s="862">
        <f t="shared" si="31"/>
        <v>0</v>
      </c>
      <c r="EE8" s="862">
        <f t="shared" si="31"/>
        <v>0</v>
      </c>
      <c r="EF8" s="862">
        <f t="shared" si="31"/>
        <v>0</v>
      </c>
      <c r="EG8" s="554">
        <f t="shared" si="31"/>
        <v>0</v>
      </c>
      <c r="EH8" s="855">
        <f t="shared" si="32"/>
        <v>0</v>
      </c>
      <c r="EI8" s="856">
        <f t="shared" si="32"/>
        <v>0</v>
      </c>
      <c r="EJ8" s="856">
        <f t="shared" si="32"/>
        <v>0</v>
      </c>
      <c r="EK8" s="856">
        <f t="shared" si="32"/>
        <v>0</v>
      </c>
      <c r="EL8" s="856">
        <f t="shared" si="32"/>
        <v>0</v>
      </c>
      <c r="EM8" s="856">
        <f t="shared" si="32"/>
        <v>0</v>
      </c>
      <c r="EN8" s="863">
        <f t="shared" si="32"/>
        <v>0</v>
      </c>
      <c r="EO8" s="864">
        <f t="shared" si="33"/>
        <v>0</v>
      </c>
      <c r="EP8" s="856">
        <f t="shared" si="33"/>
        <v>0</v>
      </c>
      <c r="EQ8" s="856">
        <f t="shared" si="33"/>
        <v>0</v>
      </c>
      <c r="ER8" s="856">
        <f t="shared" si="33"/>
        <v>0</v>
      </c>
      <c r="ES8" s="856">
        <f t="shared" si="33"/>
        <v>0</v>
      </c>
      <c r="ET8" s="856">
        <f t="shared" si="33"/>
        <v>0</v>
      </c>
      <c r="EU8" s="555">
        <f t="shared" si="33"/>
        <v>0</v>
      </c>
      <c r="EV8" s="865">
        <f t="shared" si="34"/>
        <v>0</v>
      </c>
      <c r="EW8" s="866">
        <f t="shared" si="35"/>
        <v>0</v>
      </c>
      <c r="EX8" s="866">
        <f t="shared" si="36"/>
        <v>0</v>
      </c>
      <c r="EY8" s="866">
        <f t="shared" si="37"/>
        <v>0</v>
      </c>
      <c r="EZ8" s="866">
        <f t="shared" si="38"/>
        <v>0</v>
      </c>
      <c r="FA8" s="867">
        <f t="shared" si="39"/>
        <v>0</v>
      </c>
      <c r="FB8" s="867">
        <f t="shared" si="40"/>
        <v>0</v>
      </c>
      <c r="FC8" s="868">
        <f t="shared" si="41"/>
        <v>0</v>
      </c>
      <c r="FL8" s="10" t="b">
        <f t="shared" si="42"/>
        <v>1</v>
      </c>
    </row>
    <row r="9" spans="1:171" s="556" customFormat="1" ht="12.75" hidden="1" customHeight="1">
      <c r="A9" s="839">
        <v>4</v>
      </c>
      <c r="B9" s="840" t="s">
        <v>757</v>
      </c>
      <c r="C9" s="840" t="s">
        <v>758</v>
      </c>
      <c r="D9" s="840" t="s">
        <v>750</v>
      </c>
      <c r="E9" s="840" t="s">
        <v>331</v>
      </c>
      <c r="F9" s="840" t="s">
        <v>372</v>
      </c>
      <c r="G9" s="841">
        <v>0</v>
      </c>
      <c r="H9" s="841">
        <v>0</v>
      </c>
      <c r="I9" s="841">
        <v>0</v>
      </c>
      <c r="J9" s="841">
        <v>0</v>
      </c>
      <c r="K9" s="841">
        <v>0</v>
      </c>
      <c r="L9" s="842" t="s">
        <v>751</v>
      </c>
      <c r="M9" s="843">
        <v>0</v>
      </c>
      <c r="N9" s="843">
        <v>0</v>
      </c>
      <c r="O9" s="843">
        <v>0</v>
      </c>
      <c r="P9" s="841">
        <v>0</v>
      </c>
      <c r="Q9" s="844">
        <v>0</v>
      </c>
      <c r="R9" s="844">
        <f t="shared" si="46"/>
        <v>1.1993826010613807E-3</v>
      </c>
      <c r="S9" s="844">
        <v>0</v>
      </c>
      <c r="T9" s="844" t="s">
        <v>752</v>
      </c>
      <c r="U9" s="845"/>
      <c r="V9" s="846"/>
      <c r="W9" s="844"/>
      <c r="X9" s="844"/>
      <c r="Y9" s="844"/>
      <c r="Z9" s="844"/>
      <c r="AA9" s="844"/>
      <c r="AB9" s="844"/>
      <c r="AC9" s="844"/>
      <c r="AD9" s="844">
        <v>0</v>
      </c>
      <c r="AE9" s="844">
        <v>0</v>
      </c>
      <c r="AF9" s="844">
        <v>0</v>
      </c>
      <c r="AG9" s="844">
        <v>0</v>
      </c>
      <c r="AH9" s="844">
        <v>0</v>
      </c>
      <c r="AI9" s="844">
        <v>0</v>
      </c>
      <c r="AJ9" s="844">
        <v>0</v>
      </c>
      <c r="AK9" s="847" t="s">
        <v>374</v>
      </c>
      <c r="AL9" s="847" t="s">
        <v>375</v>
      </c>
      <c r="AM9" s="847" t="s">
        <v>743</v>
      </c>
      <c r="AN9" s="847" t="s">
        <v>753</v>
      </c>
      <c r="AO9" s="847" t="s">
        <v>1</v>
      </c>
      <c r="AP9" s="847" t="s">
        <v>378</v>
      </c>
      <c r="AQ9" s="847" t="s">
        <v>378</v>
      </c>
      <c r="AR9" s="847" t="s">
        <v>378</v>
      </c>
      <c r="AS9" s="848" t="s">
        <v>754</v>
      </c>
      <c r="AT9" s="848" t="s">
        <v>755</v>
      </c>
      <c r="AU9" s="847" t="s">
        <v>746</v>
      </c>
      <c r="AV9" s="839">
        <v>10</v>
      </c>
      <c r="AW9" s="839">
        <v>10</v>
      </c>
      <c r="AX9" s="847" t="s">
        <v>756</v>
      </c>
      <c r="AY9" s="849">
        <v>1</v>
      </c>
      <c r="AZ9" s="849">
        <v>1</v>
      </c>
      <c r="BA9" s="850">
        <v>1</v>
      </c>
      <c r="BB9" s="851">
        <f t="shared" si="4"/>
        <v>0</v>
      </c>
      <c r="BC9" s="852">
        <f t="shared" si="47"/>
        <v>0</v>
      </c>
      <c r="BD9" s="852">
        <f t="shared" si="47"/>
        <v>0</v>
      </c>
      <c r="BE9" s="852">
        <f t="shared" si="47"/>
        <v>0</v>
      </c>
      <c r="BF9" s="852">
        <f t="shared" si="48"/>
        <v>0</v>
      </c>
      <c r="BG9" s="852">
        <f t="shared" si="48"/>
        <v>0</v>
      </c>
      <c r="BH9" s="852">
        <f t="shared" si="48"/>
        <v>0</v>
      </c>
      <c r="BI9" s="851">
        <f t="shared" si="5"/>
        <v>0</v>
      </c>
      <c r="BJ9" s="852">
        <f t="shared" si="49"/>
        <v>0</v>
      </c>
      <c r="BK9" s="852">
        <f t="shared" si="49"/>
        <v>0</v>
      </c>
      <c r="BL9" s="852">
        <f t="shared" si="49"/>
        <v>0</v>
      </c>
      <c r="BM9" s="852">
        <f t="shared" si="7"/>
        <v>0</v>
      </c>
      <c r="BN9" s="852">
        <f>BM9</f>
        <v>0</v>
      </c>
      <c r="BO9" s="852">
        <f t="shared" si="9"/>
        <v>0</v>
      </c>
      <c r="BP9" s="851">
        <f t="shared" si="10"/>
        <v>0</v>
      </c>
      <c r="BQ9" s="852">
        <f t="shared" si="11"/>
        <v>0</v>
      </c>
      <c r="BR9" s="852">
        <f t="shared" si="50"/>
        <v>0</v>
      </c>
      <c r="BS9" s="852">
        <f t="shared" si="50"/>
        <v>0</v>
      </c>
      <c r="BT9" s="852">
        <f t="shared" si="13"/>
        <v>0</v>
      </c>
      <c r="BU9" s="852">
        <f t="shared" si="51"/>
        <v>0</v>
      </c>
      <c r="BV9" s="852">
        <f t="shared" si="51"/>
        <v>0</v>
      </c>
      <c r="BW9" s="853">
        <f>$P9</f>
        <v>0</v>
      </c>
      <c r="BX9" s="854">
        <f t="shared" si="52"/>
        <v>0</v>
      </c>
      <c r="BY9" s="854">
        <f t="shared" si="52"/>
        <v>0</v>
      </c>
      <c r="BZ9" s="854">
        <f t="shared" si="52"/>
        <v>0</v>
      </c>
      <c r="CA9" s="854">
        <f t="shared" si="52"/>
        <v>0</v>
      </c>
      <c r="CB9" s="854">
        <f t="shared" si="52"/>
        <v>0</v>
      </c>
      <c r="CC9" s="854">
        <f t="shared" si="52"/>
        <v>0</v>
      </c>
      <c r="CD9" s="855">
        <f t="shared" si="16"/>
        <v>0</v>
      </c>
      <c r="CE9" s="856">
        <f t="shared" si="17"/>
        <v>0</v>
      </c>
      <c r="CF9" s="856">
        <f t="shared" si="17"/>
        <v>0</v>
      </c>
      <c r="CG9" s="856">
        <f t="shared" si="17"/>
        <v>0</v>
      </c>
      <c r="CH9" s="856">
        <f t="shared" si="17"/>
        <v>0</v>
      </c>
      <c r="CI9" s="856">
        <f t="shared" si="17"/>
        <v>0</v>
      </c>
      <c r="CJ9" s="856">
        <f t="shared" si="17"/>
        <v>0</v>
      </c>
      <c r="CK9" s="855">
        <f t="shared" si="18"/>
        <v>1.1993826010613807E-3</v>
      </c>
      <c r="CL9" s="856">
        <f t="shared" si="53"/>
        <v>1.1993826010613807E-3</v>
      </c>
      <c r="CM9" s="856">
        <f t="shared" si="53"/>
        <v>1.1993826010613807E-3</v>
      </c>
      <c r="CN9" s="856">
        <f t="shared" si="53"/>
        <v>1.1993826010613807E-3</v>
      </c>
      <c r="CO9" s="856">
        <f t="shared" si="20"/>
        <v>1.1993826010613807E-3</v>
      </c>
      <c r="CP9" s="856">
        <f t="shared" si="54"/>
        <v>1.1993826010613807E-3</v>
      </c>
      <c r="CQ9" s="856">
        <f t="shared" si="54"/>
        <v>1.1993826010613807E-3</v>
      </c>
      <c r="CR9" s="855">
        <f t="shared" si="22"/>
        <v>0</v>
      </c>
      <c r="CS9" s="856">
        <f t="shared" si="55"/>
        <v>0</v>
      </c>
      <c r="CT9" s="856">
        <f t="shared" si="55"/>
        <v>0</v>
      </c>
      <c r="CU9" s="856">
        <f>CT9</f>
        <v>0</v>
      </c>
      <c r="CV9" s="856">
        <f t="shared" si="24"/>
        <v>0</v>
      </c>
      <c r="CW9" s="856">
        <f t="shared" si="56"/>
        <v>0</v>
      </c>
      <c r="CX9" s="856">
        <f t="shared" si="56"/>
        <v>0</v>
      </c>
      <c r="CY9" s="857">
        <f>AD9*BB9</f>
        <v>0</v>
      </c>
      <c r="CZ9" s="858">
        <f t="shared" si="27"/>
        <v>0</v>
      </c>
      <c r="DA9" s="858">
        <f t="shared" si="27"/>
        <v>0</v>
      </c>
      <c r="DB9" s="858">
        <f t="shared" si="27"/>
        <v>0</v>
      </c>
      <c r="DC9" s="858">
        <f t="shared" si="27"/>
        <v>0</v>
      </c>
      <c r="DD9" s="858">
        <f t="shared" si="27"/>
        <v>0</v>
      </c>
      <c r="DE9" s="859">
        <f t="shared" si="27"/>
        <v>0</v>
      </c>
      <c r="DF9" s="857">
        <f t="shared" si="28"/>
        <v>0</v>
      </c>
      <c r="DG9" s="858">
        <f t="shared" si="28"/>
        <v>0</v>
      </c>
      <c r="DH9" s="858">
        <f t="shared" si="28"/>
        <v>0</v>
      </c>
      <c r="DI9" s="858">
        <f t="shared" si="28"/>
        <v>0</v>
      </c>
      <c r="DJ9" s="858">
        <f t="shared" si="28"/>
        <v>0</v>
      </c>
      <c r="DK9" s="858">
        <f t="shared" si="28"/>
        <v>0</v>
      </c>
      <c r="DL9" s="552">
        <f t="shared" si="28"/>
        <v>0</v>
      </c>
      <c r="DM9" s="860">
        <f t="shared" si="45"/>
        <v>0</v>
      </c>
      <c r="DN9" s="858">
        <f t="shared" si="29"/>
        <v>0</v>
      </c>
      <c r="DO9" s="858">
        <f t="shared" si="29"/>
        <v>0</v>
      </c>
      <c r="DP9" s="858">
        <f t="shared" si="29"/>
        <v>0</v>
      </c>
      <c r="DQ9" s="858">
        <f t="shared" si="29"/>
        <v>0</v>
      </c>
      <c r="DR9" s="858">
        <f t="shared" si="29"/>
        <v>0</v>
      </c>
      <c r="DS9" s="861">
        <f t="shared" si="29"/>
        <v>0</v>
      </c>
      <c r="DT9" s="552">
        <f t="shared" si="30"/>
        <v>0</v>
      </c>
      <c r="DU9" s="858">
        <f t="shared" si="30"/>
        <v>0</v>
      </c>
      <c r="DV9" s="858">
        <f t="shared" si="30"/>
        <v>0</v>
      </c>
      <c r="DW9" s="858">
        <f t="shared" si="30"/>
        <v>0</v>
      </c>
      <c r="DX9" s="858">
        <f t="shared" si="30"/>
        <v>0</v>
      </c>
      <c r="DY9" s="858">
        <f t="shared" si="30"/>
        <v>0</v>
      </c>
      <c r="DZ9" s="553">
        <f t="shared" si="30"/>
        <v>0</v>
      </c>
      <c r="EA9" s="862">
        <f t="shared" si="31"/>
        <v>0</v>
      </c>
      <c r="EB9" s="862">
        <f t="shared" si="31"/>
        <v>0</v>
      </c>
      <c r="EC9" s="862">
        <f t="shared" si="31"/>
        <v>0</v>
      </c>
      <c r="ED9" s="862">
        <f t="shared" si="31"/>
        <v>0</v>
      </c>
      <c r="EE9" s="862">
        <f t="shared" si="31"/>
        <v>0</v>
      </c>
      <c r="EF9" s="862">
        <f t="shared" si="31"/>
        <v>0</v>
      </c>
      <c r="EG9" s="554">
        <f t="shared" si="31"/>
        <v>0</v>
      </c>
      <c r="EH9" s="855">
        <f t="shared" si="32"/>
        <v>0</v>
      </c>
      <c r="EI9" s="856">
        <f t="shared" si="32"/>
        <v>0</v>
      </c>
      <c r="EJ9" s="856">
        <f t="shared" si="32"/>
        <v>0</v>
      </c>
      <c r="EK9" s="856">
        <f t="shared" si="32"/>
        <v>0</v>
      </c>
      <c r="EL9" s="856">
        <f t="shared" si="32"/>
        <v>0</v>
      </c>
      <c r="EM9" s="856">
        <f t="shared" si="32"/>
        <v>0</v>
      </c>
      <c r="EN9" s="863">
        <f t="shared" si="32"/>
        <v>0</v>
      </c>
      <c r="EO9" s="864">
        <f t="shared" si="33"/>
        <v>0</v>
      </c>
      <c r="EP9" s="856">
        <f t="shared" si="33"/>
        <v>0</v>
      </c>
      <c r="EQ9" s="856">
        <f t="shared" si="33"/>
        <v>0</v>
      </c>
      <c r="ER9" s="856">
        <f t="shared" si="33"/>
        <v>0</v>
      </c>
      <c r="ES9" s="856">
        <f t="shared" si="33"/>
        <v>0</v>
      </c>
      <c r="ET9" s="856">
        <f t="shared" si="33"/>
        <v>0</v>
      </c>
      <c r="EU9" s="555">
        <f t="shared" si="33"/>
        <v>0</v>
      </c>
      <c r="EV9" s="865">
        <f t="shared" si="34"/>
        <v>0</v>
      </c>
      <c r="EW9" s="866">
        <f t="shared" si="35"/>
        <v>0</v>
      </c>
      <c r="EX9" s="866">
        <f t="shared" si="36"/>
        <v>0</v>
      </c>
      <c r="EY9" s="866">
        <f t="shared" si="37"/>
        <v>0</v>
      </c>
      <c r="EZ9" s="866">
        <f t="shared" si="38"/>
        <v>0</v>
      </c>
      <c r="FA9" s="867">
        <f t="shared" si="39"/>
        <v>0</v>
      </c>
      <c r="FB9" s="867">
        <f t="shared" si="40"/>
        <v>0</v>
      </c>
      <c r="FC9" s="868">
        <f t="shared" si="41"/>
        <v>0</v>
      </c>
      <c r="FL9" s="10" t="b">
        <f t="shared" si="42"/>
        <v>1</v>
      </c>
    </row>
    <row r="10" spans="1:171" s="556" customFormat="1" ht="12.75" hidden="1" customHeight="1">
      <c r="A10" s="839">
        <v>5</v>
      </c>
      <c r="B10" s="840" t="s">
        <v>759</v>
      </c>
      <c r="C10" s="840" t="s">
        <v>760</v>
      </c>
      <c r="D10" s="840" t="s">
        <v>761</v>
      </c>
      <c r="E10" s="840" t="s">
        <v>331</v>
      </c>
      <c r="F10" s="840" t="s">
        <v>372</v>
      </c>
      <c r="G10" s="841">
        <v>0</v>
      </c>
      <c r="H10" s="841">
        <v>0</v>
      </c>
      <c r="I10" s="841">
        <v>0</v>
      </c>
      <c r="J10" s="841">
        <v>0</v>
      </c>
      <c r="K10" s="841">
        <v>0</v>
      </c>
      <c r="L10" s="842" t="s">
        <v>751</v>
      </c>
      <c r="M10" s="843">
        <v>0</v>
      </c>
      <c r="N10" s="843">
        <v>0</v>
      </c>
      <c r="O10" s="843">
        <v>0</v>
      </c>
      <c r="P10" s="841">
        <v>0</v>
      </c>
      <c r="Q10" s="844">
        <v>0</v>
      </c>
      <c r="R10" s="844">
        <f t="shared" si="46"/>
        <v>9.3813961019929698E-3</v>
      </c>
      <c r="S10" s="844">
        <v>0</v>
      </c>
      <c r="T10" s="841" t="s">
        <v>762</v>
      </c>
      <c r="U10" s="845"/>
      <c r="V10" s="846"/>
      <c r="W10" s="844"/>
      <c r="X10" s="844"/>
      <c r="Y10" s="844"/>
      <c r="Z10" s="844"/>
      <c r="AA10" s="844"/>
      <c r="AB10" s="844"/>
      <c r="AC10" s="844"/>
      <c r="AD10" s="844">
        <v>0</v>
      </c>
      <c r="AE10" s="844">
        <v>0</v>
      </c>
      <c r="AF10" s="844">
        <v>0</v>
      </c>
      <c r="AG10" s="844">
        <v>0</v>
      </c>
      <c r="AH10" s="844">
        <v>0</v>
      </c>
      <c r="AI10" s="844">
        <v>0</v>
      </c>
      <c r="AJ10" s="844">
        <v>0</v>
      </c>
      <c r="AK10" s="847" t="s">
        <v>374</v>
      </c>
      <c r="AL10" s="847" t="s">
        <v>375</v>
      </c>
      <c r="AM10" s="847" t="s">
        <v>743</v>
      </c>
      <c r="AN10" s="847" t="s">
        <v>753</v>
      </c>
      <c r="AO10" s="847" t="s">
        <v>1</v>
      </c>
      <c r="AP10" s="847" t="s">
        <v>378</v>
      </c>
      <c r="AQ10" s="847" t="s">
        <v>378</v>
      </c>
      <c r="AR10" s="847" t="s">
        <v>378</v>
      </c>
      <c r="AS10" s="848" t="s">
        <v>754</v>
      </c>
      <c r="AT10" s="848" t="s">
        <v>755</v>
      </c>
      <c r="AU10" s="847" t="s">
        <v>746</v>
      </c>
      <c r="AV10" s="839">
        <v>10</v>
      </c>
      <c r="AW10" s="839">
        <v>10</v>
      </c>
      <c r="AX10" s="847" t="s">
        <v>756</v>
      </c>
      <c r="AY10" s="849">
        <v>1</v>
      </c>
      <c r="AZ10" s="849">
        <v>1</v>
      </c>
      <c r="BA10" s="850">
        <v>1</v>
      </c>
      <c r="BB10" s="851">
        <f t="shared" si="4"/>
        <v>0</v>
      </c>
      <c r="BC10" s="852">
        <f t="shared" si="47"/>
        <v>0</v>
      </c>
      <c r="BD10" s="852">
        <f t="shared" si="47"/>
        <v>0</v>
      </c>
      <c r="BE10" s="852">
        <f t="shared" si="47"/>
        <v>0</v>
      </c>
      <c r="BF10" s="852">
        <f t="shared" si="48"/>
        <v>0</v>
      </c>
      <c r="BG10" s="852">
        <f t="shared" si="48"/>
        <v>0</v>
      </c>
      <c r="BH10" s="852">
        <f t="shared" si="48"/>
        <v>0</v>
      </c>
      <c r="BI10" s="851">
        <f t="shared" si="5"/>
        <v>0</v>
      </c>
      <c r="BJ10" s="852">
        <f t="shared" si="49"/>
        <v>0</v>
      </c>
      <c r="BK10" s="852">
        <f t="shared" si="49"/>
        <v>0</v>
      </c>
      <c r="BL10" s="852">
        <f t="shared" si="49"/>
        <v>0</v>
      </c>
      <c r="BM10" s="852">
        <f t="shared" si="7"/>
        <v>0</v>
      </c>
      <c r="BN10" s="852">
        <f>BM10</f>
        <v>0</v>
      </c>
      <c r="BO10" s="852">
        <f t="shared" si="9"/>
        <v>0</v>
      </c>
      <c r="BP10" s="851">
        <f t="shared" si="10"/>
        <v>0</v>
      </c>
      <c r="BQ10" s="852">
        <f t="shared" si="11"/>
        <v>0</v>
      </c>
      <c r="BR10" s="852">
        <f t="shared" si="50"/>
        <v>0</v>
      </c>
      <c r="BS10" s="852">
        <f t="shared" si="50"/>
        <v>0</v>
      </c>
      <c r="BT10" s="852">
        <f t="shared" si="13"/>
        <v>0</v>
      </c>
      <c r="BU10" s="852">
        <f t="shared" si="51"/>
        <v>0</v>
      </c>
      <c r="BV10" s="852">
        <f t="shared" si="51"/>
        <v>0</v>
      </c>
      <c r="BW10" s="853">
        <f>$P10</f>
        <v>0</v>
      </c>
      <c r="BX10" s="854">
        <f t="shared" si="52"/>
        <v>0</v>
      </c>
      <c r="BY10" s="854">
        <f t="shared" si="52"/>
        <v>0</v>
      </c>
      <c r="BZ10" s="854">
        <f t="shared" si="52"/>
        <v>0</v>
      </c>
      <c r="CA10" s="854">
        <f t="shared" si="52"/>
        <v>0</v>
      </c>
      <c r="CB10" s="854">
        <f t="shared" si="52"/>
        <v>0</v>
      </c>
      <c r="CC10" s="854">
        <f t="shared" si="52"/>
        <v>0</v>
      </c>
      <c r="CD10" s="855">
        <f t="shared" si="16"/>
        <v>0</v>
      </c>
      <c r="CE10" s="856">
        <f t="shared" si="17"/>
        <v>0</v>
      </c>
      <c r="CF10" s="856">
        <f t="shared" si="17"/>
        <v>0</v>
      </c>
      <c r="CG10" s="856">
        <f t="shared" si="17"/>
        <v>0</v>
      </c>
      <c r="CH10" s="856">
        <f t="shared" si="17"/>
        <v>0</v>
      </c>
      <c r="CI10" s="856">
        <f t="shared" si="17"/>
        <v>0</v>
      </c>
      <c r="CJ10" s="856">
        <f t="shared" si="17"/>
        <v>0</v>
      </c>
      <c r="CK10" s="855">
        <f t="shared" si="18"/>
        <v>9.3813961019929698E-3</v>
      </c>
      <c r="CL10" s="856">
        <f t="shared" si="53"/>
        <v>9.3813961019929698E-3</v>
      </c>
      <c r="CM10" s="856">
        <f t="shared" si="53"/>
        <v>9.3813961019929698E-3</v>
      </c>
      <c r="CN10" s="856">
        <f t="shared" si="53"/>
        <v>9.3813961019929698E-3</v>
      </c>
      <c r="CO10" s="856">
        <f t="shared" si="20"/>
        <v>9.3813961019929698E-3</v>
      </c>
      <c r="CP10" s="856">
        <f t="shared" si="54"/>
        <v>9.3813961019929698E-3</v>
      </c>
      <c r="CQ10" s="856">
        <f t="shared" si="54"/>
        <v>9.3813961019929698E-3</v>
      </c>
      <c r="CR10" s="855">
        <f t="shared" si="22"/>
        <v>0</v>
      </c>
      <c r="CS10" s="856">
        <f t="shared" si="55"/>
        <v>0</v>
      </c>
      <c r="CT10" s="856">
        <f t="shared" si="55"/>
        <v>0</v>
      </c>
      <c r="CU10" s="856">
        <f>CT10</f>
        <v>0</v>
      </c>
      <c r="CV10" s="856">
        <f t="shared" si="24"/>
        <v>0</v>
      </c>
      <c r="CW10" s="856">
        <f t="shared" si="56"/>
        <v>0</v>
      </c>
      <c r="CX10" s="856">
        <f t="shared" si="56"/>
        <v>0</v>
      </c>
      <c r="CY10" s="857">
        <f>AD10*BB10</f>
        <v>0</v>
      </c>
      <c r="CZ10" s="858">
        <f t="shared" si="27"/>
        <v>0</v>
      </c>
      <c r="DA10" s="858">
        <f t="shared" si="27"/>
        <v>0</v>
      </c>
      <c r="DB10" s="858">
        <f t="shared" si="27"/>
        <v>0</v>
      </c>
      <c r="DC10" s="858">
        <f t="shared" si="27"/>
        <v>0</v>
      </c>
      <c r="DD10" s="858">
        <f t="shared" si="27"/>
        <v>0</v>
      </c>
      <c r="DE10" s="859">
        <f t="shared" si="27"/>
        <v>0</v>
      </c>
      <c r="DF10" s="857">
        <f t="shared" si="28"/>
        <v>0</v>
      </c>
      <c r="DG10" s="858">
        <f t="shared" si="28"/>
        <v>0</v>
      </c>
      <c r="DH10" s="858">
        <f t="shared" si="28"/>
        <v>0</v>
      </c>
      <c r="DI10" s="858">
        <f t="shared" si="28"/>
        <v>0</v>
      </c>
      <c r="DJ10" s="858">
        <f t="shared" si="28"/>
        <v>0</v>
      </c>
      <c r="DK10" s="858">
        <f t="shared" si="28"/>
        <v>0</v>
      </c>
      <c r="DL10" s="552">
        <f t="shared" si="28"/>
        <v>0</v>
      </c>
      <c r="DM10" s="860">
        <f t="shared" si="45"/>
        <v>0</v>
      </c>
      <c r="DN10" s="858">
        <f t="shared" si="29"/>
        <v>0</v>
      </c>
      <c r="DO10" s="858">
        <f t="shared" si="29"/>
        <v>0</v>
      </c>
      <c r="DP10" s="858">
        <f t="shared" si="29"/>
        <v>0</v>
      </c>
      <c r="DQ10" s="858">
        <f t="shared" si="29"/>
        <v>0</v>
      </c>
      <c r="DR10" s="858">
        <f t="shared" si="29"/>
        <v>0</v>
      </c>
      <c r="DS10" s="861">
        <f t="shared" si="29"/>
        <v>0</v>
      </c>
      <c r="DT10" s="552">
        <f t="shared" si="30"/>
        <v>0</v>
      </c>
      <c r="DU10" s="858">
        <f t="shared" si="30"/>
        <v>0</v>
      </c>
      <c r="DV10" s="858">
        <f t="shared" si="30"/>
        <v>0</v>
      </c>
      <c r="DW10" s="858">
        <f t="shared" si="30"/>
        <v>0</v>
      </c>
      <c r="DX10" s="858">
        <f t="shared" si="30"/>
        <v>0</v>
      </c>
      <c r="DY10" s="858">
        <f t="shared" si="30"/>
        <v>0</v>
      </c>
      <c r="DZ10" s="553">
        <f t="shared" si="30"/>
        <v>0</v>
      </c>
      <c r="EA10" s="862">
        <f t="shared" si="31"/>
        <v>0</v>
      </c>
      <c r="EB10" s="862">
        <f t="shared" si="31"/>
        <v>0</v>
      </c>
      <c r="EC10" s="862">
        <f t="shared" si="31"/>
        <v>0</v>
      </c>
      <c r="ED10" s="862">
        <f t="shared" si="31"/>
        <v>0</v>
      </c>
      <c r="EE10" s="862">
        <f t="shared" si="31"/>
        <v>0</v>
      </c>
      <c r="EF10" s="862">
        <f t="shared" si="31"/>
        <v>0</v>
      </c>
      <c r="EG10" s="554">
        <f t="shared" si="31"/>
        <v>0</v>
      </c>
      <c r="EH10" s="855">
        <f t="shared" si="32"/>
        <v>0</v>
      </c>
      <c r="EI10" s="856">
        <f t="shared" si="32"/>
        <v>0</v>
      </c>
      <c r="EJ10" s="856">
        <f t="shared" si="32"/>
        <v>0</v>
      </c>
      <c r="EK10" s="856">
        <f t="shared" si="32"/>
        <v>0</v>
      </c>
      <c r="EL10" s="856">
        <f t="shared" si="32"/>
        <v>0</v>
      </c>
      <c r="EM10" s="856">
        <f t="shared" si="32"/>
        <v>0</v>
      </c>
      <c r="EN10" s="863">
        <f t="shared" si="32"/>
        <v>0</v>
      </c>
      <c r="EO10" s="864">
        <f t="shared" si="33"/>
        <v>0</v>
      </c>
      <c r="EP10" s="856">
        <f t="shared" si="33"/>
        <v>0</v>
      </c>
      <c r="EQ10" s="856">
        <f t="shared" si="33"/>
        <v>0</v>
      </c>
      <c r="ER10" s="856">
        <f t="shared" si="33"/>
        <v>0</v>
      </c>
      <c r="ES10" s="856">
        <f t="shared" si="33"/>
        <v>0</v>
      </c>
      <c r="ET10" s="856">
        <f t="shared" si="33"/>
        <v>0</v>
      </c>
      <c r="EU10" s="555">
        <f t="shared" si="33"/>
        <v>0</v>
      </c>
      <c r="EV10" s="865">
        <f t="shared" si="34"/>
        <v>0</v>
      </c>
      <c r="EW10" s="866">
        <f t="shared" si="35"/>
        <v>0</v>
      </c>
      <c r="EX10" s="866">
        <f t="shared" si="36"/>
        <v>0</v>
      </c>
      <c r="EY10" s="866">
        <f t="shared" si="37"/>
        <v>0</v>
      </c>
      <c r="EZ10" s="866">
        <f t="shared" si="38"/>
        <v>0</v>
      </c>
      <c r="FA10" s="867">
        <f t="shared" si="39"/>
        <v>0</v>
      </c>
      <c r="FB10" s="867">
        <f t="shared" si="40"/>
        <v>0</v>
      </c>
      <c r="FC10" s="868">
        <f t="shared" si="41"/>
        <v>0</v>
      </c>
      <c r="FL10" s="10" t="b">
        <f t="shared" si="42"/>
        <v>1</v>
      </c>
    </row>
    <row r="11" spans="1:171" s="10" customFormat="1" ht="12.75" customHeight="1">
      <c r="A11" s="662">
        <v>6</v>
      </c>
      <c r="B11" s="703" t="s">
        <v>763</v>
      </c>
      <c r="C11" s="703" t="s">
        <v>764</v>
      </c>
      <c r="D11" s="703" t="s">
        <v>765</v>
      </c>
      <c r="E11" s="703" t="s">
        <v>766</v>
      </c>
      <c r="F11" s="704" t="s">
        <v>372</v>
      </c>
      <c r="G11" s="869">
        <v>0</v>
      </c>
      <c r="H11" s="704">
        <v>0</v>
      </c>
      <c r="I11" s="704">
        <f>G11+H11</f>
        <v>0</v>
      </c>
      <c r="J11" s="704">
        <v>0</v>
      </c>
      <c r="K11" s="704">
        <f>I11*0.5</f>
        <v>0</v>
      </c>
      <c r="L11" s="711" t="s">
        <v>767</v>
      </c>
      <c r="M11" s="707">
        <v>0</v>
      </c>
      <c r="N11" s="870">
        <v>0</v>
      </c>
      <c r="O11" s="707">
        <v>0</v>
      </c>
      <c r="P11" s="707">
        <f>Q11*'Custom Benchmarking'!$E$18*500%*50%</f>
        <v>0.55294688244180001</v>
      </c>
      <c r="Q11" s="871">
        <v>1</v>
      </c>
      <c r="R11" s="872">
        <f>(1109/39)/(4060428/39)</f>
        <v>2.7312391698609107E-4</v>
      </c>
      <c r="S11" s="871">
        <f>S25*AD25/AD11</f>
        <v>1.5259124335660896E-3</v>
      </c>
      <c r="T11" s="711" t="s">
        <v>768</v>
      </c>
      <c r="U11" s="712"/>
      <c r="V11" s="713"/>
      <c r="W11" s="661"/>
      <c r="X11" s="661"/>
      <c r="Y11" s="661"/>
      <c r="Z11" s="661"/>
      <c r="AA11" s="714"/>
      <c r="AB11" s="2"/>
      <c r="AC11" s="714"/>
      <c r="AD11" s="714">
        <f>$E$49*$F$49</f>
        <v>37500</v>
      </c>
      <c r="AE11" s="714">
        <f t="shared" ref="AE11:AJ11" si="57">$E$49*$F$49</f>
        <v>37500</v>
      </c>
      <c r="AF11" s="714">
        <f t="shared" si="57"/>
        <v>37500</v>
      </c>
      <c r="AG11" s="714">
        <f t="shared" si="57"/>
        <v>37500</v>
      </c>
      <c r="AH11" s="714">
        <f t="shared" si="57"/>
        <v>37500</v>
      </c>
      <c r="AI11" s="714">
        <f t="shared" si="57"/>
        <v>37500</v>
      </c>
      <c r="AJ11" s="714">
        <f t="shared" si="57"/>
        <v>37500</v>
      </c>
      <c r="AK11" s="715" t="s">
        <v>374</v>
      </c>
      <c r="AL11" s="711" t="s">
        <v>742</v>
      </c>
      <c r="AM11" s="711" t="s">
        <v>743</v>
      </c>
      <c r="AN11" s="715" t="s">
        <v>377</v>
      </c>
      <c r="AO11" s="711" t="s">
        <v>1</v>
      </c>
      <c r="AP11" s="715"/>
      <c r="AQ11" s="715"/>
      <c r="AR11" s="715"/>
      <c r="AS11" s="715" t="s">
        <v>744</v>
      </c>
      <c r="AT11" s="715" t="s">
        <v>745</v>
      </c>
      <c r="AU11" s="715" t="s">
        <v>746</v>
      </c>
      <c r="AV11" s="715">
        <v>15</v>
      </c>
      <c r="AW11" s="715">
        <v>15</v>
      </c>
      <c r="AX11" s="715" t="s">
        <v>769</v>
      </c>
      <c r="AY11" s="716">
        <v>1</v>
      </c>
      <c r="AZ11" s="716">
        <v>1</v>
      </c>
      <c r="BA11" s="717">
        <v>1</v>
      </c>
      <c r="BB11" s="721">
        <f t="shared" si="4"/>
        <v>0</v>
      </c>
      <c r="BC11" s="499">
        <f>BB11</f>
        <v>0</v>
      </c>
      <c r="BD11" s="499">
        <f>BC11</f>
        <v>0</v>
      </c>
      <c r="BE11" s="499">
        <f>BD11</f>
        <v>0</v>
      </c>
      <c r="BF11" s="499">
        <f>BC11</f>
        <v>0</v>
      </c>
      <c r="BG11" s="499">
        <f>BD11</f>
        <v>0</v>
      </c>
      <c r="BH11" s="499">
        <f>BE11</f>
        <v>0</v>
      </c>
      <c r="BI11" s="721">
        <f t="shared" si="5"/>
        <v>0</v>
      </c>
      <c r="BJ11" s="499">
        <f>BI11</f>
        <v>0</v>
      </c>
      <c r="BK11" s="499">
        <f>BJ11</f>
        <v>0</v>
      </c>
      <c r="BL11" s="499">
        <f>BK11</f>
        <v>0</v>
      </c>
      <c r="BM11" s="499">
        <f t="shared" si="7"/>
        <v>0</v>
      </c>
      <c r="BN11" s="499">
        <f>BM11</f>
        <v>0</v>
      </c>
      <c r="BO11" s="499">
        <f t="shared" si="9"/>
        <v>0</v>
      </c>
      <c r="BP11" s="721">
        <f t="shared" si="10"/>
        <v>0</v>
      </c>
      <c r="BQ11" s="499">
        <f t="shared" si="11"/>
        <v>0</v>
      </c>
      <c r="BR11" s="499">
        <f>BQ11</f>
        <v>0</v>
      </c>
      <c r="BS11" s="499">
        <f>BR11</f>
        <v>0</v>
      </c>
      <c r="BT11" s="499">
        <f t="shared" si="13"/>
        <v>0</v>
      </c>
      <c r="BU11" s="499">
        <f>BT11</f>
        <v>0</v>
      </c>
      <c r="BV11" s="499">
        <f>BU11</f>
        <v>0</v>
      </c>
      <c r="BW11" s="774">
        <f>$P11</f>
        <v>0.55294688244180001</v>
      </c>
      <c r="BX11" s="503">
        <f t="shared" ref="BX11:CC11" si="58">$P11</f>
        <v>0.55294688244180001</v>
      </c>
      <c r="BY11" s="503">
        <f t="shared" si="58"/>
        <v>0.55294688244180001</v>
      </c>
      <c r="BZ11" s="503">
        <f t="shared" si="58"/>
        <v>0.55294688244180001</v>
      </c>
      <c r="CA11" s="503">
        <f t="shared" si="58"/>
        <v>0.55294688244180001</v>
      </c>
      <c r="CB11" s="503">
        <f t="shared" si="58"/>
        <v>0.55294688244180001</v>
      </c>
      <c r="CC11" s="503">
        <f t="shared" si="58"/>
        <v>0.55294688244180001</v>
      </c>
      <c r="CD11" s="722">
        <f t="shared" si="16"/>
        <v>1</v>
      </c>
      <c r="CE11" s="511">
        <f t="shared" ref="CE11:CJ11" si="59">CD11</f>
        <v>1</v>
      </c>
      <c r="CF11" s="511">
        <f t="shared" si="59"/>
        <v>1</v>
      </c>
      <c r="CG11" s="511">
        <f t="shared" si="59"/>
        <v>1</v>
      </c>
      <c r="CH11" s="511">
        <f t="shared" si="59"/>
        <v>1</v>
      </c>
      <c r="CI11" s="511">
        <f t="shared" si="59"/>
        <v>1</v>
      </c>
      <c r="CJ11" s="511">
        <f t="shared" si="59"/>
        <v>1</v>
      </c>
      <c r="CK11" s="1332">
        <f t="shared" si="18"/>
        <v>2.7312391698609107E-4</v>
      </c>
      <c r="CL11" s="511">
        <f>CK11</f>
        <v>2.7312391698609107E-4</v>
      </c>
      <c r="CM11" s="511">
        <f>CL11</f>
        <v>2.7312391698609107E-4</v>
      </c>
      <c r="CN11" s="511">
        <f>CM11</f>
        <v>2.7312391698609107E-4</v>
      </c>
      <c r="CO11" s="511">
        <f t="shared" si="20"/>
        <v>2.7312391698609107E-4</v>
      </c>
      <c r="CP11" s="511">
        <f>CO11</f>
        <v>2.7312391698609107E-4</v>
      </c>
      <c r="CQ11" s="511">
        <f>CP11</f>
        <v>2.7312391698609107E-4</v>
      </c>
      <c r="CR11" s="722">
        <f>S11*BA11</f>
        <v>1.5259124335660896E-3</v>
      </c>
      <c r="CS11" s="511">
        <f>CR11</f>
        <v>1.5259124335660896E-3</v>
      </c>
      <c r="CT11" s="511">
        <f>CS11</f>
        <v>1.5259124335660896E-3</v>
      </c>
      <c r="CU11" s="511">
        <f>CT11</f>
        <v>1.5259124335660896E-3</v>
      </c>
      <c r="CV11" s="511">
        <f t="shared" si="24"/>
        <v>1.5259124335660896E-3</v>
      </c>
      <c r="CW11" s="511">
        <f>CV11</f>
        <v>1.5259124335660896E-3</v>
      </c>
      <c r="CX11" s="511">
        <f>CW11</f>
        <v>1.5259124335660896E-3</v>
      </c>
      <c r="CY11" s="837">
        <f>AD11*BB11</f>
        <v>0</v>
      </c>
      <c r="CZ11" s="508">
        <f t="shared" ref="CZ11:DE11" si="60">AE11*BC11</f>
        <v>0</v>
      </c>
      <c r="DA11" s="508">
        <f t="shared" si="60"/>
        <v>0</v>
      </c>
      <c r="DB11" s="508">
        <f t="shared" si="60"/>
        <v>0</v>
      </c>
      <c r="DC11" s="508">
        <f t="shared" si="60"/>
        <v>0</v>
      </c>
      <c r="DD11" s="508">
        <f t="shared" si="60"/>
        <v>0</v>
      </c>
      <c r="DE11" s="509">
        <f t="shared" si="60"/>
        <v>0</v>
      </c>
      <c r="DF11" s="837">
        <f t="shared" ref="DF11:DL11" si="61">AD11*BI11</f>
        <v>0</v>
      </c>
      <c r="DG11" s="508">
        <f t="shared" si="61"/>
        <v>0</v>
      </c>
      <c r="DH11" s="508">
        <f t="shared" si="61"/>
        <v>0</v>
      </c>
      <c r="DI11" s="508">
        <f t="shared" si="61"/>
        <v>0</v>
      </c>
      <c r="DJ11" s="508">
        <f t="shared" si="61"/>
        <v>0</v>
      </c>
      <c r="DK11" s="508">
        <f t="shared" si="61"/>
        <v>0</v>
      </c>
      <c r="DL11" s="450">
        <f t="shared" si="61"/>
        <v>0</v>
      </c>
      <c r="DM11" s="724">
        <f t="shared" si="45"/>
        <v>0</v>
      </c>
      <c r="DN11" s="508">
        <f t="shared" si="29"/>
        <v>0</v>
      </c>
      <c r="DO11" s="508">
        <f t="shared" si="29"/>
        <v>0</v>
      </c>
      <c r="DP11" s="508">
        <f t="shared" si="29"/>
        <v>0</v>
      </c>
      <c r="DQ11" s="508">
        <f t="shared" si="29"/>
        <v>0</v>
      </c>
      <c r="DR11" s="508">
        <f t="shared" si="29"/>
        <v>0</v>
      </c>
      <c r="DS11" s="725">
        <f t="shared" si="29"/>
        <v>0</v>
      </c>
      <c r="DT11" s="450">
        <f t="shared" ref="DT11:DZ11" si="62">BW11*AD11</f>
        <v>20735.508091567499</v>
      </c>
      <c r="DU11" s="508">
        <f t="shared" si="62"/>
        <v>20735.508091567499</v>
      </c>
      <c r="DV11" s="508">
        <f t="shared" si="62"/>
        <v>20735.508091567499</v>
      </c>
      <c r="DW11" s="508">
        <f t="shared" si="62"/>
        <v>20735.508091567499</v>
      </c>
      <c r="DX11" s="508">
        <f t="shared" si="62"/>
        <v>20735.508091567499</v>
      </c>
      <c r="DY11" s="508">
        <f t="shared" si="62"/>
        <v>20735.508091567499</v>
      </c>
      <c r="DZ11" s="451">
        <f t="shared" si="62"/>
        <v>20735.508091567499</v>
      </c>
      <c r="EA11" s="507">
        <f t="shared" ref="EA11:EG11" si="63">AD11*CD11</f>
        <v>37500</v>
      </c>
      <c r="EB11" s="507">
        <f t="shared" si="63"/>
        <v>37500</v>
      </c>
      <c r="EC11" s="507">
        <f t="shared" si="63"/>
        <v>37500</v>
      </c>
      <c r="ED11" s="507">
        <f t="shared" si="63"/>
        <v>37500</v>
      </c>
      <c r="EE11" s="507">
        <f t="shared" si="63"/>
        <v>37500</v>
      </c>
      <c r="EF11" s="507">
        <f t="shared" si="63"/>
        <v>37500</v>
      </c>
      <c r="EG11" s="452">
        <f t="shared" si="63"/>
        <v>37500</v>
      </c>
      <c r="EH11" s="722">
        <f t="shared" ref="EH11:EN11" si="64">AD11*CK11</f>
        <v>10.242146886978416</v>
      </c>
      <c r="EI11" s="511">
        <f t="shared" si="64"/>
        <v>10.242146886978416</v>
      </c>
      <c r="EJ11" s="511">
        <f t="shared" si="64"/>
        <v>10.242146886978416</v>
      </c>
      <c r="EK11" s="511">
        <f t="shared" si="64"/>
        <v>10.242146886978416</v>
      </c>
      <c r="EL11" s="511">
        <f t="shared" si="64"/>
        <v>10.242146886978416</v>
      </c>
      <c r="EM11" s="511">
        <f t="shared" si="64"/>
        <v>10.242146886978416</v>
      </c>
      <c r="EN11" s="539">
        <f t="shared" si="64"/>
        <v>10.242146886978416</v>
      </c>
      <c r="EO11" s="838">
        <f t="shared" ref="EO11:EU11" si="65">AD11*CR11</f>
        <v>57.221716258728364</v>
      </c>
      <c r="EP11" s="511">
        <f t="shared" si="65"/>
        <v>57.221716258728364</v>
      </c>
      <c r="EQ11" s="511">
        <f t="shared" si="65"/>
        <v>57.221716258728364</v>
      </c>
      <c r="ER11" s="511">
        <f t="shared" si="65"/>
        <v>57.221716258728364</v>
      </c>
      <c r="ES11" s="511">
        <f t="shared" si="65"/>
        <v>57.221716258728364</v>
      </c>
      <c r="ET11" s="511">
        <f t="shared" si="65"/>
        <v>57.221716258728364</v>
      </c>
      <c r="EU11" s="453">
        <f t="shared" si="65"/>
        <v>57.221716258728364</v>
      </c>
      <c r="EV11" s="727">
        <f t="shared" si="34"/>
        <v>262500</v>
      </c>
      <c r="EW11" s="728">
        <f t="shared" si="35"/>
        <v>0</v>
      </c>
      <c r="EX11" s="728">
        <f t="shared" si="36"/>
        <v>0</v>
      </c>
      <c r="EY11" s="728">
        <f t="shared" si="37"/>
        <v>0</v>
      </c>
      <c r="EZ11" s="728">
        <f t="shared" si="38"/>
        <v>145148.55664097247</v>
      </c>
      <c r="FA11" s="777">
        <f t="shared" si="39"/>
        <v>262500</v>
      </c>
      <c r="FB11" s="777">
        <f t="shared" si="40"/>
        <v>71.69502820884891</v>
      </c>
      <c r="FC11" s="778">
        <f t="shared" si="41"/>
        <v>400.5520138110985</v>
      </c>
      <c r="FE11" s="10" t="b">
        <f>EV11=SUM(EV18,EV25)</f>
        <v>1</v>
      </c>
      <c r="FF11" s="10" t="b">
        <f t="shared" ref="FF11" si="66">EW11=SUM(EW18,EW25)</f>
        <v>1</v>
      </c>
      <c r="FG11" s="10" t="b">
        <f t="shared" ref="FG11" si="67">EX11=SUM(EX18,EX25)</f>
        <v>1</v>
      </c>
      <c r="FH11" s="10" t="b">
        <f t="shared" ref="FH11" si="68">EY11=SUM(EY18,EY25)</f>
        <v>1</v>
      </c>
      <c r="FI11" s="10" t="b">
        <f t="shared" ref="FI11" si="69">EZ11=SUM(EZ18,EZ25)</f>
        <v>1</v>
      </c>
      <c r="FJ11" s="10" t="b">
        <f t="shared" ref="FJ11" si="70">FA11=SUM(FA18,FA25)</f>
        <v>1</v>
      </c>
      <c r="FK11" s="10" t="b">
        <f t="shared" ref="FK11" si="71">FB11=SUM(FB18,FB25)</f>
        <v>1</v>
      </c>
      <c r="FL11" s="10" t="b">
        <f t="shared" si="42"/>
        <v>1</v>
      </c>
    </row>
    <row r="12" spans="1:171" s="336" customFormat="1" ht="12.75" customHeight="1">
      <c r="A12" s="740"/>
      <c r="B12" s="740"/>
      <c r="C12" s="740"/>
      <c r="D12" s="740"/>
      <c r="E12" s="740"/>
      <c r="F12" s="740"/>
      <c r="G12" s="740"/>
      <c r="H12" s="740"/>
      <c r="I12" s="740"/>
      <c r="J12" s="740"/>
      <c r="K12" s="740"/>
      <c r="L12" s="740"/>
      <c r="M12" s="740"/>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c r="AT12" s="740"/>
      <c r="AU12" s="740"/>
      <c r="AV12" s="729"/>
      <c r="AW12" s="729"/>
      <c r="AX12" s="740"/>
      <c r="AY12" s="740"/>
      <c r="AZ12" s="740"/>
      <c r="BA12" s="740"/>
      <c r="BB12" s="740"/>
      <c r="BC12" s="740"/>
      <c r="BD12" s="740"/>
      <c r="BE12" s="740"/>
      <c r="BF12" s="740"/>
      <c r="BG12" s="740"/>
      <c r="BH12" s="740"/>
      <c r="BI12" s="740"/>
      <c r="BJ12" s="740"/>
      <c r="BK12" s="740"/>
      <c r="BL12" s="740"/>
      <c r="BM12" s="740"/>
      <c r="BN12" s="740"/>
      <c r="BO12" s="740"/>
      <c r="BP12" s="740"/>
      <c r="BQ12" s="740"/>
      <c r="BR12" s="740"/>
      <c r="BS12" s="740"/>
      <c r="BT12" s="740"/>
      <c r="BU12" s="740"/>
      <c r="BV12" s="740"/>
      <c r="BW12" s="740"/>
      <c r="BX12" s="740"/>
      <c r="BY12" s="740"/>
      <c r="BZ12" s="740"/>
      <c r="CA12" s="740"/>
      <c r="CB12" s="740"/>
      <c r="CC12" s="740"/>
      <c r="CD12" s="740"/>
      <c r="CE12" s="740"/>
      <c r="CF12" s="740"/>
      <c r="CG12" s="740"/>
      <c r="CH12" s="740"/>
      <c r="CI12" s="740"/>
      <c r="CJ12" s="740"/>
      <c r="CK12" s="740"/>
      <c r="CL12" s="740"/>
      <c r="CM12" s="740"/>
      <c r="CN12" s="740"/>
      <c r="CO12" s="740"/>
      <c r="CP12" s="740"/>
      <c r="CQ12" s="740"/>
      <c r="CR12" s="740"/>
      <c r="CS12" s="740"/>
      <c r="CT12" s="740"/>
      <c r="CU12" s="740"/>
      <c r="CV12" s="740"/>
      <c r="CW12" s="740"/>
      <c r="CX12" s="740"/>
      <c r="CY12" s="740"/>
      <c r="CZ12" s="740"/>
      <c r="DA12" s="740"/>
      <c r="DB12" s="740"/>
      <c r="DC12" s="740"/>
      <c r="DD12" s="740"/>
      <c r="DE12" s="740"/>
      <c r="DF12" s="740"/>
      <c r="DG12" s="740"/>
      <c r="DH12" s="740"/>
      <c r="DI12" s="740"/>
      <c r="DJ12" s="740"/>
      <c r="DK12" s="740"/>
      <c r="DL12" s="873"/>
      <c r="DM12" s="874"/>
      <c r="DN12" s="740"/>
      <c r="DO12" s="740"/>
      <c r="DP12" s="740"/>
      <c r="DQ12" s="740"/>
      <c r="DR12" s="740"/>
      <c r="DS12" s="875"/>
      <c r="DT12" s="876"/>
      <c r="DU12" s="740"/>
      <c r="DV12" s="740"/>
      <c r="DW12" s="740"/>
      <c r="DX12" s="740"/>
      <c r="DY12" s="740"/>
      <c r="DZ12" s="740"/>
      <c r="EA12" s="740"/>
      <c r="EB12" s="740"/>
      <c r="EC12" s="740"/>
      <c r="ED12" s="740"/>
      <c r="EE12" s="740"/>
      <c r="EF12" s="740"/>
      <c r="EG12" s="740"/>
      <c r="EH12" s="740"/>
      <c r="EI12" s="740"/>
      <c r="EJ12" s="740"/>
      <c r="EK12" s="740"/>
      <c r="EL12" s="740"/>
      <c r="EM12" s="740"/>
      <c r="EN12" s="740"/>
      <c r="EO12" s="740"/>
      <c r="EP12" s="740"/>
      <c r="EQ12" s="740"/>
      <c r="ER12" s="740"/>
      <c r="ES12" s="740"/>
      <c r="ET12" s="740"/>
      <c r="EU12" s="740"/>
      <c r="EV12" s="740"/>
      <c r="EW12" s="740"/>
      <c r="EX12" s="740"/>
      <c r="EY12" s="740"/>
      <c r="EZ12" s="740"/>
      <c r="FA12" s="740"/>
      <c r="FB12" s="740"/>
      <c r="FC12" s="740"/>
      <c r="FD12" s="10"/>
      <c r="FE12" s="10"/>
      <c r="FF12" s="10"/>
      <c r="FG12" s="10"/>
      <c r="FH12" s="10"/>
      <c r="FI12" s="10"/>
      <c r="FJ12" s="10"/>
      <c r="FK12" s="10"/>
      <c r="FL12" s="10"/>
      <c r="FM12" s="10"/>
      <c r="FN12" s="10"/>
      <c r="FO12" s="10"/>
    </row>
    <row r="13" spans="1:171" s="10" customFormat="1" ht="12.75" customHeight="1">
      <c r="A13" s="661" t="s">
        <v>171</v>
      </c>
      <c r="B13" s="703" t="s">
        <v>770</v>
      </c>
      <c r="C13" s="703" t="s">
        <v>740</v>
      </c>
      <c r="D13" s="703" t="s">
        <v>393</v>
      </c>
      <c r="E13" s="703" t="s">
        <v>394</v>
      </c>
      <c r="F13" s="704" t="s">
        <v>372</v>
      </c>
      <c r="G13" s="704">
        <v>0</v>
      </c>
      <c r="H13" s="704">
        <v>0</v>
      </c>
      <c r="I13" s="704">
        <v>0</v>
      </c>
      <c r="J13" s="704">
        <f>J6</f>
        <v>0</v>
      </c>
      <c r="K13" s="704" t="s">
        <v>378</v>
      </c>
      <c r="L13" s="711" t="s">
        <v>395</v>
      </c>
      <c r="M13" s="707">
        <v>0</v>
      </c>
      <c r="N13" s="708">
        <v>0</v>
      </c>
      <c r="O13" s="707">
        <v>0</v>
      </c>
      <c r="P13" s="709">
        <f t="shared" ref="P13:P18" si="72">P6</f>
        <v>825</v>
      </c>
      <c r="Q13" s="834">
        <f>F71</f>
        <v>608.59746373390487</v>
      </c>
      <c r="R13" s="835">
        <f>G71</f>
        <v>5.1495876542867872E-2</v>
      </c>
      <c r="S13" s="835">
        <f>H71</f>
        <v>0</v>
      </c>
      <c r="T13" s="711" t="s">
        <v>741</v>
      </c>
      <c r="U13" s="712">
        <v>0</v>
      </c>
      <c r="V13" s="713">
        <v>1</v>
      </c>
      <c r="W13" s="661">
        <v>635</v>
      </c>
      <c r="X13" s="661">
        <v>564</v>
      </c>
      <c r="Y13" s="661">
        <v>745</v>
      </c>
      <c r="Z13" s="661">
        <v>390</v>
      </c>
      <c r="AA13" s="714">
        <f>AA6*0.5</f>
        <v>403</v>
      </c>
      <c r="AB13" s="714">
        <v>199.99999999999994</v>
      </c>
      <c r="AC13" s="714">
        <f>AB13</f>
        <v>199.99999999999994</v>
      </c>
      <c r="AD13" s="714">
        <f t="shared" ref="AD13:AJ13" si="73">AC13</f>
        <v>199.99999999999994</v>
      </c>
      <c r="AE13" s="714">
        <f t="shared" si="73"/>
        <v>199.99999999999994</v>
      </c>
      <c r="AF13" s="714">
        <f t="shared" si="73"/>
        <v>199.99999999999994</v>
      </c>
      <c r="AG13" s="714">
        <f t="shared" si="73"/>
        <v>199.99999999999994</v>
      </c>
      <c r="AH13" s="714">
        <f t="shared" si="73"/>
        <v>199.99999999999994</v>
      </c>
      <c r="AI13" s="714">
        <f t="shared" si="73"/>
        <v>199.99999999999994</v>
      </c>
      <c r="AJ13" s="714">
        <f t="shared" si="73"/>
        <v>199.99999999999994</v>
      </c>
      <c r="AK13" s="711" t="s">
        <v>384</v>
      </c>
      <c r="AL13" s="711" t="s">
        <v>742</v>
      </c>
      <c r="AM13" s="711" t="s">
        <v>743</v>
      </c>
      <c r="AN13" s="711" t="s">
        <v>377</v>
      </c>
      <c r="AO13" s="711" t="s">
        <v>1</v>
      </c>
      <c r="AP13" s="711" t="s">
        <v>378</v>
      </c>
      <c r="AQ13" s="711" t="s">
        <v>378</v>
      </c>
      <c r="AR13" s="711" t="s">
        <v>378</v>
      </c>
      <c r="AS13" s="715" t="s">
        <v>744</v>
      </c>
      <c r="AT13" s="715" t="s">
        <v>745</v>
      </c>
      <c r="AU13" s="715" t="s">
        <v>771</v>
      </c>
      <c r="AV13" s="662">
        <v>20</v>
      </c>
      <c r="AW13" s="662">
        <f>AV13</f>
        <v>20</v>
      </c>
      <c r="AX13" s="711" t="s">
        <v>397</v>
      </c>
      <c r="AY13" s="716">
        <v>1</v>
      </c>
      <c r="AZ13" s="716">
        <v>1</v>
      </c>
      <c r="BA13" s="717">
        <v>0</v>
      </c>
      <c r="BB13" s="774">
        <f t="shared" ref="BB13:BB18" si="74">I13</f>
        <v>0</v>
      </c>
      <c r="BC13" s="499">
        <f t="shared" si="43"/>
        <v>0</v>
      </c>
      <c r="BD13" s="499">
        <f t="shared" si="43"/>
        <v>0</v>
      </c>
      <c r="BE13" s="499">
        <f t="shared" si="43"/>
        <v>0</v>
      </c>
      <c r="BF13" s="499">
        <f t="shared" ref="BF13:BF18" si="75">BC13</f>
        <v>0</v>
      </c>
      <c r="BG13" s="499">
        <f t="shared" ref="BG13:BH14" si="76">BD13</f>
        <v>0</v>
      </c>
      <c r="BH13" s="499">
        <f t="shared" si="76"/>
        <v>0</v>
      </c>
      <c r="BI13" s="721">
        <f t="shared" ref="BI13:BI18" si="77">J13</f>
        <v>0</v>
      </c>
      <c r="BJ13" s="499">
        <f t="shared" si="6"/>
        <v>0</v>
      </c>
      <c r="BK13" s="499">
        <f t="shared" si="6"/>
        <v>0</v>
      </c>
      <c r="BL13" s="499">
        <f t="shared" si="6"/>
        <v>0</v>
      </c>
      <c r="BM13" s="499">
        <f t="shared" si="6"/>
        <v>0</v>
      </c>
      <c r="BN13" s="499">
        <f t="shared" si="6"/>
        <v>0</v>
      </c>
      <c r="BO13" s="499">
        <f t="shared" si="6"/>
        <v>0</v>
      </c>
      <c r="BP13" s="721">
        <f t="shared" ref="BP13:BP18" si="78">N13+O13</f>
        <v>0</v>
      </c>
      <c r="BQ13" s="499">
        <f t="shared" ref="BQ13:BQ18" si="79">BP13</f>
        <v>0</v>
      </c>
      <c r="BR13" s="499">
        <f t="shared" si="12"/>
        <v>0</v>
      </c>
      <c r="BS13" s="499">
        <f t="shared" si="12"/>
        <v>0</v>
      </c>
      <c r="BT13" s="499">
        <f t="shared" si="12"/>
        <v>0</v>
      </c>
      <c r="BU13" s="499">
        <f t="shared" si="12"/>
        <v>0</v>
      </c>
      <c r="BV13" s="499">
        <f t="shared" si="12"/>
        <v>0</v>
      </c>
      <c r="BW13" s="774">
        <f t="shared" ref="BW13:BW18" si="80">$P13</f>
        <v>825</v>
      </c>
      <c r="BX13" s="503">
        <f t="shared" si="15"/>
        <v>825</v>
      </c>
      <c r="BY13" s="503">
        <f t="shared" si="15"/>
        <v>825</v>
      </c>
      <c r="BZ13" s="503">
        <f t="shared" si="15"/>
        <v>825</v>
      </c>
      <c r="CA13" s="503">
        <f t="shared" si="15"/>
        <v>825</v>
      </c>
      <c r="CB13" s="503">
        <f t="shared" si="15"/>
        <v>825</v>
      </c>
      <c r="CC13" s="503">
        <f t="shared" si="15"/>
        <v>825</v>
      </c>
      <c r="CD13" s="722">
        <f t="shared" ref="CD13:CD18" si="81">Q13*AZ13</f>
        <v>608.59746373390487</v>
      </c>
      <c r="CE13" s="511">
        <f t="shared" ref="CE13:CJ14" si="82">CD13</f>
        <v>608.59746373390487</v>
      </c>
      <c r="CF13" s="511">
        <f t="shared" si="82"/>
        <v>608.59746373390487</v>
      </c>
      <c r="CG13" s="511">
        <f t="shared" si="82"/>
        <v>608.59746373390487</v>
      </c>
      <c r="CH13" s="511">
        <f t="shared" si="82"/>
        <v>608.59746373390487</v>
      </c>
      <c r="CI13" s="511">
        <f t="shared" si="82"/>
        <v>608.59746373390487</v>
      </c>
      <c r="CJ13" s="511">
        <f t="shared" si="82"/>
        <v>608.59746373390487</v>
      </c>
      <c r="CK13" s="722">
        <f t="shared" ref="CK13:CK18" si="83">R13*AZ13</f>
        <v>5.1495876542867872E-2</v>
      </c>
      <c r="CL13" s="511">
        <f t="shared" si="19"/>
        <v>5.1495876542867872E-2</v>
      </c>
      <c r="CM13" s="511">
        <f t="shared" si="19"/>
        <v>5.1495876542867872E-2</v>
      </c>
      <c r="CN13" s="511">
        <f t="shared" si="19"/>
        <v>5.1495876542867872E-2</v>
      </c>
      <c r="CO13" s="511">
        <f t="shared" si="19"/>
        <v>5.1495876542867872E-2</v>
      </c>
      <c r="CP13" s="511">
        <f t="shared" si="19"/>
        <v>5.1495876542867872E-2</v>
      </c>
      <c r="CQ13" s="511">
        <f t="shared" si="19"/>
        <v>5.1495876542867872E-2</v>
      </c>
      <c r="CR13" s="722">
        <f t="shared" ref="CR13:CR18" si="84">S13*BA13</f>
        <v>0</v>
      </c>
      <c r="CS13" s="511">
        <f t="shared" si="23"/>
        <v>0</v>
      </c>
      <c r="CT13" s="511">
        <f t="shared" si="23"/>
        <v>0</v>
      </c>
      <c r="CU13" s="511">
        <f t="shared" si="23"/>
        <v>0</v>
      </c>
      <c r="CV13" s="511">
        <f t="shared" ref="CV13:CV18" si="85">CU13</f>
        <v>0</v>
      </c>
      <c r="CW13" s="511">
        <f t="shared" ref="CW13:CX14" si="86">CV13</f>
        <v>0</v>
      </c>
      <c r="CX13" s="511">
        <f t="shared" si="86"/>
        <v>0</v>
      </c>
      <c r="CY13" s="837">
        <f t="shared" ref="CY13:DE17" si="87">AD13*BB13</f>
        <v>0</v>
      </c>
      <c r="CZ13" s="508">
        <f t="shared" si="87"/>
        <v>0</v>
      </c>
      <c r="DA13" s="508">
        <f t="shared" si="87"/>
        <v>0</v>
      </c>
      <c r="DB13" s="508">
        <f t="shared" si="87"/>
        <v>0</v>
      </c>
      <c r="DC13" s="508">
        <f t="shared" si="87"/>
        <v>0</v>
      </c>
      <c r="DD13" s="508">
        <f t="shared" si="87"/>
        <v>0</v>
      </c>
      <c r="DE13" s="509">
        <f t="shared" si="87"/>
        <v>0</v>
      </c>
      <c r="DF13" s="837">
        <f t="shared" ref="DF13:DL17" si="88">AD13*BI13</f>
        <v>0</v>
      </c>
      <c r="DG13" s="508">
        <f t="shared" si="88"/>
        <v>0</v>
      </c>
      <c r="DH13" s="508">
        <f t="shared" si="88"/>
        <v>0</v>
      </c>
      <c r="DI13" s="508">
        <f t="shared" si="88"/>
        <v>0</v>
      </c>
      <c r="DJ13" s="508">
        <f t="shared" si="88"/>
        <v>0</v>
      </c>
      <c r="DK13" s="508">
        <f t="shared" si="88"/>
        <v>0</v>
      </c>
      <c r="DL13" s="450">
        <f t="shared" si="88"/>
        <v>0</v>
      </c>
      <c r="DM13" s="837">
        <f t="shared" ref="DM13:DS17" si="89">AD13*BP13</f>
        <v>0</v>
      </c>
      <c r="DN13" s="508">
        <f t="shared" si="89"/>
        <v>0</v>
      </c>
      <c r="DO13" s="508">
        <f t="shared" si="89"/>
        <v>0</v>
      </c>
      <c r="DP13" s="508">
        <f t="shared" si="89"/>
        <v>0</v>
      </c>
      <c r="DQ13" s="508">
        <f t="shared" si="89"/>
        <v>0</v>
      </c>
      <c r="DR13" s="508">
        <f t="shared" si="89"/>
        <v>0</v>
      </c>
      <c r="DS13" s="451">
        <f t="shared" si="89"/>
        <v>0</v>
      </c>
      <c r="DT13" s="450">
        <f t="shared" ref="DT13:DZ17" si="90">BW13*AD13</f>
        <v>164999.99999999994</v>
      </c>
      <c r="DU13" s="508">
        <f t="shared" si="90"/>
        <v>164999.99999999994</v>
      </c>
      <c r="DV13" s="508">
        <f t="shared" si="90"/>
        <v>164999.99999999994</v>
      </c>
      <c r="DW13" s="508">
        <f t="shared" si="90"/>
        <v>164999.99999999994</v>
      </c>
      <c r="DX13" s="508">
        <f t="shared" si="90"/>
        <v>164999.99999999994</v>
      </c>
      <c r="DY13" s="508">
        <f t="shared" si="90"/>
        <v>164999.99999999994</v>
      </c>
      <c r="DZ13" s="451">
        <f t="shared" si="90"/>
        <v>164999.99999999994</v>
      </c>
      <c r="EA13" s="507">
        <f t="shared" ref="EA13:EG17" si="91">AD13*CD13</f>
        <v>121719.49274678095</v>
      </c>
      <c r="EB13" s="507">
        <f t="shared" si="91"/>
        <v>121719.49274678095</v>
      </c>
      <c r="EC13" s="507">
        <f t="shared" si="91"/>
        <v>121719.49274678095</v>
      </c>
      <c r="ED13" s="507">
        <f t="shared" si="91"/>
        <v>121719.49274678095</v>
      </c>
      <c r="EE13" s="507">
        <f t="shared" si="91"/>
        <v>121719.49274678095</v>
      </c>
      <c r="EF13" s="507">
        <f t="shared" si="91"/>
        <v>121719.49274678095</v>
      </c>
      <c r="EG13" s="507">
        <f t="shared" si="91"/>
        <v>121719.49274678095</v>
      </c>
      <c r="EH13" s="722">
        <f t="shared" ref="EH13:EN17" si="92">AD13*CK13</f>
        <v>10.299175308573572</v>
      </c>
      <c r="EI13" s="511">
        <f t="shared" si="92"/>
        <v>10.299175308573572</v>
      </c>
      <c r="EJ13" s="511">
        <f t="shared" si="92"/>
        <v>10.299175308573572</v>
      </c>
      <c r="EK13" s="511">
        <f t="shared" si="92"/>
        <v>10.299175308573572</v>
      </c>
      <c r="EL13" s="511">
        <f t="shared" si="92"/>
        <v>10.299175308573572</v>
      </c>
      <c r="EM13" s="511">
        <f t="shared" si="92"/>
        <v>10.299175308573572</v>
      </c>
      <c r="EN13" s="539">
        <f t="shared" si="92"/>
        <v>10.299175308573572</v>
      </c>
      <c r="EO13" s="838">
        <f t="shared" ref="EO13:EU17" si="93">AD13*CR13</f>
        <v>0</v>
      </c>
      <c r="EP13" s="511">
        <f t="shared" si="93"/>
        <v>0</v>
      </c>
      <c r="EQ13" s="511">
        <f t="shared" si="93"/>
        <v>0</v>
      </c>
      <c r="ER13" s="511">
        <f t="shared" si="93"/>
        <v>0</v>
      </c>
      <c r="ES13" s="511">
        <f t="shared" si="93"/>
        <v>0</v>
      </c>
      <c r="ET13" s="511">
        <f t="shared" si="93"/>
        <v>0</v>
      </c>
      <c r="EU13" s="453">
        <f t="shared" si="93"/>
        <v>0</v>
      </c>
      <c r="EV13" s="727">
        <f t="shared" ref="EV13:EV18" si="94">SUM(AC13:AJ13)</f>
        <v>1599.9999999999998</v>
      </c>
      <c r="EW13" s="728">
        <f t="shared" ref="EW13:EW18" si="95">SUM(CY13:DE13)</f>
        <v>0</v>
      </c>
      <c r="EX13" s="728">
        <f t="shared" ref="EX13:EX18" si="96">SUM(DF13:DL13)</f>
        <v>0</v>
      </c>
      <c r="EY13" s="728">
        <f t="shared" ref="EY13:EY18" si="97">SUM(DM13:DS13)</f>
        <v>0</v>
      </c>
      <c r="EZ13" s="728">
        <f t="shared" ref="EZ13:EZ18" si="98">SUM(DT13:DZ13)</f>
        <v>1154999.9999999998</v>
      </c>
      <c r="FA13" s="777">
        <f t="shared" ref="FA13:FA18" si="99">SUM(EA13:EG13)</f>
        <v>852036.44922746671</v>
      </c>
      <c r="FB13" s="777">
        <f t="shared" ref="FB13:FB18" si="100">SUM(EH13:EN13)</f>
        <v>72.094227160015009</v>
      </c>
      <c r="FC13" s="778">
        <f t="shared" ref="FC13:FC18" si="101">SUM(EO13:EU13)</f>
        <v>0</v>
      </c>
    </row>
    <row r="14" spans="1:171" s="10" customFormat="1" ht="12.75" customHeight="1">
      <c r="A14" s="661" t="s">
        <v>173</v>
      </c>
      <c r="B14" s="703" t="s">
        <v>772</v>
      </c>
      <c r="C14" s="703" t="s">
        <v>740</v>
      </c>
      <c r="D14" s="703" t="s">
        <v>393</v>
      </c>
      <c r="E14" s="703" t="s">
        <v>394</v>
      </c>
      <c r="F14" s="704" t="s">
        <v>372</v>
      </c>
      <c r="G14" s="704">
        <v>0</v>
      </c>
      <c r="H14" s="704">
        <v>0</v>
      </c>
      <c r="I14" s="704">
        <v>0</v>
      </c>
      <c r="J14" s="704">
        <f>J7</f>
        <v>0</v>
      </c>
      <c r="K14" s="704" t="s">
        <v>378</v>
      </c>
      <c r="L14" s="711" t="s">
        <v>395</v>
      </c>
      <c r="M14" s="707">
        <v>0</v>
      </c>
      <c r="N14" s="708">
        <v>0</v>
      </c>
      <c r="O14" s="707">
        <v>0</v>
      </c>
      <c r="P14" s="709">
        <f t="shared" si="72"/>
        <v>825</v>
      </c>
      <c r="Q14" s="834">
        <f>Q13</f>
        <v>608.59746373390487</v>
      </c>
      <c r="R14" s="835">
        <f>R13</f>
        <v>5.1495876542867872E-2</v>
      </c>
      <c r="S14" s="835">
        <f>S13</f>
        <v>0</v>
      </c>
      <c r="T14" s="711" t="s">
        <v>741</v>
      </c>
      <c r="U14" s="712">
        <v>0</v>
      </c>
      <c r="V14" s="713">
        <v>1</v>
      </c>
      <c r="W14" s="661">
        <v>446</v>
      </c>
      <c r="X14" s="661">
        <v>331</v>
      </c>
      <c r="Y14" s="661">
        <v>1014</v>
      </c>
      <c r="Z14" s="661">
        <v>960</v>
      </c>
      <c r="AA14" s="714">
        <f>AA7*0.5</f>
        <v>1597</v>
      </c>
      <c r="AB14" s="714">
        <v>199.99999999999994</v>
      </c>
      <c r="AC14" s="714">
        <f>AB14</f>
        <v>199.99999999999994</v>
      </c>
      <c r="AD14" s="714">
        <f t="shared" ref="AD14:AJ14" si="102">AC14</f>
        <v>199.99999999999994</v>
      </c>
      <c r="AE14" s="714">
        <f t="shared" si="102"/>
        <v>199.99999999999994</v>
      </c>
      <c r="AF14" s="714">
        <f t="shared" si="102"/>
        <v>199.99999999999994</v>
      </c>
      <c r="AG14" s="714">
        <f t="shared" si="102"/>
        <v>199.99999999999994</v>
      </c>
      <c r="AH14" s="714">
        <f t="shared" si="102"/>
        <v>199.99999999999994</v>
      </c>
      <c r="AI14" s="714">
        <f t="shared" si="102"/>
        <v>199.99999999999994</v>
      </c>
      <c r="AJ14" s="714">
        <f t="shared" si="102"/>
        <v>199.99999999999994</v>
      </c>
      <c r="AK14" s="711" t="s">
        <v>384</v>
      </c>
      <c r="AL14" s="711" t="s">
        <v>742</v>
      </c>
      <c r="AM14" s="711" t="s">
        <v>743</v>
      </c>
      <c r="AN14" s="711" t="s">
        <v>377</v>
      </c>
      <c r="AO14" s="711" t="s">
        <v>1</v>
      </c>
      <c r="AP14" s="711" t="s">
        <v>378</v>
      </c>
      <c r="AQ14" s="711" t="s">
        <v>378</v>
      </c>
      <c r="AR14" s="711" t="s">
        <v>378</v>
      </c>
      <c r="AS14" s="715" t="s">
        <v>744</v>
      </c>
      <c r="AT14" s="715" t="s">
        <v>745</v>
      </c>
      <c r="AU14" s="715" t="s">
        <v>771</v>
      </c>
      <c r="AV14" s="662">
        <v>20</v>
      </c>
      <c r="AW14" s="662">
        <f>AV14</f>
        <v>20</v>
      </c>
      <c r="AX14" s="711" t="s">
        <v>397</v>
      </c>
      <c r="AY14" s="716">
        <v>1</v>
      </c>
      <c r="AZ14" s="716">
        <v>1</v>
      </c>
      <c r="BA14" s="717">
        <v>0</v>
      </c>
      <c r="BB14" s="721">
        <f t="shared" si="74"/>
        <v>0</v>
      </c>
      <c r="BC14" s="499">
        <f t="shared" si="43"/>
        <v>0</v>
      </c>
      <c r="BD14" s="499">
        <f t="shared" si="43"/>
        <v>0</v>
      </c>
      <c r="BE14" s="499">
        <f t="shared" si="43"/>
        <v>0</v>
      </c>
      <c r="BF14" s="499">
        <f t="shared" si="75"/>
        <v>0</v>
      </c>
      <c r="BG14" s="499">
        <f t="shared" si="76"/>
        <v>0</v>
      </c>
      <c r="BH14" s="499">
        <f t="shared" si="76"/>
        <v>0</v>
      </c>
      <c r="BI14" s="721">
        <f t="shared" si="77"/>
        <v>0</v>
      </c>
      <c r="BJ14" s="499">
        <f t="shared" si="6"/>
        <v>0</v>
      </c>
      <c r="BK14" s="499">
        <f t="shared" si="6"/>
        <v>0</v>
      </c>
      <c r="BL14" s="499">
        <f t="shared" si="6"/>
        <v>0</v>
      </c>
      <c r="BM14" s="499">
        <f t="shared" si="6"/>
        <v>0</v>
      </c>
      <c r="BN14" s="499">
        <f t="shared" si="6"/>
        <v>0</v>
      </c>
      <c r="BO14" s="499">
        <f t="shared" si="6"/>
        <v>0</v>
      </c>
      <c r="BP14" s="721">
        <f t="shared" si="78"/>
        <v>0</v>
      </c>
      <c r="BQ14" s="499">
        <f t="shared" si="79"/>
        <v>0</v>
      </c>
      <c r="BR14" s="499">
        <f t="shared" si="12"/>
        <v>0</v>
      </c>
      <c r="BS14" s="499">
        <f t="shared" si="12"/>
        <v>0</v>
      </c>
      <c r="BT14" s="499">
        <f t="shared" si="12"/>
        <v>0</v>
      </c>
      <c r="BU14" s="499">
        <f t="shared" si="12"/>
        <v>0</v>
      </c>
      <c r="BV14" s="499">
        <f t="shared" si="12"/>
        <v>0</v>
      </c>
      <c r="BW14" s="774">
        <f t="shared" si="80"/>
        <v>825</v>
      </c>
      <c r="BX14" s="503">
        <f t="shared" si="15"/>
        <v>825</v>
      </c>
      <c r="BY14" s="503">
        <f t="shared" si="15"/>
        <v>825</v>
      </c>
      <c r="BZ14" s="503">
        <f t="shared" si="15"/>
        <v>825</v>
      </c>
      <c r="CA14" s="503">
        <f t="shared" si="15"/>
        <v>825</v>
      </c>
      <c r="CB14" s="503">
        <f t="shared" si="15"/>
        <v>825</v>
      </c>
      <c r="CC14" s="503">
        <f t="shared" si="15"/>
        <v>825</v>
      </c>
      <c r="CD14" s="722">
        <f t="shared" si="81"/>
        <v>608.59746373390487</v>
      </c>
      <c r="CE14" s="511">
        <f t="shared" si="82"/>
        <v>608.59746373390487</v>
      </c>
      <c r="CF14" s="511">
        <f t="shared" si="82"/>
        <v>608.59746373390487</v>
      </c>
      <c r="CG14" s="511">
        <f t="shared" si="82"/>
        <v>608.59746373390487</v>
      </c>
      <c r="CH14" s="511">
        <f t="shared" si="82"/>
        <v>608.59746373390487</v>
      </c>
      <c r="CI14" s="511">
        <f t="shared" si="82"/>
        <v>608.59746373390487</v>
      </c>
      <c r="CJ14" s="511">
        <f t="shared" si="82"/>
        <v>608.59746373390487</v>
      </c>
      <c r="CK14" s="722">
        <f t="shared" si="83"/>
        <v>5.1495876542867872E-2</v>
      </c>
      <c r="CL14" s="511">
        <f t="shared" si="19"/>
        <v>5.1495876542867872E-2</v>
      </c>
      <c r="CM14" s="511">
        <f t="shared" si="19"/>
        <v>5.1495876542867872E-2</v>
      </c>
      <c r="CN14" s="511">
        <f t="shared" si="19"/>
        <v>5.1495876542867872E-2</v>
      </c>
      <c r="CO14" s="511">
        <f t="shared" si="19"/>
        <v>5.1495876542867872E-2</v>
      </c>
      <c r="CP14" s="511">
        <f t="shared" si="19"/>
        <v>5.1495876542867872E-2</v>
      </c>
      <c r="CQ14" s="511">
        <f t="shared" si="19"/>
        <v>5.1495876542867872E-2</v>
      </c>
      <c r="CR14" s="722">
        <f t="shared" si="84"/>
        <v>0</v>
      </c>
      <c r="CS14" s="511">
        <f t="shared" si="23"/>
        <v>0</v>
      </c>
      <c r="CT14" s="511">
        <f t="shared" si="23"/>
        <v>0</v>
      </c>
      <c r="CU14" s="511">
        <f t="shared" si="23"/>
        <v>0</v>
      </c>
      <c r="CV14" s="511">
        <f t="shared" si="85"/>
        <v>0</v>
      </c>
      <c r="CW14" s="511">
        <f t="shared" si="86"/>
        <v>0</v>
      </c>
      <c r="CX14" s="511">
        <f t="shared" si="86"/>
        <v>0</v>
      </c>
      <c r="CY14" s="837">
        <f t="shared" si="87"/>
        <v>0</v>
      </c>
      <c r="CZ14" s="508">
        <f t="shared" si="87"/>
        <v>0</v>
      </c>
      <c r="DA14" s="508">
        <f t="shared" si="87"/>
        <v>0</v>
      </c>
      <c r="DB14" s="508">
        <f t="shared" si="87"/>
        <v>0</v>
      </c>
      <c r="DC14" s="508">
        <f t="shared" si="87"/>
        <v>0</v>
      </c>
      <c r="DD14" s="508">
        <f t="shared" si="87"/>
        <v>0</v>
      </c>
      <c r="DE14" s="509">
        <f t="shared" si="87"/>
        <v>0</v>
      </c>
      <c r="DF14" s="837">
        <f t="shared" si="88"/>
        <v>0</v>
      </c>
      <c r="DG14" s="508">
        <f t="shared" si="88"/>
        <v>0</v>
      </c>
      <c r="DH14" s="508">
        <f t="shared" si="88"/>
        <v>0</v>
      </c>
      <c r="DI14" s="508">
        <f t="shared" si="88"/>
        <v>0</v>
      </c>
      <c r="DJ14" s="508">
        <f t="shared" si="88"/>
        <v>0</v>
      </c>
      <c r="DK14" s="508">
        <f t="shared" si="88"/>
        <v>0</v>
      </c>
      <c r="DL14" s="450">
        <f t="shared" si="88"/>
        <v>0</v>
      </c>
      <c r="DM14" s="837">
        <f t="shared" si="89"/>
        <v>0</v>
      </c>
      <c r="DN14" s="508">
        <f t="shared" si="89"/>
        <v>0</v>
      </c>
      <c r="DO14" s="508">
        <f t="shared" si="89"/>
        <v>0</v>
      </c>
      <c r="DP14" s="508">
        <f t="shared" si="89"/>
        <v>0</v>
      </c>
      <c r="DQ14" s="508">
        <f t="shared" si="89"/>
        <v>0</v>
      </c>
      <c r="DR14" s="508">
        <f t="shared" si="89"/>
        <v>0</v>
      </c>
      <c r="DS14" s="451">
        <f t="shared" si="89"/>
        <v>0</v>
      </c>
      <c r="DT14" s="450">
        <f t="shared" si="90"/>
        <v>164999.99999999994</v>
      </c>
      <c r="DU14" s="508">
        <f t="shared" si="90"/>
        <v>164999.99999999994</v>
      </c>
      <c r="DV14" s="508">
        <f t="shared" si="90"/>
        <v>164999.99999999994</v>
      </c>
      <c r="DW14" s="508">
        <f t="shared" si="90"/>
        <v>164999.99999999994</v>
      </c>
      <c r="DX14" s="508">
        <f t="shared" si="90"/>
        <v>164999.99999999994</v>
      </c>
      <c r="DY14" s="508">
        <f t="shared" si="90"/>
        <v>164999.99999999994</v>
      </c>
      <c r="DZ14" s="451">
        <f t="shared" si="90"/>
        <v>164999.99999999994</v>
      </c>
      <c r="EA14" s="507">
        <f t="shared" si="91"/>
        <v>121719.49274678095</v>
      </c>
      <c r="EB14" s="507">
        <f t="shared" si="91"/>
        <v>121719.49274678095</v>
      </c>
      <c r="EC14" s="507">
        <f t="shared" si="91"/>
        <v>121719.49274678095</v>
      </c>
      <c r="ED14" s="507">
        <f t="shared" si="91"/>
        <v>121719.49274678095</v>
      </c>
      <c r="EE14" s="507">
        <f t="shared" si="91"/>
        <v>121719.49274678095</v>
      </c>
      <c r="EF14" s="507">
        <f t="shared" si="91"/>
        <v>121719.49274678095</v>
      </c>
      <c r="EG14" s="507">
        <f t="shared" si="91"/>
        <v>121719.49274678095</v>
      </c>
      <c r="EH14" s="722">
        <f t="shared" si="92"/>
        <v>10.299175308573572</v>
      </c>
      <c r="EI14" s="511">
        <f t="shared" si="92"/>
        <v>10.299175308573572</v>
      </c>
      <c r="EJ14" s="511">
        <f t="shared" si="92"/>
        <v>10.299175308573572</v>
      </c>
      <c r="EK14" s="511">
        <f t="shared" si="92"/>
        <v>10.299175308573572</v>
      </c>
      <c r="EL14" s="511">
        <f t="shared" si="92"/>
        <v>10.299175308573572</v>
      </c>
      <c r="EM14" s="511">
        <f t="shared" si="92"/>
        <v>10.299175308573572</v>
      </c>
      <c r="EN14" s="539">
        <f t="shared" si="92"/>
        <v>10.299175308573572</v>
      </c>
      <c r="EO14" s="838">
        <f t="shared" si="93"/>
        <v>0</v>
      </c>
      <c r="EP14" s="511">
        <f t="shared" si="93"/>
        <v>0</v>
      </c>
      <c r="EQ14" s="511">
        <f t="shared" si="93"/>
        <v>0</v>
      </c>
      <c r="ER14" s="511">
        <f t="shared" si="93"/>
        <v>0</v>
      </c>
      <c r="ES14" s="511">
        <f t="shared" si="93"/>
        <v>0</v>
      </c>
      <c r="ET14" s="511">
        <f t="shared" si="93"/>
        <v>0</v>
      </c>
      <c r="EU14" s="453">
        <f t="shared" si="93"/>
        <v>0</v>
      </c>
      <c r="EV14" s="727">
        <f t="shared" si="94"/>
        <v>1599.9999999999998</v>
      </c>
      <c r="EW14" s="728">
        <f t="shared" si="95"/>
        <v>0</v>
      </c>
      <c r="EX14" s="728">
        <f t="shared" si="96"/>
        <v>0</v>
      </c>
      <c r="EY14" s="728">
        <f t="shared" si="97"/>
        <v>0</v>
      </c>
      <c r="EZ14" s="728">
        <f t="shared" si="98"/>
        <v>1154999.9999999998</v>
      </c>
      <c r="FA14" s="777">
        <f t="shared" si="99"/>
        <v>852036.44922746671</v>
      </c>
      <c r="FB14" s="777">
        <f t="shared" si="100"/>
        <v>72.094227160015009</v>
      </c>
      <c r="FC14" s="778">
        <f t="shared" si="101"/>
        <v>0</v>
      </c>
    </row>
    <row r="15" spans="1:171" s="556" customFormat="1" ht="12.75" hidden="1" customHeight="1">
      <c r="A15" s="877" t="s">
        <v>175</v>
      </c>
      <c r="B15" s="878" t="s">
        <v>773</v>
      </c>
      <c r="C15" s="878" t="s">
        <v>749</v>
      </c>
      <c r="D15" s="878" t="s">
        <v>750</v>
      </c>
      <c r="E15" s="878" t="s">
        <v>331</v>
      </c>
      <c r="F15" s="879" t="s">
        <v>372</v>
      </c>
      <c r="G15" s="879">
        <v>0</v>
      </c>
      <c r="H15" s="879">
        <v>0</v>
      </c>
      <c r="I15" s="879">
        <v>0</v>
      </c>
      <c r="J15" s="879">
        <v>0</v>
      </c>
      <c r="K15" s="879">
        <v>0</v>
      </c>
      <c r="L15" s="847" t="s">
        <v>751</v>
      </c>
      <c r="M15" s="843">
        <v>0</v>
      </c>
      <c r="N15" s="880">
        <v>0</v>
      </c>
      <c r="O15" s="843">
        <v>0</v>
      </c>
      <c r="P15" s="841">
        <f t="shared" si="72"/>
        <v>0</v>
      </c>
      <c r="Q15" s="844">
        <f t="shared" ref="Q15:T17" si="103">Q8</f>
        <v>0</v>
      </c>
      <c r="R15" s="844">
        <f t="shared" si="103"/>
        <v>1.5727978776865969E-3</v>
      </c>
      <c r="S15" s="844">
        <f t="shared" si="103"/>
        <v>0</v>
      </c>
      <c r="T15" s="841" t="str">
        <f t="shared" si="103"/>
        <v>Based on the Mid Atlantic TRM v10 (p 133) for the residential measure "Faucet Aerators" for the bathroom. Engineering Calculation.</v>
      </c>
      <c r="U15" s="845"/>
      <c r="V15" s="846"/>
      <c r="W15" s="877"/>
      <c r="X15" s="877"/>
      <c r="Y15" s="877"/>
      <c r="Z15" s="877"/>
      <c r="AA15" s="844"/>
      <c r="AB15" s="557"/>
      <c r="AC15" s="844"/>
      <c r="AD15" s="844">
        <v>0</v>
      </c>
      <c r="AE15" s="844">
        <v>0</v>
      </c>
      <c r="AF15" s="844">
        <v>0</v>
      </c>
      <c r="AG15" s="844">
        <v>0</v>
      </c>
      <c r="AH15" s="844">
        <v>0</v>
      </c>
      <c r="AI15" s="844">
        <v>0</v>
      </c>
      <c r="AJ15" s="844">
        <v>0</v>
      </c>
      <c r="AK15" s="847" t="s">
        <v>384</v>
      </c>
      <c r="AL15" s="847" t="s">
        <v>375</v>
      </c>
      <c r="AM15" s="847" t="s">
        <v>743</v>
      </c>
      <c r="AN15" s="847" t="s">
        <v>753</v>
      </c>
      <c r="AO15" s="847" t="s">
        <v>1</v>
      </c>
      <c r="AP15" s="847" t="s">
        <v>378</v>
      </c>
      <c r="AQ15" s="847" t="s">
        <v>378</v>
      </c>
      <c r="AR15" s="847" t="s">
        <v>378</v>
      </c>
      <c r="AS15" s="848" t="s">
        <v>754</v>
      </c>
      <c r="AT15" s="848" t="s">
        <v>755</v>
      </c>
      <c r="AU15" s="848" t="s">
        <v>771</v>
      </c>
      <c r="AV15" s="839">
        <v>10</v>
      </c>
      <c r="AW15" s="839">
        <v>10</v>
      </c>
      <c r="AX15" s="847" t="s">
        <v>756</v>
      </c>
      <c r="AY15" s="849">
        <v>1</v>
      </c>
      <c r="AZ15" s="849">
        <v>1</v>
      </c>
      <c r="BA15" s="850">
        <v>0</v>
      </c>
      <c r="BB15" s="851">
        <f t="shared" si="74"/>
        <v>0</v>
      </c>
      <c r="BC15" s="852">
        <f t="shared" ref="BC15:BE17" si="104">BB15</f>
        <v>0</v>
      </c>
      <c r="BD15" s="852">
        <f t="shared" si="104"/>
        <v>0</v>
      </c>
      <c r="BE15" s="852">
        <f t="shared" si="104"/>
        <v>0</v>
      </c>
      <c r="BF15" s="852">
        <f t="shared" si="75"/>
        <v>0</v>
      </c>
      <c r="BG15" s="852">
        <f t="shared" ref="BG15:BH17" si="105">BD15</f>
        <v>0</v>
      </c>
      <c r="BH15" s="852">
        <f t="shared" si="105"/>
        <v>0</v>
      </c>
      <c r="BI15" s="851">
        <f t="shared" si="77"/>
        <v>0</v>
      </c>
      <c r="BJ15" s="852">
        <f t="shared" ref="BJ15:BO17" si="106">BI15</f>
        <v>0</v>
      </c>
      <c r="BK15" s="852">
        <f t="shared" si="106"/>
        <v>0</v>
      </c>
      <c r="BL15" s="852">
        <f t="shared" si="106"/>
        <v>0</v>
      </c>
      <c r="BM15" s="852">
        <f t="shared" si="106"/>
        <v>0</v>
      </c>
      <c r="BN15" s="852">
        <f t="shared" si="106"/>
        <v>0</v>
      </c>
      <c r="BO15" s="852">
        <f t="shared" si="106"/>
        <v>0</v>
      </c>
      <c r="BP15" s="851">
        <f t="shared" si="78"/>
        <v>0</v>
      </c>
      <c r="BQ15" s="852">
        <f t="shared" si="79"/>
        <v>0</v>
      </c>
      <c r="BR15" s="852">
        <f t="shared" ref="BR15:BV17" si="107">BQ15</f>
        <v>0</v>
      </c>
      <c r="BS15" s="852">
        <f t="shared" si="107"/>
        <v>0</v>
      </c>
      <c r="BT15" s="852">
        <f t="shared" si="107"/>
        <v>0</v>
      </c>
      <c r="BU15" s="852">
        <f t="shared" si="107"/>
        <v>0</v>
      </c>
      <c r="BV15" s="852">
        <f t="shared" si="107"/>
        <v>0</v>
      </c>
      <c r="BW15" s="853">
        <f t="shared" si="80"/>
        <v>0</v>
      </c>
      <c r="BX15" s="854">
        <f t="shared" ref="BX15:CC17" si="108">$P15</f>
        <v>0</v>
      </c>
      <c r="BY15" s="854">
        <f t="shared" si="108"/>
        <v>0</v>
      </c>
      <c r="BZ15" s="854">
        <f t="shared" si="108"/>
        <v>0</v>
      </c>
      <c r="CA15" s="854">
        <f t="shared" si="108"/>
        <v>0</v>
      </c>
      <c r="CB15" s="854">
        <f t="shared" si="108"/>
        <v>0</v>
      </c>
      <c r="CC15" s="854">
        <f t="shared" si="108"/>
        <v>0</v>
      </c>
      <c r="CD15" s="855">
        <f t="shared" si="81"/>
        <v>0</v>
      </c>
      <c r="CE15" s="856">
        <f t="shared" ref="CE15:CJ17" si="109">CD15</f>
        <v>0</v>
      </c>
      <c r="CF15" s="856">
        <f t="shared" si="109"/>
        <v>0</v>
      </c>
      <c r="CG15" s="856">
        <f t="shared" si="109"/>
        <v>0</v>
      </c>
      <c r="CH15" s="856">
        <f t="shared" si="109"/>
        <v>0</v>
      </c>
      <c r="CI15" s="856">
        <f t="shared" si="109"/>
        <v>0</v>
      </c>
      <c r="CJ15" s="856">
        <f t="shared" si="109"/>
        <v>0</v>
      </c>
      <c r="CK15" s="855">
        <f t="shared" si="83"/>
        <v>1.5727978776865969E-3</v>
      </c>
      <c r="CL15" s="856">
        <f t="shared" ref="CL15:CQ17" si="110">CK15</f>
        <v>1.5727978776865969E-3</v>
      </c>
      <c r="CM15" s="856">
        <f t="shared" si="110"/>
        <v>1.5727978776865969E-3</v>
      </c>
      <c r="CN15" s="856">
        <f t="shared" si="110"/>
        <v>1.5727978776865969E-3</v>
      </c>
      <c r="CO15" s="856">
        <f t="shared" si="110"/>
        <v>1.5727978776865969E-3</v>
      </c>
      <c r="CP15" s="856">
        <f t="shared" si="110"/>
        <v>1.5727978776865969E-3</v>
      </c>
      <c r="CQ15" s="856">
        <f t="shared" si="110"/>
        <v>1.5727978776865969E-3</v>
      </c>
      <c r="CR15" s="855">
        <f t="shared" si="84"/>
        <v>0</v>
      </c>
      <c r="CS15" s="856">
        <f t="shared" ref="CS15:CU17" si="111">CR15</f>
        <v>0</v>
      </c>
      <c r="CT15" s="856">
        <f t="shared" si="111"/>
        <v>0</v>
      </c>
      <c r="CU15" s="856">
        <f t="shared" si="111"/>
        <v>0</v>
      </c>
      <c r="CV15" s="856">
        <f t="shared" si="85"/>
        <v>0</v>
      </c>
      <c r="CW15" s="856">
        <f t="shared" ref="CW15:CX17" si="112">CV15</f>
        <v>0</v>
      </c>
      <c r="CX15" s="856">
        <f t="shared" si="112"/>
        <v>0</v>
      </c>
      <c r="CY15" s="857">
        <f t="shared" si="87"/>
        <v>0</v>
      </c>
      <c r="CZ15" s="858">
        <f t="shared" si="87"/>
        <v>0</v>
      </c>
      <c r="DA15" s="858">
        <f t="shared" si="87"/>
        <v>0</v>
      </c>
      <c r="DB15" s="858">
        <f t="shared" si="87"/>
        <v>0</v>
      </c>
      <c r="DC15" s="858">
        <f t="shared" si="87"/>
        <v>0</v>
      </c>
      <c r="DD15" s="858">
        <f t="shared" si="87"/>
        <v>0</v>
      </c>
      <c r="DE15" s="859">
        <f t="shared" si="87"/>
        <v>0</v>
      </c>
      <c r="DF15" s="857">
        <f t="shared" si="88"/>
        <v>0</v>
      </c>
      <c r="DG15" s="858">
        <f t="shared" si="88"/>
        <v>0</v>
      </c>
      <c r="DH15" s="858">
        <f t="shared" si="88"/>
        <v>0</v>
      </c>
      <c r="DI15" s="858">
        <f t="shared" si="88"/>
        <v>0</v>
      </c>
      <c r="DJ15" s="858">
        <f t="shared" si="88"/>
        <v>0</v>
      </c>
      <c r="DK15" s="858">
        <f t="shared" si="88"/>
        <v>0</v>
      </c>
      <c r="DL15" s="552">
        <f t="shared" si="88"/>
        <v>0</v>
      </c>
      <c r="DM15" s="857">
        <f t="shared" si="89"/>
        <v>0</v>
      </c>
      <c r="DN15" s="858">
        <f t="shared" si="89"/>
        <v>0</v>
      </c>
      <c r="DO15" s="858">
        <f t="shared" si="89"/>
        <v>0</v>
      </c>
      <c r="DP15" s="858">
        <f t="shared" si="89"/>
        <v>0</v>
      </c>
      <c r="DQ15" s="858">
        <f t="shared" si="89"/>
        <v>0</v>
      </c>
      <c r="DR15" s="858">
        <f t="shared" si="89"/>
        <v>0</v>
      </c>
      <c r="DS15" s="553">
        <f t="shared" si="89"/>
        <v>0</v>
      </c>
      <c r="DT15" s="552">
        <f t="shared" si="90"/>
        <v>0</v>
      </c>
      <c r="DU15" s="858">
        <f t="shared" si="90"/>
        <v>0</v>
      </c>
      <c r="DV15" s="858">
        <f t="shared" si="90"/>
        <v>0</v>
      </c>
      <c r="DW15" s="858">
        <f t="shared" si="90"/>
        <v>0</v>
      </c>
      <c r="DX15" s="858">
        <f t="shared" si="90"/>
        <v>0</v>
      </c>
      <c r="DY15" s="858">
        <f t="shared" si="90"/>
        <v>0</v>
      </c>
      <c r="DZ15" s="553">
        <f t="shared" si="90"/>
        <v>0</v>
      </c>
      <c r="EA15" s="862">
        <f t="shared" si="91"/>
        <v>0</v>
      </c>
      <c r="EB15" s="862">
        <f t="shared" si="91"/>
        <v>0</v>
      </c>
      <c r="EC15" s="862">
        <f t="shared" si="91"/>
        <v>0</v>
      </c>
      <c r="ED15" s="862">
        <f t="shared" si="91"/>
        <v>0</v>
      </c>
      <c r="EE15" s="862">
        <f t="shared" si="91"/>
        <v>0</v>
      </c>
      <c r="EF15" s="862">
        <f t="shared" si="91"/>
        <v>0</v>
      </c>
      <c r="EG15" s="862">
        <f t="shared" si="91"/>
        <v>0</v>
      </c>
      <c r="EH15" s="855">
        <f t="shared" si="92"/>
        <v>0</v>
      </c>
      <c r="EI15" s="856">
        <f t="shared" si="92"/>
        <v>0</v>
      </c>
      <c r="EJ15" s="856">
        <f t="shared" si="92"/>
        <v>0</v>
      </c>
      <c r="EK15" s="856">
        <f t="shared" si="92"/>
        <v>0</v>
      </c>
      <c r="EL15" s="856">
        <f t="shared" si="92"/>
        <v>0</v>
      </c>
      <c r="EM15" s="856">
        <f t="shared" si="92"/>
        <v>0</v>
      </c>
      <c r="EN15" s="863">
        <f t="shared" si="92"/>
        <v>0</v>
      </c>
      <c r="EO15" s="864">
        <f t="shared" si="93"/>
        <v>0</v>
      </c>
      <c r="EP15" s="856">
        <f t="shared" si="93"/>
        <v>0</v>
      </c>
      <c r="EQ15" s="856">
        <f t="shared" si="93"/>
        <v>0</v>
      </c>
      <c r="ER15" s="856">
        <f t="shared" si="93"/>
        <v>0</v>
      </c>
      <c r="ES15" s="856">
        <f t="shared" si="93"/>
        <v>0</v>
      </c>
      <c r="ET15" s="856">
        <f t="shared" si="93"/>
        <v>0</v>
      </c>
      <c r="EU15" s="555">
        <f t="shared" si="93"/>
        <v>0</v>
      </c>
      <c r="EV15" s="865">
        <f t="shared" si="94"/>
        <v>0</v>
      </c>
      <c r="EW15" s="866">
        <f t="shared" si="95"/>
        <v>0</v>
      </c>
      <c r="EX15" s="866">
        <f t="shared" si="96"/>
        <v>0</v>
      </c>
      <c r="EY15" s="866">
        <f t="shared" si="97"/>
        <v>0</v>
      </c>
      <c r="EZ15" s="866">
        <f t="shared" si="98"/>
        <v>0</v>
      </c>
      <c r="FA15" s="867">
        <f t="shared" si="99"/>
        <v>0</v>
      </c>
      <c r="FB15" s="867">
        <f t="shared" si="100"/>
        <v>0</v>
      </c>
      <c r="FC15" s="868">
        <f t="shared" si="101"/>
        <v>0</v>
      </c>
      <c r="FD15" s="10"/>
      <c r="FE15" s="10"/>
      <c r="FF15" s="10"/>
      <c r="FG15" s="10"/>
      <c r="FH15" s="10"/>
      <c r="FI15" s="10"/>
      <c r="FJ15" s="10"/>
      <c r="FK15" s="10"/>
      <c r="FL15" s="10"/>
      <c r="FM15" s="10"/>
      <c r="FN15" s="10"/>
      <c r="FO15" s="10"/>
    </row>
    <row r="16" spans="1:171" s="556" customFormat="1" ht="12.75" hidden="1" customHeight="1">
      <c r="A16" s="877" t="s">
        <v>176</v>
      </c>
      <c r="B16" s="878" t="s">
        <v>774</v>
      </c>
      <c r="C16" s="878" t="s">
        <v>758</v>
      </c>
      <c r="D16" s="878" t="s">
        <v>750</v>
      </c>
      <c r="E16" s="878" t="s">
        <v>331</v>
      </c>
      <c r="F16" s="879" t="s">
        <v>372</v>
      </c>
      <c r="G16" s="879">
        <v>0</v>
      </c>
      <c r="H16" s="879">
        <v>0</v>
      </c>
      <c r="I16" s="879">
        <v>0</v>
      </c>
      <c r="J16" s="879">
        <v>0</v>
      </c>
      <c r="K16" s="879">
        <v>0</v>
      </c>
      <c r="L16" s="847" t="s">
        <v>751</v>
      </c>
      <c r="M16" s="843">
        <v>0</v>
      </c>
      <c r="N16" s="880">
        <v>0</v>
      </c>
      <c r="O16" s="843">
        <v>0</v>
      </c>
      <c r="P16" s="841">
        <f t="shared" si="72"/>
        <v>0</v>
      </c>
      <c r="Q16" s="844">
        <f t="shared" si="103"/>
        <v>0</v>
      </c>
      <c r="R16" s="844">
        <f t="shared" si="103"/>
        <v>1.1993826010613807E-3</v>
      </c>
      <c r="S16" s="844">
        <f t="shared" si="103"/>
        <v>0</v>
      </c>
      <c r="T16" s="841" t="str">
        <f t="shared" si="103"/>
        <v>Based on the Mid Atlantic TRM v10 (p 133) for the residential measure "Faucet Aerators" for the bathroom. Engineering Calculation.</v>
      </c>
      <c r="U16" s="845"/>
      <c r="V16" s="846"/>
      <c r="W16" s="877"/>
      <c r="X16" s="877"/>
      <c r="Y16" s="877"/>
      <c r="Z16" s="877"/>
      <c r="AA16" s="844"/>
      <c r="AB16" s="557"/>
      <c r="AC16" s="844"/>
      <c r="AD16" s="844">
        <v>0</v>
      </c>
      <c r="AE16" s="844">
        <v>0</v>
      </c>
      <c r="AF16" s="844">
        <v>0</v>
      </c>
      <c r="AG16" s="844">
        <v>0</v>
      </c>
      <c r="AH16" s="844">
        <v>0</v>
      </c>
      <c r="AI16" s="844">
        <v>0</v>
      </c>
      <c r="AJ16" s="844">
        <v>0</v>
      </c>
      <c r="AK16" s="847" t="s">
        <v>384</v>
      </c>
      <c r="AL16" s="847" t="s">
        <v>375</v>
      </c>
      <c r="AM16" s="847" t="s">
        <v>743</v>
      </c>
      <c r="AN16" s="847" t="s">
        <v>753</v>
      </c>
      <c r="AO16" s="847" t="s">
        <v>1</v>
      </c>
      <c r="AP16" s="847" t="s">
        <v>378</v>
      </c>
      <c r="AQ16" s="847" t="s">
        <v>378</v>
      </c>
      <c r="AR16" s="847" t="s">
        <v>378</v>
      </c>
      <c r="AS16" s="848" t="s">
        <v>754</v>
      </c>
      <c r="AT16" s="848" t="s">
        <v>755</v>
      </c>
      <c r="AU16" s="848" t="s">
        <v>771</v>
      </c>
      <c r="AV16" s="839">
        <v>10</v>
      </c>
      <c r="AW16" s="839">
        <v>10</v>
      </c>
      <c r="AX16" s="847" t="s">
        <v>756</v>
      </c>
      <c r="AY16" s="849">
        <v>1</v>
      </c>
      <c r="AZ16" s="849">
        <v>1</v>
      </c>
      <c r="BA16" s="850">
        <v>0</v>
      </c>
      <c r="BB16" s="851">
        <f t="shared" si="74"/>
        <v>0</v>
      </c>
      <c r="BC16" s="852">
        <f t="shared" si="104"/>
        <v>0</v>
      </c>
      <c r="BD16" s="852">
        <f t="shared" si="104"/>
        <v>0</v>
      </c>
      <c r="BE16" s="852">
        <f t="shared" si="104"/>
        <v>0</v>
      </c>
      <c r="BF16" s="852">
        <f t="shared" si="75"/>
        <v>0</v>
      </c>
      <c r="BG16" s="852">
        <f t="shared" si="105"/>
        <v>0</v>
      </c>
      <c r="BH16" s="852">
        <f t="shared" si="105"/>
        <v>0</v>
      </c>
      <c r="BI16" s="851">
        <f t="shared" si="77"/>
        <v>0</v>
      </c>
      <c r="BJ16" s="852">
        <f t="shared" si="106"/>
        <v>0</v>
      </c>
      <c r="BK16" s="852">
        <f t="shared" si="106"/>
        <v>0</v>
      </c>
      <c r="BL16" s="852">
        <f t="shared" si="106"/>
        <v>0</v>
      </c>
      <c r="BM16" s="852">
        <f t="shared" si="106"/>
        <v>0</v>
      </c>
      <c r="BN16" s="852">
        <f t="shared" si="106"/>
        <v>0</v>
      </c>
      <c r="BO16" s="852">
        <f t="shared" si="106"/>
        <v>0</v>
      </c>
      <c r="BP16" s="851">
        <f t="shared" si="78"/>
        <v>0</v>
      </c>
      <c r="BQ16" s="852">
        <f t="shared" si="79"/>
        <v>0</v>
      </c>
      <c r="BR16" s="852">
        <f t="shared" si="107"/>
        <v>0</v>
      </c>
      <c r="BS16" s="852">
        <f t="shared" si="107"/>
        <v>0</v>
      </c>
      <c r="BT16" s="852">
        <f t="shared" si="107"/>
        <v>0</v>
      </c>
      <c r="BU16" s="852">
        <f t="shared" si="107"/>
        <v>0</v>
      </c>
      <c r="BV16" s="852">
        <f t="shared" si="107"/>
        <v>0</v>
      </c>
      <c r="BW16" s="853">
        <f t="shared" si="80"/>
        <v>0</v>
      </c>
      <c r="BX16" s="854">
        <f t="shared" si="108"/>
        <v>0</v>
      </c>
      <c r="BY16" s="854">
        <f t="shared" si="108"/>
        <v>0</v>
      </c>
      <c r="BZ16" s="854">
        <f t="shared" si="108"/>
        <v>0</v>
      </c>
      <c r="CA16" s="854">
        <f t="shared" si="108"/>
        <v>0</v>
      </c>
      <c r="CB16" s="854">
        <f t="shared" si="108"/>
        <v>0</v>
      </c>
      <c r="CC16" s="854">
        <f t="shared" si="108"/>
        <v>0</v>
      </c>
      <c r="CD16" s="855">
        <f t="shared" si="81"/>
        <v>0</v>
      </c>
      <c r="CE16" s="856">
        <f t="shared" si="109"/>
        <v>0</v>
      </c>
      <c r="CF16" s="856">
        <f t="shared" si="109"/>
        <v>0</v>
      </c>
      <c r="CG16" s="856">
        <f t="shared" si="109"/>
        <v>0</v>
      </c>
      <c r="CH16" s="856">
        <f t="shared" si="109"/>
        <v>0</v>
      </c>
      <c r="CI16" s="856">
        <f t="shared" si="109"/>
        <v>0</v>
      </c>
      <c r="CJ16" s="856">
        <f t="shared" si="109"/>
        <v>0</v>
      </c>
      <c r="CK16" s="855">
        <f t="shared" si="83"/>
        <v>1.1993826010613807E-3</v>
      </c>
      <c r="CL16" s="856">
        <f t="shared" si="110"/>
        <v>1.1993826010613807E-3</v>
      </c>
      <c r="CM16" s="856">
        <f t="shared" si="110"/>
        <v>1.1993826010613807E-3</v>
      </c>
      <c r="CN16" s="856">
        <f t="shared" si="110"/>
        <v>1.1993826010613807E-3</v>
      </c>
      <c r="CO16" s="856">
        <f t="shared" si="110"/>
        <v>1.1993826010613807E-3</v>
      </c>
      <c r="CP16" s="856">
        <f t="shared" si="110"/>
        <v>1.1993826010613807E-3</v>
      </c>
      <c r="CQ16" s="856">
        <f t="shared" si="110"/>
        <v>1.1993826010613807E-3</v>
      </c>
      <c r="CR16" s="855">
        <f t="shared" si="84"/>
        <v>0</v>
      </c>
      <c r="CS16" s="856">
        <f t="shared" si="111"/>
        <v>0</v>
      </c>
      <c r="CT16" s="856">
        <f t="shared" si="111"/>
        <v>0</v>
      </c>
      <c r="CU16" s="856">
        <f t="shared" si="111"/>
        <v>0</v>
      </c>
      <c r="CV16" s="856">
        <f t="shared" si="85"/>
        <v>0</v>
      </c>
      <c r="CW16" s="856">
        <f t="shared" si="112"/>
        <v>0</v>
      </c>
      <c r="CX16" s="856">
        <f t="shared" si="112"/>
        <v>0</v>
      </c>
      <c r="CY16" s="857">
        <f t="shared" si="87"/>
        <v>0</v>
      </c>
      <c r="CZ16" s="858">
        <f t="shared" si="87"/>
        <v>0</v>
      </c>
      <c r="DA16" s="858">
        <f t="shared" si="87"/>
        <v>0</v>
      </c>
      <c r="DB16" s="858">
        <f t="shared" si="87"/>
        <v>0</v>
      </c>
      <c r="DC16" s="858">
        <f t="shared" si="87"/>
        <v>0</v>
      </c>
      <c r="DD16" s="858">
        <f t="shared" si="87"/>
        <v>0</v>
      </c>
      <c r="DE16" s="859">
        <f t="shared" si="87"/>
        <v>0</v>
      </c>
      <c r="DF16" s="857">
        <f t="shared" si="88"/>
        <v>0</v>
      </c>
      <c r="DG16" s="858">
        <f t="shared" si="88"/>
        <v>0</v>
      </c>
      <c r="DH16" s="858">
        <f t="shared" si="88"/>
        <v>0</v>
      </c>
      <c r="DI16" s="858">
        <f t="shared" si="88"/>
        <v>0</v>
      </c>
      <c r="DJ16" s="858">
        <f t="shared" si="88"/>
        <v>0</v>
      </c>
      <c r="DK16" s="858">
        <f t="shared" si="88"/>
        <v>0</v>
      </c>
      <c r="DL16" s="552">
        <f t="shared" si="88"/>
        <v>0</v>
      </c>
      <c r="DM16" s="857">
        <f t="shared" si="89"/>
        <v>0</v>
      </c>
      <c r="DN16" s="858">
        <f t="shared" si="89"/>
        <v>0</v>
      </c>
      <c r="DO16" s="858">
        <f t="shared" si="89"/>
        <v>0</v>
      </c>
      <c r="DP16" s="858">
        <f t="shared" si="89"/>
        <v>0</v>
      </c>
      <c r="DQ16" s="858">
        <f t="shared" si="89"/>
        <v>0</v>
      </c>
      <c r="DR16" s="858">
        <f t="shared" si="89"/>
        <v>0</v>
      </c>
      <c r="DS16" s="553">
        <f t="shared" si="89"/>
        <v>0</v>
      </c>
      <c r="DT16" s="552">
        <f t="shared" si="90"/>
        <v>0</v>
      </c>
      <c r="DU16" s="858">
        <f t="shared" si="90"/>
        <v>0</v>
      </c>
      <c r="DV16" s="858">
        <f t="shared" si="90"/>
        <v>0</v>
      </c>
      <c r="DW16" s="858">
        <f t="shared" si="90"/>
        <v>0</v>
      </c>
      <c r="DX16" s="858">
        <f t="shared" si="90"/>
        <v>0</v>
      </c>
      <c r="DY16" s="858">
        <f t="shared" si="90"/>
        <v>0</v>
      </c>
      <c r="DZ16" s="553">
        <f t="shared" si="90"/>
        <v>0</v>
      </c>
      <c r="EA16" s="862">
        <f t="shared" si="91"/>
        <v>0</v>
      </c>
      <c r="EB16" s="862">
        <f t="shared" si="91"/>
        <v>0</v>
      </c>
      <c r="EC16" s="862">
        <f t="shared" si="91"/>
        <v>0</v>
      </c>
      <c r="ED16" s="862">
        <f t="shared" si="91"/>
        <v>0</v>
      </c>
      <c r="EE16" s="862">
        <f t="shared" si="91"/>
        <v>0</v>
      </c>
      <c r="EF16" s="862">
        <f t="shared" si="91"/>
        <v>0</v>
      </c>
      <c r="EG16" s="862">
        <f t="shared" si="91"/>
        <v>0</v>
      </c>
      <c r="EH16" s="855">
        <f t="shared" si="92"/>
        <v>0</v>
      </c>
      <c r="EI16" s="856">
        <f t="shared" si="92"/>
        <v>0</v>
      </c>
      <c r="EJ16" s="856">
        <f t="shared" si="92"/>
        <v>0</v>
      </c>
      <c r="EK16" s="856">
        <f t="shared" si="92"/>
        <v>0</v>
      </c>
      <c r="EL16" s="856">
        <f t="shared" si="92"/>
        <v>0</v>
      </c>
      <c r="EM16" s="856">
        <f t="shared" si="92"/>
        <v>0</v>
      </c>
      <c r="EN16" s="863">
        <f t="shared" si="92"/>
        <v>0</v>
      </c>
      <c r="EO16" s="864">
        <f t="shared" si="93"/>
        <v>0</v>
      </c>
      <c r="EP16" s="856">
        <f t="shared" si="93"/>
        <v>0</v>
      </c>
      <c r="EQ16" s="856">
        <f t="shared" si="93"/>
        <v>0</v>
      </c>
      <c r="ER16" s="856">
        <f t="shared" si="93"/>
        <v>0</v>
      </c>
      <c r="ES16" s="856">
        <f t="shared" si="93"/>
        <v>0</v>
      </c>
      <c r="ET16" s="856">
        <f t="shared" si="93"/>
        <v>0</v>
      </c>
      <c r="EU16" s="555">
        <f t="shared" si="93"/>
        <v>0</v>
      </c>
      <c r="EV16" s="865">
        <f t="shared" si="94"/>
        <v>0</v>
      </c>
      <c r="EW16" s="866">
        <f t="shared" si="95"/>
        <v>0</v>
      </c>
      <c r="EX16" s="866">
        <f t="shared" si="96"/>
        <v>0</v>
      </c>
      <c r="EY16" s="866">
        <f t="shared" si="97"/>
        <v>0</v>
      </c>
      <c r="EZ16" s="866">
        <f t="shared" si="98"/>
        <v>0</v>
      </c>
      <c r="FA16" s="867">
        <f t="shared" si="99"/>
        <v>0</v>
      </c>
      <c r="FB16" s="867">
        <f t="shared" si="100"/>
        <v>0</v>
      </c>
      <c r="FC16" s="868">
        <f t="shared" si="101"/>
        <v>0</v>
      </c>
      <c r="FD16" s="10"/>
      <c r="FE16" s="10"/>
      <c r="FF16" s="10"/>
      <c r="FG16" s="10"/>
      <c r="FH16" s="10"/>
      <c r="FI16" s="10"/>
      <c r="FJ16" s="10"/>
      <c r="FK16" s="10"/>
      <c r="FL16" s="10"/>
      <c r="FM16" s="10"/>
      <c r="FN16" s="10"/>
      <c r="FO16" s="10"/>
    </row>
    <row r="17" spans="1:171" s="556" customFormat="1" ht="12.75" hidden="1" customHeight="1">
      <c r="A17" s="877" t="s">
        <v>177</v>
      </c>
      <c r="B17" s="878" t="s">
        <v>775</v>
      </c>
      <c r="C17" s="878" t="s">
        <v>760</v>
      </c>
      <c r="D17" s="878" t="s">
        <v>761</v>
      </c>
      <c r="E17" s="878" t="s">
        <v>331</v>
      </c>
      <c r="F17" s="879" t="s">
        <v>372</v>
      </c>
      <c r="G17" s="879">
        <v>0</v>
      </c>
      <c r="H17" s="879">
        <v>0</v>
      </c>
      <c r="I17" s="879">
        <v>0</v>
      </c>
      <c r="J17" s="879">
        <v>0</v>
      </c>
      <c r="K17" s="879">
        <v>0</v>
      </c>
      <c r="L17" s="847" t="s">
        <v>751</v>
      </c>
      <c r="M17" s="843">
        <v>0</v>
      </c>
      <c r="N17" s="880">
        <v>0</v>
      </c>
      <c r="O17" s="843">
        <v>0</v>
      </c>
      <c r="P17" s="841">
        <f t="shared" si="72"/>
        <v>0</v>
      </c>
      <c r="Q17" s="844">
        <f t="shared" si="103"/>
        <v>0</v>
      </c>
      <c r="R17" s="844">
        <f t="shared" si="103"/>
        <v>9.3813961019929698E-3</v>
      </c>
      <c r="S17" s="844">
        <f t="shared" si="103"/>
        <v>0</v>
      </c>
      <c r="T17" s="841" t="str">
        <f t="shared" si="103"/>
        <v>Based on the Mid Atlantic TRM v10 (p 137) for the residential measure "Low Flow Showerhead". Engineering Calculation</v>
      </c>
      <c r="U17" s="845"/>
      <c r="V17" s="846"/>
      <c r="W17" s="877"/>
      <c r="X17" s="877"/>
      <c r="Y17" s="877"/>
      <c r="Z17" s="877"/>
      <c r="AA17" s="844"/>
      <c r="AB17" s="557"/>
      <c r="AC17" s="844"/>
      <c r="AD17" s="844">
        <v>0</v>
      </c>
      <c r="AE17" s="844">
        <v>0</v>
      </c>
      <c r="AF17" s="844">
        <v>0</v>
      </c>
      <c r="AG17" s="844">
        <v>0</v>
      </c>
      <c r="AH17" s="844">
        <v>0</v>
      </c>
      <c r="AI17" s="844">
        <v>0</v>
      </c>
      <c r="AJ17" s="844">
        <v>0</v>
      </c>
      <c r="AK17" s="847" t="s">
        <v>384</v>
      </c>
      <c r="AL17" s="847" t="s">
        <v>375</v>
      </c>
      <c r="AM17" s="847" t="s">
        <v>743</v>
      </c>
      <c r="AN17" s="847" t="s">
        <v>753</v>
      </c>
      <c r="AO17" s="847" t="s">
        <v>1</v>
      </c>
      <c r="AP17" s="847" t="s">
        <v>378</v>
      </c>
      <c r="AQ17" s="847" t="s">
        <v>378</v>
      </c>
      <c r="AR17" s="847" t="s">
        <v>378</v>
      </c>
      <c r="AS17" s="848" t="s">
        <v>754</v>
      </c>
      <c r="AT17" s="848" t="s">
        <v>755</v>
      </c>
      <c r="AU17" s="848" t="s">
        <v>771</v>
      </c>
      <c r="AV17" s="839">
        <v>10</v>
      </c>
      <c r="AW17" s="839">
        <v>10</v>
      </c>
      <c r="AX17" s="847" t="s">
        <v>756</v>
      </c>
      <c r="AY17" s="849">
        <v>1</v>
      </c>
      <c r="AZ17" s="849">
        <v>1</v>
      </c>
      <c r="BA17" s="850">
        <v>0</v>
      </c>
      <c r="BB17" s="851">
        <f t="shared" si="74"/>
        <v>0</v>
      </c>
      <c r="BC17" s="852">
        <f t="shared" si="104"/>
        <v>0</v>
      </c>
      <c r="BD17" s="852">
        <f t="shared" si="104"/>
        <v>0</v>
      </c>
      <c r="BE17" s="852">
        <f t="shared" si="104"/>
        <v>0</v>
      </c>
      <c r="BF17" s="852">
        <f t="shared" si="75"/>
        <v>0</v>
      </c>
      <c r="BG17" s="852">
        <f t="shared" si="105"/>
        <v>0</v>
      </c>
      <c r="BH17" s="852">
        <f t="shared" si="105"/>
        <v>0</v>
      </c>
      <c r="BI17" s="851">
        <f t="shared" si="77"/>
        <v>0</v>
      </c>
      <c r="BJ17" s="852">
        <f t="shared" si="106"/>
        <v>0</v>
      </c>
      <c r="BK17" s="852">
        <f t="shared" si="106"/>
        <v>0</v>
      </c>
      <c r="BL17" s="852">
        <f t="shared" si="106"/>
        <v>0</v>
      </c>
      <c r="BM17" s="852">
        <f t="shared" si="106"/>
        <v>0</v>
      </c>
      <c r="BN17" s="852">
        <f t="shared" si="106"/>
        <v>0</v>
      </c>
      <c r="BO17" s="852">
        <f t="shared" si="106"/>
        <v>0</v>
      </c>
      <c r="BP17" s="851">
        <f t="shared" si="78"/>
        <v>0</v>
      </c>
      <c r="BQ17" s="852">
        <f t="shared" si="79"/>
        <v>0</v>
      </c>
      <c r="BR17" s="852">
        <f t="shared" si="107"/>
        <v>0</v>
      </c>
      <c r="BS17" s="852">
        <f t="shared" si="107"/>
        <v>0</v>
      </c>
      <c r="BT17" s="852">
        <f t="shared" si="107"/>
        <v>0</v>
      </c>
      <c r="BU17" s="852">
        <f t="shared" si="107"/>
        <v>0</v>
      </c>
      <c r="BV17" s="852">
        <f t="shared" si="107"/>
        <v>0</v>
      </c>
      <c r="BW17" s="853">
        <f t="shared" si="80"/>
        <v>0</v>
      </c>
      <c r="BX17" s="854">
        <f t="shared" si="108"/>
        <v>0</v>
      </c>
      <c r="BY17" s="854">
        <f t="shared" si="108"/>
        <v>0</v>
      </c>
      <c r="BZ17" s="854">
        <f t="shared" si="108"/>
        <v>0</v>
      </c>
      <c r="CA17" s="854">
        <f t="shared" si="108"/>
        <v>0</v>
      </c>
      <c r="CB17" s="854">
        <f t="shared" si="108"/>
        <v>0</v>
      </c>
      <c r="CC17" s="854">
        <f t="shared" si="108"/>
        <v>0</v>
      </c>
      <c r="CD17" s="855">
        <f t="shared" si="81"/>
        <v>0</v>
      </c>
      <c r="CE17" s="856">
        <f t="shared" si="109"/>
        <v>0</v>
      </c>
      <c r="CF17" s="856">
        <f t="shared" si="109"/>
        <v>0</v>
      </c>
      <c r="CG17" s="856">
        <f t="shared" si="109"/>
        <v>0</v>
      </c>
      <c r="CH17" s="856">
        <f t="shared" si="109"/>
        <v>0</v>
      </c>
      <c r="CI17" s="856">
        <f t="shared" si="109"/>
        <v>0</v>
      </c>
      <c r="CJ17" s="856">
        <f t="shared" si="109"/>
        <v>0</v>
      </c>
      <c r="CK17" s="855">
        <f t="shared" si="83"/>
        <v>9.3813961019929698E-3</v>
      </c>
      <c r="CL17" s="856">
        <f t="shared" si="110"/>
        <v>9.3813961019929698E-3</v>
      </c>
      <c r="CM17" s="856">
        <f t="shared" si="110"/>
        <v>9.3813961019929698E-3</v>
      </c>
      <c r="CN17" s="856">
        <f t="shared" si="110"/>
        <v>9.3813961019929698E-3</v>
      </c>
      <c r="CO17" s="856">
        <f t="shared" si="110"/>
        <v>9.3813961019929698E-3</v>
      </c>
      <c r="CP17" s="856">
        <f t="shared" si="110"/>
        <v>9.3813961019929698E-3</v>
      </c>
      <c r="CQ17" s="856">
        <f t="shared" si="110"/>
        <v>9.3813961019929698E-3</v>
      </c>
      <c r="CR17" s="855">
        <f t="shared" si="84"/>
        <v>0</v>
      </c>
      <c r="CS17" s="856">
        <f t="shared" si="111"/>
        <v>0</v>
      </c>
      <c r="CT17" s="856">
        <f t="shared" si="111"/>
        <v>0</v>
      </c>
      <c r="CU17" s="856">
        <f t="shared" si="111"/>
        <v>0</v>
      </c>
      <c r="CV17" s="856">
        <f t="shared" si="85"/>
        <v>0</v>
      </c>
      <c r="CW17" s="856">
        <f t="shared" si="112"/>
        <v>0</v>
      </c>
      <c r="CX17" s="856">
        <f t="shared" si="112"/>
        <v>0</v>
      </c>
      <c r="CY17" s="857">
        <f t="shared" si="87"/>
        <v>0</v>
      </c>
      <c r="CZ17" s="858">
        <f t="shared" si="87"/>
        <v>0</v>
      </c>
      <c r="DA17" s="858">
        <f t="shared" si="87"/>
        <v>0</v>
      </c>
      <c r="DB17" s="858">
        <f t="shared" si="87"/>
        <v>0</v>
      </c>
      <c r="DC17" s="858">
        <f t="shared" si="87"/>
        <v>0</v>
      </c>
      <c r="DD17" s="858">
        <f t="shared" si="87"/>
        <v>0</v>
      </c>
      <c r="DE17" s="859">
        <f t="shared" si="87"/>
        <v>0</v>
      </c>
      <c r="DF17" s="857">
        <f t="shared" si="88"/>
        <v>0</v>
      </c>
      <c r="DG17" s="858">
        <f t="shared" si="88"/>
        <v>0</v>
      </c>
      <c r="DH17" s="858">
        <f t="shared" si="88"/>
        <v>0</v>
      </c>
      <c r="DI17" s="858">
        <f t="shared" si="88"/>
        <v>0</v>
      </c>
      <c r="DJ17" s="858">
        <f t="shared" si="88"/>
        <v>0</v>
      </c>
      <c r="DK17" s="858">
        <f t="shared" si="88"/>
        <v>0</v>
      </c>
      <c r="DL17" s="552">
        <f t="shared" si="88"/>
        <v>0</v>
      </c>
      <c r="DM17" s="857">
        <f t="shared" si="89"/>
        <v>0</v>
      </c>
      <c r="DN17" s="858">
        <f t="shared" si="89"/>
        <v>0</v>
      </c>
      <c r="DO17" s="858">
        <f t="shared" si="89"/>
        <v>0</v>
      </c>
      <c r="DP17" s="858">
        <f t="shared" si="89"/>
        <v>0</v>
      </c>
      <c r="DQ17" s="858">
        <f t="shared" si="89"/>
        <v>0</v>
      </c>
      <c r="DR17" s="858">
        <f t="shared" si="89"/>
        <v>0</v>
      </c>
      <c r="DS17" s="553">
        <f t="shared" si="89"/>
        <v>0</v>
      </c>
      <c r="DT17" s="552">
        <f t="shared" si="90"/>
        <v>0</v>
      </c>
      <c r="DU17" s="858">
        <f t="shared" si="90"/>
        <v>0</v>
      </c>
      <c r="DV17" s="858">
        <f t="shared" si="90"/>
        <v>0</v>
      </c>
      <c r="DW17" s="858">
        <f t="shared" si="90"/>
        <v>0</v>
      </c>
      <c r="DX17" s="858">
        <f t="shared" si="90"/>
        <v>0</v>
      </c>
      <c r="DY17" s="858">
        <f t="shared" si="90"/>
        <v>0</v>
      </c>
      <c r="DZ17" s="553">
        <f t="shared" si="90"/>
        <v>0</v>
      </c>
      <c r="EA17" s="862">
        <f t="shared" si="91"/>
        <v>0</v>
      </c>
      <c r="EB17" s="862">
        <f t="shared" si="91"/>
        <v>0</v>
      </c>
      <c r="EC17" s="862">
        <f t="shared" si="91"/>
        <v>0</v>
      </c>
      <c r="ED17" s="862">
        <f t="shared" si="91"/>
        <v>0</v>
      </c>
      <c r="EE17" s="862">
        <f t="shared" si="91"/>
        <v>0</v>
      </c>
      <c r="EF17" s="862">
        <f t="shared" si="91"/>
        <v>0</v>
      </c>
      <c r="EG17" s="862">
        <f t="shared" si="91"/>
        <v>0</v>
      </c>
      <c r="EH17" s="855">
        <f t="shared" si="92"/>
        <v>0</v>
      </c>
      <c r="EI17" s="856">
        <f t="shared" si="92"/>
        <v>0</v>
      </c>
      <c r="EJ17" s="856">
        <f t="shared" si="92"/>
        <v>0</v>
      </c>
      <c r="EK17" s="856">
        <f t="shared" si="92"/>
        <v>0</v>
      </c>
      <c r="EL17" s="856">
        <f t="shared" si="92"/>
        <v>0</v>
      </c>
      <c r="EM17" s="856">
        <f t="shared" si="92"/>
        <v>0</v>
      </c>
      <c r="EN17" s="863">
        <f t="shared" si="92"/>
        <v>0</v>
      </c>
      <c r="EO17" s="864">
        <f t="shared" si="93"/>
        <v>0</v>
      </c>
      <c r="EP17" s="856">
        <f t="shared" si="93"/>
        <v>0</v>
      </c>
      <c r="EQ17" s="856">
        <f t="shared" si="93"/>
        <v>0</v>
      </c>
      <c r="ER17" s="856">
        <f t="shared" si="93"/>
        <v>0</v>
      </c>
      <c r="ES17" s="856">
        <f t="shared" si="93"/>
        <v>0</v>
      </c>
      <c r="ET17" s="856">
        <f t="shared" si="93"/>
        <v>0</v>
      </c>
      <c r="EU17" s="555">
        <f t="shared" si="93"/>
        <v>0</v>
      </c>
      <c r="EV17" s="865">
        <f t="shared" si="94"/>
        <v>0</v>
      </c>
      <c r="EW17" s="866">
        <f t="shared" si="95"/>
        <v>0</v>
      </c>
      <c r="EX17" s="866">
        <f t="shared" si="96"/>
        <v>0</v>
      </c>
      <c r="EY17" s="866">
        <f t="shared" si="97"/>
        <v>0</v>
      </c>
      <c r="EZ17" s="866">
        <f t="shared" si="98"/>
        <v>0</v>
      </c>
      <c r="FA17" s="867">
        <f t="shared" si="99"/>
        <v>0</v>
      </c>
      <c r="FB17" s="867">
        <f t="shared" si="100"/>
        <v>0</v>
      </c>
      <c r="FC17" s="868">
        <f t="shared" si="101"/>
        <v>0</v>
      </c>
      <c r="FD17" s="10"/>
      <c r="FE17" s="10"/>
      <c r="FF17" s="10"/>
      <c r="FG17" s="10"/>
      <c r="FH17" s="10"/>
      <c r="FI17" s="10"/>
      <c r="FJ17" s="10"/>
      <c r="FK17" s="10"/>
      <c r="FL17" s="10"/>
      <c r="FM17" s="10"/>
      <c r="FN17" s="10"/>
      <c r="FO17" s="10"/>
    </row>
    <row r="18" spans="1:171" s="10" customFormat="1" ht="12.75" customHeight="1">
      <c r="A18" s="661" t="s">
        <v>178</v>
      </c>
      <c r="B18" s="703" t="s">
        <v>776</v>
      </c>
      <c r="C18" s="703" t="s">
        <v>764</v>
      </c>
      <c r="D18" s="703" t="s">
        <v>765</v>
      </c>
      <c r="E18" s="703" t="s">
        <v>766</v>
      </c>
      <c r="F18" s="704" t="s">
        <v>372</v>
      </c>
      <c r="G18" s="869">
        <v>0</v>
      </c>
      <c r="H18" s="869">
        <v>0</v>
      </c>
      <c r="I18" s="869">
        <f>G18+H18</f>
        <v>0</v>
      </c>
      <c r="J18" s="869">
        <v>0</v>
      </c>
      <c r="K18" s="869">
        <f>I18*0.5</f>
        <v>0</v>
      </c>
      <c r="L18" s="711" t="s">
        <v>767</v>
      </c>
      <c r="M18" s="881">
        <v>0</v>
      </c>
      <c r="N18" s="870">
        <v>0</v>
      </c>
      <c r="O18" s="881">
        <v>0</v>
      </c>
      <c r="P18" s="707">
        <f t="shared" si="72"/>
        <v>0.55294688244180001</v>
      </c>
      <c r="Q18" s="882">
        <v>1</v>
      </c>
      <c r="R18" s="872">
        <f>(1109/39)/(4060428/39)</f>
        <v>2.7312391698609107E-4</v>
      </c>
      <c r="S18" s="882">
        <f>$C$49/$B$49</f>
        <v>3.0518248671321793E-3</v>
      </c>
      <c r="T18" s="711" t="s">
        <v>768</v>
      </c>
      <c r="U18" s="712"/>
      <c r="V18" s="713"/>
      <c r="W18" s="661"/>
      <c r="X18" s="661"/>
      <c r="Y18" s="661"/>
      <c r="Z18" s="661"/>
      <c r="AA18" s="714"/>
      <c r="AB18" s="123"/>
      <c r="AC18" s="714"/>
      <c r="AD18" s="883">
        <f t="shared" ref="AD18:AJ18" si="113">AD11*0.5</f>
        <v>18750</v>
      </c>
      <c r="AE18" s="883">
        <f t="shared" si="113"/>
        <v>18750</v>
      </c>
      <c r="AF18" s="883">
        <f t="shared" si="113"/>
        <v>18750</v>
      </c>
      <c r="AG18" s="883">
        <f t="shared" si="113"/>
        <v>18750</v>
      </c>
      <c r="AH18" s="883">
        <f t="shared" si="113"/>
        <v>18750</v>
      </c>
      <c r="AI18" s="883">
        <f t="shared" si="113"/>
        <v>18750</v>
      </c>
      <c r="AJ18" s="883">
        <f t="shared" si="113"/>
        <v>18750</v>
      </c>
      <c r="AK18" s="715" t="s">
        <v>374</v>
      </c>
      <c r="AL18" s="711" t="s">
        <v>742</v>
      </c>
      <c r="AM18" s="711" t="s">
        <v>743</v>
      </c>
      <c r="AN18" s="715" t="s">
        <v>377</v>
      </c>
      <c r="AO18" s="711" t="s">
        <v>1</v>
      </c>
      <c r="AP18" s="715"/>
      <c r="AQ18" s="715"/>
      <c r="AR18" s="715"/>
      <c r="AS18" s="715" t="s">
        <v>744</v>
      </c>
      <c r="AT18" s="715" t="s">
        <v>745</v>
      </c>
      <c r="AU18" s="715" t="s">
        <v>771</v>
      </c>
      <c r="AV18" s="715">
        <v>15</v>
      </c>
      <c r="AW18" s="715">
        <v>15</v>
      </c>
      <c r="AX18" s="715" t="s">
        <v>769</v>
      </c>
      <c r="AY18" s="716">
        <v>1</v>
      </c>
      <c r="AZ18" s="716">
        <v>1</v>
      </c>
      <c r="BA18" s="717">
        <v>0</v>
      </c>
      <c r="BB18" s="721">
        <f t="shared" si="74"/>
        <v>0</v>
      </c>
      <c r="BC18" s="499">
        <f>BB18</f>
        <v>0</v>
      </c>
      <c r="BD18" s="499">
        <f>BC18</f>
        <v>0</v>
      </c>
      <c r="BE18" s="499">
        <f>BD18</f>
        <v>0</v>
      </c>
      <c r="BF18" s="499">
        <f t="shared" si="75"/>
        <v>0</v>
      </c>
      <c r="BG18" s="499">
        <f>BD18</f>
        <v>0</v>
      </c>
      <c r="BH18" s="499">
        <f>BE18</f>
        <v>0</v>
      </c>
      <c r="BI18" s="721">
        <f t="shared" si="77"/>
        <v>0</v>
      </c>
      <c r="BJ18" s="499">
        <f t="shared" ref="BJ18:BO18" si="114">BI18</f>
        <v>0</v>
      </c>
      <c r="BK18" s="499">
        <f t="shared" si="114"/>
        <v>0</v>
      </c>
      <c r="BL18" s="499">
        <f t="shared" si="114"/>
        <v>0</v>
      </c>
      <c r="BM18" s="499">
        <f t="shared" si="114"/>
        <v>0</v>
      </c>
      <c r="BN18" s="499">
        <f t="shared" si="114"/>
        <v>0</v>
      </c>
      <c r="BO18" s="499">
        <f t="shared" si="114"/>
        <v>0</v>
      </c>
      <c r="BP18" s="721">
        <f t="shared" si="78"/>
        <v>0</v>
      </c>
      <c r="BQ18" s="499">
        <f t="shared" si="79"/>
        <v>0</v>
      </c>
      <c r="BR18" s="499">
        <f>BQ18</f>
        <v>0</v>
      </c>
      <c r="BS18" s="499">
        <f>BR18</f>
        <v>0</v>
      </c>
      <c r="BT18" s="499">
        <f>BS18</f>
        <v>0</v>
      </c>
      <c r="BU18" s="499">
        <f>BT18</f>
        <v>0</v>
      </c>
      <c r="BV18" s="499">
        <f>BU18</f>
        <v>0</v>
      </c>
      <c r="BW18" s="774">
        <f t="shared" si="80"/>
        <v>0.55294688244180001</v>
      </c>
      <c r="BX18" s="503">
        <f t="shared" ref="BX18:CC18" si="115">$P18</f>
        <v>0.55294688244180001</v>
      </c>
      <c r="BY18" s="503">
        <f t="shared" si="115"/>
        <v>0.55294688244180001</v>
      </c>
      <c r="BZ18" s="503">
        <f t="shared" si="115"/>
        <v>0.55294688244180001</v>
      </c>
      <c r="CA18" s="503">
        <f t="shared" si="115"/>
        <v>0.55294688244180001</v>
      </c>
      <c r="CB18" s="503">
        <f t="shared" si="115"/>
        <v>0.55294688244180001</v>
      </c>
      <c r="CC18" s="503">
        <f t="shared" si="115"/>
        <v>0.55294688244180001</v>
      </c>
      <c r="CD18" s="722">
        <f t="shared" si="81"/>
        <v>1</v>
      </c>
      <c r="CE18" s="511">
        <f t="shared" ref="CE18:CJ18" si="116">CD18</f>
        <v>1</v>
      </c>
      <c r="CF18" s="511">
        <f t="shared" si="116"/>
        <v>1</v>
      </c>
      <c r="CG18" s="511">
        <f t="shared" si="116"/>
        <v>1</v>
      </c>
      <c r="CH18" s="511">
        <f t="shared" si="116"/>
        <v>1</v>
      </c>
      <c r="CI18" s="511">
        <f t="shared" si="116"/>
        <v>1</v>
      </c>
      <c r="CJ18" s="511">
        <f t="shared" si="116"/>
        <v>1</v>
      </c>
      <c r="CK18" s="722">
        <f t="shared" si="83"/>
        <v>2.7312391698609107E-4</v>
      </c>
      <c r="CL18" s="511">
        <f t="shared" ref="CL18:CQ18" si="117">CK18</f>
        <v>2.7312391698609107E-4</v>
      </c>
      <c r="CM18" s="511">
        <f t="shared" si="117"/>
        <v>2.7312391698609107E-4</v>
      </c>
      <c r="CN18" s="511">
        <f t="shared" si="117"/>
        <v>2.7312391698609107E-4</v>
      </c>
      <c r="CO18" s="511">
        <f t="shared" si="117"/>
        <v>2.7312391698609107E-4</v>
      </c>
      <c r="CP18" s="511">
        <f t="shared" si="117"/>
        <v>2.7312391698609107E-4</v>
      </c>
      <c r="CQ18" s="511">
        <f t="shared" si="117"/>
        <v>2.7312391698609107E-4</v>
      </c>
      <c r="CR18" s="722">
        <f t="shared" si="84"/>
        <v>0</v>
      </c>
      <c r="CS18" s="511">
        <f>CR18</f>
        <v>0</v>
      </c>
      <c r="CT18" s="511">
        <f>CS18</f>
        <v>0</v>
      </c>
      <c r="CU18" s="511">
        <f>CT18</f>
        <v>0</v>
      </c>
      <c r="CV18" s="511">
        <f t="shared" si="85"/>
        <v>0</v>
      </c>
      <c r="CW18" s="511">
        <f>CV18</f>
        <v>0</v>
      </c>
      <c r="CX18" s="511">
        <f>CW18</f>
        <v>0</v>
      </c>
      <c r="CY18" s="837">
        <f t="shared" ref="CY18:DE18" si="118">AD18*BB18</f>
        <v>0</v>
      </c>
      <c r="CZ18" s="508">
        <f t="shared" si="118"/>
        <v>0</v>
      </c>
      <c r="DA18" s="508">
        <f t="shared" si="118"/>
        <v>0</v>
      </c>
      <c r="DB18" s="508">
        <f t="shared" si="118"/>
        <v>0</v>
      </c>
      <c r="DC18" s="508">
        <f t="shared" si="118"/>
        <v>0</v>
      </c>
      <c r="DD18" s="508">
        <f t="shared" si="118"/>
        <v>0</v>
      </c>
      <c r="DE18" s="509">
        <f t="shared" si="118"/>
        <v>0</v>
      </c>
      <c r="DF18" s="837">
        <f t="shared" ref="DF18:DL18" si="119">AD18*BI18</f>
        <v>0</v>
      </c>
      <c r="DG18" s="508">
        <f t="shared" si="119"/>
        <v>0</v>
      </c>
      <c r="DH18" s="508">
        <f t="shared" si="119"/>
        <v>0</v>
      </c>
      <c r="DI18" s="508">
        <f t="shared" si="119"/>
        <v>0</v>
      </c>
      <c r="DJ18" s="508">
        <f t="shared" si="119"/>
        <v>0</v>
      </c>
      <c r="DK18" s="508">
        <f t="shared" si="119"/>
        <v>0</v>
      </c>
      <c r="DL18" s="450">
        <f t="shared" si="119"/>
        <v>0</v>
      </c>
      <c r="DM18" s="837">
        <f t="shared" ref="DM18:DS18" si="120">AD18*BP18</f>
        <v>0</v>
      </c>
      <c r="DN18" s="508">
        <f t="shared" si="120"/>
        <v>0</v>
      </c>
      <c r="DO18" s="508">
        <f t="shared" si="120"/>
        <v>0</v>
      </c>
      <c r="DP18" s="508">
        <f t="shared" si="120"/>
        <v>0</v>
      </c>
      <c r="DQ18" s="508">
        <f t="shared" si="120"/>
        <v>0</v>
      </c>
      <c r="DR18" s="508">
        <f t="shared" si="120"/>
        <v>0</v>
      </c>
      <c r="DS18" s="451">
        <f t="shared" si="120"/>
        <v>0</v>
      </c>
      <c r="DT18" s="450">
        <f t="shared" ref="DT18:DZ18" si="121">BW18*AD18</f>
        <v>10367.754045783749</v>
      </c>
      <c r="DU18" s="508">
        <f t="shared" si="121"/>
        <v>10367.754045783749</v>
      </c>
      <c r="DV18" s="508">
        <f t="shared" si="121"/>
        <v>10367.754045783749</v>
      </c>
      <c r="DW18" s="508">
        <f t="shared" si="121"/>
        <v>10367.754045783749</v>
      </c>
      <c r="DX18" s="508">
        <f t="shared" si="121"/>
        <v>10367.754045783749</v>
      </c>
      <c r="DY18" s="508">
        <f t="shared" si="121"/>
        <v>10367.754045783749</v>
      </c>
      <c r="DZ18" s="451">
        <f t="shared" si="121"/>
        <v>10367.754045783749</v>
      </c>
      <c r="EA18" s="507">
        <f t="shared" ref="EA18:EG18" si="122">AD18*CD18</f>
        <v>18750</v>
      </c>
      <c r="EB18" s="507">
        <f t="shared" si="122"/>
        <v>18750</v>
      </c>
      <c r="EC18" s="507">
        <f t="shared" si="122"/>
        <v>18750</v>
      </c>
      <c r="ED18" s="507">
        <f t="shared" si="122"/>
        <v>18750</v>
      </c>
      <c r="EE18" s="507">
        <f t="shared" si="122"/>
        <v>18750</v>
      </c>
      <c r="EF18" s="507">
        <f t="shared" si="122"/>
        <v>18750</v>
      </c>
      <c r="EG18" s="507">
        <f t="shared" si="122"/>
        <v>18750</v>
      </c>
      <c r="EH18" s="722">
        <f t="shared" ref="EH18:EN18" si="123">AD18*CK18</f>
        <v>5.121073443489208</v>
      </c>
      <c r="EI18" s="511">
        <f t="shared" si="123"/>
        <v>5.121073443489208</v>
      </c>
      <c r="EJ18" s="511">
        <f t="shared" si="123"/>
        <v>5.121073443489208</v>
      </c>
      <c r="EK18" s="511">
        <f t="shared" si="123"/>
        <v>5.121073443489208</v>
      </c>
      <c r="EL18" s="511">
        <f t="shared" si="123"/>
        <v>5.121073443489208</v>
      </c>
      <c r="EM18" s="511">
        <f t="shared" si="123"/>
        <v>5.121073443489208</v>
      </c>
      <c r="EN18" s="539">
        <f t="shared" si="123"/>
        <v>5.121073443489208</v>
      </c>
      <c r="EO18" s="838">
        <f t="shared" ref="EO18:EU18" si="124">AD18*CR18</f>
        <v>0</v>
      </c>
      <c r="EP18" s="511">
        <f t="shared" si="124"/>
        <v>0</v>
      </c>
      <c r="EQ18" s="511">
        <f t="shared" si="124"/>
        <v>0</v>
      </c>
      <c r="ER18" s="511">
        <f t="shared" si="124"/>
        <v>0</v>
      </c>
      <c r="ES18" s="511">
        <f t="shared" si="124"/>
        <v>0</v>
      </c>
      <c r="ET18" s="511">
        <f t="shared" si="124"/>
        <v>0</v>
      </c>
      <c r="EU18" s="453">
        <f t="shared" si="124"/>
        <v>0</v>
      </c>
      <c r="EV18" s="727">
        <f t="shared" si="94"/>
        <v>131250</v>
      </c>
      <c r="EW18" s="728">
        <f t="shared" si="95"/>
        <v>0</v>
      </c>
      <c r="EX18" s="728">
        <f t="shared" si="96"/>
        <v>0</v>
      </c>
      <c r="EY18" s="728">
        <f t="shared" si="97"/>
        <v>0</v>
      </c>
      <c r="EZ18" s="728">
        <f t="shared" si="98"/>
        <v>72574.278320486235</v>
      </c>
      <c r="FA18" s="777">
        <f t="shared" si="99"/>
        <v>131250</v>
      </c>
      <c r="FB18" s="777">
        <f t="shared" si="100"/>
        <v>35.847514104424455</v>
      </c>
      <c r="FC18" s="778">
        <f t="shared" si="101"/>
        <v>0</v>
      </c>
    </row>
    <row r="19" spans="1:171" s="10" customFormat="1" ht="12.75" customHeight="1">
      <c r="A19" s="740"/>
      <c r="B19" s="730"/>
      <c r="C19" s="730"/>
      <c r="D19" s="730"/>
      <c r="E19" s="730"/>
      <c r="F19" s="731"/>
      <c r="G19" s="731"/>
      <c r="H19" s="731"/>
      <c r="I19" s="731"/>
      <c r="J19" s="731"/>
      <c r="K19" s="731"/>
      <c r="L19" s="733"/>
      <c r="M19" s="734"/>
      <c r="N19" s="734"/>
      <c r="O19" s="734"/>
      <c r="P19" s="735"/>
      <c r="Q19" s="736"/>
      <c r="R19" s="758"/>
      <c r="S19" s="737"/>
      <c r="T19" s="733"/>
      <c r="U19" s="738"/>
      <c r="V19" s="739"/>
      <c r="W19" s="740"/>
      <c r="X19" s="740"/>
      <c r="Y19" s="740"/>
      <c r="Z19" s="740"/>
      <c r="AA19" s="741"/>
      <c r="AB19" s="741"/>
      <c r="AC19" s="742"/>
      <c r="AD19" s="742"/>
      <c r="AE19" s="742"/>
      <c r="AF19" s="742"/>
      <c r="AG19" s="742"/>
      <c r="AH19" s="742"/>
      <c r="AI19" s="742"/>
      <c r="AJ19" s="742"/>
      <c r="AK19" s="733"/>
      <c r="AL19" s="733"/>
      <c r="AM19" s="733"/>
      <c r="AN19" s="733"/>
      <c r="AO19" s="733"/>
      <c r="AP19" s="733"/>
      <c r="AQ19" s="733"/>
      <c r="AR19" s="733"/>
      <c r="AS19" s="743"/>
      <c r="AT19" s="743"/>
      <c r="AU19" s="743"/>
      <c r="AV19" s="729"/>
      <c r="AW19" s="729"/>
      <c r="AX19" s="733"/>
      <c r="AY19" s="733"/>
      <c r="AZ19" s="733"/>
      <c r="BA19" s="744"/>
      <c r="BB19" s="745"/>
      <c r="BC19" s="746"/>
      <c r="BD19" s="746"/>
      <c r="BE19" s="746"/>
      <c r="BF19" s="746"/>
      <c r="BG19" s="746"/>
      <c r="BH19" s="746"/>
      <c r="BI19" s="745"/>
      <c r="BJ19" s="746"/>
      <c r="BK19" s="746"/>
      <c r="BL19" s="746"/>
      <c r="BM19" s="746"/>
      <c r="BN19" s="746"/>
      <c r="BO19" s="746"/>
      <c r="BP19" s="745"/>
      <c r="BQ19" s="746"/>
      <c r="BR19" s="746"/>
      <c r="BS19" s="746"/>
      <c r="BT19" s="746"/>
      <c r="BU19" s="746"/>
      <c r="BV19" s="746"/>
      <c r="BW19" s="745"/>
      <c r="BX19" s="746"/>
      <c r="BY19" s="746"/>
      <c r="BZ19" s="746"/>
      <c r="CA19" s="746"/>
      <c r="CB19" s="746"/>
      <c r="CC19" s="746"/>
      <c r="CD19" s="750"/>
      <c r="CE19" s="487"/>
      <c r="CF19" s="487"/>
      <c r="CG19" s="487"/>
      <c r="CH19" s="487"/>
      <c r="CI19" s="487"/>
      <c r="CJ19" s="487"/>
      <c r="CK19" s="750"/>
      <c r="CL19" s="487"/>
      <c r="CM19" s="487"/>
      <c r="CN19" s="487"/>
      <c r="CO19" s="487"/>
      <c r="CP19" s="487"/>
      <c r="CQ19" s="487"/>
      <c r="CR19" s="750"/>
      <c r="CS19" s="487"/>
      <c r="CT19" s="487"/>
      <c r="CU19" s="487"/>
      <c r="CV19" s="487"/>
      <c r="CW19" s="487"/>
      <c r="CX19" s="487"/>
      <c r="CY19" s="884"/>
      <c r="CZ19" s="492"/>
      <c r="DA19" s="492"/>
      <c r="DB19" s="492"/>
      <c r="DC19" s="492"/>
      <c r="DD19" s="492"/>
      <c r="DE19" s="491"/>
      <c r="DF19" s="884"/>
      <c r="DG19" s="492"/>
      <c r="DH19" s="492"/>
      <c r="DI19" s="492"/>
      <c r="DJ19" s="492"/>
      <c r="DK19" s="492"/>
      <c r="DL19" s="454"/>
      <c r="DM19" s="884"/>
      <c r="DN19" s="492"/>
      <c r="DO19" s="492"/>
      <c r="DP19" s="492"/>
      <c r="DQ19" s="492"/>
      <c r="DR19" s="492"/>
      <c r="DS19" s="455"/>
      <c r="DT19" s="454"/>
      <c r="DU19" s="492"/>
      <c r="DV19" s="492"/>
      <c r="DW19" s="492"/>
      <c r="DX19" s="492"/>
      <c r="DY19" s="492"/>
      <c r="DZ19" s="455"/>
      <c r="EA19" s="510"/>
      <c r="EB19" s="487"/>
      <c r="EC19" s="487"/>
      <c r="ED19" s="487"/>
      <c r="EE19" s="487"/>
      <c r="EF19" s="487"/>
      <c r="EG19" s="513"/>
      <c r="EH19" s="750"/>
      <c r="EI19" s="487"/>
      <c r="EJ19" s="487"/>
      <c r="EK19" s="487"/>
      <c r="EL19" s="487"/>
      <c r="EM19" s="487"/>
      <c r="EN19" s="513"/>
      <c r="EO19" s="750"/>
      <c r="EP19" s="487"/>
      <c r="EQ19" s="487"/>
      <c r="ER19" s="487"/>
      <c r="ES19" s="487"/>
      <c r="ET19" s="487"/>
      <c r="EU19" s="751"/>
      <c r="EV19" s="515"/>
      <c r="EW19" s="755"/>
      <c r="EX19" s="755"/>
      <c r="EY19" s="755"/>
      <c r="EZ19" s="755"/>
      <c r="FA19" s="756"/>
      <c r="FB19" s="756"/>
      <c r="FC19" s="757"/>
    </row>
    <row r="20" spans="1:171" s="10" customFormat="1" ht="12.75" customHeight="1">
      <c r="A20" s="661" t="s">
        <v>172</v>
      </c>
      <c r="B20" s="703" t="s">
        <v>777</v>
      </c>
      <c r="C20" s="703" t="s">
        <v>740</v>
      </c>
      <c r="D20" s="703" t="s">
        <v>393</v>
      </c>
      <c r="E20" s="703" t="s">
        <v>394</v>
      </c>
      <c r="F20" s="704" t="s">
        <v>372</v>
      </c>
      <c r="G20" s="704">
        <v>0</v>
      </c>
      <c r="H20" s="704">
        <v>0</v>
      </c>
      <c r="I20" s="704">
        <v>0</v>
      </c>
      <c r="J20" s="704">
        <f>J13</f>
        <v>0</v>
      </c>
      <c r="K20" s="704" t="s">
        <v>378</v>
      </c>
      <c r="L20" s="711" t="s">
        <v>395</v>
      </c>
      <c r="M20" s="707">
        <v>0</v>
      </c>
      <c r="N20" s="708">
        <f>N13</f>
        <v>0</v>
      </c>
      <c r="O20" s="707">
        <v>0</v>
      </c>
      <c r="P20" s="709">
        <f t="shared" ref="P20:P25" si="125">P6</f>
        <v>825</v>
      </c>
      <c r="Q20" s="834">
        <f>I71</f>
        <v>801.62837411410203</v>
      </c>
      <c r="R20" s="835">
        <f>J71</f>
        <v>6.906397410303311E-2</v>
      </c>
      <c r="S20" s="835">
        <f>K71</f>
        <v>15.887963460505105</v>
      </c>
      <c r="T20" s="711" t="s">
        <v>741</v>
      </c>
      <c r="U20" s="712">
        <v>0</v>
      </c>
      <c r="V20" s="713">
        <v>1</v>
      </c>
      <c r="W20" s="661">
        <v>1138</v>
      </c>
      <c r="X20" s="661">
        <v>1506</v>
      </c>
      <c r="Y20" s="661">
        <v>108</v>
      </c>
      <c r="Z20" s="661">
        <v>416</v>
      </c>
      <c r="AA20" s="714">
        <f>AA6*0.5</f>
        <v>403</v>
      </c>
      <c r="AB20" s="714">
        <v>159.99999999999997</v>
      </c>
      <c r="AC20" s="714">
        <f>AB20</f>
        <v>159.99999999999997</v>
      </c>
      <c r="AD20" s="714">
        <f t="shared" ref="AD20:AJ20" si="126">AC20</f>
        <v>159.99999999999997</v>
      </c>
      <c r="AE20" s="714">
        <f t="shared" si="126"/>
        <v>159.99999999999997</v>
      </c>
      <c r="AF20" s="714">
        <f t="shared" si="126"/>
        <v>159.99999999999997</v>
      </c>
      <c r="AG20" s="714">
        <f t="shared" si="126"/>
        <v>159.99999999999997</v>
      </c>
      <c r="AH20" s="714">
        <f t="shared" si="126"/>
        <v>159.99999999999997</v>
      </c>
      <c r="AI20" s="714">
        <f t="shared" si="126"/>
        <v>159.99999999999997</v>
      </c>
      <c r="AJ20" s="714">
        <f t="shared" si="126"/>
        <v>159.99999999999997</v>
      </c>
      <c r="AK20" s="711" t="s">
        <v>374</v>
      </c>
      <c r="AL20" s="711" t="s">
        <v>742</v>
      </c>
      <c r="AM20" s="711" t="s">
        <v>743</v>
      </c>
      <c r="AN20" s="711" t="s">
        <v>377</v>
      </c>
      <c r="AO20" s="711" t="s">
        <v>1</v>
      </c>
      <c r="AP20" s="711" t="s">
        <v>378</v>
      </c>
      <c r="AQ20" s="711" t="s">
        <v>378</v>
      </c>
      <c r="AR20" s="711" t="s">
        <v>378</v>
      </c>
      <c r="AS20" s="715" t="s">
        <v>744</v>
      </c>
      <c r="AT20" s="715" t="s">
        <v>745</v>
      </c>
      <c r="AU20" s="715" t="s">
        <v>746</v>
      </c>
      <c r="AV20" s="662">
        <v>20</v>
      </c>
      <c r="AW20" s="662">
        <f>AV20</f>
        <v>20</v>
      </c>
      <c r="AX20" s="711" t="s">
        <v>397</v>
      </c>
      <c r="AY20" s="716">
        <v>1</v>
      </c>
      <c r="AZ20" s="716">
        <v>1</v>
      </c>
      <c r="BA20" s="717">
        <v>1</v>
      </c>
      <c r="BB20" s="721">
        <f t="shared" ref="BB20:BB25" si="127">I20</f>
        <v>0</v>
      </c>
      <c r="BC20" s="499">
        <f t="shared" ref="BC20:BE21" si="128">BB20</f>
        <v>0</v>
      </c>
      <c r="BD20" s="499">
        <f t="shared" si="128"/>
        <v>0</v>
      </c>
      <c r="BE20" s="499">
        <f t="shared" si="128"/>
        <v>0</v>
      </c>
      <c r="BF20" s="499">
        <f t="shared" ref="BF20:BF25" si="129">BC20</f>
        <v>0</v>
      </c>
      <c r="BG20" s="499">
        <f t="shared" ref="BG20:BH21" si="130">BD20</f>
        <v>0</v>
      </c>
      <c r="BH20" s="499">
        <f t="shared" si="130"/>
        <v>0</v>
      </c>
      <c r="BI20" s="721">
        <f t="shared" ref="BI20:BI25" si="131">J20</f>
        <v>0</v>
      </c>
      <c r="BJ20" s="499">
        <f t="shared" ref="BJ20:BO21" si="132">BI20</f>
        <v>0</v>
      </c>
      <c r="BK20" s="499">
        <f t="shared" si="132"/>
        <v>0</v>
      </c>
      <c r="BL20" s="499">
        <f t="shared" si="132"/>
        <v>0</v>
      </c>
      <c r="BM20" s="499">
        <f t="shared" si="132"/>
        <v>0</v>
      </c>
      <c r="BN20" s="499">
        <f t="shared" si="132"/>
        <v>0</v>
      </c>
      <c r="BO20" s="499">
        <f t="shared" si="132"/>
        <v>0</v>
      </c>
      <c r="BP20" s="721">
        <f t="shared" ref="BP20:BP25" si="133">N20+O20</f>
        <v>0</v>
      </c>
      <c r="BQ20" s="499">
        <f t="shared" ref="BQ20:BQ25" si="134">BP20</f>
        <v>0</v>
      </c>
      <c r="BR20" s="499">
        <f t="shared" ref="BR20:BV21" si="135">BQ20</f>
        <v>0</v>
      </c>
      <c r="BS20" s="499">
        <f t="shared" si="135"/>
        <v>0</v>
      </c>
      <c r="BT20" s="499">
        <f t="shared" si="135"/>
        <v>0</v>
      </c>
      <c r="BU20" s="499">
        <f t="shared" si="135"/>
        <v>0</v>
      </c>
      <c r="BV20" s="499">
        <f t="shared" si="135"/>
        <v>0</v>
      </c>
      <c r="BW20" s="774">
        <f t="shared" ref="BW20:BW25" si="136">$P20</f>
        <v>825</v>
      </c>
      <c r="BX20" s="503">
        <f t="shared" si="15"/>
        <v>825</v>
      </c>
      <c r="BY20" s="503">
        <f t="shared" si="15"/>
        <v>825</v>
      </c>
      <c r="BZ20" s="503">
        <f t="shared" si="15"/>
        <v>825</v>
      </c>
      <c r="CA20" s="503">
        <f t="shared" si="15"/>
        <v>825</v>
      </c>
      <c r="CB20" s="503">
        <f t="shared" si="15"/>
        <v>825</v>
      </c>
      <c r="CC20" s="503">
        <f t="shared" si="15"/>
        <v>825</v>
      </c>
      <c r="CD20" s="722">
        <f t="shared" ref="CD20:CD25" si="137">Q20*AZ20</f>
        <v>801.62837411410203</v>
      </c>
      <c r="CE20" s="511">
        <f t="shared" ref="CE20:CJ21" si="138">CD20</f>
        <v>801.62837411410203</v>
      </c>
      <c r="CF20" s="511">
        <f t="shared" si="138"/>
        <v>801.62837411410203</v>
      </c>
      <c r="CG20" s="511">
        <f t="shared" si="138"/>
        <v>801.62837411410203</v>
      </c>
      <c r="CH20" s="511">
        <f t="shared" si="138"/>
        <v>801.62837411410203</v>
      </c>
      <c r="CI20" s="511">
        <f t="shared" si="138"/>
        <v>801.62837411410203</v>
      </c>
      <c r="CJ20" s="511">
        <f t="shared" si="138"/>
        <v>801.62837411410203</v>
      </c>
      <c r="CK20" s="722">
        <f t="shared" ref="CK20:CK25" si="139">R20*AZ20</f>
        <v>6.906397410303311E-2</v>
      </c>
      <c r="CL20" s="511">
        <f t="shared" ref="CL20:CQ21" si="140">CK20</f>
        <v>6.906397410303311E-2</v>
      </c>
      <c r="CM20" s="511">
        <f t="shared" si="140"/>
        <v>6.906397410303311E-2</v>
      </c>
      <c r="CN20" s="511">
        <f t="shared" si="140"/>
        <v>6.906397410303311E-2</v>
      </c>
      <c r="CO20" s="511">
        <f t="shared" si="140"/>
        <v>6.906397410303311E-2</v>
      </c>
      <c r="CP20" s="511">
        <f t="shared" si="140"/>
        <v>6.906397410303311E-2</v>
      </c>
      <c r="CQ20" s="511">
        <f t="shared" si="140"/>
        <v>6.906397410303311E-2</v>
      </c>
      <c r="CR20" s="722">
        <f t="shared" ref="CR20:CR25" si="141">S20*BA20</f>
        <v>15.887963460505105</v>
      </c>
      <c r="CS20" s="511">
        <f t="shared" ref="CS20:CX21" si="142">CR20</f>
        <v>15.887963460505105</v>
      </c>
      <c r="CT20" s="511">
        <f t="shared" si="142"/>
        <v>15.887963460505105</v>
      </c>
      <c r="CU20" s="511">
        <f t="shared" si="142"/>
        <v>15.887963460505105</v>
      </c>
      <c r="CV20" s="511">
        <f t="shared" si="142"/>
        <v>15.887963460505105</v>
      </c>
      <c r="CW20" s="511">
        <f t="shared" si="142"/>
        <v>15.887963460505105</v>
      </c>
      <c r="CX20" s="511">
        <f t="shared" si="142"/>
        <v>15.887963460505105</v>
      </c>
      <c r="CY20" s="837">
        <f t="shared" ref="CY20:DE24" si="143">AD20*BB20</f>
        <v>0</v>
      </c>
      <c r="CZ20" s="508">
        <f t="shared" si="143"/>
        <v>0</v>
      </c>
      <c r="DA20" s="508">
        <f t="shared" si="143"/>
        <v>0</v>
      </c>
      <c r="DB20" s="508">
        <f t="shared" si="143"/>
        <v>0</v>
      </c>
      <c r="DC20" s="508">
        <f t="shared" si="143"/>
        <v>0</v>
      </c>
      <c r="DD20" s="508">
        <f t="shared" si="143"/>
        <v>0</v>
      </c>
      <c r="DE20" s="509">
        <f t="shared" si="143"/>
        <v>0</v>
      </c>
      <c r="DF20" s="837">
        <f t="shared" ref="DF20:DL24" si="144">AD20*BI20</f>
        <v>0</v>
      </c>
      <c r="DG20" s="508">
        <f t="shared" si="144"/>
        <v>0</v>
      </c>
      <c r="DH20" s="508">
        <f t="shared" si="144"/>
        <v>0</v>
      </c>
      <c r="DI20" s="508">
        <f t="shared" si="144"/>
        <v>0</v>
      </c>
      <c r="DJ20" s="508">
        <f t="shared" si="144"/>
        <v>0</v>
      </c>
      <c r="DK20" s="508">
        <f t="shared" si="144"/>
        <v>0</v>
      </c>
      <c r="DL20" s="450">
        <f t="shared" si="144"/>
        <v>0</v>
      </c>
      <c r="DM20" s="837">
        <f t="shared" ref="DM20:DS24" si="145">AD20*BP20</f>
        <v>0</v>
      </c>
      <c r="DN20" s="508">
        <f t="shared" si="145"/>
        <v>0</v>
      </c>
      <c r="DO20" s="508">
        <f t="shared" si="145"/>
        <v>0</v>
      </c>
      <c r="DP20" s="508">
        <f t="shared" si="145"/>
        <v>0</v>
      </c>
      <c r="DQ20" s="508">
        <f t="shared" si="145"/>
        <v>0</v>
      </c>
      <c r="DR20" s="508">
        <f t="shared" si="145"/>
        <v>0</v>
      </c>
      <c r="DS20" s="451">
        <f t="shared" si="145"/>
        <v>0</v>
      </c>
      <c r="DT20" s="450">
        <f t="shared" ref="DT20:DZ24" si="146">BW20*AD20</f>
        <v>131999.99999999997</v>
      </c>
      <c r="DU20" s="508">
        <f t="shared" si="146"/>
        <v>131999.99999999997</v>
      </c>
      <c r="DV20" s="508">
        <f t="shared" si="146"/>
        <v>131999.99999999997</v>
      </c>
      <c r="DW20" s="508">
        <f t="shared" si="146"/>
        <v>131999.99999999997</v>
      </c>
      <c r="DX20" s="508">
        <f t="shared" si="146"/>
        <v>131999.99999999997</v>
      </c>
      <c r="DY20" s="508">
        <f t="shared" si="146"/>
        <v>131999.99999999997</v>
      </c>
      <c r="DZ20" s="451">
        <f t="shared" si="146"/>
        <v>131999.99999999997</v>
      </c>
      <c r="EA20" s="507">
        <f t="shared" ref="EA20:EG24" si="147">AD20*CD20</f>
        <v>128260.53985825631</v>
      </c>
      <c r="EB20" s="507">
        <f t="shared" si="147"/>
        <v>128260.53985825631</v>
      </c>
      <c r="EC20" s="507">
        <f t="shared" si="147"/>
        <v>128260.53985825631</v>
      </c>
      <c r="ED20" s="507">
        <f t="shared" si="147"/>
        <v>128260.53985825631</v>
      </c>
      <c r="EE20" s="507">
        <f t="shared" si="147"/>
        <v>128260.53985825631</v>
      </c>
      <c r="EF20" s="507">
        <f t="shared" si="147"/>
        <v>128260.53985825631</v>
      </c>
      <c r="EG20" s="507">
        <f t="shared" si="147"/>
        <v>128260.53985825631</v>
      </c>
      <c r="EH20" s="722">
        <f t="shared" ref="EH20:EN24" si="148">AD20*CK20</f>
        <v>11.050235856485296</v>
      </c>
      <c r="EI20" s="511">
        <f t="shared" si="148"/>
        <v>11.050235856485296</v>
      </c>
      <c r="EJ20" s="511">
        <f t="shared" si="148"/>
        <v>11.050235856485296</v>
      </c>
      <c r="EK20" s="511">
        <f t="shared" si="148"/>
        <v>11.050235856485296</v>
      </c>
      <c r="EL20" s="511">
        <f t="shared" si="148"/>
        <v>11.050235856485296</v>
      </c>
      <c r="EM20" s="511">
        <f t="shared" si="148"/>
        <v>11.050235856485296</v>
      </c>
      <c r="EN20" s="539">
        <f t="shared" si="148"/>
        <v>11.050235856485296</v>
      </c>
      <c r="EO20" s="838">
        <f t="shared" ref="EO20:EU24" si="149">AD20*CR20</f>
        <v>2542.0741536808164</v>
      </c>
      <c r="EP20" s="511">
        <f t="shared" si="149"/>
        <v>2542.0741536808164</v>
      </c>
      <c r="EQ20" s="511">
        <f t="shared" si="149"/>
        <v>2542.0741536808164</v>
      </c>
      <c r="ER20" s="511">
        <f t="shared" si="149"/>
        <v>2542.0741536808164</v>
      </c>
      <c r="ES20" s="511">
        <f t="shared" si="149"/>
        <v>2542.0741536808164</v>
      </c>
      <c r="ET20" s="511">
        <f t="shared" si="149"/>
        <v>2542.0741536808164</v>
      </c>
      <c r="EU20" s="453">
        <f t="shared" si="149"/>
        <v>2542.0741536808164</v>
      </c>
      <c r="EV20" s="727">
        <f t="shared" ref="EV20:EV25" si="150">SUM(AC20:AJ20)</f>
        <v>1279.9999999999998</v>
      </c>
      <c r="EW20" s="728">
        <f t="shared" ref="EW20:EW25" si="151">SUM(CY20:DE20)</f>
        <v>0</v>
      </c>
      <c r="EX20" s="728">
        <f t="shared" ref="EX20:EX25" si="152">SUM(DF20:DL20)</f>
        <v>0</v>
      </c>
      <c r="EY20" s="728">
        <f t="shared" ref="EY20:EY25" si="153">SUM(DM20:DS20)</f>
        <v>0</v>
      </c>
      <c r="EZ20" s="728">
        <f t="shared" ref="EZ20:EZ25" si="154">SUM(DT20:DZ20)</f>
        <v>923999.99999999988</v>
      </c>
      <c r="FA20" s="777">
        <f t="shared" ref="FA20:FA25" si="155">SUM(EA20:EG20)</f>
        <v>897823.77900779422</v>
      </c>
      <c r="FB20" s="777">
        <f t="shared" ref="FB20:FB25" si="156">SUM(EH20:EN20)</f>
        <v>77.35165099539708</v>
      </c>
      <c r="FC20" s="778">
        <f t="shared" ref="FC20:FC25" si="157">SUM(EO20:EU20)</f>
        <v>17794.519075765715</v>
      </c>
    </row>
    <row r="21" spans="1:171" s="10" customFormat="1" ht="12.75" customHeight="1">
      <c r="A21" s="661" t="s">
        <v>174</v>
      </c>
      <c r="B21" s="703" t="s">
        <v>778</v>
      </c>
      <c r="C21" s="703" t="s">
        <v>740</v>
      </c>
      <c r="D21" s="703" t="s">
        <v>393</v>
      </c>
      <c r="E21" s="703" t="s">
        <v>394</v>
      </c>
      <c r="F21" s="704" t="s">
        <v>372</v>
      </c>
      <c r="G21" s="704">
        <v>0</v>
      </c>
      <c r="H21" s="704">
        <v>0</v>
      </c>
      <c r="I21" s="704">
        <v>0</v>
      </c>
      <c r="J21" s="704">
        <f>J14</f>
        <v>0</v>
      </c>
      <c r="K21" s="704" t="s">
        <v>378</v>
      </c>
      <c r="L21" s="711" t="s">
        <v>395</v>
      </c>
      <c r="M21" s="707">
        <v>0</v>
      </c>
      <c r="N21" s="708">
        <v>0</v>
      </c>
      <c r="O21" s="707">
        <v>0</v>
      </c>
      <c r="P21" s="709">
        <f t="shared" si="125"/>
        <v>825</v>
      </c>
      <c r="Q21" s="834">
        <f>Q20</f>
        <v>801.62837411410203</v>
      </c>
      <c r="R21" s="835">
        <f>R20</f>
        <v>6.906397410303311E-2</v>
      </c>
      <c r="S21" s="835">
        <f>S20</f>
        <v>15.887963460505105</v>
      </c>
      <c r="T21" s="711" t="s">
        <v>741</v>
      </c>
      <c r="U21" s="712">
        <v>0</v>
      </c>
      <c r="V21" s="713">
        <v>1</v>
      </c>
      <c r="W21" s="661">
        <v>571</v>
      </c>
      <c r="X21" s="661">
        <v>742</v>
      </c>
      <c r="Y21" s="661">
        <v>2233</v>
      </c>
      <c r="Z21" s="661">
        <v>2234</v>
      </c>
      <c r="AA21" s="714">
        <f>AA7*0.5</f>
        <v>1597</v>
      </c>
      <c r="AB21" s="714">
        <v>239.99999999999991</v>
      </c>
      <c r="AC21" s="714">
        <f>AB21</f>
        <v>239.99999999999991</v>
      </c>
      <c r="AD21" s="714">
        <f t="shared" ref="AD21:AJ21" si="158">AC21</f>
        <v>239.99999999999991</v>
      </c>
      <c r="AE21" s="714">
        <f t="shared" si="158"/>
        <v>239.99999999999991</v>
      </c>
      <c r="AF21" s="714">
        <f t="shared" si="158"/>
        <v>239.99999999999991</v>
      </c>
      <c r="AG21" s="714">
        <f t="shared" si="158"/>
        <v>239.99999999999991</v>
      </c>
      <c r="AH21" s="714">
        <f t="shared" si="158"/>
        <v>239.99999999999991</v>
      </c>
      <c r="AI21" s="714">
        <f t="shared" si="158"/>
        <v>239.99999999999991</v>
      </c>
      <c r="AJ21" s="714">
        <f t="shared" si="158"/>
        <v>239.99999999999991</v>
      </c>
      <c r="AK21" s="711" t="s">
        <v>374</v>
      </c>
      <c r="AL21" s="711" t="s">
        <v>742</v>
      </c>
      <c r="AM21" s="711" t="s">
        <v>743</v>
      </c>
      <c r="AN21" s="711" t="s">
        <v>377</v>
      </c>
      <c r="AO21" s="711" t="s">
        <v>1</v>
      </c>
      <c r="AP21" s="711" t="s">
        <v>378</v>
      </c>
      <c r="AQ21" s="711" t="s">
        <v>378</v>
      </c>
      <c r="AR21" s="711" t="s">
        <v>378</v>
      </c>
      <c r="AS21" s="715" t="s">
        <v>744</v>
      </c>
      <c r="AT21" s="715" t="s">
        <v>745</v>
      </c>
      <c r="AU21" s="715" t="s">
        <v>746</v>
      </c>
      <c r="AV21" s="662">
        <v>20</v>
      </c>
      <c r="AW21" s="662">
        <f>AV21</f>
        <v>20</v>
      </c>
      <c r="AX21" s="711" t="s">
        <v>397</v>
      </c>
      <c r="AY21" s="716">
        <v>1</v>
      </c>
      <c r="AZ21" s="716">
        <v>1</v>
      </c>
      <c r="BA21" s="717">
        <v>1</v>
      </c>
      <c r="BB21" s="721">
        <f t="shared" si="127"/>
        <v>0</v>
      </c>
      <c r="BC21" s="499">
        <f t="shared" si="128"/>
        <v>0</v>
      </c>
      <c r="BD21" s="499">
        <f t="shared" si="128"/>
        <v>0</v>
      </c>
      <c r="BE21" s="499">
        <f t="shared" si="128"/>
        <v>0</v>
      </c>
      <c r="BF21" s="499">
        <f t="shared" si="129"/>
        <v>0</v>
      </c>
      <c r="BG21" s="499">
        <f t="shared" si="130"/>
        <v>0</v>
      </c>
      <c r="BH21" s="499">
        <f t="shared" si="130"/>
        <v>0</v>
      </c>
      <c r="BI21" s="721">
        <f t="shared" si="131"/>
        <v>0</v>
      </c>
      <c r="BJ21" s="499">
        <f t="shared" si="132"/>
        <v>0</v>
      </c>
      <c r="BK21" s="499">
        <f t="shared" si="132"/>
        <v>0</v>
      </c>
      <c r="BL21" s="499">
        <f t="shared" si="132"/>
        <v>0</v>
      </c>
      <c r="BM21" s="499">
        <f t="shared" si="132"/>
        <v>0</v>
      </c>
      <c r="BN21" s="499">
        <f t="shared" si="132"/>
        <v>0</v>
      </c>
      <c r="BO21" s="499">
        <f t="shared" si="132"/>
        <v>0</v>
      </c>
      <c r="BP21" s="721">
        <f t="shared" si="133"/>
        <v>0</v>
      </c>
      <c r="BQ21" s="499">
        <f t="shared" si="134"/>
        <v>0</v>
      </c>
      <c r="BR21" s="499">
        <f t="shared" si="135"/>
        <v>0</v>
      </c>
      <c r="BS21" s="499">
        <f t="shared" si="135"/>
        <v>0</v>
      </c>
      <c r="BT21" s="499">
        <f t="shared" si="135"/>
        <v>0</v>
      </c>
      <c r="BU21" s="499">
        <f t="shared" si="135"/>
        <v>0</v>
      </c>
      <c r="BV21" s="499">
        <f t="shared" si="135"/>
        <v>0</v>
      </c>
      <c r="BW21" s="774">
        <f t="shared" si="136"/>
        <v>825</v>
      </c>
      <c r="BX21" s="503">
        <f t="shared" si="15"/>
        <v>825</v>
      </c>
      <c r="BY21" s="503">
        <f t="shared" si="15"/>
        <v>825</v>
      </c>
      <c r="BZ21" s="503">
        <f t="shared" si="15"/>
        <v>825</v>
      </c>
      <c r="CA21" s="503">
        <f t="shared" si="15"/>
        <v>825</v>
      </c>
      <c r="CB21" s="503">
        <f t="shared" si="15"/>
        <v>825</v>
      </c>
      <c r="CC21" s="503">
        <f t="shared" si="15"/>
        <v>825</v>
      </c>
      <c r="CD21" s="722">
        <f t="shared" si="137"/>
        <v>801.62837411410203</v>
      </c>
      <c r="CE21" s="511">
        <f t="shared" si="138"/>
        <v>801.62837411410203</v>
      </c>
      <c r="CF21" s="511">
        <f t="shared" si="138"/>
        <v>801.62837411410203</v>
      </c>
      <c r="CG21" s="511">
        <f t="shared" si="138"/>
        <v>801.62837411410203</v>
      </c>
      <c r="CH21" s="511">
        <f t="shared" si="138"/>
        <v>801.62837411410203</v>
      </c>
      <c r="CI21" s="511">
        <f t="shared" si="138"/>
        <v>801.62837411410203</v>
      </c>
      <c r="CJ21" s="511">
        <f t="shared" si="138"/>
        <v>801.62837411410203</v>
      </c>
      <c r="CK21" s="722">
        <f t="shared" si="139"/>
        <v>6.906397410303311E-2</v>
      </c>
      <c r="CL21" s="511">
        <f t="shared" si="140"/>
        <v>6.906397410303311E-2</v>
      </c>
      <c r="CM21" s="511">
        <f t="shared" si="140"/>
        <v>6.906397410303311E-2</v>
      </c>
      <c r="CN21" s="511">
        <f t="shared" si="140"/>
        <v>6.906397410303311E-2</v>
      </c>
      <c r="CO21" s="511">
        <f t="shared" si="140"/>
        <v>6.906397410303311E-2</v>
      </c>
      <c r="CP21" s="511">
        <f t="shared" si="140"/>
        <v>6.906397410303311E-2</v>
      </c>
      <c r="CQ21" s="511">
        <f t="shared" si="140"/>
        <v>6.906397410303311E-2</v>
      </c>
      <c r="CR21" s="722">
        <f t="shared" si="141"/>
        <v>15.887963460505105</v>
      </c>
      <c r="CS21" s="511">
        <f t="shared" si="142"/>
        <v>15.887963460505105</v>
      </c>
      <c r="CT21" s="511">
        <f t="shared" si="142"/>
        <v>15.887963460505105</v>
      </c>
      <c r="CU21" s="511">
        <f t="shared" si="142"/>
        <v>15.887963460505105</v>
      </c>
      <c r="CV21" s="511">
        <f t="shared" si="142"/>
        <v>15.887963460505105</v>
      </c>
      <c r="CW21" s="511">
        <f t="shared" si="142"/>
        <v>15.887963460505105</v>
      </c>
      <c r="CX21" s="511">
        <f t="shared" si="142"/>
        <v>15.887963460505105</v>
      </c>
      <c r="CY21" s="837">
        <f t="shared" si="143"/>
        <v>0</v>
      </c>
      <c r="CZ21" s="508">
        <f t="shared" si="143"/>
        <v>0</v>
      </c>
      <c r="DA21" s="508">
        <f t="shared" si="143"/>
        <v>0</v>
      </c>
      <c r="DB21" s="508">
        <f t="shared" si="143"/>
        <v>0</v>
      </c>
      <c r="DC21" s="508">
        <f t="shared" si="143"/>
        <v>0</v>
      </c>
      <c r="DD21" s="508">
        <f t="shared" si="143"/>
        <v>0</v>
      </c>
      <c r="DE21" s="509">
        <f t="shared" si="143"/>
        <v>0</v>
      </c>
      <c r="DF21" s="837">
        <f t="shared" si="144"/>
        <v>0</v>
      </c>
      <c r="DG21" s="508">
        <f t="shared" si="144"/>
        <v>0</v>
      </c>
      <c r="DH21" s="508">
        <f t="shared" si="144"/>
        <v>0</v>
      </c>
      <c r="DI21" s="508">
        <f t="shared" si="144"/>
        <v>0</v>
      </c>
      <c r="DJ21" s="508">
        <f t="shared" si="144"/>
        <v>0</v>
      </c>
      <c r="DK21" s="508">
        <f t="shared" si="144"/>
        <v>0</v>
      </c>
      <c r="DL21" s="450">
        <f t="shared" si="144"/>
        <v>0</v>
      </c>
      <c r="DM21" s="837">
        <f t="shared" si="145"/>
        <v>0</v>
      </c>
      <c r="DN21" s="508">
        <f t="shared" si="145"/>
        <v>0</v>
      </c>
      <c r="DO21" s="508">
        <f t="shared" si="145"/>
        <v>0</v>
      </c>
      <c r="DP21" s="508">
        <f t="shared" si="145"/>
        <v>0</v>
      </c>
      <c r="DQ21" s="508">
        <f t="shared" si="145"/>
        <v>0</v>
      </c>
      <c r="DR21" s="508">
        <f t="shared" si="145"/>
        <v>0</v>
      </c>
      <c r="DS21" s="451">
        <f t="shared" si="145"/>
        <v>0</v>
      </c>
      <c r="DT21" s="450">
        <f t="shared" si="146"/>
        <v>197999.99999999994</v>
      </c>
      <c r="DU21" s="508">
        <f t="shared" si="146"/>
        <v>197999.99999999994</v>
      </c>
      <c r="DV21" s="508">
        <f t="shared" si="146"/>
        <v>197999.99999999994</v>
      </c>
      <c r="DW21" s="508">
        <f t="shared" si="146"/>
        <v>197999.99999999994</v>
      </c>
      <c r="DX21" s="508">
        <f t="shared" si="146"/>
        <v>197999.99999999994</v>
      </c>
      <c r="DY21" s="508">
        <f t="shared" si="146"/>
        <v>197999.99999999994</v>
      </c>
      <c r="DZ21" s="451">
        <f t="shared" si="146"/>
        <v>197999.99999999994</v>
      </c>
      <c r="EA21" s="507">
        <f t="shared" si="147"/>
        <v>192390.80978738441</v>
      </c>
      <c r="EB21" s="507">
        <f t="shared" si="147"/>
        <v>192390.80978738441</v>
      </c>
      <c r="EC21" s="507">
        <f t="shared" si="147"/>
        <v>192390.80978738441</v>
      </c>
      <c r="ED21" s="507">
        <f t="shared" si="147"/>
        <v>192390.80978738441</v>
      </c>
      <c r="EE21" s="507">
        <f t="shared" si="147"/>
        <v>192390.80978738441</v>
      </c>
      <c r="EF21" s="507">
        <f t="shared" si="147"/>
        <v>192390.80978738441</v>
      </c>
      <c r="EG21" s="507">
        <f t="shared" si="147"/>
        <v>192390.80978738441</v>
      </c>
      <c r="EH21" s="722">
        <f t="shared" si="148"/>
        <v>16.575353784727941</v>
      </c>
      <c r="EI21" s="511">
        <f t="shared" si="148"/>
        <v>16.575353784727941</v>
      </c>
      <c r="EJ21" s="511">
        <f t="shared" si="148"/>
        <v>16.575353784727941</v>
      </c>
      <c r="EK21" s="511">
        <f t="shared" si="148"/>
        <v>16.575353784727941</v>
      </c>
      <c r="EL21" s="511">
        <f t="shared" si="148"/>
        <v>16.575353784727941</v>
      </c>
      <c r="EM21" s="511">
        <f t="shared" si="148"/>
        <v>16.575353784727941</v>
      </c>
      <c r="EN21" s="539">
        <f t="shared" si="148"/>
        <v>16.575353784727941</v>
      </c>
      <c r="EO21" s="838">
        <f t="shared" si="149"/>
        <v>3813.1112305212241</v>
      </c>
      <c r="EP21" s="511">
        <f t="shared" si="149"/>
        <v>3813.1112305212241</v>
      </c>
      <c r="EQ21" s="511">
        <f t="shared" si="149"/>
        <v>3813.1112305212241</v>
      </c>
      <c r="ER21" s="511">
        <f t="shared" si="149"/>
        <v>3813.1112305212241</v>
      </c>
      <c r="ES21" s="511">
        <f t="shared" si="149"/>
        <v>3813.1112305212241</v>
      </c>
      <c r="ET21" s="511">
        <f t="shared" si="149"/>
        <v>3813.1112305212241</v>
      </c>
      <c r="EU21" s="453">
        <f t="shared" si="149"/>
        <v>3813.1112305212241</v>
      </c>
      <c r="EV21" s="727">
        <f t="shared" si="150"/>
        <v>1919.9999999999995</v>
      </c>
      <c r="EW21" s="728">
        <f t="shared" si="151"/>
        <v>0</v>
      </c>
      <c r="EX21" s="728">
        <f t="shared" si="152"/>
        <v>0</v>
      </c>
      <c r="EY21" s="728">
        <f t="shared" si="153"/>
        <v>0</v>
      </c>
      <c r="EZ21" s="728">
        <f t="shared" si="154"/>
        <v>1385999.9999999998</v>
      </c>
      <c r="FA21" s="777">
        <f t="shared" si="155"/>
        <v>1346735.668511691</v>
      </c>
      <c r="FB21" s="777">
        <f t="shared" si="156"/>
        <v>116.02747649309558</v>
      </c>
      <c r="FC21" s="778">
        <f t="shared" si="157"/>
        <v>26691.778613648567</v>
      </c>
    </row>
    <row r="22" spans="1:171" s="556" customFormat="1" ht="12.75" hidden="1" customHeight="1">
      <c r="A22" s="877" t="s">
        <v>179</v>
      </c>
      <c r="B22" s="878" t="s">
        <v>779</v>
      </c>
      <c r="C22" s="878" t="s">
        <v>749</v>
      </c>
      <c r="D22" s="878" t="s">
        <v>750</v>
      </c>
      <c r="E22" s="878" t="s">
        <v>331</v>
      </c>
      <c r="F22" s="879" t="s">
        <v>372</v>
      </c>
      <c r="G22" s="879">
        <v>0</v>
      </c>
      <c r="H22" s="879">
        <v>0</v>
      </c>
      <c r="I22" s="879">
        <v>0</v>
      </c>
      <c r="J22" s="879">
        <v>0</v>
      </c>
      <c r="K22" s="879">
        <v>0</v>
      </c>
      <c r="L22" s="847" t="s">
        <v>751</v>
      </c>
      <c r="M22" s="843">
        <v>0</v>
      </c>
      <c r="N22" s="880">
        <v>0</v>
      </c>
      <c r="O22" s="843">
        <v>0</v>
      </c>
      <c r="P22" s="841">
        <f t="shared" si="125"/>
        <v>0</v>
      </c>
      <c r="Q22" s="844">
        <f t="shared" ref="Q22:T24" si="159">Q8</f>
        <v>0</v>
      </c>
      <c r="R22" s="844">
        <f t="shared" si="159"/>
        <v>1.5727978776865969E-3</v>
      </c>
      <c r="S22" s="844">
        <v>0</v>
      </c>
      <c r="T22" s="841" t="str">
        <f t="shared" si="159"/>
        <v>Based on the Mid Atlantic TRM v10 (p 133) for the residential measure "Faucet Aerators" for the bathroom. Engineering Calculation.</v>
      </c>
      <c r="U22" s="845"/>
      <c r="V22" s="846"/>
      <c r="W22" s="877"/>
      <c r="X22" s="877"/>
      <c r="Y22" s="877"/>
      <c r="Z22" s="877"/>
      <c r="AA22" s="844"/>
      <c r="AB22" s="557"/>
      <c r="AC22" s="844"/>
      <c r="AD22" s="844">
        <v>0</v>
      </c>
      <c r="AE22" s="844">
        <v>0</v>
      </c>
      <c r="AF22" s="844">
        <v>0</v>
      </c>
      <c r="AG22" s="844">
        <v>0</v>
      </c>
      <c r="AH22" s="844">
        <v>0</v>
      </c>
      <c r="AI22" s="844">
        <v>0</v>
      </c>
      <c r="AJ22" s="844">
        <v>0</v>
      </c>
      <c r="AK22" s="847" t="s">
        <v>374</v>
      </c>
      <c r="AL22" s="847" t="s">
        <v>375</v>
      </c>
      <c r="AM22" s="847" t="s">
        <v>743</v>
      </c>
      <c r="AN22" s="847" t="s">
        <v>753</v>
      </c>
      <c r="AO22" s="847" t="s">
        <v>1</v>
      </c>
      <c r="AP22" s="847" t="s">
        <v>378</v>
      </c>
      <c r="AQ22" s="847" t="s">
        <v>378</v>
      </c>
      <c r="AR22" s="847" t="s">
        <v>378</v>
      </c>
      <c r="AS22" s="848" t="s">
        <v>754</v>
      </c>
      <c r="AT22" s="848" t="s">
        <v>755</v>
      </c>
      <c r="AU22" s="848" t="s">
        <v>746</v>
      </c>
      <c r="AV22" s="839">
        <v>10</v>
      </c>
      <c r="AW22" s="839">
        <v>10</v>
      </c>
      <c r="AX22" s="847" t="s">
        <v>756</v>
      </c>
      <c r="AY22" s="849">
        <v>1</v>
      </c>
      <c r="AZ22" s="849">
        <v>1</v>
      </c>
      <c r="BA22" s="850">
        <v>1</v>
      </c>
      <c r="BB22" s="851">
        <f t="shared" si="127"/>
        <v>0</v>
      </c>
      <c r="BC22" s="852">
        <f t="shared" ref="BC22:BE24" si="160">BB22</f>
        <v>0</v>
      </c>
      <c r="BD22" s="852">
        <f t="shared" si="160"/>
        <v>0</v>
      </c>
      <c r="BE22" s="852">
        <f t="shared" si="160"/>
        <v>0</v>
      </c>
      <c r="BF22" s="852">
        <f t="shared" si="129"/>
        <v>0</v>
      </c>
      <c r="BG22" s="852">
        <f t="shared" ref="BG22:BH24" si="161">BD22</f>
        <v>0</v>
      </c>
      <c r="BH22" s="852">
        <f t="shared" si="161"/>
        <v>0</v>
      </c>
      <c r="BI22" s="851">
        <f t="shared" si="131"/>
        <v>0</v>
      </c>
      <c r="BJ22" s="852">
        <f t="shared" ref="BJ22:BO24" si="162">BI22</f>
        <v>0</v>
      </c>
      <c r="BK22" s="852">
        <f t="shared" si="162"/>
        <v>0</v>
      </c>
      <c r="BL22" s="852">
        <f t="shared" si="162"/>
        <v>0</v>
      </c>
      <c r="BM22" s="852">
        <f t="shared" si="162"/>
        <v>0</v>
      </c>
      <c r="BN22" s="852">
        <f t="shared" si="162"/>
        <v>0</v>
      </c>
      <c r="BO22" s="852">
        <f t="shared" si="162"/>
        <v>0</v>
      </c>
      <c r="BP22" s="851">
        <f t="shared" si="133"/>
        <v>0</v>
      </c>
      <c r="BQ22" s="852">
        <f t="shared" si="134"/>
        <v>0</v>
      </c>
      <c r="BR22" s="852">
        <f t="shared" ref="BR22:BV24" si="163">BQ22</f>
        <v>0</v>
      </c>
      <c r="BS22" s="852">
        <f t="shared" si="163"/>
        <v>0</v>
      </c>
      <c r="BT22" s="852">
        <f t="shared" si="163"/>
        <v>0</v>
      </c>
      <c r="BU22" s="852">
        <f t="shared" si="163"/>
        <v>0</v>
      </c>
      <c r="BV22" s="852">
        <f t="shared" si="163"/>
        <v>0</v>
      </c>
      <c r="BW22" s="853">
        <f t="shared" si="136"/>
        <v>0</v>
      </c>
      <c r="BX22" s="854">
        <f t="shared" ref="BX22:CC24" si="164">$P22</f>
        <v>0</v>
      </c>
      <c r="BY22" s="854">
        <f t="shared" si="164"/>
        <v>0</v>
      </c>
      <c r="BZ22" s="854">
        <f t="shared" si="164"/>
        <v>0</v>
      </c>
      <c r="CA22" s="854">
        <f t="shared" si="164"/>
        <v>0</v>
      </c>
      <c r="CB22" s="854">
        <f t="shared" si="164"/>
        <v>0</v>
      </c>
      <c r="CC22" s="854">
        <f t="shared" si="164"/>
        <v>0</v>
      </c>
      <c r="CD22" s="855">
        <f t="shared" si="137"/>
        <v>0</v>
      </c>
      <c r="CE22" s="856">
        <f t="shared" ref="CE22:CJ24" si="165">CD22</f>
        <v>0</v>
      </c>
      <c r="CF22" s="856">
        <f t="shared" si="165"/>
        <v>0</v>
      </c>
      <c r="CG22" s="856">
        <f t="shared" si="165"/>
        <v>0</v>
      </c>
      <c r="CH22" s="856">
        <f t="shared" si="165"/>
        <v>0</v>
      </c>
      <c r="CI22" s="856">
        <f t="shared" si="165"/>
        <v>0</v>
      </c>
      <c r="CJ22" s="856">
        <f t="shared" si="165"/>
        <v>0</v>
      </c>
      <c r="CK22" s="855">
        <f t="shared" si="139"/>
        <v>1.5727978776865969E-3</v>
      </c>
      <c r="CL22" s="856">
        <f t="shared" ref="CL22:CQ24" si="166">CK22</f>
        <v>1.5727978776865969E-3</v>
      </c>
      <c r="CM22" s="856">
        <f t="shared" si="166"/>
        <v>1.5727978776865969E-3</v>
      </c>
      <c r="CN22" s="856">
        <f t="shared" si="166"/>
        <v>1.5727978776865969E-3</v>
      </c>
      <c r="CO22" s="856">
        <f t="shared" si="166"/>
        <v>1.5727978776865969E-3</v>
      </c>
      <c r="CP22" s="856">
        <f t="shared" si="166"/>
        <v>1.5727978776865969E-3</v>
      </c>
      <c r="CQ22" s="856">
        <f t="shared" si="166"/>
        <v>1.5727978776865969E-3</v>
      </c>
      <c r="CR22" s="855">
        <f t="shared" si="141"/>
        <v>0</v>
      </c>
      <c r="CS22" s="856">
        <f t="shared" ref="CS22:CX24" si="167">CR22</f>
        <v>0</v>
      </c>
      <c r="CT22" s="856">
        <f t="shared" si="167"/>
        <v>0</v>
      </c>
      <c r="CU22" s="856">
        <f t="shared" si="167"/>
        <v>0</v>
      </c>
      <c r="CV22" s="856">
        <f t="shared" si="167"/>
        <v>0</v>
      </c>
      <c r="CW22" s="856">
        <f t="shared" si="167"/>
        <v>0</v>
      </c>
      <c r="CX22" s="856">
        <f t="shared" si="167"/>
        <v>0</v>
      </c>
      <c r="CY22" s="857">
        <f t="shared" si="143"/>
        <v>0</v>
      </c>
      <c r="CZ22" s="858">
        <f t="shared" si="143"/>
        <v>0</v>
      </c>
      <c r="DA22" s="858">
        <f t="shared" si="143"/>
        <v>0</v>
      </c>
      <c r="DB22" s="858">
        <f t="shared" si="143"/>
        <v>0</v>
      </c>
      <c r="DC22" s="858">
        <f t="shared" si="143"/>
        <v>0</v>
      </c>
      <c r="DD22" s="858">
        <f t="shared" si="143"/>
        <v>0</v>
      </c>
      <c r="DE22" s="859">
        <f t="shared" si="143"/>
        <v>0</v>
      </c>
      <c r="DF22" s="857">
        <f t="shared" si="144"/>
        <v>0</v>
      </c>
      <c r="DG22" s="858">
        <f t="shared" si="144"/>
        <v>0</v>
      </c>
      <c r="DH22" s="858">
        <f t="shared" si="144"/>
        <v>0</v>
      </c>
      <c r="DI22" s="858">
        <f t="shared" si="144"/>
        <v>0</v>
      </c>
      <c r="DJ22" s="858">
        <f t="shared" si="144"/>
        <v>0</v>
      </c>
      <c r="DK22" s="858">
        <f t="shared" si="144"/>
        <v>0</v>
      </c>
      <c r="DL22" s="552">
        <f t="shared" si="144"/>
        <v>0</v>
      </c>
      <c r="DM22" s="857">
        <f t="shared" si="145"/>
        <v>0</v>
      </c>
      <c r="DN22" s="858">
        <f t="shared" si="145"/>
        <v>0</v>
      </c>
      <c r="DO22" s="858">
        <f t="shared" si="145"/>
        <v>0</v>
      </c>
      <c r="DP22" s="858">
        <f t="shared" si="145"/>
        <v>0</v>
      </c>
      <c r="DQ22" s="858">
        <f t="shared" si="145"/>
        <v>0</v>
      </c>
      <c r="DR22" s="858">
        <f t="shared" si="145"/>
        <v>0</v>
      </c>
      <c r="DS22" s="553">
        <f t="shared" si="145"/>
        <v>0</v>
      </c>
      <c r="DT22" s="552">
        <f t="shared" si="146"/>
        <v>0</v>
      </c>
      <c r="DU22" s="858">
        <f t="shared" si="146"/>
        <v>0</v>
      </c>
      <c r="DV22" s="858">
        <f t="shared" si="146"/>
        <v>0</v>
      </c>
      <c r="DW22" s="858">
        <f t="shared" si="146"/>
        <v>0</v>
      </c>
      <c r="DX22" s="858">
        <f t="shared" si="146"/>
        <v>0</v>
      </c>
      <c r="DY22" s="858">
        <f t="shared" si="146"/>
        <v>0</v>
      </c>
      <c r="DZ22" s="553">
        <f t="shared" si="146"/>
        <v>0</v>
      </c>
      <c r="EA22" s="862">
        <f t="shared" si="147"/>
        <v>0</v>
      </c>
      <c r="EB22" s="862">
        <f t="shared" si="147"/>
        <v>0</v>
      </c>
      <c r="EC22" s="862">
        <f t="shared" si="147"/>
        <v>0</v>
      </c>
      <c r="ED22" s="862">
        <f t="shared" si="147"/>
        <v>0</v>
      </c>
      <c r="EE22" s="862">
        <f t="shared" si="147"/>
        <v>0</v>
      </c>
      <c r="EF22" s="862">
        <f t="shared" si="147"/>
        <v>0</v>
      </c>
      <c r="EG22" s="862">
        <f t="shared" si="147"/>
        <v>0</v>
      </c>
      <c r="EH22" s="855">
        <f t="shared" si="148"/>
        <v>0</v>
      </c>
      <c r="EI22" s="856">
        <f t="shared" si="148"/>
        <v>0</v>
      </c>
      <c r="EJ22" s="856">
        <f t="shared" si="148"/>
        <v>0</v>
      </c>
      <c r="EK22" s="856">
        <f t="shared" si="148"/>
        <v>0</v>
      </c>
      <c r="EL22" s="856">
        <f t="shared" si="148"/>
        <v>0</v>
      </c>
      <c r="EM22" s="856">
        <f t="shared" si="148"/>
        <v>0</v>
      </c>
      <c r="EN22" s="885">
        <f t="shared" si="148"/>
        <v>0</v>
      </c>
      <c r="EO22" s="864">
        <f t="shared" si="149"/>
        <v>0</v>
      </c>
      <c r="EP22" s="856">
        <f t="shared" si="149"/>
        <v>0</v>
      </c>
      <c r="EQ22" s="856">
        <f t="shared" si="149"/>
        <v>0</v>
      </c>
      <c r="ER22" s="856">
        <f t="shared" si="149"/>
        <v>0</v>
      </c>
      <c r="ES22" s="856">
        <f t="shared" si="149"/>
        <v>0</v>
      </c>
      <c r="ET22" s="856">
        <f t="shared" si="149"/>
        <v>0</v>
      </c>
      <c r="EU22" s="555">
        <f t="shared" si="149"/>
        <v>0</v>
      </c>
      <c r="EV22" s="865">
        <f t="shared" si="150"/>
        <v>0</v>
      </c>
      <c r="EW22" s="866">
        <f t="shared" si="151"/>
        <v>0</v>
      </c>
      <c r="EX22" s="866">
        <f t="shared" si="152"/>
        <v>0</v>
      </c>
      <c r="EY22" s="866">
        <f t="shared" si="153"/>
        <v>0</v>
      </c>
      <c r="EZ22" s="866">
        <f t="shared" si="154"/>
        <v>0</v>
      </c>
      <c r="FA22" s="867">
        <f t="shared" si="155"/>
        <v>0</v>
      </c>
      <c r="FB22" s="867">
        <f t="shared" si="156"/>
        <v>0</v>
      </c>
      <c r="FC22" s="868">
        <f t="shared" si="157"/>
        <v>0</v>
      </c>
      <c r="FD22" s="10"/>
      <c r="FE22" s="10"/>
      <c r="FF22" s="10"/>
      <c r="FG22" s="10"/>
      <c r="FH22" s="10"/>
      <c r="FI22" s="10"/>
      <c r="FJ22" s="10"/>
      <c r="FK22" s="10"/>
      <c r="FL22" s="10"/>
      <c r="FM22" s="10"/>
      <c r="FN22" s="10"/>
      <c r="FO22" s="10"/>
    </row>
    <row r="23" spans="1:171" s="556" customFormat="1" ht="12.75" hidden="1" customHeight="1">
      <c r="A23" s="877" t="s">
        <v>180</v>
      </c>
      <c r="B23" s="878" t="s">
        <v>780</v>
      </c>
      <c r="C23" s="878" t="s">
        <v>758</v>
      </c>
      <c r="D23" s="878" t="s">
        <v>750</v>
      </c>
      <c r="E23" s="878" t="s">
        <v>331</v>
      </c>
      <c r="F23" s="879" t="s">
        <v>372</v>
      </c>
      <c r="G23" s="879">
        <v>0</v>
      </c>
      <c r="H23" s="879">
        <v>0</v>
      </c>
      <c r="I23" s="879">
        <v>0</v>
      </c>
      <c r="J23" s="879">
        <v>0</v>
      </c>
      <c r="K23" s="879">
        <v>0</v>
      </c>
      <c r="L23" s="847" t="s">
        <v>751</v>
      </c>
      <c r="M23" s="843">
        <v>0</v>
      </c>
      <c r="N23" s="880">
        <v>0</v>
      </c>
      <c r="O23" s="843">
        <v>0</v>
      </c>
      <c r="P23" s="841">
        <f t="shared" si="125"/>
        <v>0</v>
      </c>
      <c r="Q23" s="844">
        <f t="shared" si="159"/>
        <v>0</v>
      </c>
      <c r="R23" s="844">
        <f t="shared" si="159"/>
        <v>1.1993826010613807E-3</v>
      </c>
      <c r="S23" s="844">
        <v>0</v>
      </c>
      <c r="T23" s="841" t="str">
        <f t="shared" si="159"/>
        <v>Based on the Mid Atlantic TRM v10 (p 133) for the residential measure "Faucet Aerators" for the bathroom. Engineering Calculation.</v>
      </c>
      <c r="U23" s="845"/>
      <c r="V23" s="846"/>
      <c r="W23" s="877"/>
      <c r="X23" s="877"/>
      <c r="Y23" s="877"/>
      <c r="Z23" s="877"/>
      <c r="AA23" s="844"/>
      <c r="AB23" s="557"/>
      <c r="AC23" s="844"/>
      <c r="AD23" s="844">
        <v>0</v>
      </c>
      <c r="AE23" s="844">
        <v>0</v>
      </c>
      <c r="AF23" s="844">
        <v>0</v>
      </c>
      <c r="AG23" s="844">
        <v>0</v>
      </c>
      <c r="AH23" s="844">
        <v>0</v>
      </c>
      <c r="AI23" s="844">
        <v>0</v>
      </c>
      <c r="AJ23" s="844">
        <v>0</v>
      </c>
      <c r="AK23" s="847" t="s">
        <v>374</v>
      </c>
      <c r="AL23" s="847" t="s">
        <v>375</v>
      </c>
      <c r="AM23" s="847" t="s">
        <v>743</v>
      </c>
      <c r="AN23" s="847" t="s">
        <v>753</v>
      </c>
      <c r="AO23" s="847" t="s">
        <v>1</v>
      </c>
      <c r="AP23" s="847" t="s">
        <v>378</v>
      </c>
      <c r="AQ23" s="847" t="s">
        <v>378</v>
      </c>
      <c r="AR23" s="847" t="s">
        <v>378</v>
      </c>
      <c r="AS23" s="848" t="s">
        <v>754</v>
      </c>
      <c r="AT23" s="848" t="s">
        <v>755</v>
      </c>
      <c r="AU23" s="848" t="s">
        <v>746</v>
      </c>
      <c r="AV23" s="839">
        <v>10</v>
      </c>
      <c r="AW23" s="839">
        <v>10</v>
      </c>
      <c r="AX23" s="847" t="s">
        <v>756</v>
      </c>
      <c r="AY23" s="849">
        <v>1</v>
      </c>
      <c r="AZ23" s="849">
        <v>1</v>
      </c>
      <c r="BA23" s="850">
        <v>1</v>
      </c>
      <c r="BB23" s="851">
        <f t="shared" si="127"/>
        <v>0</v>
      </c>
      <c r="BC23" s="852">
        <f t="shared" si="160"/>
        <v>0</v>
      </c>
      <c r="BD23" s="852">
        <f t="shared" si="160"/>
        <v>0</v>
      </c>
      <c r="BE23" s="852">
        <f t="shared" si="160"/>
        <v>0</v>
      </c>
      <c r="BF23" s="852">
        <f t="shared" si="129"/>
        <v>0</v>
      </c>
      <c r="BG23" s="852">
        <f t="shared" si="161"/>
        <v>0</v>
      </c>
      <c r="BH23" s="852">
        <f t="shared" si="161"/>
        <v>0</v>
      </c>
      <c r="BI23" s="851">
        <f t="shared" si="131"/>
        <v>0</v>
      </c>
      <c r="BJ23" s="852">
        <f t="shared" si="162"/>
        <v>0</v>
      </c>
      <c r="BK23" s="852">
        <f t="shared" si="162"/>
        <v>0</v>
      </c>
      <c r="BL23" s="852">
        <f t="shared" si="162"/>
        <v>0</v>
      </c>
      <c r="BM23" s="852">
        <f t="shared" si="162"/>
        <v>0</v>
      </c>
      <c r="BN23" s="852">
        <f t="shared" si="162"/>
        <v>0</v>
      </c>
      <c r="BO23" s="852">
        <f t="shared" si="162"/>
        <v>0</v>
      </c>
      <c r="BP23" s="851">
        <f t="shared" si="133"/>
        <v>0</v>
      </c>
      <c r="BQ23" s="852">
        <f t="shared" si="134"/>
        <v>0</v>
      </c>
      <c r="BR23" s="852">
        <f t="shared" si="163"/>
        <v>0</v>
      </c>
      <c r="BS23" s="852">
        <f t="shared" si="163"/>
        <v>0</v>
      </c>
      <c r="BT23" s="852">
        <f t="shared" si="163"/>
        <v>0</v>
      </c>
      <c r="BU23" s="852">
        <f t="shared" si="163"/>
        <v>0</v>
      </c>
      <c r="BV23" s="852">
        <f t="shared" si="163"/>
        <v>0</v>
      </c>
      <c r="BW23" s="853">
        <f t="shared" si="136"/>
        <v>0</v>
      </c>
      <c r="BX23" s="854">
        <f t="shared" si="164"/>
        <v>0</v>
      </c>
      <c r="BY23" s="854">
        <f t="shared" si="164"/>
        <v>0</v>
      </c>
      <c r="BZ23" s="854">
        <f t="shared" si="164"/>
        <v>0</v>
      </c>
      <c r="CA23" s="854">
        <f t="shared" si="164"/>
        <v>0</v>
      </c>
      <c r="CB23" s="854">
        <f t="shared" si="164"/>
        <v>0</v>
      </c>
      <c r="CC23" s="854">
        <f t="shared" si="164"/>
        <v>0</v>
      </c>
      <c r="CD23" s="855">
        <f t="shared" si="137"/>
        <v>0</v>
      </c>
      <c r="CE23" s="856">
        <f t="shared" si="165"/>
        <v>0</v>
      </c>
      <c r="CF23" s="856">
        <f t="shared" si="165"/>
        <v>0</v>
      </c>
      <c r="CG23" s="856">
        <f t="shared" si="165"/>
        <v>0</v>
      </c>
      <c r="CH23" s="856">
        <f t="shared" si="165"/>
        <v>0</v>
      </c>
      <c r="CI23" s="856">
        <f t="shared" si="165"/>
        <v>0</v>
      </c>
      <c r="CJ23" s="856">
        <f t="shared" si="165"/>
        <v>0</v>
      </c>
      <c r="CK23" s="855">
        <f t="shared" si="139"/>
        <v>1.1993826010613807E-3</v>
      </c>
      <c r="CL23" s="856">
        <f t="shared" si="166"/>
        <v>1.1993826010613807E-3</v>
      </c>
      <c r="CM23" s="856">
        <f t="shared" si="166"/>
        <v>1.1993826010613807E-3</v>
      </c>
      <c r="CN23" s="856">
        <f t="shared" si="166"/>
        <v>1.1993826010613807E-3</v>
      </c>
      <c r="CO23" s="856">
        <f t="shared" si="166"/>
        <v>1.1993826010613807E-3</v>
      </c>
      <c r="CP23" s="856">
        <f t="shared" si="166"/>
        <v>1.1993826010613807E-3</v>
      </c>
      <c r="CQ23" s="856">
        <f t="shared" si="166"/>
        <v>1.1993826010613807E-3</v>
      </c>
      <c r="CR23" s="855">
        <f t="shared" si="141"/>
        <v>0</v>
      </c>
      <c r="CS23" s="856">
        <f t="shared" si="167"/>
        <v>0</v>
      </c>
      <c r="CT23" s="856">
        <f t="shared" si="167"/>
        <v>0</v>
      </c>
      <c r="CU23" s="856">
        <f t="shared" si="167"/>
        <v>0</v>
      </c>
      <c r="CV23" s="856">
        <f t="shared" si="167"/>
        <v>0</v>
      </c>
      <c r="CW23" s="856">
        <f t="shared" si="167"/>
        <v>0</v>
      </c>
      <c r="CX23" s="856">
        <f t="shared" si="167"/>
        <v>0</v>
      </c>
      <c r="CY23" s="857">
        <f t="shared" si="143"/>
        <v>0</v>
      </c>
      <c r="CZ23" s="858">
        <f t="shared" si="143"/>
        <v>0</v>
      </c>
      <c r="DA23" s="858">
        <f t="shared" si="143"/>
        <v>0</v>
      </c>
      <c r="DB23" s="858">
        <f t="shared" si="143"/>
        <v>0</v>
      </c>
      <c r="DC23" s="858">
        <f t="shared" si="143"/>
        <v>0</v>
      </c>
      <c r="DD23" s="858">
        <f t="shared" si="143"/>
        <v>0</v>
      </c>
      <c r="DE23" s="859">
        <f t="shared" si="143"/>
        <v>0</v>
      </c>
      <c r="DF23" s="857">
        <f t="shared" si="144"/>
        <v>0</v>
      </c>
      <c r="DG23" s="858">
        <f t="shared" si="144"/>
        <v>0</v>
      </c>
      <c r="DH23" s="858">
        <f t="shared" si="144"/>
        <v>0</v>
      </c>
      <c r="DI23" s="858">
        <f t="shared" si="144"/>
        <v>0</v>
      </c>
      <c r="DJ23" s="858">
        <f t="shared" si="144"/>
        <v>0</v>
      </c>
      <c r="DK23" s="858">
        <f t="shared" si="144"/>
        <v>0</v>
      </c>
      <c r="DL23" s="552">
        <f t="shared" si="144"/>
        <v>0</v>
      </c>
      <c r="DM23" s="857">
        <f t="shared" si="145"/>
        <v>0</v>
      </c>
      <c r="DN23" s="858">
        <f t="shared" si="145"/>
        <v>0</v>
      </c>
      <c r="DO23" s="858">
        <f t="shared" si="145"/>
        <v>0</v>
      </c>
      <c r="DP23" s="858">
        <f t="shared" si="145"/>
        <v>0</v>
      </c>
      <c r="DQ23" s="858">
        <f t="shared" si="145"/>
        <v>0</v>
      </c>
      <c r="DR23" s="858">
        <f t="shared" si="145"/>
        <v>0</v>
      </c>
      <c r="DS23" s="553">
        <f t="shared" si="145"/>
        <v>0</v>
      </c>
      <c r="DT23" s="552">
        <f t="shared" si="146"/>
        <v>0</v>
      </c>
      <c r="DU23" s="858">
        <f t="shared" si="146"/>
        <v>0</v>
      </c>
      <c r="DV23" s="858">
        <f t="shared" si="146"/>
        <v>0</v>
      </c>
      <c r="DW23" s="858">
        <f t="shared" si="146"/>
        <v>0</v>
      </c>
      <c r="DX23" s="858">
        <f t="shared" si="146"/>
        <v>0</v>
      </c>
      <c r="DY23" s="858">
        <f t="shared" si="146"/>
        <v>0</v>
      </c>
      <c r="DZ23" s="553">
        <f t="shared" si="146"/>
        <v>0</v>
      </c>
      <c r="EA23" s="862">
        <f t="shared" si="147"/>
        <v>0</v>
      </c>
      <c r="EB23" s="862">
        <f t="shared" si="147"/>
        <v>0</v>
      </c>
      <c r="EC23" s="862">
        <f t="shared" si="147"/>
        <v>0</v>
      </c>
      <c r="ED23" s="862">
        <f t="shared" si="147"/>
        <v>0</v>
      </c>
      <c r="EE23" s="862">
        <f t="shared" si="147"/>
        <v>0</v>
      </c>
      <c r="EF23" s="862">
        <f t="shared" si="147"/>
        <v>0</v>
      </c>
      <c r="EG23" s="862">
        <f t="shared" si="147"/>
        <v>0</v>
      </c>
      <c r="EH23" s="855">
        <f t="shared" si="148"/>
        <v>0</v>
      </c>
      <c r="EI23" s="856">
        <f t="shared" si="148"/>
        <v>0</v>
      </c>
      <c r="EJ23" s="856">
        <f t="shared" si="148"/>
        <v>0</v>
      </c>
      <c r="EK23" s="856">
        <f t="shared" si="148"/>
        <v>0</v>
      </c>
      <c r="EL23" s="856">
        <f t="shared" si="148"/>
        <v>0</v>
      </c>
      <c r="EM23" s="856">
        <f t="shared" si="148"/>
        <v>0</v>
      </c>
      <c r="EN23" s="885">
        <f t="shared" si="148"/>
        <v>0</v>
      </c>
      <c r="EO23" s="864">
        <f t="shared" si="149"/>
        <v>0</v>
      </c>
      <c r="EP23" s="856">
        <f t="shared" si="149"/>
        <v>0</v>
      </c>
      <c r="EQ23" s="856">
        <f t="shared" si="149"/>
        <v>0</v>
      </c>
      <c r="ER23" s="856">
        <f t="shared" si="149"/>
        <v>0</v>
      </c>
      <c r="ES23" s="856">
        <f t="shared" si="149"/>
        <v>0</v>
      </c>
      <c r="ET23" s="856">
        <f t="shared" si="149"/>
        <v>0</v>
      </c>
      <c r="EU23" s="555">
        <f t="shared" si="149"/>
        <v>0</v>
      </c>
      <c r="EV23" s="865">
        <f t="shared" si="150"/>
        <v>0</v>
      </c>
      <c r="EW23" s="866">
        <f t="shared" si="151"/>
        <v>0</v>
      </c>
      <c r="EX23" s="866">
        <f t="shared" si="152"/>
        <v>0</v>
      </c>
      <c r="EY23" s="866">
        <f t="shared" si="153"/>
        <v>0</v>
      </c>
      <c r="EZ23" s="866">
        <f t="shared" si="154"/>
        <v>0</v>
      </c>
      <c r="FA23" s="867">
        <f t="shared" si="155"/>
        <v>0</v>
      </c>
      <c r="FB23" s="867">
        <f t="shared" si="156"/>
        <v>0</v>
      </c>
      <c r="FC23" s="868">
        <f t="shared" si="157"/>
        <v>0</v>
      </c>
      <c r="FD23" s="10"/>
      <c r="FE23" s="10"/>
      <c r="FF23" s="10"/>
      <c r="FG23" s="10"/>
      <c r="FH23" s="10"/>
      <c r="FI23" s="10"/>
      <c r="FJ23" s="10"/>
      <c r="FK23" s="10"/>
      <c r="FL23" s="10"/>
      <c r="FM23" s="10"/>
      <c r="FN23" s="10"/>
      <c r="FO23" s="10"/>
    </row>
    <row r="24" spans="1:171" s="556" customFormat="1" ht="12.75" hidden="1" customHeight="1">
      <c r="A24" s="877" t="s">
        <v>181</v>
      </c>
      <c r="B24" s="878" t="s">
        <v>781</v>
      </c>
      <c r="C24" s="878" t="s">
        <v>760</v>
      </c>
      <c r="D24" s="878" t="s">
        <v>761</v>
      </c>
      <c r="E24" s="878" t="s">
        <v>331</v>
      </c>
      <c r="F24" s="879" t="s">
        <v>372</v>
      </c>
      <c r="G24" s="879">
        <v>0</v>
      </c>
      <c r="H24" s="879">
        <v>0</v>
      </c>
      <c r="I24" s="879">
        <v>0</v>
      </c>
      <c r="J24" s="879">
        <v>0</v>
      </c>
      <c r="K24" s="879">
        <v>0</v>
      </c>
      <c r="L24" s="847" t="s">
        <v>751</v>
      </c>
      <c r="M24" s="843">
        <v>0</v>
      </c>
      <c r="N24" s="880">
        <v>0</v>
      </c>
      <c r="O24" s="843">
        <v>0</v>
      </c>
      <c r="P24" s="841">
        <f t="shared" si="125"/>
        <v>0</v>
      </c>
      <c r="Q24" s="844">
        <f t="shared" si="159"/>
        <v>0</v>
      </c>
      <c r="R24" s="844">
        <f t="shared" si="159"/>
        <v>9.3813961019929698E-3</v>
      </c>
      <c r="S24" s="844">
        <v>0</v>
      </c>
      <c r="T24" s="841" t="str">
        <f t="shared" si="159"/>
        <v>Based on the Mid Atlantic TRM v10 (p 137) for the residential measure "Low Flow Showerhead". Engineering Calculation</v>
      </c>
      <c r="U24" s="845"/>
      <c r="V24" s="846"/>
      <c r="W24" s="877"/>
      <c r="X24" s="877"/>
      <c r="Y24" s="877"/>
      <c r="Z24" s="877"/>
      <c r="AA24" s="844"/>
      <c r="AB24" s="557"/>
      <c r="AC24" s="844"/>
      <c r="AD24" s="844">
        <v>0</v>
      </c>
      <c r="AE24" s="844">
        <v>0</v>
      </c>
      <c r="AF24" s="844">
        <v>0</v>
      </c>
      <c r="AG24" s="844">
        <v>0</v>
      </c>
      <c r="AH24" s="844">
        <v>0</v>
      </c>
      <c r="AI24" s="844">
        <v>0</v>
      </c>
      <c r="AJ24" s="844">
        <v>0</v>
      </c>
      <c r="AK24" s="847" t="s">
        <v>374</v>
      </c>
      <c r="AL24" s="847" t="s">
        <v>375</v>
      </c>
      <c r="AM24" s="847" t="s">
        <v>743</v>
      </c>
      <c r="AN24" s="847" t="s">
        <v>753</v>
      </c>
      <c r="AO24" s="847" t="s">
        <v>1</v>
      </c>
      <c r="AP24" s="847" t="s">
        <v>378</v>
      </c>
      <c r="AQ24" s="847" t="s">
        <v>378</v>
      </c>
      <c r="AR24" s="847" t="s">
        <v>378</v>
      </c>
      <c r="AS24" s="848" t="s">
        <v>754</v>
      </c>
      <c r="AT24" s="848" t="s">
        <v>755</v>
      </c>
      <c r="AU24" s="848" t="s">
        <v>746</v>
      </c>
      <c r="AV24" s="839">
        <v>10</v>
      </c>
      <c r="AW24" s="839">
        <v>10</v>
      </c>
      <c r="AX24" s="847" t="s">
        <v>756</v>
      </c>
      <c r="AY24" s="849">
        <v>1</v>
      </c>
      <c r="AZ24" s="849">
        <v>1</v>
      </c>
      <c r="BA24" s="850">
        <v>1</v>
      </c>
      <c r="BB24" s="851">
        <f t="shared" si="127"/>
        <v>0</v>
      </c>
      <c r="BC24" s="852">
        <f t="shared" si="160"/>
        <v>0</v>
      </c>
      <c r="BD24" s="852">
        <f t="shared" si="160"/>
        <v>0</v>
      </c>
      <c r="BE24" s="852">
        <f t="shared" si="160"/>
        <v>0</v>
      </c>
      <c r="BF24" s="852">
        <f t="shared" si="129"/>
        <v>0</v>
      </c>
      <c r="BG24" s="852">
        <f t="shared" si="161"/>
        <v>0</v>
      </c>
      <c r="BH24" s="852">
        <f t="shared" si="161"/>
        <v>0</v>
      </c>
      <c r="BI24" s="851">
        <f t="shared" si="131"/>
        <v>0</v>
      </c>
      <c r="BJ24" s="852">
        <f t="shared" si="162"/>
        <v>0</v>
      </c>
      <c r="BK24" s="852">
        <f t="shared" si="162"/>
        <v>0</v>
      </c>
      <c r="BL24" s="852">
        <f t="shared" si="162"/>
        <v>0</v>
      </c>
      <c r="BM24" s="852">
        <f t="shared" si="162"/>
        <v>0</v>
      </c>
      <c r="BN24" s="852">
        <f t="shared" si="162"/>
        <v>0</v>
      </c>
      <c r="BO24" s="852">
        <f t="shared" si="162"/>
        <v>0</v>
      </c>
      <c r="BP24" s="851">
        <f t="shared" si="133"/>
        <v>0</v>
      </c>
      <c r="BQ24" s="852">
        <f t="shared" si="134"/>
        <v>0</v>
      </c>
      <c r="BR24" s="852">
        <f t="shared" si="163"/>
        <v>0</v>
      </c>
      <c r="BS24" s="852">
        <f t="shared" si="163"/>
        <v>0</v>
      </c>
      <c r="BT24" s="852">
        <f t="shared" si="163"/>
        <v>0</v>
      </c>
      <c r="BU24" s="852">
        <f t="shared" si="163"/>
        <v>0</v>
      </c>
      <c r="BV24" s="852">
        <f t="shared" si="163"/>
        <v>0</v>
      </c>
      <c r="BW24" s="853">
        <f t="shared" si="136"/>
        <v>0</v>
      </c>
      <c r="BX24" s="854">
        <f t="shared" si="164"/>
        <v>0</v>
      </c>
      <c r="BY24" s="854">
        <f t="shared" si="164"/>
        <v>0</v>
      </c>
      <c r="BZ24" s="854">
        <f t="shared" si="164"/>
        <v>0</v>
      </c>
      <c r="CA24" s="854">
        <f t="shared" si="164"/>
        <v>0</v>
      </c>
      <c r="CB24" s="854">
        <f t="shared" si="164"/>
        <v>0</v>
      </c>
      <c r="CC24" s="854">
        <f t="shared" si="164"/>
        <v>0</v>
      </c>
      <c r="CD24" s="855">
        <f t="shared" si="137"/>
        <v>0</v>
      </c>
      <c r="CE24" s="856">
        <f t="shared" si="165"/>
        <v>0</v>
      </c>
      <c r="CF24" s="856">
        <f t="shared" si="165"/>
        <v>0</v>
      </c>
      <c r="CG24" s="856">
        <f t="shared" si="165"/>
        <v>0</v>
      </c>
      <c r="CH24" s="856">
        <f t="shared" si="165"/>
        <v>0</v>
      </c>
      <c r="CI24" s="856">
        <f t="shared" si="165"/>
        <v>0</v>
      </c>
      <c r="CJ24" s="856">
        <f t="shared" si="165"/>
        <v>0</v>
      </c>
      <c r="CK24" s="855">
        <f t="shared" si="139"/>
        <v>9.3813961019929698E-3</v>
      </c>
      <c r="CL24" s="856">
        <f t="shared" si="166"/>
        <v>9.3813961019929698E-3</v>
      </c>
      <c r="CM24" s="856">
        <f t="shared" si="166"/>
        <v>9.3813961019929698E-3</v>
      </c>
      <c r="CN24" s="856">
        <f t="shared" si="166"/>
        <v>9.3813961019929698E-3</v>
      </c>
      <c r="CO24" s="856">
        <f t="shared" si="166"/>
        <v>9.3813961019929698E-3</v>
      </c>
      <c r="CP24" s="856">
        <f t="shared" si="166"/>
        <v>9.3813961019929698E-3</v>
      </c>
      <c r="CQ24" s="856">
        <f t="shared" si="166"/>
        <v>9.3813961019929698E-3</v>
      </c>
      <c r="CR24" s="855">
        <f t="shared" si="141"/>
        <v>0</v>
      </c>
      <c r="CS24" s="856">
        <f t="shared" si="167"/>
        <v>0</v>
      </c>
      <c r="CT24" s="856">
        <f t="shared" si="167"/>
        <v>0</v>
      </c>
      <c r="CU24" s="856">
        <f t="shared" si="167"/>
        <v>0</v>
      </c>
      <c r="CV24" s="856">
        <f t="shared" si="167"/>
        <v>0</v>
      </c>
      <c r="CW24" s="856">
        <f t="shared" si="167"/>
        <v>0</v>
      </c>
      <c r="CX24" s="856">
        <f t="shared" si="167"/>
        <v>0</v>
      </c>
      <c r="CY24" s="857">
        <f t="shared" si="143"/>
        <v>0</v>
      </c>
      <c r="CZ24" s="858">
        <f t="shared" si="143"/>
        <v>0</v>
      </c>
      <c r="DA24" s="858">
        <f t="shared" si="143"/>
        <v>0</v>
      </c>
      <c r="DB24" s="858">
        <f t="shared" si="143"/>
        <v>0</v>
      </c>
      <c r="DC24" s="858">
        <f t="shared" si="143"/>
        <v>0</v>
      </c>
      <c r="DD24" s="858">
        <f t="shared" si="143"/>
        <v>0</v>
      </c>
      <c r="DE24" s="859">
        <f t="shared" si="143"/>
        <v>0</v>
      </c>
      <c r="DF24" s="857">
        <f t="shared" si="144"/>
        <v>0</v>
      </c>
      <c r="DG24" s="858">
        <f t="shared" si="144"/>
        <v>0</v>
      </c>
      <c r="DH24" s="858">
        <f t="shared" si="144"/>
        <v>0</v>
      </c>
      <c r="DI24" s="858">
        <f t="shared" si="144"/>
        <v>0</v>
      </c>
      <c r="DJ24" s="858">
        <f t="shared" si="144"/>
        <v>0</v>
      </c>
      <c r="DK24" s="858">
        <f t="shared" si="144"/>
        <v>0</v>
      </c>
      <c r="DL24" s="552">
        <f t="shared" si="144"/>
        <v>0</v>
      </c>
      <c r="DM24" s="857">
        <f t="shared" si="145"/>
        <v>0</v>
      </c>
      <c r="DN24" s="858">
        <f t="shared" si="145"/>
        <v>0</v>
      </c>
      <c r="DO24" s="858">
        <f t="shared" si="145"/>
        <v>0</v>
      </c>
      <c r="DP24" s="858">
        <f t="shared" si="145"/>
        <v>0</v>
      </c>
      <c r="DQ24" s="858">
        <f t="shared" si="145"/>
        <v>0</v>
      </c>
      <c r="DR24" s="858">
        <f t="shared" si="145"/>
        <v>0</v>
      </c>
      <c r="DS24" s="553">
        <f t="shared" si="145"/>
        <v>0</v>
      </c>
      <c r="DT24" s="552">
        <f t="shared" si="146"/>
        <v>0</v>
      </c>
      <c r="DU24" s="858">
        <f t="shared" si="146"/>
        <v>0</v>
      </c>
      <c r="DV24" s="858">
        <f t="shared" si="146"/>
        <v>0</v>
      </c>
      <c r="DW24" s="858">
        <f t="shared" si="146"/>
        <v>0</v>
      </c>
      <c r="DX24" s="858">
        <f t="shared" si="146"/>
        <v>0</v>
      </c>
      <c r="DY24" s="858">
        <f t="shared" si="146"/>
        <v>0</v>
      </c>
      <c r="DZ24" s="553">
        <f t="shared" si="146"/>
        <v>0</v>
      </c>
      <c r="EA24" s="862">
        <f t="shared" si="147"/>
        <v>0</v>
      </c>
      <c r="EB24" s="862">
        <f t="shared" si="147"/>
        <v>0</v>
      </c>
      <c r="EC24" s="862">
        <f t="shared" si="147"/>
        <v>0</v>
      </c>
      <c r="ED24" s="862">
        <f t="shared" si="147"/>
        <v>0</v>
      </c>
      <c r="EE24" s="862">
        <f t="shared" si="147"/>
        <v>0</v>
      </c>
      <c r="EF24" s="862">
        <f t="shared" si="147"/>
        <v>0</v>
      </c>
      <c r="EG24" s="862">
        <f t="shared" si="147"/>
        <v>0</v>
      </c>
      <c r="EH24" s="855">
        <f t="shared" si="148"/>
        <v>0</v>
      </c>
      <c r="EI24" s="856">
        <f t="shared" si="148"/>
        <v>0</v>
      </c>
      <c r="EJ24" s="856">
        <f t="shared" si="148"/>
        <v>0</v>
      </c>
      <c r="EK24" s="856">
        <f t="shared" si="148"/>
        <v>0</v>
      </c>
      <c r="EL24" s="856">
        <f t="shared" si="148"/>
        <v>0</v>
      </c>
      <c r="EM24" s="856">
        <f t="shared" si="148"/>
        <v>0</v>
      </c>
      <c r="EN24" s="885">
        <f t="shared" si="148"/>
        <v>0</v>
      </c>
      <c r="EO24" s="864">
        <f t="shared" si="149"/>
        <v>0</v>
      </c>
      <c r="EP24" s="856">
        <f t="shared" si="149"/>
        <v>0</v>
      </c>
      <c r="EQ24" s="856">
        <f t="shared" si="149"/>
        <v>0</v>
      </c>
      <c r="ER24" s="856">
        <f t="shared" si="149"/>
        <v>0</v>
      </c>
      <c r="ES24" s="856">
        <f t="shared" si="149"/>
        <v>0</v>
      </c>
      <c r="ET24" s="856">
        <f t="shared" si="149"/>
        <v>0</v>
      </c>
      <c r="EU24" s="555">
        <f t="shared" si="149"/>
        <v>0</v>
      </c>
      <c r="EV24" s="865">
        <f t="shared" si="150"/>
        <v>0</v>
      </c>
      <c r="EW24" s="866">
        <f t="shared" si="151"/>
        <v>0</v>
      </c>
      <c r="EX24" s="866">
        <f t="shared" si="152"/>
        <v>0</v>
      </c>
      <c r="EY24" s="866">
        <f t="shared" si="153"/>
        <v>0</v>
      </c>
      <c r="EZ24" s="866">
        <f t="shared" si="154"/>
        <v>0</v>
      </c>
      <c r="FA24" s="867">
        <f t="shared" si="155"/>
        <v>0</v>
      </c>
      <c r="FB24" s="867">
        <f t="shared" si="156"/>
        <v>0</v>
      </c>
      <c r="FC24" s="868">
        <f t="shared" si="157"/>
        <v>0</v>
      </c>
      <c r="FD24" s="10"/>
      <c r="FE24" s="10"/>
      <c r="FF24" s="10"/>
      <c r="FG24" s="10"/>
      <c r="FH24" s="10"/>
      <c r="FI24" s="10"/>
      <c r="FJ24" s="10"/>
      <c r="FK24" s="10"/>
      <c r="FL24" s="10"/>
      <c r="FM24" s="10"/>
      <c r="FN24" s="10"/>
      <c r="FO24" s="10"/>
    </row>
    <row r="25" spans="1:171" s="10" customFormat="1" ht="12.75" customHeight="1">
      <c r="A25" s="661" t="s">
        <v>182</v>
      </c>
      <c r="B25" s="703" t="s">
        <v>782</v>
      </c>
      <c r="C25" s="703" t="s">
        <v>764</v>
      </c>
      <c r="D25" s="703" t="s">
        <v>765</v>
      </c>
      <c r="E25" s="703" t="s">
        <v>766</v>
      </c>
      <c r="F25" s="704" t="s">
        <v>372</v>
      </c>
      <c r="G25" s="869">
        <v>0</v>
      </c>
      <c r="H25" s="869">
        <v>0</v>
      </c>
      <c r="I25" s="869">
        <f>G25+H25</f>
        <v>0</v>
      </c>
      <c r="J25" s="869">
        <v>0</v>
      </c>
      <c r="K25" s="869">
        <f>I25*0.5</f>
        <v>0</v>
      </c>
      <c r="L25" s="711" t="s">
        <v>767</v>
      </c>
      <c r="M25" s="881">
        <v>0</v>
      </c>
      <c r="N25" s="870">
        <v>0</v>
      </c>
      <c r="O25" s="881">
        <v>0</v>
      </c>
      <c r="P25" s="707">
        <f t="shared" si="125"/>
        <v>0.55294688244180001</v>
      </c>
      <c r="Q25" s="882">
        <v>1</v>
      </c>
      <c r="R25" s="872">
        <f>(1109/39)/(4060428/39)</f>
        <v>2.7312391698609107E-4</v>
      </c>
      <c r="S25" s="886">
        <f>$C$49/$B$49</f>
        <v>3.0518248671321793E-3</v>
      </c>
      <c r="T25" s="711" t="s">
        <v>768</v>
      </c>
      <c r="U25" s="712"/>
      <c r="V25" s="713"/>
      <c r="W25" s="661"/>
      <c r="X25" s="661"/>
      <c r="Y25" s="661"/>
      <c r="Z25" s="661"/>
      <c r="AA25" s="714"/>
      <c r="AB25" s="123"/>
      <c r="AC25" s="714"/>
      <c r="AD25" s="714">
        <f t="shared" ref="AD25:AJ25" si="168">AD11*0.5</f>
        <v>18750</v>
      </c>
      <c r="AE25" s="714">
        <f t="shared" si="168"/>
        <v>18750</v>
      </c>
      <c r="AF25" s="714">
        <f t="shared" si="168"/>
        <v>18750</v>
      </c>
      <c r="AG25" s="714">
        <f t="shared" si="168"/>
        <v>18750</v>
      </c>
      <c r="AH25" s="714">
        <f t="shared" si="168"/>
        <v>18750</v>
      </c>
      <c r="AI25" s="714">
        <f t="shared" si="168"/>
        <v>18750</v>
      </c>
      <c r="AJ25" s="714">
        <f t="shared" si="168"/>
        <v>18750</v>
      </c>
      <c r="AK25" s="715" t="s">
        <v>374</v>
      </c>
      <c r="AL25" s="711" t="s">
        <v>742</v>
      </c>
      <c r="AM25" s="711" t="s">
        <v>743</v>
      </c>
      <c r="AN25" s="715" t="s">
        <v>377</v>
      </c>
      <c r="AO25" s="711" t="s">
        <v>1</v>
      </c>
      <c r="AP25" s="715"/>
      <c r="AQ25" s="715"/>
      <c r="AR25" s="715"/>
      <c r="AS25" s="715" t="s">
        <v>744</v>
      </c>
      <c r="AT25" s="715" t="s">
        <v>745</v>
      </c>
      <c r="AU25" s="715" t="s">
        <v>746</v>
      </c>
      <c r="AV25" s="715">
        <v>15</v>
      </c>
      <c r="AW25" s="715">
        <v>15</v>
      </c>
      <c r="AX25" s="715" t="s">
        <v>769</v>
      </c>
      <c r="AY25" s="716">
        <v>1</v>
      </c>
      <c r="AZ25" s="716">
        <v>1</v>
      </c>
      <c r="BA25" s="717">
        <v>1</v>
      </c>
      <c r="BB25" s="721">
        <f t="shared" si="127"/>
        <v>0</v>
      </c>
      <c r="BC25" s="499">
        <f>BB25</f>
        <v>0</v>
      </c>
      <c r="BD25" s="499">
        <f>BC25</f>
        <v>0</v>
      </c>
      <c r="BE25" s="499">
        <f>BD25</f>
        <v>0</v>
      </c>
      <c r="BF25" s="499">
        <f t="shared" si="129"/>
        <v>0</v>
      </c>
      <c r="BG25" s="499">
        <f>BD25</f>
        <v>0</v>
      </c>
      <c r="BH25" s="499">
        <f>BE25</f>
        <v>0</v>
      </c>
      <c r="BI25" s="721">
        <f t="shared" si="131"/>
        <v>0</v>
      </c>
      <c r="BJ25" s="499">
        <f t="shared" ref="BJ25:BO25" si="169">BI25</f>
        <v>0</v>
      </c>
      <c r="BK25" s="499">
        <f t="shared" si="169"/>
        <v>0</v>
      </c>
      <c r="BL25" s="499">
        <f t="shared" si="169"/>
        <v>0</v>
      </c>
      <c r="BM25" s="499">
        <f t="shared" si="169"/>
        <v>0</v>
      </c>
      <c r="BN25" s="499">
        <f t="shared" si="169"/>
        <v>0</v>
      </c>
      <c r="BO25" s="499">
        <f t="shared" si="169"/>
        <v>0</v>
      </c>
      <c r="BP25" s="721">
        <f t="shared" si="133"/>
        <v>0</v>
      </c>
      <c r="BQ25" s="499">
        <f t="shared" si="134"/>
        <v>0</v>
      </c>
      <c r="BR25" s="499">
        <f>BQ25</f>
        <v>0</v>
      </c>
      <c r="BS25" s="499">
        <f>BR25</f>
        <v>0</v>
      </c>
      <c r="BT25" s="499">
        <f>BS25</f>
        <v>0</v>
      </c>
      <c r="BU25" s="499">
        <f>BT25</f>
        <v>0</v>
      </c>
      <c r="BV25" s="499">
        <f>BU25</f>
        <v>0</v>
      </c>
      <c r="BW25" s="774">
        <f t="shared" si="136"/>
        <v>0.55294688244180001</v>
      </c>
      <c r="BX25" s="503">
        <f t="shared" ref="BX25:CC25" si="170">$P25</f>
        <v>0.55294688244180001</v>
      </c>
      <c r="BY25" s="503">
        <f t="shared" si="170"/>
        <v>0.55294688244180001</v>
      </c>
      <c r="BZ25" s="503">
        <f t="shared" si="170"/>
        <v>0.55294688244180001</v>
      </c>
      <c r="CA25" s="503">
        <f t="shared" si="170"/>
        <v>0.55294688244180001</v>
      </c>
      <c r="CB25" s="503">
        <f t="shared" si="170"/>
        <v>0.55294688244180001</v>
      </c>
      <c r="CC25" s="503">
        <f t="shared" si="170"/>
        <v>0.55294688244180001</v>
      </c>
      <c r="CD25" s="722">
        <f t="shared" si="137"/>
        <v>1</v>
      </c>
      <c r="CE25" s="511">
        <f t="shared" ref="CE25:CJ25" si="171">CD25</f>
        <v>1</v>
      </c>
      <c r="CF25" s="511">
        <f t="shared" si="171"/>
        <v>1</v>
      </c>
      <c r="CG25" s="511">
        <f t="shared" si="171"/>
        <v>1</v>
      </c>
      <c r="CH25" s="511">
        <f t="shared" si="171"/>
        <v>1</v>
      </c>
      <c r="CI25" s="511">
        <f t="shared" si="171"/>
        <v>1</v>
      </c>
      <c r="CJ25" s="511">
        <f t="shared" si="171"/>
        <v>1</v>
      </c>
      <c r="CK25" s="722">
        <f t="shared" si="139"/>
        <v>2.7312391698609107E-4</v>
      </c>
      <c r="CL25" s="511">
        <f t="shared" ref="CL25:CQ25" si="172">CK25</f>
        <v>2.7312391698609107E-4</v>
      </c>
      <c r="CM25" s="511">
        <f t="shared" si="172"/>
        <v>2.7312391698609107E-4</v>
      </c>
      <c r="CN25" s="511">
        <f t="shared" si="172"/>
        <v>2.7312391698609107E-4</v>
      </c>
      <c r="CO25" s="511">
        <f t="shared" si="172"/>
        <v>2.7312391698609107E-4</v>
      </c>
      <c r="CP25" s="511">
        <f t="shared" si="172"/>
        <v>2.7312391698609107E-4</v>
      </c>
      <c r="CQ25" s="511">
        <f t="shared" si="172"/>
        <v>2.7312391698609107E-4</v>
      </c>
      <c r="CR25" s="722">
        <f t="shared" si="141"/>
        <v>3.0518248671321793E-3</v>
      </c>
      <c r="CS25" s="511">
        <f t="shared" ref="CS25:CX25" si="173">CR25</f>
        <v>3.0518248671321793E-3</v>
      </c>
      <c r="CT25" s="511">
        <f t="shared" si="173"/>
        <v>3.0518248671321793E-3</v>
      </c>
      <c r="CU25" s="511">
        <f t="shared" si="173"/>
        <v>3.0518248671321793E-3</v>
      </c>
      <c r="CV25" s="511">
        <f t="shared" si="173"/>
        <v>3.0518248671321793E-3</v>
      </c>
      <c r="CW25" s="511">
        <f t="shared" si="173"/>
        <v>3.0518248671321793E-3</v>
      </c>
      <c r="CX25" s="511">
        <f t="shared" si="173"/>
        <v>3.0518248671321793E-3</v>
      </c>
      <c r="CY25" s="837">
        <f t="shared" ref="CY25:DE25" si="174">AD25*BB25</f>
        <v>0</v>
      </c>
      <c r="CZ25" s="508">
        <f t="shared" si="174"/>
        <v>0</v>
      </c>
      <c r="DA25" s="508">
        <f t="shared" si="174"/>
        <v>0</v>
      </c>
      <c r="DB25" s="508">
        <f t="shared" si="174"/>
        <v>0</v>
      </c>
      <c r="DC25" s="508">
        <f t="shared" si="174"/>
        <v>0</v>
      </c>
      <c r="DD25" s="508">
        <f t="shared" si="174"/>
        <v>0</v>
      </c>
      <c r="DE25" s="509">
        <f t="shared" si="174"/>
        <v>0</v>
      </c>
      <c r="DF25" s="837">
        <f t="shared" ref="DF25:DL25" si="175">AD25*BI25</f>
        <v>0</v>
      </c>
      <c r="DG25" s="508">
        <f t="shared" si="175"/>
        <v>0</v>
      </c>
      <c r="DH25" s="508">
        <f t="shared" si="175"/>
        <v>0</v>
      </c>
      <c r="DI25" s="508">
        <f t="shared" si="175"/>
        <v>0</v>
      </c>
      <c r="DJ25" s="508">
        <f t="shared" si="175"/>
        <v>0</v>
      </c>
      <c r="DK25" s="508">
        <f t="shared" si="175"/>
        <v>0</v>
      </c>
      <c r="DL25" s="450">
        <f t="shared" si="175"/>
        <v>0</v>
      </c>
      <c r="DM25" s="837">
        <f>AD25*BP25</f>
        <v>0</v>
      </c>
      <c r="DN25" s="508">
        <f t="shared" ref="DN25:DS25" si="176">AE25*BQ25</f>
        <v>0</v>
      </c>
      <c r="DO25" s="508">
        <f t="shared" si="176"/>
        <v>0</v>
      </c>
      <c r="DP25" s="508">
        <f t="shared" si="176"/>
        <v>0</v>
      </c>
      <c r="DQ25" s="508">
        <f t="shared" si="176"/>
        <v>0</v>
      </c>
      <c r="DR25" s="508">
        <f t="shared" si="176"/>
        <v>0</v>
      </c>
      <c r="DS25" s="451">
        <f t="shared" si="176"/>
        <v>0</v>
      </c>
      <c r="DT25" s="450">
        <f t="shared" ref="DT25:DZ25" si="177">BW25*AD25</f>
        <v>10367.754045783749</v>
      </c>
      <c r="DU25" s="508">
        <f t="shared" si="177"/>
        <v>10367.754045783749</v>
      </c>
      <c r="DV25" s="508">
        <f t="shared" si="177"/>
        <v>10367.754045783749</v>
      </c>
      <c r="DW25" s="508">
        <f t="shared" si="177"/>
        <v>10367.754045783749</v>
      </c>
      <c r="DX25" s="508">
        <f t="shared" si="177"/>
        <v>10367.754045783749</v>
      </c>
      <c r="DY25" s="508">
        <f t="shared" si="177"/>
        <v>10367.754045783749</v>
      </c>
      <c r="DZ25" s="451">
        <f t="shared" si="177"/>
        <v>10367.754045783749</v>
      </c>
      <c r="EA25" s="507">
        <f t="shared" ref="EA25:EG25" si="178">AD25*CD25</f>
        <v>18750</v>
      </c>
      <c r="EB25" s="507">
        <f t="shared" si="178"/>
        <v>18750</v>
      </c>
      <c r="EC25" s="507">
        <f t="shared" si="178"/>
        <v>18750</v>
      </c>
      <c r="ED25" s="507">
        <f t="shared" si="178"/>
        <v>18750</v>
      </c>
      <c r="EE25" s="507">
        <f t="shared" si="178"/>
        <v>18750</v>
      </c>
      <c r="EF25" s="507">
        <f t="shared" si="178"/>
        <v>18750</v>
      </c>
      <c r="EG25" s="507">
        <f t="shared" si="178"/>
        <v>18750</v>
      </c>
      <c r="EH25" s="722">
        <f t="shared" ref="EH25:EN25" si="179">AD25*CK25</f>
        <v>5.121073443489208</v>
      </c>
      <c r="EI25" s="511">
        <f t="shared" si="179"/>
        <v>5.121073443489208</v>
      </c>
      <c r="EJ25" s="511">
        <f t="shared" si="179"/>
        <v>5.121073443489208</v>
      </c>
      <c r="EK25" s="511">
        <f t="shared" si="179"/>
        <v>5.121073443489208</v>
      </c>
      <c r="EL25" s="511">
        <f t="shared" si="179"/>
        <v>5.121073443489208</v>
      </c>
      <c r="EM25" s="511">
        <f t="shared" si="179"/>
        <v>5.121073443489208</v>
      </c>
      <c r="EN25" s="723">
        <f t="shared" si="179"/>
        <v>5.121073443489208</v>
      </c>
      <c r="EO25" s="838">
        <f>AD25*CR25</f>
        <v>57.221716258728364</v>
      </c>
      <c r="EP25" s="511">
        <f t="shared" ref="EP25:EU25" si="180">AE25*CS25</f>
        <v>57.221716258728364</v>
      </c>
      <c r="EQ25" s="511">
        <f t="shared" si="180"/>
        <v>57.221716258728364</v>
      </c>
      <c r="ER25" s="511">
        <f t="shared" si="180"/>
        <v>57.221716258728364</v>
      </c>
      <c r="ES25" s="511">
        <f t="shared" si="180"/>
        <v>57.221716258728364</v>
      </c>
      <c r="ET25" s="511">
        <f t="shared" si="180"/>
        <v>57.221716258728364</v>
      </c>
      <c r="EU25" s="453">
        <f t="shared" si="180"/>
        <v>57.221716258728364</v>
      </c>
      <c r="EV25" s="727">
        <f t="shared" si="150"/>
        <v>131250</v>
      </c>
      <c r="EW25" s="728">
        <f t="shared" si="151"/>
        <v>0</v>
      </c>
      <c r="EX25" s="728">
        <f t="shared" si="152"/>
        <v>0</v>
      </c>
      <c r="EY25" s="728">
        <f t="shared" si="153"/>
        <v>0</v>
      </c>
      <c r="EZ25" s="728">
        <f t="shared" si="154"/>
        <v>72574.278320486235</v>
      </c>
      <c r="FA25" s="777">
        <f t="shared" si="155"/>
        <v>131250</v>
      </c>
      <c r="FB25" s="777">
        <f t="shared" si="156"/>
        <v>35.847514104424455</v>
      </c>
      <c r="FC25" s="778">
        <f t="shared" si="157"/>
        <v>400.5520138110985</v>
      </c>
    </row>
    <row r="26" spans="1:171" s="10" customFormat="1" ht="12.75" customHeight="1" thickBot="1">
      <c r="A26" s="729"/>
      <c r="B26" s="759"/>
      <c r="C26" s="759"/>
      <c r="D26" s="759"/>
      <c r="E26" s="759"/>
      <c r="F26" s="731"/>
      <c r="G26" s="731"/>
      <c r="H26" s="731"/>
      <c r="I26" s="731"/>
      <c r="J26" s="731"/>
      <c r="K26" s="731"/>
      <c r="L26" s="733"/>
      <c r="M26" s="734"/>
      <c r="N26" s="734"/>
      <c r="O26" s="734"/>
      <c r="P26" s="734"/>
      <c r="Q26" s="736"/>
      <c r="R26" s="758"/>
      <c r="S26" s="737"/>
      <c r="T26" s="733"/>
      <c r="U26" s="738"/>
      <c r="V26" s="739"/>
      <c r="W26" s="740"/>
      <c r="X26" s="740"/>
      <c r="Y26" s="740"/>
      <c r="Z26" s="740"/>
      <c r="AA26" s="741"/>
      <c r="AB26" s="741"/>
      <c r="AC26" s="742"/>
      <c r="AD26" s="742"/>
      <c r="AE26" s="742"/>
      <c r="AF26" s="742"/>
      <c r="AG26" s="742"/>
      <c r="AH26" s="742"/>
      <c r="AI26" s="742"/>
      <c r="AJ26" s="742"/>
      <c r="AK26" s="733"/>
      <c r="AL26" s="733"/>
      <c r="AM26" s="733"/>
      <c r="AN26" s="733"/>
      <c r="AO26" s="733"/>
      <c r="AP26" s="733"/>
      <c r="AQ26" s="733"/>
      <c r="AR26" s="733"/>
      <c r="AS26" s="760"/>
      <c r="AT26" s="760"/>
      <c r="AU26" s="760"/>
      <c r="AV26" s="729"/>
      <c r="AW26" s="729"/>
      <c r="AX26" s="733"/>
      <c r="AY26" s="733"/>
      <c r="AZ26" s="733"/>
      <c r="BA26" s="744"/>
      <c r="BB26" s="761"/>
      <c r="BC26" s="762"/>
      <c r="BD26" s="762"/>
      <c r="BE26" s="762"/>
      <c r="BF26" s="762"/>
      <c r="BG26" s="762"/>
      <c r="BH26" s="762"/>
      <c r="BI26" s="761"/>
      <c r="BJ26" s="762"/>
      <c r="BK26" s="762"/>
      <c r="BL26" s="762"/>
      <c r="BM26" s="762"/>
      <c r="BN26" s="762"/>
      <c r="BO26" s="762"/>
      <c r="BP26" s="761"/>
      <c r="BQ26" s="762"/>
      <c r="BR26" s="762"/>
      <c r="BS26" s="762"/>
      <c r="BT26" s="762"/>
      <c r="BU26" s="762"/>
      <c r="BV26" s="762"/>
      <c r="BW26" s="761"/>
      <c r="BX26" s="762"/>
      <c r="BY26" s="762"/>
      <c r="BZ26" s="762"/>
      <c r="CA26" s="762"/>
      <c r="CB26" s="762"/>
      <c r="CC26" s="762"/>
      <c r="CD26" s="488"/>
      <c r="CE26" s="766"/>
      <c r="CF26" s="766"/>
      <c r="CG26" s="766"/>
      <c r="CH26" s="766"/>
      <c r="CI26" s="766"/>
      <c r="CJ26" s="766"/>
      <c r="CK26" s="488"/>
      <c r="CL26" s="766"/>
      <c r="CM26" s="766"/>
      <c r="CN26" s="766"/>
      <c r="CO26" s="766"/>
      <c r="CP26" s="766"/>
      <c r="CQ26" s="766"/>
      <c r="CR26" s="488"/>
      <c r="CS26" s="766"/>
      <c r="CT26" s="766"/>
      <c r="CU26" s="766"/>
      <c r="CV26" s="766"/>
      <c r="CW26" s="766"/>
      <c r="CX26" s="766"/>
      <c r="CY26" s="493"/>
      <c r="CZ26" s="769"/>
      <c r="DA26" s="769"/>
      <c r="DB26" s="769"/>
      <c r="DC26" s="769"/>
      <c r="DD26" s="769"/>
      <c r="DE26" s="769"/>
      <c r="DF26" s="493"/>
      <c r="DG26" s="769"/>
      <c r="DH26" s="769"/>
      <c r="DI26" s="769"/>
      <c r="DJ26" s="769"/>
      <c r="DK26" s="769"/>
      <c r="DL26" s="771"/>
      <c r="DM26" s="493"/>
      <c r="DN26" s="769"/>
      <c r="DO26" s="769"/>
      <c r="DP26" s="769"/>
      <c r="DQ26" s="769"/>
      <c r="DR26" s="769"/>
      <c r="DS26" s="494"/>
      <c r="DT26" s="770"/>
      <c r="DU26" s="769"/>
      <c r="DV26" s="769"/>
      <c r="DW26" s="769"/>
      <c r="DX26" s="769"/>
      <c r="DY26" s="769"/>
      <c r="DZ26" s="494"/>
      <c r="EA26" s="767"/>
      <c r="EB26" s="766"/>
      <c r="EC26" s="766"/>
      <c r="ED26" s="766"/>
      <c r="EE26" s="766"/>
      <c r="EF26" s="766"/>
      <c r="EG26" s="768"/>
      <c r="EH26" s="488"/>
      <c r="EI26" s="766"/>
      <c r="EJ26" s="766"/>
      <c r="EK26" s="766"/>
      <c r="EL26" s="766"/>
      <c r="EM26" s="766"/>
      <c r="EN26" s="768"/>
      <c r="EO26" s="488"/>
      <c r="EP26" s="766"/>
      <c r="EQ26" s="766"/>
      <c r="ER26" s="766"/>
      <c r="ES26" s="766"/>
      <c r="ET26" s="766"/>
      <c r="EU26" s="489"/>
      <c r="EV26" s="515"/>
      <c r="EW26" s="755"/>
      <c r="EX26" s="755"/>
      <c r="EY26" s="755"/>
      <c r="EZ26" s="755"/>
      <c r="FA26" s="756"/>
      <c r="FB26" s="756"/>
      <c r="FC26" s="487"/>
    </row>
    <row r="27" spans="1:171">
      <c r="Z27" s="2"/>
      <c r="AA27" s="2"/>
      <c r="AB27" s="273" t="s">
        <v>416</v>
      </c>
      <c r="FD27" s="10"/>
      <c r="FE27" s="10"/>
      <c r="FF27" s="10"/>
      <c r="FG27" s="10"/>
      <c r="FH27" s="10"/>
      <c r="FI27" s="10"/>
      <c r="FJ27" s="10"/>
      <c r="FK27" s="10"/>
      <c r="FL27" s="10"/>
      <c r="FM27" s="10"/>
      <c r="FN27" s="10"/>
      <c r="FO27" s="10"/>
    </row>
    <row r="28" spans="1:171">
      <c r="A28" s="280"/>
      <c r="B28" s="281"/>
      <c r="Z28" s="2"/>
      <c r="AA28" s="2"/>
      <c r="AK28" s="3"/>
      <c r="CY28" s="482"/>
      <c r="DM28" s="482"/>
      <c r="FD28" s="10"/>
      <c r="FE28" s="10"/>
      <c r="FF28" s="10"/>
      <c r="FG28" s="10"/>
      <c r="FH28" s="10"/>
      <c r="FI28" s="10"/>
      <c r="FJ28" s="10"/>
      <c r="FK28" s="10"/>
      <c r="FL28" s="10"/>
      <c r="FM28" s="10"/>
      <c r="FN28" s="10"/>
      <c r="FO28" s="10"/>
    </row>
    <row r="29" spans="1:171">
      <c r="A29" s="280"/>
      <c r="B29" s="280"/>
      <c r="Z29" s="2"/>
      <c r="AA29" s="2"/>
      <c r="AK29" s="3"/>
      <c r="CY29" s="482"/>
      <c r="DM29" s="482"/>
      <c r="FD29" s="10"/>
      <c r="FE29" s="10"/>
      <c r="FF29" s="10"/>
      <c r="FG29" s="10"/>
      <c r="FH29" s="10"/>
      <c r="FI29" s="10"/>
      <c r="FJ29" s="10"/>
      <c r="FK29" s="10"/>
      <c r="FL29" s="10"/>
      <c r="FM29" s="10"/>
      <c r="FN29" s="10"/>
      <c r="FO29" s="10"/>
    </row>
    <row r="30" spans="1:171">
      <c r="A30" s="281"/>
      <c r="B30" s="280"/>
      <c r="S30" s="420"/>
      <c r="Z30" s="2"/>
      <c r="AA30" s="2"/>
      <c r="AK30" s="3"/>
      <c r="DM30" s="482"/>
      <c r="FD30" s="10"/>
      <c r="FE30" s="10"/>
      <c r="FF30" s="10"/>
      <c r="FG30" s="10"/>
      <c r="FH30" s="10"/>
      <c r="FI30" s="10"/>
      <c r="FJ30" s="10"/>
      <c r="FK30" s="10"/>
      <c r="FL30" s="10"/>
      <c r="FM30" s="10"/>
      <c r="FN30" s="10"/>
      <c r="FO30" s="10"/>
    </row>
    <row r="31" spans="1:171">
      <c r="A31" s="281"/>
      <c r="B31" s="280"/>
      <c r="Z31" s="2"/>
      <c r="AA31" s="2"/>
      <c r="AK31" s="3"/>
      <c r="FD31" s="10"/>
      <c r="FE31" s="10"/>
      <c r="FF31" s="10"/>
      <c r="FG31" s="10"/>
      <c r="FH31" s="10"/>
      <c r="FI31" s="10"/>
      <c r="FJ31" s="10"/>
      <c r="FK31" s="10"/>
      <c r="FL31" s="10"/>
      <c r="FM31" s="10"/>
      <c r="FN31" s="10"/>
      <c r="FO31" s="10"/>
    </row>
    <row r="32" spans="1:171">
      <c r="A32" s="281"/>
      <c r="B32" s="281"/>
      <c r="Z32" s="2"/>
      <c r="AA32" s="2"/>
      <c r="AK32" s="3"/>
      <c r="FD32" s="10"/>
      <c r="FE32" s="10"/>
      <c r="FF32" s="10"/>
      <c r="FG32" s="10"/>
      <c r="FH32" s="10"/>
      <c r="FI32" s="10"/>
      <c r="FJ32" s="10"/>
      <c r="FK32" s="10"/>
      <c r="FL32" s="10"/>
      <c r="FM32" s="10"/>
      <c r="FN32" s="10"/>
      <c r="FO32" s="10"/>
    </row>
    <row r="33" spans="1:171">
      <c r="A33" s="2" t="s">
        <v>493</v>
      </c>
      <c r="D33" s="2" t="s">
        <v>783</v>
      </c>
      <c r="I33" s="272"/>
      <c r="J33" s="14"/>
      <c r="Z33" s="2" t="s">
        <v>494</v>
      </c>
      <c r="AA33" s="14"/>
      <c r="AD33" s="366" t="s">
        <v>784</v>
      </c>
      <c r="FD33" s="10"/>
      <c r="FE33" s="10"/>
      <c r="FF33" s="10"/>
      <c r="FG33" s="10"/>
      <c r="FH33" s="10"/>
      <c r="FI33" s="10"/>
      <c r="FJ33" s="10"/>
      <c r="FK33" s="10"/>
      <c r="FL33" s="10"/>
      <c r="FM33" s="10"/>
      <c r="FN33" s="10"/>
      <c r="FO33" s="10"/>
    </row>
    <row r="34" spans="1:171">
      <c r="A34" s="2">
        <v>1</v>
      </c>
      <c r="B34" s="2" t="s">
        <v>495</v>
      </c>
      <c r="D34" s="887">
        <v>2659800</v>
      </c>
      <c r="J34" s="14"/>
      <c r="R34" s="207"/>
      <c r="Z34" s="803" t="s">
        <v>785</v>
      </c>
      <c r="AA34" s="803" t="s">
        <v>786</v>
      </c>
      <c r="AB34" s="787" t="s">
        <v>498</v>
      </c>
      <c r="AD34" s="888" t="s">
        <v>748</v>
      </c>
      <c r="AE34" s="889">
        <v>0.6</v>
      </c>
      <c r="FD34" s="10"/>
      <c r="FE34" s="10"/>
      <c r="FF34" s="10"/>
      <c r="FG34" s="10"/>
      <c r="FH34" s="10"/>
      <c r="FI34" s="10"/>
      <c r="FJ34" s="10"/>
      <c r="FK34" s="10"/>
      <c r="FL34" s="10"/>
      <c r="FM34" s="10"/>
      <c r="FN34" s="10"/>
      <c r="FO34" s="10"/>
    </row>
    <row r="35" spans="1:171">
      <c r="A35" s="2">
        <v>2</v>
      </c>
      <c r="B35" s="2" t="s">
        <v>499</v>
      </c>
      <c r="D35" s="887">
        <v>15810300</v>
      </c>
      <c r="J35" s="14"/>
      <c r="Z35" s="803">
        <f>Z13</f>
        <v>390</v>
      </c>
      <c r="AA35" s="803">
        <f>Z20</f>
        <v>416</v>
      </c>
      <c r="AB35" s="787">
        <f>SUM(Z35:AA35)</f>
        <v>806</v>
      </c>
      <c r="AD35" s="888" t="s">
        <v>757</v>
      </c>
      <c r="AE35" s="889">
        <v>0.2</v>
      </c>
      <c r="FD35" s="10"/>
      <c r="FE35" s="10"/>
      <c r="FF35" s="10"/>
      <c r="FG35" s="10"/>
      <c r="FH35" s="10"/>
      <c r="FI35" s="10"/>
      <c r="FJ35" s="10"/>
      <c r="FK35" s="10"/>
      <c r="FL35" s="10"/>
      <c r="FM35" s="10"/>
      <c r="FN35" s="10"/>
      <c r="FO35" s="10"/>
    </row>
    <row r="36" spans="1:171">
      <c r="D36" s="887">
        <v>0</v>
      </c>
      <c r="J36" s="14"/>
      <c r="Z36" s="803" t="s">
        <v>496</v>
      </c>
      <c r="AA36" s="803" t="s">
        <v>497</v>
      </c>
      <c r="AB36" s="787" t="s">
        <v>498</v>
      </c>
      <c r="AD36" s="888" t="s">
        <v>759</v>
      </c>
      <c r="AE36" s="889">
        <v>0.4</v>
      </c>
      <c r="FD36" s="10"/>
      <c r="FE36" s="10"/>
      <c r="FF36" s="10"/>
      <c r="FG36" s="10"/>
      <c r="FH36" s="10"/>
      <c r="FI36" s="10"/>
      <c r="FJ36" s="10"/>
      <c r="FK36" s="10"/>
      <c r="FL36" s="10"/>
      <c r="FM36" s="10"/>
      <c r="FN36" s="10"/>
      <c r="FO36" s="10"/>
    </row>
    <row r="37" spans="1:171">
      <c r="A37" s="2" t="s">
        <v>500</v>
      </c>
      <c r="D37" s="887">
        <f>SUM(D34:D36)</f>
        <v>18470100</v>
      </c>
      <c r="J37" s="14"/>
      <c r="Z37" s="803">
        <f>Z14</f>
        <v>960</v>
      </c>
      <c r="AA37" s="803">
        <f>Z21</f>
        <v>2234</v>
      </c>
      <c r="AB37" s="787">
        <f>SUM(Z37:AA37)</f>
        <v>3194</v>
      </c>
      <c r="FD37" s="10"/>
      <c r="FE37" s="10"/>
      <c r="FF37" s="10"/>
      <c r="FG37" s="10"/>
      <c r="FH37" s="10"/>
      <c r="FI37" s="10"/>
      <c r="FJ37" s="10"/>
      <c r="FK37" s="10"/>
      <c r="FL37" s="10"/>
      <c r="FM37" s="10"/>
      <c r="FN37" s="10"/>
      <c r="FO37" s="10"/>
    </row>
    <row r="38" spans="1:171">
      <c r="A38" s="2">
        <v>1</v>
      </c>
      <c r="B38" s="2" t="s">
        <v>787</v>
      </c>
      <c r="J38" s="14"/>
    </row>
    <row r="39" spans="1:171">
      <c r="A39" s="2">
        <v>2</v>
      </c>
      <c r="B39" s="2" t="s">
        <v>788</v>
      </c>
      <c r="J39" s="14"/>
    </row>
    <row r="40" spans="1:171">
      <c r="A40" s="2">
        <v>3</v>
      </c>
      <c r="B40" s="2" t="s">
        <v>789</v>
      </c>
      <c r="J40" s="14"/>
    </row>
    <row r="41" spans="1:171">
      <c r="A41" s="2">
        <v>4</v>
      </c>
      <c r="B41" s="2" t="s">
        <v>790</v>
      </c>
      <c r="J41" s="14"/>
    </row>
    <row r="42" spans="1:171">
      <c r="A42" s="2">
        <v>5</v>
      </c>
      <c r="B42" s="2" t="s">
        <v>791</v>
      </c>
      <c r="J42" s="14"/>
    </row>
    <row r="43" spans="1:171">
      <c r="A43" s="2">
        <v>6</v>
      </c>
      <c r="B43" s="2" t="s">
        <v>501</v>
      </c>
      <c r="J43" s="14"/>
    </row>
    <row r="44" spans="1:171">
      <c r="A44" s="2">
        <v>7</v>
      </c>
      <c r="B44" s="2" t="s">
        <v>792</v>
      </c>
      <c r="J44" s="14"/>
    </row>
    <row r="45" spans="1:171">
      <c r="A45" s="2">
        <v>8</v>
      </c>
      <c r="B45" s="2" t="s">
        <v>793</v>
      </c>
    </row>
    <row r="47" spans="1:171">
      <c r="A47" s="2" t="s">
        <v>794</v>
      </c>
    </row>
    <row r="48" spans="1:171">
      <c r="B48" s="2" t="s">
        <v>795</v>
      </c>
      <c r="C48" s="2" t="s">
        <v>796</v>
      </c>
      <c r="D48" s="2" t="s">
        <v>797</v>
      </c>
      <c r="E48" s="890" t="s">
        <v>798</v>
      </c>
      <c r="F48" s="890" t="s">
        <v>799</v>
      </c>
    </row>
    <row r="49" spans="1:159">
      <c r="A49" s="2" t="s">
        <v>800</v>
      </c>
      <c r="B49" s="267">
        <v>44289.122312607098</v>
      </c>
      <c r="C49" s="267">
        <v>135.16264481707299</v>
      </c>
      <c r="D49" s="2" t="s">
        <v>801</v>
      </c>
      <c r="E49" s="890">
        <v>7500</v>
      </c>
      <c r="F49" s="890">
        <v>5</v>
      </c>
    </row>
    <row r="50" spans="1:159">
      <c r="A50" s="2" t="s">
        <v>802</v>
      </c>
      <c r="B50" s="267">
        <f>575670.8667/22</f>
        <v>26166.857577272727</v>
      </c>
      <c r="C50" s="267">
        <f>4808.7794*10.37/22</f>
        <v>2266.6837444545454</v>
      </c>
      <c r="D50" s="2" t="s">
        <v>803</v>
      </c>
    </row>
    <row r="52" spans="1:159">
      <c r="B52" s="2" t="s">
        <v>804</v>
      </c>
      <c r="C52" s="2" t="s">
        <v>805</v>
      </c>
    </row>
    <row r="53" spans="1:159">
      <c r="A53" s="2" t="s">
        <v>800</v>
      </c>
      <c r="B53" s="271">
        <f>10433/44289.1223126071</f>
        <v>0.23556574290094251</v>
      </c>
      <c r="C53" s="271">
        <f>10433/135.162644817073</f>
        <v>77.188486612701752</v>
      </c>
      <c r="D53" s="2" t="s">
        <v>806</v>
      </c>
    </row>
    <row r="54" spans="1:159">
      <c r="A54" s="2" t="s">
        <v>802</v>
      </c>
      <c r="B54" s="271">
        <f>334825.241492337/575670.8667</f>
        <v>0.58162617019635432</v>
      </c>
      <c r="C54" s="271">
        <f>334825.241492337/(4808.7794*10.37)</f>
        <v>6.7143593348550574</v>
      </c>
      <c r="D54" s="2" t="s">
        <v>807</v>
      </c>
    </row>
    <row r="55" spans="1:159">
      <c r="A55" s="2" t="s">
        <v>808</v>
      </c>
      <c r="B55" s="272">
        <f>'Custom Benchmarking'!E18</f>
        <v>0.22117875297672002</v>
      </c>
      <c r="C55" s="272">
        <f>'Custom Benchmarking'!F18</f>
        <v>2.4077588421052631</v>
      </c>
      <c r="D55" s="2" t="s">
        <v>809</v>
      </c>
    </row>
    <row r="58" spans="1:159">
      <c r="A58" s="14" t="s">
        <v>502</v>
      </c>
      <c r="B58" s="14"/>
      <c r="Z58" s="2"/>
      <c r="AA58" s="2"/>
    </row>
    <row r="59" spans="1:159">
      <c r="Z59" s="2"/>
      <c r="AA59" s="2"/>
    </row>
    <row r="60" spans="1:159">
      <c r="A60" s="2" t="s">
        <v>503</v>
      </c>
      <c r="B60" s="3"/>
      <c r="C60" s="3"/>
      <c r="R60" s="85"/>
      <c r="Z60" s="2"/>
      <c r="AA60" s="2"/>
      <c r="AB60" s="2"/>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Z60" s="84" t="b">
        <f t="shared" ref="EZ60:FC61" si="181">SUM(EZ13,EZ20)=EZ6</f>
        <v>1</v>
      </c>
      <c r="FA60" s="84" t="b">
        <f t="shared" si="181"/>
        <v>1</v>
      </c>
      <c r="FB60" s="84" t="b">
        <f t="shared" si="181"/>
        <v>1</v>
      </c>
      <c r="FC60" s="84" t="b">
        <f t="shared" si="181"/>
        <v>1</v>
      </c>
    </row>
    <row r="61" spans="1:159">
      <c r="A61" s="3">
        <v>1</v>
      </c>
      <c r="B61" s="18" t="s">
        <v>504</v>
      </c>
      <c r="C61" s="3"/>
      <c r="P61" s="167">
        <v>0.1</v>
      </c>
      <c r="Q61" s="2" t="s">
        <v>505</v>
      </c>
      <c r="AB61" s="2"/>
      <c r="EZ61" s="84" t="b">
        <f t="shared" si="181"/>
        <v>1</v>
      </c>
      <c r="FA61" s="84" t="b">
        <f t="shared" si="181"/>
        <v>1</v>
      </c>
      <c r="FB61" s="84" t="b">
        <f t="shared" si="181"/>
        <v>1</v>
      </c>
      <c r="FC61" s="84" t="b">
        <f t="shared" si="181"/>
        <v>1</v>
      </c>
    </row>
    <row r="62" spans="1:159">
      <c r="A62" s="3">
        <v>2</v>
      </c>
      <c r="B62" s="18" t="s">
        <v>506</v>
      </c>
      <c r="C62" s="3"/>
      <c r="AB62" s="2"/>
    </row>
    <row r="63" spans="1:159">
      <c r="A63" s="3">
        <v>3</v>
      </c>
      <c r="B63" s="18" t="s">
        <v>507</v>
      </c>
      <c r="C63" s="3"/>
      <c r="Z63" s="2"/>
      <c r="AA63" s="2"/>
      <c r="AB63" s="2"/>
    </row>
    <row r="64" spans="1:159">
      <c r="A64" s="3">
        <v>4</v>
      </c>
      <c r="B64" s="18" t="s">
        <v>508</v>
      </c>
      <c r="C64" s="3"/>
      <c r="AB64" s="2"/>
    </row>
    <row r="65" spans="1:168">
      <c r="A65" s="3">
        <v>5</v>
      </c>
      <c r="B65" s="18" t="s">
        <v>509</v>
      </c>
      <c r="C65" s="3"/>
      <c r="AB65" s="2"/>
    </row>
    <row r="66" spans="1:168">
      <c r="A66" s="3">
        <v>6</v>
      </c>
      <c r="B66" s="18" t="s">
        <v>510</v>
      </c>
      <c r="C66" s="3"/>
      <c r="Z66" s="2"/>
      <c r="AA66" s="2"/>
      <c r="AB66" s="2"/>
    </row>
    <row r="67" spans="1:168">
      <c r="A67" s="3"/>
      <c r="B67" s="18"/>
      <c r="C67" s="3"/>
      <c r="AB67" s="2"/>
    </row>
    <row r="68" spans="1:168">
      <c r="A68" s="3"/>
      <c r="B68" s="18"/>
      <c r="C68" s="3"/>
      <c r="F68" s="1365" t="s">
        <v>511</v>
      </c>
      <c r="G68" s="1365"/>
      <c r="H68" s="1365"/>
      <c r="I68" s="1365" t="s">
        <v>512</v>
      </c>
      <c r="J68" s="1365"/>
      <c r="K68" s="1366"/>
      <c r="L68" s="1365" t="s">
        <v>810</v>
      </c>
      <c r="M68" s="1365"/>
      <c r="N68" s="1365"/>
      <c r="O68" s="1365" t="s">
        <v>810</v>
      </c>
      <c r="P68" s="1365"/>
      <c r="Q68" s="1365"/>
      <c r="AB68" s="2"/>
    </row>
    <row r="69" spans="1:168">
      <c r="A69" s="3"/>
      <c r="B69" s="803" t="s">
        <v>514</v>
      </c>
      <c r="C69" s="803" t="s">
        <v>515</v>
      </c>
      <c r="D69" s="803" t="s">
        <v>516</v>
      </c>
      <c r="E69" s="803" t="s">
        <v>327</v>
      </c>
      <c r="F69" s="803" t="s">
        <v>131</v>
      </c>
      <c r="G69" s="803" t="s">
        <v>132</v>
      </c>
      <c r="H69" s="803" t="s">
        <v>133</v>
      </c>
      <c r="I69" s="803" t="s">
        <v>131</v>
      </c>
      <c r="J69" s="803" t="s">
        <v>132</v>
      </c>
      <c r="K69" s="804" t="s">
        <v>133</v>
      </c>
      <c r="L69" s="803" t="s">
        <v>131</v>
      </c>
      <c r="M69" s="803" t="s">
        <v>132</v>
      </c>
      <c r="N69" s="803" t="s">
        <v>133</v>
      </c>
      <c r="O69" s="803" t="s">
        <v>131</v>
      </c>
      <c r="P69" s="803" t="s">
        <v>132</v>
      </c>
      <c r="Q69" s="803" t="s">
        <v>133</v>
      </c>
      <c r="Z69" s="2"/>
      <c r="AA69" s="2"/>
      <c r="AB69" s="2"/>
    </row>
    <row r="70" spans="1:168" s="3" customFormat="1">
      <c r="B70" s="787" t="s">
        <v>517</v>
      </c>
      <c r="C70" s="807">
        <v>0.8</v>
      </c>
      <c r="D70" s="803">
        <f>C70*$D$72</f>
        <v>3200</v>
      </c>
      <c r="E70" s="808">
        <v>1500</v>
      </c>
      <c r="F70" s="809">
        <v>1217.1949274678097</v>
      </c>
      <c r="G70" s="810">
        <v>0.10299175308573574</v>
      </c>
      <c r="H70" s="810">
        <v>0</v>
      </c>
      <c r="I70" s="809">
        <v>1603.2567482282041</v>
      </c>
      <c r="J70" s="810">
        <v>0.13812794820606622</v>
      </c>
      <c r="K70" s="811">
        <v>31.77592692101021</v>
      </c>
      <c r="L70" s="816"/>
      <c r="M70" s="820"/>
      <c r="N70" s="820"/>
      <c r="O70" s="820"/>
      <c r="P70" s="820"/>
      <c r="Q70" s="820"/>
      <c r="R70" s="2"/>
      <c r="S70" s="2"/>
      <c r="Z70" s="2"/>
      <c r="AA70" s="2"/>
      <c r="AB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row>
    <row r="71" spans="1:168" s="3" customFormat="1">
      <c r="B71" s="787" t="s">
        <v>518</v>
      </c>
      <c r="C71" s="815">
        <f>1-C70</f>
        <v>0.19999999999999996</v>
      </c>
      <c r="D71" s="803">
        <f>C71*$D$72</f>
        <v>799.99999999999977</v>
      </c>
      <c r="E71" s="808">
        <f>E70/2</f>
        <v>750</v>
      </c>
      <c r="F71" s="816">
        <f>F70*($E$71/$E$70)</f>
        <v>608.59746373390487</v>
      </c>
      <c r="G71" s="816">
        <f>G70*($E$71/$E$70)</f>
        <v>5.1495876542867872E-2</v>
      </c>
      <c r="H71" s="816">
        <f>H70*($E$71/$E$70)</f>
        <v>0</v>
      </c>
      <c r="I71" s="816">
        <f>I70*($E$71/$E$70)</f>
        <v>801.62837411410203</v>
      </c>
      <c r="J71" s="816">
        <f t="shared" ref="J71" si="182">J70*($E$71/$E$70)</f>
        <v>6.906397410303311E-2</v>
      </c>
      <c r="K71" s="816">
        <f>K70*($E$71/$E$70)</f>
        <v>15.887963460505105</v>
      </c>
      <c r="L71" s="891">
        <v>694.38897945843712</v>
      </c>
      <c r="M71" s="891">
        <v>5.9303919902941316E-2</v>
      </c>
      <c r="N71" s="891">
        <v>7.0613170935578253</v>
      </c>
      <c r="O71" s="891">
        <v>713.88705121401233</v>
      </c>
      <c r="P71" s="891">
        <v>6.1078475212048906E-2</v>
      </c>
      <c r="Q71" s="891">
        <v>8.6661618875482382</v>
      </c>
      <c r="R71" s="2"/>
      <c r="S71" s="2"/>
      <c r="Z71" s="2"/>
      <c r="AA71" s="2"/>
      <c r="AB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row>
    <row r="72" spans="1:168" s="3" customFormat="1">
      <c r="B72" s="819" t="s">
        <v>148</v>
      </c>
      <c r="C72" s="815">
        <v>1</v>
      </c>
      <c r="D72" s="787">
        <v>4000</v>
      </c>
      <c r="E72" s="808">
        <f t="shared" ref="E72:K72" si="183">SUMPRODUCT(E70:E71,$C$70:$C$71)</f>
        <v>1350</v>
      </c>
      <c r="F72" s="820">
        <f t="shared" si="183"/>
        <v>1095.4754347210289</v>
      </c>
      <c r="G72" s="820">
        <f t="shared" si="183"/>
        <v>9.269257777716218E-2</v>
      </c>
      <c r="H72" s="820">
        <f t="shared" si="183"/>
        <v>0</v>
      </c>
      <c r="I72" s="820">
        <f t="shared" si="183"/>
        <v>1442.9310734053838</v>
      </c>
      <c r="J72" s="820">
        <f t="shared" si="183"/>
        <v>0.12431515338545959</v>
      </c>
      <c r="K72" s="821">
        <f t="shared" si="183"/>
        <v>28.598334228909188</v>
      </c>
      <c r="L72" s="820"/>
      <c r="M72" s="820"/>
      <c r="N72" s="820"/>
      <c r="O72" s="820"/>
      <c r="P72" s="820"/>
      <c r="Q72" s="820"/>
      <c r="R72" s="2"/>
      <c r="S72" s="2"/>
      <c r="Z72" s="2"/>
      <c r="AA72" s="2"/>
      <c r="AB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row>
    <row r="73" spans="1:168" s="3" customFormat="1" ht="14.5">
      <c r="B73" s="18"/>
      <c r="D73" s="2"/>
      <c r="E73" s="2"/>
      <c r="F73" s="2"/>
      <c r="G73" s="2"/>
      <c r="H73" s="2"/>
      <c r="I73" s="2"/>
      <c r="J73" s="2"/>
      <c r="K73" s="2"/>
      <c r="L73" s="350" t="s">
        <v>416</v>
      </c>
      <c r="M73" s="2"/>
      <c r="N73" s="2"/>
      <c r="O73" s="273" t="s">
        <v>416</v>
      </c>
      <c r="P73" s="2"/>
      <c r="Q73" s="2"/>
      <c r="R73" s="2"/>
      <c r="S73" s="2"/>
      <c r="Z73" s="2"/>
      <c r="AA73" s="2"/>
      <c r="AB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row>
    <row r="74" spans="1:168" s="3" customFormat="1">
      <c r="A74" s="2"/>
      <c r="B74" s="2"/>
      <c r="C74" s="2"/>
      <c r="D74" s="2"/>
      <c r="E74" s="187"/>
      <c r="F74" s="2"/>
      <c r="G74" s="2"/>
      <c r="H74" s="2"/>
      <c r="I74" s="2"/>
      <c r="J74" s="2"/>
      <c r="K74" s="2"/>
      <c r="L74" s="2"/>
      <c r="M74" s="2"/>
      <c r="N74" s="2"/>
      <c r="O74" s="2"/>
      <c r="P74" s="2"/>
      <c r="Q74" s="2"/>
      <c r="R74" s="2"/>
      <c r="S74" s="2"/>
      <c r="Z74" s="2"/>
      <c r="AA74" s="2"/>
      <c r="AB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row>
    <row r="75" spans="1:168" s="3" customFormat="1">
      <c r="A75" s="2"/>
      <c r="B75" s="2" t="s">
        <v>519</v>
      </c>
      <c r="C75" s="2"/>
      <c r="D75" s="2"/>
      <c r="E75" s="90"/>
      <c r="F75" s="2"/>
      <c r="G75" s="2"/>
      <c r="H75" s="2"/>
      <c r="I75" s="2"/>
      <c r="J75" s="2"/>
      <c r="K75" s="523"/>
      <c r="L75" s="2"/>
      <c r="M75" s="2"/>
      <c r="N75" s="2"/>
      <c r="O75" s="2"/>
      <c r="P75" s="2"/>
      <c r="Q75" s="2"/>
      <c r="R75" s="2"/>
      <c r="S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row>
    <row r="76" spans="1:168" s="3" customFormat="1">
      <c r="A76" s="2"/>
      <c r="B76" s="823" t="s">
        <v>136</v>
      </c>
      <c r="C76" s="823" t="s">
        <v>137</v>
      </c>
      <c r="D76" s="823" t="s">
        <v>339</v>
      </c>
      <c r="E76" s="2"/>
      <c r="F76" s="194"/>
      <c r="G76" s="194"/>
      <c r="H76" s="194"/>
      <c r="I76" s="194"/>
      <c r="J76" s="2"/>
      <c r="K76" s="522"/>
      <c r="L76" s="194"/>
      <c r="M76" s="194"/>
      <c r="N76" s="194"/>
      <c r="O76" s="194"/>
      <c r="P76" s="194"/>
      <c r="Q76" s="194"/>
      <c r="R76" s="194"/>
      <c r="S76" s="194"/>
      <c r="T76" s="194"/>
      <c r="U76" s="194"/>
      <c r="V76" s="194"/>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row>
    <row r="77" spans="1:168" s="3" customFormat="1">
      <c r="A77" s="2"/>
      <c r="B77" s="660" t="s">
        <v>520</v>
      </c>
      <c r="C77" s="660" t="s">
        <v>521</v>
      </c>
      <c r="D77" s="660" t="s">
        <v>522</v>
      </c>
      <c r="E77" s="2"/>
      <c r="F77" s="194"/>
      <c r="G77" s="194"/>
      <c r="H77" s="194"/>
      <c r="I77" s="194"/>
      <c r="J77" s="2"/>
      <c r="K77" s="522"/>
      <c r="L77" s="194"/>
      <c r="M77" s="194"/>
      <c r="N77" s="194"/>
      <c r="O77" s="194"/>
      <c r="P77" s="194"/>
      <c r="Q77" s="194"/>
      <c r="R77" s="194"/>
      <c r="S77" s="194"/>
      <c r="T77" s="194"/>
      <c r="U77" s="194"/>
      <c r="V77" s="194"/>
      <c r="AC77" s="2"/>
      <c r="AD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row>
    <row r="78" spans="1:168" s="3" customFormat="1">
      <c r="A78" s="2"/>
      <c r="B78" s="660" t="s">
        <v>523</v>
      </c>
      <c r="C78" s="660" t="s">
        <v>524</v>
      </c>
      <c r="D78" s="660" t="s">
        <v>522</v>
      </c>
      <c r="E78" s="2"/>
      <c r="F78" s="194"/>
      <c r="G78" s="194"/>
      <c r="H78" s="194"/>
      <c r="I78" s="194"/>
      <c r="J78" s="194"/>
      <c r="K78" s="194"/>
      <c r="L78" s="194"/>
      <c r="M78" s="194"/>
      <c r="N78" s="194"/>
      <c r="O78" s="194"/>
      <c r="P78" s="194"/>
      <c r="Q78" s="194"/>
      <c r="R78" s="194"/>
      <c r="S78" s="194"/>
      <c r="T78" s="194"/>
      <c r="U78" s="194"/>
      <c r="V78" s="194"/>
      <c r="AC78" s="2"/>
      <c r="AD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row>
    <row r="79" spans="1:168" s="3" customFormat="1">
      <c r="A79" s="2"/>
      <c r="B79" s="660" t="s">
        <v>525</v>
      </c>
      <c r="C79" s="660" t="s">
        <v>526</v>
      </c>
      <c r="D79" s="660" t="s">
        <v>522</v>
      </c>
      <c r="E79" s="2"/>
      <c r="F79" s="194"/>
      <c r="G79" s="194"/>
      <c r="H79" s="194"/>
      <c r="I79" s="194"/>
      <c r="J79" s="194"/>
      <c r="K79" s="194"/>
      <c r="L79" s="194"/>
      <c r="M79" s="194"/>
      <c r="N79" s="194"/>
      <c r="O79" s="194"/>
      <c r="P79" s="194"/>
      <c r="Q79" s="194"/>
      <c r="R79" s="194"/>
      <c r="S79" s="194"/>
      <c r="T79" s="194"/>
      <c r="U79" s="194"/>
      <c r="V79" s="194"/>
      <c r="AC79" s="2"/>
      <c r="AD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row>
    <row r="80" spans="1:168" s="3" customFormat="1">
      <c r="A80" s="2"/>
      <c r="B80" s="660" t="s">
        <v>527</v>
      </c>
      <c r="C80" s="660" t="s">
        <v>528</v>
      </c>
      <c r="D80" s="660" t="s">
        <v>522</v>
      </c>
      <c r="E80" s="2"/>
      <c r="F80" s="194"/>
      <c r="G80" s="194"/>
      <c r="H80" s="194"/>
      <c r="I80" s="194"/>
      <c r="J80" s="194"/>
      <c r="K80" s="194"/>
      <c r="L80" s="194"/>
      <c r="M80" s="194"/>
      <c r="N80" s="194"/>
      <c r="O80" s="194"/>
      <c r="P80" s="194"/>
      <c r="Q80" s="194"/>
      <c r="R80" s="194"/>
      <c r="S80" s="194"/>
      <c r="T80" s="194"/>
      <c r="U80" s="194"/>
      <c r="V80" s="194"/>
      <c r="AC80" s="2"/>
      <c r="AD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row>
    <row r="81" spans="1:168" s="3" customFormat="1">
      <c r="A81" s="2"/>
      <c r="B81" s="660" t="s">
        <v>529</v>
      </c>
      <c r="C81" s="660" t="s">
        <v>530</v>
      </c>
      <c r="D81" s="660" t="s">
        <v>522</v>
      </c>
      <c r="E81" s="2"/>
      <c r="F81" s="194"/>
      <c r="G81" s="194"/>
      <c r="H81" s="194"/>
      <c r="I81" s="194"/>
      <c r="J81" s="194"/>
      <c r="K81" s="194"/>
      <c r="L81" s="194"/>
      <c r="M81" s="194"/>
      <c r="N81" s="194"/>
      <c r="O81" s="194"/>
      <c r="P81" s="194"/>
      <c r="Q81" s="194"/>
      <c r="R81" s="194"/>
      <c r="S81" s="194"/>
      <c r="T81" s="194"/>
      <c r="U81" s="194"/>
      <c r="V81" s="194"/>
      <c r="AC81" s="2"/>
      <c r="AD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row>
    <row r="82" spans="1:168" s="3" customFormat="1">
      <c r="A82" s="2"/>
      <c r="B82" s="660" t="s">
        <v>531</v>
      </c>
      <c r="C82" s="660" t="s">
        <v>532</v>
      </c>
      <c r="D82" s="660" t="s">
        <v>522</v>
      </c>
      <c r="E82" s="2"/>
      <c r="F82" s="194"/>
      <c r="G82" s="194"/>
      <c r="H82" s="194"/>
      <c r="I82" s="194"/>
      <c r="J82" s="194"/>
      <c r="K82" s="194"/>
      <c r="L82" s="194"/>
      <c r="M82" s="194"/>
      <c r="N82" s="194"/>
      <c r="O82" s="194"/>
      <c r="P82" s="194"/>
      <c r="Q82" s="194"/>
      <c r="R82" s="194"/>
      <c r="S82" s="194"/>
      <c r="T82" s="194"/>
      <c r="U82" s="194"/>
      <c r="V82" s="194"/>
      <c r="AC82" s="2"/>
      <c r="AD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row>
    <row r="83" spans="1:168" s="3" customFormat="1">
      <c r="A83" s="2"/>
      <c r="B83" s="660" t="s">
        <v>533</v>
      </c>
      <c r="C83" s="660" t="s">
        <v>534</v>
      </c>
      <c r="D83" s="660" t="s">
        <v>522</v>
      </c>
      <c r="E83" s="2"/>
      <c r="F83" s="194"/>
      <c r="G83" s="194"/>
      <c r="H83" s="194"/>
      <c r="I83" s="194"/>
      <c r="J83" s="194"/>
      <c r="K83" s="194"/>
      <c r="L83" s="194"/>
      <c r="M83" s="194"/>
      <c r="N83" s="194"/>
      <c r="O83" s="194"/>
      <c r="P83" s="194"/>
      <c r="Q83" s="194"/>
      <c r="R83" s="194"/>
      <c r="S83" s="194"/>
      <c r="T83" s="194"/>
      <c r="U83" s="194"/>
      <c r="V83" s="194"/>
      <c r="AC83" s="2"/>
      <c r="AD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row>
    <row r="84" spans="1:168" s="3" customFormat="1">
      <c r="A84" s="2"/>
      <c r="B84" s="660" t="s">
        <v>535</v>
      </c>
      <c r="C84" s="660" t="s">
        <v>536</v>
      </c>
      <c r="D84" s="660" t="s">
        <v>522</v>
      </c>
      <c r="E84" s="2"/>
      <c r="F84" s="194"/>
      <c r="G84" s="194"/>
      <c r="H84" s="194"/>
      <c r="I84" s="194"/>
      <c r="J84" s="194"/>
      <c r="K84" s="194"/>
      <c r="L84" s="194"/>
      <c r="M84" s="194"/>
      <c r="N84" s="194"/>
      <c r="O84" s="194"/>
      <c r="P84" s="194"/>
      <c r="Q84" s="194"/>
      <c r="R84" s="194"/>
      <c r="S84" s="194"/>
      <c r="T84" s="194"/>
      <c r="U84" s="194"/>
      <c r="V84" s="194"/>
      <c r="AC84" s="2"/>
      <c r="AD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row>
    <row r="85" spans="1:168" s="3" customFormat="1">
      <c r="A85" s="2"/>
      <c r="B85" s="660" t="s">
        <v>537</v>
      </c>
      <c r="C85" s="660" t="s">
        <v>538</v>
      </c>
      <c r="D85" s="660" t="s">
        <v>522</v>
      </c>
      <c r="E85" s="2"/>
      <c r="F85" s="194"/>
      <c r="G85" s="194"/>
      <c r="H85" s="194"/>
      <c r="I85" s="194"/>
      <c r="J85" s="194"/>
      <c r="K85" s="194"/>
      <c r="L85" s="194"/>
      <c r="M85" s="194"/>
      <c r="N85" s="194"/>
      <c r="O85" s="194"/>
      <c r="P85" s="194"/>
      <c r="Q85" s="194"/>
      <c r="R85" s="194"/>
      <c r="S85" s="194"/>
      <c r="T85" s="194"/>
      <c r="U85" s="194"/>
      <c r="V85" s="194"/>
      <c r="AC85" s="2"/>
      <c r="AD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row>
    <row r="86" spans="1:168" s="3" customFormat="1">
      <c r="A86" s="2" t="s">
        <v>811</v>
      </c>
      <c r="B86" s="892" t="s">
        <v>539</v>
      </c>
      <c r="C86" s="660" t="s">
        <v>540</v>
      </c>
      <c r="D86" s="660" t="s">
        <v>522</v>
      </c>
      <c r="E86" s="2"/>
      <c r="F86" s="194"/>
      <c r="G86" s="194"/>
      <c r="H86" s="194"/>
      <c r="I86" s="194"/>
      <c r="J86" s="194"/>
      <c r="K86" s="194"/>
      <c r="L86" s="194"/>
      <c r="M86" s="194"/>
      <c r="N86" s="194"/>
      <c r="O86" s="194"/>
      <c r="P86" s="194"/>
      <c r="Q86" s="194"/>
      <c r="R86" s="194"/>
      <c r="S86" s="194"/>
      <c r="T86" s="194"/>
      <c r="U86" s="194"/>
      <c r="V86" s="194"/>
      <c r="AC86" s="2"/>
      <c r="AD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row>
    <row r="87" spans="1:168" s="3" customFormat="1">
      <c r="A87" s="2"/>
      <c r="B87" s="660" t="s">
        <v>541</v>
      </c>
      <c r="C87" s="660" t="s">
        <v>542</v>
      </c>
      <c r="D87" s="660" t="s">
        <v>522</v>
      </c>
      <c r="E87" s="2"/>
      <c r="F87" s="194"/>
      <c r="G87" s="194"/>
      <c r="H87" s="194"/>
      <c r="I87" s="194"/>
      <c r="J87" s="194"/>
      <c r="K87" s="194"/>
      <c r="L87" s="194"/>
      <c r="M87" s="194"/>
      <c r="N87" s="194"/>
      <c r="O87" s="194"/>
      <c r="P87" s="194"/>
      <c r="Q87" s="194"/>
      <c r="R87" s="194"/>
      <c r="S87" s="194"/>
      <c r="T87" s="194"/>
      <c r="U87" s="194"/>
      <c r="V87" s="194"/>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row>
    <row r="88" spans="1:168" s="3" customFormat="1">
      <c r="A88" s="2"/>
      <c r="B88" s="660" t="s">
        <v>543</v>
      </c>
      <c r="C88" s="660" t="s">
        <v>544</v>
      </c>
      <c r="D88" s="660" t="s">
        <v>522</v>
      </c>
      <c r="E88" s="2"/>
      <c r="F88" s="194"/>
      <c r="G88" s="194"/>
      <c r="H88" s="194"/>
      <c r="I88" s="194"/>
      <c r="J88" s="194"/>
      <c r="K88" s="194"/>
      <c r="L88" s="194"/>
      <c r="M88" s="194"/>
      <c r="N88" s="194"/>
      <c r="O88" s="194"/>
      <c r="P88" s="194"/>
      <c r="Q88" s="194"/>
      <c r="R88" s="194"/>
      <c r="S88" s="194"/>
      <c r="T88" s="194"/>
      <c r="U88" s="194"/>
      <c r="V88" s="194"/>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row>
    <row r="89" spans="1:168" s="3" customFormat="1">
      <c r="A89" s="2"/>
      <c r="B89" s="660" t="s">
        <v>545</v>
      </c>
      <c r="C89" s="660" t="s">
        <v>546</v>
      </c>
      <c r="D89" s="660" t="s">
        <v>522</v>
      </c>
      <c r="E89" s="2"/>
      <c r="F89" s="2"/>
      <c r="G89" s="2"/>
      <c r="H89" s="2"/>
      <c r="I89" s="2"/>
      <c r="J89" s="2"/>
      <c r="K89" s="2"/>
      <c r="L89" s="2"/>
      <c r="M89" s="2"/>
      <c r="N89" s="2"/>
      <c r="O89" s="2"/>
      <c r="P89" s="2"/>
      <c r="Q89" s="2"/>
      <c r="R89" s="2"/>
      <c r="S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row>
    <row r="91" spans="1:168" s="3" customFormat="1">
      <c r="A91" s="2"/>
      <c r="B91" s="2" t="s">
        <v>547</v>
      </c>
      <c r="C91" s="2"/>
      <c r="D91" s="2"/>
      <c r="E91" s="2"/>
      <c r="F91" s="2"/>
      <c r="G91" s="2"/>
      <c r="H91" s="2"/>
      <c r="I91" s="2"/>
      <c r="J91" s="2"/>
      <c r="K91" s="2"/>
      <c r="L91" s="2"/>
      <c r="M91" s="2"/>
      <c r="N91" s="2"/>
      <c r="O91" s="2"/>
      <c r="P91" s="2"/>
      <c r="Q91" s="2"/>
      <c r="R91" s="2"/>
      <c r="S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row>
    <row r="92" spans="1:168" s="3" customFormat="1">
      <c r="A92" s="2"/>
      <c r="B92" s="803"/>
      <c r="C92" s="803" t="s">
        <v>548</v>
      </c>
      <c r="D92" s="803"/>
      <c r="E92" s="803" t="s">
        <v>549</v>
      </c>
      <c r="F92" s="803"/>
      <c r="G92" s="803" t="s">
        <v>550</v>
      </c>
      <c r="H92" s="803" t="s">
        <v>551</v>
      </c>
      <c r="I92" s="2"/>
      <c r="J92" s="2"/>
      <c r="K92" s="2"/>
      <c r="L92" s="2"/>
      <c r="M92" s="2"/>
      <c r="N92" s="2"/>
      <c r="O92" s="2"/>
      <c r="P92" s="2"/>
      <c r="Q92" s="2"/>
      <c r="R92" s="2"/>
      <c r="S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row>
    <row r="93" spans="1:168" s="3" customFormat="1">
      <c r="A93" s="2"/>
      <c r="B93" s="803" t="s">
        <v>552</v>
      </c>
      <c r="C93" s="803" t="s">
        <v>553</v>
      </c>
      <c r="D93" s="803" t="s">
        <v>554</v>
      </c>
      <c r="E93" s="803" t="s">
        <v>553</v>
      </c>
      <c r="F93" s="803" t="s">
        <v>554</v>
      </c>
      <c r="G93" s="803"/>
      <c r="H93" s="803"/>
      <c r="I93" s="2"/>
      <c r="J93" s="2"/>
      <c r="K93" s="2"/>
      <c r="L93" s="2"/>
      <c r="M93" s="2"/>
      <c r="N93" s="2"/>
      <c r="O93" s="2"/>
      <c r="P93" s="2"/>
      <c r="Q93" s="2"/>
      <c r="R93" s="2"/>
      <c r="S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row>
    <row r="94" spans="1:168" s="3" customFormat="1">
      <c r="A94" s="2"/>
      <c r="B94" s="803" t="s">
        <v>533</v>
      </c>
      <c r="C94" s="803">
        <v>45194</v>
      </c>
      <c r="D94" s="803">
        <v>5948</v>
      </c>
      <c r="E94" s="803">
        <v>19430</v>
      </c>
      <c r="F94" s="803">
        <v>2750</v>
      </c>
      <c r="G94" s="803">
        <v>64624</v>
      </c>
      <c r="H94" s="803">
        <v>8698</v>
      </c>
      <c r="I94" s="2"/>
      <c r="J94" s="2"/>
      <c r="K94" s="2"/>
      <c r="L94" s="2"/>
      <c r="M94" s="2"/>
      <c r="N94" s="2"/>
      <c r="O94" s="2"/>
      <c r="P94" s="2"/>
      <c r="Q94" s="2"/>
      <c r="R94" s="2"/>
      <c r="S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row>
    <row r="95" spans="1:168" s="3" customFormat="1">
      <c r="A95" s="2"/>
      <c r="B95" s="803" t="s">
        <v>555</v>
      </c>
      <c r="C95" s="803">
        <v>45194</v>
      </c>
      <c r="D95" s="803">
        <v>5948</v>
      </c>
      <c r="E95" s="803">
        <v>19430</v>
      </c>
      <c r="F95" s="803">
        <v>2750</v>
      </c>
      <c r="G95" s="803">
        <v>64624</v>
      </c>
      <c r="H95" s="803">
        <v>8698</v>
      </c>
      <c r="I95" s="2"/>
      <c r="J95" s="2"/>
      <c r="K95" s="2"/>
      <c r="L95" s="2"/>
      <c r="M95" s="2"/>
      <c r="N95" s="2"/>
      <c r="O95" s="2"/>
      <c r="P95" s="2"/>
      <c r="Q95" s="2"/>
      <c r="R95" s="2"/>
      <c r="S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row>
    <row r="97" spans="1:168" s="3" customFormat="1">
      <c r="A97" s="2"/>
      <c r="B97" s="2"/>
      <c r="C97" s="2"/>
      <c r="D97" s="2"/>
      <c r="E97" s="2"/>
      <c r="F97" s="2"/>
      <c r="G97" s="2"/>
      <c r="H97" s="820">
        <f>G95/H95</f>
        <v>7.4297539664290637</v>
      </c>
      <c r="I97" s="803" t="s">
        <v>556</v>
      </c>
      <c r="J97" s="2"/>
      <c r="K97" s="2"/>
      <c r="L97" s="2"/>
      <c r="M97" s="2"/>
      <c r="N97" s="2"/>
      <c r="O97" s="2"/>
      <c r="P97" s="2"/>
      <c r="Q97" s="2"/>
      <c r="R97" s="2"/>
      <c r="S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row>
    <row r="98" spans="1:168" s="3" customFormat="1">
      <c r="A98" s="2"/>
      <c r="B98" s="2"/>
      <c r="C98" s="2"/>
      <c r="D98" s="2"/>
      <c r="E98" s="2"/>
      <c r="F98" s="2"/>
      <c r="G98" s="2"/>
      <c r="H98" s="820">
        <f>SUMPRODUCT(D100:D103,G100:G103)</f>
        <v>-0.37238581451003461</v>
      </c>
      <c r="I98" s="803" t="s">
        <v>557</v>
      </c>
      <c r="J98" s="2"/>
      <c r="K98" s="2"/>
      <c r="L98" s="2"/>
      <c r="M98" s="2"/>
      <c r="N98" s="2"/>
      <c r="O98" s="2"/>
      <c r="P98" s="2"/>
      <c r="Q98" s="2"/>
      <c r="R98" s="2"/>
      <c r="S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row>
    <row r="99" spans="1:168" s="3" customFormat="1">
      <c r="A99" s="2"/>
      <c r="B99" s="823" t="s">
        <v>136</v>
      </c>
      <c r="C99" s="823" t="s">
        <v>137</v>
      </c>
      <c r="D99" s="692" t="s">
        <v>344</v>
      </c>
      <c r="E99" s="803" t="s">
        <v>558</v>
      </c>
      <c r="F99" s="803" t="s">
        <v>559</v>
      </c>
      <c r="G99" s="803" t="s">
        <v>560</v>
      </c>
      <c r="H99" s="86"/>
      <c r="I99" s="2"/>
      <c r="J99" s="2"/>
      <c r="K99" s="2"/>
      <c r="L99" s="2"/>
      <c r="M99" s="2"/>
      <c r="N99" s="2"/>
      <c r="O99" s="2"/>
      <c r="P99" s="2"/>
      <c r="Q99" s="2"/>
      <c r="R99" s="2"/>
      <c r="S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row>
    <row r="100" spans="1:168" s="3" customFormat="1">
      <c r="A100" s="2"/>
      <c r="B100" s="789" t="s">
        <v>561</v>
      </c>
      <c r="C100" s="789" t="s">
        <v>561</v>
      </c>
      <c r="D100" s="824">
        <v>-0.83289999999999997</v>
      </c>
      <c r="E100" s="825">
        <f>SUMIF($G$110:$G$125,B100,$F$110:$F$125)/SUM($F$110:$F$125)</f>
        <v>0.98790830464354684</v>
      </c>
      <c r="F100" s="826">
        <v>0.4</v>
      </c>
      <c r="G100" s="826">
        <v>0.39516332185741898</v>
      </c>
      <c r="H100" s="86"/>
      <c r="I100" s="2"/>
      <c r="J100" s="2"/>
      <c r="K100" s="2"/>
      <c r="L100" s="2"/>
      <c r="M100" s="2"/>
      <c r="N100" s="2"/>
      <c r="O100" s="2"/>
      <c r="P100" s="2"/>
      <c r="Q100" s="2"/>
      <c r="R100" s="2"/>
      <c r="S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row>
    <row r="101" spans="1:168" s="3" customFormat="1">
      <c r="A101" s="2"/>
      <c r="B101" s="789" t="s">
        <v>561</v>
      </c>
      <c r="C101" s="789" t="s">
        <v>561</v>
      </c>
      <c r="D101" s="824">
        <v>-6.9408333333333336E-2</v>
      </c>
      <c r="E101" s="825">
        <f t="shared" ref="E101:E103" si="184">SUMIF($G$110:$G$125,B101,$F$110:$F$125)/SUM($F$110:$F$125)</f>
        <v>0.98790830464354684</v>
      </c>
      <c r="F101" s="826">
        <v>0.6</v>
      </c>
      <c r="G101" s="826">
        <v>0.59274498278612808</v>
      </c>
      <c r="H101" s="86"/>
      <c r="I101" s="2"/>
      <c r="J101" s="2"/>
      <c r="K101" s="2"/>
      <c r="L101" s="2"/>
      <c r="M101" s="2"/>
      <c r="N101" s="2"/>
      <c r="O101" s="2"/>
      <c r="P101" s="2"/>
      <c r="Q101" s="2"/>
      <c r="R101" s="2"/>
      <c r="S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row>
    <row r="102" spans="1:168">
      <c r="B102" s="789" t="s">
        <v>562</v>
      </c>
      <c r="C102" s="789" t="s">
        <v>562</v>
      </c>
      <c r="D102" s="824">
        <v>-0.38829999999999998</v>
      </c>
      <c r="E102" s="825">
        <f>SUMIF($G$110:$G$125,B102,$F$110:$F$125)/SUM($F$110:$F$125)</f>
        <v>1.2091695356453103E-2</v>
      </c>
      <c r="F102" s="826">
        <v>0.4</v>
      </c>
      <c r="G102" s="826">
        <v>4.8366781425812416E-3</v>
      </c>
      <c r="H102" s="86"/>
    </row>
    <row r="103" spans="1:168">
      <c r="B103" s="789" t="s">
        <v>562</v>
      </c>
      <c r="C103" s="789" t="s">
        <v>562</v>
      </c>
      <c r="D103" s="824">
        <v>-3.2358333333333336E-2</v>
      </c>
      <c r="E103" s="825">
        <f t="shared" si="184"/>
        <v>1.2091695356453103E-2</v>
      </c>
      <c r="F103" s="826">
        <v>0.6</v>
      </c>
      <c r="G103" s="826">
        <v>7.2550172138718611E-3</v>
      </c>
      <c r="H103" s="86"/>
    </row>
    <row r="104" spans="1:168">
      <c r="F104" s="273" t="s">
        <v>416</v>
      </c>
      <c r="G104" s="273" t="s">
        <v>416</v>
      </c>
      <c r="H104" s="86"/>
    </row>
    <row r="105" spans="1:168">
      <c r="H105" s="86"/>
    </row>
    <row r="107" spans="1:168">
      <c r="B107" s="2" t="s">
        <v>547</v>
      </c>
    </row>
    <row r="108" spans="1:168">
      <c r="B108" s="2" t="s">
        <v>563</v>
      </c>
      <c r="G108" s="2" t="s">
        <v>564</v>
      </c>
    </row>
    <row r="109" spans="1:168" ht="14.5">
      <c r="B109" s="15" t="s">
        <v>565</v>
      </c>
      <c r="D109" s="87" t="s">
        <v>552</v>
      </c>
      <c r="E109" s="87" t="s">
        <v>566</v>
      </c>
      <c r="F109" s="87" t="s">
        <v>567</v>
      </c>
      <c r="G109" s="2" t="s">
        <v>568</v>
      </c>
    </row>
    <row r="110" spans="1:168" ht="14.5">
      <c r="B110" s="16" t="s">
        <v>520</v>
      </c>
      <c r="D110" s="88" t="s">
        <v>533</v>
      </c>
      <c r="E110" t="s">
        <v>569</v>
      </c>
      <c r="F110">
        <v>114</v>
      </c>
      <c r="G110" s="789" t="s">
        <v>562</v>
      </c>
    </row>
    <row r="111" spans="1:168" ht="14.5">
      <c r="B111" s="17" t="s">
        <v>570</v>
      </c>
      <c r="D111" s="88"/>
      <c r="E111" t="s">
        <v>571</v>
      </c>
      <c r="F111">
        <v>8</v>
      </c>
      <c r="G111" s="789" t="s">
        <v>562</v>
      </c>
    </row>
    <row r="112" spans="1:168" ht="14.5">
      <c r="B112" s="17" t="s">
        <v>572</v>
      </c>
      <c r="D112" s="88"/>
      <c r="E112" t="s">
        <v>573</v>
      </c>
      <c r="F112">
        <v>511</v>
      </c>
      <c r="G112" s="789" t="s">
        <v>561</v>
      </c>
    </row>
    <row r="113" spans="2:7" ht="14.5">
      <c r="B113" s="17" t="s">
        <v>574</v>
      </c>
      <c r="D113" s="88"/>
      <c r="E113" t="s">
        <v>575</v>
      </c>
      <c r="F113">
        <v>34</v>
      </c>
      <c r="G113" s="789" t="s">
        <v>561</v>
      </c>
    </row>
    <row r="114" spans="2:7" ht="14.5">
      <c r="B114" s="17" t="s">
        <v>576</v>
      </c>
      <c r="D114" s="88"/>
      <c r="E114" t="s">
        <v>577</v>
      </c>
      <c r="F114">
        <v>598</v>
      </c>
      <c r="G114" s="789" t="s">
        <v>562</v>
      </c>
    </row>
    <row r="115" spans="2:7" ht="14.5">
      <c r="B115" s="17" t="s">
        <v>578</v>
      </c>
      <c r="D115" s="88"/>
      <c r="E115" t="s">
        <v>579</v>
      </c>
      <c r="F115">
        <v>3351</v>
      </c>
      <c r="G115" s="789" t="s">
        <v>561</v>
      </c>
    </row>
    <row r="116" spans="2:7" ht="14.5">
      <c r="B116" s="17" t="s">
        <v>580</v>
      </c>
      <c r="D116" s="88"/>
      <c r="E116" t="s">
        <v>581</v>
      </c>
      <c r="F116">
        <v>2207</v>
      </c>
      <c r="G116" s="789" t="s">
        <v>561</v>
      </c>
    </row>
    <row r="117" spans="2:7" ht="14.5">
      <c r="B117" s="17" t="s">
        <v>582</v>
      </c>
      <c r="D117" s="88"/>
      <c r="E117" t="s">
        <v>583</v>
      </c>
      <c r="F117">
        <v>286</v>
      </c>
      <c r="G117" s="789" t="s">
        <v>561</v>
      </c>
    </row>
    <row r="118" spans="2:7" ht="14.5">
      <c r="B118" s="17" t="s">
        <v>584</v>
      </c>
      <c r="D118" s="88"/>
      <c r="E118" t="s">
        <v>585</v>
      </c>
      <c r="F118">
        <v>4465</v>
      </c>
      <c r="G118" s="789" t="s">
        <v>561</v>
      </c>
    </row>
    <row r="119" spans="2:7" ht="14.5">
      <c r="B119" s="16" t="s">
        <v>523</v>
      </c>
      <c r="D119" s="88"/>
      <c r="E119" t="s">
        <v>586</v>
      </c>
      <c r="F119">
        <v>27289</v>
      </c>
      <c r="G119" s="789" t="s">
        <v>561</v>
      </c>
    </row>
    <row r="120" spans="2:7" ht="14.5">
      <c r="B120" s="17" t="s">
        <v>587</v>
      </c>
      <c r="D120" s="88"/>
      <c r="E120" t="s">
        <v>588</v>
      </c>
      <c r="F120">
        <v>2151</v>
      </c>
      <c r="G120" s="789" t="s">
        <v>561</v>
      </c>
    </row>
    <row r="121" spans="2:7" ht="14.5">
      <c r="B121" s="17" t="s">
        <v>589</v>
      </c>
      <c r="D121" s="88"/>
      <c r="E121" t="s">
        <v>590</v>
      </c>
      <c r="F121">
        <v>24</v>
      </c>
      <c r="G121" s="789" t="s">
        <v>561</v>
      </c>
    </row>
    <row r="122" spans="2:7" ht="14.5">
      <c r="B122" s="17" t="s">
        <v>591</v>
      </c>
      <c r="D122" s="88"/>
      <c r="E122" t="s">
        <v>592</v>
      </c>
      <c r="F122">
        <v>4376</v>
      </c>
      <c r="G122" s="789" t="s">
        <v>561</v>
      </c>
    </row>
    <row r="123" spans="2:7" ht="14.5">
      <c r="B123" s="17" t="s">
        <v>593</v>
      </c>
      <c r="D123" s="88"/>
      <c r="E123" t="s">
        <v>594</v>
      </c>
      <c r="F123">
        <v>1149</v>
      </c>
      <c r="G123" s="789" t="s">
        <v>561</v>
      </c>
    </row>
    <row r="124" spans="2:7" ht="14.5">
      <c r="B124" s="17" t="s">
        <v>595</v>
      </c>
      <c r="D124" s="88"/>
      <c r="E124" t="s">
        <v>596</v>
      </c>
      <c r="F124">
        <v>12881</v>
      </c>
      <c r="G124" s="789" t="s">
        <v>561</v>
      </c>
    </row>
    <row r="125" spans="2:7" ht="14.5">
      <c r="B125" s="17" t="s">
        <v>597</v>
      </c>
      <c r="D125" s="89"/>
      <c r="E125" t="s">
        <v>598</v>
      </c>
      <c r="F125">
        <v>101</v>
      </c>
      <c r="G125" s="789" t="s">
        <v>561</v>
      </c>
    </row>
    <row r="126" spans="2:7" ht="14.5">
      <c r="B126" s="17" t="s">
        <v>599</v>
      </c>
    </row>
    <row r="127" spans="2:7" ht="14.5">
      <c r="B127" s="17" t="s">
        <v>600</v>
      </c>
    </row>
    <row r="128" spans="2:7" ht="14.5">
      <c r="B128" s="17" t="s">
        <v>601</v>
      </c>
    </row>
    <row r="129" spans="2:20" ht="14.5">
      <c r="B129" s="17" t="s">
        <v>602</v>
      </c>
    </row>
    <row r="130" spans="2:20" ht="14.5">
      <c r="B130" s="17" t="s">
        <v>603</v>
      </c>
      <c r="D130"/>
      <c r="E130"/>
      <c r="F130" s="363"/>
      <c r="G130"/>
      <c r="H130"/>
      <c r="I130" s="123"/>
      <c r="J130" s="800" t="s">
        <v>481</v>
      </c>
      <c r="K130" s="801"/>
      <c r="L130" s="800" t="s">
        <v>482</v>
      </c>
      <c r="M130" s="801"/>
      <c r="N130" s="123"/>
      <c r="O130" s="123"/>
      <c r="P130" s="123"/>
      <c r="Q130" s="123"/>
      <c r="R130" s="123"/>
      <c r="S130" s="123"/>
      <c r="T130" s="195"/>
    </row>
    <row r="131" spans="2:20" ht="14.5">
      <c r="B131" s="17" t="s">
        <v>604</v>
      </c>
      <c r="D131"/>
      <c r="E131"/>
      <c r="F131" s="364"/>
      <c r="G131"/>
      <c r="H131"/>
      <c r="I131" s="123"/>
      <c r="J131" s="800" t="s">
        <v>812</v>
      </c>
      <c r="K131" s="802">
        <f>0.16+0.13+0.05</f>
        <v>0.34</v>
      </c>
      <c r="L131" s="800" t="s">
        <v>812</v>
      </c>
      <c r="M131" s="802">
        <f>0.16+0.16+0.11</f>
        <v>0.43</v>
      </c>
      <c r="N131" s="169"/>
      <c r="O131" s="169"/>
      <c r="P131" s="168"/>
      <c r="Q131" s="123"/>
      <c r="R131" s="123"/>
      <c r="S131" s="123"/>
      <c r="T131" s="195"/>
    </row>
    <row r="132" spans="2:20" ht="14.5">
      <c r="B132" s="17" t="s">
        <v>605</v>
      </c>
      <c r="D132"/>
      <c r="E132"/>
      <c r="F132" s="364"/>
      <c r="G132"/>
      <c r="H132"/>
      <c r="I132" s="123"/>
      <c r="J132" s="800" t="s">
        <v>813</v>
      </c>
      <c r="K132" s="802">
        <f>1-K131</f>
        <v>0.65999999999999992</v>
      </c>
      <c r="L132" s="800" t="s">
        <v>813</v>
      </c>
      <c r="M132" s="802">
        <f>1-M131</f>
        <v>0.57000000000000006</v>
      </c>
      <c r="N132" s="169"/>
      <c r="O132" s="175"/>
      <c r="P132" s="168"/>
      <c r="Q132" s="123"/>
      <c r="R132" s="123"/>
      <c r="S132" s="123"/>
      <c r="T132" s="195"/>
    </row>
    <row r="133" spans="2:20" ht="14.5">
      <c r="B133" s="17" t="s">
        <v>606</v>
      </c>
      <c r="D133"/>
      <c r="E133"/>
      <c r="F133" s="364"/>
      <c r="G133"/>
      <c r="H133"/>
      <c r="I133" s="123"/>
      <c r="J133" s="800" t="s">
        <v>483</v>
      </c>
      <c r="K133" s="802">
        <v>0.16400000000000001</v>
      </c>
      <c r="L133" s="800" t="s">
        <v>483</v>
      </c>
      <c r="M133" s="802">
        <v>0.16400000000000001</v>
      </c>
      <c r="N133" s="169"/>
      <c r="O133" s="175"/>
      <c r="P133" s="168"/>
      <c r="Q133" s="123"/>
      <c r="R133" s="123"/>
      <c r="S133" s="123"/>
      <c r="T133" s="195"/>
    </row>
    <row r="134" spans="2:20" ht="14.5">
      <c r="B134" s="17" t="s">
        <v>607</v>
      </c>
      <c r="D134"/>
      <c r="E134"/>
      <c r="F134" s="364"/>
      <c r="G134"/>
      <c r="H134"/>
      <c r="I134" s="123"/>
      <c r="J134" s="800" t="s">
        <v>484</v>
      </c>
      <c r="K134" s="802">
        <v>0.54</v>
      </c>
      <c r="L134" s="800" t="s">
        <v>484</v>
      </c>
      <c r="M134" s="802">
        <v>0.54</v>
      </c>
      <c r="N134" s="123"/>
      <c r="O134" s="170"/>
      <c r="P134" s="169"/>
      <c r="Q134" s="123"/>
      <c r="R134" s="123"/>
      <c r="S134" s="123"/>
      <c r="T134" s="195"/>
    </row>
    <row r="135" spans="2:20" ht="14.5">
      <c r="B135" s="17" t="s">
        <v>608</v>
      </c>
      <c r="D135"/>
      <c r="E135"/>
      <c r="F135" s="364"/>
      <c r="G135"/>
      <c r="H135"/>
      <c r="I135" s="123"/>
      <c r="J135" s="800" t="s">
        <v>454</v>
      </c>
      <c r="K135" s="802">
        <v>0.71199999999999997</v>
      </c>
      <c r="L135" s="800" t="s">
        <v>454</v>
      </c>
      <c r="M135" s="802">
        <v>0.71199999999999997</v>
      </c>
      <c r="N135" s="169"/>
      <c r="O135" s="175"/>
      <c r="P135" s="168"/>
      <c r="Q135" s="123"/>
      <c r="R135" s="123"/>
      <c r="S135" s="123"/>
      <c r="T135" s="195"/>
    </row>
    <row r="136" spans="2:20" ht="14.5">
      <c r="B136" s="17" t="s">
        <v>609</v>
      </c>
      <c r="D136"/>
      <c r="E136"/>
      <c r="F136" s="364"/>
      <c r="G136"/>
      <c r="H136"/>
      <c r="I136" s="123"/>
      <c r="J136" s="800" t="s">
        <v>485</v>
      </c>
      <c r="K136" s="802">
        <v>0.23400000000000001</v>
      </c>
      <c r="L136" s="800" t="s">
        <v>485</v>
      </c>
      <c r="M136" s="802">
        <v>0.23400000000000001</v>
      </c>
      <c r="N136" s="169"/>
      <c r="O136" s="175"/>
      <c r="P136" s="168"/>
      <c r="Q136" s="123"/>
      <c r="R136" s="123"/>
      <c r="S136" s="123"/>
      <c r="T136" s="195"/>
    </row>
    <row r="137" spans="2:20" ht="14.5">
      <c r="B137" s="17" t="s">
        <v>610</v>
      </c>
      <c r="D137"/>
      <c r="E137"/>
      <c r="F137" s="364"/>
      <c r="G137"/>
      <c r="H137"/>
      <c r="I137" s="123"/>
      <c r="J137" s="123"/>
      <c r="K137" s="123"/>
      <c r="L137" s="123"/>
      <c r="M137" s="123"/>
      <c r="N137" s="123"/>
      <c r="O137" s="123"/>
      <c r="P137" s="123"/>
      <c r="Q137" s="123"/>
      <c r="R137" s="123"/>
      <c r="S137" s="123"/>
      <c r="T137" s="195"/>
    </row>
    <row r="138" spans="2:20" ht="14.5">
      <c r="B138" s="17" t="s">
        <v>611</v>
      </c>
      <c r="D138"/>
      <c r="E138"/>
      <c r="F138" s="364"/>
      <c r="G138"/>
      <c r="H138"/>
      <c r="I138" s="123"/>
      <c r="J138" s="123"/>
      <c r="K138" s="123"/>
      <c r="L138" s="123"/>
      <c r="M138" s="123"/>
      <c r="N138" s="123"/>
      <c r="O138" s="123"/>
      <c r="P138" s="123"/>
      <c r="Q138" s="123"/>
      <c r="R138" s="123"/>
      <c r="S138" s="123"/>
      <c r="T138" s="195"/>
    </row>
    <row r="139" spans="2:20" ht="14.5">
      <c r="B139" s="17" t="s">
        <v>612</v>
      </c>
      <c r="D139" s="22"/>
      <c r="E139" s="123"/>
      <c r="F139" s="365"/>
      <c r="G139" s="22"/>
      <c r="H139"/>
      <c r="I139" s="123"/>
      <c r="J139" s="123"/>
      <c r="K139" s="123"/>
      <c r="L139" s="123"/>
      <c r="M139" s="123"/>
      <c r="N139" s="123"/>
      <c r="O139" s="123"/>
      <c r="P139" s="123"/>
      <c r="Q139" s="123"/>
      <c r="R139" s="123"/>
      <c r="S139" s="123"/>
      <c r="T139" s="195"/>
    </row>
    <row r="140" spans="2:20" ht="14.5">
      <c r="B140" s="17" t="s">
        <v>613</v>
      </c>
      <c r="D140" s="123"/>
      <c r="E140" s="123"/>
      <c r="F140" s="123"/>
      <c r="G140"/>
      <c r="H140"/>
      <c r="I140" s="123"/>
      <c r="J140" s="123"/>
      <c r="K140" s="123"/>
      <c r="L140" s="123"/>
      <c r="M140" s="123"/>
      <c r="N140" s="123"/>
      <c r="O140" s="123"/>
      <c r="P140" s="123"/>
      <c r="Q140" s="123"/>
      <c r="R140" s="123"/>
      <c r="S140" s="123"/>
      <c r="T140" s="195"/>
    </row>
    <row r="141" spans="2:20" ht="14.5">
      <c r="B141" s="17" t="s">
        <v>614</v>
      </c>
      <c r="D141" s="194" t="s">
        <v>283</v>
      </c>
      <c r="E141"/>
      <c r="F141"/>
      <c r="G141"/>
      <c r="H141"/>
      <c r="I141" s="123"/>
      <c r="J141" s="123"/>
      <c r="K141" s="123"/>
      <c r="L141" s="123"/>
      <c r="M141" s="123"/>
      <c r="N141" s="123"/>
      <c r="O141" s="123"/>
      <c r="P141" s="123"/>
      <c r="Q141" s="123"/>
      <c r="R141" s="123"/>
      <c r="S141" s="123"/>
      <c r="T141" s="195"/>
    </row>
    <row r="142" spans="2:20" ht="14.5">
      <c r="B142" s="17" t="s">
        <v>615</v>
      </c>
      <c r="D142" s="893" t="s">
        <v>814</v>
      </c>
      <c r="E142" s="893" t="s">
        <v>76</v>
      </c>
      <c r="F142" s="537" t="s">
        <v>815</v>
      </c>
      <c r="G142" s="537" t="s">
        <v>816</v>
      </c>
      <c r="H142" s="537" t="s">
        <v>817</v>
      </c>
      <c r="I142" s="537" t="s">
        <v>818</v>
      </c>
      <c r="J142" s="537" t="s">
        <v>819</v>
      </c>
      <c r="K142" s="537" t="s">
        <v>820</v>
      </c>
      <c r="L142" s="537" t="s">
        <v>821</v>
      </c>
      <c r="M142" s="894" t="s">
        <v>822</v>
      </c>
      <c r="N142" s="537" t="s">
        <v>823</v>
      </c>
      <c r="O142" s="537" t="s">
        <v>824</v>
      </c>
      <c r="P142" s="537" t="s">
        <v>825</v>
      </c>
      <c r="Q142" s="537" t="s">
        <v>826</v>
      </c>
      <c r="R142" s="537" t="s">
        <v>827</v>
      </c>
      <c r="S142" s="537" t="s">
        <v>828</v>
      </c>
      <c r="T142" s="537"/>
    </row>
    <row r="143" spans="2:20" ht="14.5">
      <c r="B143" s="17" t="s">
        <v>616</v>
      </c>
      <c r="D143" s="895" t="s">
        <v>829</v>
      </c>
      <c r="E143" s="462">
        <v>1</v>
      </c>
      <c r="F143" s="896"/>
      <c r="G143" s="897">
        <f>(((2.2*0.83)-(0.5*0.95))*1.6*2.39*365*0.7)*8.3*1*(86-60.9)/0.98/3412</f>
        <v>82.239574141852302</v>
      </c>
      <c r="H143" s="898">
        <f>G143/(2.39*1.6/60*365)*(0.13*1.6/180)</f>
        <v>4.0851892926924592E-3</v>
      </c>
      <c r="I143" s="800">
        <v>0</v>
      </c>
      <c r="J143" s="800" t="s">
        <v>830</v>
      </c>
      <c r="K143" s="475">
        <f>M131</f>
        <v>0.43</v>
      </c>
      <c r="L143" s="475">
        <f>M132</f>
        <v>0.57000000000000006</v>
      </c>
      <c r="M143" s="899">
        <v>1</v>
      </c>
      <c r="N143" s="899">
        <f>E143*G143*K143*M143</f>
        <v>35.36301688099649</v>
      </c>
      <c r="O143" s="898">
        <f>E143*H143*K143*M143</f>
        <v>1.7566313958577574E-3</v>
      </c>
      <c r="P143" s="898">
        <f>E143*I143*L143*M143</f>
        <v>0</v>
      </c>
      <c r="Q143" s="900" t="s">
        <v>831</v>
      </c>
      <c r="R143" s="900" t="s">
        <v>832</v>
      </c>
      <c r="S143" s="900">
        <v>10</v>
      </c>
      <c r="T143" s="462"/>
    </row>
    <row r="144" spans="2:20" ht="14.5">
      <c r="B144" s="17" t="s">
        <v>617</v>
      </c>
      <c r="D144" s="901" t="s">
        <v>833</v>
      </c>
      <c r="E144" s="462">
        <v>1</v>
      </c>
      <c r="F144" s="896"/>
      <c r="G144" s="902">
        <f>(((2.2*0.83)-(1.5*0.95))*4.5*2.39*365*0.5)*8.3*1*(93-60.9)/0.98/3412</f>
        <v>62.714170551602137</v>
      </c>
      <c r="H144" s="800">
        <f>G144/(2.39*4.5/60*365)*(0.13*4.5/180)</f>
        <v>3.1152794832763134E-3</v>
      </c>
      <c r="I144" s="800">
        <v>0</v>
      </c>
      <c r="J144" s="800" t="s">
        <v>830</v>
      </c>
      <c r="K144" s="475">
        <f>M131</f>
        <v>0.43</v>
      </c>
      <c r="L144" s="475">
        <f>M132</f>
        <v>0.57000000000000006</v>
      </c>
      <c r="M144" s="475">
        <v>1</v>
      </c>
      <c r="N144" s="475">
        <f>E144*G144*K144*M144</f>
        <v>26.967093337188917</v>
      </c>
      <c r="O144" s="800">
        <f>E144*H144*K144*M144</f>
        <v>1.3395701778088148E-3</v>
      </c>
      <c r="P144" s="800">
        <f>E144*I144*L144*M144</f>
        <v>0</v>
      </c>
      <c r="Q144" s="462" t="s">
        <v>834</v>
      </c>
      <c r="R144" s="462" t="s">
        <v>835</v>
      </c>
      <c r="S144" s="462">
        <v>10</v>
      </c>
      <c r="T144" s="903" t="s">
        <v>836</v>
      </c>
    </row>
    <row r="145" spans="2:36" ht="14.5">
      <c r="B145" s="17" t="s">
        <v>618</v>
      </c>
      <c r="D145" s="895" t="s">
        <v>837</v>
      </c>
      <c r="E145" s="462">
        <v>1</v>
      </c>
      <c r="F145" s="896"/>
      <c r="G145" s="897">
        <f>((2.5-1.5)*7.8*2.39*0.6*365/1.6)*8.3*1*(105-60.9)/0.98/3412</f>
        <v>279.3175470764948</v>
      </c>
      <c r="H145" s="898">
        <f>G145/((7.8*2.39*0.6)/(60*1.6)*365)*0.00371</f>
        <v>2.436726260257914E-2</v>
      </c>
      <c r="I145" s="800">
        <v>0</v>
      </c>
      <c r="J145" s="800" t="s">
        <v>830</v>
      </c>
      <c r="K145" s="475">
        <f>M131</f>
        <v>0.43</v>
      </c>
      <c r="L145" s="475">
        <f>M132</f>
        <v>0.57000000000000006</v>
      </c>
      <c r="M145" s="899">
        <v>1</v>
      </c>
      <c r="N145" s="899">
        <f>E145*G145*K145*M145</f>
        <v>120.10654524289276</v>
      </c>
      <c r="O145" s="898">
        <f>E145*H145*K145*M145</f>
        <v>1.0477922919109031E-2</v>
      </c>
      <c r="P145" s="898">
        <f>E145*I145*L145*M145</f>
        <v>0</v>
      </c>
      <c r="Q145" s="900" t="s">
        <v>838</v>
      </c>
      <c r="R145" s="900" t="s">
        <v>839</v>
      </c>
      <c r="S145" s="900">
        <v>10</v>
      </c>
      <c r="T145" s="462"/>
    </row>
    <row r="146" spans="2:36" ht="14.5">
      <c r="B146" s="17" t="s">
        <v>619</v>
      </c>
      <c r="D146" s="3"/>
      <c r="E146" s="3"/>
      <c r="F146" s="3"/>
      <c r="G146" s="3"/>
      <c r="H146" s="3"/>
      <c r="I146" s="3"/>
      <c r="J146" s="3"/>
      <c r="K146" s="3"/>
      <c r="L146" s="3"/>
      <c r="M146" s="3"/>
      <c r="N146" s="3"/>
      <c r="O146" s="3"/>
      <c r="P146" s="3"/>
      <c r="Q146" s="3"/>
      <c r="R146" s="3"/>
      <c r="S146" s="3"/>
      <c r="T146" s="2"/>
      <c r="U146" s="2"/>
      <c r="V146" s="2"/>
      <c r="W146" s="2"/>
      <c r="X146" s="2"/>
      <c r="Y146" s="2"/>
      <c r="Z146" s="2"/>
      <c r="AA146" s="2"/>
      <c r="AB146" s="2"/>
      <c r="AC146" s="2"/>
      <c r="AD146" s="2"/>
      <c r="AE146" s="2"/>
      <c r="AF146" s="2"/>
      <c r="AG146" s="2"/>
      <c r="AH146" s="2"/>
      <c r="AI146" s="2"/>
      <c r="AJ146" s="2"/>
    </row>
    <row r="147" spans="2:36" ht="14.5">
      <c r="B147" s="17" t="s">
        <v>620</v>
      </c>
      <c r="D147" s="198"/>
      <c r="E147"/>
      <c r="F147"/>
      <c r="G147"/>
      <c r="H147"/>
      <c r="I147" s="123"/>
      <c r="J147" s="123"/>
      <c r="K147" s="123"/>
      <c r="L147" s="123"/>
      <c r="M147" s="123"/>
      <c r="N147" s="199"/>
      <c r="O147" s="199"/>
      <c r="P147" s="360"/>
      <c r="Q147" s="123"/>
      <c r="R147" s="123"/>
      <c r="S147" s="208"/>
      <c r="T147" s="123"/>
    </row>
    <row r="148" spans="2:36" ht="14.5">
      <c r="B148" s="17" t="s">
        <v>621</v>
      </c>
      <c r="D148" s="22" t="s">
        <v>285</v>
      </c>
      <c r="E148"/>
      <c r="F148"/>
      <c r="G148"/>
      <c r="H148"/>
      <c r="I148" s="123"/>
      <c r="J148" s="123"/>
      <c r="K148" s="123"/>
      <c r="L148" s="123"/>
      <c r="M148" s="123"/>
      <c r="N148" s="123"/>
      <c r="O148" s="123"/>
      <c r="P148" s="361"/>
      <c r="Q148" s="123"/>
      <c r="R148" s="123"/>
      <c r="S148" s="123"/>
      <c r="T148" s="123"/>
    </row>
    <row r="149" spans="2:36" ht="14.5">
      <c r="B149" s="17" t="s">
        <v>622</v>
      </c>
      <c r="D149" s="893" t="s">
        <v>814</v>
      </c>
      <c r="E149" s="893" t="s">
        <v>76</v>
      </c>
      <c r="F149" s="537" t="s">
        <v>815</v>
      </c>
      <c r="G149" s="537" t="s">
        <v>816</v>
      </c>
      <c r="H149" s="537" t="s">
        <v>817</v>
      </c>
      <c r="I149" s="537" t="s">
        <v>818</v>
      </c>
      <c r="J149" s="537" t="s">
        <v>819</v>
      </c>
      <c r="K149" s="537" t="s">
        <v>820</v>
      </c>
      <c r="L149" s="537" t="s">
        <v>821</v>
      </c>
      <c r="M149" s="894" t="s">
        <v>822</v>
      </c>
      <c r="N149" s="537" t="s">
        <v>823</v>
      </c>
      <c r="O149" s="537" t="s">
        <v>824</v>
      </c>
      <c r="P149" s="904" t="s">
        <v>825</v>
      </c>
      <c r="Q149" s="537" t="s">
        <v>826</v>
      </c>
      <c r="R149" s="537" t="s">
        <v>827</v>
      </c>
      <c r="S149" s="537" t="s">
        <v>828</v>
      </c>
      <c r="T149" s="537"/>
    </row>
    <row r="150" spans="2:36" ht="14.5">
      <c r="B150" s="17" t="s">
        <v>623</v>
      </c>
      <c r="D150" s="895" t="s">
        <v>829</v>
      </c>
      <c r="E150" s="462">
        <v>1</v>
      </c>
      <c r="F150" s="896"/>
      <c r="G150" s="897">
        <f>(((2.2*0.83)-(0.5*0.95))*1.6*2.39*365*0.7)*8.3*1*(86-60.9)/0.98/3412</f>
        <v>82.239574141852302</v>
      </c>
      <c r="H150" s="898">
        <f>G150/(2.39*1.6/60*365)*(0.13*1.6/180)</f>
        <v>4.0851892926924592E-3</v>
      </c>
      <c r="I150" s="898">
        <f>(((2.2*0.83)-(0.5*0.95))*1.6*2.39*365*0.7)*8.3*1*(86-60.9)/0.8/1000000*10</f>
        <v>3.4373674804070005</v>
      </c>
      <c r="J150" s="800" t="s">
        <v>830</v>
      </c>
      <c r="K150" s="475">
        <f>K131</f>
        <v>0.34</v>
      </c>
      <c r="L150" s="475">
        <f>K132</f>
        <v>0.65999999999999992</v>
      </c>
      <c r="M150" s="899">
        <v>1</v>
      </c>
      <c r="N150" s="899">
        <f>E150*G150*K150*M150</f>
        <v>27.961455208229786</v>
      </c>
      <c r="O150" s="898">
        <f>E150*H150*K150*M150</f>
        <v>1.3889643595154362E-3</v>
      </c>
      <c r="P150" s="898">
        <f>E150*I150*L150*M150</f>
        <v>2.2686625370686202</v>
      </c>
      <c r="Q150" s="900" t="s">
        <v>834</v>
      </c>
      <c r="R150" s="900" t="s">
        <v>832</v>
      </c>
      <c r="S150" s="900">
        <v>10</v>
      </c>
      <c r="T150" s="462"/>
    </row>
    <row r="151" spans="2:36" ht="14.5">
      <c r="B151" s="17" t="s">
        <v>624</v>
      </c>
      <c r="D151" s="901" t="s">
        <v>833</v>
      </c>
      <c r="E151" s="462">
        <v>1</v>
      </c>
      <c r="F151" s="896"/>
      <c r="G151" s="902">
        <f>(((2.2*0.83)-(1.5*0.95))*4.5*2.39*365*0.5)*8.3*1*(93-60.9)/0.98/3412</f>
        <v>62.714170551602137</v>
      </c>
      <c r="H151" s="800">
        <f>G151/(2.39*4.5/60*365)*(0.13*4.5/180)</f>
        <v>3.1152794832763134E-3</v>
      </c>
      <c r="I151" s="800">
        <f>(((2.2*0.83)-(1.5*0.95))*4.5*2.39*365*0.5)*8.3*1*(93-60.9)/0.8/1000000*10</f>
        <v>2.6212641865453139</v>
      </c>
      <c r="J151" s="800" t="s">
        <v>830</v>
      </c>
      <c r="K151" s="475">
        <f>K131</f>
        <v>0.34</v>
      </c>
      <c r="L151" s="475">
        <f>K132</f>
        <v>0.65999999999999992</v>
      </c>
      <c r="M151" s="475">
        <v>1</v>
      </c>
      <c r="N151" s="475">
        <f>E151*G151*K151*M151</f>
        <v>21.322817987544727</v>
      </c>
      <c r="O151" s="800">
        <f>E151*H151*K151*M151</f>
        <v>1.0591950243139467E-3</v>
      </c>
      <c r="P151" s="800">
        <f>E151*I151*L151*M151</f>
        <v>1.7300343631199069</v>
      </c>
      <c r="Q151" s="462" t="s">
        <v>834</v>
      </c>
      <c r="R151" s="462" t="s">
        <v>835</v>
      </c>
      <c r="S151" s="462">
        <v>10</v>
      </c>
      <c r="T151" s="462" t="s">
        <v>836</v>
      </c>
    </row>
    <row r="152" spans="2:36" ht="14.5">
      <c r="B152" s="17" t="s">
        <v>625</v>
      </c>
      <c r="D152" s="895" t="s">
        <v>837</v>
      </c>
      <c r="E152" s="462">
        <v>1</v>
      </c>
      <c r="F152" s="896"/>
      <c r="G152" s="897">
        <f>((2.5-1.5)*7.8*2.39*0.6*365/1.6)*8.3*1*(105-60.9)/0.98/3412</f>
        <v>279.3175470764948</v>
      </c>
      <c r="H152" s="898">
        <f>G152/((7.8*2.39*0.6)/(60*1.6)*365)*0.00371</f>
        <v>2.436726260257914E-2</v>
      </c>
      <c r="I152" s="898">
        <f>((2.5-1.5)*7.8*2.39*0.6*365/1.6)*8.3*1*(105-60.9)/0.8/1000000*10</f>
        <v>11.67463551515625</v>
      </c>
      <c r="J152" s="800" t="s">
        <v>830</v>
      </c>
      <c r="K152" s="475">
        <f>K131</f>
        <v>0.34</v>
      </c>
      <c r="L152" s="475">
        <f>K132</f>
        <v>0.65999999999999992</v>
      </c>
      <c r="M152" s="899">
        <v>1</v>
      </c>
      <c r="N152" s="899">
        <f>E152*G152*K152*M152</f>
        <v>94.96796600600824</v>
      </c>
      <c r="O152" s="898">
        <f>E152*H152*K152*M152</f>
        <v>8.2848692848769088E-3</v>
      </c>
      <c r="P152" s="898">
        <f>E152*I152*L152*M152</f>
        <v>7.7052594400031245</v>
      </c>
      <c r="Q152" s="900" t="s">
        <v>838</v>
      </c>
      <c r="R152" s="900" t="s">
        <v>839</v>
      </c>
      <c r="S152" s="900">
        <v>10</v>
      </c>
      <c r="T152" s="462"/>
    </row>
    <row r="153" spans="2:36" ht="14.5">
      <c r="B153" s="17" t="s">
        <v>626</v>
      </c>
      <c r="D153" s="3"/>
      <c r="E153" s="3"/>
      <c r="F153" s="3"/>
      <c r="G153" s="3"/>
      <c r="H153" s="3"/>
      <c r="I153" s="3"/>
      <c r="J153" s="3"/>
      <c r="K153" s="3"/>
      <c r="L153" s="3"/>
      <c r="M153" s="3"/>
      <c r="N153" s="3"/>
      <c r="O153" s="3"/>
      <c r="P153" s="3"/>
      <c r="Q153" s="3"/>
      <c r="R153" s="3"/>
      <c r="S153" s="3"/>
      <c r="T153" s="2"/>
      <c r="U153" s="2"/>
      <c r="V153" s="2"/>
      <c r="W153" s="2"/>
      <c r="X153" s="2"/>
      <c r="Y153" s="2"/>
      <c r="Z153" s="2"/>
      <c r="AA153" s="2"/>
      <c r="AB153" s="2"/>
      <c r="AC153" s="2"/>
      <c r="AD153" s="2"/>
      <c r="AE153" s="2"/>
      <c r="AF153" s="2"/>
      <c r="AG153" s="2"/>
      <c r="AH153" s="2"/>
      <c r="AI153" s="2"/>
      <c r="AJ153" s="2"/>
    </row>
    <row r="154" spans="2:36" ht="14.5">
      <c r="B154" s="17" t="s">
        <v>627</v>
      </c>
    </row>
    <row r="155" spans="2:36" ht="14.5">
      <c r="B155" s="17" t="s">
        <v>628</v>
      </c>
    </row>
    <row r="156" spans="2:36" ht="14.5">
      <c r="B156" s="17" t="s">
        <v>629</v>
      </c>
    </row>
    <row r="157" spans="2:36" ht="14.5">
      <c r="B157" s="17" t="s">
        <v>630</v>
      </c>
    </row>
    <row r="158" spans="2:36" ht="14.5">
      <c r="B158" s="17" t="s">
        <v>631</v>
      </c>
      <c r="D158" s="317" t="s">
        <v>840</v>
      </c>
      <c r="E158" s="317"/>
    </row>
    <row r="159" spans="2:36" ht="14.5">
      <c r="B159" s="17" t="s">
        <v>632</v>
      </c>
      <c r="D159" s="900" t="s">
        <v>841</v>
      </c>
      <c r="E159" s="900" t="s">
        <v>842</v>
      </c>
    </row>
    <row r="160" spans="2:36" ht="14.5">
      <c r="B160" s="17" t="s">
        <v>633</v>
      </c>
      <c r="D160" s="900">
        <v>5.95</v>
      </c>
      <c r="E160" s="900" t="s">
        <v>843</v>
      </c>
    </row>
    <row r="161" spans="2:5" ht="14.5">
      <c r="B161" s="17" t="s">
        <v>634</v>
      </c>
      <c r="D161" s="900">
        <v>8.9499999999999993</v>
      </c>
      <c r="E161" s="900" t="s">
        <v>844</v>
      </c>
    </row>
    <row r="162" spans="2:5" ht="14.5">
      <c r="B162" s="17" t="s">
        <v>635</v>
      </c>
      <c r="D162" s="900">
        <v>9.4499999999999993</v>
      </c>
      <c r="E162" s="900" t="s">
        <v>845</v>
      </c>
    </row>
    <row r="163" spans="2:5" ht="14.5">
      <c r="B163" s="17" t="s">
        <v>584</v>
      </c>
      <c r="D163" s="905">
        <f>AVERAGE(D160:D162)</f>
        <v>8.1166666666666654</v>
      </c>
      <c r="E163" s="900" t="s">
        <v>846</v>
      </c>
    </row>
    <row r="164" spans="2:5" ht="14.5">
      <c r="B164" s="17" t="s">
        <v>636</v>
      </c>
      <c r="D164"/>
      <c r="E164"/>
    </row>
    <row r="165" spans="2:5" ht="14.5">
      <c r="B165" s="17" t="s">
        <v>637</v>
      </c>
      <c r="D165" s="317" t="s">
        <v>847</v>
      </c>
      <c r="E165"/>
    </row>
    <row r="166" spans="2:5" ht="14.5">
      <c r="B166" s="17" t="s">
        <v>638</v>
      </c>
      <c r="D166" s="900" t="s">
        <v>841</v>
      </c>
      <c r="E166" s="900" t="s">
        <v>842</v>
      </c>
    </row>
    <row r="167" spans="2:5" ht="14.5">
      <c r="B167" s="17" t="s">
        <v>639</v>
      </c>
      <c r="D167" s="900">
        <v>1.86</v>
      </c>
      <c r="E167" s="906" t="s">
        <v>848</v>
      </c>
    </row>
    <row r="168" spans="2:5" ht="14.5">
      <c r="B168" s="16" t="s">
        <v>525</v>
      </c>
      <c r="D168" s="900">
        <v>1.05</v>
      </c>
      <c r="E168" s="906" t="s">
        <v>849</v>
      </c>
    </row>
    <row r="169" spans="2:5" ht="14.5">
      <c r="B169" s="17" t="s">
        <v>640</v>
      </c>
      <c r="D169" s="900">
        <v>2.2599999999999998</v>
      </c>
      <c r="E169" s="906" t="s">
        <v>850</v>
      </c>
    </row>
    <row r="170" spans="2:5" ht="14.5">
      <c r="B170" s="16" t="s">
        <v>527</v>
      </c>
      <c r="D170" s="905">
        <f>AVERAGE(D167:D169)</f>
        <v>1.7233333333333334</v>
      </c>
      <c r="E170" s="900" t="s">
        <v>846</v>
      </c>
    </row>
    <row r="171" spans="2:5" ht="14.5">
      <c r="B171" s="17" t="s">
        <v>641</v>
      </c>
      <c r="D171" s="17"/>
      <c r="E171" s="123"/>
    </row>
    <row r="172" spans="2:5" ht="14.5">
      <c r="B172" s="17" t="s">
        <v>642</v>
      </c>
      <c r="D172" s="17"/>
      <c r="E172" s="123"/>
    </row>
    <row r="173" spans="2:5" ht="14.5">
      <c r="B173" s="17" t="s">
        <v>643</v>
      </c>
      <c r="D173" s="895" t="s">
        <v>833</v>
      </c>
      <c r="E173" s="900" t="s">
        <v>842</v>
      </c>
    </row>
    <row r="174" spans="2:5" ht="14.5">
      <c r="B174" s="17" t="s">
        <v>644</v>
      </c>
      <c r="D174" s="907">
        <v>5.28</v>
      </c>
      <c r="E174" s="908" t="s">
        <v>851</v>
      </c>
    </row>
    <row r="175" spans="2:5" ht="14.5">
      <c r="B175" s="17" t="s">
        <v>645</v>
      </c>
      <c r="D175" s="907">
        <v>3.5</v>
      </c>
      <c r="E175" s="908" t="s">
        <v>836</v>
      </c>
    </row>
    <row r="176" spans="2:5" ht="14.5">
      <c r="B176" s="17" t="s">
        <v>584</v>
      </c>
      <c r="D176" s="907">
        <v>3.99</v>
      </c>
      <c r="E176" s="908" t="s">
        <v>852</v>
      </c>
    </row>
    <row r="177" spans="2:5" ht="14.5">
      <c r="B177" s="17" t="s">
        <v>646</v>
      </c>
      <c r="D177" s="909">
        <f>AVERAGE(D174:D176)</f>
        <v>4.2566666666666668</v>
      </c>
      <c r="E177" s="908" t="s">
        <v>846</v>
      </c>
    </row>
    <row r="178" spans="2:5" ht="14.5">
      <c r="B178" s="16" t="s">
        <v>647</v>
      </c>
    </row>
    <row r="179" spans="2:5" ht="14.5">
      <c r="B179" s="17" t="s">
        <v>648</v>
      </c>
    </row>
    <row r="180" spans="2:5" ht="14.5">
      <c r="B180" s="17" t="s">
        <v>649</v>
      </c>
    </row>
    <row r="181" spans="2:5" ht="14.5">
      <c r="B181" s="17" t="s">
        <v>650</v>
      </c>
    </row>
    <row r="182" spans="2:5" ht="14.5">
      <c r="B182" s="17" t="s">
        <v>651</v>
      </c>
    </row>
    <row r="183" spans="2:5" ht="14.5">
      <c r="B183" s="16" t="s">
        <v>652</v>
      </c>
    </row>
    <row r="184" spans="2:5" ht="14.5">
      <c r="B184" s="17" t="s">
        <v>653</v>
      </c>
    </row>
    <row r="185" spans="2:5" ht="14.5">
      <c r="B185" s="17" t="s">
        <v>654</v>
      </c>
    </row>
    <row r="186" spans="2:5" ht="14.5">
      <c r="B186" s="17" t="s">
        <v>655</v>
      </c>
    </row>
    <row r="187" spans="2:5" ht="14.5">
      <c r="B187" s="17" t="s">
        <v>656</v>
      </c>
    </row>
    <row r="188" spans="2:5" ht="14.5">
      <c r="B188" s="17" t="s">
        <v>657</v>
      </c>
    </row>
    <row r="189" spans="2:5" ht="14.5">
      <c r="B189" s="17" t="s">
        <v>658</v>
      </c>
    </row>
    <row r="190" spans="2:5" ht="14.5">
      <c r="B190" s="17" t="s">
        <v>659</v>
      </c>
    </row>
    <row r="191" spans="2:5" ht="14.5">
      <c r="B191" s="17" t="s">
        <v>584</v>
      </c>
    </row>
    <row r="192" spans="2:5" ht="14.5">
      <c r="B192" s="16" t="s">
        <v>660</v>
      </c>
    </row>
    <row r="193" spans="2:2" ht="14.5">
      <c r="B193" s="17" t="s">
        <v>661</v>
      </c>
    </row>
    <row r="194" spans="2:2" ht="14.5">
      <c r="B194" s="17" t="s">
        <v>662</v>
      </c>
    </row>
    <row r="195" spans="2:2" ht="14.5">
      <c r="B195" s="17" t="s">
        <v>663</v>
      </c>
    </row>
    <row r="196" spans="2:2" ht="14.5">
      <c r="B196" s="17" t="s">
        <v>664</v>
      </c>
    </row>
    <row r="197" spans="2:2" ht="14.5">
      <c r="B197" s="17" t="s">
        <v>641</v>
      </c>
    </row>
    <row r="198" spans="2:2" ht="14.5">
      <c r="B198" s="17" t="s">
        <v>665</v>
      </c>
    </row>
    <row r="199" spans="2:2" ht="14.5">
      <c r="B199" s="17" t="s">
        <v>666</v>
      </c>
    </row>
    <row r="200" spans="2:2" ht="14.5">
      <c r="B200" s="17" t="s">
        <v>667</v>
      </c>
    </row>
    <row r="201" spans="2:2" ht="14.5">
      <c r="B201" s="17" t="s">
        <v>668</v>
      </c>
    </row>
    <row r="202" spans="2:2" ht="14.5">
      <c r="B202" s="17" t="s">
        <v>669</v>
      </c>
    </row>
    <row r="203" spans="2:2" ht="14.5">
      <c r="B203" s="17" t="s">
        <v>670</v>
      </c>
    </row>
    <row r="204" spans="2:2" ht="14.5">
      <c r="B204" s="17" t="s">
        <v>671</v>
      </c>
    </row>
    <row r="205" spans="2:2" ht="14.5">
      <c r="B205" s="17" t="s">
        <v>672</v>
      </c>
    </row>
    <row r="206" spans="2:2" ht="14.5">
      <c r="B206" s="17" t="s">
        <v>673</v>
      </c>
    </row>
    <row r="207" spans="2:2" ht="14.5">
      <c r="B207" s="17" t="s">
        <v>674</v>
      </c>
    </row>
    <row r="208" spans="2:2" ht="14.5">
      <c r="B208" s="17" t="s">
        <v>675</v>
      </c>
    </row>
    <row r="209" spans="2:2" ht="14.5">
      <c r="B209" s="17" t="s">
        <v>676</v>
      </c>
    </row>
    <row r="210" spans="2:2" ht="14.5">
      <c r="B210" s="17" t="s">
        <v>584</v>
      </c>
    </row>
    <row r="211" spans="2:2" ht="14.5">
      <c r="B211" s="16" t="s">
        <v>677</v>
      </c>
    </row>
    <row r="212" spans="2:2" ht="14.5">
      <c r="B212" s="17" t="s">
        <v>678</v>
      </c>
    </row>
    <row r="213" spans="2:2" ht="14.5">
      <c r="B213" s="16" t="s">
        <v>531</v>
      </c>
    </row>
    <row r="214" spans="2:2" ht="14.5">
      <c r="B214" s="17" t="s">
        <v>679</v>
      </c>
    </row>
    <row r="215" spans="2:2" ht="14.5">
      <c r="B215" s="17" t="s">
        <v>680</v>
      </c>
    </row>
    <row r="216" spans="2:2" ht="14.5">
      <c r="B216" s="17" t="s">
        <v>681</v>
      </c>
    </row>
    <row r="217" spans="2:2" ht="14.5">
      <c r="B217" s="17" t="s">
        <v>682</v>
      </c>
    </row>
    <row r="218" spans="2:2" ht="14.5">
      <c r="B218" s="17" t="s">
        <v>683</v>
      </c>
    </row>
    <row r="219" spans="2:2" ht="14.5">
      <c r="B219" s="17" t="s">
        <v>684</v>
      </c>
    </row>
    <row r="220" spans="2:2" ht="14.5">
      <c r="B220" s="17" t="s">
        <v>685</v>
      </c>
    </row>
    <row r="221" spans="2:2" ht="14.5">
      <c r="B221" s="17" t="s">
        <v>686</v>
      </c>
    </row>
    <row r="222" spans="2:2" ht="14.5">
      <c r="B222" s="17" t="s">
        <v>584</v>
      </c>
    </row>
    <row r="223" spans="2:2" ht="14.5">
      <c r="B223" s="17" t="s">
        <v>687</v>
      </c>
    </row>
    <row r="224" spans="2:2" ht="14.5">
      <c r="B224" s="17" t="s">
        <v>688</v>
      </c>
    </row>
    <row r="225" spans="2:2" ht="14.5">
      <c r="B225" s="17" t="s">
        <v>689</v>
      </c>
    </row>
    <row r="226" spans="2:2" ht="14.5">
      <c r="B226" s="17" t="s">
        <v>690</v>
      </c>
    </row>
    <row r="227" spans="2:2" ht="14.5">
      <c r="B227" s="17" t="s">
        <v>691</v>
      </c>
    </row>
    <row r="228" spans="2:2" ht="14.5">
      <c r="B228" s="17" t="s">
        <v>692</v>
      </c>
    </row>
    <row r="229" spans="2:2" ht="14.5">
      <c r="B229" s="17" t="s">
        <v>693</v>
      </c>
    </row>
    <row r="230" spans="2:2" ht="14.5">
      <c r="B230" s="17" t="s">
        <v>694</v>
      </c>
    </row>
    <row r="231" spans="2:2" ht="14.5">
      <c r="B231" s="16" t="s">
        <v>533</v>
      </c>
    </row>
    <row r="232" spans="2:2" ht="14.5">
      <c r="B232" s="17" t="s">
        <v>569</v>
      </c>
    </row>
    <row r="233" spans="2:2" ht="14.5">
      <c r="B233" s="17" t="s">
        <v>571</v>
      </c>
    </row>
    <row r="234" spans="2:2" ht="14.5">
      <c r="B234" s="17" t="s">
        <v>695</v>
      </c>
    </row>
    <row r="235" spans="2:2" ht="14.5">
      <c r="B235" s="17" t="s">
        <v>696</v>
      </c>
    </row>
    <row r="236" spans="2:2" ht="14.5">
      <c r="B236" s="17" t="s">
        <v>697</v>
      </c>
    </row>
    <row r="237" spans="2:2" ht="14.5">
      <c r="B237" s="17" t="s">
        <v>698</v>
      </c>
    </row>
    <row r="238" spans="2:2" ht="14.5">
      <c r="B238" s="17" t="s">
        <v>584</v>
      </c>
    </row>
    <row r="239" spans="2:2" ht="14.5">
      <c r="B239" s="16" t="s">
        <v>535</v>
      </c>
    </row>
    <row r="240" spans="2:2" ht="14.5">
      <c r="B240" s="17" t="s">
        <v>699</v>
      </c>
    </row>
    <row r="241" spans="2:2" ht="14.5">
      <c r="B241" s="16" t="s">
        <v>537</v>
      </c>
    </row>
    <row r="242" spans="2:2" ht="14.5">
      <c r="B242" s="17" t="s">
        <v>700</v>
      </c>
    </row>
    <row r="243" spans="2:2" ht="14.5">
      <c r="B243" s="17" t="s">
        <v>701</v>
      </c>
    </row>
    <row r="244" spans="2:2" ht="14.5">
      <c r="B244" s="17" t="s">
        <v>702</v>
      </c>
    </row>
    <row r="245" spans="2:2" ht="14.5">
      <c r="B245" s="17" t="s">
        <v>703</v>
      </c>
    </row>
    <row r="246" spans="2:2" ht="14.5">
      <c r="B246" s="17" t="s">
        <v>704</v>
      </c>
    </row>
    <row r="247" spans="2:2" ht="14.5">
      <c r="B247" s="16" t="s">
        <v>584</v>
      </c>
    </row>
    <row r="248" spans="2:2" ht="14.5">
      <c r="B248" s="17" t="s">
        <v>705</v>
      </c>
    </row>
    <row r="249" spans="2:2" ht="14.5">
      <c r="B249" s="16" t="s">
        <v>539</v>
      </c>
    </row>
    <row r="250" spans="2:2" ht="14.5">
      <c r="B250" s="17" t="s">
        <v>706</v>
      </c>
    </row>
    <row r="251" spans="2:2" ht="14.5">
      <c r="B251" s="17" t="s">
        <v>707</v>
      </c>
    </row>
    <row r="252" spans="2:2" ht="14.5">
      <c r="B252" s="17" t="s">
        <v>708</v>
      </c>
    </row>
    <row r="253" spans="2:2" ht="14.5">
      <c r="B253" s="17" t="s">
        <v>584</v>
      </c>
    </row>
    <row r="254" spans="2:2" ht="14.5">
      <c r="B254" s="17" t="s">
        <v>709</v>
      </c>
    </row>
    <row r="255" spans="2:2" ht="14.5">
      <c r="B255" s="16" t="s">
        <v>541</v>
      </c>
    </row>
    <row r="256" spans="2:2" ht="14.5">
      <c r="B256" s="17" t="s">
        <v>710</v>
      </c>
    </row>
    <row r="257" spans="2:2" ht="14.5">
      <c r="B257" s="17" t="s">
        <v>711</v>
      </c>
    </row>
    <row r="258" spans="2:2" ht="14.5">
      <c r="B258" s="17" t="s">
        <v>712</v>
      </c>
    </row>
    <row r="259" spans="2:2" ht="14.5">
      <c r="B259" s="17" t="s">
        <v>713</v>
      </c>
    </row>
    <row r="260" spans="2:2" ht="14.5">
      <c r="B260" s="17" t="s">
        <v>714</v>
      </c>
    </row>
    <row r="261" spans="2:2" ht="14.5">
      <c r="B261" s="17" t="s">
        <v>715</v>
      </c>
    </row>
    <row r="262" spans="2:2" ht="14.5">
      <c r="B262" s="17" t="s">
        <v>716</v>
      </c>
    </row>
    <row r="263" spans="2:2" ht="14.5">
      <c r="B263" s="17" t="s">
        <v>717</v>
      </c>
    </row>
    <row r="264" spans="2:2" ht="14.5">
      <c r="B264" s="17" t="s">
        <v>718</v>
      </c>
    </row>
    <row r="265" spans="2:2" ht="14.5">
      <c r="B265" s="17" t="s">
        <v>584</v>
      </c>
    </row>
    <row r="266" spans="2:2" ht="14.5">
      <c r="B266" s="16" t="s">
        <v>543</v>
      </c>
    </row>
    <row r="267" spans="2:2" ht="14.5">
      <c r="B267" s="17" t="s">
        <v>584</v>
      </c>
    </row>
    <row r="268" spans="2:2" ht="14.5">
      <c r="B268" s="17" t="s">
        <v>719</v>
      </c>
    </row>
    <row r="269" spans="2:2" ht="14.5">
      <c r="B269" s="17" t="s">
        <v>720</v>
      </c>
    </row>
    <row r="270" spans="2:2" ht="14.5">
      <c r="B270" s="16" t="s">
        <v>545</v>
      </c>
    </row>
    <row r="271" spans="2:2" ht="14.5">
      <c r="B271" s="17" t="s">
        <v>584</v>
      </c>
    </row>
    <row r="272" spans="2:2" ht="14.5">
      <c r="B272" s="17" t="s">
        <v>721</v>
      </c>
    </row>
    <row r="273" spans="2:5" ht="14.5">
      <c r="B273" s="17" t="s">
        <v>646</v>
      </c>
    </row>
    <row r="274" spans="2:5" ht="14.5">
      <c r="B274" s="17" t="s">
        <v>722</v>
      </c>
    </row>
    <row r="275" spans="2:5" ht="14.5">
      <c r="B275" s="17" t="s">
        <v>723</v>
      </c>
    </row>
    <row r="276" spans="2:5" ht="14.5">
      <c r="B276" s="17" t="s">
        <v>724</v>
      </c>
    </row>
    <row r="277" spans="2:5" ht="14.5">
      <c r="B277" s="17" t="s">
        <v>725</v>
      </c>
    </row>
    <row r="280" spans="2:5">
      <c r="B280" s="14" t="s">
        <v>726</v>
      </c>
    </row>
    <row r="281" spans="2:5">
      <c r="B281" s="14" t="s">
        <v>727</v>
      </c>
      <c r="E281" s="183"/>
    </row>
    <row r="282" spans="2:5" ht="14.5">
      <c r="B282" s="16" t="s">
        <v>533</v>
      </c>
      <c r="C282" s="182" t="s">
        <v>728</v>
      </c>
      <c r="D282" s="182"/>
    </row>
    <row r="283" spans="2:5" ht="14.5">
      <c r="B283" s="17" t="s">
        <v>729</v>
      </c>
      <c r="C283">
        <v>13569</v>
      </c>
      <c r="D283" s="188" t="s">
        <v>730</v>
      </c>
    </row>
    <row r="284" spans="2:5" ht="14.5">
      <c r="B284" s="17" t="s">
        <v>731</v>
      </c>
      <c r="C284">
        <v>20417</v>
      </c>
      <c r="D284" s="188" t="s">
        <v>732</v>
      </c>
    </row>
    <row r="285" spans="2:5" ht="14.5">
      <c r="B285" s="17" t="s">
        <v>698</v>
      </c>
      <c r="C285">
        <v>4014</v>
      </c>
      <c r="D285"/>
    </row>
    <row r="286" spans="2:5">
      <c r="B286" s="14" t="s">
        <v>733</v>
      </c>
    </row>
    <row r="287" spans="2:5" ht="14.5">
      <c r="B287" s="16" t="s">
        <v>533</v>
      </c>
      <c r="C287" s="182"/>
      <c r="D287" s="182"/>
    </row>
    <row r="288" spans="2:5" ht="14.5">
      <c r="B288" s="17" t="s">
        <v>729</v>
      </c>
      <c r="C288">
        <v>5822</v>
      </c>
      <c r="D288"/>
    </row>
    <row r="289" spans="2:9" ht="14.5">
      <c r="B289" s="17" t="s">
        <v>731</v>
      </c>
      <c r="C289">
        <v>13252</v>
      </c>
      <c r="D289"/>
    </row>
    <row r="290" spans="2:9" ht="14.5">
      <c r="B290" s="17" t="s">
        <v>698</v>
      </c>
      <c r="C290">
        <v>2426</v>
      </c>
      <c r="D290"/>
    </row>
    <row r="291" spans="2:9">
      <c r="B291" s="14" t="s">
        <v>734</v>
      </c>
    </row>
    <row r="292" spans="2:9" ht="14.5">
      <c r="B292" s="16" t="s">
        <v>533</v>
      </c>
      <c r="C292" s="182" t="s">
        <v>728</v>
      </c>
    </row>
    <row r="293" spans="2:9" ht="14.5">
      <c r="B293" s="17" t="s">
        <v>729</v>
      </c>
      <c r="C293">
        <f>C283+C288</f>
        <v>19391</v>
      </c>
      <c r="D293" s="827" t="s">
        <v>562</v>
      </c>
    </row>
    <row r="294" spans="2:9" ht="14.5">
      <c r="B294" s="17" t="s">
        <v>731</v>
      </c>
      <c r="C294">
        <f t="shared" ref="C294:C295" si="185">C284+C289</f>
        <v>33669</v>
      </c>
      <c r="D294" s="827" t="s">
        <v>561</v>
      </c>
    </row>
    <row r="295" spans="2:9" ht="14.5">
      <c r="B295" s="17" t="s">
        <v>698</v>
      </c>
      <c r="C295">
        <f t="shared" si="185"/>
        <v>6440</v>
      </c>
    </row>
    <row r="296" spans="2:9">
      <c r="B296" s="828"/>
      <c r="C296" s="828">
        <v>2020</v>
      </c>
      <c r="D296" s="828"/>
      <c r="E296" s="828">
        <v>2021</v>
      </c>
      <c r="F296" s="828"/>
      <c r="G296" s="803" t="s">
        <v>550</v>
      </c>
      <c r="H296" s="803" t="s">
        <v>551</v>
      </c>
    </row>
    <row r="297" spans="2:9">
      <c r="B297" s="828" t="s">
        <v>552</v>
      </c>
      <c r="C297" s="828" t="s">
        <v>553</v>
      </c>
      <c r="D297" s="828" t="s">
        <v>554</v>
      </c>
      <c r="E297" s="828" t="s">
        <v>553</v>
      </c>
      <c r="F297" s="828" t="s">
        <v>554</v>
      </c>
      <c r="G297" s="803"/>
      <c r="H297" s="803"/>
    </row>
    <row r="298" spans="2:9">
      <c r="B298" s="828" t="s">
        <v>533</v>
      </c>
      <c r="C298" s="828">
        <f>SUM(C283:C284)</f>
        <v>33986</v>
      </c>
      <c r="D298" s="828">
        <v>3595</v>
      </c>
      <c r="E298" s="828">
        <f>SUM(C288:C289)</f>
        <v>19074</v>
      </c>
      <c r="F298" s="828">
        <v>2047</v>
      </c>
      <c r="G298" s="828">
        <f>C298+E298</f>
        <v>53060</v>
      </c>
      <c r="H298" s="828">
        <f>D298+F298</f>
        <v>5642</v>
      </c>
    </row>
    <row r="299" spans="2:9">
      <c r="B299" s="828" t="s">
        <v>555</v>
      </c>
      <c r="C299" s="828">
        <f>C298</f>
        <v>33986</v>
      </c>
      <c r="D299" s="828">
        <f>D298</f>
        <v>3595</v>
      </c>
      <c r="E299" s="828">
        <f>E298</f>
        <v>19074</v>
      </c>
      <c r="F299" s="828">
        <f>F298</f>
        <v>2047</v>
      </c>
      <c r="G299" s="828">
        <f>SUM(C293:C295)</f>
        <v>59500</v>
      </c>
      <c r="H299" s="828">
        <f>H298</f>
        <v>5642</v>
      </c>
    </row>
    <row r="301" spans="2:9">
      <c r="H301" s="829">
        <f>G299/H299</f>
        <v>10.545905707196029</v>
      </c>
      <c r="I301" s="828" t="s">
        <v>556</v>
      </c>
    </row>
    <row r="302" spans="2:9">
      <c r="H302" s="829">
        <f>SUMPRODUCT(D304:D307,E304:E307)</f>
        <v>-0.67041906143987928</v>
      </c>
      <c r="I302" s="828" t="s">
        <v>557</v>
      </c>
    </row>
    <row r="303" spans="2:9">
      <c r="B303" s="823" t="s">
        <v>136</v>
      </c>
      <c r="C303" s="823" t="s">
        <v>137</v>
      </c>
      <c r="D303" s="692" t="s">
        <v>344</v>
      </c>
      <c r="E303" s="803" t="s">
        <v>558</v>
      </c>
      <c r="F303" s="803"/>
      <c r="G303" s="803"/>
      <c r="H303" s="86"/>
    </row>
    <row r="304" spans="2:9">
      <c r="B304" s="827" t="s">
        <v>561</v>
      </c>
      <c r="C304" s="827" t="s">
        <v>561</v>
      </c>
      <c r="D304" s="830">
        <v>-0.83289999999999997</v>
      </c>
      <c r="E304" s="831">
        <f>SUMIF($D$293:$D$294,B304,$C$293:$C$294)/SUM($C$293:$C$294)</f>
        <v>0.63454579721070481</v>
      </c>
      <c r="F304" s="825"/>
      <c r="G304" s="825"/>
      <c r="H304" s="86"/>
    </row>
    <row r="305" spans="2:8">
      <c r="B305" s="827" t="s">
        <v>735</v>
      </c>
      <c r="C305" s="827" t="s">
        <v>561</v>
      </c>
      <c r="D305" s="832">
        <v>-6.9408333333333336E-2</v>
      </c>
      <c r="E305" s="831">
        <f>SUMIF($D$293:$D$294,B305,$C$293:$C$294)/SUM($C$293:$C$294)</f>
        <v>0</v>
      </c>
      <c r="F305" s="825"/>
      <c r="G305" s="825"/>
      <c r="H305" s="86"/>
    </row>
    <row r="306" spans="2:8">
      <c r="B306" s="827" t="s">
        <v>562</v>
      </c>
      <c r="C306" s="827" t="s">
        <v>562</v>
      </c>
      <c r="D306" s="830">
        <v>-0.38829999999999998</v>
      </c>
      <c r="E306" s="831">
        <f>SUMIF($D$293:$D$294,B306,$C$293:$C$294)/SUM($C$293:$C$294)</f>
        <v>0.36545420278929514</v>
      </c>
      <c r="F306" s="825"/>
      <c r="G306" s="825"/>
      <c r="H306" s="86"/>
    </row>
    <row r="307" spans="2:8">
      <c r="B307" s="827" t="s">
        <v>736</v>
      </c>
      <c r="C307" s="827" t="s">
        <v>562</v>
      </c>
      <c r="D307" s="832">
        <v>-3.2358333333333336E-2</v>
      </c>
      <c r="E307" s="831">
        <f>SUMIF($D$293:$D$294,B307,$C$293:$C$294)/SUM($C$293:$C$294)</f>
        <v>0</v>
      </c>
      <c r="F307" s="825"/>
      <c r="G307" s="825"/>
      <c r="H307" s="86"/>
    </row>
  </sheetData>
  <autoFilter ref="A5:ES5" xr:uid="{00000000-0009-0000-0000-000008000000}"/>
  <mergeCells count="18">
    <mergeCell ref="CY2:DQ2"/>
    <mergeCell ref="EA2:EE2"/>
    <mergeCell ref="EV4:FC4"/>
    <mergeCell ref="F68:H68"/>
    <mergeCell ref="I68:K68"/>
    <mergeCell ref="L68:N68"/>
    <mergeCell ref="EH2:EL2"/>
    <mergeCell ref="EO2:EU2"/>
    <mergeCell ref="F4:P4"/>
    <mergeCell ref="Q4:T4"/>
    <mergeCell ref="U4:AG4"/>
    <mergeCell ref="AK4:AX4"/>
    <mergeCell ref="AZ4:BA4"/>
    <mergeCell ref="BB2:BT2"/>
    <mergeCell ref="CD2:CH2"/>
    <mergeCell ref="CK2:CO2"/>
    <mergeCell ref="O68:Q68"/>
    <mergeCell ref="CR2:CV2"/>
  </mergeCells>
  <dataValidations count="1">
    <dataValidation type="list" allowBlank="1" showInputMessage="1" showErrorMessage="1" sqref="AU11:AU12 AU20:AU25 AS6:AS18 AS20:AS25 AT12 AT8:AT10 AT15:AT17 AT22:AT24" xr:uid="{497CE211-89E7-4104-85B7-2D4F055ED7E4}">
      <formula1>#REF!</formula1>
    </dataValidation>
  </dataValidations>
  <hyperlinks>
    <hyperlink ref="L73" r:id="rId1" xr:uid="{92E36402-BD36-4807-9943-E25608D88138}"/>
    <hyperlink ref="E167" r:id="rId2" xr:uid="{F6550CA4-2968-4DCC-B8C7-EE5456350403}"/>
    <hyperlink ref="E168" r:id="rId3" xr:uid="{E2A3C2ED-40BF-462B-A9AF-5FFF30C3C0B9}"/>
    <hyperlink ref="E169" r:id="rId4" xr:uid="{3861B495-BD22-44CD-98B1-0A10D0E63912}"/>
    <hyperlink ref="T144" r:id="rId5" display="https://www.amazon.com/Sink-Faucet-Aerators-1-5-packs/dp/B083R4X8SY/ref=asc_df_B083R4X8SY/?tag=hyprod-20&amp;linkCode=df0&amp;hvadid=459693563969&amp;hvpos=&amp;hvnetw=g&amp;hvrand=13053134597248756696&amp;hvpone=&amp;hvptwo=&amp;hvqmt=&amp;hvdev=c&amp;hvdvcmdl=&amp;hvlocint=&amp;hvlocphy=9030049&amp;hvtargid=pla-946525136297&amp;th=1" xr:uid="{54BD110F-9B96-4F48-A099-C681E6BA550E}"/>
  </hyperlinks>
  <pageMargins left="0.7" right="0.7" top="0.75" bottom="0.75" header="0.3" footer="0.3"/>
  <pageSetup orientation="portrait" r:id="rId6"/>
  <headerFooter>
    <oddFooter>&amp;L&amp;1#&amp;"Calibri"&amp;14&amp;K000000Business Use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0BFF5-0E8B-44CA-9B31-F3BAD01D20A0}">
  <sheetPr>
    <tabColor theme="5"/>
  </sheetPr>
  <dimension ref="A1:FL29"/>
  <sheetViews>
    <sheetView topLeftCell="A4" workbookViewId="0">
      <selection activeCell="L61" sqref="L61"/>
    </sheetView>
  </sheetViews>
  <sheetFormatPr defaultColWidth="9.1796875" defaultRowHeight="13"/>
  <cols>
    <col min="1" max="1" width="9.1796875" style="2" customWidth="1"/>
    <col min="2" max="2" width="31.453125" style="2" customWidth="1"/>
    <col min="3" max="3" width="34.453125" style="2" bestFit="1" customWidth="1"/>
    <col min="4" max="4" width="17.54296875" style="2" bestFit="1" customWidth="1"/>
    <col min="5" max="5" width="21.1796875" style="2" customWidth="1"/>
    <col min="6" max="6" width="12.54296875" style="2" customWidth="1"/>
    <col min="7" max="7" width="12.453125" style="2" customWidth="1"/>
    <col min="8" max="8" width="11.81640625" style="2" customWidth="1"/>
    <col min="9" max="9" width="11.54296875" style="2" customWidth="1"/>
    <col min="10" max="10" width="14.54296875" style="2" customWidth="1"/>
    <col min="11" max="11" width="15.453125" style="2" customWidth="1"/>
    <col min="12" max="13" width="15.26953125" style="2" customWidth="1"/>
    <col min="14" max="14" width="15" style="2" customWidth="1"/>
    <col min="15" max="16" width="10.7265625" style="2" customWidth="1"/>
    <col min="17" max="17" width="13.453125" style="2" customWidth="1"/>
    <col min="18" max="19" width="12.1796875" style="2" customWidth="1"/>
    <col min="20" max="20" width="15.7265625" style="3" customWidth="1"/>
    <col min="21" max="25" width="10.81640625" style="3" customWidth="1"/>
    <col min="26" max="26" width="12.453125" style="3" customWidth="1"/>
    <col min="27" max="27" width="13.1796875" style="3" customWidth="1"/>
    <col min="28" max="36" width="10.1796875" style="3" customWidth="1"/>
    <col min="37" max="44" width="14.453125" style="2" customWidth="1"/>
    <col min="45" max="45" width="20.81640625" style="2" customWidth="1"/>
    <col min="46" max="46" width="14.453125" style="2" customWidth="1"/>
    <col min="47" max="47" width="16.453125" style="2" customWidth="1"/>
    <col min="48" max="53" width="12" style="2" customWidth="1"/>
    <col min="54" max="56" width="17.81640625" style="2" customWidth="1"/>
    <col min="57" max="60" width="15.7265625" style="2" customWidth="1"/>
    <col min="61" max="67" width="12" style="2" customWidth="1"/>
    <col min="68" max="81" width="11.7265625" style="2" customWidth="1"/>
    <col min="82" max="159" width="15.54296875" style="2" customWidth="1"/>
    <col min="160" max="16384" width="9.1796875" style="2"/>
  </cols>
  <sheetData>
    <row r="1" spans="1:168" ht="15" thickBot="1">
      <c r="A1" t="str">
        <f>A3&amp;"_"&amp;A4&amp;"_"&amp;A5</f>
        <v>_Measure Details_Measure ID</v>
      </c>
      <c r="B1" t="str">
        <f t="shared" ref="B1:CB1" si="0">B3&amp;"_"&amp;B4&amp;"_"&amp;B5</f>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t="str">
        <f t="shared" si="0"/>
        <v>__Number of Unit Per Participant</v>
      </c>
      <c r="W1" t="str">
        <f t="shared" si="0"/>
        <v>1__2017</v>
      </c>
      <c r="X1" t="str">
        <f t="shared" si="0"/>
        <v>2__2018</v>
      </c>
      <c r="Y1" t="str">
        <f t="shared" si="0"/>
        <v>3__2019</v>
      </c>
      <c r="Z1" t="str">
        <f t="shared" si="0"/>
        <v>4__2020</v>
      </c>
      <c r="AA1" t="str">
        <f t="shared" si="0"/>
        <v>__Projected 2021</v>
      </c>
      <c r="AB1" t="str">
        <f t="shared" si="0"/>
        <v>__Projected 2022</v>
      </c>
      <c r="AC1" t="str">
        <f>AC3&amp;"_"&amp;AC4&amp;"_"&amp;AC5</f>
        <v>__Participation 2023</v>
      </c>
      <c r="AD1" t="str">
        <f t="shared" si="0"/>
        <v>__Participation 2024</v>
      </c>
      <c r="AE1" t="str">
        <f t="shared" si="0"/>
        <v>__Participation 2025</v>
      </c>
      <c r="AF1" t="str">
        <f t="shared" si="0"/>
        <v>__Participation 2026</v>
      </c>
      <c r="AG1" t="str">
        <f t="shared" si="0"/>
        <v>__Participation 2027</v>
      </c>
      <c r="AH1" t="str">
        <f>AH3&amp;"_"&amp;AH4&amp;"_"&amp;AH5</f>
        <v>__Participation 2028</v>
      </c>
      <c r="AI1" t="str">
        <f t="shared" si="0"/>
        <v>__Participation 2029</v>
      </c>
      <c r="AJ1" t="str">
        <f t="shared" ref="AJ1" si="1">AJ3&amp;"_"&amp;AJ4&amp;"_"&amp;AJ5</f>
        <v>__Participation 2030</v>
      </c>
      <c r="AK1" t="str">
        <f t="shared" si="0"/>
        <v>_Modeling Measure-level Inputs_Fuel Type</v>
      </c>
      <c r="AL1" t="str">
        <f t="shared" si="0"/>
        <v>__Sector</v>
      </c>
      <c r="AM1" t="str">
        <f t="shared" si="0"/>
        <v>__Segment</v>
      </c>
      <c r="AN1" t="str">
        <f t="shared" si="0"/>
        <v>__Enduse</v>
      </c>
      <c r="AO1" t="str">
        <f t="shared" si="0"/>
        <v>__Construction Type</v>
      </c>
      <c r="AP1" t="str">
        <f t="shared" si="0"/>
        <v>__Potential Study Measure Name</v>
      </c>
      <c r="AQ1" t="str">
        <f t="shared" si="0"/>
        <v>__Potential Study Measure Description</v>
      </c>
      <c r="AR1" t="str">
        <f t="shared" si="0"/>
        <v>__Potential Study Baseline Description</v>
      </c>
      <c r="AS1" t="str">
        <f t="shared" si="0"/>
        <v>__Electric Load Shape</v>
      </c>
      <c r="AT1" t="str">
        <f t="shared" si="0"/>
        <v>__Natural Gas Load Shape</v>
      </c>
      <c r="AU1" t="str">
        <f t="shared" si="0"/>
        <v>__Customer Rate Class</v>
      </c>
      <c r="AV1" t="str">
        <f t="shared" si="0"/>
        <v>__Measure Life</v>
      </c>
      <c r="AW1" t="str">
        <f t="shared" si="0"/>
        <v>__Baseline Life</v>
      </c>
      <c r="AX1" t="str">
        <f t="shared" si="0"/>
        <v>__Life Source</v>
      </c>
      <c r="AY1" t="str">
        <f t="shared" si="0"/>
        <v>_Measure Tier Share_Tier Share</v>
      </c>
      <c r="AZ1" t="str">
        <f t="shared" si="0"/>
        <v>_Measure Fuel Weights_Electric Share</v>
      </c>
      <c r="BA1" t="str">
        <f t="shared" si="0"/>
        <v>__Natural Gas Share</v>
      </c>
      <c r="BB1" t="str">
        <f t="shared" si="0"/>
        <v>Per Unit_Incremental Costs_2024</v>
      </c>
      <c r="BC1" t="str">
        <f>BC3&amp;"_"&amp;BC4&amp;"_"&amp;BC5</f>
        <v>Per Unit_Incremental Costs_2025</v>
      </c>
      <c r="BD1" t="str">
        <f t="shared" si="0"/>
        <v>Per Unit_Incremental Costs_2026</v>
      </c>
      <c r="BE1" t="str">
        <f t="shared" si="0"/>
        <v>Per Unit_Incremental Costs_2027</v>
      </c>
      <c r="BF1" t="str">
        <f t="shared" si="0"/>
        <v>Per Unit_Incremental Costs_2028</v>
      </c>
      <c r="BG1" t="str">
        <f t="shared" si="0"/>
        <v>Per Unit_Incremental Costs_2029</v>
      </c>
      <c r="BH1" t="str">
        <f t="shared" ref="BH1" si="2">BH3&amp;"_"&amp;BH4&amp;"_"&amp;BH5</f>
        <v>Per Unit_Incremental Costs_2030</v>
      </c>
      <c r="BI1" t="str">
        <f t="shared" si="0"/>
        <v>Per Unit_Incremental Annual O&amp;M_2024</v>
      </c>
      <c r="BJ1" t="str">
        <f t="shared" si="0"/>
        <v>Per Unit_Incremental Annual O&amp;M_2025</v>
      </c>
      <c r="BK1" t="str">
        <f t="shared" si="0"/>
        <v>Per Unit_Incremental Annual O&amp;M_2026</v>
      </c>
      <c r="BL1" t="str">
        <f t="shared" si="0"/>
        <v>Per Unit_Incremental Annual O&amp;M_2027</v>
      </c>
      <c r="BM1" t="str">
        <f t="shared" si="0"/>
        <v>Per Unit_Incremental Annual O&amp;M_2028</v>
      </c>
      <c r="BN1" t="str">
        <f t="shared" si="0"/>
        <v>Per Unit_Incremental Annual O&amp;M_2029</v>
      </c>
      <c r="BO1" t="str">
        <f t="shared" ref="BO1" si="3">BO3&amp;"_"&amp;BO4&amp;"_"&amp;BO5</f>
        <v>Per Unit_Incremental Annual O&amp;M_2030</v>
      </c>
      <c r="BP1" t="str">
        <f t="shared" si="0"/>
        <v>Per Unit_Customer &amp; Dealer Incentives_2024</v>
      </c>
      <c r="BQ1" t="str">
        <f t="shared" si="0"/>
        <v>Per Unit_Customer &amp; Dealer Incentives_2025</v>
      </c>
      <c r="BR1" t="str">
        <f t="shared" si="0"/>
        <v>Per Unit_Customer &amp; Dealer Incentives_2026</v>
      </c>
      <c r="BS1" t="str">
        <f t="shared" si="0"/>
        <v>Per Unit_Customer &amp; Dealer Incentives_2027</v>
      </c>
      <c r="BT1" t="str">
        <f t="shared" si="0"/>
        <v>Per Unit_Customer &amp; Dealer Incentives_2028</v>
      </c>
      <c r="BU1" t="str">
        <f t="shared" si="0"/>
        <v>Per Unit_Customer &amp; Dealer Incentives_2029</v>
      </c>
      <c r="BV1" t="str">
        <f t="shared" ref="BV1" si="4">BV3&amp;"_"&amp;BV4&amp;"_"&amp;BV5</f>
        <v>Per Unit_Customer &amp; Dealer Incentives_2030</v>
      </c>
      <c r="BW1" t="str">
        <f t="shared" si="0"/>
        <v>Per Unit_Implementation Cost_2024</v>
      </c>
      <c r="BX1" t="str">
        <f t="shared" si="0"/>
        <v>Per Unit_Implementation Cost_2025</v>
      </c>
      <c r="BY1" t="str">
        <f t="shared" si="0"/>
        <v>Per Unit_Implementation Cost_2026</v>
      </c>
      <c r="BZ1" t="str">
        <f t="shared" si="0"/>
        <v>Per Unit_Implementation Cost_2027</v>
      </c>
      <c r="CA1" t="str">
        <f t="shared" si="0"/>
        <v>Per Unit_Implementation Cost_2028</v>
      </c>
      <c r="CB1" t="str">
        <f t="shared" si="0"/>
        <v>Per Unit_Implementation Cost_2029</v>
      </c>
      <c r="CC1" t="str">
        <f t="shared" ref="CC1" si="5">CC3&amp;"_"&amp;CC4&amp;"_"&amp;CC5</f>
        <v>Per Unit_Implementation Cost_2030</v>
      </c>
      <c r="CD1" t="str">
        <f t="shared" ref="CD1:FC1" si="6">CD3&amp;"_"&amp;CD4&amp;"_"&amp;CD5</f>
        <v>Per Unit_kWh _2024</v>
      </c>
      <c r="CE1" t="str">
        <f t="shared" si="6"/>
        <v>Per Unit_kWh _2025</v>
      </c>
      <c r="CF1" t="str">
        <f t="shared" si="6"/>
        <v>Per Unit_kWh _2026</v>
      </c>
      <c r="CG1" t="str">
        <f t="shared" si="6"/>
        <v>Per Unit_kWh _2027</v>
      </c>
      <c r="CH1" t="str">
        <f t="shared" si="6"/>
        <v>Per Unit_kWh _2028</v>
      </c>
      <c r="CI1" t="str">
        <f t="shared" si="6"/>
        <v>Per Unit_kWh _2029</v>
      </c>
      <c r="CJ1" t="str">
        <f t="shared" ref="CJ1" si="7">CJ3&amp;"_"&amp;CJ4&amp;"_"&amp;CJ5</f>
        <v>Per Unit_kWh _2030</v>
      </c>
      <c r="CK1" t="str">
        <f t="shared" si="6"/>
        <v>Per Unit_kW_2024</v>
      </c>
      <c r="CL1" t="str">
        <f t="shared" si="6"/>
        <v>Per Unit_kW_2025</v>
      </c>
      <c r="CM1" t="str">
        <f t="shared" si="6"/>
        <v>Per Unit_kW_2026</v>
      </c>
      <c r="CN1" t="str">
        <f t="shared" si="6"/>
        <v>Per Unit_kW_2027</v>
      </c>
      <c r="CO1" t="str">
        <f t="shared" si="6"/>
        <v>Per Unit_kW_2028</v>
      </c>
      <c r="CP1" t="str">
        <f t="shared" si="6"/>
        <v>Per Unit_kW_2029</v>
      </c>
      <c r="CQ1" t="str">
        <f t="shared" ref="CQ1" si="8">CQ3&amp;"_"&amp;CQ4&amp;"_"&amp;CQ5</f>
        <v>Per Unit_kW_2030</v>
      </c>
      <c r="CR1" t="str">
        <f t="shared" si="6"/>
        <v>Per Unit_Therms_2024</v>
      </c>
      <c r="CS1" t="str">
        <f t="shared" si="6"/>
        <v>Per Unit_Therms_2025</v>
      </c>
      <c r="CT1" t="str">
        <f t="shared" si="6"/>
        <v>Per Unit_Therms_2026</v>
      </c>
      <c r="CU1" t="str">
        <f t="shared" si="6"/>
        <v>Per Unit_Therms_2027</v>
      </c>
      <c r="CV1" t="str">
        <f t="shared" si="6"/>
        <v>Per Unit_Therms_2028</v>
      </c>
      <c r="CW1" t="str">
        <f t="shared" si="6"/>
        <v>Per Unit_Therms_2029</v>
      </c>
      <c r="CX1" t="str">
        <f t="shared" ref="CX1" si="9">CX3&amp;"_"&amp;CX4&amp;"_"&amp;CX5</f>
        <v>Per Unit_Therms_2030</v>
      </c>
      <c r="CY1" t="str">
        <f t="shared" si="6"/>
        <v>Program_Incremental Costs_2024</v>
      </c>
      <c r="CZ1" t="str">
        <f t="shared" si="6"/>
        <v>Program_Incremental Costs_2025</v>
      </c>
      <c r="DA1" t="str">
        <f t="shared" si="6"/>
        <v>Program_Incremental Costs_2026</v>
      </c>
      <c r="DB1" t="str">
        <f t="shared" si="6"/>
        <v>Program_Incremental Costs_2027</v>
      </c>
      <c r="DC1" t="str">
        <f t="shared" si="6"/>
        <v>Program_Incremental Costs_2028</v>
      </c>
      <c r="DD1" t="str">
        <f t="shared" si="6"/>
        <v>Program_Incremental Costs_2029</v>
      </c>
      <c r="DE1" t="str">
        <f t="shared" ref="DE1" si="10">DE3&amp;"_"&amp;DE4&amp;"_"&amp;DE5</f>
        <v>Program_Incremental Costs_2030</v>
      </c>
      <c r="DF1" t="str">
        <f t="shared" si="6"/>
        <v>Program_Incremental Annual O&amp;M_2024</v>
      </c>
      <c r="DG1" t="str">
        <f t="shared" si="6"/>
        <v>Program_Incremental Annual O&amp;M_2025</v>
      </c>
      <c r="DH1" t="str">
        <f t="shared" si="6"/>
        <v>Program_Incremental Annual O&amp;M_2026</v>
      </c>
      <c r="DI1" t="str">
        <f t="shared" si="6"/>
        <v>Program_Incremental Annual O&amp;M_2027</v>
      </c>
      <c r="DJ1" t="str">
        <f t="shared" si="6"/>
        <v>Program_Incremental Annual O&amp;M_2028</v>
      </c>
      <c r="DK1" t="str">
        <f t="shared" si="6"/>
        <v>Program_Incremental Annual O&amp;M_2029</v>
      </c>
      <c r="DL1" t="str">
        <f t="shared" ref="DL1" si="11">DL3&amp;"_"&amp;DL4&amp;"_"&amp;DL5</f>
        <v>Program_Incremental Annual O&amp;M_2030</v>
      </c>
      <c r="DM1" t="str">
        <f t="shared" si="6"/>
        <v>Program_Customer &amp; Dealer Incentives_2024</v>
      </c>
      <c r="DN1" t="str">
        <f t="shared" si="6"/>
        <v>Program_Customer &amp; Dealer Incentives_2025</v>
      </c>
      <c r="DO1" t="str">
        <f t="shared" si="6"/>
        <v>Program_Customer &amp; Dealer Incentives_2026</v>
      </c>
      <c r="DP1" t="str">
        <f t="shared" si="6"/>
        <v>Program_Customer &amp; Dealer Incentives_2027</v>
      </c>
      <c r="DQ1" t="str">
        <f t="shared" si="6"/>
        <v>Program_Customer &amp; Dealer Incentives_2028</v>
      </c>
      <c r="DR1" t="str">
        <f t="shared" si="6"/>
        <v>Program_Customer &amp; Dealer Incentives_2029</v>
      </c>
      <c r="DS1" t="str">
        <f t="shared" ref="DS1" si="12">DS3&amp;"_"&amp;DS4&amp;"_"&amp;DS5</f>
        <v>Program_Customer &amp; Dealer Incentives_2030</v>
      </c>
      <c r="DT1" t="str">
        <f t="shared" si="6"/>
        <v>Program_Implementation Costs_2024</v>
      </c>
      <c r="DU1" t="str">
        <f t="shared" si="6"/>
        <v>Program_Implementation Costs_2025</v>
      </c>
      <c r="DV1" t="str">
        <f t="shared" si="6"/>
        <v>Program_Implementation Costs_2026</v>
      </c>
      <c r="DW1" t="str">
        <f t="shared" si="6"/>
        <v>Program_Implementation Costs_2027</v>
      </c>
      <c r="DX1" t="str">
        <f t="shared" si="6"/>
        <v>Program_Implementation Costs_2028</v>
      </c>
      <c r="DY1" t="str">
        <f t="shared" si="6"/>
        <v>Program_Implementation Costs_2029</v>
      </c>
      <c r="DZ1" t="str">
        <f t="shared" ref="DZ1" si="13">DZ3&amp;"_"&amp;DZ4&amp;"_"&amp;DZ5</f>
        <v>Program_Implementation Costs_2030</v>
      </c>
      <c r="EA1" t="str">
        <f t="shared" si="6"/>
        <v>Program_kWh _2024</v>
      </c>
      <c r="EB1" t="str">
        <f t="shared" si="6"/>
        <v>Program_kWh _2025</v>
      </c>
      <c r="EC1" t="str">
        <f t="shared" si="6"/>
        <v>Program_kWh _2026</v>
      </c>
      <c r="ED1" t="str">
        <f t="shared" si="6"/>
        <v>Program_kWh _2027</v>
      </c>
      <c r="EE1" t="str">
        <f t="shared" si="6"/>
        <v>Program_kWh _2028</v>
      </c>
      <c r="EF1" t="str">
        <f t="shared" si="6"/>
        <v>Program_kWh _2029</v>
      </c>
      <c r="EG1" t="str">
        <f t="shared" ref="EG1" si="14">EG3&amp;"_"&amp;EG4&amp;"_"&amp;EG5</f>
        <v>Program_kWh _2030</v>
      </c>
      <c r="EH1" t="str">
        <f t="shared" si="6"/>
        <v>Program_kW_2024</v>
      </c>
      <c r="EI1" t="str">
        <f t="shared" si="6"/>
        <v>Program_kW_2025</v>
      </c>
      <c r="EJ1" t="str">
        <f t="shared" si="6"/>
        <v>Program_kW_2026</v>
      </c>
      <c r="EK1" t="str">
        <f t="shared" si="6"/>
        <v>Program_kW_2027</v>
      </c>
      <c r="EL1" t="str">
        <f t="shared" si="6"/>
        <v>Program_kW_2028</v>
      </c>
      <c r="EM1" t="str">
        <f t="shared" si="6"/>
        <v>Program_kW_2029</v>
      </c>
      <c r="EN1" t="str">
        <f t="shared" ref="EN1" si="15">EN3&amp;"_"&amp;EN4&amp;"_"&amp;EN5</f>
        <v>Program_kW_2030</v>
      </c>
      <c r="EO1" t="str">
        <f t="shared" si="6"/>
        <v>Program_Therms_2024</v>
      </c>
      <c r="EP1" t="str">
        <f t="shared" si="6"/>
        <v>Program_Therms_2025</v>
      </c>
      <c r="EQ1" t="str">
        <f t="shared" si="6"/>
        <v>Program_Therms_2026</v>
      </c>
      <c r="ER1" t="str">
        <f t="shared" si="6"/>
        <v>Program_Therms_2027</v>
      </c>
      <c r="ES1" t="str">
        <f t="shared" si="6"/>
        <v>Program_Therms_2028</v>
      </c>
      <c r="ET1" t="str">
        <f t="shared" si="6"/>
        <v>Program_Therms_2029</v>
      </c>
      <c r="EU1" t="str">
        <f t="shared" ref="EU1" si="16">EU3&amp;"_"&amp;EU4&amp;"_"&amp;EU5</f>
        <v>Program_Therms_2030</v>
      </c>
      <c r="EV1" t="str">
        <f>EV3&amp;"_"&amp;EV4&amp;"_"&amp;EV5</f>
        <v>_Total Plan Summary 2024-2030_Participation</v>
      </c>
      <c r="EW1" t="str">
        <f>EW3&amp;"_"&amp;EW4&amp;"_"&amp;EW5</f>
        <v>__Incremental Costs ($)</v>
      </c>
      <c r="EX1" t="str">
        <f t="shared" si="6"/>
        <v>__Incremental Annual O&amp;M ($)</v>
      </c>
      <c r="EY1" t="str">
        <f t="shared" si="6"/>
        <v>__Customer &amp; Dealer Incentives ($)</v>
      </c>
      <c r="EZ1" t="str">
        <f t="shared" si="6"/>
        <v>__Implementation Costs ($)</v>
      </c>
      <c r="FA1" t="str">
        <f t="shared" si="6"/>
        <v>__Electric kWh  Benefits</v>
      </c>
      <c r="FB1" t="str">
        <f t="shared" si="6"/>
        <v>__Electric kW Peak Demand Benefits</v>
      </c>
      <c r="FC1" t="str">
        <f t="shared" si="6"/>
        <v>__Natural Gas Therms Benefits</v>
      </c>
    </row>
    <row r="2" spans="1:168" s="5" customFormat="1" ht="16" thickBot="1">
      <c r="A2" s="1" t="s">
        <v>323</v>
      </c>
      <c r="B2" s="4"/>
      <c r="C2" s="4"/>
      <c r="U2" s="6"/>
      <c r="V2" s="6"/>
      <c r="W2" s="6"/>
      <c r="X2" s="6"/>
      <c r="Y2" s="6"/>
      <c r="Z2" s="6"/>
      <c r="AA2" s="6"/>
      <c r="AB2" s="6"/>
      <c r="AC2" s="6"/>
      <c r="AD2" s="6"/>
      <c r="AE2" s="6"/>
      <c r="AF2" s="6"/>
      <c r="AG2" s="6"/>
      <c r="AH2" s="6"/>
      <c r="AI2" s="6"/>
      <c r="AJ2" s="6"/>
      <c r="AK2" s="6"/>
      <c r="AL2" s="6"/>
      <c r="AM2" s="6"/>
      <c r="AN2" s="7"/>
      <c r="AO2" s="7"/>
      <c r="AP2" s="7"/>
      <c r="AQ2" s="7"/>
      <c r="AR2" s="7"/>
      <c r="AS2" s="7"/>
      <c r="AT2" s="7"/>
      <c r="AU2" s="7"/>
      <c r="BB2" s="1387" t="s">
        <v>327</v>
      </c>
      <c r="BC2" s="1388"/>
      <c r="BD2" s="1388"/>
      <c r="BE2" s="1388"/>
      <c r="BF2" s="1388"/>
      <c r="BG2" s="1388"/>
      <c r="BH2" s="1388"/>
      <c r="BI2" s="1388"/>
      <c r="BJ2" s="1388"/>
      <c r="BK2" s="1388"/>
      <c r="BL2" s="1388"/>
      <c r="BM2" s="1388"/>
      <c r="BN2" s="1388"/>
      <c r="BO2" s="1388"/>
      <c r="BP2" s="1388"/>
      <c r="BQ2" s="1388"/>
      <c r="BR2" s="1388"/>
      <c r="BS2" s="1388"/>
      <c r="BT2" s="1388"/>
      <c r="BU2" s="1388"/>
      <c r="BV2" s="1388"/>
      <c r="BW2" s="1388"/>
      <c r="BX2" s="1388"/>
      <c r="BY2" s="1388"/>
      <c r="BZ2" s="1388"/>
      <c r="CA2" s="1388"/>
      <c r="CB2" s="1388"/>
      <c r="CC2" s="1389"/>
      <c r="CD2" s="434" t="s">
        <v>328</v>
      </c>
      <c r="CE2" s="435"/>
      <c r="CF2" s="435"/>
      <c r="CG2" s="435"/>
      <c r="CH2" s="436"/>
      <c r="CI2" s="436"/>
      <c r="CJ2" s="437"/>
      <c r="CK2" s="1381" t="s">
        <v>329</v>
      </c>
      <c r="CL2" s="1382"/>
      <c r="CM2" s="1382"/>
      <c r="CN2" s="1382"/>
      <c r="CO2" s="1382"/>
      <c r="CP2" s="1382"/>
      <c r="CQ2" s="1383"/>
      <c r="CR2" s="1381" t="s">
        <v>330</v>
      </c>
      <c r="CS2" s="1382"/>
      <c r="CT2" s="1382"/>
      <c r="CU2" s="1382"/>
      <c r="CV2" s="1382"/>
      <c r="CW2" s="1382"/>
      <c r="CX2" s="1383"/>
      <c r="CY2" s="1384" t="s">
        <v>327</v>
      </c>
      <c r="CZ2" s="1385"/>
      <c r="DA2" s="1385"/>
      <c r="DB2" s="1385"/>
      <c r="DC2" s="1385"/>
      <c r="DD2" s="1385"/>
      <c r="DE2" s="1385"/>
      <c r="DF2" s="1385"/>
      <c r="DG2" s="1385"/>
      <c r="DH2" s="1385"/>
      <c r="DI2" s="1385"/>
      <c r="DJ2" s="1385"/>
      <c r="DK2" s="1385"/>
      <c r="DL2" s="1385"/>
      <c r="DM2" s="1385"/>
      <c r="DN2" s="1385"/>
      <c r="DO2" s="1385"/>
      <c r="DP2" s="1385"/>
      <c r="DQ2" s="1385"/>
      <c r="DR2" s="1385"/>
      <c r="DS2" s="1385"/>
      <c r="DT2" s="1385"/>
      <c r="DU2" s="1385"/>
      <c r="DV2" s="1385"/>
      <c r="DW2" s="1385"/>
      <c r="DX2" s="1385"/>
      <c r="DY2" s="1385"/>
      <c r="DZ2" s="1386"/>
      <c r="EA2" s="1390" t="s">
        <v>328</v>
      </c>
      <c r="EB2" s="1390"/>
      <c r="EC2" s="1390"/>
      <c r="ED2" s="1390"/>
      <c r="EE2" s="1390"/>
      <c r="EF2" s="1390"/>
      <c r="EG2" s="1390"/>
      <c r="EH2" s="1381" t="s">
        <v>329</v>
      </c>
      <c r="EI2" s="1382"/>
      <c r="EJ2" s="1382"/>
      <c r="EK2" s="1382"/>
      <c r="EL2" s="1382"/>
      <c r="EM2" s="1382"/>
      <c r="EN2" s="1383"/>
      <c r="EO2" s="1381" t="s">
        <v>330</v>
      </c>
      <c r="EP2" s="1382"/>
      <c r="EQ2" s="1382"/>
      <c r="ER2" s="1382"/>
      <c r="ES2" s="1382"/>
      <c r="ET2" s="1382"/>
      <c r="EU2" s="1383"/>
    </row>
    <row r="3" spans="1:168">
      <c r="B3" s="8"/>
      <c r="C3" s="8"/>
      <c r="T3" s="2"/>
      <c r="W3" s="3">
        <v>1</v>
      </c>
      <c r="X3" s="3">
        <v>2</v>
      </c>
      <c r="Y3" s="3">
        <v>3</v>
      </c>
      <c r="Z3" s="3">
        <v>4</v>
      </c>
      <c r="AK3" s="3"/>
      <c r="AL3" s="3"/>
      <c r="AM3" s="3"/>
      <c r="AN3" s="9"/>
      <c r="AO3" s="9"/>
      <c r="AP3" s="9"/>
      <c r="AQ3" s="9"/>
      <c r="AR3" s="9"/>
      <c r="AS3" s="9"/>
      <c r="AT3" s="9"/>
      <c r="AU3" s="9"/>
      <c r="BB3" s="109" t="s">
        <v>331</v>
      </c>
      <c r="BC3" s="110" t="s">
        <v>331</v>
      </c>
      <c r="BD3" s="110" t="s">
        <v>331</v>
      </c>
      <c r="BE3" s="110" t="s">
        <v>331</v>
      </c>
      <c r="BF3" s="110" t="s">
        <v>331</v>
      </c>
      <c r="BG3" s="110" t="s">
        <v>331</v>
      </c>
      <c r="BH3" s="111" t="s">
        <v>331</v>
      </c>
      <c r="BI3" s="288" t="s">
        <v>331</v>
      </c>
      <c r="BJ3" s="110" t="s">
        <v>331</v>
      </c>
      <c r="BK3" s="110" t="s">
        <v>331</v>
      </c>
      <c r="BL3" s="110" t="s">
        <v>331</v>
      </c>
      <c r="BM3" s="110" t="s">
        <v>331</v>
      </c>
      <c r="BN3" s="110" t="s">
        <v>331</v>
      </c>
      <c r="BO3" s="282" t="s">
        <v>331</v>
      </c>
      <c r="BP3" s="109" t="s">
        <v>331</v>
      </c>
      <c r="BQ3" s="110" t="s">
        <v>331</v>
      </c>
      <c r="BR3" s="110" t="s">
        <v>331</v>
      </c>
      <c r="BS3" s="110" t="s">
        <v>331</v>
      </c>
      <c r="BT3" s="110" t="s">
        <v>331</v>
      </c>
      <c r="BU3" s="110" t="s">
        <v>331</v>
      </c>
      <c r="BV3" s="111" t="s">
        <v>331</v>
      </c>
      <c r="BW3" s="110" t="s">
        <v>331</v>
      </c>
      <c r="BX3" s="110" t="s">
        <v>331</v>
      </c>
      <c r="BY3" s="110" t="s">
        <v>331</v>
      </c>
      <c r="BZ3" s="110" t="s">
        <v>331</v>
      </c>
      <c r="CA3" s="110" t="s">
        <v>331</v>
      </c>
      <c r="CB3" s="110" t="s">
        <v>331</v>
      </c>
      <c r="CC3" s="282" t="s">
        <v>331</v>
      </c>
      <c r="CD3" s="112" t="s">
        <v>331</v>
      </c>
      <c r="CE3" s="113" t="s">
        <v>331</v>
      </c>
      <c r="CF3" s="113" t="s">
        <v>331</v>
      </c>
      <c r="CG3" s="113" t="s">
        <v>331</v>
      </c>
      <c r="CH3" s="113" t="s">
        <v>331</v>
      </c>
      <c r="CI3" s="113" t="s">
        <v>331</v>
      </c>
      <c r="CJ3" s="114" t="s">
        <v>331</v>
      </c>
      <c r="CK3" s="112" t="s">
        <v>331</v>
      </c>
      <c r="CL3" s="113" t="s">
        <v>331</v>
      </c>
      <c r="CM3" s="113" t="s">
        <v>331</v>
      </c>
      <c r="CN3" s="113" t="s">
        <v>331</v>
      </c>
      <c r="CO3" s="113" t="s">
        <v>331</v>
      </c>
      <c r="CP3" s="113" t="s">
        <v>331</v>
      </c>
      <c r="CQ3" s="114" t="s">
        <v>331</v>
      </c>
      <c r="CR3" s="289" t="s">
        <v>331</v>
      </c>
      <c r="CS3" s="113" t="s">
        <v>331</v>
      </c>
      <c r="CT3" s="113" t="s">
        <v>331</v>
      </c>
      <c r="CU3" s="113" t="s">
        <v>331</v>
      </c>
      <c r="CV3" s="113" t="s">
        <v>331</v>
      </c>
      <c r="CW3" s="113" t="s">
        <v>331</v>
      </c>
      <c r="CX3" s="283" t="s">
        <v>331</v>
      </c>
      <c r="CY3" s="109" t="s">
        <v>0</v>
      </c>
      <c r="CZ3" s="110" t="s">
        <v>0</v>
      </c>
      <c r="DA3" s="110" t="s">
        <v>0</v>
      </c>
      <c r="DB3" s="110" t="s">
        <v>0</v>
      </c>
      <c r="DC3" s="110" t="s">
        <v>0</v>
      </c>
      <c r="DD3" s="110" t="s">
        <v>0</v>
      </c>
      <c r="DE3" s="111" t="s">
        <v>0</v>
      </c>
      <c r="DF3" s="109" t="s">
        <v>0</v>
      </c>
      <c r="DG3" s="110" t="s">
        <v>0</v>
      </c>
      <c r="DH3" s="110" t="s">
        <v>0</v>
      </c>
      <c r="DI3" s="110" t="s">
        <v>0</v>
      </c>
      <c r="DJ3" s="110" t="s">
        <v>0</v>
      </c>
      <c r="DK3" s="110" t="s">
        <v>0</v>
      </c>
      <c r="DL3" s="111" t="s">
        <v>0</v>
      </c>
      <c r="DM3" s="288" t="s">
        <v>0</v>
      </c>
      <c r="DN3" s="110" t="s">
        <v>0</v>
      </c>
      <c r="DO3" s="110" t="s">
        <v>0</v>
      </c>
      <c r="DP3" s="110" t="s">
        <v>0</v>
      </c>
      <c r="DQ3" s="110" t="s">
        <v>0</v>
      </c>
      <c r="DR3" s="110" t="s">
        <v>0</v>
      </c>
      <c r="DS3" s="282" t="s">
        <v>0</v>
      </c>
      <c r="DT3" s="109" t="s">
        <v>0</v>
      </c>
      <c r="DU3" s="110" t="s">
        <v>0</v>
      </c>
      <c r="DV3" s="110" t="s">
        <v>0</v>
      </c>
      <c r="DW3" s="110" t="s">
        <v>0</v>
      </c>
      <c r="DX3" s="110" t="s">
        <v>0</v>
      </c>
      <c r="DY3" s="110" t="s">
        <v>0</v>
      </c>
      <c r="DZ3" s="111" t="s">
        <v>0</v>
      </c>
      <c r="EA3" s="116" t="s">
        <v>0</v>
      </c>
      <c r="EB3" s="116" t="s">
        <v>0</v>
      </c>
      <c r="EC3" s="116" t="s">
        <v>0</v>
      </c>
      <c r="ED3" s="116" t="s">
        <v>0</v>
      </c>
      <c r="EE3" s="116" t="s">
        <v>0</v>
      </c>
      <c r="EF3" s="116" t="s">
        <v>0</v>
      </c>
      <c r="EG3" s="284" t="s">
        <v>0</v>
      </c>
      <c r="EH3" s="115" t="s">
        <v>0</v>
      </c>
      <c r="EI3" s="116" t="s">
        <v>0</v>
      </c>
      <c r="EJ3" s="116" t="s">
        <v>0</v>
      </c>
      <c r="EK3" s="116" t="s">
        <v>0</v>
      </c>
      <c r="EL3" s="116" t="s">
        <v>0</v>
      </c>
      <c r="EM3" s="116" t="s">
        <v>0</v>
      </c>
      <c r="EN3" s="117" t="s">
        <v>0</v>
      </c>
      <c r="EO3" s="115" t="s">
        <v>0</v>
      </c>
      <c r="EP3" s="116" t="s">
        <v>0</v>
      </c>
      <c r="EQ3" s="116" t="s">
        <v>0</v>
      </c>
      <c r="ER3" s="116" t="s">
        <v>0</v>
      </c>
      <c r="ES3" s="116" t="s">
        <v>0</v>
      </c>
      <c r="ET3" s="116" t="s">
        <v>0</v>
      </c>
      <c r="EU3" s="117" t="s">
        <v>0</v>
      </c>
    </row>
    <row r="4" spans="1:168"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1375"/>
      <c r="AC4" s="1375"/>
      <c r="AD4" s="1375"/>
      <c r="AE4" s="1375"/>
      <c r="AF4" s="1375"/>
      <c r="AG4" s="1375"/>
      <c r="AH4" s="440"/>
      <c r="AI4" s="440"/>
      <c r="AJ4" s="440"/>
      <c r="AK4" s="1376" t="s">
        <v>335</v>
      </c>
      <c r="AL4" s="1377"/>
      <c r="AM4" s="1377"/>
      <c r="AN4" s="1377"/>
      <c r="AO4" s="1377"/>
      <c r="AP4" s="1377"/>
      <c r="AQ4" s="1377"/>
      <c r="AR4" s="1377"/>
      <c r="AS4" s="1377"/>
      <c r="AT4" s="1377"/>
      <c r="AU4" s="1377"/>
      <c r="AV4" s="1377"/>
      <c r="AW4" s="1377"/>
      <c r="AX4" s="1378"/>
      <c r="AY4" s="687" t="s">
        <v>336</v>
      </c>
      <c r="AZ4" s="1376" t="s">
        <v>337</v>
      </c>
      <c r="BA4" s="1377"/>
      <c r="BB4" s="688" t="s">
        <v>128</v>
      </c>
      <c r="BC4" s="476" t="s">
        <v>128</v>
      </c>
      <c r="BD4" s="476" t="s">
        <v>128</v>
      </c>
      <c r="BE4" s="476" t="s">
        <v>128</v>
      </c>
      <c r="BF4" s="476" t="s">
        <v>128</v>
      </c>
      <c r="BG4" s="476" t="s">
        <v>128</v>
      </c>
      <c r="BH4" s="689" t="s">
        <v>128</v>
      </c>
      <c r="BI4" s="490" t="s">
        <v>129</v>
      </c>
      <c r="BJ4" s="476" t="s">
        <v>129</v>
      </c>
      <c r="BK4" s="476" t="s">
        <v>129</v>
      </c>
      <c r="BL4" s="476" t="s">
        <v>129</v>
      </c>
      <c r="BM4" s="476" t="s">
        <v>129</v>
      </c>
      <c r="BN4" s="476" t="s">
        <v>129</v>
      </c>
      <c r="BO4" s="502" t="s">
        <v>129</v>
      </c>
      <c r="BP4" s="688" t="s">
        <v>130</v>
      </c>
      <c r="BQ4" s="476" t="s">
        <v>130</v>
      </c>
      <c r="BR4" s="476" t="s">
        <v>130</v>
      </c>
      <c r="BS4" s="476" t="s">
        <v>130</v>
      </c>
      <c r="BT4" s="476" t="s">
        <v>130</v>
      </c>
      <c r="BU4" s="476" t="s">
        <v>130</v>
      </c>
      <c r="BV4" s="689" t="s">
        <v>130</v>
      </c>
      <c r="BW4" s="476" t="s">
        <v>338</v>
      </c>
      <c r="BX4" s="476" t="s">
        <v>338</v>
      </c>
      <c r="BY4" s="476" t="s">
        <v>338</v>
      </c>
      <c r="BZ4" s="476" t="s">
        <v>338</v>
      </c>
      <c r="CA4" s="476" t="s">
        <v>338</v>
      </c>
      <c r="CB4" s="476" t="s">
        <v>338</v>
      </c>
      <c r="CC4" s="502" t="s">
        <v>338</v>
      </c>
      <c r="CD4" s="690" t="s">
        <v>131</v>
      </c>
      <c r="CE4" s="477" t="s">
        <v>131</v>
      </c>
      <c r="CF4" s="477" t="s">
        <v>131</v>
      </c>
      <c r="CG4" s="477" t="s">
        <v>131</v>
      </c>
      <c r="CH4" s="477" t="s">
        <v>131</v>
      </c>
      <c r="CI4" s="477" t="s">
        <v>131</v>
      </c>
      <c r="CJ4" s="691" t="s">
        <v>131</v>
      </c>
      <c r="CK4" s="690" t="s">
        <v>132</v>
      </c>
      <c r="CL4" s="477" t="s">
        <v>132</v>
      </c>
      <c r="CM4" s="477" t="s">
        <v>132</v>
      </c>
      <c r="CN4" s="477" t="s">
        <v>132</v>
      </c>
      <c r="CO4" s="477" t="s">
        <v>132</v>
      </c>
      <c r="CP4" s="477" t="s">
        <v>132</v>
      </c>
      <c r="CQ4" s="691" t="s">
        <v>132</v>
      </c>
      <c r="CR4" s="505" t="s">
        <v>133</v>
      </c>
      <c r="CS4" s="477" t="s">
        <v>133</v>
      </c>
      <c r="CT4" s="477" t="s">
        <v>133</v>
      </c>
      <c r="CU4" s="477" t="s">
        <v>133</v>
      </c>
      <c r="CV4" s="477" t="s">
        <v>133</v>
      </c>
      <c r="CW4" s="477" t="s">
        <v>133</v>
      </c>
      <c r="CX4" s="512" t="s">
        <v>133</v>
      </c>
      <c r="CY4" s="688" t="s">
        <v>128</v>
      </c>
      <c r="CZ4" s="476" t="s">
        <v>128</v>
      </c>
      <c r="DA4" s="476" t="s">
        <v>128</v>
      </c>
      <c r="DB4" s="476" t="s">
        <v>128</v>
      </c>
      <c r="DC4" s="476" t="s">
        <v>128</v>
      </c>
      <c r="DD4" s="476" t="s">
        <v>128</v>
      </c>
      <c r="DE4" s="689" t="s">
        <v>128</v>
      </c>
      <c r="DF4" s="688" t="s">
        <v>129</v>
      </c>
      <c r="DG4" s="476" t="s">
        <v>129</v>
      </c>
      <c r="DH4" s="476" t="s">
        <v>129</v>
      </c>
      <c r="DI4" s="476" t="s">
        <v>129</v>
      </c>
      <c r="DJ4" s="476" t="s">
        <v>129</v>
      </c>
      <c r="DK4" s="476" t="s">
        <v>129</v>
      </c>
      <c r="DL4" s="689" t="s">
        <v>129</v>
      </c>
      <c r="DM4" s="490" t="s">
        <v>130</v>
      </c>
      <c r="DN4" s="476" t="s">
        <v>130</v>
      </c>
      <c r="DO4" s="476" t="s">
        <v>130</v>
      </c>
      <c r="DP4" s="476" t="s">
        <v>130</v>
      </c>
      <c r="DQ4" s="476" t="s">
        <v>130</v>
      </c>
      <c r="DR4" s="476" t="s">
        <v>130</v>
      </c>
      <c r="DS4" s="502" t="s">
        <v>130</v>
      </c>
      <c r="DT4" s="688" t="s">
        <v>165</v>
      </c>
      <c r="DU4" s="476" t="s">
        <v>165</v>
      </c>
      <c r="DV4" s="476" t="s">
        <v>165</v>
      </c>
      <c r="DW4" s="476" t="s">
        <v>165</v>
      </c>
      <c r="DX4" s="476" t="s">
        <v>165</v>
      </c>
      <c r="DY4" s="476" t="s">
        <v>165</v>
      </c>
      <c r="DZ4" s="689" t="s">
        <v>165</v>
      </c>
      <c r="EA4" s="477" t="s">
        <v>131</v>
      </c>
      <c r="EB4" s="477" t="s">
        <v>131</v>
      </c>
      <c r="EC4" s="477" t="s">
        <v>131</v>
      </c>
      <c r="ED4" s="477" t="s">
        <v>131</v>
      </c>
      <c r="EE4" s="477" t="s">
        <v>131</v>
      </c>
      <c r="EF4" s="477" t="s">
        <v>131</v>
      </c>
      <c r="EG4" s="512" t="s">
        <v>131</v>
      </c>
      <c r="EH4" s="690" t="s">
        <v>132</v>
      </c>
      <c r="EI4" s="477" t="s">
        <v>132</v>
      </c>
      <c r="EJ4" s="477" t="s">
        <v>132</v>
      </c>
      <c r="EK4" s="477" t="s">
        <v>132</v>
      </c>
      <c r="EL4" s="477" t="s">
        <v>132</v>
      </c>
      <c r="EM4" s="477" t="s">
        <v>132</v>
      </c>
      <c r="EN4" s="691" t="s">
        <v>132</v>
      </c>
      <c r="EO4" s="690" t="s">
        <v>133</v>
      </c>
      <c r="EP4" s="477" t="s">
        <v>133</v>
      </c>
      <c r="EQ4" s="477" t="s">
        <v>133</v>
      </c>
      <c r="ER4" s="477" t="s">
        <v>133</v>
      </c>
      <c r="ES4" s="477" t="s">
        <v>133</v>
      </c>
      <c r="ET4" s="477" t="s">
        <v>133</v>
      </c>
      <c r="EU4" s="691" t="s">
        <v>133</v>
      </c>
      <c r="EV4" s="1345" t="s">
        <v>134</v>
      </c>
      <c r="EW4" s="1342"/>
      <c r="EX4" s="1342"/>
      <c r="EY4" s="1342"/>
      <c r="EZ4" s="1342"/>
      <c r="FA4" s="1342"/>
      <c r="FB4" s="1342"/>
      <c r="FC4" s="1342"/>
    </row>
    <row r="5" spans="1:168"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4">
        <v>2017</v>
      </c>
      <c r="X5" s="694">
        <v>2018</v>
      </c>
      <c r="Y5" s="694">
        <v>2019</v>
      </c>
      <c r="Z5" s="694">
        <v>2020</v>
      </c>
      <c r="AA5" s="694" t="s">
        <v>356</v>
      </c>
      <c r="AB5" s="694" t="s">
        <v>357</v>
      </c>
      <c r="AC5" s="695" t="s">
        <v>358</v>
      </c>
      <c r="AD5" s="695" t="s">
        <v>15</v>
      </c>
      <c r="AE5" s="695" t="s">
        <v>16</v>
      </c>
      <c r="AF5" s="695" t="s">
        <v>17</v>
      </c>
      <c r="AG5" s="695" t="s">
        <v>18</v>
      </c>
      <c r="AH5" s="695" t="s">
        <v>19</v>
      </c>
      <c r="AI5" s="695" t="s">
        <v>20</v>
      </c>
      <c r="AJ5" s="696" t="s">
        <v>21</v>
      </c>
      <c r="AK5" s="697" t="s">
        <v>359</v>
      </c>
      <c r="AL5" s="697" t="s">
        <v>166</v>
      </c>
      <c r="AM5" s="697" t="s">
        <v>360</v>
      </c>
      <c r="AN5" s="697" t="s">
        <v>361</v>
      </c>
      <c r="AO5" s="697" t="s">
        <v>362</v>
      </c>
      <c r="AP5" s="697" t="s">
        <v>363</v>
      </c>
      <c r="AQ5" s="697" t="s">
        <v>364</v>
      </c>
      <c r="AR5" s="697" t="s">
        <v>365</v>
      </c>
      <c r="AS5" s="698" t="s">
        <v>167</v>
      </c>
      <c r="AT5" s="698" t="s">
        <v>168</v>
      </c>
      <c r="AU5" s="698" t="s">
        <v>169</v>
      </c>
      <c r="AV5" s="697" t="s">
        <v>170</v>
      </c>
      <c r="AW5" s="697" t="s">
        <v>366</v>
      </c>
      <c r="AX5" s="699" t="s">
        <v>367</v>
      </c>
      <c r="AY5" s="699" t="s">
        <v>368</v>
      </c>
      <c r="AZ5" s="699" t="s">
        <v>369</v>
      </c>
      <c r="BA5" s="699" t="s">
        <v>370</v>
      </c>
      <c r="BB5" s="700">
        <v>2024</v>
      </c>
      <c r="BC5" s="486">
        <v>2025</v>
      </c>
      <c r="BD5" s="486">
        <v>2026</v>
      </c>
      <c r="BE5" s="486">
        <v>2027</v>
      </c>
      <c r="BF5" s="486">
        <v>2028</v>
      </c>
      <c r="BG5" s="486">
        <v>2029</v>
      </c>
      <c r="BH5" s="701">
        <v>2030</v>
      </c>
      <c r="BI5" s="485">
        <v>2024</v>
      </c>
      <c r="BJ5" s="486">
        <v>2025</v>
      </c>
      <c r="BK5" s="486">
        <v>2026</v>
      </c>
      <c r="BL5" s="486">
        <v>2027</v>
      </c>
      <c r="BM5" s="486">
        <v>2028</v>
      </c>
      <c r="BN5" s="486">
        <v>2029</v>
      </c>
      <c r="BO5" s="702">
        <v>2030</v>
      </c>
      <c r="BP5" s="700">
        <v>2024</v>
      </c>
      <c r="BQ5" s="486">
        <v>2025</v>
      </c>
      <c r="BR5" s="486">
        <v>2026</v>
      </c>
      <c r="BS5" s="486">
        <v>2027</v>
      </c>
      <c r="BT5" s="486">
        <v>2028</v>
      </c>
      <c r="BU5" s="486">
        <v>2029</v>
      </c>
      <c r="BV5" s="701">
        <v>2030</v>
      </c>
      <c r="BW5" s="486">
        <v>2024</v>
      </c>
      <c r="BX5" s="486">
        <v>2025</v>
      </c>
      <c r="BY5" s="486">
        <v>2026</v>
      </c>
      <c r="BZ5" s="486">
        <v>2027</v>
      </c>
      <c r="CA5" s="486">
        <v>2028</v>
      </c>
      <c r="CB5" s="486">
        <v>2029</v>
      </c>
      <c r="CC5" s="702">
        <v>2030</v>
      </c>
      <c r="CD5" s="700">
        <v>2024</v>
      </c>
      <c r="CE5" s="486">
        <v>2025</v>
      </c>
      <c r="CF5" s="486">
        <v>2026</v>
      </c>
      <c r="CG5" s="486">
        <v>2027</v>
      </c>
      <c r="CH5" s="486">
        <v>2028</v>
      </c>
      <c r="CI5" s="486">
        <v>2029</v>
      </c>
      <c r="CJ5" s="701">
        <v>2030</v>
      </c>
      <c r="CK5" s="700">
        <v>2024</v>
      </c>
      <c r="CL5" s="486">
        <v>2025</v>
      </c>
      <c r="CM5" s="486">
        <v>2026</v>
      </c>
      <c r="CN5" s="486">
        <v>2027</v>
      </c>
      <c r="CO5" s="486">
        <v>2028</v>
      </c>
      <c r="CP5" s="486">
        <v>2029</v>
      </c>
      <c r="CQ5" s="701">
        <v>2030</v>
      </c>
      <c r="CR5" s="485">
        <v>2024</v>
      </c>
      <c r="CS5" s="486">
        <v>2025</v>
      </c>
      <c r="CT5" s="486">
        <v>2026</v>
      </c>
      <c r="CU5" s="486">
        <v>2027</v>
      </c>
      <c r="CV5" s="486">
        <v>2028</v>
      </c>
      <c r="CW5" s="486">
        <v>2029</v>
      </c>
      <c r="CX5" s="702">
        <v>2030</v>
      </c>
      <c r="CY5" s="700">
        <v>2024</v>
      </c>
      <c r="CZ5" s="486">
        <v>2025</v>
      </c>
      <c r="DA5" s="486">
        <v>2026</v>
      </c>
      <c r="DB5" s="486">
        <v>2027</v>
      </c>
      <c r="DC5" s="486">
        <v>2028</v>
      </c>
      <c r="DD5" s="486">
        <v>2029</v>
      </c>
      <c r="DE5" s="701">
        <v>2030</v>
      </c>
      <c r="DF5" s="700">
        <v>2024</v>
      </c>
      <c r="DG5" s="486">
        <v>2025</v>
      </c>
      <c r="DH5" s="486">
        <v>2026</v>
      </c>
      <c r="DI5" s="486">
        <v>2027</v>
      </c>
      <c r="DJ5" s="486">
        <v>2028</v>
      </c>
      <c r="DK5" s="486">
        <v>2029</v>
      </c>
      <c r="DL5" s="701">
        <v>2030</v>
      </c>
      <c r="DM5" s="485">
        <v>2024</v>
      </c>
      <c r="DN5" s="486">
        <v>2025</v>
      </c>
      <c r="DO5" s="486">
        <v>2026</v>
      </c>
      <c r="DP5" s="486">
        <v>2027</v>
      </c>
      <c r="DQ5" s="486">
        <v>2028</v>
      </c>
      <c r="DR5" s="486">
        <v>2029</v>
      </c>
      <c r="DS5" s="702">
        <v>2030</v>
      </c>
      <c r="DT5" s="700">
        <v>2024</v>
      </c>
      <c r="DU5" s="486">
        <v>2025</v>
      </c>
      <c r="DV5" s="486">
        <v>2026</v>
      </c>
      <c r="DW5" s="486">
        <v>2027</v>
      </c>
      <c r="DX5" s="486">
        <v>2028</v>
      </c>
      <c r="DY5" s="486">
        <v>2029</v>
      </c>
      <c r="DZ5" s="701">
        <v>2030</v>
      </c>
      <c r="EA5" s="486">
        <v>2024</v>
      </c>
      <c r="EB5" s="486">
        <v>2025</v>
      </c>
      <c r="EC5" s="486">
        <v>2026</v>
      </c>
      <c r="ED5" s="486">
        <v>2027</v>
      </c>
      <c r="EE5" s="486">
        <v>2028</v>
      </c>
      <c r="EF5" s="486">
        <v>2029</v>
      </c>
      <c r="EG5" s="702">
        <v>2030</v>
      </c>
      <c r="EH5" s="700">
        <v>2024</v>
      </c>
      <c r="EI5" s="486">
        <v>2025</v>
      </c>
      <c r="EJ5" s="486">
        <v>2026</v>
      </c>
      <c r="EK5" s="486">
        <v>2027</v>
      </c>
      <c r="EL5" s="486">
        <v>2028</v>
      </c>
      <c r="EM5" s="486">
        <v>2029</v>
      </c>
      <c r="EN5" s="701">
        <v>2030</v>
      </c>
      <c r="EO5" s="700">
        <v>2024</v>
      </c>
      <c r="EP5" s="486">
        <v>2025</v>
      </c>
      <c r="EQ5" s="486">
        <v>2026</v>
      </c>
      <c r="ER5" s="486">
        <v>2027</v>
      </c>
      <c r="ES5" s="486">
        <v>2028</v>
      </c>
      <c r="ET5" s="486">
        <v>2029</v>
      </c>
      <c r="EU5" s="701">
        <v>2030</v>
      </c>
      <c r="EV5" s="514" t="s">
        <v>9</v>
      </c>
      <c r="EW5" s="659" t="s">
        <v>139</v>
      </c>
      <c r="EX5" s="659" t="s">
        <v>140</v>
      </c>
      <c r="EY5" s="659" t="s">
        <v>141</v>
      </c>
      <c r="EZ5" s="659" t="s">
        <v>142</v>
      </c>
      <c r="FA5" s="659" t="s">
        <v>12</v>
      </c>
      <c r="FB5" s="659" t="s">
        <v>13</v>
      </c>
      <c r="FC5" s="659" t="s">
        <v>14</v>
      </c>
    </row>
    <row r="6" spans="1:168" s="10" customFormat="1" ht="12.75" customHeight="1">
      <c r="A6" s="662">
        <v>1</v>
      </c>
      <c r="B6" s="703" t="s">
        <v>323</v>
      </c>
      <c r="C6" s="703" t="s">
        <v>69</v>
      </c>
      <c r="D6" s="703" t="s">
        <v>321</v>
      </c>
      <c r="E6" s="703" t="s">
        <v>371</v>
      </c>
      <c r="F6" s="704" t="s">
        <v>372</v>
      </c>
      <c r="G6" s="705">
        <v>0</v>
      </c>
      <c r="H6" s="704">
        <v>0</v>
      </c>
      <c r="I6" s="706">
        <f>G6+H6</f>
        <v>0</v>
      </c>
      <c r="J6" s="704">
        <v>0</v>
      </c>
      <c r="K6" s="706">
        <f>I6*0.5</f>
        <v>0</v>
      </c>
      <c r="L6" s="2"/>
      <c r="M6" s="707">
        <v>0</v>
      </c>
      <c r="N6" s="708">
        <v>0</v>
      </c>
      <c r="O6" s="707">
        <v>0</v>
      </c>
      <c r="P6" s="709">
        <v>0</v>
      </c>
      <c r="Q6" s="710">
        <v>0</v>
      </c>
      <c r="R6" s="710">
        <v>0</v>
      </c>
      <c r="S6" s="710">
        <v>0</v>
      </c>
      <c r="T6" s="711" t="s">
        <v>373</v>
      </c>
      <c r="U6" s="712">
        <v>0</v>
      </c>
      <c r="V6" s="713">
        <v>1</v>
      </c>
      <c r="W6" s="661">
        <v>0</v>
      </c>
      <c r="X6" s="661">
        <v>0</v>
      </c>
      <c r="Y6" s="661">
        <v>0</v>
      </c>
      <c r="Z6" s="661">
        <v>0</v>
      </c>
      <c r="AA6" s="714">
        <v>0</v>
      </c>
      <c r="AB6" s="714">
        <v>0</v>
      </c>
      <c r="AC6" s="714">
        <v>1</v>
      </c>
      <c r="AD6" s="714">
        <v>1</v>
      </c>
      <c r="AE6" s="714">
        <v>1</v>
      </c>
      <c r="AF6" s="714">
        <v>1</v>
      </c>
      <c r="AG6" s="714">
        <v>1</v>
      </c>
      <c r="AH6" s="714">
        <v>1</v>
      </c>
      <c r="AI6" s="714">
        <v>1</v>
      </c>
      <c r="AJ6" s="714">
        <v>1</v>
      </c>
      <c r="AK6" s="711" t="s">
        <v>374</v>
      </c>
      <c r="AL6" s="711" t="s">
        <v>375</v>
      </c>
      <c r="AM6" s="711" t="s">
        <v>376</v>
      </c>
      <c r="AN6" s="711" t="s">
        <v>377</v>
      </c>
      <c r="AO6" s="711" t="s">
        <v>1</v>
      </c>
      <c r="AP6" s="711" t="s">
        <v>378</v>
      </c>
      <c r="AQ6" s="711" t="s">
        <v>378</v>
      </c>
      <c r="AR6" s="711" t="s">
        <v>378</v>
      </c>
      <c r="AS6" s="715" t="s">
        <v>379</v>
      </c>
      <c r="AT6" s="715" t="s">
        <v>380</v>
      </c>
      <c r="AU6" s="715" t="s">
        <v>381</v>
      </c>
      <c r="AV6" s="661">
        <v>1</v>
      </c>
      <c r="AW6" s="661">
        <f>AV6</f>
        <v>1</v>
      </c>
      <c r="AX6" s="711" t="s">
        <v>382</v>
      </c>
      <c r="AY6" s="716">
        <v>1</v>
      </c>
      <c r="AZ6" s="716">
        <v>1</v>
      </c>
      <c r="BA6" s="717">
        <v>1</v>
      </c>
      <c r="BB6" s="718">
        <f>I6</f>
        <v>0</v>
      </c>
      <c r="BC6" s="499">
        <f t="shared" ref="BC6:BD8" si="17">BB6</f>
        <v>0</v>
      </c>
      <c r="BD6" s="499">
        <f t="shared" si="17"/>
        <v>0</v>
      </c>
      <c r="BE6" s="499">
        <f t="shared" ref="BE6:BH6" si="18">BB6</f>
        <v>0</v>
      </c>
      <c r="BF6" s="499">
        <f t="shared" si="18"/>
        <v>0</v>
      </c>
      <c r="BG6" s="499">
        <f t="shared" si="18"/>
        <v>0</v>
      </c>
      <c r="BH6" s="719">
        <f t="shared" si="18"/>
        <v>0</v>
      </c>
      <c r="BI6" s="497">
        <f>J6</f>
        <v>0</v>
      </c>
      <c r="BJ6" s="499">
        <f t="shared" ref="BJ6:BO8" si="19">BI6</f>
        <v>0</v>
      </c>
      <c r="BK6" s="499">
        <f t="shared" si="19"/>
        <v>0</v>
      </c>
      <c r="BL6" s="499">
        <f>BK6</f>
        <v>0</v>
      </c>
      <c r="BM6" s="499">
        <f t="shared" ref="BM6" si="20">BL6</f>
        <v>0</v>
      </c>
      <c r="BN6" s="499">
        <f>BM6</f>
        <v>0</v>
      </c>
      <c r="BO6" s="720">
        <f>BN6</f>
        <v>0</v>
      </c>
      <c r="BP6" s="721">
        <f>N6+O6</f>
        <v>0</v>
      </c>
      <c r="BQ6" s="499">
        <f t="shared" ref="BQ6:BV8" si="21">BP6</f>
        <v>0</v>
      </c>
      <c r="BR6" s="499">
        <f t="shared" si="21"/>
        <v>0</v>
      </c>
      <c r="BS6" s="499">
        <f>BR6</f>
        <v>0</v>
      </c>
      <c r="BT6" s="499">
        <f t="shared" ref="BT6:BV6" si="22">BS6</f>
        <v>0</v>
      </c>
      <c r="BU6" s="499">
        <f t="shared" si="22"/>
        <v>0</v>
      </c>
      <c r="BV6" s="719">
        <f t="shared" si="22"/>
        <v>0</v>
      </c>
      <c r="BW6" s="503">
        <f t="shared" ref="BW6:CC10" si="23">$P6</f>
        <v>0</v>
      </c>
      <c r="BX6" s="503">
        <f t="shared" si="23"/>
        <v>0</v>
      </c>
      <c r="BY6" s="503">
        <f t="shared" si="23"/>
        <v>0</v>
      </c>
      <c r="BZ6" s="503">
        <f t="shared" si="23"/>
        <v>0</v>
      </c>
      <c r="CA6" s="503">
        <f t="shared" si="23"/>
        <v>0</v>
      </c>
      <c r="CB6" s="503">
        <f t="shared" si="23"/>
        <v>0</v>
      </c>
      <c r="CC6" s="645">
        <f t="shared" si="23"/>
        <v>0</v>
      </c>
      <c r="CD6" s="722">
        <f>Q6*AZ6</f>
        <v>0</v>
      </c>
      <c r="CE6" s="511">
        <f t="shared" ref="CE6:CJ8" si="24">CD6</f>
        <v>0</v>
      </c>
      <c r="CF6" s="511">
        <f t="shared" si="24"/>
        <v>0</v>
      </c>
      <c r="CG6" s="511">
        <f>CF6</f>
        <v>0</v>
      </c>
      <c r="CH6" s="511">
        <f t="shared" ref="CH6:CJ6" si="25">CG6</f>
        <v>0</v>
      </c>
      <c r="CI6" s="511">
        <f t="shared" si="25"/>
        <v>0</v>
      </c>
      <c r="CJ6" s="723">
        <f t="shared" si="25"/>
        <v>0</v>
      </c>
      <c r="CK6" s="722">
        <f>R6*AZ6</f>
        <v>0</v>
      </c>
      <c r="CL6" s="511">
        <f t="shared" ref="CL6:CQ8" si="26">CK6</f>
        <v>0</v>
      </c>
      <c r="CM6" s="511">
        <f t="shared" si="26"/>
        <v>0</v>
      </c>
      <c r="CN6" s="511">
        <f>CM6</f>
        <v>0</v>
      </c>
      <c r="CO6" s="511">
        <f t="shared" ref="CO6:CQ6" si="27">CN6</f>
        <v>0</v>
      </c>
      <c r="CP6" s="511">
        <f t="shared" si="27"/>
        <v>0</v>
      </c>
      <c r="CQ6" s="723">
        <f t="shared" si="27"/>
        <v>0</v>
      </c>
      <c r="CR6" s="507">
        <f>S6*BA6</f>
        <v>0</v>
      </c>
      <c r="CS6" s="511">
        <f t="shared" ref="CS6:CT8" si="28">CR6</f>
        <v>0</v>
      </c>
      <c r="CT6" s="511">
        <f t="shared" si="28"/>
        <v>0</v>
      </c>
      <c r="CU6" s="511">
        <f>CT6</f>
        <v>0</v>
      </c>
      <c r="CV6" s="511">
        <f t="shared" ref="CV6:CX6" si="29">CU6</f>
        <v>0</v>
      </c>
      <c r="CW6" s="511">
        <f t="shared" si="29"/>
        <v>0</v>
      </c>
      <c r="CX6" s="539">
        <f t="shared" si="29"/>
        <v>0</v>
      </c>
      <c r="CY6" s="724">
        <f t="shared" ref="CY6:DE6" si="30">AD6*BB6</f>
        <v>0</v>
      </c>
      <c r="CZ6" s="508">
        <f t="shared" si="30"/>
        <v>0</v>
      </c>
      <c r="DA6" s="508">
        <f t="shared" si="30"/>
        <v>0</v>
      </c>
      <c r="DB6" s="508">
        <f t="shared" si="30"/>
        <v>0</v>
      </c>
      <c r="DC6" s="508">
        <f t="shared" si="30"/>
        <v>0</v>
      </c>
      <c r="DD6" s="508">
        <f t="shared" si="30"/>
        <v>0</v>
      </c>
      <c r="DE6" s="725">
        <f t="shared" si="30"/>
        <v>0</v>
      </c>
      <c r="DF6" s="724">
        <f t="shared" ref="DF6:DL6" si="31">AD6*BI6</f>
        <v>0</v>
      </c>
      <c r="DG6" s="508">
        <f t="shared" si="31"/>
        <v>0</v>
      </c>
      <c r="DH6" s="508">
        <f t="shared" si="31"/>
        <v>0</v>
      </c>
      <c r="DI6" s="508">
        <f t="shared" si="31"/>
        <v>0</v>
      </c>
      <c r="DJ6" s="508">
        <f t="shared" si="31"/>
        <v>0</v>
      </c>
      <c r="DK6" s="508">
        <f t="shared" si="31"/>
        <v>0</v>
      </c>
      <c r="DL6" s="725">
        <f t="shared" si="31"/>
        <v>0</v>
      </c>
      <c r="DM6" s="509">
        <f t="shared" ref="DM6:DS6" si="32">AD6*BP6</f>
        <v>0</v>
      </c>
      <c r="DN6" s="508">
        <f t="shared" si="32"/>
        <v>0</v>
      </c>
      <c r="DO6" s="508">
        <f t="shared" si="32"/>
        <v>0</v>
      </c>
      <c r="DP6" s="508">
        <f t="shared" si="32"/>
        <v>0</v>
      </c>
      <c r="DQ6" s="508">
        <f t="shared" si="32"/>
        <v>0</v>
      </c>
      <c r="DR6" s="508">
        <f t="shared" si="32"/>
        <v>0</v>
      </c>
      <c r="DS6" s="726">
        <f t="shared" si="32"/>
        <v>0</v>
      </c>
      <c r="DT6" s="724">
        <f t="shared" ref="DT6:DZ6" si="33">BW6*AD6</f>
        <v>0</v>
      </c>
      <c r="DU6" s="508">
        <f t="shared" si="33"/>
        <v>0</v>
      </c>
      <c r="DV6" s="508">
        <f t="shared" si="33"/>
        <v>0</v>
      </c>
      <c r="DW6" s="508">
        <f t="shared" si="33"/>
        <v>0</v>
      </c>
      <c r="DX6" s="508">
        <f t="shared" si="33"/>
        <v>0</v>
      </c>
      <c r="DY6" s="508">
        <f t="shared" si="33"/>
        <v>0</v>
      </c>
      <c r="DZ6" s="725">
        <f t="shared" si="33"/>
        <v>0</v>
      </c>
      <c r="EA6" s="511">
        <f t="shared" ref="EA6:EG6" si="34">AD6*CD6</f>
        <v>0</v>
      </c>
      <c r="EB6" s="511">
        <f t="shared" si="34"/>
        <v>0</v>
      </c>
      <c r="EC6" s="511">
        <f t="shared" si="34"/>
        <v>0</v>
      </c>
      <c r="ED6" s="511">
        <f t="shared" si="34"/>
        <v>0</v>
      </c>
      <c r="EE6" s="511">
        <f t="shared" si="34"/>
        <v>0</v>
      </c>
      <c r="EF6" s="511">
        <f t="shared" si="34"/>
        <v>0</v>
      </c>
      <c r="EG6" s="539">
        <f t="shared" si="34"/>
        <v>0</v>
      </c>
      <c r="EH6" s="722">
        <f t="shared" ref="EH6:EN6" si="35">AD6*CK6</f>
        <v>0</v>
      </c>
      <c r="EI6" s="511">
        <f t="shared" si="35"/>
        <v>0</v>
      </c>
      <c r="EJ6" s="511">
        <f t="shared" si="35"/>
        <v>0</v>
      </c>
      <c r="EK6" s="511">
        <f t="shared" si="35"/>
        <v>0</v>
      </c>
      <c r="EL6" s="511">
        <f t="shared" si="35"/>
        <v>0</v>
      </c>
      <c r="EM6" s="511">
        <f t="shared" si="35"/>
        <v>0</v>
      </c>
      <c r="EN6" s="723">
        <f t="shared" si="35"/>
        <v>0</v>
      </c>
      <c r="EO6" s="722">
        <f t="shared" ref="EO6:EU6" si="36">AD6*CR6</f>
        <v>0</v>
      </c>
      <c r="EP6" s="511">
        <f t="shared" si="36"/>
        <v>0</v>
      </c>
      <c r="EQ6" s="511">
        <f t="shared" si="36"/>
        <v>0</v>
      </c>
      <c r="ER6" s="511">
        <f t="shared" si="36"/>
        <v>0</v>
      </c>
      <c r="ES6" s="511">
        <f t="shared" si="36"/>
        <v>0</v>
      </c>
      <c r="ET6" s="511">
        <f t="shared" si="36"/>
        <v>0</v>
      </c>
      <c r="EU6" s="723">
        <f t="shared" si="36"/>
        <v>0</v>
      </c>
      <c r="EV6" s="727">
        <f>SUM(AD6:AJ6)</f>
        <v>7</v>
      </c>
      <c r="EW6" s="728">
        <f>SUM(CY6:DE6)</f>
        <v>0</v>
      </c>
      <c r="EX6" s="728">
        <f>SUM(DF6:DL6)</f>
        <v>0</v>
      </c>
      <c r="EY6" s="728">
        <f>SUM(DM6:DS6)</f>
        <v>0</v>
      </c>
      <c r="EZ6" s="728">
        <f>SUM(DT6:DZ6)</f>
        <v>0</v>
      </c>
      <c r="FA6" s="728">
        <f>SUM(EA6:EG6)</f>
        <v>0</v>
      </c>
      <c r="FB6" s="728">
        <f>SUM(EH6:EN6)</f>
        <v>0</v>
      </c>
      <c r="FC6" s="728">
        <f>SUM(EO6:EU6)</f>
        <v>0</v>
      </c>
      <c r="FE6" s="10" t="b">
        <f t="shared" ref="FE6:FL6" si="37">EV6=SUM(EV8,EV10)</f>
        <v>1</v>
      </c>
      <c r="FF6" s="10" t="b">
        <f t="shared" si="37"/>
        <v>1</v>
      </c>
      <c r="FG6" s="10" t="b">
        <f t="shared" si="37"/>
        <v>1</v>
      </c>
      <c r="FH6" s="10" t="b">
        <f t="shared" si="37"/>
        <v>1</v>
      </c>
      <c r="FI6" s="10" t="b">
        <f t="shared" si="37"/>
        <v>1</v>
      </c>
      <c r="FJ6" s="10" t="b">
        <f t="shared" si="37"/>
        <v>1</v>
      </c>
      <c r="FK6" s="10" t="b">
        <f t="shared" si="37"/>
        <v>1</v>
      </c>
      <c r="FL6" s="10" t="b">
        <f t="shared" si="37"/>
        <v>1</v>
      </c>
    </row>
    <row r="7" spans="1:168" s="10" customFormat="1" ht="12.75" customHeight="1">
      <c r="A7" s="729"/>
      <c r="B7" s="730"/>
      <c r="C7" s="730"/>
      <c r="D7" s="730"/>
      <c r="E7" s="730"/>
      <c r="F7" s="731"/>
      <c r="G7" s="731"/>
      <c r="H7" s="731"/>
      <c r="I7" s="732"/>
      <c r="J7" s="731"/>
      <c r="K7" s="732"/>
      <c r="L7" s="733"/>
      <c r="M7" s="734"/>
      <c r="N7" s="734"/>
      <c r="O7" s="734"/>
      <c r="P7" s="735"/>
      <c r="Q7" s="736"/>
      <c r="R7" s="737"/>
      <c r="S7" s="737"/>
      <c r="T7" s="733"/>
      <c r="U7" s="738"/>
      <c r="V7" s="739"/>
      <c r="W7" s="740"/>
      <c r="X7" s="740"/>
      <c r="Y7" s="740"/>
      <c r="Z7" s="740"/>
      <c r="AA7" s="741"/>
      <c r="AB7" s="741"/>
      <c r="AC7" s="742"/>
      <c r="AD7" s="742"/>
      <c r="AE7" s="742"/>
      <c r="AF7" s="742"/>
      <c r="AG7" s="742"/>
      <c r="AH7" s="742"/>
      <c r="AI7" s="742"/>
      <c r="AJ7" s="742"/>
      <c r="AK7" s="733"/>
      <c r="AL7" s="733"/>
      <c r="AM7" s="733"/>
      <c r="AN7" s="733"/>
      <c r="AO7" s="733"/>
      <c r="AP7" s="733"/>
      <c r="AQ7" s="733"/>
      <c r="AR7" s="733"/>
      <c r="AS7" s="743"/>
      <c r="AT7" s="743"/>
      <c r="AU7" s="743"/>
      <c r="AV7" s="740"/>
      <c r="AW7" s="740"/>
      <c r="AX7" s="733"/>
      <c r="AY7" s="733"/>
      <c r="AZ7" s="733"/>
      <c r="BA7" s="744"/>
      <c r="BB7" s="745"/>
      <c r="BC7" s="746"/>
      <c r="BD7" s="746"/>
      <c r="BE7" s="746"/>
      <c r="BF7" s="746"/>
      <c r="BG7" s="746"/>
      <c r="BH7" s="747"/>
      <c r="BI7" s="748"/>
      <c r="BJ7" s="746"/>
      <c r="BK7" s="746"/>
      <c r="BL7" s="746"/>
      <c r="BM7" s="746"/>
      <c r="BN7" s="746"/>
      <c r="BO7" s="749"/>
      <c r="BP7" s="745"/>
      <c r="BQ7" s="746"/>
      <c r="BR7" s="746"/>
      <c r="BS7" s="746"/>
      <c r="BT7" s="746"/>
      <c r="BU7" s="746"/>
      <c r="BV7" s="747"/>
      <c r="BW7" s="746"/>
      <c r="BX7" s="746"/>
      <c r="BY7" s="746"/>
      <c r="BZ7" s="746"/>
      <c r="CA7" s="746"/>
      <c r="CB7" s="746"/>
      <c r="CC7" s="749"/>
      <c r="CD7" s="750"/>
      <c r="CE7" s="487"/>
      <c r="CF7" s="487"/>
      <c r="CG7" s="487"/>
      <c r="CH7" s="487"/>
      <c r="CI7" s="487"/>
      <c r="CJ7" s="751"/>
      <c r="CK7" s="750"/>
      <c r="CL7" s="487"/>
      <c r="CM7" s="487"/>
      <c r="CN7" s="487"/>
      <c r="CO7" s="487"/>
      <c r="CP7" s="487"/>
      <c r="CQ7" s="751"/>
      <c r="CR7" s="510"/>
      <c r="CS7" s="487"/>
      <c r="CT7" s="487"/>
      <c r="CU7" s="487"/>
      <c r="CV7" s="487"/>
      <c r="CW7" s="487"/>
      <c r="CX7" s="513"/>
      <c r="CY7" s="752"/>
      <c r="CZ7" s="492"/>
      <c r="DA7" s="492"/>
      <c r="DB7" s="492"/>
      <c r="DC7" s="492"/>
      <c r="DD7" s="492"/>
      <c r="DE7" s="753"/>
      <c r="DF7" s="752"/>
      <c r="DG7" s="492"/>
      <c r="DH7" s="492"/>
      <c r="DI7" s="492"/>
      <c r="DJ7" s="492"/>
      <c r="DK7" s="492"/>
      <c r="DL7" s="753"/>
      <c r="DM7" s="491"/>
      <c r="DN7" s="492"/>
      <c r="DO7" s="492"/>
      <c r="DP7" s="492"/>
      <c r="DQ7" s="492"/>
      <c r="DR7" s="492"/>
      <c r="DS7" s="754"/>
      <c r="DT7" s="752"/>
      <c r="DU7" s="492"/>
      <c r="DV7" s="492"/>
      <c r="DW7" s="492"/>
      <c r="DX7" s="492"/>
      <c r="DY7" s="492"/>
      <c r="DZ7" s="753"/>
      <c r="EA7" s="487"/>
      <c r="EB7" s="487"/>
      <c r="EC7" s="487"/>
      <c r="ED7" s="487"/>
      <c r="EE7" s="487"/>
      <c r="EF7" s="487"/>
      <c r="EG7" s="513"/>
      <c r="EH7" s="750"/>
      <c r="EI7" s="487"/>
      <c r="EJ7" s="487"/>
      <c r="EK7" s="487"/>
      <c r="EL7" s="487"/>
      <c r="EM7" s="487"/>
      <c r="EN7" s="751"/>
      <c r="EO7" s="750"/>
      <c r="EP7" s="487"/>
      <c r="EQ7" s="487"/>
      <c r="ER7" s="487"/>
      <c r="ES7" s="487"/>
      <c r="ET7" s="487"/>
      <c r="EU7" s="751"/>
      <c r="EV7" s="515"/>
      <c r="EW7" s="755"/>
      <c r="EX7" s="755"/>
      <c r="EY7" s="755"/>
      <c r="EZ7" s="755"/>
      <c r="FA7" s="756"/>
      <c r="FB7" s="756"/>
      <c r="FC7" s="757"/>
    </row>
    <row r="8" spans="1:168" s="10" customFormat="1" ht="12.75" customHeight="1">
      <c r="A8" s="661" t="s">
        <v>171</v>
      </c>
      <c r="B8" s="703" t="s">
        <v>383</v>
      </c>
      <c r="C8" s="703" t="s">
        <v>69</v>
      </c>
      <c r="D8" s="703" t="s">
        <v>321</v>
      </c>
      <c r="E8" s="703" t="s">
        <v>371</v>
      </c>
      <c r="F8" s="704" t="s">
        <v>372</v>
      </c>
      <c r="G8" s="705">
        <v>0</v>
      </c>
      <c r="H8" s="704">
        <v>0</v>
      </c>
      <c r="I8" s="706">
        <f>G8+H8</f>
        <v>0</v>
      </c>
      <c r="J8" s="704">
        <v>0</v>
      </c>
      <c r="K8" s="706">
        <f>I8*0.5</f>
        <v>0</v>
      </c>
      <c r="L8" s="2"/>
      <c r="M8" s="707">
        <v>0</v>
      </c>
      <c r="N8" s="708">
        <v>0</v>
      </c>
      <c r="O8" s="707">
        <v>0</v>
      </c>
      <c r="P8" s="709">
        <v>0</v>
      </c>
      <c r="Q8" s="710">
        <v>0</v>
      </c>
      <c r="R8" s="710">
        <v>0</v>
      </c>
      <c r="S8" s="710">
        <v>0</v>
      </c>
      <c r="T8" s="711" t="s">
        <v>373</v>
      </c>
      <c r="U8" s="712">
        <v>0</v>
      </c>
      <c r="V8" s="713">
        <v>1</v>
      </c>
      <c r="W8" s="661">
        <v>0</v>
      </c>
      <c r="X8" s="661">
        <v>0</v>
      </c>
      <c r="Y8" s="661">
        <v>0</v>
      </c>
      <c r="Z8" s="661">
        <v>0</v>
      </c>
      <c r="AA8" s="714">
        <v>0</v>
      </c>
      <c r="AB8" s="714">
        <v>0</v>
      </c>
      <c r="AC8" s="714">
        <f t="shared" ref="AC8:AI8" si="38">AC6*0.5</f>
        <v>0.5</v>
      </c>
      <c r="AD8" s="714">
        <f t="shared" si="38"/>
        <v>0.5</v>
      </c>
      <c r="AE8" s="714">
        <f t="shared" si="38"/>
        <v>0.5</v>
      </c>
      <c r="AF8" s="714">
        <f t="shared" si="38"/>
        <v>0.5</v>
      </c>
      <c r="AG8" s="714">
        <f t="shared" si="38"/>
        <v>0.5</v>
      </c>
      <c r="AH8" s="714">
        <f t="shared" si="38"/>
        <v>0.5</v>
      </c>
      <c r="AI8" s="714">
        <f t="shared" si="38"/>
        <v>0.5</v>
      </c>
      <c r="AJ8" s="714">
        <f t="shared" ref="AJ8" si="39">AJ6*0.5</f>
        <v>0.5</v>
      </c>
      <c r="AK8" s="711" t="s">
        <v>384</v>
      </c>
      <c r="AL8" s="711" t="s">
        <v>375</v>
      </c>
      <c r="AM8" s="711" t="s">
        <v>376</v>
      </c>
      <c r="AN8" s="711" t="s">
        <v>377</v>
      </c>
      <c r="AO8" s="711" t="s">
        <v>1</v>
      </c>
      <c r="AP8" s="711" t="s">
        <v>378</v>
      </c>
      <c r="AQ8" s="711" t="s">
        <v>378</v>
      </c>
      <c r="AR8" s="711" t="s">
        <v>378</v>
      </c>
      <c r="AS8" s="715" t="s">
        <v>379</v>
      </c>
      <c r="AT8" s="715" t="s">
        <v>380</v>
      </c>
      <c r="AU8" s="715" t="s">
        <v>385</v>
      </c>
      <c r="AV8" s="661">
        <v>1</v>
      </c>
      <c r="AW8" s="661">
        <v>1</v>
      </c>
      <c r="AX8" s="711" t="s">
        <v>382</v>
      </c>
      <c r="AY8" s="716">
        <v>1</v>
      </c>
      <c r="AZ8" s="716">
        <v>1</v>
      </c>
      <c r="BA8" s="717">
        <v>0</v>
      </c>
      <c r="BB8" s="718">
        <f>I8</f>
        <v>0</v>
      </c>
      <c r="BC8" s="499">
        <f t="shared" si="17"/>
        <v>0</v>
      </c>
      <c r="BD8" s="499">
        <f t="shared" si="17"/>
        <v>0</v>
      </c>
      <c r="BE8" s="499">
        <f>BB8</f>
        <v>0</v>
      </c>
      <c r="BF8" s="499">
        <f t="shared" ref="BF8:BH8" si="40">BC8</f>
        <v>0</v>
      </c>
      <c r="BG8" s="499">
        <f t="shared" si="40"/>
        <v>0</v>
      </c>
      <c r="BH8" s="719">
        <f t="shared" si="40"/>
        <v>0</v>
      </c>
      <c r="BI8" s="497">
        <f>J8</f>
        <v>0</v>
      </c>
      <c r="BJ8" s="499">
        <f t="shared" si="19"/>
        <v>0</v>
      </c>
      <c r="BK8" s="499">
        <f t="shared" si="19"/>
        <v>0</v>
      </c>
      <c r="BL8" s="499">
        <f t="shared" si="19"/>
        <v>0</v>
      </c>
      <c r="BM8" s="499">
        <f t="shared" si="19"/>
        <v>0</v>
      </c>
      <c r="BN8" s="499">
        <f t="shared" si="19"/>
        <v>0</v>
      </c>
      <c r="BO8" s="720">
        <f t="shared" si="19"/>
        <v>0</v>
      </c>
      <c r="BP8" s="721">
        <f>N8+O8</f>
        <v>0</v>
      </c>
      <c r="BQ8" s="499">
        <f t="shared" si="21"/>
        <v>0</v>
      </c>
      <c r="BR8" s="499">
        <f t="shared" si="21"/>
        <v>0</v>
      </c>
      <c r="BS8" s="499">
        <f t="shared" si="21"/>
        <v>0</v>
      </c>
      <c r="BT8" s="499">
        <f t="shared" si="21"/>
        <v>0</v>
      </c>
      <c r="BU8" s="499">
        <f t="shared" si="21"/>
        <v>0</v>
      </c>
      <c r="BV8" s="719">
        <f t="shared" si="21"/>
        <v>0</v>
      </c>
      <c r="BW8" s="503">
        <f t="shared" si="23"/>
        <v>0</v>
      </c>
      <c r="BX8" s="503">
        <f t="shared" si="23"/>
        <v>0</v>
      </c>
      <c r="BY8" s="503">
        <f t="shared" si="23"/>
        <v>0</v>
      </c>
      <c r="BZ8" s="503">
        <f t="shared" si="23"/>
        <v>0</v>
      </c>
      <c r="CA8" s="503">
        <f t="shared" si="23"/>
        <v>0</v>
      </c>
      <c r="CB8" s="503">
        <f t="shared" si="23"/>
        <v>0</v>
      </c>
      <c r="CC8" s="645">
        <f t="shared" si="23"/>
        <v>0</v>
      </c>
      <c r="CD8" s="722">
        <f>Q8*AZ8</f>
        <v>0</v>
      </c>
      <c r="CE8" s="511">
        <f t="shared" si="24"/>
        <v>0</v>
      </c>
      <c r="CF8" s="511">
        <f t="shared" si="24"/>
        <v>0</v>
      </c>
      <c r="CG8" s="511">
        <f t="shared" si="24"/>
        <v>0</v>
      </c>
      <c r="CH8" s="511">
        <f t="shared" si="24"/>
        <v>0</v>
      </c>
      <c r="CI8" s="511">
        <f t="shared" si="24"/>
        <v>0</v>
      </c>
      <c r="CJ8" s="723">
        <f t="shared" si="24"/>
        <v>0</v>
      </c>
      <c r="CK8" s="722">
        <f>R8*AZ8</f>
        <v>0</v>
      </c>
      <c r="CL8" s="511">
        <f t="shared" si="26"/>
        <v>0</v>
      </c>
      <c r="CM8" s="511">
        <f t="shared" si="26"/>
        <v>0</v>
      </c>
      <c r="CN8" s="511">
        <f t="shared" si="26"/>
        <v>0</v>
      </c>
      <c r="CO8" s="511">
        <f t="shared" si="26"/>
        <v>0</v>
      </c>
      <c r="CP8" s="511">
        <f t="shared" si="26"/>
        <v>0</v>
      </c>
      <c r="CQ8" s="723">
        <f t="shared" si="26"/>
        <v>0</v>
      </c>
      <c r="CR8" s="507">
        <f>S8*BA8</f>
        <v>0</v>
      </c>
      <c r="CS8" s="511">
        <f t="shared" si="28"/>
        <v>0</v>
      </c>
      <c r="CT8" s="511">
        <f t="shared" si="28"/>
        <v>0</v>
      </c>
      <c r="CU8" s="511">
        <f>CT8</f>
        <v>0</v>
      </c>
      <c r="CV8" s="511">
        <f t="shared" ref="CV8:CX8" si="41">CU8</f>
        <v>0</v>
      </c>
      <c r="CW8" s="511">
        <f t="shared" si="41"/>
        <v>0</v>
      </c>
      <c r="CX8" s="539">
        <f t="shared" si="41"/>
        <v>0</v>
      </c>
      <c r="CY8" s="724">
        <f t="shared" ref="CY8:DE8" si="42">AD8*BB8</f>
        <v>0</v>
      </c>
      <c r="CZ8" s="508">
        <f t="shared" si="42"/>
        <v>0</v>
      </c>
      <c r="DA8" s="508">
        <f t="shared" si="42"/>
        <v>0</v>
      </c>
      <c r="DB8" s="508">
        <f t="shared" si="42"/>
        <v>0</v>
      </c>
      <c r="DC8" s="508">
        <f t="shared" si="42"/>
        <v>0</v>
      </c>
      <c r="DD8" s="508">
        <f t="shared" si="42"/>
        <v>0</v>
      </c>
      <c r="DE8" s="725">
        <f t="shared" si="42"/>
        <v>0</v>
      </c>
      <c r="DF8" s="724">
        <f t="shared" ref="DF8:DL8" si="43">AD8*BI8</f>
        <v>0</v>
      </c>
      <c r="DG8" s="508">
        <f t="shared" si="43"/>
        <v>0</v>
      </c>
      <c r="DH8" s="508">
        <f t="shared" si="43"/>
        <v>0</v>
      </c>
      <c r="DI8" s="508">
        <f t="shared" si="43"/>
        <v>0</v>
      </c>
      <c r="DJ8" s="508">
        <f t="shared" si="43"/>
        <v>0</v>
      </c>
      <c r="DK8" s="508">
        <f t="shared" si="43"/>
        <v>0</v>
      </c>
      <c r="DL8" s="725">
        <f t="shared" si="43"/>
        <v>0</v>
      </c>
      <c r="DM8" s="509">
        <f t="shared" ref="DM8:DS8" si="44">AD8*BP8</f>
        <v>0</v>
      </c>
      <c r="DN8" s="508">
        <f t="shared" si="44"/>
        <v>0</v>
      </c>
      <c r="DO8" s="508">
        <f t="shared" si="44"/>
        <v>0</v>
      </c>
      <c r="DP8" s="508">
        <f t="shared" si="44"/>
        <v>0</v>
      </c>
      <c r="DQ8" s="508">
        <f t="shared" si="44"/>
        <v>0</v>
      </c>
      <c r="DR8" s="508">
        <f t="shared" si="44"/>
        <v>0</v>
      </c>
      <c r="DS8" s="726">
        <f t="shared" si="44"/>
        <v>0</v>
      </c>
      <c r="DT8" s="724">
        <f t="shared" ref="DT8:DZ8" si="45">BW8*AD8</f>
        <v>0</v>
      </c>
      <c r="DU8" s="508">
        <f t="shared" si="45"/>
        <v>0</v>
      </c>
      <c r="DV8" s="508">
        <f t="shared" si="45"/>
        <v>0</v>
      </c>
      <c r="DW8" s="508">
        <f t="shared" si="45"/>
        <v>0</v>
      </c>
      <c r="DX8" s="508">
        <f t="shared" si="45"/>
        <v>0</v>
      </c>
      <c r="DY8" s="508">
        <f t="shared" si="45"/>
        <v>0</v>
      </c>
      <c r="DZ8" s="725">
        <f t="shared" si="45"/>
        <v>0</v>
      </c>
      <c r="EA8" s="511">
        <f t="shared" ref="EA8:EG8" si="46">AD8*CD8</f>
        <v>0</v>
      </c>
      <c r="EB8" s="511">
        <f t="shared" si="46"/>
        <v>0</v>
      </c>
      <c r="EC8" s="511">
        <f t="shared" si="46"/>
        <v>0</v>
      </c>
      <c r="ED8" s="511">
        <f t="shared" si="46"/>
        <v>0</v>
      </c>
      <c r="EE8" s="511">
        <f t="shared" si="46"/>
        <v>0</v>
      </c>
      <c r="EF8" s="511">
        <f t="shared" si="46"/>
        <v>0</v>
      </c>
      <c r="EG8" s="539">
        <f t="shared" si="46"/>
        <v>0</v>
      </c>
      <c r="EH8" s="722">
        <f t="shared" ref="EH8:EN8" si="47">AD8*CK8</f>
        <v>0</v>
      </c>
      <c r="EI8" s="511">
        <f t="shared" si="47"/>
        <v>0</v>
      </c>
      <c r="EJ8" s="511">
        <f t="shared" si="47"/>
        <v>0</v>
      </c>
      <c r="EK8" s="511">
        <f t="shared" si="47"/>
        <v>0</v>
      </c>
      <c r="EL8" s="511">
        <f t="shared" si="47"/>
        <v>0</v>
      </c>
      <c r="EM8" s="511">
        <f t="shared" si="47"/>
        <v>0</v>
      </c>
      <c r="EN8" s="723">
        <f t="shared" si="47"/>
        <v>0</v>
      </c>
      <c r="EO8" s="722">
        <f t="shared" ref="EO8:EU8" si="48">AD8*CR8</f>
        <v>0</v>
      </c>
      <c r="EP8" s="511">
        <f t="shared" si="48"/>
        <v>0</v>
      </c>
      <c r="EQ8" s="511">
        <f t="shared" si="48"/>
        <v>0</v>
      </c>
      <c r="ER8" s="511">
        <f t="shared" si="48"/>
        <v>0</v>
      </c>
      <c r="ES8" s="511">
        <f t="shared" si="48"/>
        <v>0</v>
      </c>
      <c r="ET8" s="511">
        <f t="shared" si="48"/>
        <v>0</v>
      </c>
      <c r="EU8" s="723">
        <f t="shared" si="48"/>
        <v>0</v>
      </c>
      <c r="EV8" s="727">
        <f>SUM(AD8:AJ8)</f>
        <v>3.5</v>
      </c>
      <c r="EW8" s="728">
        <f>SUM(CY8:CZ8)</f>
        <v>0</v>
      </c>
      <c r="EX8" s="728">
        <f>SUM(DF8:DL8)</f>
        <v>0</v>
      </c>
      <c r="EY8" s="728">
        <f>SUM(DM8:DS8)</f>
        <v>0</v>
      </c>
      <c r="EZ8" s="728">
        <f>SUM(DT8:DZ8)</f>
        <v>0</v>
      </c>
      <c r="FA8" s="728">
        <f>SUM(EA8:EG8)</f>
        <v>0</v>
      </c>
      <c r="FB8" s="728">
        <f>SUM(EH8:EN8)</f>
        <v>0</v>
      </c>
      <c r="FC8" s="728">
        <f>SUM(EO8:EU8)</f>
        <v>0</v>
      </c>
    </row>
    <row r="9" spans="1:168" s="10" customFormat="1" ht="12.75" customHeight="1">
      <c r="A9" s="740"/>
      <c r="B9" s="730"/>
      <c r="C9" s="730"/>
      <c r="D9" s="730"/>
      <c r="E9" s="730"/>
      <c r="F9" s="731"/>
      <c r="G9" s="731"/>
      <c r="H9" s="731"/>
      <c r="I9" s="732"/>
      <c r="J9" s="731"/>
      <c r="K9" s="732"/>
      <c r="L9" s="733"/>
      <c r="M9" s="734"/>
      <c r="N9" s="734"/>
      <c r="O9" s="734"/>
      <c r="P9" s="735"/>
      <c r="Q9" s="736"/>
      <c r="R9" s="758"/>
      <c r="S9" s="737"/>
      <c r="T9" s="733"/>
      <c r="U9" s="738"/>
      <c r="V9" s="739"/>
      <c r="W9" s="740"/>
      <c r="X9" s="740"/>
      <c r="Y9" s="740"/>
      <c r="Z9" s="740"/>
      <c r="AA9" s="741"/>
      <c r="AB9" s="741"/>
      <c r="AC9" s="742"/>
      <c r="AD9" s="742"/>
      <c r="AE9" s="742"/>
      <c r="AF9" s="742"/>
      <c r="AG9" s="742"/>
      <c r="AH9" s="742"/>
      <c r="AI9" s="742"/>
      <c r="AJ9" s="742"/>
      <c r="AK9" s="733"/>
      <c r="AL9" s="733"/>
      <c r="AM9" s="733"/>
      <c r="AN9" s="733"/>
      <c r="AO9" s="733"/>
      <c r="AP9" s="733"/>
      <c r="AQ9" s="733"/>
      <c r="AR9" s="733"/>
      <c r="AS9" s="743"/>
      <c r="AT9" s="743"/>
      <c r="AU9" s="743"/>
      <c r="AV9" s="733"/>
      <c r="AW9" s="733"/>
      <c r="AX9" s="733"/>
      <c r="AY9" s="733"/>
      <c r="AZ9" s="733"/>
      <c r="BA9" s="744"/>
      <c r="BB9" s="745"/>
      <c r="BC9" s="746"/>
      <c r="BD9" s="746"/>
      <c r="BE9" s="746"/>
      <c r="BF9" s="746"/>
      <c r="BG9" s="746"/>
      <c r="BH9" s="747"/>
      <c r="BI9" s="748"/>
      <c r="BJ9" s="746"/>
      <c r="BK9" s="746"/>
      <c r="BL9" s="746"/>
      <c r="BM9" s="746"/>
      <c r="BN9" s="746"/>
      <c r="BO9" s="749"/>
      <c r="BP9" s="745"/>
      <c r="BQ9" s="746"/>
      <c r="BR9" s="746"/>
      <c r="BS9" s="746"/>
      <c r="BT9" s="746"/>
      <c r="BU9" s="746"/>
      <c r="BV9" s="747"/>
      <c r="BW9" s="746"/>
      <c r="BX9" s="746"/>
      <c r="BY9" s="746"/>
      <c r="BZ9" s="746"/>
      <c r="CA9" s="746"/>
      <c r="CB9" s="746"/>
      <c r="CC9" s="749"/>
      <c r="CD9" s="750"/>
      <c r="CE9" s="487"/>
      <c r="CF9" s="487"/>
      <c r="CG9" s="487"/>
      <c r="CH9" s="487"/>
      <c r="CI9" s="487"/>
      <c r="CJ9" s="751"/>
      <c r="CK9" s="750"/>
      <c r="CL9" s="487"/>
      <c r="CM9" s="487"/>
      <c r="CN9" s="487"/>
      <c r="CO9" s="487"/>
      <c r="CP9" s="487"/>
      <c r="CQ9" s="751"/>
      <c r="CR9" s="510"/>
      <c r="CS9" s="487"/>
      <c r="CT9" s="487"/>
      <c r="CU9" s="487"/>
      <c r="CV9" s="487"/>
      <c r="CW9" s="487"/>
      <c r="CX9" s="513"/>
      <c r="CY9" s="752"/>
      <c r="CZ9" s="492"/>
      <c r="DA9" s="492"/>
      <c r="DB9" s="492"/>
      <c r="DC9" s="492"/>
      <c r="DD9" s="492"/>
      <c r="DE9" s="753"/>
      <c r="DF9" s="752"/>
      <c r="DG9" s="492"/>
      <c r="DH9" s="492"/>
      <c r="DI9" s="492"/>
      <c r="DJ9" s="492"/>
      <c r="DK9" s="492"/>
      <c r="DL9" s="753"/>
      <c r="DM9" s="491"/>
      <c r="DN9" s="492"/>
      <c r="DO9" s="492"/>
      <c r="DP9" s="492"/>
      <c r="DQ9" s="492"/>
      <c r="DR9" s="492"/>
      <c r="DS9" s="754"/>
      <c r="DT9" s="752"/>
      <c r="DU9" s="492"/>
      <c r="DV9" s="492"/>
      <c r="DW9" s="492"/>
      <c r="DX9" s="492"/>
      <c r="DY9" s="492"/>
      <c r="DZ9" s="753"/>
      <c r="EA9" s="487"/>
      <c r="EB9" s="487"/>
      <c r="EC9" s="487"/>
      <c r="ED9" s="487"/>
      <c r="EE9" s="487"/>
      <c r="EF9" s="487"/>
      <c r="EG9" s="513"/>
      <c r="EH9" s="750"/>
      <c r="EI9" s="487"/>
      <c r="EJ9" s="487"/>
      <c r="EK9" s="487"/>
      <c r="EL9" s="487"/>
      <c r="EM9" s="487"/>
      <c r="EN9" s="751"/>
      <c r="EO9" s="750"/>
      <c r="EP9" s="487"/>
      <c r="EQ9" s="487"/>
      <c r="ER9" s="487"/>
      <c r="ES9" s="487"/>
      <c r="ET9" s="487"/>
      <c r="EU9" s="751"/>
      <c r="EV9" s="515"/>
      <c r="EW9" s="755"/>
      <c r="EX9" s="755"/>
      <c r="EY9" s="755"/>
      <c r="EZ9" s="755"/>
      <c r="FA9" s="756"/>
      <c r="FB9" s="756"/>
      <c r="FC9" s="757"/>
    </row>
    <row r="10" spans="1:168" s="10" customFormat="1" ht="12.75" customHeight="1">
      <c r="A10" s="661" t="s">
        <v>172</v>
      </c>
      <c r="B10" s="703" t="s">
        <v>386</v>
      </c>
      <c r="C10" s="703" t="s">
        <v>69</v>
      </c>
      <c r="D10" s="703" t="s">
        <v>321</v>
      </c>
      <c r="E10" s="703" t="s">
        <v>371</v>
      </c>
      <c r="F10" s="704" t="s">
        <v>372</v>
      </c>
      <c r="G10" s="705">
        <v>0</v>
      </c>
      <c r="H10" s="704">
        <v>0</v>
      </c>
      <c r="I10" s="706">
        <f>G10+H10</f>
        <v>0</v>
      </c>
      <c r="J10" s="704">
        <v>0</v>
      </c>
      <c r="K10" s="706">
        <f>I10*0.5</f>
        <v>0</v>
      </c>
      <c r="L10" s="2"/>
      <c r="M10" s="707">
        <v>0</v>
      </c>
      <c r="N10" s="708">
        <f>N8</f>
        <v>0</v>
      </c>
      <c r="O10" s="707">
        <v>0</v>
      </c>
      <c r="P10" s="709">
        <v>0</v>
      </c>
      <c r="Q10" s="710">
        <v>0</v>
      </c>
      <c r="R10" s="710">
        <v>0</v>
      </c>
      <c r="S10" s="710">
        <v>0</v>
      </c>
      <c r="T10" s="711" t="s">
        <v>373</v>
      </c>
      <c r="U10" s="712">
        <v>0</v>
      </c>
      <c r="V10" s="713">
        <v>1</v>
      </c>
      <c r="W10" s="661">
        <v>0</v>
      </c>
      <c r="X10" s="661">
        <v>0</v>
      </c>
      <c r="Y10" s="661">
        <v>0</v>
      </c>
      <c r="Z10" s="661">
        <v>0</v>
      </c>
      <c r="AA10" s="714">
        <v>0</v>
      </c>
      <c r="AB10" s="714">
        <v>0</v>
      </c>
      <c r="AC10" s="714">
        <f t="shared" ref="AC10:AI10" si="49">AC6*0.5</f>
        <v>0.5</v>
      </c>
      <c r="AD10" s="714">
        <f t="shared" si="49"/>
        <v>0.5</v>
      </c>
      <c r="AE10" s="714">
        <f t="shared" si="49"/>
        <v>0.5</v>
      </c>
      <c r="AF10" s="714">
        <f t="shared" si="49"/>
        <v>0.5</v>
      </c>
      <c r="AG10" s="714">
        <f t="shared" si="49"/>
        <v>0.5</v>
      </c>
      <c r="AH10" s="714">
        <f t="shared" si="49"/>
        <v>0.5</v>
      </c>
      <c r="AI10" s="714">
        <f t="shared" si="49"/>
        <v>0.5</v>
      </c>
      <c r="AJ10" s="714">
        <f t="shared" ref="AJ10" si="50">AJ6*0.5</f>
        <v>0.5</v>
      </c>
      <c r="AK10" s="711" t="s">
        <v>374</v>
      </c>
      <c r="AL10" s="711" t="s">
        <v>375</v>
      </c>
      <c r="AM10" s="711" t="s">
        <v>376</v>
      </c>
      <c r="AN10" s="711" t="s">
        <v>377</v>
      </c>
      <c r="AO10" s="711" t="s">
        <v>1</v>
      </c>
      <c r="AP10" s="711" t="s">
        <v>378</v>
      </c>
      <c r="AQ10" s="711" t="s">
        <v>378</v>
      </c>
      <c r="AR10" s="711" t="s">
        <v>378</v>
      </c>
      <c r="AS10" s="715" t="s">
        <v>379</v>
      </c>
      <c r="AT10" s="715" t="s">
        <v>380</v>
      </c>
      <c r="AU10" s="715" t="s">
        <v>381</v>
      </c>
      <c r="AV10" s="661">
        <v>1</v>
      </c>
      <c r="AW10" s="661">
        <v>1</v>
      </c>
      <c r="AX10" s="711" t="s">
        <v>382</v>
      </c>
      <c r="AY10" s="716">
        <v>1</v>
      </c>
      <c r="AZ10" s="716">
        <v>1</v>
      </c>
      <c r="BA10" s="717">
        <v>1</v>
      </c>
      <c r="BB10" s="718">
        <f>I10</f>
        <v>0</v>
      </c>
      <c r="BC10" s="499">
        <f t="shared" ref="BC10:BD10" si="51">BB10</f>
        <v>0</v>
      </c>
      <c r="BD10" s="499">
        <f t="shared" si="51"/>
        <v>0</v>
      </c>
      <c r="BE10" s="499">
        <f>BB10</f>
        <v>0</v>
      </c>
      <c r="BF10" s="499">
        <f t="shared" ref="BF10:BH10" si="52">BC10</f>
        <v>0</v>
      </c>
      <c r="BG10" s="499">
        <f t="shared" si="52"/>
        <v>0</v>
      </c>
      <c r="BH10" s="719">
        <f t="shared" si="52"/>
        <v>0</v>
      </c>
      <c r="BI10" s="497">
        <f>J10</f>
        <v>0</v>
      </c>
      <c r="BJ10" s="499">
        <f t="shared" ref="BJ10:BO10" si="53">BI10</f>
        <v>0</v>
      </c>
      <c r="BK10" s="499">
        <f t="shared" si="53"/>
        <v>0</v>
      </c>
      <c r="BL10" s="499">
        <f t="shared" si="53"/>
        <v>0</v>
      </c>
      <c r="BM10" s="499">
        <f t="shared" si="53"/>
        <v>0</v>
      </c>
      <c r="BN10" s="499">
        <f t="shared" si="53"/>
        <v>0</v>
      </c>
      <c r="BO10" s="720">
        <f t="shared" si="53"/>
        <v>0</v>
      </c>
      <c r="BP10" s="721">
        <f>N10+O10</f>
        <v>0</v>
      </c>
      <c r="BQ10" s="499">
        <f t="shared" ref="BQ10:BV10" si="54">BP10</f>
        <v>0</v>
      </c>
      <c r="BR10" s="499">
        <f t="shared" si="54"/>
        <v>0</v>
      </c>
      <c r="BS10" s="499">
        <f t="shared" si="54"/>
        <v>0</v>
      </c>
      <c r="BT10" s="499">
        <f t="shared" si="54"/>
        <v>0</v>
      </c>
      <c r="BU10" s="499">
        <f t="shared" si="54"/>
        <v>0</v>
      </c>
      <c r="BV10" s="719">
        <f t="shared" si="54"/>
        <v>0</v>
      </c>
      <c r="BW10" s="503">
        <f t="shared" si="23"/>
        <v>0</v>
      </c>
      <c r="BX10" s="503">
        <f t="shared" si="23"/>
        <v>0</v>
      </c>
      <c r="BY10" s="503">
        <f t="shared" si="23"/>
        <v>0</v>
      </c>
      <c r="BZ10" s="503">
        <f t="shared" si="23"/>
        <v>0</v>
      </c>
      <c r="CA10" s="503">
        <f t="shared" si="23"/>
        <v>0</v>
      </c>
      <c r="CB10" s="503">
        <f t="shared" si="23"/>
        <v>0</v>
      </c>
      <c r="CC10" s="645">
        <f t="shared" si="23"/>
        <v>0</v>
      </c>
      <c r="CD10" s="722">
        <f>Q10*AZ10</f>
        <v>0</v>
      </c>
      <c r="CE10" s="511">
        <f t="shared" ref="CE10:CJ10" si="55">CD10</f>
        <v>0</v>
      </c>
      <c r="CF10" s="511">
        <f t="shared" si="55"/>
        <v>0</v>
      </c>
      <c r="CG10" s="511">
        <f t="shared" si="55"/>
        <v>0</v>
      </c>
      <c r="CH10" s="511">
        <f t="shared" si="55"/>
        <v>0</v>
      </c>
      <c r="CI10" s="511">
        <f t="shared" si="55"/>
        <v>0</v>
      </c>
      <c r="CJ10" s="723">
        <f t="shared" si="55"/>
        <v>0</v>
      </c>
      <c r="CK10" s="722">
        <f>R10*AZ10</f>
        <v>0</v>
      </c>
      <c r="CL10" s="511">
        <f t="shared" ref="CL10:CQ10" si="56">CK10</f>
        <v>0</v>
      </c>
      <c r="CM10" s="511">
        <f t="shared" si="56"/>
        <v>0</v>
      </c>
      <c r="CN10" s="511">
        <f t="shared" si="56"/>
        <v>0</v>
      </c>
      <c r="CO10" s="511">
        <f t="shared" si="56"/>
        <v>0</v>
      </c>
      <c r="CP10" s="511">
        <f t="shared" si="56"/>
        <v>0</v>
      </c>
      <c r="CQ10" s="723">
        <f t="shared" si="56"/>
        <v>0</v>
      </c>
      <c r="CR10" s="507">
        <f>S10*BA10</f>
        <v>0</v>
      </c>
      <c r="CS10" s="511">
        <f t="shared" ref="CS10:CX10" si="57">CR10</f>
        <v>0</v>
      </c>
      <c r="CT10" s="511">
        <f t="shared" si="57"/>
        <v>0</v>
      </c>
      <c r="CU10" s="511">
        <f t="shared" si="57"/>
        <v>0</v>
      </c>
      <c r="CV10" s="511">
        <f t="shared" si="57"/>
        <v>0</v>
      </c>
      <c r="CW10" s="511">
        <f t="shared" si="57"/>
        <v>0</v>
      </c>
      <c r="CX10" s="539">
        <f t="shared" si="57"/>
        <v>0</v>
      </c>
      <c r="CY10" s="724">
        <f t="shared" ref="CY10:DE10" si="58">AD10*BB10</f>
        <v>0</v>
      </c>
      <c r="CZ10" s="508">
        <f t="shared" si="58"/>
        <v>0</v>
      </c>
      <c r="DA10" s="508">
        <f t="shared" si="58"/>
        <v>0</v>
      </c>
      <c r="DB10" s="508">
        <f t="shared" si="58"/>
        <v>0</v>
      </c>
      <c r="DC10" s="508">
        <f t="shared" si="58"/>
        <v>0</v>
      </c>
      <c r="DD10" s="508">
        <f t="shared" si="58"/>
        <v>0</v>
      </c>
      <c r="DE10" s="725">
        <f t="shared" si="58"/>
        <v>0</v>
      </c>
      <c r="DF10" s="724">
        <f t="shared" ref="DF10:DL10" si="59">AD10*BI10</f>
        <v>0</v>
      </c>
      <c r="DG10" s="508">
        <f t="shared" si="59"/>
        <v>0</v>
      </c>
      <c r="DH10" s="508">
        <f t="shared" si="59"/>
        <v>0</v>
      </c>
      <c r="DI10" s="508">
        <f t="shared" si="59"/>
        <v>0</v>
      </c>
      <c r="DJ10" s="508">
        <f t="shared" si="59"/>
        <v>0</v>
      </c>
      <c r="DK10" s="508">
        <f t="shared" si="59"/>
        <v>0</v>
      </c>
      <c r="DL10" s="725">
        <f t="shared" si="59"/>
        <v>0</v>
      </c>
      <c r="DM10" s="509">
        <f t="shared" ref="DM10:DS10" si="60">AD10*BP10</f>
        <v>0</v>
      </c>
      <c r="DN10" s="508">
        <f t="shared" si="60"/>
        <v>0</v>
      </c>
      <c r="DO10" s="508">
        <f t="shared" si="60"/>
        <v>0</v>
      </c>
      <c r="DP10" s="508">
        <f t="shared" si="60"/>
        <v>0</v>
      </c>
      <c r="DQ10" s="508">
        <f t="shared" si="60"/>
        <v>0</v>
      </c>
      <c r="DR10" s="508">
        <f t="shared" si="60"/>
        <v>0</v>
      </c>
      <c r="DS10" s="726">
        <f t="shared" si="60"/>
        <v>0</v>
      </c>
      <c r="DT10" s="724">
        <f t="shared" ref="DT10:DZ10" si="61">BW10*AD10</f>
        <v>0</v>
      </c>
      <c r="DU10" s="508">
        <f t="shared" si="61"/>
        <v>0</v>
      </c>
      <c r="DV10" s="508">
        <f t="shared" si="61"/>
        <v>0</v>
      </c>
      <c r="DW10" s="508">
        <f t="shared" si="61"/>
        <v>0</v>
      </c>
      <c r="DX10" s="508">
        <f t="shared" si="61"/>
        <v>0</v>
      </c>
      <c r="DY10" s="508">
        <f t="shared" si="61"/>
        <v>0</v>
      </c>
      <c r="DZ10" s="725">
        <f t="shared" si="61"/>
        <v>0</v>
      </c>
      <c r="EA10" s="511">
        <f t="shared" ref="EA10:EG10" si="62">AD10*CD10</f>
        <v>0</v>
      </c>
      <c r="EB10" s="511">
        <f t="shared" si="62"/>
        <v>0</v>
      </c>
      <c r="EC10" s="511">
        <f t="shared" si="62"/>
        <v>0</v>
      </c>
      <c r="ED10" s="511">
        <f t="shared" si="62"/>
        <v>0</v>
      </c>
      <c r="EE10" s="511">
        <f t="shared" si="62"/>
        <v>0</v>
      </c>
      <c r="EF10" s="511">
        <f t="shared" si="62"/>
        <v>0</v>
      </c>
      <c r="EG10" s="539">
        <f t="shared" si="62"/>
        <v>0</v>
      </c>
      <c r="EH10" s="722">
        <f t="shared" ref="EH10:EN10" si="63">AD10*CK10</f>
        <v>0</v>
      </c>
      <c r="EI10" s="511">
        <f t="shared" si="63"/>
        <v>0</v>
      </c>
      <c r="EJ10" s="511">
        <f t="shared" si="63"/>
        <v>0</v>
      </c>
      <c r="EK10" s="511">
        <f t="shared" si="63"/>
        <v>0</v>
      </c>
      <c r="EL10" s="511">
        <f t="shared" si="63"/>
        <v>0</v>
      </c>
      <c r="EM10" s="511">
        <f t="shared" si="63"/>
        <v>0</v>
      </c>
      <c r="EN10" s="723">
        <f t="shared" si="63"/>
        <v>0</v>
      </c>
      <c r="EO10" s="722">
        <f t="shared" ref="EO10:EU10" si="64">AD10*CR10</f>
        <v>0</v>
      </c>
      <c r="EP10" s="511">
        <f t="shared" si="64"/>
        <v>0</v>
      </c>
      <c r="EQ10" s="511">
        <f t="shared" si="64"/>
        <v>0</v>
      </c>
      <c r="ER10" s="511">
        <f t="shared" si="64"/>
        <v>0</v>
      </c>
      <c r="ES10" s="511">
        <f t="shared" si="64"/>
        <v>0</v>
      </c>
      <c r="ET10" s="511">
        <f t="shared" si="64"/>
        <v>0</v>
      </c>
      <c r="EU10" s="723">
        <f t="shared" si="64"/>
        <v>0</v>
      </c>
      <c r="EV10" s="727">
        <f>SUM(AD10:AJ10)</f>
        <v>3.5</v>
      </c>
      <c r="EW10" s="728">
        <f>SUM(CY10:CZ10)</f>
        <v>0</v>
      </c>
      <c r="EX10" s="728">
        <f>SUM(DF10:DL10)</f>
        <v>0</v>
      </c>
      <c r="EY10" s="728">
        <f>SUM(DM10:DS10)</f>
        <v>0</v>
      </c>
      <c r="EZ10" s="728">
        <f>SUM(DT10:DZ10)</f>
        <v>0</v>
      </c>
      <c r="FA10" s="728">
        <f>SUM(EA10:EG10)</f>
        <v>0</v>
      </c>
      <c r="FB10" s="728">
        <f>SUM(EH10:EN10)</f>
        <v>0</v>
      </c>
      <c r="FC10" s="728">
        <f>SUM(EO10:EU10)</f>
        <v>0</v>
      </c>
    </row>
    <row r="11" spans="1:168" s="10" customFormat="1" ht="12.75" customHeight="1" thickBot="1">
      <c r="A11" s="729"/>
      <c r="B11" s="759"/>
      <c r="C11" s="759"/>
      <c r="D11" s="759"/>
      <c r="E11" s="759"/>
      <c r="F11" s="731"/>
      <c r="G11" s="731"/>
      <c r="H11" s="731"/>
      <c r="I11" s="731"/>
      <c r="J11" s="731"/>
      <c r="K11" s="731"/>
      <c r="L11" s="733"/>
      <c r="M11" s="734"/>
      <c r="N11" s="734"/>
      <c r="O11" s="734"/>
      <c r="P11" s="734"/>
      <c r="Q11" s="736"/>
      <c r="R11" s="758"/>
      <c r="S11" s="737"/>
      <c r="T11" s="733"/>
      <c r="U11" s="738"/>
      <c r="V11" s="739"/>
      <c r="W11" s="740"/>
      <c r="X11" s="740"/>
      <c r="Y11" s="740"/>
      <c r="Z11" s="740"/>
      <c r="AA11" s="741"/>
      <c r="AB11" s="741"/>
      <c r="AC11" s="742"/>
      <c r="AD11" s="742"/>
      <c r="AE11" s="742"/>
      <c r="AF11" s="742"/>
      <c r="AG11" s="742"/>
      <c r="AH11" s="742"/>
      <c r="AI11" s="742"/>
      <c r="AJ11" s="742"/>
      <c r="AK11" s="733"/>
      <c r="AL11" s="733"/>
      <c r="AM11" s="733"/>
      <c r="AN11" s="733"/>
      <c r="AO11" s="733"/>
      <c r="AP11" s="733"/>
      <c r="AQ11" s="733"/>
      <c r="AR11" s="733"/>
      <c r="AS11" s="760"/>
      <c r="AT11" s="760"/>
      <c r="AU11" s="760"/>
      <c r="AV11" s="733"/>
      <c r="AW11" s="733"/>
      <c r="AX11" s="733"/>
      <c r="AY11" s="733"/>
      <c r="AZ11" s="733"/>
      <c r="BA11" s="744"/>
      <c r="BB11" s="761"/>
      <c r="BC11" s="762"/>
      <c r="BD11" s="762"/>
      <c r="BE11" s="762"/>
      <c r="BF11" s="762"/>
      <c r="BG11" s="762"/>
      <c r="BH11" s="763"/>
      <c r="BI11" s="764"/>
      <c r="BJ11" s="762"/>
      <c r="BK11" s="762"/>
      <c r="BL11" s="762"/>
      <c r="BM11" s="762"/>
      <c r="BN11" s="762"/>
      <c r="BO11" s="765"/>
      <c r="BP11" s="761"/>
      <c r="BQ11" s="762"/>
      <c r="BR11" s="762"/>
      <c r="BS11" s="762"/>
      <c r="BT11" s="762"/>
      <c r="BU11" s="762"/>
      <c r="BV11" s="763"/>
      <c r="BW11" s="762"/>
      <c r="BX11" s="762"/>
      <c r="BY11" s="762"/>
      <c r="BZ11" s="762"/>
      <c r="CA11" s="762"/>
      <c r="CB11" s="762"/>
      <c r="CC11" s="765"/>
      <c r="CD11" s="488"/>
      <c r="CE11" s="766"/>
      <c r="CF11" s="766"/>
      <c r="CG11" s="766"/>
      <c r="CH11" s="766"/>
      <c r="CI11" s="766"/>
      <c r="CJ11" s="489"/>
      <c r="CK11" s="488"/>
      <c r="CL11" s="766"/>
      <c r="CM11" s="766"/>
      <c r="CN11" s="766"/>
      <c r="CO11" s="766"/>
      <c r="CP11" s="766"/>
      <c r="CQ11" s="489"/>
      <c r="CR11" s="767"/>
      <c r="CS11" s="766"/>
      <c r="CT11" s="766"/>
      <c r="CU11" s="766"/>
      <c r="CV11" s="766"/>
      <c r="CW11" s="766"/>
      <c r="CX11" s="768"/>
      <c r="CY11" s="493"/>
      <c r="CZ11" s="769"/>
      <c r="DA11" s="769"/>
      <c r="DB11" s="769"/>
      <c r="DC11" s="769"/>
      <c r="DD11" s="769"/>
      <c r="DE11" s="494"/>
      <c r="DF11" s="493"/>
      <c r="DG11" s="769"/>
      <c r="DH11" s="769"/>
      <c r="DI11" s="769"/>
      <c r="DJ11" s="769"/>
      <c r="DK11" s="769"/>
      <c r="DL11" s="494"/>
      <c r="DM11" s="770"/>
      <c r="DN11" s="769"/>
      <c r="DO11" s="769"/>
      <c r="DP11" s="769"/>
      <c r="DQ11" s="769"/>
      <c r="DR11" s="769"/>
      <c r="DS11" s="771"/>
      <c r="DT11" s="493"/>
      <c r="DU11" s="769"/>
      <c r="DV11" s="769"/>
      <c r="DW11" s="769"/>
      <c r="DX11" s="769"/>
      <c r="DY11" s="769"/>
      <c r="DZ11" s="494"/>
      <c r="EA11" s="766"/>
      <c r="EB11" s="766"/>
      <c r="EC11" s="766"/>
      <c r="ED11" s="766"/>
      <c r="EE11" s="766"/>
      <c r="EF11" s="766"/>
      <c r="EG11" s="768"/>
      <c r="EH11" s="488"/>
      <c r="EI11" s="766"/>
      <c r="EJ11" s="766"/>
      <c r="EK11" s="766"/>
      <c r="EL11" s="766"/>
      <c r="EM11" s="766"/>
      <c r="EN11" s="489"/>
      <c r="EO11" s="488"/>
      <c r="EP11" s="766"/>
      <c r="EQ11" s="766"/>
      <c r="ER11" s="766"/>
      <c r="ES11" s="766"/>
      <c r="ET11" s="766"/>
      <c r="EU11" s="489"/>
      <c r="EV11" s="515"/>
      <c r="EW11" s="755"/>
      <c r="EX11" s="755"/>
      <c r="EY11" s="755"/>
      <c r="EZ11" s="755"/>
      <c r="FA11" s="756"/>
      <c r="FB11" s="756"/>
      <c r="FC11" s="487"/>
    </row>
    <row r="12" spans="1:168">
      <c r="Z12" s="2"/>
      <c r="AA12" s="2"/>
      <c r="AK12" s="3"/>
    </row>
    <row r="13" spans="1:168" ht="14.5">
      <c r="A13" t="s">
        <v>387</v>
      </c>
      <c r="AK13" s="3"/>
    </row>
    <row r="14" spans="1:168" ht="14.5">
      <c r="A14" t="s">
        <v>388</v>
      </c>
      <c r="AK14" s="3"/>
    </row>
    <row r="15" spans="1:168" ht="14.5">
      <c r="A15"/>
      <c r="B15"/>
      <c r="C15"/>
      <c r="D15"/>
      <c r="AK15" s="3"/>
    </row>
    <row r="16" spans="1:168" ht="14.5">
      <c r="A16"/>
      <c r="B16"/>
      <c r="C16"/>
      <c r="D16"/>
    </row>
    <row r="17" spans="1:4" ht="14.5">
      <c r="A17" s="123"/>
      <c r="B17" s="123"/>
      <c r="C17"/>
      <c r="D17"/>
    </row>
    <row r="18" spans="1:4" ht="14.5">
      <c r="A18" s="123"/>
      <c r="B18" s="123"/>
      <c r="C18"/>
      <c r="D18"/>
    </row>
    <row r="19" spans="1:4" ht="14.5">
      <c r="A19"/>
      <c r="B19"/>
      <c r="C19"/>
      <c r="D19"/>
    </row>
    <row r="20" spans="1:4" ht="14.5">
      <c r="A20"/>
      <c r="B20"/>
      <c r="C20"/>
      <c r="D20"/>
    </row>
    <row r="21" spans="1:4" ht="14.5">
      <c r="A21"/>
      <c r="B21"/>
      <c r="C21"/>
      <c r="D21"/>
    </row>
    <row r="22" spans="1:4" ht="14.5">
      <c r="A22"/>
      <c r="B22"/>
      <c r="C22"/>
      <c r="D22"/>
    </row>
    <row r="23" spans="1:4" ht="14.5">
      <c r="A23"/>
      <c r="B23"/>
      <c r="C23"/>
      <c r="D23"/>
    </row>
    <row r="24" spans="1:4" ht="14.5">
      <c r="A24"/>
      <c r="B24"/>
      <c r="C24"/>
      <c r="D24"/>
    </row>
    <row r="25" spans="1:4" ht="14.5">
      <c r="A25"/>
      <c r="B25"/>
      <c r="C25"/>
      <c r="D25"/>
    </row>
    <row r="26" spans="1:4" ht="14.5">
      <c r="A26"/>
      <c r="B26"/>
      <c r="C26"/>
      <c r="D26"/>
    </row>
    <row r="27" spans="1:4" ht="14.5">
      <c r="A27"/>
      <c r="B27"/>
      <c r="C27"/>
      <c r="D27"/>
    </row>
    <row r="28" spans="1:4" ht="14.5">
      <c r="A28"/>
      <c r="B28"/>
      <c r="C28"/>
      <c r="D28"/>
    </row>
    <row r="29" spans="1:4" ht="14.5">
      <c r="A29"/>
      <c r="B29"/>
      <c r="C29"/>
      <c r="D29"/>
    </row>
  </sheetData>
  <autoFilter ref="A5:ER5" xr:uid="{00000000-0009-0000-0000-000008000000}"/>
  <mergeCells count="13">
    <mergeCell ref="EO2:EU2"/>
    <mergeCell ref="CY2:DZ2"/>
    <mergeCell ref="EV4:FC4"/>
    <mergeCell ref="F4:P4"/>
    <mergeCell ref="Q4:T4"/>
    <mergeCell ref="U4:AG4"/>
    <mergeCell ref="AK4:AX4"/>
    <mergeCell ref="AZ4:BA4"/>
    <mergeCell ref="BB2:CC2"/>
    <mergeCell ref="CK2:CQ2"/>
    <mergeCell ref="CR2:CX2"/>
    <mergeCell ref="EA2:EG2"/>
    <mergeCell ref="EH2:EN2"/>
  </mergeCells>
  <dataValidations disablePrompts="1" count="1">
    <dataValidation type="list" allowBlank="1" showInputMessage="1" showErrorMessage="1" sqref="AS6:AU6 AS8:AU8 AS10:AU10" xr:uid="{2A5B6305-1919-47E9-B551-BAADE37E2218}">
      <formula1>#REF!</formula1>
    </dataValidation>
  </dataValidations>
  <pageMargins left="0.7" right="0.7" top="0.75" bottom="0.75" header="0.3" footer="0.3"/>
  <pageSetup orientation="portrait" r:id="rId1"/>
  <headerFooter>
    <oddFooter>&amp;L&amp;1#&amp;"Calibri"&amp;14&amp;K000000Business Use</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FL385"/>
  <sheetViews>
    <sheetView zoomScale="70" zoomScaleNormal="70" zoomScaleSheetLayoutView="100" workbookViewId="0">
      <selection activeCell="L154" sqref="L154"/>
    </sheetView>
  </sheetViews>
  <sheetFormatPr defaultColWidth="9.1796875" defaultRowHeight="13"/>
  <cols>
    <col min="1" max="1" width="9.1796875" style="2" customWidth="1"/>
    <col min="2" max="2" width="69.7265625" style="2" customWidth="1"/>
    <col min="3" max="3" width="58.26953125" style="2" customWidth="1"/>
    <col min="4" max="4" width="14.453125" style="2" customWidth="1"/>
    <col min="5" max="5" width="45.54296875" style="2" customWidth="1"/>
    <col min="6" max="6" width="18.54296875" style="2" customWidth="1"/>
    <col min="7" max="7" width="12.453125" style="2" customWidth="1"/>
    <col min="8" max="8" width="11.1796875" style="2" customWidth="1"/>
    <col min="9" max="9" width="11.54296875" style="2" customWidth="1"/>
    <col min="10" max="10" width="14.54296875" style="2" customWidth="1"/>
    <col min="11" max="11" width="15.453125" style="2" customWidth="1"/>
    <col min="12" max="13" width="15.26953125" style="2" customWidth="1"/>
    <col min="14" max="14" width="15" style="2" customWidth="1"/>
    <col min="15" max="16" width="10.7265625" style="2" customWidth="1"/>
    <col min="17" max="17" width="13.453125" style="2" customWidth="1"/>
    <col min="18" max="19" width="12.1796875" style="2" customWidth="1"/>
    <col min="20" max="20" width="15.7265625" style="3" customWidth="1"/>
    <col min="21" max="25" width="10.81640625" style="3" customWidth="1"/>
    <col min="26" max="26" width="12.453125" style="3" customWidth="1"/>
    <col min="27" max="27" width="13.1796875" style="3" customWidth="1"/>
    <col min="28" max="36" width="10.1796875" style="3" customWidth="1"/>
    <col min="37" max="44" width="14.453125" style="2" customWidth="1"/>
    <col min="45" max="45" width="20.81640625" style="2" customWidth="1"/>
    <col min="46" max="46" width="14.453125" style="2" customWidth="1"/>
    <col min="47" max="47" width="16.453125" style="2" customWidth="1"/>
    <col min="48" max="53" width="12" style="2" customWidth="1"/>
    <col min="54" max="56" width="17.81640625" style="2" customWidth="1"/>
    <col min="57" max="60" width="15.7265625" style="2" customWidth="1"/>
    <col min="61" max="67" width="12" style="2" customWidth="1"/>
    <col min="68" max="81" width="11.7265625" style="2" customWidth="1"/>
    <col min="82" max="145" width="15.54296875" style="2" customWidth="1"/>
    <col min="146" max="146" width="16.453125" style="2" customWidth="1"/>
    <col min="147" max="159" width="15.54296875" style="2" customWidth="1"/>
    <col min="160" max="164" width="9.1796875" style="2"/>
    <col min="165" max="165" width="13.453125" style="2" bestFit="1" customWidth="1"/>
    <col min="166" max="166" width="14" style="2" bestFit="1" customWidth="1"/>
    <col min="167" max="167" width="9.1796875" style="2"/>
    <col min="168" max="168" width="11.26953125" style="2" bestFit="1" customWidth="1"/>
    <col min="169" max="16384" width="9.1796875" style="2"/>
  </cols>
  <sheetData>
    <row r="1" spans="1:168" ht="15" thickBot="1">
      <c r="A1" t="str">
        <f>A3&amp;"_"&amp;A4&amp;"_"&amp;A5</f>
        <v>_Measure Details_Measure ID</v>
      </c>
      <c r="B1" t="str">
        <f t="shared" ref="B1:CB1" si="0">B3&amp;"_"&amp;B4&amp;"_"&amp;B5</f>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t="str">
        <f t="shared" si="0"/>
        <v>__Number of Unit Per Participant</v>
      </c>
      <c r="W1" t="str">
        <f t="shared" si="0"/>
        <v>1__2017</v>
      </c>
      <c r="X1" t="str">
        <f t="shared" si="0"/>
        <v>2__2018</v>
      </c>
      <c r="Y1" t="str">
        <f t="shared" si="0"/>
        <v>3__2019</v>
      </c>
      <c r="Z1" t="str">
        <f t="shared" si="0"/>
        <v>4__2020</v>
      </c>
      <c r="AA1" t="str">
        <f t="shared" si="0"/>
        <v>__2021</v>
      </c>
      <c r="AB1" t="str">
        <f t="shared" si="0"/>
        <v>__2022</v>
      </c>
      <c r="AC1" t="str">
        <f>AC3&amp;"_"&amp;AC4&amp;"_"&amp;AC5</f>
        <v>__Projected 2023</v>
      </c>
      <c r="AD1" t="str">
        <f t="shared" si="0"/>
        <v>__Participation 2024</v>
      </c>
      <c r="AE1" t="str">
        <f t="shared" si="0"/>
        <v>__Participation 2025</v>
      </c>
      <c r="AF1" t="str">
        <f t="shared" si="0"/>
        <v>__Participation 2026</v>
      </c>
      <c r="AG1" t="str">
        <f t="shared" si="0"/>
        <v>__Participation 2027</v>
      </c>
      <c r="AH1" t="str">
        <f>AH3&amp;"_"&amp;AH4&amp;"_"&amp;AH5</f>
        <v>__Participation 2028</v>
      </c>
      <c r="AI1" t="str">
        <f t="shared" si="0"/>
        <v>__Participation 2029</v>
      </c>
      <c r="AJ1" t="str">
        <f>AJ3&amp;"_"&amp;AJ4&amp;"_"&amp;AJ5</f>
        <v>__Participation 2030</v>
      </c>
      <c r="AK1" t="str">
        <f t="shared" si="0"/>
        <v>_Modeling Measure-level Inputs_Fuel Type</v>
      </c>
      <c r="AL1" t="str">
        <f t="shared" si="0"/>
        <v>__Sector</v>
      </c>
      <c r="AM1" t="str">
        <f t="shared" si="0"/>
        <v>__Segment</v>
      </c>
      <c r="AN1" t="str">
        <f t="shared" si="0"/>
        <v>__Enduse</v>
      </c>
      <c r="AO1" t="str">
        <f t="shared" si="0"/>
        <v>__Construction Type</v>
      </c>
      <c r="AP1" t="str">
        <f t="shared" si="0"/>
        <v>__Potential Study Measure Name</v>
      </c>
      <c r="AQ1" t="str">
        <f t="shared" si="0"/>
        <v>__Potential Study Measure Description</v>
      </c>
      <c r="AR1" t="str">
        <f t="shared" si="0"/>
        <v>__Potential Study Baseline Description</v>
      </c>
      <c r="AS1" t="str">
        <f>AS3&amp;"_"&amp;AS4&amp;"_"&amp;AS5</f>
        <v>__Electric Load Shape</v>
      </c>
      <c r="AT1" t="str">
        <f t="shared" si="0"/>
        <v>__Natural Gas Load Shape</v>
      </c>
      <c r="AU1" t="str">
        <f t="shared" si="0"/>
        <v>__Customer Rate Class</v>
      </c>
      <c r="AV1" t="str">
        <f t="shared" si="0"/>
        <v>__Measure Life</v>
      </c>
      <c r="AW1" t="str">
        <f t="shared" si="0"/>
        <v>__Baseline Life</v>
      </c>
      <c r="AX1" t="str">
        <f t="shared" si="0"/>
        <v>__Life Source</v>
      </c>
      <c r="AY1" t="str">
        <f t="shared" si="0"/>
        <v>_Measure Tier Share_Tier Share</v>
      </c>
      <c r="AZ1" t="str">
        <f t="shared" si="0"/>
        <v>_Measure Fuel Weights_Electric Share</v>
      </c>
      <c r="BA1" t="str">
        <f t="shared" si="0"/>
        <v>__Natural Gas Share</v>
      </c>
      <c r="BB1" t="str">
        <f t="shared" si="0"/>
        <v>Per Unit_Incremental Costs_2024</v>
      </c>
      <c r="BC1" t="str">
        <f>BC3&amp;"_"&amp;BC4&amp;"_"&amp;BC5</f>
        <v>Per Unit_Incremental Costs_2025</v>
      </c>
      <c r="BD1" t="str">
        <f t="shared" si="0"/>
        <v>Per Unit_Incremental Costs_2026</v>
      </c>
      <c r="BE1" t="str">
        <f t="shared" si="0"/>
        <v>Per Unit_Incremental Costs_2027</v>
      </c>
      <c r="BF1" t="str">
        <f t="shared" si="0"/>
        <v>Per Unit_Incremental Costs_2028</v>
      </c>
      <c r="BG1" t="str">
        <f t="shared" si="0"/>
        <v>Per Unit_Incremental Costs_2029</v>
      </c>
      <c r="BH1" t="str">
        <f t="shared" si="0"/>
        <v>Per Unit_Incremental Costs_2030</v>
      </c>
      <c r="BI1" t="str">
        <f t="shared" si="0"/>
        <v>Per Unit_Incremental Annual O&amp;M_2024</v>
      </c>
      <c r="BJ1" t="str">
        <f t="shared" si="0"/>
        <v>Per Unit_Incremental Annual O&amp;M_2025</v>
      </c>
      <c r="BK1" t="str">
        <f t="shared" si="0"/>
        <v>Per Unit_Incremental Annual O&amp;M_2026</v>
      </c>
      <c r="BL1" t="str">
        <f t="shared" si="0"/>
        <v>Per Unit_Incremental Annual O&amp;M_2027</v>
      </c>
      <c r="BM1" t="str">
        <f t="shared" si="0"/>
        <v>Per Unit_Incremental Annual O&amp;M_2028</v>
      </c>
      <c r="BN1" t="str">
        <f t="shared" si="0"/>
        <v>Per Unit_Incremental Annual O&amp;M_2029</v>
      </c>
      <c r="BO1" t="str">
        <f t="shared" si="0"/>
        <v>Per Unit_Incremental Annual O&amp;M_2030</v>
      </c>
      <c r="BP1" t="str">
        <f t="shared" si="0"/>
        <v>Per Unit_Customer &amp; Dealer Incentives_2024</v>
      </c>
      <c r="BQ1" t="str">
        <f t="shared" si="0"/>
        <v>Per Unit_Customer &amp; Dealer Incentives_2025</v>
      </c>
      <c r="BR1" t="str">
        <f t="shared" si="0"/>
        <v>Per Unit_Customer &amp; Dealer Incentives_2026</v>
      </c>
      <c r="BS1" t="str">
        <f t="shared" si="0"/>
        <v>Per Unit_Customer &amp; Dealer Incentives_2027</v>
      </c>
      <c r="BT1" t="str">
        <f t="shared" si="0"/>
        <v>Per Unit_Customer &amp; Dealer Incentives_2028</v>
      </c>
      <c r="BU1" t="str">
        <f t="shared" si="0"/>
        <v>Per Unit_Customer &amp; Dealer Incentives_2029</v>
      </c>
      <c r="BV1" t="str">
        <f t="shared" si="0"/>
        <v>Per Unit_Customer &amp; Dealer Incentives_2030</v>
      </c>
      <c r="BW1" t="str">
        <f t="shared" si="0"/>
        <v>Per Unit_Implementation Cost_2024</v>
      </c>
      <c r="BX1" t="str">
        <f t="shared" si="0"/>
        <v>Per Unit_Implementation Cost_2025</v>
      </c>
      <c r="BY1" t="str">
        <f t="shared" si="0"/>
        <v>Per Unit_Implementation Cost_2026</v>
      </c>
      <c r="BZ1" t="str">
        <f t="shared" si="0"/>
        <v>Per Unit_Implementation Cost_2027</v>
      </c>
      <c r="CA1" t="str">
        <f t="shared" si="0"/>
        <v>Per Unit_Implementation Cost_2028</v>
      </c>
      <c r="CB1" t="str">
        <f t="shared" si="0"/>
        <v>Per Unit_Implementation Cost_2029</v>
      </c>
      <c r="CC1" t="str">
        <f t="shared" ref="CC1:EN1" si="1">CC3&amp;"_"&amp;CC4&amp;"_"&amp;CC5</f>
        <v>Per Unit_Implementation Cost_2030</v>
      </c>
      <c r="CD1" t="str">
        <f t="shared" si="1"/>
        <v>Per Unit_kWh _2024</v>
      </c>
      <c r="CE1" t="str">
        <f t="shared" si="1"/>
        <v>Per Unit_kWh _2025</v>
      </c>
      <c r="CF1" t="str">
        <f t="shared" si="1"/>
        <v>Per Unit_kWh _2026</v>
      </c>
      <c r="CG1" t="str">
        <f t="shared" si="1"/>
        <v>Per Unit_kWh _2027</v>
      </c>
      <c r="CH1" t="str">
        <f t="shared" si="1"/>
        <v>Per Unit_kWh _2028</v>
      </c>
      <c r="CI1" t="str">
        <f t="shared" si="1"/>
        <v>Per Unit_kWh _2029</v>
      </c>
      <c r="CJ1" t="str">
        <f t="shared" si="1"/>
        <v>Per Unit_kWh _2030</v>
      </c>
      <c r="CK1" t="str">
        <f t="shared" si="1"/>
        <v>Per Unit_kW_2024</v>
      </c>
      <c r="CL1" t="str">
        <f t="shared" si="1"/>
        <v>Per Unit_kW_2025</v>
      </c>
      <c r="CM1" t="str">
        <f t="shared" si="1"/>
        <v>Per Unit_kW_2026</v>
      </c>
      <c r="CN1" t="str">
        <f t="shared" si="1"/>
        <v>Per Unit_kW_2027</v>
      </c>
      <c r="CO1" t="str">
        <f t="shared" si="1"/>
        <v>Per Unit_kW_2028</v>
      </c>
      <c r="CP1" t="str">
        <f t="shared" si="1"/>
        <v>Per Unit_kW_2029</v>
      </c>
      <c r="CQ1" t="str">
        <f t="shared" si="1"/>
        <v>Per Unit_kW_2030</v>
      </c>
      <c r="CR1" t="str">
        <f t="shared" si="1"/>
        <v>Per Unit_Therms_2024</v>
      </c>
      <c r="CS1" t="str">
        <f t="shared" si="1"/>
        <v>Per Unit_Therms_2025</v>
      </c>
      <c r="CT1" t="str">
        <f t="shared" si="1"/>
        <v>Per Unit_Therms_2026</v>
      </c>
      <c r="CU1" t="str">
        <f t="shared" si="1"/>
        <v>Per Unit_Therms_2027</v>
      </c>
      <c r="CV1" t="str">
        <f t="shared" si="1"/>
        <v>Per Unit_Therms_2028</v>
      </c>
      <c r="CW1" t="str">
        <f t="shared" si="1"/>
        <v>Per Unit_Therms_2029</v>
      </c>
      <c r="CX1" t="str">
        <f t="shared" si="1"/>
        <v>Per Unit_Therms_2030</v>
      </c>
      <c r="CY1" t="str">
        <f t="shared" si="1"/>
        <v>Program_Incremental Costs_2024</v>
      </c>
      <c r="CZ1" t="str">
        <f t="shared" si="1"/>
        <v>Program_Incremental Costs_2025</v>
      </c>
      <c r="DA1" t="str">
        <f t="shared" si="1"/>
        <v>Program_Incremental Costs_2026</v>
      </c>
      <c r="DB1" t="str">
        <f t="shared" si="1"/>
        <v>Program_Incremental Costs_2027</v>
      </c>
      <c r="DC1" t="str">
        <f t="shared" si="1"/>
        <v>Program_Incremental Costs_2028</v>
      </c>
      <c r="DD1" t="str">
        <f t="shared" si="1"/>
        <v>Program_Incremental Costs_2029</v>
      </c>
      <c r="DE1" t="str">
        <f t="shared" si="1"/>
        <v>Program_Incremental Costs_2030</v>
      </c>
      <c r="DF1" t="str">
        <f t="shared" si="1"/>
        <v>Program_Incremental Annual O&amp;M_2024</v>
      </c>
      <c r="DG1" t="str">
        <f t="shared" si="1"/>
        <v>Program_Incremental Annual O&amp;M_2025</v>
      </c>
      <c r="DH1" t="str">
        <f t="shared" si="1"/>
        <v>Program_Incremental Annual O&amp;M_2026</v>
      </c>
      <c r="DI1" t="str">
        <f t="shared" si="1"/>
        <v>Program_Incremental Annual O&amp;M_2027</v>
      </c>
      <c r="DJ1" t="str">
        <f t="shared" si="1"/>
        <v>Program_Incremental Annual O&amp;M_2028</v>
      </c>
      <c r="DK1" t="str">
        <f t="shared" si="1"/>
        <v>Program_Incremental Annual O&amp;M_2029</v>
      </c>
      <c r="DL1" t="str">
        <f t="shared" si="1"/>
        <v>Program_Incremental Annual O&amp;M_2030</v>
      </c>
      <c r="DM1" t="str">
        <f t="shared" si="1"/>
        <v>Program_Customer &amp; Dealer Incentives_2024</v>
      </c>
      <c r="DN1" t="str">
        <f t="shared" si="1"/>
        <v>Program_Customer &amp; Dealer Incentives_2025</v>
      </c>
      <c r="DO1" t="str">
        <f t="shared" si="1"/>
        <v>Program_Customer &amp; Dealer Incentives_2026</v>
      </c>
      <c r="DP1" t="str">
        <f t="shared" si="1"/>
        <v>Program_Customer &amp; Dealer Incentives_2027</v>
      </c>
      <c r="DQ1" t="str">
        <f t="shared" si="1"/>
        <v>Program_Customer &amp; Dealer Incentives_2028</v>
      </c>
      <c r="DR1" t="str">
        <f t="shared" si="1"/>
        <v>Program_Customer &amp; Dealer Incentives_2029</v>
      </c>
      <c r="DS1" t="str">
        <f t="shared" si="1"/>
        <v>Program_Customer &amp; Dealer Incentives_2030</v>
      </c>
      <c r="DT1" t="str">
        <f t="shared" si="1"/>
        <v>Program_Implementation Costs_2024</v>
      </c>
      <c r="DU1" t="str">
        <f t="shared" si="1"/>
        <v>Program_Implementation Costs_2025</v>
      </c>
      <c r="DV1" t="str">
        <f t="shared" si="1"/>
        <v>Program_Implementation Costs_2026</v>
      </c>
      <c r="DW1" t="str">
        <f t="shared" si="1"/>
        <v>Program_Implementation Costs_2027</v>
      </c>
      <c r="DX1" t="str">
        <f t="shared" si="1"/>
        <v>Program_Implementation Costs_2028</v>
      </c>
      <c r="DY1" t="str">
        <f t="shared" si="1"/>
        <v>Program_Implementation Costs_2029</v>
      </c>
      <c r="DZ1" t="str">
        <f t="shared" si="1"/>
        <v>Program_Implementation Costs_2030</v>
      </c>
      <c r="EA1" t="str">
        <f t="shared" si="1"/>
        <v>Program_kWh _2024</v>
      </c>
      <c r="EB1" t="str">
        <f t="shared" si="1"/>
        <v>Program_kWh _2025</v>
      </c>
      <c r="EC1" t="str">
        <f t="shared" si="1"/>
        <v>Program_kWh _2026</v>
      </c>
      <c r="ED1" t="str">
        <f t="shared" si="1"/>
        <v>Program_kWh _2027</v>
      </c>
      <c r="EE1" t="str">
        <f t="shared" si="1"/>
        <v>Program_kWh _2028</v>
      </c>
      <c r="EF1" t="str">
        <f t="shared" si="1"/>
        <v>Program_kWh _2029</v>
      </c>
      <c r="EG1" t="str">
        <f t="shared" si="1"/>
        <v>Program_kWh _2030</v>
      </c>
      <c r="EH1" t="str">
        <f t="shared" si="1"/>
        <v>Program_kW_2024</v>
      </c>
      <c r="EI1" t="str">
        <f t="shared" si="1"/>
        <v>Program_kW_2025</v>
      </c>
      <c r="EJ1" t="str">
        <f t="shared" si="1"/>
        <v>Program_kW_2026</v>
      </c>
      <c r="EK1" t="str">
        <f t="shared" si="1"/>
        <v>Program_kW_2027</v>
      </c>
      <c r="EL1" t="str">
        <f t="shared" si="1"/>
        <v>Program_kW_2028</v>
      </c>
      <c r="EM1" t="str">
        <f t="shared" si="1"/>
        <v>Program_kW_2029</v>
      </c>
      <c r="EN1" t="str">
        <f t="shared" si="1"/>
        <v>Program_kW_2030</v>
      </c>
      <c r="EO1" t="str">
        <f t="shared" ref="EO1:FC1" si="2">EO3&amp;"_"&amp;EO4&amp;"_"&amp;EO5</f>
        <v>Program_Therms_2024</v>
      </c>
      <c r="EP1" t="str">
        <f t="shared" si="2"/>
        <v>Program_Therms_2025</v>
      </c>
      <c r="EQ1" t="str">
        <f t="shared" si="2"/>
        <v>Program_Therms_2026</v>
      </c>
      <c r="ER1" t="str">
        <f t="shared" si="2"/>
        <v>Program_Therms_2027</v>
      </c>
      <c r="ES1" t="str">
        <f t="shared" si="2"/>
        <v>Program_Therms_2028</v>
      </c>
      <c r="ET1" t="str">
        <f t="shared" si="2"/>
        <v>Program_Therms_2029</v>
      </c>
      <c r="EU1" t="str">
        <f t="shared" si="2"/>
        <v>Program_Therms_2030</v>
      </c>
      <c r="EV1" t="str">
        <f>EV3&amp;"_"&amp;EV4&amp;"_"&amp;EV5</f>
        <v>_Total Plan Summary 2024-2030_Participation</v>
      </c>
      <c r="EW1" t="str">
        <f>EW3&amp;"_"&amp;EW4&amp;"_"&amp;EW5</f>
        <v>__Incremental Costs ($)</v>
      </c>
      <c r="EX1" t="str">
        <f t="shared" si="2"/>
        <v>__Incremental Annual O&amp;M ($)</v>
      </c>
      <c r="EY1" t="str">
        <f t="shared" si="2"/>
        <v>__Customer &amp; Dealer Incentives ($)</v>
      </c>
      <c r="EZ1" t="str">
        <f t="shared" si="2"/>
        <v>__Implementation Costs ($)</v>
      </c>
      <c r="FA1" t="str">
        <f t="shared" si="2"/>
        <v>__Electric kWh  Benefits</v>
      </c>
      <c r="FB1" t="str">
        <f t="shared" si="2"/>
        <v>__Electric kW Peak Demand Benefits</v>
      </c>
      <c r="FC1" t="str">
        <f t="shared" si="2"/>
        <v>__Natural Gas Therms Benefits</v>
      </c>
    </row>
    <row r="2" spans="1:168" s="5" customFormat="1" ht="16.5" customHeight="1" thickBot="1">
      <c r="A2" s="1" t="s">
        <v>389</v>
      </c>
      <c r="B2" s="4"/>
      <c r="C2" s="4"/>
      <c r="U2" s="6"/>
      <c r="V2" s="6"/>
      <c r="W2" s="6"/>
      <c r="X2" s="6"/>
      <c r="Y2" s="6"/>
      <c r="Z2" s="6"/>
      <c r="AA2" s="6"/>
      <c r="AB2" s="6"/>
      <c r="AC2" s="6"/>
      <c r="AD2" s="6"/>
      <c r="AE2" s="6"/>
      <c r="AF2" s="6"/>
      <c r="AG2" s="6"/>
      <c r="AH2" s="6"/>
      <c r="AI2" s="6"/>
      <c r="AJ2" s="6"/>
      <c r="AK2" s="6"/>
      <c r="AL2" s="6"/>
      <c r="AM2" s="6"/>
      <c r="AN2" s="7"/>
      <c r="AO2" s="7"/>
      <c r="AP2" s="7"/>
      <c r="AQ2" s="7"/>
      <c r="AR2" s="7"/>
      <c r="AS2" s="7"/>
      <c r="AT2" s="7"/>
      <c r="AU2" s="7"/>
      <c r="BB2" s="1384" t="s">
        <v>327</v>
      </c>
      <c r="BC2" s="1385"/>
      <c r="BD2" s="1385"/>
      <c r="BE2" s="1385"/>
      <c r="BF2" s="1385"/>
      <c r="BG2" s="1385"/>
      <c r="BH2" s="1385"/>
      <c r="BI2" s="1385"/>
      <c r="BJ2" s="1385"/>
      <c r="BK2" s="1385"/>
      <c r="BL2" s="1385"/>
      <c r="BM2" s="1385"/>
      <c r="BN2" s="1385"/>
      <c r="BO2" s="1385"/>
      <c r="BP2" s="1385"/>
      <c r="BQ2" s="1385"/>
      <c r="BR2" s="1385"/>
      <c r="BS2" s="1385"/>
      <c r="BT2" s="1385"/>
      <c r="BU2" s="1385"/>
      <c r="BV2" s="1385"/>
      <c r="BW2" s="1385"/>
      <c r="BX2" s="1385"/>
      <c r="BY2" s="1385"/>
      <c r="BZ2" s="1385"/>
      <c r="CA2" s="1385"/>
      <c r="CB2" s="1385"/>
      <c r="CC2" s="1386"/>
      <c r="CD2" s="1381" t="s">
        <v>328</v>
      </c>
      <c r="CE2" s="1382"/>
      <c r="CF2" s="1382"/>
      <c r="CG2" s="1382"/>
      <c r="CH2" s="1382"/>
      <c r="CI2" s="1382"/>
      <c r="CJ2" s="1383"/>
      <c r="CK2" s="1381" t="s">
        <v>329</v>
      </c>
      <c r="CL2" s="1382"/>
      <c r="CM2" s="1382"/>
      <c r="CN2" s="1382"/>
      <c r="CO2" s="1382"/>
      <c r="CP2" s="1382"/>
      <c r="CQ2" s="1383"/>
      <c r="CR2" s="1381" t="s">
        <v>330</v>
      </c>
      <c r="CS2" s="1382"/>
      <c r="CT2" s="1382"/>
      <c r="CU2" s="1382"/>
      <c r="CV2" s="1382"/>
      <c r="CW2" s="1382"/>
      <c r="CX2" s="1383"/>
      <c r="CY2" s="1384" t="s">
        <v>327</v>
      </c>
      <c r="CZ2" s="1385"/>
      <c r="DA2" s="1385"/>
      <c r="DB2" s="1385"/>
      <c r="DC2" s="1385"/>
      <c r="DD2" s="1385"/>
      <c r="DE2" s="1385"/>
      <c r="DF2" s="1385"/>
      <c r="DG2" s="1385"/>
      <c r="DH2" s="1385"/>
      <c r="DI2" s="1385"/>
      <c r="DJ2" s="1385"/>
      <c r="DK2" s="1385"/>
      <c r="DL2" s="1385"/>
      <c r="DM2" s="1385"/>
      <c r="DN2" s="1385"/>
      <c r="DO2" s="1385"/>
      <c r="DP2" s="1385"/>
      <c r="DQ2" s="1385"/>
      <c r="DR2" s="1385"/>
      <c r="DS2" s="1385"/>
      <c r="DT2" s="1385"/>
      <c r="DU2" s="1385"/>
      <c r="DV2" s="1385"/>
      <c r="DW2" s="1385"/>
      <c r="DX2" s="1385"/>
      <c r="DY2" s="1385"/>
      <c r="DZ2" s="1386"/>
      <c r="EA2" s="1394" t="s">
        <v>328</v>
      </c>
      <c r="EB2" s="1395"/>
      <c r="EC2" s="1395"/>
      <c r="ED2" s="1395"/>
      <c r="EE2" s="1395"/>
      <c r="EF2" s="1395"/>
      <c r="EG2" s="1396"/>
      <c r="EH2" s="1394" t="s">
        <v>329</v>
      </c>
      <c r="EI2" s="1395"/>
      <c r="EJ2" s="1395"/>
      <c r="EK2" s="1395"/>
      <c r="EL2" s="1395"/>
      <c r="EM2" s="1395"/>
      <c r="EN2" s="1396"/>
      <c r="EO2" s="1381" t="s">
        <v>330</v>
      </c>
      <c r="EP2" s="1382"/>
      <c r="EQ2" s="1382"/>
      <c r="ER2" s="1382"/>
      <c r="ES2" s="1382"/>
      <c r="ET2" s="1382"/>
      <c r="EU2" s="1383"/>
    </row>
    <row r="3" spans="1:168">
      <c r="B3" s="8"/>
      <c r="C3" s="8"/>
      <c r="T3" s="2"/>
      <c r="W3" s="3">
        <v>1</v>
      </c>
      <c r="X3" s="3">
        <v>2</v>
      </c>
      <c r="Y3" s="3">
        <v>3</v>
      </c>
      <c r="Z3" s="3">
        <v>4</v>
      </c>
      <c r="AK3" s="3"/>
      <c r="AL3" s="3"/>
      <c r="AM3" s="3"/>
      <c r="AN3" s="9"/>
      <c r="AO3" s="9"/>
      <c r="AP3" s="9"/>
      <c r="AQ3" s="9"/>
      <c r="AR3" s="9"/>
      <c r="AS3" s="9"/>
      <c r="AT3" s="9"/>
      <c r="AU3" s="9"/>
      <c r="BB3" s="109" t="s">
        <v>331</v>
      </c>
      <c r="BC3" s="110" t="s">
        <v>331</v>
      </c>
      <c r="BD3" s="110" t="s">
        <v>331</v>
      </c>
      <c r="BE3" s="110" t="s">
        <v>331</v>
      </c>
      <c r="BF3" s="110" t="s">
        <v>331</v>
      </c>
      <c r="BG3" s="110" t="s">
        <v>331</v>
      </c>
      <c r="BH3" s="327" t="s">
        <v>331</v>
      </c>
      <c r="BI3" s="109" t="s">
        <v>331</v>
      </c>
      <c r="BJ3" s="110" t="s">
        <v>331</v>
      </c>
      <c r="BK3" s="110" t="s">
        <v>331</v>
      </c>
      <c r="BL3" s="110" t="s">
        <v>331</v>
      </c>
      <c r="BM3" s="110" t="s">
        <v>331</v>
      </c>
      <c r="BN3" s="110" t="s">
        <v>331</v>
      </c>
      <c r="BO3" s="111" t="s">
        <v>331</v>
      </c>
      <c r="BP3" s="109" t="s">
        <v>331</v>
      </c>
      <c r="BQ3" s="110" t="s">
        <v>331</v>
      </c>
      <c r="BR3" s="110" t="s">
        <v>331</v>
      </c>
      <c r="BS3" s="110" t="s">
        <v>331</v>
      </c>
      <c r="BT3" s="110" t="s">
        <v>331</v>
      </c>
      <c r="BU3" s="110" t="s">
        <v>331</v>
      </c>
      <c r="BV3" s="111" t="s">
        <v>331</v>
      </c>
      <c r="BW3" s="109" t="s">
        <v>331</v>
      </c>
      <c r="BX3" s="110" t="s">
        <v>331</v>
      </c>
      <c r="BY3" s="110" t="s">
        <v>331</v>
      </c>
      <c r="BZ3" s="110" t="s">
        <v>331</v>
      </c>
      <c r="CA3" s="110" t="s">
        <v>331</v>
      </c>
      <c r="CB3" s="110" t="s">
        <v>331</v>
      </c>
      <c r="CC3" s="111" t="s">
        <v>331</v>
      </c>
      <c r="CD3" s="112" t="s">
        <v>331</v>
      </c>
      <c r="CE3" s="113" t="s">
        <v>331</v>
      </c>
      <c r="CF3" s="113" t="s">
        <v>331</v>
      </c>
      <c r="CG3" s="113" t="s">
        <v>331</v>
      </c>
      <c r="CH3" s="113" t="s">
        <v>331</v>
      </c>
      <c r="CI3" s="113" t="s">
        <v>331</v>
      </c>
      <c r="CJ3" s="114" t="s">
        <v>331</v>
      </c>
      <c r="CK3" s="113" t="s">
        <v>331</v>
      </c>
      <c r="CL3" s="113" t="s">
        <v>331</v>
      </c>
      <c r="CM3" s="113" t="s">
        <v>331</v>
      </c>
      <c r="CN3" s="113" t="s">
        <v>331</v>
      </c>
      <c r="CO3" s="113" t="s">
        <v>331</v>
      </c>
      <c r="CP3" s="113" t="s">
        <v>331</v>
      </c>
      <c r="CQ3" s="283" t="s">
        <v>331</v>
      </c>
      <c r="CR3" s="112" t="s">
        <v>331</v>
      </c>
      <c r="CS3" s="113" t="s">
        <v>331</v>
      </c>
      <c r="CT3" s="113" t="s">
        <v>331</v>
      </c>
      <c r="CU3" s="113" t="s">
        <v>331</v>
      </c>
      <c r="CV3" s="113" t="s">
        <v>331</v>
      </c>
      <c r="CW3" s="113" t="s">
        <v>331</v>
      </c>
      <c r="CX3" s="114" t="s">
        <v>331</v>
      </c>
      <c r="CY3" s="109" t="s">
        <v>0</v>
      </c>
      <c r="CZ3" s="110" t="s">
        <v>0</v>
      </c>
      <c r="DA3" s="110" t="s">
        <v>0</v>
      </c>
      <c r="DB3" s="110" t="s">
        <v>0</v>
      </c>
      <c r="DC3" s="110" t="s">
        <v>0</v>
      </c>
      <c r="DD3" s="110" t="s">
        <v>0</v>
      </c>
      <c r="DE3" s="111" t="s">
        <v>0</v>
      </c>
      <c r="DF3" s="288" t="s">
        <v>0</v>
      </c>
      <c r="DG3" s="110" t="s">
        <v>0</v>
      </c>
      <c r="DH3" s="110" t="s">
        <v>0</v>
      </c>
      <c r="DI3" s="110" t="s">
        <v>0</v>
      </c>
      <c r="DJ3" s="110" t="s">
        <v>0</v>
      </c>
      <c r="DK3" s="110" t="s">
        <v>0</v>
      </c>
      <c r="DL3" s="282" t="s">
        <v>0</v>
      </c>
      <c r="DM3" s="109" t="s">
        <v>0</v>
      </c>
      <c r="DN3" s="110" t="s">
        <v>0</v>
      </c>
      <c r="DO3" s="110" t="s">
        <v>0</v>
      </c>
      <c r="DP3" s="110" t="s">
        <v>0</v>
      </c>
      <c r="DQ3" s="110" t="s">
        <v>0</v>
      </c>
      <c r="DR3" s="110" t="s">
        <v>0</v>
      </c>
      <c r="DS3" s="111" t="s">
        <v>0</v>
      </c>
      <c r="DT3" s="110" t="s">
        <v>0</v>
      </c>
      <c r="DU3" s="110" t="s">
        <v>0</v>
      </c>
      <c r="DV3" s="110" t="s">
        <v>0</v>
      </c>
      <c r="DW3" s="110" t="s">
        <v>0</v>
      </c>
      <c r="DX3" s="110" t="s">
        <v>0</v>
      </c>
      <c r="DY3" s="110" t="s">
        <v>0</v>
      </c>
      <c r="DZ3" s="282" t="s">
        <v>0</v>
      </c>
      <c r="EA3" s="115" t="s">
        <v>0</v>
      </c>
      <c r="EB3" s="116" t="s">
        <v>0</v>
      </c>
      <c r="EC3" s="116" t="s">
        <v>0</v>
      </c>
      <c r="ED3" s="116" t="s">
        <v>0</v>
      </c>
      <c r="EE3" s="116" t="s">
        <v>0</v>
      </c>
      <c r="EF3" s="116" t="s">
        <v>0</v>
      </c>
      <c r="EG3" s="117" t="s">
        <v>0</v>
      </c>
      <c r="EH3" s="116" t="s">
        <v>0</v>
      </c>
      <c r="EI3" s="116" t="s">
        <v>0</v>
      </c>
      <c r="EJ3" s="116" t="s">
        <v>0</v>
      </c>
      <c r="EK3" s="116" t="s">
        <v>0</v>
      </c>
      <c r="EL3" s="116" t="s">
        <v>0</v>
      </c>
      <c r="EM3" s="116" t="s">
        <v>0</v>
      </c>
      <c r="EN3" s="284" t="s">
        <v>0</v>
      </c>
      <c r="EO3" s="115" t="s">
        <v>0</v>
      </c>
      <c r="EP3" s="116" t="s">
        <v>0</v>
      </c>
      <c r="EQ3" s="116" t="s">
        <v>0</v>
      </c>
      <c r="ER3" s="116" t="s">
        <v>0</v>
      </c>
      <c r="ES3" s="116" t="s">
        <v>0</v>
      </c>
      <c r="ET3" s="116" t="s">
        <v>0</v>
      </c>
      <c r="EU3" s="117" t="s">
        <v>0</v>
      </c>
    </row>
    <row r="4" spans="1:168"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1375"/>
      <c r="AC4" s="1375"/>
      <c r="AD4" s="1375"/>
      <c r="AE4" s="1375"/>
      <c r="AF4" s="1375"/>
      <c r="AG4" s="1375"/>
      <c r="AH4" s="440"/>
      <c r="AI4" s="440"/>
      <c r="AJ4" s="440"/>
      <c r="AK4" s="1376" t="s">
        <v>335</v>
      </c>
      <c r="AL4" s="1377"/>
      <c r="AM4" s="1377"/>
      <c r="AN4" s="1377"/>
      <c r="AO4" s="1377"/>
      <c r="AP4" s="1377"/>
      <c r="AQ4" s="1377"/>
      <c r="AR4" s="1377"/>
      <c r="AS4" s="1377"/>
      <c r="AT4" s="1377"/>
      <c r="AU4" s="1377"/>
      <c r="AV4" s="1377"/>
      <c r="AW4" s="1377"/>
      <c r="AX4" s="1378"/>
      <c r="AY4" s="687" t="s">
        <v>336</v>
      </c>
      <c r="AZ4" s="1376" t="s">
        <v>337</v>
      </c>
      <c r="BA4" s="1377"/>
      <c r="BB4" s="688" t="s">
        <v>128</v>
      </c>
      <c r="BC4" s="476" t="s">
        <v>128</v>
      </c>
      <c r="BD4" s="476" t="s">
        <v>128</v>
      </c>
      <c r="BE4" s="476" t="s">
        <v>128</v>
      </c>
      <c r="BF4" s="476" t="s">
        <v>128</v>
      </c>
      <c r="BG4" s="476" t="s">
        <v>128</v>
      </c>
      <c r="BH4" s="445" t="s">
        <v>128</v>
      </c>
      <c r="BI4" s="688" t="s">
        <v>129</v>
      </c>
      <c r="BJ4" s="476" t="s">
        <v>129</v>
      </c>
      <c r="BK4" s="476" t="s">
        <v>129</v>
      </c>
      <c r="BL4" s="476" t="s">
        <v>129</v>
      </c>
      <c r="BM4" s="476" t="s">
        <v>129</v>
      </c>
      <c r="BN4" s="476" t="s">
        <v>129</v>
      </c>
      <c r="BO4" s="689" t="s">
        <v>129</v>
      </c>
      <c r="BP4" s="688" t="s">
        <v>130</v>
      </c>
      <c r="BQ4" s="476" t="s">
        <v>130</v>
      </c>
      <c r="BR4" s="476" t="s">
        <v>130</v>
      </c>
      <c r="BS4" s="476" t="s">
        <v>130</v>
      </c>
      <c r="BT4" s="476" t="s">
        <v>130</v>
      </c>
      <c r="BU4" s="476" t="s">
        <v>130</v>
      </c>
      <c r="BV4" s="689" t="s">
        <v>130</v>
      </c>
      <c r="BW4" s="688" t="s">
        <v>338</v>
      </c>
      <c r="BX4" s="476" t="s">
        <v>338</v>
      </c>
      <c r="BY4" s="476" t="s">
        <v>338</v>
      </c>
      <c r="BZ4" s="476" t="s">
        <v>338</v>
      </c>
      <c r="CA4" s="476" t="s">
        <v>338</v>
      </c>
      <c r="CB4" s="476" t="s">
        <v>338</v>
      </c>
      <c r="CC4" s="689" t="s">
        <v>338</v>
      </c>
      <c r="CD4" s="690" t="s">
        <v>131</v>
      </c>
      <c r="CE4" s="477" t="s">
        <v>131</v>
      </c>
      <c r="CF4" s="477" t="s">
        <v>131</v>
      </c>
      <c r="CG4" s="477" t="s">
        <v>131</v>
      </c>
      <c r="CH4" s="477" t="s">
        <v>131</v>
      </c>
      <c r="CI4" s="477" t="s">
        <v>131</v>
      </c>
      <c r="CJ4" s="691" t="s">
        <v>131</v>
      </c>
      <c r="CK4" s="477" t="s">
        <v>132</v>
      </c>
      <c r="CL4" s="477" t="s">
        <v>132</v>
      </c>
      <c r="CM4" s="477" t="s">
        <v>132</v>
      </c>
      <c r="CN4" s="477" t="s">
        <v>132</v>
      </c>
      <c r="CO4" s="477" t="s">
        <v>132</v>
      </c>
      <c r="CP4" s="477" t="s">
        <v>132</v>
      </c>
      <c r="CQ4" s="512" t="s">
        <v>132</v>
      </c>
      <c r="CR4" s="690" t="s">
        <v>133</v>
      </c>
      <c r="CS4" s="477" t="s">
        <v>133</v>
      </c>
      <c r="CT4" s="477" t="s">
        <v>133</v>
      </c>
      <c r="CU4" s="477" t="s">
        <v>133</v>
      </c>
      <c r="CV4" s="477" t="s">
        <v>133</v>
      </c>
      <c r="CW4" s="477" t="s">
        <v>133</v>
      </c>
      <c r="CX4" s="691" t="s">
        <v>133</v>
      </c>
      <c r="CY4" s="688" t="s">
        <v>128</v>
      </c>
      <c r="CZ4" s="476" t="s">
        <v>128</v>
      </c>
      <c r="DA4" s="476" t="s">
        <v>128</v>
      </c>
      <c r="DB4" s="476" t="s">
        <v>128</v>
      </c>
      <c r="DC4" s="476" t="s">
        <v>128</v>
      </c>
      <c r="DD4" s="476" t="s">
        <v>128</v>
      </c>
      <c r="DE4" s="689" t="s">
        <v>128</v>
      </c>
      <c r="DF4" s="490" t="s">
        <v>129</v>
      </c>
      <c r="DG4" s="476" t="s">
        <v>129</v>
      </c>
      <c r="DH4" s="476" t="s">
        <v>129</v>
      </c>
      <c r="DI4" s="476" t="s">
        <v>129</v>
      </c>
      <c r="DJ4" s="476" t="s">
        <v>129</v>
      </c>
      <c r="DK4" s="476" t="s">
        <v>129</v>
      </c>
      <c r="DL4" s="502" t="s">
        <v>129</v>
      </c>
      <c r="DM4" s="688" t="s">
        <v>130</v>
      </c>
      <c r="DN4" s="476" t="s">
        <v>130</v>
      </c>
      <c r="DO4" s="476" t="s">
        <v>130</v>
      </c>
      <c r="DP4" s="476" t="s">
        <v>130</v>
      </c>
      <c r="DQ4" s="476" t="s">
        <v>130</v>
      </c>
      <c r="DR4" s="476" t="s">
        <v>130</v>
      </c>
      <c r="DS4" s="689" t="s">
        <v>130</v>
      </c>
      <c r="DT4" s="476" t="s">
        <v>165</v>
      </c>
      <c r="DU4" s="476" t="s">
        <v>165</v>
      </c>
      <c r="DV4" s="476" t="s">
        <v>165</v>
      </c>
      <c r="DW4" s="476" t="s">
        <v>165</v>
      </c>
      <c r="DX4" s="476" t="s">
        <v>165</v>
      </c>
      <c r="DY4" s="476" t="s">
        <v>165</v>
      </c>
      <c r="DZ4" s="502" t="s">
        <v>165</v>
      </c>
      <c r="EA4" s="690" t="s">
        <v>131</v>
      </c>
      <c r="EB4" s="477" t="s">
        <v>131</v>
      </c>
      <c r="EC4" s="477" t="s">
        <v>131</v>
      </c>
      <c r="ED4" s="477" t="s">
        <v>131</v>
      </c>
      <c r="EE4" s="477" t="s">
        <v>131</v>
      </c>
      <c r="EF4" s="477" t="s">
        <v>131</v>
      </c>
      <c r="EG4" s="691" t="s">
        <v>131</v>
      </c>
      <c r="EH4" s="477" t="s">
        <v>132</v>
      </c>
      <c r="EI4" s="477" t="s">
        <v>132</v>
      </c>
      <c r="EJ4" s="477" t="s">
        <v>132</v>
      </c>
      <c r="EK4" s="477" t="s">
        <v>132</v>
      </c>
      <c r="EL4" s="477" t="s">
        <v>132</v>
      </c>
      <c r="EM4" s="477" t="s">
        <v>132</v>
      </c>
      <c r="EN4" s="512" t="s">
        <v>132</v>
      </c>
      <c r="EO4" s="690" t="s">
        <v>133</v>
      </c>
      <c r="EP4" s="477" t="s">
        <v>133</v>
      </c>
      <c r="EQ4" s="477" t="s">
        <v>133</v>
      </c>
      <c r="ER4" s="477" t="s">
        <v>133</v>
      </c>
      <c r="ES4" s="477" t="s">
        <v>133</v>
      </c>
      <c r="ET4" s="477" t="s">
        <v>133</v>
      </c>
      <c r="EU4" s="691" t="s">
        <v>133</v>
      </c>
      <c r="EV4" s="1345" t="s">
        <v>134</v>
      </c>
      <c r="EW4" s="1342"/>
      <c r="EX4" s="1342"/>
      <c r="EY4" s="1342"/>
      <c r="EZ4" s="1342"/>
      <c r="FA4" s="1342"/>
      <c r="FB4" s="1342"/>
      <c r="FC4" s="1342"/>
      <c r="FD4" s="280"/>
    </row>
    <row r="5" spans="1:168"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4">
        <v>2017</v>
      </c>
      <c r="X5" s="694">
        <v>2018</v>
      </c>
      <c r="Y5" s="694">
        <v>2019</v>
      </c>
      <c r="Z5" s="694">
        <v>2020</v>
      </c>
      <c r="AA5" s="694">
        <v>2021</v>
      </c>
      <c r="AB5" s="694">
        <v>2022</v>
      </c>
      <c r="AC5" s="694" t="s">
        <v>390</v>
      </c>
      <c r="AD5" s="695" t="s">
        <v>15</v>
      </c>
      <c r="AE5" s="695" t="s">
        <v>16</v>
      </c>
      <c r="AF5" s="695" t="s">
        <v>17</v>
      </c>
      <c r="AG5" s="695" t="s">
        <v>18</v>
      </c>
      <c r="AH5" s="695" t="s">
        <v>19</v>
      </c>
      <c r="AI5" s="695" t="s">
        <v>20</v>
      </c>
      <c r="AJ5" s="696" t="s">
        <v>21</v>
      </c>
      <c r="AK5" s="697" t="s">
        <v>359</v>
      </c>
      <c r="AL5" s="697" t="s">
        <v>166</v>
      </c>
      <c r="AM5" s="697" t="s">
        <v>360</v>
      </c>
      <c r="AN5" s="697" t="s">
        <v>361</v>
      </c>
      <c r="AO5" s="697" t="s">
        <v>362</v>
      </c>
      <c r="AP5" s="697" t="s">
        <v>363</v>
      </c>
      <c r="AQ5" s="697" t="s">
        <v>364</v>
      </c>
      <c r="AR5" s="697" t="s">
        <v>365</v>
      </c>
      <c r="AS5" s="698" t="s">
        <v>167</v>
      </c>
      <c r="AT5" s="698" t="s">
        <v>168</v>
      </c>
      <c r="AU5" s="698" t="s">
        <v>169</v>
      </c>
      <c r="AV5" s="697" t="s">
        <v>170</v>
      </c>
      <c r="AW5" s="697" t="s">
        <v>366</v>
      </c>
      <c r="AX5" s="699" t="s">
        <v>367</v>
      </c>
      <c r="AY5" s="699" t="s">
        <v>368</v>
      </c>
      <c r="AZ5" s="699" t="s">
        <v>369</v>
      </c>
      <c r="BA5" s="699" t="s">
        <v>370</v>
      </c>
      <c r="BB5" s="772">
        <v>2024</v>
      </c>
      <c r="BC5" s="479">
        <v>2025</v>
      </c>
      <c r="BD5" s="479">
        <v>2026</v>
      </c>
      <c r="BE5" s="479">
        <v>2027</v>
      </c>
      <c r="BF5" s="479">
        <v>2028</v>
      </c>
      <c r="BG5" s="486">
        <v>2029</v>
      </c>
      <c r="BH5" s="446">
        <v>2030</v>
      </c>
      <c r="BI5" s="700">
        <v>2024</v>
      </c>
      <c r="BJ5" s="486">
        <v>2025</v>
      </c>
      <c r="BK5" s="486">
        <v>2026</v>
      </c>
      <c r="BL5" s="486">
        <v>2027</v>
      </c>
      <c r="BM5" s="486">
        <v>2028</v>
      </c>
      <c r="BN5" s="486">
        <v>2029</v>
      </c>
      <c r="BO5" s="701">
        <v>2030</v>
      </c>
      <c r="BP5" s="700">
        <v>2024</v>
      </c>
      <c r="BQ5" s="486">
        <v>2025</v>
      </c>
      <c r="BR5" s="486">
        <v>2026</v>
      </c>
      <c r="BS5" s="486">
        <v>2027</v>
      </c>
      <c r="BT5" s="486">
        <v>2028</v>
      </c>
      <c r="BU5" s="486">
        <v>2029</v>
      </c>
      <c r="BV5" s="701">
        <v>2030</v>
      </c>
      <c r="BW5" s="700">
        <v>2024</v>
      </c>
      <c r="BX5" s="486">
        <v>2025</v>
      </c>
      <c r="BY5" s="486">
        <v>2026</v>
      </c>
      <c r="BZ5" s="486">
        <v>2027</v>
      </c>
      <c r="CA5" s="486">
        <v>2028</v>
      </c>
      <c r="CB5" s="486">
        <v>2029</v>
      </c>
      <c r="CC5" s="701">
        <v>2030</v>
      </c>
      <c r="CD5" s="700">
        <v>2024</v>
      </c>
      <c r="CE5" s="486">
        <v>2025</v>
      </c>
      <c r="CF5" s="486">
        <v>2026</v>
      </c>
      <c r="CG5" s="486">
        <v>2027</v>
      </c>
      <c r="CH5" s="486">
        <v>2028</v>
      </c>
      <c r="CI5" s="486">
        <v>2029</v>
      </c>
      <c r="CJ5" s="701">
        <v>2030</v>
      </c>
      <c r="CK5" s="486">
        <v>2024</v>
      </c>
      <c r="CL5" s="486">
        <v>2025</v>
      </c>
      <c r="CM5" s="486">
        <v>2026</v>
      </c>
      <c r="CN5" s="486">
        <v>2027</v>
      </c>
      <c r="CO5" s="486">
        <v>2028</v>
      </c>
      <c r="CP5" s="486">
        <v>2029</v>
      </c>
      <c r="CQ5" s="702">
        <v>2030</v>
      </c>
      <c r="CR5" s="700">
        <v>2024</v>
      </c>
      <c r="CS5" s="486">
        <v>2025</v>
      </c>
      <c r="CT5" s="486">
        <v>2026</v>
      </c>
      <c r="CU5" s="486">
        <v>2027</v>
      </c>
      <c r="CV5" s="486">
        <v>2028</v>
      </c>
      <c r="CW5" s="486">
        <v>2029</v>
      </c>
      <c r="CX5" s="701">
        <v>2030</v>
      </c>
      <c r="CY5" s="700">
        <v>2024</v>
      </c>
      <c r="CZ5" s="486">
        <v>2025</v>
      </c>
      <c r="DA5" s="486">
        <v>2026</v>
      </c>
      <c r="DB5" s="486">
        <v>2027</v>
      </c>
      <c r="DC5" s="486">
        <v>2028</v>
      </c>
      <c r="DD5" s="486">
        <v>2029</v>
      </c>
      <c r="DE5" s="701">
        <v>2030</v>
      </c>
      <c r="DF5" s="485">
        <v>2024</v>
      </c>
      <c r="DG5" s="486">
        <v>2025</v>
      </c>
      <c r="DH5" s="486">
        <v>2026</v>
      </c>
      <c r="DI5" s="486">
        <v>2027</v>
      </c>
      <c r="DJ5" s="486">
        <v>2028</v>
      </c>
      <c r="DK5" s="486">
        <v>2029</v>
      </c>
      <c r="DL5" s="702">
        <v>2030</v>
      </c>
      <c r="DM5" s="700">
        <v>2024</v>
      </c>
      <c r="DN5" s="486">
        <v>2025</v>
      </c>
      <c r="DO5" s="486">
        <v>2026</v>
      </c>
      <c r="DP5" s="486">
        <v>2027</v>
      </c>
      <c r="DQ5" s="486">
        <v>2028</v>
      </c>
      <c r="DR5" s="486">
        <v>2029</v>
      </c>
      <c r="DS5" s="701">
        <v>2030</v>
      </c>
      <c r="DT5" s="486">
        <v>2024</v>
      </c>
      <c r="DU5" s="486">
        <v>2025</v>
      </c>
      <c r="DV5" s="486">
        <v>2026</v>
      </c>
      <c r="DW5" s="486">
        <v>2027</v>
      </c>
      <c r="DX5" s="486">
        <v>2028</v>
      </c>
      <c r="DY5" s="486">
        <v>2029</v>
      </c>
      <c r="DZ5" s="702">
        <v>2030</v>
      </c>
      <c r="EA5" s="700">
        <v>2024</v>
      </c>
      <c r="EB5" s="486">
        <v>2025</v>
      </c>
      <c r="EC5" s="486">
        <v>2026</v>
      </c>
      <c r="ED5" s="486">
        <v>2027</v>
      </c>
      <c r="EE5" s="486">
        <v>2028</v>
      </c>
      <c r="EF5" s="486">
        <v>2029</v>
      </c>
      <c r="EG5" s="701">
        <v>2030</v>
      </c>
      <c r="EH5" s="486">
        <v>2024</v>
      </c>
      <c r="EI5" s="486">
        <v>2025</v>
      </c>
      <c r="EJ5" s="486">
        <v>2026</v>
      </c>
      <c r="EK5" s="486">
        <v>2027</v>
      </c>
      <c r="EL5" s="486">
        <v>2028</v>
      </c>
      <c r="EM5" s="486">
        <v>2029</v>
      </c>
      <c r="EN5" s="702">
        <v>2030</v>
      </c>
      <c r="EO5" s="700">
        <v>2024</v>
      </c>
      <c r="EP5" s="486">
        <v>2025</v>
      </c>
      <c r="EQ5" s="486">
        <v>2026</v>
      </c>
      <c r="ER5" s="486">
        <v>2027</v>
      </c>
      <c r="ES5" s="486">
        <v>2028</v>
      </c>
      <c r="ET5" s="486">
        <v>2029</v>
      </c>
      <c r="EU5" s="701">
        <v>2030</v>
      </c>
      <c r="EV5" s="514" t="s">
        <v>9</v>
      </c>
      <c r="EW5" s="659" t="s">
        <v>139</v>
      </c>
      <c r="EX5" s="659" t="s">
        <v>140</v>
      </c>
      <c r="EY5" s="659" t="s">
        <v>141</v>
      </c>
      <c r="EZ5" s="659" t="s">
        <v>142</v>
      </c>
      <c r="FA5" s="659" t="s">
        <v>12</v>
      </c>
      <c r="FB5" s="659" t="s">
        <v>13</v>
      </c>
      <c r="FC5" s="659" t="s">
        <v>14</v>
      </c>
      <c r="FD5" s="280"/>
    </row>
    <row r="6" spans="1:168" s="10" customFormat="1" ht="12.75" customHeight="1">
      <c r="A6" s="662">
        <v>1</v>
      </c>
      <c r="B6" s="703" t="s">
        <v>391</v>
      </c>
      <c r="C6" s="703" t="s">
        <v>392</v>
      </c>
      <c r="D6" s="703" t="s">
        <v>393</v>
      </c>
      <c r="E6" s="703" t="s">
        <v>394</v>
      </c>
      <c r="F6" s="704" t="s">
        <v>372</v>
      </c>
      <c r="G6" s="705">
        <v>0</v>
      </c>
      <c r="H6" s="704">
        <v>0</v>
      </c>
      <c r="I6" s="704">
        <f>G6+H6</f>
        <v>0</v>
      </c>
      <c r="J6" s="704">
        <v>0</v>
      </c>
      <c r="K6" s="704" t="s">
        <v>378</v>
      </c>
      <c r="L6" s="711" t="s">
        <v>395</v>
      </c>
      <c r="M6" s="707">
        <v>0</v>
      </c>
      <c r="N6" s="708">
        <v>0</v>
      </c>
      <c r="O6" s="707">
        <v>0</v>
      </c>
      <c r="P6" s="709">
        <f>1650*$P$139+1650</f>
        <v>1815</v>
      </c>
      <c r="Q6" s="780">
        <v>793.25</v>
      </c>
      <c r="R6" s="710">
        <f>$M$148/$L$148*Q6</f>
        <v>6.7814742120168359E-2</v>
      </c>
      <c r="S6" s="710">
        <f>AVERAGE(S9,S12)</f>
        <v>26.961999999999996</v>
      </c>
      <c r="T6" s="711" t="s">
        <v>396</v>
      </c>
      <c r="U6" s="712">
        <v>0</v>
      </c>
      <c r="V6" s="713">
        <v>1</v>
      </c>
      <c r="W6" s="661">
        <f>W9+W12</f>
        <v>1017</v>
      </c>
      <c r="X6" s="661">
        <f t="shared" ref="X6:AB6" si="3">X9+X12</f>
        <v>1073</v>
      </c>
      <c r="Y6" s="661">
        <f t="shared" si="3"/>
        <v>3247</v>
      </c>
      <c r="Z6" s="661">
        <f t="shared" si="3"/>
        <v>3194</v>
      </c>
      <c r="AA6" s="661">
        <f t="shared" si="3"/>
        <v>3200</v>
      </c>
      <c r="AB6" s="661">
        <f t="shared" si="3"/>
        <v>3200</v>
      </c>
      <c r="AC6" s="773">
        <f>ROUND(AB6*C30,0)</f>
        <v>4590</v>
      </c>
      <c r="AD6" s="714">
        <f>(AC6+($U6*AC6))</f>
        <v>4590</v>
      </c>
      <c r="AE6" s="714">
        <f t="shared" ref="AE6:AJ6" si="4">(AD6+($U6*AD6))</f>
        <v>4590</v>
      </c>
      <c r="AF6" s="714">
        <f t="shared" si="4"/>
        <v>4590</v>
      </c>
      <c r="AG6" s="714">
        <f>(AF6+($U6*AF6))</f>
        <v>4590</v>
      </c>
      <c r="AH6" s="714">
        <f t="shared" si="4"/>
        <v>4590</v>
      </c>
      <c r="AI6" s="714">
        <f t="shared" si="4"/>
        <v>4590</v>
      </c>
      <c r="AJ6" s="714">
        <f t="shared" si="4"/>
        <v>4590</v>
      </c>
      <c r="AK6" s="711" t="s">
        <v>374</v>
      </c>
      <c r="AL6" s="711" t="s">
        <v>375</v>
      </c>
      <c r="AM6" s="711" t="s">
        <v>376</v>
      </c>
      <c r="AN6" s="711" t="s">
        <v>377</v>
      </c>
      <c r="AO6" s="711" t="s">
        <v>1</v>
      </c>
      <c r="AP6" s="711" t="s">
        <v>378</v>
      </c>
      <c r="AQ6" s="711" t="s">
        <v>378</v>
      </c>
      <c r="AR6" s="711" t="s">
        <v>378</v>
      </c>
      <c r="AS6" s="715" t="s">
        <v>379</v>
      </c>
      <c r="AT6" s="715" t="s">
        <v>380</v>
      </c>
      <c r="AU6" s="715" t="s">
        <v>381</v>
      </c>
      <c r="AV6" s="661">
        <v>20</v>
      </c>
      <c r="AW6" s="661">
        <f>AV6</f>
        <v>20</v>
      </c>
      <c r="AX6" s="711" t="s">
        <v>397</v>
      </c>
      <c r="AY6" s="716">
        <v>1</v>
      </c>
      <c r="AZ6" s="716">
        <v>1</v>
      </c>
      <c r="BA6" s="717">
        <v>1</v>
      </c>
      <c r="BB6" s="774">
        <f>I6</f>
        <v>0</v>
      </c>
      <c r="BC6" s="499">
        <f t="shared" ref="BC6:BD7" si="5">BB6</f>
        <v>0</v>
      </c>
      <c r="BD6" s="499">
        <f t="shared" si="5"/>
        <v>0</v>
      </c>
      <c r="BE6" s="499">
        <f t="shared" ref="BE6:BH7" si="6">BB6</f>
        <v>0</v>
      </c>
      <c r="BF6" s="499">
        <f t="shared" si="6"/>
        <v>0</v>
      </c>
      <c r="BG6" s="499">
        <f t="shared" si="6"/>
        <v>0</v>
      </c>
      <c r="BH6" s="447">
        <f t="shared" si="6"/>
        <v>0</v>
      </c>
      <c r="BI6" s="774">
        <f>J6</f>
        <v>0</v>
      </c>
      <c r="BJ6" s="499">
        <f t="shared" ref="BJ6:BK7" si="7">BI6</f>
        <v>0</v>
      </c>
      <c r="BK6" s="499">
        <f t="shared" si="7"/>
        <v>0</v>
      </c>
      <c r="BL6" s="499">
        <f>BK6</f>
        <v>0</v>
      </c>
      <c r="BM6" s="499">
        <f t="shared" ref="BM6:BM7" si="8">BL6</f>
        <v>0</v>
      </c>
      <c r="BN6" s="499">
        <f>BM6</f>
        <v>0</v>
      </c>
      <c r="BO6" s="719">
        <f>BN6</f>
        <v>0</v>
      </c>
      <c r="BP6" s="721">
        <f>N6+O6</f>
        <v>0</v>
      </c>
      <c r="BQ6" s="499">
        <f t="shared" ref="BQ6:BR7" si="9">BP6</f>
        <v>0</v>
      </c>
      <c r="BR6" s="499">
        <f t="shared" si="9"/>
        <v>0</v>
      </c>
      <c r="BS6" s="499">
        <f>BR6</f>
        <v>0</v>
      </c>
      <c r="BT6" s="499">
        <f t="shared" ref="BT6:BV7" si="10">BS6</f>
        <v>0</v>
      </c>
      <c r="BU6" s="499">
        <f t="shared" si="10"/>
        <v>0</v>
      </c>
      <c r="BV6" s="719">
        <f t="shared" si="10"/>
        <v>0</v>
      </c>
      <c r="BW6" s="775">
        <f>$P6</f>
        <v>1815</v>
      </c>
      <c r="BX6" s="503">
        <f t="shared" ref="BW6:CC13" si="11">$P6</f>
        <v>1815</v>
      </c>
      <c r="BY6" s="503">
        <f t="shared" si="11"/>
        <v>1815</v>
      </c>
      <c r="BZ6" s="503">
        <f t="shared" si="11"/>
        <v>1815</v>
      </c>
      <c r="CA6" s="503">
        <f t="shared" si="11"/>
        <v>1815</v>
      </c>
      <c r="CB6" s="503">
        <f t="shared" si="11"/>
        <v>1815</v>
      </c>
      <c r="CC6" s="776">
        <f t="shared" si="11"/>
        <v>1815</v>
      </c>
      <c r="CD6" s="722">
        <f>Q6*AZ6</f>
        <v>793.25</v>
      </c>
      <c r="CE6" s="511">
        <f t="shared" ref="CE6:CF7" si="12">CD6</f>
        <v>793.25</v>
      </c>
      <c r="CF6" s="511">
        <f t="shared" si="12"/>
        <v>793.25</v>
      </c>
      <c r="CG6" s="511">
        <f>CF6</f>
        <v>793.25</v>
      </c>
      <c r="CH6" s="511">
        <f t="shared" ref="CH6:CJ7" si="13">CG6</f>
        <v>793.25</v>
      </c>
      <c r="CI6" s="511">
        <f t="shared" si="13"/>
        <v>793.25</v>
      </c>
      <c r="CJ6" s="723">
        <f t="shared" si="13"/>
        <v>793.25</v>
      </c>
      <c r="CK6" s="511">
        <f>R6*AZ6</f>
        <v>6.7814742120168359E-2</v>
      </c>
      <c r="CL6" s="511">
        <f t="shared" ref="CL6:CM7" si="14">CK6</f>
        <v>6.7814742120168359E-2</v>
      </c>
      <c r="CM6" s="511">
        <f t="shared" si="14"/>
        <v>6.7814742120168359E-2</v>
      </c>
      <c r="CN6" s="511">
        <f>CM6</f>
        <v>6.7814742120168359E-2</v>
      </c>
      <c r="CO6" s="511">
        <f t="shared" ref="CO6:CQ7" si="15">CN6</f>
        <v>6.7814742120168359E-2</v>
      </c>
      <c r="CP6" s="511">
        <f t="shared" si="15"/>
        <v>6.7814742120168359E-2</v>
      </c>
      <c r="CQ6" s="539">
        <f t="shared" si="15"/>
        <v>6.7814742120168359E-2</v>
      </c>
      <c r="CR6" s="722">
        <f>S6*BA6</f>
        <v>26.961999999999996</v>
      </c>
      <c r="CS6" s="511">
        <f t="shared" ref="CS6:CT7" si="16">CR6</f>
        <v>26.961999999999996</v>
      </c>
      <c r="CT6" s="511">
        <f t="shared" si="16"/>
        <v>26.961999999999996</v>
      </c>
      <c r="CU6" s="511">
        <f>CT6</f>
        <v>26.961999999999996</v>
      </c>
      <c r="CV6" s="511">
        <f t="shared" ref="CV6:CX7" si="17">CU6</f>
        <v>26.961999999999996</v>
      </c>
      <c r="CW6" s="511">
        <f t="shared" si="17"/>
        <v>26.961999999999996</v>
      </c>
      <c r="CX6" s="723">
        <f t="shared" si="17"/>
        <v>26.961999999999996</v>
      </c>
      <c r="CY6" s="724">
        <f t="shared" ref="CY6:DE7" si="18">AD6*BB6</f>
        <v>0</v>
      </c>
      <c r="CZ6" s="508">
        <f t="shared" si="18"/>
        <v>0</v>
      </c>
      <c r="DA6" s="508">
        <f t="shared" si="18"/>
        <v>0</v>
      </c>
      <c r="DB6" s="508">
        <f t="shared" si="18"/>
        <v>0</v>
      </c>
      <c r="DC6" s="508">
        <f t="shared" si="18"/>
        <v>0</v>
      </c>
      <c r="DD6" s="508">
        <f t="shared" si="18"/>
        <v>0</v>
      </c>
      <c r="DE6" s="725">
        <f t="shared" si="18"/>
        <v>0</v>
      </c>
      <c r="DF6" s="509">
        <f t="shared" ref="DF6:DL7" si="19">AD6*BI6</f>
        <v>0</v>
      </c>
      <c r="DG6" s="508">
        <f t="shared" si="19"/>
        <v>0</v>
      </c>
      <c r="DH6" s="508">
        <f t="shared" si="19"/>
        <v>0</v>
      </c>
      <c r="DI6" s="508">
        <f t="shared" si="19"/>
        <v>0</v>
      </c>
      <c r="DJ6" s="508">
        <f t="shared" si="19"/>
        <v>0</v>
      </c>
      <c r="DK6" s="508">
        <f t="shared" si="19"/>
        <v>0</v>
      </c>
      <c r="DL6" s="726">
        <f t="shared" si="19"/>
        <v>0</v>
      </c>
      <c r="DM6" s="724">
        <f t="shared" ref="DM6:DS7" si="20">AD6*BP6</f>
        <v>0</v>
      </c>
      <c r="DN6" s="508">
        <f t="shared" si="20"/>
        <v>0</v>
      </c>
      <c r="DO6" s="508">
        <f t="shared" si="20"/>
        <v>0</v>
      </c>
      <c r="DP6" s="508">
        <f t="shared" si="20"/>
        <v>0</v>
      </c>
      <c r="DQ6" s="508">
        <f t="shared" si="20"/>
        <v>0</v>
      </c>
      <c r="DR6" s="508">
        <f t="shared" si="20"/>
        <v>0</v>
      </c>
      <c r="DS6" s="725">
        <f t="shared" si="20"/>
        <v>0</v>
      </c>
      <c r="DT6" s="508">
        <f>BW6*AD6</f>
        <v>8330850</v>
      </c>
      <c r="DU6" s="508">
        <f t="shared" ref="DT6:DZ7" si="21">BX6*AE6</f>
        <v>8330850</v>
      </c>
      <c r="DV6" s="508">
        <f t="shared" si="21"/>
        <v>8330850</v>
      </c>
      <c r="DW6" s="508">
        <f t="shared" si="21"/>
        <v>8330850</v>
      </c>
      <c r="DX6" s="508">
        <f t="shared" si="21"/>
        <v>8330850</v>
      </c>
      <c r="DY6" s="508">
        <f t="shared" si="21"/>
        <v>8330850</v>
      </c>
      <c r="DZ6" s="726">
        <f t="shared" si="21"/>
        <v>8330850</v>
      </c>
      <c r="EA6" s="722">
        <f t="shared" ref="EA6:EG7" si="22">AD6*CD6</f>
        <v>3641017.5</v>
      </c>
      <c r="EB6" s="511">
        <f t="shared" si="22"/>
        <v>3641017.5</v>
      </c>
      <c r="EC6" s="511">
        <f t="shared" si="22"/>
        <v>3641017.5</v>
      </c>
      <c r="ED6" s="511">
        <f t="shared" si="22"/>
        <v>3641017.5</v>
      </c>
      <c r="EE6" s="511">
        <f t="shared" si="22"/>
        <v>3641017.5</v>
      </c>
      <c r="EF6" s="511">
        <f t="shared" si="22"/>
        <v>3641017.5</v>
      </c>
      <c r="EG6" s="723">
        <f t="shared" si="22"/>
        <v>3641017.5</v>
      </c>
      <c r="EH6" s="511">
        <f t="shared" ref="EH6:EN7" si="23">AD6*CK6</f>
        <v>311.26966633157275</v>
      </c>
      <c r="EI6" s="511">
        <f t="shared" si="23"/>
        <v>311.26966633157275</v>
      </c>
      <c r="EJ6" s="511">
        <f t="shared" si="23"/>
        <v>311.26966633157275</v>
      </c>
      <c r="EK6" s="511">
        <f t="shared" si="23"/>
        <v>311.26966633157275</v>
      </c>
      <c r="EL6" s="511">
        <f t="shared" si="23"/>
        <v>311.26966633157275</v>
      </c>
      <c r="EM6" s="511">
        <f t="shared" si="23"/>
        <v>311.26966633157275</v>
      </c>
      <c r="EN6" s="539">
        <f t="shared" si="23"/>
        <v>311.26966633157275</v>
      </c>
      <c r="EO6" s="722">
        <f t="shared" ref="EO6:EU7" si="24">AD6*CR6</f>
        <v>123755.57999999999</v>
      </c>
      <c r="EP6" s="511">
        <f t="shared" si="24"/>
        <v>123755.57999999999</v>
      </c>
      <c r="EQ6" s="511">
        <f t="shared" si="24"/>
        <v>123755.57999999999</v>
      </c>
      <c r="ER6" s="511">
        <f t="shared" si="24"/>
        <v>123755.57999999999</v>
      </c>
      <c r="ES6" s="511">
        <f t="shared" si="24"/>
        <v>123755.57999999999</v>
      </c>
      <c r="ET6" s="511">
        <f t="shared" si="24"/>
        <v>123755.57999999999</v>
      </c>
      <c r="EU6" s="723">
        <f t="shared" si="24"/>
        <v>123755.57999999999</v>
      </c>
      <c r="EV6" s="727">
        <f>SUM(AD6:AJ6)</f>
        <v>32130</v>
      </c>
      <c r="EW6" s="728">
        <f>SUM(CY6:DE6)</f>
        <v>0</v>
      </c>
      <c r="EX6" s="728">
        <f>SUM(DF6:DL6)</f>
        <v>0</v>
      </c>
      <c r="EY6" s="728">
        <f>SUM(DM6:DS6)</f>
        <v>0</v>
      </c>
      <c r="EZ6" s="728">
        <f>SUM(DT6:DZ6)</f>
        <v>58315950</v>
      </c>
      <c r="FA6" s="777">
        <f>SUM(EA6:EG6)</f>
        <v>25487122.5</v>
      </c>
      <c r="FB6" s="777">
        <f>SUM(EH6:EN6)</f>
        <v>2178.8876643210092</v>
      </c>
      <c r="FC6" s="778">
        <f>SUM(EO6:EU6)</f>
        <v>866289.05999999982</v>
      </c>
      <c r="FE6" s="10" t="b">
        <f t="shared" ref="FE6:FL7" si="25">EV6=SUM(EV9,EV12)</f>
        <v>1</v>
      </c>
      <c r="FF6" s="10" t="b">
        <f t="shared" si="25"/>
        <v>1</v>
      </c>
      <c r="FG6" s="10" t="b">
        <f t="shared" si="25"/>
        <v>1</v>
      </c>
      <c r="FH6" s="10" t="b">
        <f t="shared" si="25"/>
        <v>1</v>
      </c>
      <c r="FI6" s="10" t="b">
        <f t="shared" si="25"/>
        <v>1</v>
      </c>
      <c r="FJ6" s="10" t="b">
        <f t="shared" si="25"/>
        <v>1</v>
      </c>
      <c r="FK6" s="10" t="b">
        <f t="shared" si="25"/>
        <v>1</v>
      </c>
      <c r="FL6" s="10" t="b">
        <f t="shared" si="25"/>
        <v>1</v>
      </c>
    </row>
    <row r="7" spans="1:168" s="10" customFormat="1" ht="12.75" customHeight="1">
      <c r="A7" s="662">
        <v>2</v>
      </c>
      <c r="B7" s="703" t="s">
        <v>398</v>
      </c>
      <c r="C7" s="703" t="s">
        <v>399</v>
      </c>
      <c r="D7" s="715" t="s">
        <v>400</v>
      </c>
      <c r="E7" s="703" t="s">
        <v>401</v>
      </c>
      <c r="F7" s="704" t="s">
        <v>402</v>
      </c>
      <c r="G7" s="705">
        <v>0</v>
      </c>
      <c r="H7" s="704">
        <v>0</v>
      </c>
      <c r="I7" s="704">
        <f>G7+H7</f>
        <v>0</v>
      </c>
      <c r="J7" s="704">
        <v>0</v>
      </c>
      <c r="K7" s="706">
        <f t="shared" ref="K7" si="26">I7*0.5</f>
        <v>0</v>
      </c>
      <c r="L7" s="703" t="s">
        <v>403</v>
      </c>
      <c r="M7" s="707">
        <v>0</v>
      </c>
      <c r="N7" s="779">
        <v>0</v>
      </c>
      <c r="O7" s="707">
        <v>0</v>
      </c>
      <c r="P7" s="709">
        <f>154+50</f>
        <v>204</v>
      </c>
      <c r="Q7" s="780">
        <f>AVERAGE(Q10,Q13)</f>
        <v>310.57482558030483</v>
      </c>
      <c r="R7" s="780">
        <f t="shared" ref="R7:S7" si="27">AVERAGE(R10,R13)</f>
        <v>0</v>
      </c>
      <c r="S7" s="780">
        <f t="shared" si="27"/>
        <v>13.7376</v>
      </c>
      <c r="T7" s="711" t="s">
        <v>404</v>
      </c>
      <c r="U7" s="712">
        <f>U6</f>
        <v>0</v>
      </c>
      <c r="V7" s="713">
        <v>1</v>
      </c>
      <c r="W7" s="661">
        <v>0</v>
      </c>
      <c r="X7" s="661">
        <v>0</v>
      </c>
      <c r="Y7" s="661">
        <v>0</v>
      </c>
      <c r="Z7" s="661">
        <v>0</v>
      </c>
      <c r="AA7" s="661">
        <f>SUM('[17]WeCare 2021 summary'!B89:B90)</f>
        <v>364</v>
      </c>
      <c r="AB7" s="661">
        <f>AA7</f>
        <v>364</v>
      </c>
      <c r="AC7" s="714">
        <f>ROUND((AB7/AB6)*AC6,0)</f>
        <v>522</v>
      </c>
      <c r="AD7" s="714">
        <f>ROUND((AC7/AC6)*AD6,0)</f>
        <v>522</v>
      </c>
      <c r="AE7" s="714">
        <f t="shared" ref="AE7:AJ7" si="28">ROUND((AD7/AD6)*AE6,0)</f>
        <v>522</v>
      </c>
      <c r="AF7" s="714">
        <f t="shared" si="28"/>
        <v>522</v>
      </c>
      <c r="AG7" s="714">
        <f t="shared" si="28"/>
        <v>522</v>
      </c>
      <c r="AH7" s="714">
        <f t="shared" si="28"/>
        <v>522</v>
      </c>
      <c r="AI7" s="714">
        <f t="shared" si="28"/>
        <v>522</v>
      </c>
      <c r="AJ7" s="714">
        <f t="shared" si="28"/>
        <v>522</v>
      </c>
      <c r="AK7" s="711" t="s">
        <v>374</v>
      </c>
      <c r="AL7" s="711" t="s">
        <v>375</v>
      </c>
      <c r="AM7" s="711" t="s">
        <v>376</v>
      </c>
      <c r="AN7" s="711" t="s">
        <v>405</v>
      </c>
      <c r="AO7" s="711" t="s">
        <v>1</v>
      </c>
      <c r="AP7" s="711" t="s">
        <v>378</v>
      </c>
      <c r="AQ7" s="711" t="s">
        <v>378</v>
      </c>
      <c r="AR7" s="711" t="s">
        <v>378</v>
      </c>
      <c r="AS7" s="715" t="s">
        <v>406</v>
      </c>
      <c r="AT7" s="715" t="s">
        <v>407</v>
      </c>
      <c r="AU7" s="715" t="s">
        <v>381</v>
      </c>
      <c r="AV7" s="711">
        <v>7.5</v>
      </c>
      <c r="AW7" s="711">
        <v>7.5</v>
      </c>
      <c r="AX7" s="711" t="s">
        <v>408</v>
      </c>
      <c r="AY7" s="716">
        <v>1</v>
      </c>
      <c r="AZ7" s="716">
        <v>1</v>
      </c>
      <c r="BA7" s="717">
        <v>1</v>
      </c>
      <c r="BB7" s="774">
        <f>I7</f>
        <v>0</v>
      </c>
      <c r="BC7" s="499">
        <f t="shared" si="5"/>
        <v>0</v>
      </c>
      <c r="BD7" s="499">
        <f t="shared" si="5"/>
        <v>0</v>
      </c>
      <c r="BE7" s="499">
        <f t="shared" si="6"/>
        <v>0</v>
      </c>
      <c r="BF7" s="499">
        <f t="shared" si="6"/>
        <v>0</v>
      </c>
      <c r="BG7" s="499">
        <f t="shared" si="6"/>
        <v>0</v>
      </c>
      <c r="BH7" s="447">
        <f t="shared" si="6"/>
        <v>0</v>
      </c>
      <c r="BI7" s="774">
        <f>J7</f>
        <v>0</v>
      </c>
      <c r="BJ7" s="499">
        <f t="shared" si="7"/>
        <v>0</v>
      </c>
      <c r="BK7" s="499">
        <f t="shared" si="7"/>
        <v>0</v>
      </c>
      <c r="BL7" s="499">
        <f>BK7</f>
        <v>0</v>
      </c>
      <c r="BM7" s="499">
        <f t="shared" si="8"/>
        <v>0</v>
      </c>
      <c r="BN7" s="499">
        <f>BM7</f>
        <v>0</v>
      </c>
      <c r="BO7" s="719">
        <f>BN7</f>
        <v>0</v>
      </c>
      <c r="BP7" s="721">
        <f>N7+O7</f>
        <v>0</v>
      </c>
      <c r="BQ7" s="499">
        <f t="shared" si="9"/>
        <v>0</v>
      </c>
      <c r="BR7" s="499">
        <f t="shared" si="9"/>
        <v>0</v>
      </c>
      <c r="BS7" s="499">
        <f>BR7</f>
        <v>0</v>
      </c>
      <c r="BT7" s="499">
        <f t="shared" si="10"/>
        <v>0</v>
      </c>
      <c r="BU7" s="499">
        <f t="shared" si="10"/>
        <v>0</v>
      </c>
      <c r="BV7" s="719">
        <f t="shared" si="10"/>
        <v>0</v>
      </c>
      <c r="BW7" s="774">
        <f t="shared" si="11"/>
        <v>204</v>
      </c>
      <c r="BX7" s="503">
        <f t="shared" si="11"/>
        <v>204</v>
      </c>
      <c r="BY7" s="503">
        <f t="shared" si="11"/>
        <v>204</v>
      </c>
      <c r="BZ7" s="503">
        <f t="shared" si="11"/>
        <v>204</v>
      </c>
      <c r="CA7" s="503">
        <f t="shared" si="11"/>
        <v>204</v>
      </c>
      <c r="CB7" s="503">
        <f t="shared" si="11"/>
        <v>204</v>
      </c>
      <c r="CC7" s="776">
        <f t="shared" si="11"/>
        <v>204</v>
      </c>
      <c r="CD7" s="722">
        <f>Q7*AZ7</f>
        <v>310.57482558030483</v>
      </c>
      <c r="CE7" s="511">
        <f t="shared" si="12"/>
        <v>310.57482558030483</v>
      </c>
      <c r="CF7" s="511">
        <f t="shared" si="12"/>
        <v>310.57482558030483</v>
      </c>
      <c r="CG7" s="511">
        <f>CF7</f>
        <v>310.57482558030483</v>
      </c>
      <c r="CH7" s="511">
        <f t="shared" si="13"/>
        <v>310.57482558030483</v>
      </c>
      <c r="CI7" s="511">
        <f t="shared" si="13"/>
        <v>310.57482558030483</v>
      </c>
      <c r="CJ7" s="723">
        <f t="shared" si="13"/>
        <v>310.57482558030483</v>
      </c>
      <c r="CK7" s="511">
        <f>R7*AZ7</f>
        <v>0</v>
      </c>
      <c r="CL7" s="511">
        <f t="shared" si="14"/>
        <v>0</v>
      </c>
      <c r="CM7" s="511">
        <f t="shared" si="14"/>
        <v>0</v>
      </c>
      <c r="CN7" s="511">
        <f>CM7</f>
        <v>0</v>
      </c>
      <c r="CO7" s="511">
        <f t="shared" si="15"/>
        <v>0</v>
      </c>
      <c r="CP7" s="511">
        <f t="shared" si="15"/>
        <v>0</v>
      </c>
      <c r="CQ7" s="539">
        <f t="shared" si="15"/>
        <v>0</v>
      </c>
      <c r="CR7" s="722">
        <f>S7*BA7</f>
        <v>13.7376</v>
      </c>
      <c r="CS7" s="511">
        <f t="shared" si="16"/>
        <v>13.7376</v>
      </c>
      <c r="CT7" s="511">
        <f t="shared" si="16"/>
        <v>13.7376</v>
      </c>
      <c r="CU7" s="511">
        <f>CT7</f>
        <v>13.7376</v>
      </c>
      <c r="CV7" s="511">
        <f t="shared" si="17"/>
        <v>13.7376</v>
      </c>
      <c r="CW7" s="511">
        <f t="shared" si="17"/>
        <v>13.7376</v>
      </c>
      <c r="CX7" s="723">
        <f t="shared" si="17"/>
        <v>13.7376</v>
      </c>
      <c r="CY7" s="724">
        <f t="shared" si="18"/>
        <v>0</v>
      </c>
      <c r="CZ7" s="508">
        <f t="shared" si="18"/>
        <v>0</v>
      </c>
      <c r="DA7" s="508">
        <f t="shared" si="18"/>
        <v>0</v>
      </c>
      <c r="DB7" s="508">
        <f t="shared" si="18"/>
        <v>0</v>
      </c>
      <c r="DC7" s="508">
        <f t="shared" si="18"/>
        <v>0</v>
      </c>
      <c r="DD7" s="508">
        <f t="shared" si="18"/>
        <v>0</v>
      </c>
      <c r="DE7" s="725">
        <f t="shared" si="18"/>
        <v>0</v>
      </c>
      <c r="DF7" s="509">
        <f t="shared" si="19"/>
        <v>0</v>
      </c>
      <c r="DG7" s="508">
        <f t="shared" si="19"/>
        <v>0</v>
      </c>
      <c r="DH7" s="508">
        <f t="shared" si="19"/>
        <v>0</v>
      </c>
      <c r="DI7" s="508">
        <f t="shared" si="19"/>
        <v>0</v>
      </c>
      <c r="DJ7" s="508">
        <f t="shared" si="19"/>
        <v>0</v>
      </c>
      <c r="DK7" s="508">
        <f t="shared" si="19"/>
        <v>0</v>
      </c>
      <c r="DL7" s="726">
        <f t="shared" si="19"/>
        <v>0</v>
      </c>
      <c r="DM7" s="724">
        <f t="shared" si="20"/>
        <v>0</v>
      </c>
      <c r="DN7" s="508">
        <f t="shared" si="20"/>
        <v>0</v>
      </c>
      <c r="DO7" s="508">
        <f t="shared" si="20"/>
        <v>0</v>
      </c>
      <c r="DP7" s="508">
        <f t="shared" si="20"/>
        <v>0</v>
      </c>
      <c r="DQ7" s="508">
        <f t="shared" si="20"/>
        <v>0</v>
      </c>
      <c r="DR7" s="508">
        <f t="shared" si="20"/>
        <v>0</v>
      </c>
      <c r="DS7" s="725">
        <f t="shared" si="20"/>
        <v>0</v>
      </c>
      <c r="DT7" s="508">
        <f t="shared" si="21"/>
        <v>106488</v>
      </c>
      <c r="DU7" s="508">
        <f t="shared" si="21"/>
        <v>106488</v>
      </c>
      <c r="DV7" s="508">
        <f t="shared" si="21"/>
        <v>106488</v>
      </c>
      <c r="DW7" s="508">
        <f t="shared" si="21"/>
        <v>106488</v>
      </c>
      <c r="DX7" s="508">
        <f t="shared" si="21"/>
        <v>106488</v>
      </c>
      <c r="DY7" s="508">
        <f t="shared" si="21"/>
        <v>106488</v>
      </c>
      <c r="DZ7" s="726">
        <f t="shared" si="21"/>
        <v>106488</v>
      </c>
      <c r="EA7" s="722">
        <f t="shared" si="22"/>
        <v>162120.05895291912</v>
      </c>
      <c r="EB7" s="511">
        <f t="shared" si="22"/>
        <v>162120.05895291912</v>
      </c>
      <c r="EC7" s="511">
        <f t="shared" si="22"/>
        <v>162120.05895291912</v>
      </c>
      <c r="ED7" s="511">
        <f t="shared" si="22"/>
        <v>162120.05895291912</v>
      </c>
      <c r="EE7" s="511">
        <f t="shared" si="22"/>
        <v>162120.05895291912</v>
      </c>
      <c r="EF7" s="511">
        <f t="shared" si="22"/>
        <v>162120.05895291912</v>
      </c>
      <c r="EG7" s="723">
        <f t="shared" si="22"/>
        <v>162120.05895291912</v>
      </c>
      <c r="EH7" s="511">
        <f t="shared" si="23"/>
        <v>0</v>
      </c>
      <c r="EI7" s="511">
        <f t="shared" si="23"/>
        <v>0</v>
      </c>
      <c r="EJ7" s="511">
        <f t="shared" si="23"/>
        <v>0</v>
      </c>
      <c r="EK7" s="511">
        <f t="shared" si="23"/>
        <v>0</v>
      </c>
      <c r="EL7" s="511">
        <f t="shared" si="23"/>
        <v>0</v>
      </c>
      <c r="EM7" s="511">
        <f t="shared" si="23"/>
        <v>0</v>
      </c>
      <c r="EN7" s="539">
        <f t="shared" si="23"/>
        <v>0</v>
      </c>
      <c r="EO7" s="722">
        <f t="shared" si="24"/>
        <v>7171.0272000000004</v>
      </c>
      <c r="EP7" s="511">
        <f t="shared" si="24"/>
        <v>7171.0272000000004</v>
      </c>
      <c r="EQ7" s="511">
        <f t="shared" si="24"/>
        <v>7171.0272000000004</v>
      </c>
      <c r="ER7" s="511">
        <f t="shared" si="24"/>
        <v>7171.0272000000004</v>
      </c>
      <c r="ES7" s="511">
        <f t="shared" si="24"/>
        <v>7171.0272000000004</v>
      </c>
      <c r="ET7" s="511">
        <f t="shared" si="24"/>
        <v>7171.0272000000004</v>
      </c>
      <c r="EU7" s="723">
        <f t="shared" si="24"/>
        <v>7171.0272000000004</v>
      </c>
      <c r="EV7" s="727">
        <f>SUM(AD7:AJ7)</f>
        <v>3654</v>
      </c>
      <c r="EW7" s="728">
        <f>SUM(CY7:DE7)</f>
        <v>0</v>
      </c>
      <c r="EX7" s="728">
        <f>SUM(DF7:DL7)</f>
        <v>0</v>
      </c>
      <c r="EY7" s="728">
        <f>SUM(DM7:DS7)</f>
        <v>0</v>
      </c>
      <c r="EZ7" s="728">
        <f>SUM(DT7:DZ7)</f>
        <v>745416</v>
      </c>
      <c r="FA7" s="777">
        <f>SUM(EA7:EG7)</f>
        <v>1134840.4126704338</v>
      </c>
      <c r="FB7" s="777">
        <f>SUM(EH7:EN7)</f>
        <v>0</v>
      </c>
      <c r="FC7" s="778">
        <f>SUM(EO7:EU7)</f>
        <v>50197.190399999992</v>
      </c>
      <c r="FE7" s="10" t="b">
        <f t="shared" si="25"/>
        <v>1</v>
      </c>
      <c r="FF7" s="10" t="b">
        <f t="shared" si="25"/>
        <v>1</v>
      </c>
      <c r="FG7" s="10" t="b">
        <f t="shared" si="25"/>
        <v>1</v>
      </c>
      <c r="FH7" s="10" t="b">
        <f t="shared" si="25"/>
        <v>1</v>
      </c>
      <c r="FI7" s="10" t="b">
        <f t="shared" si="25"/>
        <v>1</v>
      </c>
      <c r="FJ7" s="10" t="b">
        <f t="shared" si="25"/>
        <v>1</v>
      </c>
      <c r="FK7" s="10" t="b">
        <f t="shared" si="25"/>
        <v>1</v>
      </c>
      <c r="FL7" s="10" t="b">
        <f t="shared" si="25"/>
        <v>1</v>
      </c>
    </row>
    <row r="8" spans="1:168" s="10" customFormat="1" ht="12.75" customHeight="1">
      <c r="A8" s="729"/>
      <c r="B8" s="730"/>
      <c r="C8" s="730"/>
      <c r="D8" s="730"/>
      <c r="E8" s="730"/>
      <c r="F8" s="731"/>
      <c r="G8" s="731"/>
      <c r="H8" s="731"/>
      <c r="I8" s="731"/>
      <c r="J8" s="731"/>
      <c r="K8" s="731"/>
      <c r="L8" s="733"/>
      <c r="M8" s="734"/>
      <c r="N8" s="734"/>
      <c r="O8" s="734"/>
      <c r="P8" s="735"/>
      <c r="Q8" s="736"/>
      <c r="R8" s="737"/>
      <c r="S8" s="737"/>
      <c r="T8" s="733"/>
      <c r="U8" s="738"/>
      <c r="V8" s="739"/>
      <c r="W8" s="740"/>
      <c r="X8" s="740"/>
      <c r="Y8" s="740"/>
      <c r="Z8" s="740"/>
      <c r="AA8" s="741"/>
      <c r="AB8" s="714"/>
      <c r="AC8" s="781"/>
      <c r="AD8" s="781"/>
      <c r="AE8" s="781"/>
      <c r="AF8" s="781"/>
      <c r="AG8" s="781"/>
      <c r="AH8" s="781"/>
      <c r="AI8" s="781"/>
      <c r="AJ8" s="781"/>
      <c r="AK8" s="733"/>
      <c r="AL8" s="733"/>
      <c r="AM8" s="733"/>
      <c r="AN8" s="733"/>
      <c r="AO8" s="733"/>
      <c r="AP8" s="733"/>
      <c r="AQ8" s="733"/>
      <c r="AR8" s="733"/>
      <c r="AS8" s="743"/>
      <c r="AT8" s="743"/>
      <c r="AU8" s="743"/>
      <c r="AV8" s="740"/>
      <c r="AW8" s="740"/>
      <c r="AX8" s="733"/>
      <c r="AY8" s="733"/>
      <c r="AZ8" s="733"/>
      <c r="BA8" s="744"/>
      <c r="BB8" s="745"/>
      <c r="BC8" s="746"/>
      <c r="BD8" s="746"/>
      <c r="BE8" s="746"/>
      <c r="BF8" s="746"/>
      <c r="BG8" s="746"/>
      <c r="BH8" s="448"/>
      <c r="BI8" s="745"/>
      <c r="BJ8" s="746"/>
      <c r="BK8" s="746"/>
      <c r="BL8" s="746"/>
      <c r="BM8" s="746"/>
      <c r="BN8" s="746"/>
      <c r="BO8" s="747"/>
      <c r="BP8" s="745"/>
      <c r="BQ8" s="746"/>
      <c r="BR8" s="746"/>
      <c r="BS8" s="746"/>
      <c r="BT8" s="746"/>
      <c r="BU8" s="746"/>
      <c r="BV8" s="747"/>
      <c r="BW8" s="745"/>
      <c r="BX8" s="746"/>
      <c r="BY8" s="746"/>
      <c r="BZ8" s="746"/>
      <c r="CA8" s="746"/>
      <c r="CB8" s="746"/>
      <c r="CC8" s="747"/>
      <c r="CD8" s="750"/>
      <c r="CE8" s="487"/>
      <c r="CF8" s="487"/>
      <c r="CG8" s="487"/>
      <c r="CH8" s="487"/>
      <c r="CI8" s="487"/>
      <c r="CJ8" s="751"/>
      <c r="CK8" s="487"/>
      <c r="CL8" s="487"/>
      <c r="CM8" s="487"/>
      <c r="CN8" s="487"/>
      <c r="CO8" s="487"/>
      <c r="CP8" s="487"/>
      <c r="CQ8" s="513"/>
      <c r="CR8" s="750"/>
      <c r="CS8" s="487"/>
      <c r="CT8" s="487"/>
      <c r="CU8" s="487"/>
      <c r="CV8" s="487"/>
      <c r="CW8" s="487"/>
      <c r="CX8" s="751"/>
      <c r="CY8" s="752"/>
      <c r="CZ8" s="492"/>
      <c r="DA8" s="492"/>
      <c r="DB8" s="492"/>
      <c r="DC8" s="492"/>
      <c r="DD8" s="492"/>
      <c r="DE8" s="753"/>
      <c r="DF8" s="491"/>
      <c r="DG8" s="492"/>
      <c r="DH8" s="492"/>
      <c r="DI8" s="492"/>
      <c r="DJ8" s="492"/>
      <c r="DK8" s="492"/>
      <c r="DL8" s="754"/>
      <c r="DM8" s="752"/>
      <c r="DN8" s="492"/>
      <c r="DO8" s="492"/>
      <c r="DP8" s="492"/>
      <c r="DQ8" s="492"/>
      <c r="DR8" s="492"/>
      <c r="DS8" s="753"/>
      <c r="DT8" s="492"/>
      <c r="DU8" s="492"/>
      <c r="DV8" s="492"/>
      <c r="DW8" s="492"/>
      <c r="DX8" s="492"/>
      <c r="DY8" s="492"/>
      <c r="DZ8" s="754"/>
      <c r="EA8" s="750"/>
      <c r="EB8" s="487"/>
      <c r="EC8" s="487"/>
      <c r="ED8" s="487"/>
      <c r="EE8" s="487"/>
      <c r="EF8" s="487"/>
      <c r="EG8" s="751"/>
      <c r="EH8" s="487"/>
      <c r="EI8" s="487"/>
      <c r="EJ8" s="487"/>
      <c r="EK8" s="487"/>
      <c r="EL8" s="487"/>
      <c r="EM8" s="487"/>
      <c r="EN8" s="513"/>
      <c r="EO8" s="750"/>
      <c r="EP8" s="487"/>
      <c r="EQ8" s="487"/>
      <c r="ER8" s="487"/>
      <c r="ES8" s="487"/>
      <c r="ET8" s="487"/>
      <c r="EU8" s="751"/>
      <c r="EV8" s="515"/>
      <c r="EW8" s="755"/>
      <c r="EX8" s="755"/>
      <c r="EY8" s="755"/>
      <c r="EZ8" s="755"/>
      <c r="FA8" s="756"/>
      <c r="FB8" s="756"/>
      <c r="FC8" s="757"/>
    </row>
    <row r="9" spans="1:168" s="10" customFormat="1" ht="12.75" customHeight="1">
      <c r="A9" s="661" t="s">
        <v>171</v>
      </c>
      <c r="B9" s="703" t="s">
        <v>409</v>
      </c>
      <c r="C9" s="703" t="s">
        <v>392</v>
      </c>
      <c r="D9" s="703" t="s">
        <v>393</v>
      </c>
      <c r="E9" s="703" t="s">
        <v>394</v>
      </c>
      <c r="F9" s="704" t="s">
        <v>372</v>
      </c>
      <c r="G9" s="705">
        <v>0</v>
      </c>
      <c r="H9" s="704">
        <v>0</v>
      </c>
      <c r="I9" s="704">
        <f>G9+H9</f>
        <v>0</v>
      </c>
      <c r="J9" s="704">
        <v>0</v>
      </c>
      <c r="K9" s="704" t="s">
        <v>378</v>
      </c>
      <c r="L9" s="711" t="s">
        <v>395</v>
      </c>
      <c r="M9" s="707">
        <v>0</v>
      </c>
      <c r="N9" s="708">
        <v>0</v>
      </c>
      <c r="O9" s="707">
        <v>0</v>
      </c>
      <c r="P9" s="709">
        <f>P6</f>
        <v>1815</v>
      </c>
      <c r="Q9" s="780">
        <v>885</v>
      </c>
      <c r="R9" s="710">
        <f>$M$148/$L$148*Q9</f>
        <v>7.5658426443553736E-2</v>
      </c>
      <c r="S9" s="710">
        <v>0</v>
      </c>
      <c r="T9" s="711" t="s">
        <v>396</v>
      </c>
      <c r="U9" s="712">
        <v>0</v>
      </c>
      <c r="V9" s="713">
        <v>1</v>
      </c>
      <c r="W9" s="661">
        <v>446</v>
      </c>
      <c r="X9" s="661">
        <v>331</v>
      </c>
      <c r="Y9" s="661">
        <v>1014</v>
      </c>
      <c r="Z9" s="661">
        <v>960</v>
      </c>
      <c r="AA9" s="714">
        <v>996</v>
      </c>
      <c r="AB9" s="714">
        <f>AA9</f>
        <v>996</v>
      </c>
      <c r="AC9" s="714">
        <f t="shared" ref="AC9:AJ10" si="29">AC6*0.5</f>
        <v>2295</v>
      </c>
      <c r="AD9" s="714">
        <f t="shared" si="29"/>
        <v>2295</v>
      </c>
      <c r="AE9" s="714">
        <f t="shared" si="29"/>
        <v>2295</v>
      </c>
      <c r="AF9" s="714">
        <f t="shared" si="29"/>
        <v>2295</v>
      </c>
      <c r="AG9" s="714">
        <f t="shared" si="29"/>
        <v>2295</v>
      </c>
      <c r="AH9" s="714">
        <f t="shared" si="29"/>
        <v>2295</v>
      </c>
      <c r="AI9" s="714">
        <f t="shared" si="29"/>
        <v>2295</v>
      </c>
      <c r="AJ9" s="714">
        <f t="shared" si="29"/>
        <v>2295</v>
      </c>
      <c r="AK9" s="711" t="s">
        <v>384</v>
      </c>
      <c r="AL9" s="711" t="s">
        <v>375</v>
      </c>
      <c r="AM9" s="711" t="s">
        <v>376</v>
      </c>
      <c r="AN9" s="711" t="s">
        <v>377</v>
      </c>
      <c r="AO9" s="711" t="s">
        <v>1</v>
      </c>
      <c r="AP9" s="711" t="s">
        <v>378</v>
      </c>
      <c r="AQ9" s="711" t="s">
        <v>378</v>
      </c>
      <c r="AR9" s="711" t="s">
        <v>378</v>
      </c>
      <c r="AS9" s="715" t="s">
        <v>379</v>
      </c>
      <c r="AT9" s="715" t="s">
        <v>380</v>
      </c>
      <c r="AU9" s="715" t="s">
        <v>385</v>
      </c>
      <c r="AV9" s="661">
        <v>20</v>
      </c>
      <c r="AW9" s="661">
        <f>AV9</f>
        <v>20</v>
      </c>
      <c r="AX9" s="711" t="s">
        <v>397</v>
      </c>
      <c r="AY9" s="716">
        <v>1</v>
      </c>
      <c r="AZ9" s="716">
        <v>1</v>
      </c>
      <c r="BA9" s="717">
        <v>0</v>
      </c>
      <c r="BB9" s="774">
        <f>I9</f>
        <v>0</v>
      </c>
      <c r="BC9" s="499">
        <f t="shared" ref="BC9:BD10" si="30">BB9</f>
        <v>0</v>
      </c>
      <c r="BD9" s="499">
        <f t="shared" si="30"/>
        <v>0</v>
      </c>
      <c r="BE9" s="499">
        <f>BB9</f>
        <v>0</v>
      </c>
      <c r="BF9" s="499">
        <f t="shared" ref="BF9:BH10" si="31">BC9</f>
        <v>0</v>
      </c>
      <c r="BG9" s="499">
        <f t="shared" si="31"/>
        <v>0</v>
      </c>
      <c r="BH9" s="447">
        <f t="shared" si="31"/>
        <v>0</v>
      </c>
      <c r="BI9" s="774">
        <f>J9</f>
        <v>0</v>
      </c>
      <c r="BJ9" s="499">
        <f t="shared" ref="BJ9:BO10" si="32">BI9</f>
        <v>0</v>
      </c>
      <c r="BK9" s="499">
        <f t="shared" si="32"/>
        <v>0</v>
      </c>
      <c r="BL9" s="499">
        <f t="shared" si="32"/>
        <v>0</v>
      </c>
      <c r="BM9" s="499">
        <f t="shared" si="32"/>
        <v>0</v>
      </c>
      <c r="BN9" s="499">
        <f t="shared" si="32"/>
        <v>0</v>
      </c>
      <c r="BO9" s="719">
        <f t="shared" si="32"/>
        <v>0</v>
      </c>
      <c r="BP9" s="721">
        <f>N9+O9</f>
        <v>0</v>
      </c>
      <c r="BQ9" s="499">
        <f t="shared" ref="BQ9:BV10" si="33">BP9</f>
        <v>0</v>
      </c>
      <c r="BR9" s="499">
        <f t="shared" si="33"/>
        <v>0</v>
      </c>
      <c r="BS9" s="499">
        <f t="shared" si="33"/>
        <v>0</v>
      </c>
      <c r="BT9" s="499">
        <f t="shared" si="33"/>
        <v>0</v>
      </c>
      <c r="BU9" s="499">
        <f t="shared" si="33"/>
        <v>0</v>
      </c>
      <c r="BV9" s="719">
        <f t="shared" si="33"/>
        <v>0</v>
      </c>
      <c r="BW9" s="774">
        <f t="shared" si="11"/>
        <v>1815</v>
      </c>
      <c r="BX9" s="503">
        <f t="shared" si="11"/>
        <v>1815</v>
      </c>
      <c r="BY9" s="503">
        <f t="shared" si="11"/>
        <v>1815</v>
      </c>
      <c r="BZ9" s="503">
        <f t="shared" si="11"/>
        <v>1815</v>
      </c>
      <c r="CA9" s="503">
        <f t="shared" si="11"/>
        <v>1815</v>
      </c>
      <c r="CB9" s="503">
        <f t="shared" si="11"/>
        <v>1815</v>
      </c>
      <c r="CC9" s="776">
        <f t="shared" si="11"/>
        <v>1815</v>
      </c>
      <c r="CD9" s="722">
        <f>Q9*AZ9</f>
        <v>885</v>
      </c>
      <c r="CE9" s="511">
        <f t="shared" ref="CE9:CF10" si="34">CD9</f>
        <v>885</v>
      </c>
      <c r="CF9" s="511">
        <f t="shared" si="34"/>
        <v>885</v>
      </c>
      <c r="CG9" s="511">
        <f>CF9</f>
        <v>885</v>
      </c>
      <c r="CH9" s="511">
        <f t="shared" ref="CH9:CJ10" si="35">CG9</f>
        <v>885</v>
      </c>
      <c r="CI9" s="511">
        <f t="shared" si="35"/>
        <v>885</v>
      </c>
      <c r="CJ9" s="723">
        <f t="shared" si="35"/>
        <v>885</v>
      </c>
      <c r="CK9" s="511">
        <f>R9*AZ9</f>
        <v>7.5658426443553736E-2</v>
      </c>
      <c r="CL9" s="511">
        <f t="shared" ref="CL9:CM10" si="36">CK9</f>
        <v>7.5658426443553736E-2</v>
      </c>
      <c r="CM9" s="511">
        <f t="shared" si="36"/>
        <v>7.5658426443553736E-2</v>
      </c>
      <c r="CN9" s="511">
        <f>CM9</f>
        <v>7.5658426443553736E-2</v>
      </c>
      <c r="CO9" s="511">
        <f t="shared" ref="CO9:CQ10" si="37">CN9</f>
        <v>7.5658426443553736E-2</v>
      </c>
      <c r="CP9" s="511">
        <f t="shared" si="37"/>
        <v>7.5658426443553736E-2</v>
      </c>
      <c r="CQ9" s="539">
        <f t="shared" si="37"/>
        <v>7.5658426443553736E-2</v>
      </c>
      <c r="CR9" s="722">
        <f>S9*BA9</f>
        <v>0</v>
      </c>
      <c r="CS9" s="511">
        <f t="shared" ref="CS9:CT10" si="38">CR9</f>
        <v>0</v>
      </c>
      <c r="CT9" s="511">
        <f t="shared" si="38"/>
        <v>0</v>
      </c>
      <c r="CU9" s="511">
        <f>CT9</f>
        <v>0</v>
      </c>
      <c r="CV9" s="511">
        <f t="shared" ref="CV9:CX10" si="39">CU9</f>
        <v>0</v>
      </c>
      <c r="CW9" s="511">
        <f t="shared" si="39"/>
        <v>0</v>
      </c>
      <c r="CX9" s="723">
        <f t="shared" si="39"/>
        <v>0</v>
      </c>
      <c r="CY9" s="724">
        <f t="shared" ref="CY9:DE10" si="40">AD9*BB9</f>
        <v>0</v>
      </c>
      <c r="CZ9" s="508">
        <f t="shared" si="40"/>
        <v>0</v>
      </c>
      <c r="DA9" s="508">
        <f t="shared" si="40"/>
        <v>0</v>
      </c>
      <c r="DB9" s="508">
        <f t="shared" si="40"/>
        <v>0</v>
      </c>
      <c r="DC9" s="508">
        <f t="shared" si="40"/>
        <v>0</v>
      </c>
      <c r="DD9" s="508">
        <f t="shared" si="40"/>
        <v>0</v>
      </c>
      <c r="DE9" s="725">
        <f t="shared" si="40"/>
        <v>0</v>
      </c>
      <c r="DF9" s="509">
        <f t="shared" ref="DF9:DL10" si="41">AD9*BI9</f>
        <v>0</v>
      </c>
      <c r="DG9" s="508">
        <f t="shared" si="41"/>
        <v>0</v>
      </c>
      <c r="DH9" s="508">
        <f t="shared" si="41"/>
        <v>0</v>
      </c>
      <c r="DI9" s="508">
        <f t="shared" si="41"/>
        <v>0</v>
      </c>
      <c r="DJ9" s="508">
        <f t="shared" si="41"/>
        <v>0</v>
      </c>
      <c r="DK9" s="508">
        <f t="shared" si="41"/>
        <v>0</v>
      </c>
      <c r="DL9" s="726">
        <f t="shared" si="41"/>
        <v>0</v>
      </c>
      <c r="DM9" s="724">
        <f t="shared" ref="DM9:DS10" si="42">AD9*BP9</f>
        <v>0</v>
      </c>
      <c r="DN9" s="508">
        <f t="shared" si="42"/>
        <v>0</v>
      </c>
      <c r="DO9" s="508">
        <f t="shared" si="42"/>
        <v>0</v>
      </c>
      <c r="DP9" s="508">
        <f t="shared" si="42"/>
        <v>0</v>
      </c>
      <c r="DQ9" s="508">
        <f t="shared" si="42"/>
        <v>0</v>
      </c>
      <c r="DR9" s="508">
        <f t="shared" si="42"/>
        <v>0</v>
      </c>
      <c r="DS9" s="725">
        <f t="shared" si="42"/>
        <v>0</v>
      </c>
      <c r="DT9" s="508">
        <f t="shared" ref="DT9:DZ10" si="43">BW9*AD9</f>
        <v>4165425</v>
      </c>
      <c r="DU9" s="508">
        <f t="shared" si="43"/>
        <v>4165425</v>
      </c>
      <c r="DV9" s="508">
        <f t="shared" si="43"/>
        <v>4165425</v>
      </c>
      <c r="DW9" s="508">
        <f t="shared" si="43"/>
        <v>4165425</v>
      </c>
      <c r="DX9" s="508">
        <f t="shared" si="43"/>
        <v>4165425</v>
      </c>
      <c r="DY9" s="508">
        <f t="shared" si="43"/>
        <v>4165425</v>
      </c>
      <c r="DZ9" s="726">
        <f t="shared" si="43"/>
        <v>4165425</v>
      </c>
      <c r="EA9" s="722">
        <f t="shared" ref="EA9:EG10" si="44">AD9*CD9</f>
        <v>2031075</v>
      </c>
      <c r="EB9" s="511">
        <f t="shared" si="44"/>
        <v>2031075</v>
      </c>
      <c r="EC9" s="511">
        <f t="shared" si="44"/>
        <v>2031075</v>
      </c>
      <c r="ED9" s="511">
        <f t="shared" si="44"/>
        <v>2031075</v>
      </c>
      <c r="EE9" s="511">
        <f t="shared" si="44"/>
        <v>2031075</v>
      </c>
      <c r="EF9" s="511">
        <f t="shared" si="44"/>
        <v>2031075</v>
      </c>
      <c r="EG9" s="723">
        <f t="shared" si="44"/>
        <v>2031075</v>
      </c>
      <c r="EH9" s="511">
        <f t="shared" ref="EH9:EN10" si="45">AD9*CK9</f>
        <v>173.63608868795583</v>
      </c>
      <c r="EI9" s="511">
        <f t="shared" si="45"/>
        <v>173.63608868795583</v>
      </c>
      <c r="EJ9" s="511">
        <f t="shared" si="45"/>
        <v>173.63608868795583</v>
      </c>
      <c r="EK9" s="511">
        <f t="shared" si="45"/>
        <v>173.63608868795583</v>
      </c>
      <c r="EL9" s="511">
        <f t="shared" si="45"/>
        <v>173.63608868795583</v>
      </c>
      <c r="EM9" s="511">
        <f t="shared" si="45"/>
        <v>173.63608868795583</v>
      </c>
      <c r="EN9" s="539">
        <f t="shared" si="45"/>
        <v>173.63608868795583</v>
      </c>
      <c r="EO9" s="722">
        <f t="shared" ref="EO9:EU10" si="46">AD9*CR9</f>
        <v>0</v>
      </c>
      <c r="EP9" s="511">
        <f t="shared" si="46"/>
        <v>0</v>
      </c>
      <c r="EQ9" s="511">
        <f t="shared" si="46"/>
        <v>0</v>
      </c>
      <c r="ER9" s="511">
        <f t="shared" si="46"/>
        <v>0</v>
      </c>
      <c r="ES9" s="511">
        <f t="shared" si="46"/>
        <v>0</v>
      </c>
      <c r="ET9" s="511">
        <f t="shared" si="46"/>
        <v>0</v>
      </c>
      <c r="EU9" s="723">
        <f t="shared" si="46"/>
        <v>0</v>
      </c>
      <c r="EV9" s="727">
        <f>SUM(AD9:AJ9)</f>
        <v>16065</v>
      </c>
      <c r="EW9" s="728">
        <f>SUM(CY9:DE9)</f>
        <v>0</v>
      </c>
      <c r="EX9" s="728">
        <f>SUM(DF9:DL9)</f>
        <v>0</v>
      </c>
      <c r="EY9" s="728">
        <f>SUM(DM9:DS9)</f>
        <v>0</v>
      </c>
      <c r="EZ9" s="728">
        <f>SUM(DT9:DZ9)</f>
        <v>29157975</v>
      </c>
      <c r="FA9" s="777">
        <f>SUM(EA9:EG9)</f>
        <v>14217525</v>
      </c>
      <c r="FB9" s="777">
        <f>SUM(EH9:EN9)</f>
        <v>1215.4526208156908</v>
      </c>
      <c r="FC9" s="778">
        <f>SUM(EO9:EU9)</f>
        <v>0</v>
      </c>
      <c r="FK9" s="135"/>
      <c r="FL9" s="135"/>
    </row>
    <row r="10" spans="1:168" s="10" customFormat="1" ht="12.75" customHeight="1">
      <c r="A10" s="661" t="s">
        <v>173</v>
      </c>
      <c r="B10" s="703" t="s">
        <v>410</v>
      </c>
      <c r="C10" s="703" t="s">
        <v>399</v>
      </c>
      <c r="D10" s="715" t="s">
        <v>400</v>
      </c>
      <c r="E10" s="703" t="s">
        <v>401</v>
      </c>
      <c r="F10" s="704" t="s">
        <v>402</v>
      </c>
      <c r="G10" s="705">
        <v>0</v>
      </c>
      <c r="H10" s="704">
        <v>0</v>
      </c>
      <c r="I10" s="704">
        <f>G10+H10</f>
        <v>0</v>
      </c>
      <c r="J10" s="704">
        <v>0</v>
      </c>
      <c r="K10" s="706">
        <f t="shared" ref="K10" si="47">I10*0.5</f>
        <v>0</v>
      </c>
      <c r="L10" s="703" t="s">
        <v>411</v>
      </c>
      <c r="M10" s="707">
        <v>0</v>
      </c>
      <c r="N10" s="708">
        <v>0</v>
      </c>
      <c r="O10" s="707">
        <v>0</v>
      </c>
      <c r="P10" s="709">
        <f>P7</f>
        <v>204</v>
      </c>
      <c r="Q10" s="780">
        <f>E121</f>
        <v>310.57482558030483</v>
      </c>
      <c r="R10" s="710">
        <v>0</v>
      </c>
      <c r="S10" s="710">
        <v>0</v>
      </c>
      <c r="T10" s="711" t="s">
        <v>412</v>
      </c>
      <c r="U10" s="712">
        <f>U9</f>
        <v>0</v>
      </c>
      <c r="V10" s="713">
        <v>1</v>
      </c>
      <c r="W10" s="661">
        <v>0</v>
      </c>
      <c r="X10" s="661">
        <v>0</v>
      </c>
      <c r="Y10" s="661">
        <v>0</v>
      </c>
      <c r="Z10" s="661">
        <v>0</v>
      </c>
      <c r="AA10" s="661">
        <f>AA7*0.5</f>
        <v>182</v>
      </c>
      <c r="AB10" s="661">
        <f t="shared" ref="AB10:AI10" si="48">AB7*0.5</f>
        <v>182</v>
      </c>
      <c r="AC10" s="661">
        <f>AC7*0.5</f>
        <v>261</v>
      </c>
      <c r="AD10" s="661">
        <f t="shared" si="48"/>
        <v>261</v>
      </c>
      <c r="AE10" s="661">
        <f t="shared" si="48"/>
        <v>261</v>
      </c>
      <c r="AF10" s="661">
        <f t="shared" si="48"/>
        <v>261</v>
      </c>
      <c r="AG10" s="661">
        <f t="shared" si="48"/>
        <v>261</v>
      </c>
      <c r="AH10" s="661">
        <f t="shared" si="48"/>
        <v>261</v>
      </c>
      <c r="AI10" s="661">
        <f t="shared" si="48"/>
        <v>261</v>
      </c>
      <c r="AJ10" s="661">
        <f t="shared" si="29"/>
        <v>261</v>
      </c>
      <c r="AK10" s="711" t="s">
        <v>384</v>
      </c>
      <c r="AL10" s="711" t="s">
        <v>375</v>
      </c>
      <c r="AM10" s="711" t="s">
        <v>376</v>
      </c>
      <c r="AN10" s="711" t="s">
        <v>405</v>
      </c>
      <c r="AO10" s="711" t="s">
        <v>1</v>
      </c>
      <c r="AP10" s="711" t="s">
        <v>378</v>
      </c>
      <c r="AQ10" s="711" t="s">
        <v>378</v>
      </c>
      <c r="AR10" s="711" t="s">
        <v>378</v>
      </c>
      <c r="AS10" s="715" t="s">
        <v>406</v>
      </c>
      <c r="AT10" s="715" t="s">
        <v>407</v>
      </c>
      <c r="AU10" s="715" t="s">
        <v>385</v>
      </c>
      <c r="AV10" s="711">
        <v>7.5</v>
      </c>
      <c r="AW10" s="711">
        <v>7.5</v>
      </c>
      <c r="AX10" s="711" t="s">
        <v>408</v>
      </c>
      <c r="AY10" s="716">
        <v>1</v>
      </c>
      <c r="AZ10" s="716">
        <v>1</v>
      </c>
      <c r="BA10" s="717">
        <v>0</v>
      </c>
      <c r="BB10" s="774">
        <f>I10</f>
        <v>0</v>
      </c>
      <c r="BC10" s="499">
        <f t="shared" si="30"/>
        <v>0</v>
      </c>
      <c r="BD10" s="499">
        <f t="shared" si="30"/>
        <v>0</v>
      </c>
      <c r="BE10" s="499">
        <f t="shared" ref="BE10" si="49">BB10</f>
        <v>0</v>
      </c>
      <c r="BF10" s="499">
        <f t="shared" si="31"/>
        <v>0</v>
      </c>
      <c r="BG10" s="499">
        <f t="shared" si="31"/>
        <v>0</v>
      </c>
      <c r="BH10" s="447">
        <f t="shared" si="31"/>
        <v>0</v>
      </c>
      <c r="BI10" s="774">
        <f>J10</f>
        <v>0</v>
      </c>
      <c r="BJ10" s="499">
        <f t="shared" si="32"/>
        <v>0</v>
      </c>
      <c r="BK10" s="499">
        <f t="shared" si="32"/>
        <v>0</v>
      </c>
      <c r="BL10" s="499">
        <f t="shared" si="32"/>
        <v>0</v>
      </c>
      <c r="BM10" s="499">
        <f t="shared" si="32"/>
        <v>0</v>
      </c>
      <c r="BN10" s="499">
        <f t="shared" si="32"/>
        <v>0</v>
      </c>
      <c r="BO10" s="719">
        <f t="shared" si="32"/>
        <v>0</v>
      </c>
      <c r="BP10" s="721">
        <f>N10+O10</f>
        <v>0</v>
      </c>
      <c r="BQ10" s="499">
        <f t="shared" si="33"/>
        <v>0</v>
      </c>
      <c r="BR10" s="499">
        <f t="shared" si="33"/>
        <v>0</v>
      </c>
      <c r="BS10" s="499">
        <f t="shared" si="33"/>
        <v>0</v>
      </c>
      <c r="BT10" s="499">
        <f t="shared" si="33"/>
        <v>0</v>
      </c>
      <c r="BU10" s="499">
        <f t="shared" si="33"/>
        <v>0</v>
      </c>
      <c r="BV10" s="719">
        <f t="shared" si="33"/>
        <v>0</v>
      </c>
      <c r="BW10" s="774">
        <f t="shared" si="11"/>
        <v>204</v>
      </c>
      <c r="BX10" s="503">
        <f t="shared" si="11"/>
        <v>204</v>
      </c>
      <c r="BY10" s="503">
        <f t="shared" si="11"/>
        <v>204</v>
      </c>
      <c r="BZ10" s="503">
        <f t="shared" si="11"/>
        <v>204</v>
      </c>
      <c r="CA10" s="503">
        <f t="shared" si="11"/>
        <v>204</v>
      </c>
      <c r="CB10" s="503">
        <f t="shared" si="11"/>
        <v>204</v>
      </c>
      <c r="CC10" s="776">
        <f t="shared" si="11"/>
        <v>204</v>
      </c>
      <c r="CD10" s="722">
        <f>Q10*AZ10</f>
        <v>310.57482558030483</v>
      </c>
      <c r="CE10" s="511">
        <f t="shared" si="34"/>
        <v>310.57482558030483</v>
      </c>
      <c r="CF10" s="511">
        <f t="shared" si="34"/>
        <v>310.57482558030483</v>
      </c>
      <c r="CG10" s="511">
        <f>CF10</f>
        <v>310.57482558030483</v>
      </c>
      <c r="CH10" s="511">
        <f t="shared" si="35"/>
        <v>310.57482558030483</v>
      </c>
      <c r="CI10" s="511">
        <f t="shared" si="35"/>
        <v>310.57482558030483</v>
      </c>
      <c r="CJ10" s="723">
        <f t="shared" si="35"/>
        <v>310.57482558030483</v>
      </c>
      <c r="CK10" s="511">
        <f>R10*AZ10</f>
        <v>0</v>
      </c>
      <c r="CL10" s="511">
        <f t="shared" si="36"/>
        <v>0</v>
      </c>
      <c r="CM10" s="511">
        <f t="shared" si="36"/>
        <v>0</v>
      </c>
      <c r="CN10" s="511">
        <f>CM10</f>
        <v>0</v>
      </c>
      <c r="CO10" s="511">
        <f t="shared" si="37"/>
        <v>0</v>
      </c>
      <c r="CP10" s="511">
        <f t="shared" si="37"/>
        <v>0</v>
      </c>
      <c r="CQ10" s="539">
        <f t="shared" si="37"/>
        <v>0</v>
      </c>
      <c r="CR10" s="722">
        <f>S10*BA10</f>
        <v>0</v>
      </c>
      <c r="CS10" s="511">
        <f t="shared" si="38"/>
        <v>0</v>
      </c>
      <c r="CT10" s="511">
        <f t="shared" si="38"/>
        <v>0</v>
      </c>
      <c r="CU10" s="511">
        <f>CT10</f>
        <v>0</v>
      </c>
      <c r="CV10" s="511">
        <f t="shared" si="39"/>
        <v>0</v>
      </c>
      <c r="CW10" s="511">
        <f t="shared" si="39"/>
        <v>0</v>
      </c>
      <c r="CX10" s="723">
        <f t="shared" si="39"/>
        <v>0</v>
      </c>
      <c r="CY10" s="724">
        <f t="shared" si="40"/>
        <v>0</v>
      </c>
      <c r="CZ10" s="508">
        <f t="shared" si="40"/>
        <v>0</v>
      </c>
      <c r="DA10" s="508">
        <f t="shared" si="40"/>
        <v>0</v>
      </c>
      <c r="DB10" s="508">
        <f t="shared" si="40"/>
        <v>0</v>
      </c>
      <c r="DC10" s="508">
        <f t="shared" si="40"/>
        <v>0</v>
      </c>
      <c r="DD10" s="508">
        <f t="shared" si="40"/>
        <v>0</v>
      </c>
      <c r="DE10" s="725">
        <f t="shared" si="40"/>
        <v>0</v>
      </c>
      <c r="DF10" s="509">
        <f t="shared" si="41"/>
        <v>0</v>
      </c>
      <c r="DG10" s="508">
        <f t="shared" si="41"/>
        <v>0</v>
      </c>
      <c r="DH10" s="508">
        <f t="shared" si="41"/>
        <v>0</v>
      </c>
      <c r="DI10" s="508">
        <f t="shared" si="41"/>
        <v>0</v>
      </c>
      <c r="DJ10" s="508">
        <f t="shared" si="41"/>
        <v>0</v>
      </c>
      <c r="DK10" s="508">
        <f t="shared" si="41"/>
        <v>0</v>
      </c>
      <c r="DL10" s="726">
        <f t="shared" si="41"/>
        <v>0</v>
      </c>
      <c r="DM10" s="724">
        <f t="shared" si="42"/>
        <v>0</v>
      </c>
      <c r="DN10" s="508">
        <f t="shared" si="42"/>
        <v>0</v>
      </c>
      <c r="DO10" s="508">
        <f t="shared" si="42"/>
        <v>0</v>
      </c>
      <c r="DP10" s="508">
        <f t="shared" si="42"/>
        <v>0</v>
      </c>
      <c r="DQ10" s="508">
        <f t="shared" si="42"/>
        <v>0</v>
      </c>
      <c r="DR10" s="508">
        <f t="shared" si="42"/>
        <v>0</v>
      </c>
      <c r="DS10" s="725">
        <f t="shared" si="42"/>
        <v>0</v>
      </c>
      <c r="DT10" s="508">
        <f t="shared" si="43"/>
        <v>53244</v>
      </c>
      <c r="DU10" s="508">
        <f t="shared" si="43"/>
        <v>53244</v>
      </c>
      <c r="DV10" s="508">
        <f t="shared" si="43"/>
        <v>53244</v>
      </c>
      <c r="DW10" s="508">
        <f t="shared" si="43"/>
        <v>53244</v>
      </c>
      <c r="DX10" s="508">
        <f t="shared" si="43"/>
        <v>53244</v>
      </c>
      <c r="DY10" s="508">
        <f t="shared" si="43"/>
        <v>53244</v>
      </c>
      <c r="DZ10" s="726">
        <f t="shared" si="43"/>
        <v>53244</v>
      </c>
      <c r="EA10" s="722">
        <f t="shared" si="44"/>
        <v>81060.02947645956</v>
      </c>
      <c r="EB10" s="511">
        <f t="shared" si="44"/>
        <v>81060.02947645956</v>
      </c>
      <c r="EC10" s="511">
        <f t="shared" si="44"/>
        <v>81060.02947645956</v>
      </c>
      <c r="ED10" s="511">
        <f t="shared" si="44"/>
        <v>81060.02947645956</v>
      </c>
      <c r="EE10" s="511">
        <f t="shared" si="44"/>
        <v>81060.02947645956</v>
      </c>
      <c r="EF10" s="511">
        <f t="shared" si="44"/>
        <v>81060.02947645956</v>
      </c>
      <c r="EG10" s="723">
        <f t="shared" si="44"/>
        <v>81060.02947645956</v>
      </c>
      <c r="EH10" s="511">
        <f t="shared" si="45"/>
        <v>0</v>
      </c>
      <c r="EI10" s="511">
        <f t="shared" si="45"/>
        <v>0</v>
      </c>
      <c r="EJ10" s="511">
        <f t="shared" si="45"/>
        <v>0</v>
      </c>
      <c r="EK10" s="511">
        <f t="shared" si="45"/>
        <v>0</v>
      </c>
      <c r="EL10" s="511">
        <f t="shared" si="45"/>
        <v>0</v>
      </c>
      <c r="EM10" s="511">
        <f t="shared" si="45"/>
        <v>0</v>
      </c>
      <c r="EN10" s="539">
        <f t="shared" si="45"/>
        <v>0</v>
      </c>
      <c r="EO10" s="722">
        <f t="shared" si="46"/>
        <v>0</v>
      </c>
      <c r="EP10" s="511">
        <f t="shared" si="46"/>
        <v>0</v>
      </c>
      <c r="EQ10" s="511">
        <f t="shared" si="46"/>
        <v>0</v>
      </c>
      <c r="ER10" s="511">
        <f t="shared" si="46"/>
        <v>0</v>
      </c>
      <c r="ES10" s="511">
        <f t="shared" si="46"/>
        <v>0</v>
      </c>
      <c r="ET10" s="511">
        <f t="shared" si="46"/>
        <v>0</v>
      </c>
      <c r="EU10" s="723">
        <f t="shared" si="46"/>
        <v>0</v>
      </c>
      <c r="EV10" s="727">
        <f>SUM(AD10:AJ10)</f>
        <v>1827</v>
      </c>
      <c r="EW10" s="728">
        <f>SUM(CY10:DE10)</f>
        <v>0</v>
      </c>
      <c r="EX10" s="728">
        <f>SUM(DF10:DL10)</f>
        <v>0</v>
      </c>
      <c r="EY10" s="728">
        <f>SUM(DM10:DS10)</f>
        <v>0</v>
      </c>
      <c r="EZ10" s="728">
        <f>SUM(DT10:DZ10)</f>
        <v>372708</v>
      </c>
      <c r="FA10" s="777">
        <f>SUM(EA10:EG10)</f>
        <v>567420.20633521688</v>
      </c>
      <c r="FB10" s="777">
        <f>SUM(EH10:EN10)</f>
        <v>0</v>
      </c>
      <c r="FC10" s="778">
        <f>SUM(EO10:EU10)</f>
        <v>0</v>
      </c>
      <c r="FK10" s="135"/>
      <c r="FL10" s="135"/>
    </row>
    <row r="11" spans="1:168" s="10" customFormat="1" ht="12.75" customHeight="1">
      <c r="A11" s="740"/>
      <c r="B11" s="730"/>
      <c r="C11" s="730"/>
      <c r="D11" s="730"/>
      <c r="E11" s="730"/>
      <c r="F11" s="731"/>
      <c r="G11" s="731"/>
      <c r="H11" s="731"/>
      <c r="I11" s="731"/>
      <c r="J11" s="731"/>
      <c r="K11" s="731"/>
      <c r="L11" s="733"/>
      <c r="M11" s="734"/>
      <c r="N11" s="734"/>
      <c r="O11" s="734"/>
      <c r="P11" s="735"/>
      <c r="Q11" s="736"/>
      <c r="R11" s="758"/>
      <c r="S11" s="737"/>
      <c r="T11" s="733"/>
      <c r="U11" s="738"/>
      <c r="V11" s="739"/>
      <c r="W11" s="740"/>
      <c r="X11" s="740"/>
      <c r="Y11" s="740"/>
      <c r="Z11" s="740"/>
      <c r="AA11" s="741"/>
      <c r="AB11" s="714"/>
      <c r="AC11" s="781"/>
      <c r="AD11" s="781"/>
      <c r="AE11" s="781"/>
      <c r="AF11" s="781"/>
      <c r="AG11" s="781"/>
      <c r="AH11" s="781"/>
      <c r="AI11" s="781"/>
      <c r="AJ11" s="781"/>
      <c r="AK11" s="733"/>
      <c r="AL11" s="733"/>
      <c r="AM11" s="733"/>
      <c r="AN11" s="733"/>
      <c r="AO11" s="733"/>
      <c r="AP11" s="733"/>
      <c r="AQ11" s="733"/>
      <c r="AR11" s="733"/>
      <c r="AS11" s="743"/>
      <c r="AT11" s="743"/>
      <c r="AU11" s="743"/>
      <c r="AV11" s="733"/>
      <c r="AW11" s="733"/>
      <c r="AX11" s="733"/>
      <c r="AY11" s="733"/>
      <c r="AZ11" s="733"/>
      <c r="BA11" s="744"/>
      <c r="BB11" s="745"/>
      <c r="BC11" s="746"/>
      <c r="BD11" s="746"/>
      <c r="BE11" s="746"/>
      <c r="BF11" s="746"/>
      <c r="BG11" s="746"/>
      <c r="BH11" s="448"/>
      <c r="BI11" s="745"/>
      <c r="BJ11" s="746"/>
      <c r="BK11" s="746"/>
      <c r="BL11" s="746"/>
      <c r="BM11" s="746"/>
      <c r="BN11" s="746"/>
      <c r="BO11" s="747"/>
      <c r="BP11" s="745"/>
      <c r="BQ11" s="746"/>
      <c r="BR11" s="746"/>
      <c r="BS11" s="746"/>
      <c r="BT11" s="746"/>
      <c r="BU11" s="746"/>
      <c r="BV11" s="747"/>
      <c r="BW11" s="745"/>
      <c r="BX11" s="746"/>
      <c r="BY11" s="746"/>
      <c r="BZ11" s="746"/>
      <c r="CA11" s="746"/>
      <c r="CB11" s="746"/>
      <c r="CC11" s="747"/>
      <c r="CD11" s="750"/>
      <c r="CE11" s="487"/>
      <c r="CF11" s="487"/>
      <c r="CG11" s="487"/>
      <c r="CH11" s="487"/>
      <c r="CI11" s="487"/>
      <c r="CJ11" s="751"/>
      <c r="CK11" s="487"/>
      <c r="CL11" s="487"/>
      <c r="CM11" s="487"/>
      <c r="CN11" s="487"/>
      <c r="CO11" s="487"/>
      <c r="CP11" s="487"/>
      <c r="CQ11" s="513"/>
      <c r="CR11" s="750"/>
      <c r="CS11" s="487"/>
      <c r="CT11" s="487"/>
      <c r="CU11" s="487"/>
      <c r="CV11" s="487"/>
      <c r="CW11" s="487"/>
      <c r="CX11" s="751"/>
      <c r="CY11" s="752"/>
      <c r="CZ11" s="492"/>
      <c r="DA11" s="492"/>
      <c r="DB11" s="492"/>
      <c r="DC11" s="492"/>
      <c r="DD11" s="492"/>
      <c r="DE11" s="753"/>
      <c r="DF11" s="491"/>
      <c r="DG11" s="492"/>
      <c r="DH11" s="492"/>
      <c r="DI11" s="492"/>
      <c r="DJ11" s="492"/>
      <c r="DK11" s="492"/>
      <c r="DL11" s="754"/>
      <c r="DM11" s="752"/>
      <c r="DN11" s="492"/>
      <c r="DO11" s="492"/>
      <c r="DP11" s="492"/>
      <c r="DQ11" s="492"/>
      <c r="DR11" s="492"/>
      <c r="DS11" s="753"/>
      <c r="DT11" s="492"/>
      <c r="DU11" s="492"/>
      <c r="DV11" s="492"/>
      <c r="DW11" s="492"/>
      <c r="DX11" s="492"/>
      <c r="DY11" s="492"/>
      <c r="DZ11" s="754"/>
      <c r="EA11" s="750"/>
      <c r="EB11" s="487"/>
      <c r="EC11" s="487"/>
      <c r="ED11" s="487"/>
      <c r="EE11" s="487"/>
      <c r="EF11" s="487"/>
      <c r="EG11" s="751"/>
      <c r="EH11" s="487"/>
      <c r="EI11" s="487"/>
      <c r="EJ11" s="487"/>
      <c r="EK11" s="487"/>
      <c r="EL11" s="487"/>
      <c r="EM11" s="487"/>
      <c r="EN11" s="513"/>
      <c r="EO11" s="750"/>
      <c r="EP11" s="487"/>
      <c r="EQ11" s="487"/>
      <c r="ER11" s="487"/>
      <c r="ES11" s="487"/>
      <c r="ET11" s="487"/>
      <c r="EU11" s="751"/>
      <c r="EV11" s="515"/>
      <c r="EW11" s="755"/>
      <c r="EX11" s="755"/>
      <c r="EY11" s="755"/>
      <c r="EZ11" s="755"/>
      <c r="FA11" s="756"/>
      <c r="FB11" s="756"/>
      <c r="FC11" s="757"/>
    </row>
    <row r="12" spans="1:168" s="10" customFormat="1" ht="12.75" customHeight="1">
      <c r="A12" s="661" t="s">
        <v>172</v>
      </c>
      <c r="B12" s="703" t="s">
        <v>413</v>
      </c>
      <c r="C12" s="703" t="s">
        <v>392</v>
      </c>
      <c r="D12" s="703" t="s">
        <v>393</v>
      </c>
      <c r="E12" s="703" t="s">
        <v>394</v>
      </c>
      <c r="F12" s="704" t="s">
        <v>372</v>
      </c>
      <c r="G12" s="705">
        <v>0</v>
      </c>
      <c r="H12" s="704">
        <v>0</v>
      </c>
      <c r="I12" s="704">
        <f>G12+H12</f>
        <v>0</v>
      </c>
      <c r="J12" s="704">
        <v>0</v>
      </c>
      <c r="K12" s="704" t="s">
        <v>378</v>
      </c>
      <c r="L12" s="711" t="s">
        <v>395</v>
      </c>
      <c r="M12" s="707">
        <v>0</v>
      </c>
      <c r="N12" s="708">
        <v>0</v>
      </c>
      <c r="O12" s="707">
        <v>0</v>
      </c>
      <c r="P12" s="709">
        <f>P6</f>
        <v>1815</v>
      </c>
      <c r="Q12" s="780">
        <v>701.5</v>
      </c>
      <c r="R12" s="710">
        <f>$M$148/$L$148*Q12</f>
        <v>5.9971057796782988E-2</v>
      </c>
      <c r="S12" s="710">
        <v>53.923999999999992</v>
      </c>
      <c r="T12" s="711" t="s">
        <v>396</v>
      </c>
      <c r="U12" s="712">
        <v>0</v>
      </c>
      <c r="V12" s="713">
        <v>1</v>
      </c>
      <c r="W12" s="661">
        <v>571</v>
      </c>
      <c r="X12" s="661">
        <v>742</v>
      </c>
      <c r="Y12" s="661">
        <v>2233</v>
      </c>
      <c r="Z12" s="661">
        <v>2234</v>
      </c>
      <c r="AA12" s="714">
        <v>2204</v>
      </c>
      <c r="AB12" s="714">
        <f>AA12</f>
        <v>2204</v>
      </c>
      <c r="AC12" s="714">
        <f t="shared" ref="AC12:AJ13" si="50">AC6*0.5</f>
        <v>2295</v>
      </c>
      <c r="AD12" s="714">
        <f t="shared" si="50"/>
        <v>2295</v>
      </c>
      <c r="AE12" s="714">
        <f t="shared" si="50"/>
        <v>2295</v>
      </c>
      <c r="AF12" s="714">
        <f t="shared" si="50"/>
        <v>2295</v>
      </c>
      <c r="AG12" s="714">
        <f t="shared" si="50"/>
        <v>2295</v>
      </c>
      <c r="AH12" s="714">
        <f t="shared" si="50"/>
        <v>2295</v>
      </c>
      <c r="AI12" s="714">
        <f t="shared" si="50"/>
        <v>2295</v>
      </c>
      <c r="AJ12" s="714">
        <f t="shared" si="50"/>
        <v>2295</v>
      </c>
      <c r="AK12" s="711" t="s">
        <v>374</v>
      </c>
      <c r="AL12" s="711" t="s">
        <v>375</v>
      </c>
      <c r="AM12" s="711" t="s">
        <v>376</v>
      </c>
      <c r="AN12" s="711" t="s">
        <v>377</v>
      </c>
      <c r="AO12" s="711" t="s">
        <v>1</v>
      </c>
      <c r="AP12" s="711" t="s">
        <v>378</v>
      </c>
      <c r="AQ12" s="711" t="s">
        <v>378</v>
      </c>
      <c r="AR12" s="711" t="s">
        <v>378</v>
      </c>
      <c r="AS12" s="715" t="s">
        <v>379</v>
      </c>
      <c r="AT12" s="715" t="s">
        <v>380</v>
      </c>
      <c r="AU12" s="715" t="s">
        <v>381</v>
      </c>
      <c r="AV12" s="661">
        <v>20</v>
      </c>
      <c r="AW12" s="661">
        <f>AV12</f>
        <v>20</v>
      </c>
      <c r="AX12" s="711" t="s">
        <v>397</v>
      </c>
      <c r="AY12" s="716">
        <v>1</v>
      </c>
      <c r="AZ12" s="716">
        <v>1</v>
      </c>
      <c r="BA12" s="717">
        <v>1</v>
      </c>
      <c r="BB12" s="774">
        <f>I12</f>
        <v>0</v>
      </c>
      <c r="BC12" s="499">
        <f t="shared" ref="BC12:BD13" si="51">BB12</f>
        <v>0</v>
      </c>
      <c r="BD12" s="499">
        <f t="shared" si="51"/>
        <v>0</v>
      </c>
      <c r="BE12" s="499">
        <f>BB12</f>
        <v>0</v>
      </c>
      <c r="BF12" s="499">
        <f t="shared" ref="BF12:BH13" si="52">BC12</f>
        <v>0</v>
      </c>
      <c r="BG12" s="499">
        <f t="shared" si="52"/>
        <v>0</v>
      </c>
      <c r="BH12" s="447">
        <f t="shared" si="52"/>
        <v>0</v>
      </c>
      <c r="BI12" s="774">
        <f>J12</f>
        <v>0</v>
      </c>
      <c r="BJ12" s="499">
        <f t="shared" ref="BJ12:BO13" si="53">BI12</f>
        <v>0</v>
      </c>
      <c r="BK12" s="499">
        <f t="shared" si="53"/>
        <v>0</v>
      </c>
      <c r="BL12" s="499">
        <f t="shared" si="53"/>
        <v>0</v>
      </c>
      <c r="BM12" s="499">
        <f t="shared" si="53"/>
        <v>0</v>
      </c>
      <c r="BN12" s="499">
        <f t="shared" si="53"/>
        <v>0</v>
      </c>
      <c r="BO12" s="719">
        <f t="shared" si="53"/>
        <v>0</v>
      </c>
      <c r="BP12" s="721">
        <f>N12+O12</f>
        <v>0</v>
      </c>
      <c r="BQ12" s="499">
        <f t="shared" ref="BQ12:BV13" si="54">BP12</f>
        <v>0</v>
      </c>
      <c r="BR12" s="499">
        <f t="shared" si="54"/>
        <v>0</v>
      </c>
      <c r="BS12" s="499">
        <f t="shared" si="54"/>
        <v>0</v>
      </c>
      <c r="BT12" s="499">
        <f t="shared" si="54"/>
        <v>0</v>
      </c>
      <c r="BU12" s="499">
        <f t="shared" si="54"/>
        <v>0</v>
      </c>
      <c r="BV12" s="719">
        <f t="shared" si="54"/>
        <v>0</v>
      </c>
      <c r="BW12" s="774">
        <f t="shared" si="11"/>
        <v>1815</v>
      </c>
      <c r="BX12" s="503">
        <f t="shared" si="11"/>
        <v>1815</v>
      </c>
      <c r="BY12" s="503">
        <f t="shared" si="11"/>
        <v>1815</v>
      </c>
      <c r="BZ12" s="503">
        <f t="shared" si="11"/>
        <v>1815</v>
      </c>
      <c r="CA12" s="503">
        <f t="shared" si="11"/>
        <v>1815</v>
      </c>
      <c r="CB12" s="503">
        <f t="shared" si="11"/>
        <v>1815</v>
      </c>
      <c r="CC12" s="776">
        <f t="shared" si="11"/>
        <v>1815</v>
      </c>
      <c r="CD12" s="722">
        <f>Q12*AZ12</f>
        <v>701.5</v>
      </c>
      <c r="CE12" s="511">
        <f t="shared" ref="CE12:CF13" si="55">CD12</f>
        <v>701.5</v>
      </c>
      <c r="CF12" s="511">
        <f t="shared" si="55"/>
        <v>701.5</v>
      </c>
      <c r="CG12" s="511">
        <f>CF12</f>
        <v>701.5</v>
      </c>
      <c r="CH12" s="511">
        <f t="shared" ref="CH12:CJ13" si="56">CG12</f>
        <v>701.5</v>
      </c>
      <c r="CI12" s="511">
        <f t="shared" si="56"/>
        <v>701.5</v>
      </c>
      <c r="CJ12" s="723">
        <f t="shared" si="56"/>
        <v>701.5</v>
      </c>
      <c r="CK12" s="511">
        <f>R12*AZ12</f>
        <v>5.9971057796782988E-2</v>
      </c>
      <c r="CL12" s="511">
        <f t="shared" ref="CL12:CM13" si="57">CK12</f>
        <v>5.9971057796782988E-2</v>
      </c>
      <c r="CM12" s="511">
        <f t="shared" si="57"/>
        <v>5.9971057796782988E-2</v>
      </c>
      <c r="CN12" s="511">
        <f>CM12</f>
        <v>5.9971057796782988E-2</v>
      </c>
      <c r="CO12" s="511">
        <f t="shared" ref="CO12:CQ13" si="58">CN12</f>
        <v>5.9971057796782988E-2</v>
      </c>
      <c r="CP12" s="511">
        <f t="shared" si="58"/>
        <v>5.9971057796782988E-2</v>
      </c>
      <c r="CQ12" s="539">
        <f t="shared" si="58"/>
        <v>5.9971057796782988E-2</v>
      </c>
      <c r="CR12" s="722">
        <f>S12*BA12</f>
        <v>53.923999999999992</v>
      </c>
      <c r="CS12" s="511">
        <f t="shared" ref="CS12:CT13" si="59">CR12</f>
        <v>53.923999999999992</v>
      </c>
      <c r="CT12" s="511">
        <f t="shared" si="59"/>
        <v>53.923999999999992</v>
      </c>
      <c r="CU12" s="511">
        <f>CT12</f>
        <v>53.923999999999992</v>
      </c>
      <c r="CV12" s="511">
        <f t="shared" ref="CV12:CX13" si="60">CU12</f>
        <v>53.923999999999992</v>
      </c>
      <c r="CW12" s="511">
        <f t="shared" si="60"/>
        <v>53.923999999999992</v>
      </c>
      <c r="CX12" s="723">
        <f t="shared" si="60"/>
        <v>53.923999999999992</v>
      </c>
      <c r="CY12" s="724">
        <f t="shared" ref="CY12:DE13" si="61">AD12*BB12</f>
        <v>0</v>
      </c>
      <c r="CZ12" s="508">
        <f t="shared" si="61"/>
        <v>0</v>
      </c>
      <c r="DA12" s="508">
        <f t="shared" si="61"/>
        <v>0</v>
      </c>
      <c r="DB12" s="508">
        <f t="shared" si="61"/>
        <v>0</v>
      </c>
      <c r="DC12" s="508">
        <f t="shared" si="61"/>
        <v>0</v>
      </c>
      <c r="DD12" s="508">
        <f t="shared" si="61"/>
        <v>0</v>
      </c>
      <c r="DE12" s="725">
        <f t="shared" si="61"/>
        <v>0</v>
      </c>
      <c r="DF12" s="509">
        <f t="shared" ref="DF12:DL13" si="62">AD12*BI12</f>
        <v>0</v>
      </c>
      <c r="DG12" s="508">
        <f t="shared" si="62"/>
        <v>0</v>
      </c>
      <c r="DH12" s="508">
        <f t="shared" si="62"/>
        <v>0</v>
      </c>
      <c r="DI12" s="508">
        <f t="shared" si="62"/>
        <v>0</v>
      </c>
      <c r="DJ12" s="508">
        <f t="shared" si="62"/>
        <v>0</v>
      </c>
      <c r="DK12" s="508">
        <f t="shared" si="62"/>
        <v>0</v>
      </c>
      <c r="DL12" s="726">
        <f t="shared" si="62"/>
        <v>0</v>
      </c>
      <c r="DM12" s="724">
        <f t="shared" ref="DM12:DS13" si="63">AD12*BP12</f>
        <v>0</v>
      </c>
      <c r="DN12" s="508">
        <f t="shared" si="63"/>
        <v>0</v>
      </c>
      <c r="DO12" s="508">
        <f t="shared" si="63"/>
        <v>0</v>
      </c>
      <c r="DP12" s="508">
        <f t="shared" si="63"/>
        <v>0</v>
      </c>
      <c r="DQ12" s="508">
        <f t="shared" si="63"/>
        <v>0</v>
      </c>
      <c r="DR12" s="508">
        <f t="shared" si="63"/>
        <v>0</v>
      </c>
      <c r="DS12" s="725">
        <f t="shared" si="63"/>
        <v>0</v>
      </c>
      <c r="DT12" s="508">
        <f t="shared" ref="DT12:DZ13" si="64">BW12*AD12</f>
        <v>4165425</v>
      </c>
      <c r="DU12" s="508">
        <f t="shared" si="64"/>
        <v>4165425</v>
      </c>
      <c r="DV12" s="508">
        <f t="shared" si="64"/>
        <v>4165425</v>
      </c>
      <c r="DW12" s="508">
        <f t="shared" si="64"/>
        <v>4165425</v>
      </c>
      <c r="DX12" s="508">
        <f t="shared" si="64"/>
        <v>4165425</v>
      </c>
      <c r="DY12" s="508">
        <f t="shared" si="64"/>
        <v>4165425</v>
      </c>
      <c r="DZ12" s="726">
        <f t="shared" si="64"/>
        <v>4165425</v>
      </c>
      <c r="EA12" s="722">
        <f t="shared" ref="EA12:EG13" si="65">AD12*CD12</f>
        <v>1609942.5</v>
      </c>
      <c r="EB12" s="511">
        <f t="shared" si="65"/>
        <v>1609942.5</v>
      </c>
      <c r="EC12" s="511">
        <f t="shared" si="65"/>
        <v>1609942.5</v>
      </c>
      <c r="ED12" s="511">
        <f t="shared" si="65"/>
        <v>1609942.5</v>
      </c>
      <c r="EE12" s="511">
        <f t="shared" si="65"/>
        <v>1609942.5</v>
      </c>
      <c r="EF12" s="511">
        <f t="shared" si="65"/>
        <v>1609942.5</v>
      </c>
      <c r="EG12" s="723">
        <f t="shared" si="65"/>
        <v>1609942.5</v>
      </c>
      <c r="EH12" s="511">
        <f t="shared" ref="EH12:EN13" si="66">AD12*CK12</f>
        <v>137.63357764361695</v>
      </c>
      <c r="EI12" s="511">
        <f t="shared" si="66"/>
        <v>137.63357764361695</v>
      </c>
      <c r="EJ12" s="511">
        <f t="shared" si="66"/>
        <v>137.63357764361695</v>
      </c>
      <c r="EK12" s="511">
        <f t="shared" si="66"/>
        <v>137.63357764361695</v>
      </c>
      <c r="EL12" s="511">
        <f t="shared" si="66"/>
        <v>137.63357764361695</v>
      </c>
      <c r="EM12" s="511">
        <f t="shared" si="66"/>
        <v>137.63357764361695</v>
      </c>
      <c r="EN12" s="539">
        <f t="shared" si="66"/>
        <v>137.63357764361695</v>
      </c>
      <c r="EO12" s="722">
        <f t="shared" ref="EO12:EU13" si="67">AD12*CR12</f>
        <v>123755.57999999999</v>
      </c>
      <c r="EP12" s="511">
        <f t="shared" si="67"/>
        <v>123755.57999999999</v>
      </c>
      <c r="EQ12" s="511">
        <f t="shared" si="67"/>
        <v>123755.57999999999</v>
      </c>
      <c r="ER12" s="511">
        <f t="shared" si="67"/>
        <v>123755.57999999999</v>
      </c>
      <c r="ES12" s="511">
        <f t="shared" si="67"/>
        <v>123755.57999999999</v>
      </c>
      <c r="ET12" s="511">
        <f t="shared" si="67"/>
        <v>123755.57999999999</v>
      </c>
      <c r="EU12" s="723">
        <f t="shared" si="67"/>
        <v>123755.57999999999</v>
      </c>
      <c r="EV12" s="727">
        <f>SUM(AD12:AJ12)</f>
        <v>16065</v>
      </c>
      <c r="EW12" s="728">
        <f>SUM(CY12:DE12)</f>
        <v>0</v>
      </c>
      <c r="EX12" s="728">
        <f>SUM(DF12:DL12)</f>
        <v>0</v>
      </c>
      <c r="EY12" s="728">
        <f>SUM(DM12:DS12)</f>
        <v>0</v>
      </c>
      <c r="EZ12" s="728">
        <f>SUM(DT12:DZ12)</f>
        <v>29157975</v>
      </c>
      <c r="FA12" s="777">
        <f>SUM(EA12:EG12)</f>
        <v>11269597.5</v>
      </c>
      <c r="FB12" s="777">
        <f>SUM(EH12:EN12)</f>
        <v>963.43504350531862</v>
      </c>
      <c r="FC12" s="778">
        <f>SUM(EO12:EU12)</f>
        <v>866289.05999999982</v>
      </c>
    </row>
    <row r="13" spans="1:168" s="10" customFormat="1" ht="12.75" customHeight="1">
      <c r="A13" s="661" t="s">
        <v>174</v>
      </c>
      <c r="B13" s="703" t="s">
        <v>414</v>
      </c>
      <c r="C13" s="703" t="s">
        <v>399</v>
      </c>
      <c r="D13" s="715" t="s">
        <v>400</v>
      </c>
      <c r="E13" s="703" t="s">
        <v>401</v>
      </c>
      <c r="F13" s="704" t="s">
        <v>402</v>
      </c>
      <c r="G13" s="705">
        <v>0</v>
      </c>
      <c r="H13" s="704">
        <v>0</v>
      </c>
      <c r="I13" s="704">
        <f>G13+H13</f>
        <v>0</v>
      </c>
      <c r="J13" s="704">
        <v>0</v>
      </c>
      <c r="K13" s="706">
        <f t="shared" ref="K13" si="68">I13*0.5</f>
        <v>0</v>
      </c>
      <c r="L13" s="703" t="s">
        <v>411</v>
      </c>
      <c r="M13" s="707">
        <v>0</v>
      </c>
      <c r="N13" s="708">
        <v>0</v>
      </c>
      <c r="O13" s="707">
        <v>0</v>
      </c>
      <c r="P13" s="709">
        <f>P10</f>
        <v>204</v>
      </c>
      <c r="Q13" s="780">
        <f>C121</f>
        <v>310.57482558030483</v>
      </c>
      <c r="R13" s="710">
        <v>0</v>
      </c>
      <c r="S13" s="710">
        <f>C122</f>
        <v>27.475200000000001</v>
      </c>
      <c r="T13" s="711" t="s">
        <v>412</v>
      </c>
      <c r="U13" s="712">
        <f>U12</f>
        <v>0</v>
      </c>
      <c r="V13" s="713">
        <v>1</v>
      </c>
      <c r="W13" s="661">
        <v>0</v>
      </c>
      <c r="X13" s="661">
        <v>0</v>
      </c>
      <c r="Y13" s="661">
        <v>0</v>
      </c>
      <c r="Z13" s="661">
        <v>0</v>
      </c>
      <c r="AA13" s="661">
        <f>AA7*0.5</f>
        <v>182</v>
      </c>
      <c r="AB13" s="661">
        <f t="shared" ref="AB13:AI13" si="69">AB7*0.5</f>
        <v>182</v>
      </c>
      <c r="AC13" s="661">
        <f t="shared" si="69"/>
        <v>261</v>
      </c>
      <c r="AD13" s="661">
        <f t="shared" si="69"/>
        <v>261</v>
      </c>
      <c r="AE13" s="661">
        <f t="shared" si="69"/>
        <v>261</v>
      </c>
      <c r="AF13" s="661">
        <f t="shared" si="69"/>
        <v>261</v>
      </c>
      <c r="AG13" s="661">
        <f t="shared" si="69"/>
        <v>261</v>
      </c>
      <c r="AH13" s="661">
        <f t="shared" si="69"/>
        <v>261</v>
      </c>
      <c r="AI13" s="661">
        <f t="shared" si="69"/>
        <v>261</v>
      </c>
      <c r="AJ13" s="661">
        <f t="shared" si="50"/>
        <v>261</v>
      </c>
      <c r="AK13" s="711" t="s">
        <v>374</v>
      </c>
      <c r="AL13" s="711" t="s">
        <v>375</v>
      </c>
      <c r="AM13" s="711" t="s">
        <v>376</v>
      </c>
      <c r="AN13" s="711" t="s">
        <v>405</v>
      </c>
      <c r="AO13" s="711" t="s">
        <v>1</v>
      </c>
      <c r="AP13" s="711" t="s">
        <v>378</v>
      </c>
      <c r="AQ13" s="711" t="s">
        <v>378</v>
      </c>
      <c r="AR13" s="711" t="s">
        <v>378</v>
      </c>
      <c r="AS13" s="715" t="s">
        <v>406</v>
      </c>
      <c r="AT13" s="715" t="s">
        <v>407</v>
      </c>
      <c r="AU13" s="715" t="s">
        <v>381</v>
      </c>
      <c r="AV13" s="711">
        <v>7.5</v>
      </c>
      <c r="AW13" s="711">
        <v>7.5</v>
      </c>
      <c r="AX13" s="711" t="s">
        <v>408</v>
      </c>
      <c r="AY13" s="716">
        <v>1</v>
      </c>
      <c r="AZ13" s="716">
        <v>1</v>
      </c>
      <c r="BA13" s="717">
        <v>1</v>
      </c>
      <c r="BB13" s="774">
        <f>I13</f>
        <v>0</v>
      </c>
      <c r="BC13" s="499">
        <f t="shared" si="51"/>
        <v>0</v>
      </c>
      <c r="BD13" s="499">
        <f t="shared" si="51"/>
        <v>0</v>
      </c>
      <c r="BE13" s="499">
        <f t="shared" ref="BE13" si="70">BB13</f>
        <v>0</v>
      </c>
      <c r="BF13" s="499">
        <f t="shared" si="52"/>
        <v>0</v>
      </c>
      <c r="BG13" s="499">
        <f t="shared" si="52"/>
        <v>0</v>
      </c>
      <c r="BH13" s="447">
        <f t="shared" si="52"/>
        <v>0</v>
      </c>
      <c r="BI13" s="774">
        <f>J13</f>
        <v>0</v>
      </c>
      <c r="BJ13" s="499">
        <f t="shared" si="53"/>
        <v>0</v>
      </c>
      <c r="BK13" s="499">
        <f t="shared" si="53"/>
        <v>0</v>
      </c>
      <c r="BL13" s="499">
        <f t="shared" si="53"/>
        <v>0</v>
      </c>
      <c r="BM13" s="499">
        <f t="shared" si="53"/>
        <v>0</v>
      </c>
      <c r="BN13" s="499">
        <f t="shared" si="53"/>
        <v>0</v>
      </c>
      <c r="BO13" s="719">
        <f t="shared" si="53"/>
        <v>0</v>
      </c>
      <c r="BP13" s="721">
        <f>N13+O13</f>
        <v>0</v>
      </c>
      <c r="BQ13" s="499">
        <f t="shared" si="54"/>
        <v>0</v>
      </c>
      <c r="BR13" s="499">
        <f t="shared" si="54"/>
        <v>0</v>
      </c>
      <c r="BS13" s="499">
        <f t="shared" si="54"/>
        <v>0</v>
      </c>
      <c r="BT13" s="499">
        <f t="shared" si="54"/>
        <v>0</v>
      </c>
      <c r="BU13" s="499">
        <f t="shared" si="54"/>
        <v>0</v>
      </c>
      <c r="BV13" s="719">
        <f t="shared" si="54"/>
        <v>0</v>
      </c>
      <c r="BW13" s="774">
        <f t="shared" si="11"/>
        <v>204</v>
      </c>
      <c r="BX13" s="503">
        <f t="shared" si="11"/>
        <v>204</v>
      </c>
      <c r="BY13" s="503">
        <f t="shared" si="11"/>
        <v>204</v>
      </c>
      <c r="BZ13" s="503">
        <f t="shared" si="11"/>
        <v>204</v>
      </c>
      <c r="CA13" s="503">
        <f t="shared" si="11"/>
        <v>204</v>
      </c>
      <c r="CB13" s="503">
        <f t="shared" si="11"/>
        <v>204</v>
      </c>
      <c r="CC13" s="776">
        <f t="shared" si="11"/>
        <v>204</v>
      </c>
      <c r="CD13" s="722">
        <f>Q13*AZ13</f>
        <v>310.57482558030483</v>
      </c>
      <c r="CE13" s="511">
        <f t="shared" si="55"/>
        <v>310.57482558030483</v>
      </c>
      <c r="CF13" s="511">
        <f t="shared" si="55"/>
        <v>310.57482558030483</v>
      </c>
      <c r="CG13" s="511">
        <f>CF13</f>
        <v>310.57482558030483</v>
      </c>
      <c r="CH13" s="511">
        <f t="shared" si="56"/>
        <v>310.57482558030483</v>
      </c>
      <c r="CI13" s="511">
        <f t="shared" si="56"/>
        <v>310.57482558030483</v>
      </c>
      <c r="CJ13" s="723">
        <f t="shared" si="56"/>
        <v>310.57482558030483</v>
      </c>
      <c r="CK13" s="511">
        <f>R13*AZ13</f>
        <v>0</v>
      </c>
      <c r="CL13" s="511">
        <f t="shared" si="57"/>
        <v>0</v>
      </c>
      <c r="CM13" s="511">
        <f t="shared" si="57"/>
        <v>0</v>
      </c>
      <c r="CN13" s="511">
        <f>CM13</f>
        <v>0</v>
      </c>
      <c r="CO13" s="511">
        <f t="shared" si="58"/>
        <v>0</v>
      </c>
      <c r="CP13" s="511">
        <f t="shared" si="58"/>
        <v>0</v>
      </c>
      <c r="CQ13" s="539">
        <f t="shared" si="58"/>
        <v>0</v>
      </c>
      <c r="CR13" s="722">
        <f>S13*BA13</f>
        <v>27.475200000000001</v>
      </c>
      <c r="CS13" s="511">
        <f t="shared" si="59"/>
        <v>27.475200000000001</v>
      </c>
      <c r="CT13" s="511">
        <f t="shared" si="59"/>
        <v>27.475200000000001</v>
      </c>
      <c r="CU13" s="511">
        <f>CT13</f>
        <v>27.475200000000001</v>
      </c>
      <c r="CV13" s="511">
        <f t="shared" si="60"/>
        <v>27.475200000000001</v>
      </c>
      <c r="CW13" s="511">
        <f t="shared" si="60"/>
        <v>27.475200000000001</v>
      </c>
      <c r="CX13" s="723">
        <f t="shared" si="60"/>
        <v>27.475200000000001</v>
      </c>
      <c r="CY13" s="724">
        <f t="shared" si="61"/>
        <v>0</v>
      </c>
      <c r="CZ13" s="508">
        <f t="shared" si="61"/>
        <v>0</v>
      </c>
      <c r="DA13" s="508">
        <f t="shared" si="61"/>
        <v>0</v>
      </c>
      <c r="DB13" s="508">
        <f t="shared" si="61"/>
        <v>0</v>
      </c>
      <c r="DC13" s="508">
        <f t="shared" si="61"/>
        <v>0</v>
      </c>
      <c r="DD13" s="508">
        <f t="shared" si="61"/>
        <v>0</v>
      </c>
      <c r="DE13" s="725">
        <f t="shared" si="61"/>
        <v>0</v>
      </c>
      <c r="DF13" s="509">
        <f t="shared" si="62"/>
        <v>0</v>
      </c>
      <c r="DG13" s="508">
        <f t="shared" si="62"/>
        <v>0</v>
      </c>
      <c r="DH13" s="508">
        <f t="shared" si="62"/>
        <v>0</v>
      </c>
      <c r="DI13" s="508">
        <f t="shared" si="62"/>
        <v>0</v>
      </c>
      <c r="DJ13" s="508">
        <f t="shared" si="62"/>
        <v>0</v>
      </c>
      <c r="DK13" s="508">
        <f t="shared" si="62"/>
        <v>0</v>
      </c>
      <c r="DL13" s="726">
        <f t="shared" si="62"/>
        <v>0</v>
      </c>
      <c r="DM13" s="724">
        <f t="shared" si="63"/>
        <v>0</v>
      </c>
      <c r="DN13" s="508">
        <f t="shared" si="63"/>
        <v>0</v>
      </c>
      <c r="DO13" s="508">
        <f t="shared" si="63"/>
        <v>0</v>
      </c>
      <c r="DP13" s="508">
        <f t="shared" si="63"/>
        <v>0</v>
      </c>
      <c r="DQ13" s="508">
        <f t="shared" si="63"/>
        <v>0</v>
      </c>
      <c r="DR13" s="508">
        <f t="shared" si="63"/>
        <v>0</v>
      </c>
      <c r="DS13" s="725">
        <f t="shared" si="63"/>
        <v>0</v>
      </c>
      <c r="DT13" s="508">
        <f t="shared" si="64"/>
        <v>53244</v>
      </c>
      <c r="DU13" s="508">
        <f t="shared" si="64"/>
        <v>53244</v>
      </c>
      <c r="DV13" s="508">
        <f t="shared" si="64"/>
        <v>53244</v>
      </c>
      <c r="DW13" s="508">
        <f t="shared" si="64"/>
        <v>53244</v>
      </c>
      <c r="DX13" s="508">
        <f t="shared" si="64"/>
        <v>53244</v>
      </c>
      <c r="DY13" s="508">
        <f t="shared" si="64"/>
        <v>53244</v>
      </c>
      <c r="DZ13" s="726">
        <f t="shared" si="64"/>
        <v>53244</v>
      </c>
      <c r="EA13" s="722">
        <f t="shared" si="65"/>
        <v>81060.02947645956</v>
      </c>
      <c r="EB13" s="511">
        <f t="shared" si="65"/>
        <v>81060.02947645956</v>
      </c>
      <c r="EC13" s="511">
        <f t="shared" si="65"/>
        <v>81060.02947645956</v>
      </c>
      <c r="ED13" s="511">
        <f t="shared" si="65"/>
        <v>81060.02947645956</v>
      </c>
      <c r="EE13" s="511">
        <f t="shared" si="65"/>
        <v>81060.02947645956</v>
      </c>
      <c r="EF13" s="511">
        <f t="shared" si="65"/>
        <v>81060.02947645956</v>
      </c>
      <c r="EG13" s="723">
        <f t="shared" si="65"/>
        <v>81060.02947645956</v>
      </c>
      <c r="EH13" s="511">
        <f t="shared" si="66"/>
        <v>0</v>
      </c>
      <c r="EI13" s="511">
        <f t="shared" si="66"/>
        <v>0</v>
      </c>
      <c r="EJ13" s="511">
        <f t="shared" si="66"/>
        <v>0</v>
      </c>
      <c r="EK13" s="511">
        <f t="shared" si="66"/>
        <v>0</v>
      </c>
      <c r="EL13" s="511">
        <f t="shared" si="66"/>
        <v>0</v>
      </c>
      <c r="EM13" s="511">
        <f t="shared" si="66"/>
        <v>0</v>
      </c>
      <c r="EN13" s="539">
        <f t="shared" si="66"/>
        <v>0</v>
      </c>
      <c r="EO13" s="722">
        <f t="shared" si="67"/>
        <v>7171.0272000000004</v>
      </c>
      <c r="EP13" s="511">
        <f t="shared" si="67"/>
        <v>7171.0272000000004</v>
      </c>
      <c r="EQ13" s="511">
        <f t="shared" si="67"/>
        <v>7171.0272000000004</v>
      </c>
      <c r="ER13" s="511">
        <f t="shared" si="67"/>
        <v>7171.0272000000004</v>
      </c>
      <c r="ES13" s="511">
        <f t="shared" si="67"/>
        <v>7171.0272000000004</v>
      </c>
      <c r="ET13" s="511">
        <f t="shared" si="67"/>
        <v>7171.0272000000004</v>
      </c>
      <c r="EU13" s="723">
        <f t="shared" si="67"/>
        <v>7171.0272000000004</v>
      </c>
      <c r="EV13" s="727">
        <f>SUM(AD13:AJ13)</f>
        <v>1827</v>
      </c>
      <c r="EW13" s="728">
        <f>SUM(CY13:DE13)</f>
        <v>0</v>
      </c>
      <c r="EX13" s="728">
        <f>SUM(DF13:DL13)</f>
        <v>0</v>
      </c>
      <c r="EY13" s="728">
        <f>SUM(DM13:DS13)</f>
        <v>0</v>
      </c>
      <c r="EZ13" s="728">
        <f>SUM(DT13:DZ13)</f>
        <v>372708</v>
      </c>
      <c r="FA13" s="777">
        <f>SUM(EA13:EG13)</f>
        <v>567420.20633521688</v>
      </c>
      <c r="FB13" s="777">
        <f>SUM(EH13:EN13)</f>
        <v>0</v>
      </c>
      <c r="FC13" s="778">
        <f>SUM(EO13:EU13)</f>
        <v>50197.190399999992</v>
      </c>
      <c r="FI13" s="274"/>
    </row>
    <row r="14" spans="1:168" s="10" customFormat="1" ht="12.75" customHeight="1" thickBot="1">
      <c r="A14" s="729"/>
      <c r="B14" s="759"/>
      <c r="C14" s="759"/>
      <c r="D14" s="759"/>
      <c r="E14" s="759"/>
      <c r="F14" s="731"/>
      <c r="G14" s="731"/>
      <c r="H14" s="731"/>
      <c r="I14" s="731"/>
      <c r="J14" s="731"/>
      <c r="K14" s="731"/>
      <c r="L14" s="733"/>
      <c r="M14" s="734"/>
      <c r="N14" s="734"/>
      <c r="O14" s="734"/>
      <c r="P14" s="734"/>
      <c r="Q14" s="736"/>
      <c r="R14" s="758"/>
      <c r="S14" s="737"/>
      <c r="T14" s="733"/>
      <c r="U14" s="738"/>
      <c r="V14" s="739"/>
      <c r="W14" s="740"/>
      <c r="X14" s="740"/>
      <c r="Y14" s="740"/>
      <c r="Z14" s="740"/>
      <c r="AA14" s="741"/>
      <c r="AB14" s="741"/>
      <c r="AC14" s="742"/>
      <c r="AD14" s="742"/>
      <c r="AE14" s="742"/>
      <c r="AF14" s="742"/>
      <c r="AG14" s="742"/>
      <c r="AH14" s="742"/>
      <c r="AI14" s="742"/>
      <c r="AJ14" s="742"/>
      <c r="AK14" s="733"/>
      <c r="AL14" s="733"/>
      <c r="AM14" s="733"/>
      <c r="AN14" s="733"/>
      <c r="AO14" s="733"/>
      <c r="AP14" s="733"/>
      <c r="AQ14" s="733"/>
      <c r="AR14" s="733"/>
      <c r="AS14" s="760"/>
      <c r="AT14" s="760"/>
      <c r="AU14" s="760"/>
      <c r="AV14" s="733"/>
      <c r="AW14" s="733"/>
      <c r="AX14" s="733"/>
      <c r="AY14" s="733"/>
      <c r="AZ14" s="733"/>
      <c r="BA14" s="744"/>
      <c r="BB14" s="1301"/>
      <c r="BC14" s="762"/>
      <c r="BD14" s="762"/>
      <c r="BE14" s="762"/>
      <c r="BF14" s="762"/>
      <c r="BG14" s="762"/>
      <c r="BH14" s="782"/>
      <c r="BI14" s="1301"/>
      <c r="BJ14" s="762"/>
      <c r="BK14" s="762"/>
      <c r="BL14" s="762"/>
      <c r="BM14" s="762"/>
      <c r="BN14" s="762"/>
      <c r="BO14" s="1302"/>
      <c r="BP14" s="1301"/>
      <c r="BQ14" s="762"/>
      <c r="BR14" s="762"/>
      <c r="BS14" s="762"/>
      <c r="BT14" s="762"/>
      <c r="BU14" s="762"/>
      <c r="BV14" s="1302"/>
      <c r="BW14" s="1301"/>
      <c r="BX14" s="762"/>
      <c r="BY14" s="762"/>
      <c r="BZ14" s="762"/>
      <c r="CA14" s="762"/>
      <c r="CB14" s="762"/>
      <c r="CC14" s="1302"/>
      <c r="CD14" s="1303"/>
      <c r="CE14" s="766"/>
      <c r="CF14" s="766"/>
      <c r="CG14" s="766"/>
      <c r="CH14" s="766"/>
      <c r="CI14" s="766"/>
      <c r="CJ14" s="1304"/>
      <c r="CK14" s="766"/>
      <c r="CL14" s="766"/>
      <c r="CM14" s="766"/>
      <c r="CN14" s="766"/>
      <c r="CO14" s="766"/>
      <c r="CP14" s="766"/>
      <c r="CQ14" s="768"/>
      <c r="CR14" s="1303"/>
      <c r="CS14" s="766"/>
      <c r="CT14" s="766"/>
      <c r="CU14" s="766"/>
      <c r="CV14" s="766"/>
      <c r="CW14" s="766"/>
      <c r="CX14" s="1304"/>
      <c r="CY14" s="1305"/>
      <c r="CZ14" s="769"/>
      <c r="DA14" s="769"/>
      <c r="DB14" s="769"/>
      <c r="DC14" s="769"/>
      <c r="DD14" s="769"/>
      <c r="DE14" s="1306"/>
      <c r="DF14" s="770"/>
      <c r="DG14" s="769"/>
      <c r="DH14" s="769"/>
      <c r="DI14" s="769"/>
      <c r="DJ14" s="769"/>
      <c r="DK14" s="769"/>
      <c r="DL14" s="771"/>
      <c r="DM14" s="1305"/>
      <c r="DN14" s="769"/>
      <c r="DO14" s="769"/>
      <c r="DP14" s="769"/>
      <c r="DQ14" s="769"/>
      <c r="DR14" s="769"/>
      <c r="DS14" s="1306"/>
      <c r="DT14" s="769"/>
      <c r="DU14" s="769"/>
      <c r="DV14" s="769"/>
      <c r="DW14" s="769"/>
      <c r="DX14" s="769"/>
      <c r="DY14" s="769"/>
      <c r="DZ14" s="771"/>
      <c r="EA14" s="1303"/>
      <c r="EB14" s="766"/>
      <c r="EC14" s="766"/>
      <c r="ED14" s="766"/>
      <c r="EE14" s="766"/>
      <c r="EF14" s="766"/>
      <c r="EG14" s="1304"/>
      <c r="EH14" s="766"/>
      <c r="EI14" s="766"/>
      <c r="EJ14" s="766"/>
      <c r="EK14" s="766"/>
      <c r="EL14" s="766"/>
      <c r="EM14" s="766"/>
      <c r="EN14" s="768"/>
      <c r="EO14" s="1303"/>
      <c r="EP14" s="766"/>
      <c r="EQ14" s="766"/>
      <c r="ER14" s="766"/>
      <c r="ES14" s="766"/>
      <c r="ET14" s="766"/>
      <c r="EU14" s="1304"/>
      <c r="EV14" s="515"/>
      <c r="EW14" s="755"/>
      <c r="EX14" s="755"/>
      <c r="EY14" s="755"/>
      <c r="EZ14" s="755"/>
      <c r="FA14" s="756"/>
      <c r="FB14" s="756"/>
      <c r="FC14" s="487"/>
    </row>
    <row r="15" spans="1:168">
      <c r="Q15" s="2" t="s">
        <v>415</v>
      </c>
      <c r="Z15" s="2"/>
      <c r="AA15" s="2"/>
      <c r="AC15" s="2" t="s">
        <v>416</v>
      </c>
    </row>
    <row r="16" spans="1:168">
      <c r="A16" s="281"/>
      <c r="B16" s="281"/>
      <c r="S16" s="85"/>
      <c r="T16" s="82"/>
      <c r="Z16" s="2"/>
      <c r="AA16" s="2"/>
      <c r="AC16" s="2"/>
    </row>
    <row r="17" spans="1:36">
      <c r="A17" s="281"/>
      <c r="B17" s="281"/>
      <c r="N17" s="2" t="s">
        <v>417</v>
      </c>
      <c r="Z17" s="2"/>
      <c r="AA17" s="2"/>
      <c r="AC17" s="2"/>
    </row>
    <row r="18" spans="1:36">
      <c r="A18" s="281"/>
      <c r="B18" s="281"/>
      <c r="Z18" s="2"/>
      <c r="AA18" s="2"/>
      <c r="AC18" s="2"/>
    </row>
    <row r="19" spans="1:36">
      <c r="A19" s="281"/>
      <c r="B19" s="281"/>
      <c r="N19" s="2">
        <v>1.0369999999999999</v>
      </c>
      <c r="Z19" s="2"/>
      <c r="AA19" s="2"/>
      <c r="AC19" s="2"/>
    </row>
    <row r="20" spans="1:36">
      <c r="A20" s="281"/>
      <c r="B20" s="281"/>
      <c r="N20" s="2" t="s">
        <v>418</v>
      </c>
      <c r="Z20" s="2"/>
      <c r="AA20" s="2"/>
      <c r="AC20" s="2"/>
    </row>
    <row r="21" spans="1:36">
      <c r="A21" s="281"/>
      <c r="B21" s="281"/>
      <c r="N21" s="2" t="s">
        <v>419</v>
      </c>
      <c r="Z21" s="2"/>
      <c r="AA21" s="2"/>
      <c r="AC21" s="2"/>
    </row>
    <row r="22" spans="1:36">
      <c r="A22" s="281"/>
      <c r="B22" s="560" t="s">
        <v>420</v>
      </c>
      <c r="Z22" s="2"/>
      <c r="AA22" s="2"/>
      <c r="AC22" s="2"/>
    </row>
    <row r="23" spans="1:36">
      <c r="A23" s="281"/>
      <c r="B23" s="281" t="s">
        <v>421</v>
      </c>
      <c r="Z23" s="2"/>
      <c r="AA23" s="2"/>
      <c r="AC23" s="2"/>
    </row>
    <row r="24" spans="1:36">
      <c r="A24" s="281"/>
      <c r="B24" s="281"/>
      <c r="Z24" s="2"/>
      <c r="AA24" s="2"/>
      <c r="AC24" s="2"/>
    </row>
    <row r="25" spans="1:36">
      <c r="A25" s="281"/>
      <c r="B25" s="783" t="s">
        <v>422</v>
      </c>
      <c r="C25" s="783" t="s">
        <v>423</v>
      </c>
      <c r="D25" s="783" t="s">
        <v>424</v>
      </c>
      <c r="E25" s="783" t="s">
        <v>425</v>
      </c>
      <c r="F25" s="783" t="s">
        <v>426</v>
      </c>
      <c r="Z25" s="2"/>
      <c r="AA25" s="2"/>
      <c r="AC25" s="2"/>
    </row>
    <row r="26" spans="1:36">
      <c r="A26" s="281"/>
      <c r="B26" s="783" t="s">
        <v>427</v>
      </c>
      <c r="C26" s="784">
        <v>0.14099999999999999</v>
      </c>
      <c r="D26" s="784">
        <v>0.20899999999999999</v>
      </c>
      <c r="E26" s="784">
        <v>0.30399999999999999</v>
      </c>
      <c r="F26" s="784">
        <v>0.34499999999999997</v>
      </c>
      <c r="Z26" s="2"/>
      <c r="AA26" s="2"/>
      <c r="AC26" s="2"/>
    </row>
    <row r="27" spans="1:36">
      <c r="A27" s="281"/>
      <c r="B27" s="281"/>
      <c r="Z27" s="2"/>
      <c r="AA27" s="2"/>
      <c r="AC27" s="2"/>
    </row>
    <row r="28" spans="1:36">
      <c r="A28" s="281"/>
      <c r="B28" s="783" t="s">
        <v>428</v>
      </c>
      <c r="C28" s="785">
        <f>C26+D26</f>
        <v>0.35</v>
      </c>
      <c r="Z28" s="2"/>
      <c r="AA28" s="2"/>
      <c r="AC28" s="2"/>
    </row>
    <row r="29" spans="1:36">
      <c r="A29" s="281"/>
      <c r="B29" s="783" t="s">
        <v>429</v>
      </c>
      <c r="C29" s="785">
        <f>C26+D26+(E26/2)</f>
        <v>0.502</v>
      </c>
      <c r="Z29" s="2"/>
      <c r="AA29" s="2"/>
      <c r="AC29" s="2"/>
    </row>
    <row r="30" spans="1:36">
      <c r="A30" s="281"/>
      <c r="B30" s="783" t="s">
        <v>430</v>
      </c>
      <c r="C30" s="786">
        <f>C29/C28</f>
        <v>1.4342857142857144</v>
      </c>
      <c r="Z30" s="2"/>
      <c r="AA30" s="2"/>
      <c r="AC30" s="2"/>
    </row>
    <row r="31" spans="1:36">
      <c r="A31" s="281"/>
      <c r="B31" s="281"/>
      <c r="C31" s="561"/>
      <c r="Z31" s="2"/>
      <c r="AA31" s="2"/>
      <c r="AC31" s="2"/>
    </row>
    <row r="32" spans="1:36" ht="14.5">
      <c r="A32" s="203" t="s">
        <v>431</v>
      </c>
      <c r="B32" s="203"/>
      <c r="C32" s="203"/>
      <c r="D32" s="203"/>
      <c r="W32" s="18" t="s">
        <v>432</v>
      </c>
      <c r="AD32" s="2"/>
      <c r="AE32" s="2"/>
      <c r="AF32" s="2"/>
      <c r="AG32" s="2"/>
      <c r="AH32" s="2"/>
      <c r="AI32" s="2"/>
      <c r="AJ32" s="2"/>
    </row>
    <row r="33" spans="2:134">
      <c r="Q33" s="140"/>
      <c r="R33" s="140"/>
      <c r="S33" s="140"/>
      <c r="T33" s="155"/>
      <c r="U33" s="2"/>
      <c r="W33" s="218" t="s">
        <v>433</v>
      </c>
      <c r="X33" s="2"/>
      <c r="Y33" s="2"/>
      <c r="Z33" s="2"/>
      <c r="AA33" s="2"/>
      <c r="AB33" s="2"/>
      <c r="AC33" s="2"/>
      <c r="AD33" s="2"/>
      <c r="AE33" s="2"/>
      <c r="AF33" s="2"/>
      <c r="AG33" s="2"/>
      <c r="AH33" s="2"/>
      <c r="AI33" s="2"/>
      <c r="AJ33" s="2"/>
    </row>
    <row r="34" spans="2:134">
      <c r="Q34" s="140"/>
      <c r="S34" s="140"/>
      <c r="T34" s="2"/>
      <c r="U34" s="2"/>
      <c r="W34" s="218" t="s">
        <v>434</v>
      </c>
      <c r="X34" s="2"/>
      <c r="Y34" s="2"/>
      <c r="Z34" s="2"/>
      <c r="AA34" s="2"/>
      <c r="AB34" s="2"/>
      <c r="AC34" s="2"/>
      <c r="AD34" s="2"/>
      <c r="AE34" s="2"/>
      <c r="AF34" s="2"/>
      <c r="AG34" s="2"/>
      <c r="AH34" s="2"/>
      <c r="AI34" s="2"/>
      <c r="AJ34" s="2"/>
    </row>
    <row r="35" spans="2:134">
      <c r="Q35" s="141"/>
      <c r="S35" s="142"/>
      <c r="T35" s="2"/>
      <c r="U35" s="2"/>
      <c r="W35" s="218" t="s">
        <v>435</v>
      </c>
      <c r="X35" s="2"/>
      <c r="Y35" s="2"/>
      <c r="Z35" s="2"/>
      <c r="AA35" s="2"/>
      <c r="AB35" s="2"/>
      <c r="AC35" s="2"/>
      <c r="AD35" s="2"/>
      <c r="AE35" s="2"/>
      <c r="AF35" s="2"/>
      <c r="AG35" s="2"/>
      <c r="AH35" s="2"/>
      <c r="AI35" s="2"/>
      <c r="AJ35" s="2"/>
    </row>
    <row r="36" spans="2:134" ht="14.5">
      <c r="B36" s="16" t="s">
        <v>436</v>
      </c>
      <c r="E36" s="16" t="s">
        <v>437</v>
      </c>
      <c r="T36" s="2"/>
      <c r="U36" s="2"/>
      <c r="W36" s="156" t="s">
        <v>438</v>
      </c>
      <c r="X36" s="2"/>
      <c r="Y36" s="2"/>
      <c r="Z36" s="2"/>
      <c r="AA36" s="2"/>
      <c r="AB36" s="2"/>
      <c r="AC36" s="2"/>
      <c r="AD36" s="2"/>
      <c r="AE36" s="2"/>
      <c r="AF36" s="2"/>
      <c r="AG36" s="2"/>
      <c r="AH36" s="2"/>
      <c r="AI36" s="2"/>
      <c r="AJ36" s="2"/>
    </row>
    <row r="37" spans="2:134" s="3" customFormat="1" ht="14.5">
      <c r="B37" s="17" t="s">
        <v>439</v>
      </c>
      <c r="E37" s="17" t="s">
        <v>440</v>
      </c>
      <c r="G37" s="2"/>
      <c r="H37" s="2"/>
      <c r="I37" s="2"/>
      <c r="J37" s="2"/>
      <c r="K37" s="2"/>
      <c r="L37" s="2"/>
      <c r="M37" s="2"/>
      <c r="N37" s="2"/>
      <c r="O37" s="2"/>
      <c r="P37" s="2"/>
      <c r="Q37" s="2"/>
      <c r="R37" s="2"/>
      <c r="S37" s="2"/>
      <c r="W37" s="156" t="s">
        <v>441</v>
      </c>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row>
    <row r="38" spans="2:134" s="3" customFormat="1">
      <c r="G38" s="2"/>
      <c r="H38" s="2"/>
      <c r="I38" s="2"/>
      <c r="J38" s="2"/>
      <c r="K38" s="2"/>
      <c r="L38" s="2"/>
      <c r="M38" s="2"/>
      <c r="N38" s="2"/>
      <c r="O38" s="2"/>
      <c r="P38" s="2"/>
      <c r="Q38" s="2"/>
      <c r="R38" s="2"/>
      <c r="S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row>
    <row r="39" spans="2:134">
      <c r="T39" s="2"/>
      <c r="U39" s="2"/>
      <c r="X39" s="2"/>
      <c r="Y39" s="2"/>
      <c r="Z39" s="2"/>
      <c r="AA39" s="2"/>
      <c r="AB39" s="2"/>
      <c r="AC39" s="2"/>
      <c r="AD39" s="2"/>
      <c r="AE39" s="2"/>
      <c r="AF39" s="2"/>
      <c r="AG39" s="2"/>
      <c r="AH39" s="2"/>
      <c r="AI39" s="2"/>
      <c r="AJ39" s="2"/>
    </row>
    <row r="40" spans="2:134">
      <c r="X40" s="2"/>
      <c r="Y40" s="2"/>
      <c r="Z40" s="2"/>
      <c r="AA40" s="2"/>
      <c r="AB40" s="2"/>
      <c r="AC40" s="2"/>
      <c r="AD40" s="2"/>
      <c r="AE40" s="2"/>
      <c r="AF40" s="2"/>
      <c r="AG40" s="2"/>
      <c r="AH40" s="2"/>
      <c r="AI40" s="2"/>
      <c r="AJ40" s="2"/>
    </row>
    <row r="41" spans="2:134">
      <c r="X41" s="2"/>
      <c r="Y41" s="2"/>
      <c r="Z41" s="2"/>
      <c r="AA41" s="2"/>
      <c r="AB41" s="2"/>
      <c r="AC41" s="2"/>
      <c r="AD41" s="2"/>
      <c r="AE41" s="2"/>
      <c r="AF41" s="2"/>
      <c r="AG41" s="2"/>
      <c r="AH41" s="2"/>
      <c r="AI41" s="2"/>
      <c r="AJ41" s="2"/>
    </row>
    <row r="42" spans="2:134">
      <c r="B42" s="3"/>
      <c r="C42" s="3"/>
      <c r="D42" s="3"/>
      <c r="E42" s="3"/>
      <c r="F42" s="3"/>
      <c r="X42" s="2"/>
      <c r="Y42" s="2"/>
      <c r="Z42" s="2"/>
      <c r="AA42" s="2"/>
      <c r="AB42" s="2"/>
      <c r="AC42" s="2"/>
      <c r="AD42" s="2"/>
      <c r="AE42" s="2"/>
      <c r="AF42" s="2"/>
      <c r="AG42" s="2"/>
      <c r="AH42" s="2"/>
      <c r="AI42" s="2"/>
      <c r="AJ42" s="2"/>
    </row>
    <row r="43" spans="2:134">
      <c r="B43" s="3"/>
      <c r="C43" s="542"/>
      <c r="D43" s="542"/>
      <c r="E43" s="1310"/>
      <c r="F43" s="402"/>
      <c r="X43" s="2"/>
      <c r="Y43" s="2"/>
      <c r="Z43" s="2"/>
      <c r="AA43" s="2"/>
      <c r="AB43" s="2"/>
      <c r="AC43" s="2"/>
      <c r="AD43" s="2"/>
      <c r="AE43" s="2"/>
      <c r="AF43" s="2"/>
      <c r="AG43" s="2"/>
      <c r="AH43" s="2"/>
      <c r="AI43" s="2"/>
      <c r="AJ43" s="2"/>
    </row>
    <row r="44" spans="2:134">
      <c r="B44" s="3"/>
      <c r="C44" s="103"/>
      <c r="D44" s="3"/>
      <c r="E44" s="3"/>
      <c r="F44" s="3"/>
      <c r="X44" s="2"/>
      <c r="Y44" s="2"/>
      <c r="Z44" s="2"/>
      <c r="AA44" s="2"/>
      <c r="AB44" s="2"/>
      <c r="AC44" s="2"/>
      <c r="AD44" s="2"/>
      <c r="AE44" s="2"/>
      <c r="AF44" s="2"/>
      <c r="AG44" s="2"/>
      <c r="AH44" s="2"/>
      <c r="AI44" s="2"/>
      <c r="AJ44" s="2"/>
    </row>
    <row r="45" spans="2:134">
      <c r="X45" s="2"/>
      <c r="Y45" s="2"/>
      <c r="Z45" s="2"/>
      <c r="AA45" s="2"/>
      <c r="AB45" s="2"/>
      <c r="AC45" s="2"/>
      <c r="AD45" s="2"/>
      <c r="AE45" s="2"/>
      <c r="AF45" s="2"/>
      <c r="AG45" s="2"/>
      <c r="AH45" s="2"/>
      <c r="AI45" s="2"/>
      <c r="AJ45" s="2"/>
    </row>
    <row r="46" spans="2:134">
      <c r="X46" s="2"/>
      <c r="Y46" s="2"/>
      <c r="Z46" s="2"/>
      <c r="AA46" s="2"/>
      <c r="AB46" s="2"/>
      <c r="AC46" s="2"/>
      <c r="AD46" s="2"/>
      <c r="AE46" s="2"/>
      <c r="AF46" s="2"/>
      <c r="AG46" s="2"/>
      <c r="AH46" s="2"/>
      <c r="AI46" s="2"/>
      <c r="AJ46" s="2"/>
    </row>
    <row r="47" spans="2:134">
      <c r="B47" s="1311"/>
      <c r="C47" s="1311"/>
      <c r="D47" s="1311"/>
      <c r="E47" s="1311"/>
      <c r="F47" s="1311"/>
      <c r="G47" s="1311"/>
      <c r="H47" s="1311"/>
      <c r="X47" s="2"/>
      <c r="Y47" s="2"/>
      <c r="Z47" s="2"/>
      <c r="AA47" s="2"/>
      <c r="AB47" s="2"/>
      <c r="AC47" s="2"/>
      <c r="AD47" s="2"/>
      <c r="AE47" s="2"/>
      <c r="AF47" s="2"/>
      <c r="AG47" s="2"/>
      <c r="AH47" s="2"/>
      <c r="AI47" s="2"/>
      <c r="AJ47" s="2"/>
    </row>
    <row r="48" spans="2:134">
      <c r="B48" s="91"/>
      <c r="C48" s="1309"/>
      <c r="D48" s="1309"/>
      <c r="E48" s="1309"/>
      <c r="F48" s="131"/>
      <c r="G48" s="268"/>
      <c r="H48" s="1312"/>
      <c r="X48" s="2"/>
      <c r="Y48" s="2"/>
      <c r="Z48" s="2"/>
      <c r="AA48" s="2"/>
      <c r="AB48" s="2"/>
      <c r="AC48" s="2"/>
      <c r="AD48" s="2"/>
      <c r="AE48" s="2"/>
      <c r="AF48" s="2"/>
      <c r="AG48" s="2"/>
      <c r="AH48" s="2"/>
      <c r="AI48" s="2"/>
      <c r="AJ48" s="2"/>
    </row>
    <row r="49" spans="1:36">
      <c r="B49" s="91"/>
      <c r="C49" s="131"/>
      <c r="D49" s="131"/>
      <c r="E49" s="131"/>
      <c r="F49" s="131"/>
      <c r="G49" s="268"/>
      <c r="H49" s="1312"/>
      <c r="X49" s="2"/>
      <c r="Y49" s="2"/>
      <c r="Z49" s="2"/>
      <c r="AA49" s="2"/>
      <c r="AB49" s="2"/>
      <c r="AC49" s="2"/>
      <c r="AD49" s="2"/>
      <c r="AE49" s="2"/>
      <c r="AF49" s="2"/>
      <c r="AG49" s="2"/>
      <c r="AH49" s="2"/>
      <c r="AI49" s="2"/>
      <c r="AJ49" s="2"/>
    </row>
    <row r="50" spans="1:36">
      <c r="X50" s="2"/>
      <c r="Y50" s="2"/>
      <c r="Z50" s="2"/>
      <c r="AA50" s="2"/>
      <c r="AB50" s="2"/>
      <c r="AC50" s="2"/>
      <c r="AD50" s="2"/>
      <c r="AE50" s="2"/>
      <c r="AF50" s="2"/>
      <c r="AG50" s="2"/>
      <c r="AH50" s="2"/>
      <c r="AI50" s="2"/>
      <c r="AJ50" s="2"/>
    </row>
    <row r="51" spans="1:36">
      <c r="X51" s="2"/>
      <c r="Y51" s="2"/>
      <c r="Z51" s="2"/>
      <c r="AA51" s="2"/>
      <c r="AB51" s="2"/>
      <c r="AC51" s="2"/>
      <c r="AD51" s="2"/>
      <c r="AE51" s="2"/>
      <c r="AF51" s="2"/>
      <c r="AG51" s="2"/>
      <c r="AH51" s="2"/>
      <c r="AI51" s="2"/>
      <c r="AJ51" s="2"/>
    </row>
    <row r="52" spans="1:36">
      <c r="X52" s="2"/>
      <c r="Y52" s="2"/>
      <c r="Z52" s="2"/>
      <c r="AA52" s="2"/>
      <c r="AB52" s="2"/>
      <c r="AC52" s="2"/>
      <c r="AD52" s="2"/>
      <c r="AE52" s="2"/>
      <c r="AF52" s="2"/>
      <c r="AG52" s="2"/>
      <c r="AH52" s="2"/>
      <c r="AI52" s="2"/>
      <c r="AJ52" s="2"/>
    </row>
    <row r="53" spans="1:36">
      <c r="A53" s="18" t="s">
        <v>334</v>
      </c>
      <c r="B53" s="3"/>
      <c r="X53" s="2"/>
      <c r="Y53" s="2"/>
      <c r="Z53" s="2"/>
      <c r="AA53" s="2"/>
      <c r="AB53" s="2"/>
      <c r="AC53" s="2"/>
      <c r="AD53" s="2"/>
      <c r="AE53" s="2"/>
      <c r="AF53" s="2"/>
      <c r="AG53" s="2"/>
      <c r="AH53" s="2"/>
      <c r="AI53" s="2"/>
      <c r="AJ53" s="2"/>
    </row>
    <row r="54" spans="1:36">
      <c r="A54" s="20">
        <v>1</v>
      </c>
      <c r="B54" s="19" t="s">
        <v>444</v>
      </c>
      <c r="X54" s="2"/>
      <c r="Y54" s="2"/>
      <c r="Z54" s="2"/>
      <c r="AA54" s="2"/>
      <c r="AB54" s="2"/>
      <c r="AC54" s="2"/>
      <c r="AD54" s="2"/>
      <c r="AE54" s="2"/>
      <c r="AF54" s="2"/>
      <c r="AG54" s="2"/>
      <c r="AH54" s="2"/>
      <c r="AI54" s="2"/>
      <c r="AJ54" s="2"/>
    </row>
    <row r="55" spans="1:36">
      <c r="A55" s="20">
        <v>2</v>
      </c>
      <c r="B55" s="18" t="s">
        <v>445</v>
      </c>
      <c r="X55" s="2"/>
      <c r="Y55" s="2"/>
      <c r="Z55" s="2"/>
      <c r="AA55" s="2"/>
      <c r="AB55" s="2"/>
      <c r="AC55" s="2"/>
      <c r="AD55" s="2"/>
      <c r="AE55" s="2"/>
      <c r="AF55" s="2"/>
      <c r="AG55" s="2"/>
      <c r="AH55" s="2"/>
      <c r="AI55" s="2"/>
      <c r="AJ55" s="2"/>
    </row>
    <row r="56" spans="1:36">
      <c r="A56" s="20">
        <v>3</v>
      </c>
      <c r="B56" s="19" t="s">
        <v>446</v>
      </c>
      <c r="X56" s="2"/>
      <c r="Y56" s="2"/>
      <c r="Z56" s="2"/>
      <c r="AA56" s="2"/>
      <c r="AB56" s="2"/>
      <c r="AC56" s="2"/>
      <c r="AD56" s="2"/>
      <c r="AE56" s="2"/>
      <c r="AF56" s="2"/>
      <c r="AG56" s="2"/>
      <c r="AH56" s="2"/>
      <c r="AI56" s="2"/>
      <c r="AJ56" s="2"/>
    </row>
    <row r="57" spans="1:36">
      <c r="A57" s="2">
        <v>4</v>
      </c>
      <c r="B57" s="2" t="s">
        <v>447</v>
      </c>
      <c r="X57" s="2"/>
      <c r="Y57" s="2"/>
      <c r="Z57" s="2"/>
      <c r="AA57" s="2"/>
      <c r="AB57" s="2"/>
      <c r="AC57" s="2"/>
      <c r="AD57" s="2"/>
      <c r="AE57" s="2"/>
      <c r="AF57" s="2"/>
      <c r="AG57" s="2"/>
      <c r="AH57" s="2"/>
      <c r="AI57" s="2"/>
      <c r="AJ57" s="2"/>
    </row>
    <row r="58" spans="1:36">
      <c r="A58" s="2">
        <v>5</v>
      </c>
      <c r="B58" s="2" t="s">
        <v>448</v>
      </c>
      <c r="X58" s="2"/>
      <c r="Y58" s="2"/>
      <c r="Z58" s="2"/>
      <c r="AA58" s="2"/>
      <c r="AB58" s="2"/>
      <c r="AC58" s="2"/>
      <c r="AD58" s="2"/>
      <c r="AE58" s="2"/>
      <c r="AF58" s="2"/>
      <c r="AG58" s="2"/>
      <c r="AH58" s="2"/>
      <c r="AI58" s="2"/>
      <c r="AJ58" s="2"/>
    </row>
    <row r="59" spans="1:36">
      <c r="X59" s="2"/>
      <c r="Y59" s="2"/>
      <c r="Z59" s="2"/>
      <c r="AA59" s="2"/>
      <c r="AB59" s="2"/>
      <c r="AC59" s="2"/>
      <c r="AD59" s="2"/>
      <c r="AE59" s="2"/>
      <c r="AF59" s="2"/>
      <c r="AG59" s="2"/>
      <c r="AH59" s="2"/>
      <c r="AI59" s="2"/>
      <c r="AJ59" s="2"/>
    </row>
    <row r="60" spans="1:36">
      <c r="X60" s="2"/>
      <c r="Y60" s="2"/>
      <c r="Z60" s="2"/>
      <c r="AA60" s="2"/>
      <c r="AB60" s="2"/>
      <c r="AC60" s="2"/>
      <c r="AD60" s="2"/>
      <c r="AE60" s="2"/>
      <c r="AF60" s="2"/>
      <c r="AG60" s="2"/>
      <c r="AH60" s="2"/>
      <c r="AI60" s="2"/>
      <c r="AJ60" s="2"/>
    </row>
    <row r="61" spans="1:36">
      <c r="X61" s="2"/>
      <c r="Y61" s="2"/>
      <c r="Z61" s="2"/>
      <c r="AA61" s="2"/>
      <c r="AB61" s="2"/>
      <c r="AC61" s="2"/>
      <c r="AD61" s="2"/>
      <c r="AE61" s="2"/>
      <c r="AF61" s="2"/>
      <c r="AG61" s="2"/>
      <c r="AH61" s="2"/>
      <c r="AI61" s="2"/>
      <c r="AJ61" s="2"/>
    </row>
    <row r="62" spans="1:36">
      <c r="X62" s="2"/>
      <c r="Y62" s="2"/>
      <c r="Z62" s="2"/>
      <c r="AA62" s="2"/>
      <c r="AB62" s="2"/>
      <c r="AC62" s="2"/>
      <c r="AD62" s="2"/>
      <c r="AE62" s="2"/>
      <c r="AF62" s="2"/>
      <c r="AG62" s="2"/>
      <c r="AH62" s="2"/>
      <c r="AI62" s="2"/>
      <c r="AJ62" s="2"/>
    </row>
    <row r="63" spans="1:36">
      <c r="X63" s="2"/>
      <c r="Y63" s="2"/>
      <c r="Z63" s="2"/>
      <c r="AA63" s="2"/>
      <c r="AB63" s="2"/>
      <c r="AC63" s="2"/>
      <c r="AD63" s="2"/>
      <c r="AE63" s="2"/>
      <c r="AF63" s="2"/>
      <c r="AG63" s="2"/>
      <c r="AH63" s="2"/>
      <c r="AI63" s="2"/>
      <c r="AJ63" s="2"/>
    </row>
    <row r="64" spans="1:36">
      <c r="X64" s="2"/>
      <c r="Y64" s="2"/>
      <c r="Z64" s="2"/>
      <c r="AA64" s="2"/>
      <c r="AB64" s="2"/>
      <c r="AC64" s="2"/>
      <c r="AD64" s="2"/>
      <c r="AE64" s="2"/>
      <c r="AF64" s="2"/>
      <c r="AG64" s="2"/>
      <c r="AH64" s="2"/>
      <c r="AI64" s="2"/>
      <c r="AJ64" s="2"/>
    </row>
    <row r="65" spans="5:36">
      <c r="X65" s="2"/>
      <c r="Y65" s="2"/>
      <c r="Z65" s="2"/>
      <c r="AA65" s="2"/>
      <c r="AB65" s="2"/>
      <c r="AC65" s="2"/>
      <c r="AD65" s="2"/>
      <c r="AE65" s="2"/>
      <c r="AF65" s="2"/>
      <c r="AG65" s="2"/>
      <c r="AH65" s="2"/>
      <c r="AI65" s="2"/>
      <c r="AJ65" s="2"/>
    </row>
    <row r="66" spans="5:36">
      <c r="X66" s="2"/>
      <c r="Y66" s="2"/>
      <c r="Z66" s="2"/>
      <c r="AA66" s="2"/>
      <c r="AB66" s="2"/>
      <c r="AC66" s="2"/>
      <c r="AD66" s="2"/>
      <c r="AE66" s="2"/>
      <c r="AF66" s="2"/>
      <c r="AG66" s="2"/>
      <c r="AH66" s="2"/>
      <c r="AI66" s="2"/>
      <c r="AJ66" s="2"/>
    </row>
    <row r="67" spans="5:36">
      <c r="X67" s="2"/>
      <c r="Y67" s="2"/>
      <c r="Z67" s="2"/>
      <c r="AA67" s="2"/>
      <c r="AB67" s="2"/>
      <c r="AC67" s="2"/>
      <c r="AD67" s="2"/>
      <c r="AE67" s="2"/>
      <c r="AF67" s="2"/>
      <c r="AG67" s="2"/>
      <c r="AH67" s="2"/>
      <c r="AI67" s="2"/>
      <c r="AJ67" s="2"/>
    </row>
    <row r="68" spans="5:36" ht="14.5">
      <c r="E68" s="16" t="s">
        <v>449</v>
      </c>
      <c r="X68" s="2"/>
      <c r="Y68" s="2"/>
      <c r="Z68" s="2"/>
      <c r="AA68" s="2"/>
      <c r="AB68" s="2"/>
      <c r="AC68" s="2"/>
      <c r="AD68" s="2"/>
      <c r="AE68" s="2"/>
      <c r="AF68" s="2"/>
      <c r="AG68" s="2"/>
      <c r="AH68" s="2"/>
      <c r="AI68" s="2"/>
      <c r="AJ68" s="2"/>
    </row>
    <row r="69" spans="5:36" ht="14.5">
      <c r="E69" s="17" t="s">
        <v>440</v>
      </c>
      <c r="X69" s="2"/>
      <c r="Y69" s="2"/>
      <c r="Z69" s="2"/>
      <c r="AA69" s="2"/>
      <c r="AB69" s="2"/>
      <c r="AC69" s="2"/>
      <c r="AD69" s="2"/>
      <c r="AE69" s="2"/>
      <c r="AF69" s="2"/>
      <c r="AG69" s="2"/>
      <c r="AH69" s="2"/>
      <c r="AI69" s="2"/>
      <c r="AJ69" s="2"/>
    </row>
    <row r="70" spans="5:36">
      <c r="X70" s="2"/>
      <c r="Y70" s="2"/>
      <c r="Z70" s="2"/>
      <c r="AA70" s="2"/>
      <c r="AB70" s="2"/>
      <c r="AC70" s="2"/>
      <c r="AD70" s="2"/>
      <c r="AE70" s="2"/>
      <c r="AF70" s="2"/>
      <c r="AG70" s="2"/>
      <c r="AH70" s="2"/>
      <c r="AI70" s="2"/>
      <c r="AJ70" s="2"/>
    </row>
    <row r="71" spans="5:36">
      <c r="X71" s="2"/>
      <c r="Y71" s="2"/>
      <c r="Z71" s="2"/>
      <c r="AA71" s="2"/>
      <c r="AB71" s="2"/>
      <c r="AC71" s="2"/>
      <c r="AD71" s="2"/>
      <c r="AE71" s="2"/>
      <c r="AF71" s="2"/>
      <c r="AG71" s="2"/>
      <c r="AH71" s="2"/>
      <c r="AI71" s="2"/>
      <c r="AJ71" s="2"/>
    </row>
    <row r="72" spans="5:36">
      <c r="X72" s="2"/>
      <c r="Y72" s="2"/>
      <c r="Z72" s="2"/>
      <c r="AA72" s="2"/>
      <c r="AB72" s="2"/>
      <c r="AC72" s="2"/>
      <c r="AD72" s="2"/>
      <c r="AE72" s="2"/>
      <c r="AF72" s="2"/>
      <c r="AG72" s="2"/>
      <c r="AH72" s="2"/>
      <c r="AI72" s="2"/>
      <c r="AJ72" s="2"/>
    </row>
    <row r="73" spans="5:36">
      <c r="X73" s="2"/>
      <c r="Y73" s="2"/>
      <c r="Z73" s="2"/>
      <c r="AA73" s="2"/>
      <c r="AB73" s="2"/>
      <c r="AC73" s="2"/>
      <c r="AD73" s="2"/>
      <c r="AE73" s="2"/>
      <c r="AF73" s="2"/>
      <c r="AG73" s="2"/>
      <c r="AH73" s="2"/>
      <c r="AI73" s="2"/>
      <c r="AJ73" s="2"/>
    </row>
    <row r="74" spans="5:36">
      <c r="X74" s="2"/>
      <c r="Y74" s="2"/>
      <c r="Z74" s="2"/>
      <c r="AA74" s="2"/>
      <c r="AB74" s="2"/>
      <c r="AC74" s="2"/>
      <c r="AD74" s="2"/>
      <c r="AE74" s="2"/>
      <c r="AF74" s="2"/>
      <c r="AG74" s="2"/>
      <c r="AH74" s="2"/>
      <c r="AI74" s="2"/>
      <c r="AJ74" s="2"/>
    </row>
    <row r="75" spans="5:36">
      <c r="X75" s="2"/>
      <c r="Y75" s="2"/>
      <c r="Z75" s="2"/>
      <c r="AA75" s="2"/>
      <c r="AB75" s="2"/>
      <c r="AC75" s="2"/>
      <c r="AD75" s="2"/>
      <c r="AE75" s="2"/>
      <c r="AF75" s="2"/>
      <c r="AG75" s="2"/>
      <c r="AH75" s="2"/>
      <c r="AI75" s="2"/>
      <c r="AJ75" s="2"/>
    </row>
    <row r="76" spans="5:36">
      <c r="X76" s="2"/>
      <c r="Y76" s="2"/>
      <c r="Z76" s="2"/>
      <c r="AA76" s="2"/>
      <c r="AB76" s="2"/>
      <c r="AC76" s="2"/>
      <c r="AD76" s="2"/>
      <c r="AE76" s="2"/>
      <c r="AF76" s="2"/>
      <c r="AG76" s="2"/>
      <c r="AH76" s="2"/>
      <c r="AI76" s="2"/>
      <c r="AJ76" s="2"/>
    </row>
    <row r="77" spans="5:36">
      <c r="X77" s="2"/>
      <c r="Y77" s="2"/>
      <c r="Z77" s="2"/>
      <c r="AA77" s="2"/>
      <c r="AB77" s="2"/>
      <c r="AC77" s="2"/>
      <c r="AD77" s="2"/>
      <c r="AE77" s="2"/>
      <c r="AF77" s="2"/>
      <c r="AG77" s="2"/>
      <c r="AH77" s="2"/>
      <c r="AI77" s="2"/>
      <c r="AJ77" s="2"/>
    </row>
    <row r="78" spans="5:36">
      <c r="X78" s="2"/>
      <c r="Y78" s="2"/>
      <c r="Z78" s="2"/>
      <c r="AA78" s="2"/>
      <c r="AB78" s="2"/>
      <c r="AC78" s="2"/>
      <c r="AD78" s="2"/>
      <c r="AE78" s="2"/>
      <c r="AF78" s="2"/>
      <c r="AG78" s="2"/>
      <c r="AH78" s="2"/>
      <c r="AI78" s="2"/>
      <c r="AJ78" s="2"/>
    </row>
    <row r="79" spans="5:36">
      <c r="X79" s="2"/>
      <c r="Y79" s="2"/>
      <c r="Z79" s="2"/>
      <c r="AA79" s="2"/>
      <c r="AB79" s="2"/>
      <c r="AC79" s="2"/>
      <c r="AD79" s="2"/>
      <c r="AE79" s="2"/>
      <c r="AF79" s="2"/>
      <c r="AG79" s="2"/>
      <c r="AH79" s="2"/>
      <c r="AI79" s="2"/>
      <c r="AJ79" s="2"/>
    </row>
    <row r="80" spans="5:36">
      <c r="X80" s="2"/>
      <c r="Y80" s="2"/>
      <c r="Z80" s="2"/>
      <c r="AA80" s="2"/>
      <c r="AB80" s="2"/>
      <c r="AC80" s="2"/>
      <c r="AD80" s="2"/>
      <c r="AE80" s="2"/>
      <c r="AF80" s="2"/>
      <c r="AG80" s="2"/>
      <c r="AH80" s="2"/>
      <c r="AI80" s="2"/>
      <c r="AJ80" s="2"/>
    </row>
    <row r="81" spans="2:23" s="2" customFormat="1">
      <c r="T81" s="3"/>
      <c r="U81" s="3"/>
      <c r="V81" s="3"/>
      <c r="W81" s="3"/>
    </row>
    <row r="82" spans="2:23" s="2" customFormat="1">
      <c r="T82" s="3"/>
      <c r="U82" s="3"/>
      <c r="V82" s="3"/>
      <c r="W82" s="3"/>
    </row>
    <row r="83" spans="2:23" s="2" customFormat="1">
      <c r="T83" s="3"/>
      <c r="U83" s="3"/>
      <c r="V83" s="3"/>
      <c r="W83" s="3"/>
    </row>
    <row r="84" spans="2:23" s="2" customFormat="1">
      <c r="J84" s="2" t="s">
        <v>450</v>
      </c>
      <c r="T84" s="3"/>
      <c r="U84" s="3"/>
      <c r="V84" s="3"/>
      <c r="W84" s="3"/>
    </row>
    <row r="85" spans="2:23" s="2" customFormat="1">
      <c r="H85" s="2" t="s">
        <v>451</v>
      </c>
      <c r="I85" s="2" t="s">
        <v>452</v>
      </c>
      <c r="J85" s="2">
        <v>2023</v>
      </c>
      <c r="K85" s="2">
        <v>2024</v>
      </c>
      <c r="L85" s="2">
        <v>2025</v>
      </c>
      <c r="M85" s="2">
        <v>2026</v>
      </c>
      <c r="N85" s="2">
        <v>2027</v>
      </c>
      <c r="O85" s="2">
        <v>2028</v>
      </c>
      <c r="P85" s="2">
        <v>2029</v>
      </c>
      <c r="T85" s="3"/>
      <c r="U85" s="3"/>
      <c r="V85" s="3"/>
      <c r="W85" s="3"/>
    </row>
    <row r="86" spans="2:23" s="2" customFormat="1" ht="14.5">
      <c r="F86" s="791" t="s">
        <v>453</v>
      </c>
      <c r="G86" s="792">
        <f>5178+69655+263725</f>
        <v>338558</v>
      </c>
      <c r="H86" s="793">
        <v>0.1</v>
      </c>
      <c r="I86" s="792">
        <f>G86*(1-H86)</f>
        <v>304702.2</v>
      </c>
      <c r="J86" s="267">
        <f>G86*H86</f>
        <v>33855.800000000003</v>
      </c>
      <c r="K86" s="267">
        <f t="shared" ref="K86:P88" si="71">J86*3.3%+J86</f>
        <v>34973.041400000002</v>
      </c>
      <c r="L86" s="214">
        <f t="shared" si="71"/>
        <v>36127.151766200004</v>
      </c>
      <c r="M86" s="214">
        <f t="shared" si="71"/>
        <v>37319.347774484602</v>
      </c>
      <c r="N86" s="214">
        <f t="shared" si="71"/>
        <v>38550.886251042597</v>
      </c>
      <c r="O86" s="214">
        <f t="shared" si="71"/>
        <v>39823.065497326999</v>
      </c>
      <c r="P86" s="214">
        <f t="shared" si="71"/>
        <v>41137.226658738793</v>
      </c>
      <c r="T86" s="3"/>
      <c r="U86" s="3"/>
      <c r="V86" s="3"/>
      <c r="W86" s="3"/>
    </row>
    <row r="87" spans="2:23" s="2" customFormat="1" ht="14.5">
      <c r="F87" s="794" t="s">
        <v>454</v>
      </c>
      <c r="G87" s="792">
        <f>G86*0.712</f>
        <v>241053.296</v>
      </c>
      <c r="H87" s="793">
        <v>0.1</v>
      </c>
      <c r="I87" s="792">
        <f>G87*(1-H87)</f>
        <v>216947.9664</v>
      </c>
      <c r="J87" s="214">
        <f>G87*H87</f>
        <v>24105.329600000001</v>
      </c>
      <c r="K87" s="214">
        <f t="shared" si="71"/>
        <v>24900.8054768</v>
      </c>
      <c r="L87" s="214">
        <f t="shared" si="71"/>
        <v>25722.532057534401</v>
      </c>
      <c r="M87" s="214">
        <f t="shared" si="71"/>
        <v>26571.375615433037</v>
      </c>
      <c r="N87" s="214">
        <f t="shared" si="71"/>
        <v>27448.231010742325</v>
      </c>
      <c r="O87" s="214">
        <f t="shared" si="71"/>
        <v>28354.022634096822</v>
      </c>
      <c r="P87" s="214">
        <f t="shared" si="71"/>
        <v>29289.705381022017</v>
      </c>
      <c r="T87" s="3"/>
      <c r="U87" s="3"/>
      <c r="V87" s="3"/>
      <c r="W87" s="3"/>
    </row>
    <row r="88" spans="2:23" s="2" customFormat="1" ht="14.5">
      <c r="F88" s="794" t="s">
        <v>455</v>
      </c>
      <c r="G88" s="792">
        <f>G86*0.234</f>
        <v>79222.572</v>
      </c>
      <c r="H88" s="793">
        <v>0.1</v>
      </c>
      <c r="I88" s="792">
        <f>G88*(1-H88)</f>
        <v>71300.314800000007</v>
      </c>
      <c r="J88" s="214">
        <f>G88*H88</f>
        <v>7922.2572</v>
      </c>
      <c r="K88" s="214">
        <f t="shared" si="71"/>
        <v>8183.6916875999996</v>
      </c>
      <c r="L88" s="214">
        <f t="shared" si="71"/>
        <v>8453.7535132907997</v>
      </c>
      <c r="M88" s="214">
        <f t="shared" si="71"/>
        <v>8732.7273792293963</v>
      </c>
      <c r="N88" s="214">
        <f t="shared" si="71"/>
        <v>9020.9073827439661</v>
      </c>
      <c r="O88" s="214">
        <f t="shared" si="71"/>
        <v>9318.5973263745163</v>
      </c>
      <c r="P88" s="214">
        <f t="shared" si="71"/>
        <v>9626.1110381448761</v>
      </c>
      <c r="T88" s="3"/>
      <c r="U88" s="3"/>
      <c r="V88" s="3"/>
      <c r="W88" s="3"/>
    </row>
    <row r="89" spans="2:23" s="2" customFormat="1" ht="14.5">
      <c r="E89" s="168"/>
      <c r="F89" s="175"/>
      <c r="G89" s="180"/>
      <c r="H89" s="215"/>
      <c r="I89" s="180"/>
      <c r="N89" s="123"/>
      <c r="O89" s="123"/>
      <c r="P89" s="123"/>
      <c r="T89" s="3"/>
      <c r="U89" s="3"/>
      <c r="V89" s="3"/>
      <c r="W89" s="3"/>
    </row>
    <row r="90" spans="2:23" s="2" customFormat="1" ht="14.5">
      <c r="E90"/>
      <c r="F90" s="791" t="s">
        <v>456</v>
      </c>
      <c r="G90" s="792">
        <f>44205+48794+334094</f>
        <v>427093</v>
      </c>
      <c r="H90" s="793">
        <v>0.1</v>
      </c>
      <c r="I90" s="792">
        <f>G90*(1-H90)</f>
        <v>384383.7</v>
      </c>
      <c r="J90" s="214">
        <f>G90*H90</f>
        <v>42709.3</v>
      </c>
      <c r="K90" s="214">
        <f t="shared" ref="K90:P92" si="72">J90*3.3%+J90</f>
        <v>44118.706900000005</v>
      </c>
      <c r="L90" s="214">
        <f t="shared" si="72"/>
        <v>45574.624227700006</v>
      </c>
      <c r="M90" s="214">
        <f t="shared" si="72"/>
        <v>47078.586827214109</v>
      </c>
      <c r="N90" s="214">
        <f t="shared" si="72"/>
        <v>48632.180192512176</v>
      </c>
      <c r="O90" s="214">
        <f t="shared" si="72"/>
        <v>50237.042138865079</v>
      </c>
      <c r="P90" s="214">
        <f t="shared" si="72"/>
        <v>51894.86452944763</v>
      </c>
      <c r="T90" s="3"/>
      <c r="U90" s="3"/>
      <c r="V90" s="3"/>
      <c r="W90" s="3"/>
    </row>
    <row r="91" spans="2:23" s="2" customFormat="1" ht="14.5">
      <c r="B91" s="170" t="s">
        <v>457</v>
      </c>
      <c r="C91" s="154"/>
      <c r="E91"/>
      <c r="F91" s="794" t="s">
        <v>454</v>
      </c>
      <c r="G91" s="792">
        <f>G90*0.712</f>
        <v>304090.21599999996</v>
      </c>
      <c r="H91" s="793">
        <v>0.1</v>
      </c>
      <c r="I91" s="792">
        <f>G91*(1-H91)</f>
        <v>273681.19439999998</v>
      </c>
      <c r="J91" s="214">
        <f>G91*H91</f>
        <v>30409.021599999996</v>
      </c>
      <c r="K91" s="214">
        <f t="shared" si="72"/>
        <v>31412.519312799996</v>
      </c>
      <c r="L91" s="214">
        <f t="shared" si="72"/>
        <v>32449.132450122397</v>
      </c>
      <c r="M91" s="214">
        <f t="shared" si="72"/>
        <v>33519.953820976436</v>
      </c>
      <c r="N91" s="214">
        <f t="shared" si="72"/>
        <v>34626.112297068656</v>
      </c>
      <c r="O91" s="214">
        <f t="shared" si="72"/>
        <v>35768.77400287192</v>
      </c>
      <c r="P91" s="214">
        <f t="shared" si="72"/>
        <v>36949.14354496669</v>
      </c>
      <c r="T91" s="3"/>
      <c r="U91" s="3"/>
      <c r="V91" s="3"/>
      <c r="W91" s="3"/>
    </row>
    <row r="92" spans="2:23" s="2" customFormat="1" ht="14.5">
      <c r="B92" s="794" t="s">
        <v>458</v>
      </c>
      <c r="C92" s="794">
        <v>84.8</v>
      </c>
      <c r="E92"/>
      <c r="F92" s="794" t="s">
        <v>455</v>
      </c>
      <c r="G92" s="792">
        <f>G90*0.234</f>
        <v>99939.762000000002</v>
      </c>
      <c r="H92" s="793">
        <v>0.1</v>
      </c>
      <c r="I92" s="792">
        <f>G92*(1-H92)</f>
        <v>89945.785799999998</v>
      </c>
      <c r="J92" s="214">
        <f>G92*H92</f>
        <v>9993.976200000001</v>
      </c>
      <c r="K92" s="214">
        <f t="shared" si="72"/>
        <v>10323.777414600001</v>
      </c>
      <c r="L92" s="214">
        <f t="shared" si="72"/>
        <v>10664.462069281801</v>
      </c>
      <c r="M92" s="214">
        <f t="shared" si="72"/>
        <v>11016.389317568101</v>
      </c>
      <c r="N92" s="214">
        <f t="shared" si="72"/>
        <v>11379.930165047848</v>
      </c>
      <c r="O92" s="214">
        <f t="shared" si="72"/>
        <v>11755.467860494427</v>
      </c>
      <c r="P92" s="214">
        <f t="shared" si="72"/>
        <v>12143.398299890743</v>
      </c>
      <c r="T92" s="3"/>
      <c r="U92" s="3"/>
      <c r="V92" s="3"/>
      <c r="W92" s="3"/>
    </row>
    <row r="93" spans="2:23" s="2" customFormat="1" ht="14.5">
      <c r="B93" s="794" t="s">
        <v>459</v>
      </c>
      <c r="C93" s="794">
        <f>C92*10</f>
        <v>848</v>
      </c>
      <c r="E93"/>
      <c r="F93" s="179" t="s">
        <v>460</v>
      </c>
      <c r="G93" s="180"/>
      <c r="H93"/>
      <c r="I93"/>
      <c r="L93" s="202"/>
      <c r="M93" s="180"/>
      <c r="T93" s="3"/>
      <c r="U93" s="3"/>
      <c r="V93" s="3"/>
      <c r="W93" s="3"/>
    </row>
    <row r="94" spans="2:23" s="2" customFormat="1" ht="14.5">
      <c r="B94" s="794" t="s">
        <v>461</v>
      </c>
      <c r="C94" s="794">
        <v>4950</v>
      </c>
      <c r="E94"/>
      <c r="G94"/>
      <c r="H94"/>
      <c r="I94" t="s">
        <v>462</v>
      </c>
      <c r="J94" s="267">
        <f t="shared" ref="J94:P94" si="73">SUM(J90,J86)</f>
        <v>76565.100000000006</v>
      </c>
      <c r="K94" s="214">
        <f t="shared" si="73"/>
        <v>79091.748300000007</v>
      </c>
      <c r="L94" s="214">
        <f t="shared" si="73"/>
        <v>81701.77599390001</v>
      </c>
      <c r="M94" s="214">
        <f t="shared" si="73"/>
        <v>84397.934601698711</v>
      </c>
      <c r="N94" s="214">
        <f t="shared" si="73"/>
        <v>87183.066443554766</v>
      </c>
      <c r="O94" s="214">
        <f t="shared" si="73"/>
        <v>90060.107636192086</v>
      </c>
      <c r="P94" s="214">
        <f t="shared" si="73"/>
        <v>93032.09118818643</v>
      </c>
      <c r="T94" s="3"/>
      <c r="U94" s="3"/>
      <c r="V94" s="3"/>
      <c r="W94" s="3"/>
    </row>
    <row r="95" spans="2:23" s="2" customFormat="1" ht="14.5">
      <c r="B95" s="794" t="s">
        <v>463</v>
      </c>
      <c r="C95" s="792">
        <f>C94*8.2/3.412</f>
        <v>11896.248534583821</v>
      </c>
      <c r="I95" t="s">
        <v>464</v>
      </c>
      <c r="J95" s="268">
        <f>(K94-J94)*2</f>
        <v>5053.2966000000015</v>
      </c>
      <c r="K95" s="216">
        <f t="shared" ref="K95:P95" si="74">MIN(J95*150%,15000)</f>
        <v>7579.9449000000022</v>
      </c>
      <c r="L95" s="216">
        <f t="shared" si="74"/>
        <v>11369.917350000003</v>
      </c>
      <c r="M95" s="216">
        <f t="shared" si="74"/>
        <v>15000</v>
      </c>
      <c r="N95" s="216">
        <f t="shared" si="74"/>
        <v>15000</v>
      </c>
      <c r="O95" s="216">
        <f t="shared" si="74"/>
        <v>15000</v>
      </c>
      <c r="P95" s="216">
        <f t="shared" si="74"/>
        <v>15000</v>
      </c>
      <c r="T95" s="3"/>
      <c r="U95" s="3"/>
      <c r="V95" s="3"/>
      <c r="W95" s="3"/>
    </row>
    <row r="96" spans="2:23" s="2" customFormat="1" ht="14.5">
      <c r="E96"/>
      <c r="F96"/>
      <c r="G96"/>
      <c r="H96"/>
      <c r="T96" s="3"/>
      <c r="U96" s="3"/>
      <c r="V96" s="3"/>
      <c r="W96" s="3"/>
    </row>
    <row r="97" spans="2:23" s="2" customFormat="1" ht="14.5">
      <c r="B97" s="170" t="s">
        <v>465</v>
      </c>
      <c r="E97" s="17" t="s">
        <v>466</v>
      </c>
      <c r="F97" s="154"/>
      <c r="G97" s="169" t="s">
        <v>467</v>
      </c>
      <c r="H97"/>
      <c r="I97"/>
      <c r="L97" s="202"/>
      <c r="M97" s="180"/>
      <c r="T97" s="3"/>
      <c r="U97" s="3"/>
      <c r="V97" s="3"/>
      <c r="W97" s="3"/>
    </row>
    <row r="98" spans="2:23" s="2" customFormat="1" ht="14.5">
      <c r="B98" s="795" t="s">
        <v>468</v>
      </c>
      <c r="C98" s="796">
        <v>1715</v>
      </c>
      <c r="E98" s="175"/>
      <c r="F98" s="169"/>
      <c r="G98" s="175"/>
      <c r="H98" s="168"/>
      <c r="I98" s="168"/>
      <c r="L98" s="202"/>
      <c r="T98" s="3"/>
      <c r="U98" s="3"/>
      <c r="V98" s="3"/>
      <c r="W98" s="3"/>
    </row>
    <row r="99" spans="2:23" s="2" customFormat="1" ht="14.5">
      <c r="B99" s="795" t="s">
        <v>469</v>
      </c>
      <c r="C99" s="796">
        <v>2353</v>
      </c>
      <c r="E99" s="168"/>
      <c r="F99" s="168"/>
      <c r="G99" s="168"/>
      <c r="H99" s="168"/>
      <c r="I99" s="168"/>
      <c r="L99" s="179"/>
      <c r="T99" s="3"/>
      <c r="U99" s="3"/>
      <c r="V99" s="3"/>
      <c r="W99" s="3"/>
    </row>
    <row r="100" spans="2:23" s="2" customFormat="1" ht="14.5">
      <c r="E100" s="169"/>
      <c r="F100" s="168"/>
      <c r="G100" s="168"/>
      <c r="H100" s="168"/>
      <c r="I100" s="168"/>
      <c r="T100" s="3"/>
      <c r="U100" s="3"/>
      <c r="V100" s="3"/>
      <c r="W100" s="3"/>
    </row>
    <row r="101" spans="2:23" s="2" customFormat="1" ht="14.5">
      <c r="B101" s="797" t="s">
        <v>470</v>
      </c>
      <c r="C101" s="798">
        <v>7.0000000000000007E-2</v>
      </c>
      <c r="H101" s="168"/>
      <c r="I101" s="168"/>
      <c r="T101" s="3"/>
      <c r="U101" s="3"/>
      <c r="V101" s="3"/>
      <c r="W101" s="3"/>
    </row>
    <row r="102" spans="2:23" s="2" customFormat="1" ht="14.5">
      <c r="B102" s="797" t="s">
        <v>471</v>
      </c>
      <c r="C102" s="798">
        <v>0.06</v>
      </c>
      <c r="E102" s="168"/>
      <c r="F102" s="168"/>
      <c r="G102" s="168"/>
      <c r="H102" s="168"/>
      <c r="I102" s="168"/>
      <c r="T102" s="3"/>
      <c r="U102" s="3"/>
      <c r="V102" s="3"/>
      <c r="W102" s="3"/>
    </row>
    <row r="103" spans="2:23" s="2" customFormat="1" ht="14.5">
      <c r="E103" s="168"/>
      <c r="F103" s="168"/>
      <c r="G103" s="168"/>
      <c r="H103" s="168"/>
      <c r="I103" s="168"/>
      <c r="T103" s="3"/>
      <c r="U103" s="3"/>
      <c r="V103" s="3"/>
      <c r="W103" s="3"/>
    </row>
    <row r="104" spans="2:23" s="2" customFormat="1" ht="14.5">
      <c r="B104" s="170" t="s">
        <v>472</v>
      </c>
      <c r="C104" s="168"/>
      <c r="N104" s="268"/>
      <c r="T104" s="3"/>
      <c r="U104" s="3"/>
      <c r="V104" s="3"/>
      <c r="W104" s="3"/>
    </row>
    <row r="105" spans="2:23" s="2" customFormat="1" ht="14.5">
      <c r="B105" s="795" t="s">
        <v>473</v>
      </c>
      <c r="C105" s="796">
        <f>C93*C102</f>
        <v>50.879999999999995</v>
      </c>
      <c r="E105" s="17" t="s">
        <v>474</v>
      </c>
      <c r="G105" s="169" t="s">
        <v>475</v>
      </c>
      <c r="N105" s="268"/>
      <c r="T105" s="3"/>
      <c r="U105" s="3"/>
      <c r="V105" s="3"/>
      <c r="W105" s="3"/>
    </row>
    <row r="106" spans="2:23" s="2" customFormat="1" ht="14.5">
      <c r="B106" s="795" t="s">
        <v>476</v>
      </c>
      <c r="C106" s="796">
        <f>C94*C102</f>
        <v>297</v>
      </c>
      <c r="T106" s="3"/>
      <c r="U106" s="3"/>
      <c r="V106" s="3"/>
      <c r="W106" s="3"/>
    </row>
    <row r="107" spans="2:23" s="2" customFormat="1" ht="14.5">
      <c r="B107" s="795" t="s">
        <v>477</v>
      </c>
      <c r="C107" s="799">
        <f>C95*C102</f>
        <v>713.77491207502931</v>
      </c>
      <c r="T107" s="3"/>
      <c r="U107" s="3"/>
      <c r="V107" s="3"/>
      <c r="W107" s="3"/>
    </row>
    <row r="108" spans="2:23" s="2" customFormat="1">
      <c r="T108" s="3"/>
      <c r="U108" s="3"/>
      <c r="V108" s="3"/>
      <c r="W108" s="3"/>
    </row>
    <row r="109" spans="2:23" s="2" customFormat="1" ht="14.5">
      <c r="B109" s="170" t="s">
        <v>478</v>
      </c>
      <c r="T109" s="3"/>
      <c r="U109" s="3"/>
      <c r="V109" s="3"/>
      <c r="W109" s="3"/>
    </row>
    <row r="110" spans="2:23" s="2" customFormat="1" ht="14.5">
      <c r="B110" s="795" t="s">
        <v>479</v>
      </c>
      <c r="C110" s="796">
        <f>C98*C101</f>
        <v>120.05000000000001</v>
      </c>
      <c r="T110" s="3"/>
      <c r="U110" s="3"/>
      <c r="V110" s="3"/>
      <c r="W110" s="3"/>
    </row>
    <row r="111" spans="2:23" s="2" customFormat="1" ht="14.5">
      <c r="B111" s="795" t="s">
        <v>480</v>
      </c>
      <c r="C111" s="796">
        <f>C99*C101</f>
        <v>164.71</v>
      </c>
      <c r="T111" s="3"/>
      <c r="U111" s="3"/>
      <c r="V111" s="3"/>
      <c r="W111" s="3"/>
    </row>
    <row r="112" spans="2:23" s="2" customFormat="1" ht="14.5">
      <c r="B112" s="170"/>
      <c r="C112" s="169"/>
      <c r="D112" s="169"/>
      <c r="N112" s="268"/>
      <c r="T112" s="3"/>
      <c r="U112" s="3"/>
      <c r="V112" s="3"/>
      <c r="W112" s="3"/>
    </row>
    <row r="113" spans="2:36" ht="14.5">
      <c r="B113" s="175"/>
      <c r="C113" s="169"/>
      <c r="D113" s="175"/>
      <c r="E113" s="168"/>
      <c r="N113" s="268"/>
      <c r="X113" s="2"/>
      <c r="Y113" s="2"/>
      <c r="Z113" s="2"/>
      <c r="AA113" s="2"/>
      <c r="AB113" s="2"/>
      <c r="AC113" s="2"/>
      <c r="AD113" s="2"/>
      <c r="AE113" s="2"/>
      <c r="AF113" s="2"/>
      <c r="AG113" s="2"/>
      <c r="AH113" s="2"/>
      <c r="AI113" s="2"/>
      <c r="AJ113" s="2"/>
    </row>
    <row r="114" spans="2:36" ht="14.5">
      <c r="B114" s="175"/>
      <c r="C114" s="169"/>
      <c r="D114" s="175"/>
      <c r="E114" s="168"/>
      <c r="X114" s="2"/>
      <c r="Y114" s="2"/>
      <c r="Z114" s="2"/>
      <c r="AA114" s="2"/>
      <c r="AB114" s="2"/>
      <c r="AC114" s="2"/>
      <c r="AD114" s="2"/>
      <c r="AE114" s="2"/>
      <c r="AF114" s="2"/>
      <c r="AG114" s="2"/>
      <c r="AH114" s="2"/>
      <c r="AI114" s="2"/>
      <c r="AJ114" s="2"/>
    </row>
    <row r="115" spans="2:36" ht="14.5">
      <c r="B115" s="800" t="s">
        <v>481</v>
      </c>
      <c r="C115" s="801"/>
      <c r="D115" s="800" t="s">
        <v>482</v>
      </c>
      <c r="E115" s="801"/>
      <c r="K115" s="179"/>
      <c r="X115" s="2"/>
      <c r="Y115" s="2"/>
      <c r="Z115" s="2"/>
      <c r="AA115" s="2"/>
      <c r="AB115" s="2"/>
      <c r="AC115" s="2"/>
      <c r="AD115" s="2"/>
      <c r="AE115" s="2"/>
      <c r="AF115" s="2"/>
      <c r="AG115" s="2"/>
      <c r="AH115" s="2"/>
      <c r="AI115" s="2"/>
      <c r="AJ115" s="2"/>
    </row>
    <row r="116" spans="2:36" ht="14.5">
      <c r="B116" s="800" t="s">
        <v>483</v>
      </c>
      <c r="C116" s="802">
        <v>0.16400000000000001</v>
      </c>
      <c r="D116" s="800" t="s">
        <v>483</v>
      </c>
      <c r="E116" s="802">
        <v>0.16400000000000001</v>
      </c>
      <c r="K116" s="179"/>
      <c r="X116" s="2"/>
      <c r="Y116" s="2"/>
      <c r="Z116" s="2"/>
      <c r="AA116" s="2"/>
      <c r="AB116" s="2"/>
      <c r="AC116" s="2"/>
      <c r="AD116" s="2"/>
      <c r="AE116" s="2"/>
      <c r="AF116" s="2"/>
      <c r="AG116" s="2"/>
      <c r="AH116" s="2"/>
      <c r="AI116" s="2"/>
      <c r="AJ116" s="2"/>
    </row>
    <row r="117" spans="2:36" ht="14.5">
      <c r="B117" s="800" t="s">
        <v>484</v>
      </c>
      <c r="C117" s="802">
        <v>0.54</v>
      </c>
      <c r="D117" s="800" t="s">
        <v>484</v>
      </c>
      <c r="E117" s="802">
        <v>0.54</v>
      </c>
      <c r="K117" s="179"/>
      <c r="X117" s="2"/>
      <c r="Y117" s="2"/>
      <c r="Z117" s="2"/>
      <c r="AA117" s="2"/>
      <c r="AB117" s="2"/>
      <c r="AC117" s="2"/>
      <c r="AD117" s="2"/>
      <c r="AE117" s="2"/>
      <c r="AF117" s="2"/>
      <c r="AG117" s="2"/>
      <c r="AH117" s="2"/>
      <c r="AI117" s="2"/>
      <c r="AJ117" s="2"/>
    </row>
    <row r="118" spans="2:36" ht="14.5">
      <c r="B118" s="800" t="s">
        <v>454</v>
      </c>
      <c r="C118" s="802">
        <v>0.71199999999999997</v>
      </c>
      <c r="D118" s="800" t="s">
        <v>454</v>
      </c>
      <c r="E118" s="802">
        <v>0.71199999999999997</v>
      </c>
      <c r="K118" s="179"/>
      <c r="X118" s="2"/>
      <c r="Y118" s="2"/>
      <c r="Z118" s="2"/>
      <c r="AA118" s="2"/>
      <c r="AB118" s="2"/>
      <c r="AC118" s="2"/>
      <c r="AD118" s="2"/>
      <c r="AE118" s="2"/>
      <c r="AF118" s="2"/>
      <c r="AG118" s="2"/>
      <c r="AH118" s="2"/>
      <c r="AI118" s="2"/>
      <c r="AJ118" s="2"/>
    </row>
    <row r="119" spans="2:36" ht="14.5">
      <c r="B119" s="800" t="s">
        <v>485</v>
      </c>
      <c r="C119" s="802">
        <v>0.23400000000000001</v>
      </c>
      <c r="D119" s="800" t="s">
        <v>485</v>
      </c>
      <c r="E119" s="802">
        <v>0.23400000000000001</v>
      </c>
      <c r="K119" s="179"/>
      <c r="X119" s="2"/>
      <c r="Y119" s="2"/>
      <c r="Z119" s="2"/>
      <c r="AA119" s="2"/>
      <c r="AB119" s="2"/>
      <c r="AC119" s="2"/>
      <c r="AD119" s="2"/>
      <c r="AE119" s="2"/>
      <c r="AF119" s="2"/>
      <c r="AG119" s="2"/>
      <c r="AH119" s="2"/>
      <c r="AI119" s="2"/>
      <c r="AJ119" s="2"/>
    </row>
    <row r="120" spans="2:36" ht="14.5">
      <c r="B120" s="175"/>
      <c r="C120" s="169"/>
      <c r="D120" s="175"/>
      <c r="K120" s="179"/>
      <c r="X120" s="2"/>
      <c r="Y120" s="2"/>
      <c r="Z120" s="2"/>
      <c r="AA120" s="2"/>
      <c r="AB120" s="2"/>
      <c r="AC120" s="2"/>
      <c r="AD120" s="2"/>
      <c r="AE120" s="2"/>
      <c r="AF120" s="2"/>
      <c r="AG120" s="2"/>
      <c r="AH120" s="2"/>
      <c r="AI120" s="2"/>
      <c r="AJ120" s="2"/>
    </row>
    <row r="121" spans="2:36" ht="14.5">
      <c r="B121" s="800" t="s">
        <v>486</v>
      </c>
      <c r="C121" s="475">
        <f>(C106*C119)+(C107*C116)+(C110*C118)+(C111*C119)</f>
        <v>310.57482558030483</v>
      </c>
      <c r="D121" s="800" t="s">
        <v>487</v>
      </c>
      <c r="E121" s="475">
        <f>(C106*E119)+(C107*E116)+(C110*E118)+(C111*E119)</f>
        <v>310.57482558030483</v>
      </c>
      <c r="K121" s="179"/>
      <c r="X121" s="2"/>
      <c r="Y121" s="2"/>
      <c r="Z121" s="2"/>
      <c r="AA121" s="2"/>
      <c r="AB121" s="2"/>
      <c r="AC121" s="2"/>
      <c r="AD121" s="2"/>
      <c r="AE121" s="2"/>
      <c r="AF121" s="2"/>
      <c r="AG121" s="2"/>
      <c r="AH121" s="2"/>
      <c r="AI121" s="2"/>
      <c r="AJ121" s="2"/>
    </row>
    <row r="122" spans="2:36" ht="14.5">
      <c r="B122" s="800" t="s">
        <v>488</v>
      </c>
      <c r="C122" s="475">
        <f>C105*C117</f>
        <v>27.475200000000001</v>
      </c>
      <c r="D122" s="800" t="s">
        <v>489</v>
      </c>
      <c r="E122" s="475">
        <v>0</v>
      </c>
      <c r="K122" s="179"/>
      <c r="X122" s="2"/>
      <c r="Y122" s="2"/>
      <c r="Z122" s="2"/>
      <c r="AA122" s="2"/>
      <c r="AB122" s="2"/>
      <c r="AC122" s="2"/>
      <c r="AD122" s="2"/>
      <c r="AE122" s="2"/>
      <c r="AF122" s="2"/>
      <c r="AG122" s="2"/>
      <c r="AH122" s="2"/>
      <c r="AI122" s="2"/>
      <c r="AJ122" s="2"/>
    </row>
    <row r="123" spans="2:36">
      <c r="K123" s="179"/>
      <c r="X123" s="2"/>
      <c r="Y123" s="2"/>
      <c r="Z123" s="2"/>
      <c r="AA123" s="2"/>
      <c r="AB123" s="2"/>
      <c r="AC123" s="2"/>
      <c r="AD123" s="2"/>
      <c r="AE123" s="2"/>
      <c r="AF123" s="2"/>
      <c r="AG123" s="2"/>
      <c r="AH123" s="2"/>
      <c r="AI123" s="2"/>
      <c r="AJ123" s="2"/>
    </row>
    <row r="124" spans="2:36" ht="14.5">
      <c r="B124" s="201" t="s">
        <v>490</v>
      </c>
      <c r="C124" s="171" t="s">
        <v>491</v>
      </c>
      <c r="K124" s="179"/>
      <c r="X124" s="2"/>
      <c r="Y124" s="2"/>
      <c r="Z124" s="2"/>
      <c r="AA124" s="2"/>
      <c r="AB124" s="2"/>
      <c r="AC124" s="2"/>
      <c r="AD124" s="2"/>
      <c r="AE124" s="2"/>
      <c r="AF124" s="2"/>
      <c r="AG124" s="2"/>
      <c r="AH124" s="2"/>
      <c r="AI124" s="2"/>
      <c r="AJ124" s="2"/>
    </row>
    <row r="125" spans="2:36" ht="14.5">
      <c r="B125" s="201" t="s">
        <v>492</v>
      </c>
      <c r="C125" s="201"/>
      <c r="K125" s="179"/>
      <c r="X125" s="2"/>
      <c r="Y125" s="2"/>
      <c r="Z125" s="2"/>
      <c r="AA125" s="2"/>
      <c r="AB125" s="2"/>
      <c r="AC125" s="2"/>
      <c r="AD125" s="2"/>
      <c r="AE125" s="2"/>
      <c r="AF125" s="2"/>
      <c r="AG125" s="2"/>
      <c r="AH125" s="2"/>
      <c r="AI125" s="2"/>
      <c r="AJ125" s="2"/>
    </row>
    <row r="126" spans="2:36">
      <c r="K126" s="179"/>
      <c r="X126" s="2"/>
      <c r="Y126" s="2"/>
      <c r="Z126" s="2"/>
      <c r="AA126" s="2"/>
      <c r="AB126" s="2"/>
      <c r="AC126" s="2"/>
      <c r="AD126" s="2"/>
      <c r="AE126" s="2"/>
      <c r="AF126" s="2"/>
      <c r="AG126" s="2"/>
      <c r="AH126" s="2"/>
      <c r="AI126" s="2"/>
      <c r="AJ126" s="2"/>
    </row>
    <row r="127" spans="2:36">
      <c r="K127" s="179"/>
      <c r="X127" s="2"/>
      <c r="Y127" s="2"/>
      <c r="Z127" s="2"/>
      <c r="AA127" s="2"/>
      <c r="AB127" s="2"/>
      <c r="AC127" s="2"/>
      <c r="AD127" s="2"/>
      <c r="AE127" s="2"/>
      <c r="AF127" s="2"/>
      <c r="AG127" s="2"/>
      <c r="AH127" s="2"/>
      <c r="AI127" s="2"/>
      <c r="AJ127" s="2"/>
    </row>
    <row r="128" spans="2:36">
      <c r="K128" s="179"/>
      <c r="X128" s="2"/>
      <c r="Y128" s="2"/>
      <c r="Z128" s="2"/>
      <c r="AA128" s="2"/>
      <c r="AB128" s="2"/>
      <c r="AC128" s="2"/>
      <c r="AD128" s="2"/>
      <c r="AE128" s="2"/>
      <c r="AF128" s="2"/>
      <c r="AG128" s="2"/>
      <c r="AH128" s="2"/>
      <c r="AI128" s="2"/>
      <c r="AJ128" s="2"/>
    </row>
    <row r="129" spans="1:159">
      <c r="A129" s="281"/>
      <c r="B129" s="281"/>
      <c r="Z129" s="2"/>
      <c r="AA129" s="2"/>
      <c r="AC129" s="273"/>
    </row>
    <row r="130" spans="1:159">
      <c r="A130" s="2" t="s">
        <v>493</v>
      </c>
      <c r="J130" s="14"/>
      <c r="Z130" s="2" t="s">
        <v>494</v>
      </c>
      <c r="AA130" s="14"/>
    </row>
    <row r="131" spans="1:159">
      <c r="A131" s="2">
        <v>1</v>
      </c>
      <c r="B131" s="2" t="s">
        <v>495</v>
      </c>
      <c r="J131" s="14"/>
      <c r="R131" s="207"/>
      <c r="Z131" s="803" t="s">
        <v>496</v>
      </c>
      <c r="AA131" s="803" t="s">
        <v>497</v>
      </c>
      <c r="AB131" s="787" t="s">
        <v>498</v>
      </c>
    </row>
    <row r="132" spans="1:159">
      <c r="A132" s="2">
        <v>2</v>
      </c>
      <c r="B132" s="2" t="s">
        <v>499</v>
      </c>
      <c r="J132" s="14"/>
      <c r="Z132" s="803">
        <f>Z9</f>
        <v>960</v>
      </c>
      <c r="AA132" s="803">
        <f>Z12</f>
        <v>2234</v>
      </c>
      <c r="AB132" s="787">
        <f>SUM(Z132:AA132)</f>
        <v>3194</v>
      </c>
    </row>
    <row r="133" spans="1:159">
      <c r="J133" s="14"/>
    </row>
    <row r="134" spans="1:159">
      <c r="A134" s="2" t="s">
        <v>500</v>
      </c>
      <c r="J134" s="14"/>
      <c r="Z134" s="2"/>
      <c r="AA134" s="2"/>
      <c r="AB134" s="2"/>
    </row>
    <row r="135" spans="1:159">
      <c r="A135" s="2">
        <v>1</v>
      </c>
      <c r="B135" s="2" t="s">
        <v>501</v>
      </c>
      <c r="Z135" s="2"/>
      <c r="AA135" s="2"/>
      <c r="AB135" s="2"/>
    </row>
    <row r="136" spans="1:159">
      <c r="A136" s="14" t="s">
        <v>502</v>
      </c>
      <c r="B136" s="14"/>
      <c r="Z136" s="2"/>
      <c r="AA136" s="2"/>
    </row>
    <row r="137" spans="1:159">
      <c r="Z137" s="2"/>
      <c r="AA137" s="2"/>
    </row>
    <row r="138" spans="1:159">
      <c r="A138" s="2" t="s">
        <v>503</v>
      </c>
      <c r="B138" s="3"/>
      <c r="C138" s="3"/>
      <c r="R138" s="85"/>
      <c r="Z138" s="2"/>
      <c r="AA138" s="2"/>
      <c r="AB138" s="2"/>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Z138" s="84"/>
      <c r="FA138" s="84"/>
      <c r="FB138" s="84"/>
      <c r="FC138" s="84"/>
    </row>
    <row r="139" spans="1:159">
      <c r="A139" s="3">
        <v>1</v>
      </c>
      <c r="B139" s="18" t="s">
        <v>504</v>
      </c>
      <c r="C139" s="3"/>
      <c r="P139" s="167">
        <v>0.1</v>
      </c>
      <c r="Q139" s="2" t="s">
        <v>505</v>
      </c>
      <c r="AB139" s="2"/>
      <c r="EZ139" s="84"/>
      <c r="FA139" s="84"/>
      <c r="FB139" s="84"/>
      <c r="FC139" s="84"/>
    </row>
    <row r="140" spans="1:159">
      <c r="A140" s="3">
        <v>2</v>
      </c>
      <c r="B140" s="18" t="s">
        <v>506</v>
      </c>
      <c r="C140" s="3"/>
      <c r="AB140" s="2"/>
    </row>
    <row r="141" spans="1:159">
      <c r="A141" s="3">
        <v>3</v>
      </c>
      <c r="B141" s="18" t="s">
        <v>507</v>
      </c>
      <c r="C141" s="3"/>
      <c r="Z141" s="2"/>
      <c r="AA141" s="2"/>
      <c r="AB141" s="2"/>
    </row>
    <row r="142" spans="1:159">
      <c r="A142" s="3">
        <v>4</v>
      </c>
      <c r="B142" s="18" t="s">
        <v>508</v>
      </c>
      <c r="C142" s="3"/>
      <c r="AB142" s="2"/>
    </row>
    <row r="143" spans="1:159">
      <c r="A143" s="3">
        <v>5</v>
      </c>
      <c r="B143" s="18" t="s">
        <v>509</v>
      </c>
      <c r="C143" s="3"/>
      <c r="AB143" s="2"/>
    </row>
    <row r="144" spans="1:159">
      <c r="A144" s="3">
        <v>6</v>
      </c>
      <c r="B144" s="18" t="s">
        <v>510</v>
      </c>
      <c r="C144" s="3"/>
      <c r="Z144" s="2"/>
      <c r="AA144" s="2"/>
      <c r="AB144" s="2"/>
    </row>
    <row r="145" spans="1:30" ht="13.5" thickBot="1">
      <c r="A145" s="3"/>
      <c r="B145" s="18"/>
      <c r="C145" s="3"/>
      <c r="AB145" s="2"/>
    </row>
    <row r="146" spans="1:30">
      <c r="A146" s="3"/>
      <c r="B146" s="18"/>
      <c r="C146" s="3"/>
      <c r="F146" s="1365" t="s">
        <v>511</v>
      </c>
      <c r="G146" s="1365"/>
      <c r="H146" s="1365"/>
      <c r="I146" s="1365" t="s">
        <v>512</v>
      </c>
      <c r="J146" s="1365"/>
      <c r="K146" s="1366"/>
      <c r="L146" s="1391" t="s">
        <v>513</v>
      </c>
      <c r="M146" s="1392"/>
      <c r="N146" s="1393"/>
      <c r="AB146" s="2"/>
    </row>
    <row r="147" spans="1:30">
      <c r="A147" s="3"/>
      <c r="B147" s="803" t="s">
        <v>514</v>
      </c>
      <c r="C147" s="803" t="s">
        <v>515</v>
      </c>
      <c r="D147" s="803" t="s">
        <v>516</v>
      </c>
      <c r="E147" s="803" t="s">
        <v>327</v>
      </c>
      <c r="F147" s="803" t="s">
        <v>131</v>
      </c>
      <c r="G147" s="803" t="s">
        <v>132</v>
      </c>
      <c r="H147" s="803" t="s">
        <v>133</v>
      </c>
      <c r="I147" s="803" t="s">
        <v>131</v>
      </c>
      <c r="J147" s="803" t="s">
        <v>132</v>
      </c>
      <c r="K147" s="804" t="s">
        <v>133</v>
      </c>
      <c r="L147" s="805" t="s">
        <v>131</v>
      </c>
      <c r="M147" s="803" t="s">
        <v>132</v>
      </c>
      <c r="N147" s="806" t="s">
        <v>133</v>
      </c>
      <c r="Z147" s="2"/>
      <c r="AA147" s="2"/>
      <c r="AB147" s="2"/>
    </row>
    <row r="148" spans="1:30">
      <c r="A148" s="3"/>
      <c r="B148" s="787" t="s">
        <v>517</v>
      </c>
      <c r="C148" s="807">
        <v>0.8</v>
      </c>
      <c r="D148" s="803">
        <f>C148*$D$150</f>
        <v>3200</v>
      </c>
      <c r="E148" s="808">
        <v>1500</v>
      </c>
      <c r="F148" s="809">
        <v>1217.1949274678097</v>
      </c>
      <c r="G148" s="810">
        <v>0.10299175308573574</v>
      </c>
      <c r="H148" s="810">
        <v>0</v>
      </c>
      <c r="I148" s="809">
        <v>1603.2567482282041</v>
      </c>
      <c r="J148" s="810">
        <v>0.13812794820606622</v>
      </c>
      <c r="K148" s="811">
        <v>31.77592692101021</v>
      </c>
      <c r="L148" s="812">
        <f>AVERAGE(F148,I148)</f>
        <v>1410.2258378480069</v>
      </c>
      <c r="M148" s="813">
        <f t="shared" ref="M148:N150" si="75">AVERAGE(G148,J148)</f>
        <v>0.12055985064590098</v>
      </c>
      <c r="N148" s="814">
        <f t="shared" si="75"/>
        <v>15.887963460505105</v>
      </c>
      <c r="Z148" s="2"/>
      <c r="AA148" s="2"/>
      <c r="AB148" s="2"/>
    </row>
    <row r="149" spans="1:30">
      <c r="A149" s="3"/>
      <c r="B149" s="787" t="s">
        <v>518</v>
      </c>
      <c r="C149" s="815">
        <f>1-C148</f>
        <v>0.19999999999999996</v>
      </c>
      <c r="D149" s="803">
        <f>C149*$D$150</f>
        <v>799.99999999999977</v>
      </c>
      <c r="E149" s="808">
        <v>750</v>
      </c>
      <c r="F149" s="816">
        <f>F148*($E$149/$E$148)</f>
        <v>608.59746373390487</v>
      </c>
      <c r="G149" s="816">
        <f>G148*($E$149/$E$148)</f>
        <v>5.1495876542867872E-2</v>
      </c>
      <c r="H149" s="816">
        <f>H148*($E$149/$E$148)</f>
        <v>0</v>
      </c>
      <c r="I149" s="816">
        <f>I148*($E$149/$E$148)</f>
        <v>801.62837411410203</v>
      </c>
      <c r="J149" s="816">
        <f t="shared" ref="J149" si="76">J148*($E$149/$E$148)</f>
        <v>6.906397410303311E-2</v>
      </c>
      <c r="K149" s="816">
        <f>K148*($E$149/$E$148)</f>
        <v>15.887963460505105</v>
      </c>
      <c r="L149" s="817">
        <f t="shared" ref="L149:L150" si="77">AVERAGE(F149,I149)</f>
        <v>705.11291892400345</v>
      </c>
      <c r="M149" s="816">
        <f t="shared" si="75"/>
        <v>6.0279925322950491E-2</v>
      </c>
      <c r="N149" s="818">
        <f>AVERAGE(H149,K149)</f>
        <v>7.9439817302525526</v>
      </c>
      <c r="Z149" s="2"/>
      <c r="AA149" s="2"/>
      <c r="AB149" s="2"/>
    </row>
    <row r="150" spans="1:30" ht="13.5" thickBot="1">
      <c r="A150" s="3"/>
      <c r="B150" s="819" t="s">
        <v>148</v>
      </c>
      <c r="C150" s="815">
        <v>1</v>
      </c>
      <c r="D150" s="787">
        <v>4000</v>
      </c>
      <c r="E150" s="808">
        <f t="shared" ref="E150:K150" si="78">SUMPRODUCT(E148:E149,$C$148:$C$149)</f>
        <v>1350</v>
      </c>
      <c r="F150" s="820">
        <f t="shared" si="78"/>
        <v>1095.4754347210289</v>
      </c>
      <c r="G150" s="820">
        <f t="shared" si="78"/>
        <v>9.269257777716218E-2</v>
      </c>
      <c r="H150" s="820">
        <f t="shared" si="78"/>
        <v>0</v>
      </c>
      <c r="I150" s="820">
        <f t="shared" si="78"/>
        <v>1442.9310734053838</v>
      </c>
      <c r="J150" s="820">
        <f t="shared" si="78"/>
        <v>0.12431515338545959</v>
      </c>
      <c r="K150" s="821">
        <f t="shared" si="78"/>
        <v>28.598334228909188</v>
      </c>
      <c r="L150" s="1307">
        <f t="shared" si="77"/>
        <v>1269.2032540632063</v>
      </c>
      <c r="M150" s="822">
        <f t="shared" si="75"/>
        <v>0.10850386558131089</v>
      </c>
      <c r="N150" s="1308">
        <f t="shared" si="75"/>
        <v>14.299167114454594</v>
      </c>
      <c r="Z150" s="2"/>
      <c r="AA150" s="2"/>
      <c r="AB150" s="2"/>
    </row>
    <row r="151" spans="1:30">
      <c r="A151" s="3"/>
      <c r="B151" s="18"/>
      <c r="C151" s="3"/>
      <c r="Z151" s="2"/>
      <c r="AA151" s="2"/>
      <c r="AB151" s="2"/>
    </row>
    <row r="152" spans="1:30">
      <c r="E152" s="187"/>
      <c r="Z152" s="2"/>
      <c r="AA152" s="2"/>
      <c r="AB152" s="2"/>
    </row>
    <row r="153" spans="1:30">
      <c r="B153" s="2" t="s">
        <v>519</v>
      </c>
      <c r="E153" s="90"/>
    </row>
    <row r="154" spans="1:30">
      <c r="B154" s="823" t="s">
        <v>136</v>
      </c>
      <c r="C154" s="823" t="s">
        <v>137</v>
      </c>
      <c r="D154" s="823" t="s">
        <v>339</v>
      </c>
      <c r="M154" s="1333">
        <f>M148/L148</f>
        <v>8.5489747393846025E-5</v>
      </c>
    </row>
    <row r="155" spans="1:30">
      <c r="B155" s="660" t="s">
        <v>520</v>
      </c>
      <c r="C155" s="660" t="s">
        <v>521</v>
      </c>
      <c r="D155" s="660" t="s">
        <v>522</v>
      </c>
      <c r="M155" s="1333">
        <f>M149/L149</f>
        <v>8.5489747393846025E-5</v>
      </c>
      <c r="AC155" s="2"/>
      <c r="AD155" s="2"/>
    </row>
    <row r="156" spans="1:30">
      <c r="B156" s="660" t="s">
        <v>523</v>
      </c>
      <c r="C156" s="660" t="s">
        <v>524</v>
      </c>
      <c r="D156" s="660" t="s">
        <v>522</v>
      </c>
      <c r="AC156" s="2"/>
      <c r="AD156" s="2"/>
    </row>
    <row r="157" spans="1:30">
      <c r="B157" s="660" t="s">
        <v>525</v>
      </c>
      <c r="C157" s="660" t="s">
        <v>526</v>
      </c>
      <c r="D157" s="660" t="s">
        <v>522</v>
      </c>
      <c r="J157" s="3"/>
      <c r="K157" s="3"/>
      <c r="M157" s="2">
        <f>1/8760</f>
        <v>1.1415525114155251E-4</v>
      </c>
      <c r="AC157" s="2"/>
      <c r="AD157" s="2"/>
    </row>
    <row r="158" spans="1:30">
      <c r="B158" s="660" t="s">
        <v>527</v>
      </c>
      <c r="C158" s="660" t="s">
        <v>528</v>
      </c>
      <c r="D158" s="660" t="s">
        <v>522</v>
      </c>
      <c r="J158" s="3"/>
      <c r="K158" s="3"/>
      <c r="M158" s="542">
        <f>M157/M155</f>
        <v>1.335309257794929</v>
      </c>
      <c r="AC158" s="2"/>
      <c r="AD158" s="2"/>
    </row>
    <row r="159" spans="1:30">
      <c r="B159" s="660" t="s">
        <v>529</v>
      </c>
      <c r="C159" s="660" t="s">
        <v>530</v>
      </c>
      <c r="D159" s="660" t="s">
        <v>522</v>
      </c>
      <c r="J159" s="3"/>
      <c r="K159" s="3"/>
      <c r="AC159" s="2"/>
      <c r="AD159" s="2"/>
    </row>
    <row r="160" spans="1:30">
      <c r="B160" s="660" t="s">
        <v>531</v>
      </c>
      <c r="C160" s="660" t="s">
        <v>532</v>
      </c>
      <c r="D160" s="660" t="s">
        <v>522</v>
      </c>
      <c r="J160" s="3"/>
      <c r="K160" s="3"/>
      <c r="AC160" s="2"/>
      <c r="AD160" s="2"/>
    </row>
    <row r="161" spans="2:30">
      <c r="B161" s="660" t="s">
        <v>533</v>
      </c>
      <c r="C161" s="660" t="s">
        <v>534</v>
      </c>
      <c r="D161" s="660" t="s">
        <v>522</v>
      </c>
      <c r="J161" s="3"/>
      <c r="K161" s="3"/>
      <c r="AC161" s="2"/>
      <c r="AD161" s="2"/>
    </row>
    <row r="162" spans="2:30">
      <c r="B162" s="660" t="s">
        <v>535</v>
      </c>
      <c r="C162" s="660" t="s">
        <v>536</v>
      </c>
      <c r="D162" s="660" t="s">
        <v>522</v>
      </c>
      <c r="J162" s="3"/>
      <c r="K162" s="3"/>
      <c r="AC162" s="2"/>
      <c r="AD162" s="2"/>
    </row>
    <row r="163" spans="2:30">
      <c r="B163" s="660" t="s">
        <v>537</v>
      </c>
      <c r="C163" s="660" t="s">
        <v>538</v>
      </c>
      <c r="D163" s="660" t="s">
        <v>522</v>
      </c>
      <c r="J163" s="3"/>
      <c r="K163" s="3"/>
      <c r="AC163" s="2"/>
      <c r="AD163" s="2"/>
    </row>
    <row r="164" spans="2:30">
      <c r="B164" s="660" t="s">
        <v>539</v>
      </c>
      <c r="C164" s="660" t="s">
        <v>540</v>
      </c>
      <c r="D164" s="660" t="s">
        <v>522</v>
      </c>
      <c r="J164" s="3"/>
      <c r="K164" s="3"/>
      <c r="AC164" s="2"/>
      <c r="AD164" s="2"/>
    </row>
    <row r="165" spans="2:30">
      <c r="B165" s="660" t="s">
        <v>541</v>
      </c>
      <c r="C165" s="660" t="s">
        <v>542</v>
      </c>
      <c r="D165" s="660" t="s">
        <v>522</v>
      </c>
      <c r="J165" s="3"/>
      <c r="K165" s="3"/>
    </row>
    <row r="166" spans="2:30">
      <c r="B166" s="660" t="s">
        <v>543</v>
      </c>
      <c r="C166" s="660" t="s">
        <v>544</v>
      </c>
      <c r="D166" s="660" t="s">
        <v>522</v>
      </c>
      <c r="J166" s="3"/>
      <c r="K166" s="3"/>
    </row>
    <row r="167" spans="2:30">
      <c r="B167" s="660" t="s">
        <v>545</v>
      </c>
      <c r="C167" s="660" t="s">
        <v>546</v>
      </c>
      <c r="D167" s="660" t="s">
        <v>522</v>
      </c>
    </row>
    <row r="169" spans="2:30">
      <c r="B169" s="2" t="s">
        <v>547</v>
      </c>
    </row>
    <row r="170" spans="2:30">
      <c r="B170" s="803"/>
      <c r="C170" s="803" t="s">
        <v>548</v>
      </c>
      <c r="D170" s="803"/>
      <c r="E170" s="803" t="s">
        <v>549</v>
      </c>
      <c r="F170" s="803"/>
      <c r="G170" s="803" t="s">
        <v>550</v>
      </c>
      <c r="H170" s="803" t="s">
        <v>551</v>
      </c>
    </row>
    <row r="171" spans="2:30">
      <c r="B171" s="803" t="s">
        <v>552</v>
      </c>
      <c r="C171" s="803" t="s">
        <v>553</v>
      </c>
      <c r="D171" s="803" t="s">
        <v>554</v>
      </c>
      <c r="E171" s="803" t="s">
        <v>553</v>
      </c>
      <c r="F171" s="803" t="s">
        <v>554</v>
      </c>
      <c r="G171" s="803"/>
      <c r="H171" s="803"/>
    </row>
    <row r="172" spans="2:30">
      <c r="B172" s="803" t="s">
        <v>533</v>
      </c>
      <c r="C172" s="803">
        <v>45194</v>
      </c>
      <c r="D172" s="803">
        <v>5948</v>
      </c>
      <c r="E172" s="803">
        <v>19430</v>
      </c>
      <c r="F172" s="803">
        <v>2750</v>
      </c>
      <c r="G172" s="803">
        <v>64624</v>
      </c>
      <c r="H172" s="803">
        <v>8698</v>
      </c>
    </row>
    <row r="173" spans="2:30">
      <c r="B173" s="803" t="s">
        <v>555</v>
      </c>
      <c r="C173" s="803">
        <v>45194</v>
      </c>
      <c r="D173" s="803">
        <v>5948</v>
      </c>
      <c r="E173" s="803">
        <v>19430</v>
      </c>
      <c r="F173" s="803">
        <v>2750</v>
      </c>
      <c r="G173" s="803">
        <v>64624</v>
      </c>
      <c r="H173" s="803">
        <v>8698</v>
      </c>
    </row>
    <row r="175" spans="2:30">
      <c r="H175" s="820">
        <f>G173/H173</f>
        <v>7.4297539664290637</v>
      </c>
      <c r="I175" s="803" t="s">
        <v>556</v>
      </c>
    </row>
    <row r="176" spans="2:30">
      <c r="H176" s="820">
        <f>SUMPRODUCT(D178:D181,G178:G181)</f>
        <v>-0.37238581451003444</v>
      </c>
      <c r="I176" s="803" t="s">
        <v>557</v>
      </c>
    </row>
    <row r="177" spans="2:8" ht="26">
      <c r="B177" s="823" t="s">
        <v>136</v>
      </c>
      <c r="C177" s="823" t="s">
        <v>137</v>
      </c>
      <c r="D177" s="692" t="s">
        <v>344</v>
      </c>
      <c r="E177" s="803" t="s">
        <v>558</v>
      </c>
      <c r="F177" s="803" t="s">
        <v>559</v>
      </c>
      <c r="G177" s="803" t="s">
        <v>560</v>
      </c>
      <c r="H177" s="86"/>
    </row>
    <row r="178" spans="2:8">
      <c r="B178" s="789" t="s">
        <v>561</v>
      </c>
      <c r="C178" s="789" t="s">
        <v>561</v>
      </c>
      <c r="D178" s="824">
        <v>-0.83289999999999997</v>
      </c>
      <c r="E178" s="825">
        <f>SUMIF($G$188:$G$203,B178,$F$188:$F$203)/SUM($F$188:$F$203)</f>
        <v>0.98790830464354684</v>
      </c>
      <c r="F178" s="826">
        <v>0.4</v>
      </c>
      <c r="G178" s="826">
        <v>0.39516332185741876</v>
      </c>
      <c r="H178" s="86"/>
    </row>
    <row r="179" spans="2:8">
      <c r="B179" s="789" t="s">
        <v>561</v>
      </c>
      <c r="C179" s="789" t="s">
        <v>561</v>
      </c>
      <c r="D179" s="824">
        <v>-6.9408333333333336E-2</v>
      </c>
      <c r="E179" s="825">
        <f t="shared" ref="E179:E181" si="79">SUMIF($G$188:$G$203,B179,$F$188:$F$203)/SUM($F$188:$F$203)</f>
        <v>0.98790830464354684</v>
      </c>
      <c r="F179" s="826">
        <v>0.6</v>
      </c>
      <c r="G179" s="826">
        <v>0.59274498278612808</v>
      </c>
      <c r="H179" s="86"/>
    </row>
    <row r="180" spans="2:8">
      <c r="B180" s="789" t="s">
        <v>562</v>
      </c>
      <c r="C180" s="789" t="s">
        <v>562</v>
      </c>
      <c r="D180" s="824">
        <v>-0.38829999999999998</v>
      </c>
      <c r="E180" s="825">
        <f t="shared" si="79"/>
        <v>1.2091695356453103E-2</v>
      </c>
      <c r="F180" s="826">
        <v>0.4</v>
      </c>
      <c r="G180" s="826">
        <v>4.8366781425812416E-3</v>
      </c>
      <c r="H180" s="86"/>
    </row>
    <row r="181" spans="2:8">
      <c r="B181" s="789" t="s">
        <v>562</v>
      </c>
      <c r="C181" s="789" t="s">
        <v>562</v>
      </c>
      <c r="D181" s="824">
        <v>-3.2358333333333336E-2</v>
      </c>
      <c r="E181" s="825">
        <f t="shared" si="79"/>
        <v>1.2091695356453103E-2</v>
      </c>
      <c r="F181" s="826">
        <v>0.6</v>
      </c>
      <c r="G181" s="826">
        <v>7.2550172138718611E-3</v>
      </c>
      <c r="H181" s="86"/>
    </row>
    <row r="182" spans="2:8">
      <c r="F182" s="273" t="s">
        <v>416</v>
      </c>
      <c r="G182" s="273" t="s">
        <v>416</v>
      </c>
      <c r="H182" s="86"/>
    </row>
    <row r="183" spans="2:8">
      <c r="H183" s="86"/>
    </row>
    <row r="185" spans="2:8">
      <c r="B185" s="2" t="s">
        <v>547</v>
      </c>
    </row>
    <row r="186" spans="2:8">
      <c r="B186" s="2" t="s">
        <v>563</v>
      </c>
      <c r="G186" s="2" t="s">
        <v>564</v>
      </c>
    </row>
    <row r="187" spans="2:8" ht="14.5">
      <c r="B187" s="15" t="s">
        <v>565</v>
      </c>
      <c r="D187" s="87" t="s">
        <v>552</v>
      </c>
      <c r="E187" s="87" t="s">
        <v>566</v>
      </c>
      <c r="F187" s="87" t="s">
        <v>567</v>
      </c>
      <c r="G187" s="2" t="s">
        <v>568</v>
      </c>
    </row>
    <row r="188" spans="2:8" ht="14.5">
      <c r="B188" s="16" t="s">
        <v>520</v>
      </c>
      <c r="D188" s="88" t="s">
        <v>533</v>
      </c>
      <c r="E188" t="s">
        <v>569</v>
      </c>
      <c r="F188">
        <v>114</v>
      </c>
      <c r="G188" s="789" t="s">
        <v>562</v>
      </c>
    </row>
    <row r="189" spans="2:8" ht="14.5">
      <c r="B189" s="17" t="s">
        <v>570</v>
      </c>
      <c r="D189" s="88"/>
      <c r="E189" t="s">
        <v>571</v>
      </c>
      <c r="F189">
        <v>8</v>
      </c>
      <c r="G189" s="789" t="s">
        <v>562</v>
      </c>
    </row>
    <row r="190" spans="2:8" ht="14.5">
      <c r="B190" s="17" t="s">
        <v>572</v>
      </c>
      <c r="D190" s="88"/>
      <c r="E190" t="s">
        <v>573</v>
      </c>
      <c r="F190">
        <v>511</v>
      </c>
      <c r="G190" s="789" t="s">
        <v>561</v>
      </c>
    </row>
    <row r="191" spans="2:8" ht="14.5">
      <c r="B191" s="17" t="s">
        <v>574</v>
      </c>
      <c r="D191" s="88"/>
      <c r="E191" t="s">
        <v>575</v>
      </c>
      <c r="F191">
        <v>34</v>
      </c>
      <c r="G191" s="789" t="s">
        <v>561</v>
      </c>
    </row>
    <row r="192" spans="2:8" ht="14.5">
      <c r="B192" s="17" t="s">
        <v>576</v>
      </c>
      <c r="D192" s="88"/>
      <c r="E192" t="s">
        <v>577</v>
      </c>
      <c r="F192">
        <v>598</v>
      </c>
      <c r="G192" s="789" t="s">
        <v>562</v>
      </c>
    </row>
    <row r="193" spans="2:7" ht="14.5">
      <c r="B193" s="17" t="s">
        <v>578</v>
      </c>
      <c r="D193" s="88"/>
      <c r="E193" t="s">
        <v>579</v>
      </c>
      <c r="F193">
        <v>3351</v>
      </c>
      <c r="G193" s="789" t="s">
        <v>561</v>
      </c>
    </row>
    <row r="194" spans="2:7" ht="14.5">
      <c r="B194" s="17" t="s">
        <v>580</v>
      </c>
      <c r="D194" s="88"/>
      <c r="E194" t="s">
        <v>581</v>
      </c>
      <c r="F194">
        <v>2207</v>
      </c>
      <c r="G194" s="789" t="s">
        <v>561</v>
      </c>
    </row>
    <row r="195" spans="2:7" ht="14.5">
      <c r="B195" s="17" t="s">
        <v>582</v>
      </c>
      <c r="D195" s="88"/>
      <c r="E195" t="s">
        <v>583</v>
      </c>
      <c r="F195">
        <v>286</v>
      </c>
      <c r="G195" s="789" t="s">
        <v>561</v>
      </c>
    </row>
    <row r="196" spans="2:7" ht="14.5">
      <c r="B196" s="17" t="s">
        <v>584</v>
      </c>
      <c r="D196" s="88"/>
      <c r="E196" t="s">
        <v>585</v>
      </c>
      <c r="F196">
        <v>4465</v>
      </c>
      <c r="G196" s="789" t="s">
        <v>561</v>
      </c>
    </row>
    <row r="197" spans="2:7" ht="14.5">
      <c r="B197" s="16" t="s">
        <v>523</v>
      </c>
      <c r="D197" s="88"/>
      <c r="E197" t="s">
        <v>586</v>
      </c>
      <c r="F197">
        <v>27289</v>
      </c>
      <c r="G197" s="789" t="s">
        <v>561</v>
      </c>
    </row>
    <row r="198" spans="2:7" ht="14.5">
      <c r="B198" s="17" t="s">
        <v>587</v>
      </c>
      <c r="D198" s="88"/>
      <c r="E198" t="s">
        <v>588</v>
      </c>
      <c r="F198">
        <v>2151</v>
      </c>
      <c r="G198" s="789" t="s">
        <v>561</v>
      </c>
    </row>
    <row r="199" spans="2:7" ht="14.5">
      <c r="B199" s="17" t="s">
        <v>589</v>
      </c>
      <c r="D199" s="88"/>
      <c r="E199" t="s">
        <v>590</v>
      </c>
      <c r="F199">
        <v>24</v>
      </c>
      <c r="G199" s="789" t="s">
        <v>561</v>
      </c>
    </row>
    <row r="200" spans="2:7" ht="14.5">
      <c r="B200" s="17" t="s">
        <v>591</v>
      </c>
      <c r="D200" s="88"/>
      <c r="E200" t="s">
        <v>592</v>
      </c>
      <c r="F200">
        <v>4376</v>
      </c>
      <c r="G200" s="789" t="s">
        <v>561</v>
      </c>
    </row>
    <row r="201" spans="2:7" ht="14.5">
      <c r="B201" s="17" t="s">
        <v>593</v>
      </c>
      <c r="D201" s="88"/>
      <c r="E201" t="s">
        <v>594</v>
      </c>
      <c r="F201">
        <v>1149</v>
      </c>
      <c r="G201" s="789" t="s">
        <v>561</v>
      </c>
    </row>
    <row r="202" spans="2:7" ht="14.5">
      <c r="B202" s="17" t="s">
        <v>595</v>
      </c>
      <c r="D202" s="88"/>
      <c r="E202" t="s">
        <v>596</v>
      </c>
      <c r="F202">
        <v>12881</v>
      </c>
      <c r="G202" s="789" t="s">
        <v>561</v>
      </c>
    </row>
    <row r="203" spans="2:7" ht="14.5">
      <c r="B203" s="17" t="s">
        <v>597</v>
      </c>
      <c r="D203" s="89"/>
      <c r="E203" t="s">
        <v>598</v>
      </c>
      <c r="F203">
        <v>101</v>
      </c>
      <c r="G203" s="789" t="s">
        <v>561</v>
      </c>
    </row>
    <row r="204" spans="2:7" ht="14.5">
      <c r="B204" s="17" t="s">
        <v>599</v>
      </c>
    </row>
    <row r="205" spans="2:7" ht="14.5">
      <c r="B205" s="17" t="s">
        <v>600</v>
      </c>
    </row>
    <row r="206" spans="2:7" ht="14.5">
      <c r="B206" s="17" t="s">
        <v>601</v>
      </c>
    </row>
    <row r="207" spans="2:7" ht="14.5">
      <c r="B207" s="17" t="s">
        <v>602</v>
      </c>
    </row>
    <row r="208" spans="2:7" ht="14.5">
      <c r="B208" s="17" t="s">
        <v>603</v>
      </c>
      <c r="E208" s="17"/>
    </row>
    <row r="209" spans="2:5" ht="14.5">
      <c r="B209" s="17" t="s">
        <v>604</v>
      </c>
      <c r="E209" s="17"/>
    </row>
    <row r="210" spans="2:5" ht="14.5">
      <c r="B210" s="17" t="s">
        <v>605</v>
      </c>
      <c r="E210" s="17"/>
    </row>
    <row r="211" spans="2:5" ht="14.5">
      <c r="B211" s="17" t="s">
        <v>606</v>
      </c>
      <c r="E211" s="17"/>
    </row>
    <row r="212" spans="2:5" ht="14.5">
      <c r="B212" s="17" t="s">
        <v>607</v>
      </c>
      <c r="E212" s="17"/>
    </row>
    <row r="213" spans="2:5" ht="14.5">
      <c r="B213" s="17" t="s">
        <v>608</v>
      </c>
      <c r="E213" s="17"/>
    </row>
    <row r="214" spans="2:5" ht="14.5">
      <c r="B214" s="17" t="s">
        <v>609</v>
      </c>
    </row>
    <row r="215" spans="2:5" ht="14.5">
      <c r="B215" s="17" t="s">
        <v>610</v>
      </c>
    </row>
    <row r="216" spans="2:5" ht="14.5">
      <c r="B216" s="17" t="s">
        <v>611</v>
      </c>
    </row>
    <row r="217" spans="2:5" ht="14.5">
      <c r="B217" s="17" t="s">
        <v>612</v>
      </c>
    </row>
    <row r="218" spans="2:5" ht="14.5">
      <c r="B218" s="17" t="s">
        <v>613</v>
      </c>
    </row>
    <row r="219" spans="2:5" ht="14.5">
      <c r="B219" s="17" t="s">
        <v>614</v>
      </c>
    </row>
    <row r="220" spans="2:5" ht="14.5">
      <c r="B220" s="17" t="s">
        <v>615</v>
      </c>
    </row>
    <row r="221" spans="2:5" ht="14.5">
      <c r="B221" s="17" t="s">
        <v>616</v>
      </c>
    </row>
    <row r="222" spans="2:5" ht="14.5">
      <c r="B222" s="17" t="s">
        <v>617</v>
      </c>
    </row>
    <row r="223" spans="2:5" ht="14.5">
      <c r="B223" s="17" t="s">
        <v>618</v>
      </c>
    </row>
    <row r="224" spans="2:5" ht="14.5">
      <c r="B224" s="17" t="s">
        <v>619</v>
      </c>
    </row>
    <row r="225" spans="2:2" ht="14.5">
      <c r="B225" s="17" t="s">
        <v>620</v>
      </c>
    </row>
    <row r="226" spans="2:2" ht="14.5">
      <c r="B226" s="17" t="s">
        <v>621</v>
      </c>
    </row>
    <row r="227" spans="2:2" ht="14.5">
      <c r="B227" s="17" t="s">
        <v>622</v>
      </c>
    </row>
    <row r="228" spans="2:2" ht="14.5">
      <c r="B228" s="17" t="s">
        <v>623</v>
      </c>
    </row>
    <row r="229" spans="2:2" ht="14.5">
      <c r="B229" s="17" t="s">
        <v>624</v>
      </c>
    </row>
    <row r="230" spans="2:2" ht="14.5">
      <c r="B230" s="17" t="s">
        <v>625</v>
      </c>
    </row>
    <row r="231" spans="2:2" ht="14.5">
      <c r="B231" s="17" t="s">
        <v>626</v>
      </c>
    </row>
    <row r="232" spans="2:2" ht="14.5">
      <c r="B232" s="17" t="s">
        <v>627</v>
      </c>
    </row>
    <row r="233" spans="2:2" ht="14.5">
      <c r="B233" s="17" t="s">
        <v>628</v>
      </c>
    </row>
    <row r="234" spans="2:2" ht="14.5">
      <c r="B234" s="17" t="s">
        <v>629</v>
      </c>
    </row>
    <row r="235" spans="2:2" ht="14.5">
      <c r="B235" s="17" t="s">
        <v>630</v>
      </c>
    </row>
    <row r="236" spans="2:2" ht="14.5">
      <c r="B236" s="17" t="s">
        <v>631</v>
      </c>
    </row>
    <row r="237" spans="2:2" ht="14.5">
      <c r="B237" s="17" t="s">
        <v>632</v>
      </c>
    </row>
    <row r="238" spans="2:2" ht="14.5">
      <c r="B238" s="17" t="s">
        <v>633</v>
      </c>
    </row>
    <row r="239" spans="2:2" ht="14.5">
      <c r="B239" s="17" t="s">
        <v>634</v>
      </c>
    </row>
    <row r="240" spans="2:2" ht="14.5">
      <c r="B240" s="17" t="s">
        <v>635</v>
      </c>
    </row>
    <row r="241" spans="2:2" ht="14.5">
      <c r="B241" s="17" t="s">
        <v>584</v>
      </c>
    </row>
    <row r="242" spans="2:2" ht="14.5">
      <c r="B242" s="17" t="s">
        <v>636</v>
      </c>
    </row>
    <row r="243" spans="2:2" ht="14.5">
      <c r="B243" s="17" t="s">
        <v>637</v>
      </c>
    </row>
    <row r="244" spans="2:2" ht="14.5">
      <c r="B244" s="17" t="s">
        <v>638</v>
      </c>
    </row>
    <row r="245" spans="2:2" ht="14.5">
      <c r="B245" s="17" t="s">
        <v>639</v>
      </c>
    </row>
    <row r="246" spans="2:2" ht="14.5">
      <c r="B246" s="16" t="s">
        <v>525</v>
      </c>
    </row>
    <row r="247" spans="2:2" ht="14.5">
      <c r="B247" s="17" t="s">
        <v>640</v>
      </c>
    </row>
    <row r="248" spans="2:2" ht="14.5">
      <c r="B248" s="16" t="s">
        <v>527</v>
      </c>
    </row>
    <row r="249" spans="2:2" ht="14.5">
      <c r="B249" s="17" t="s">
        <v>641</v>
      </c>
    </row>
    <row r="250" spans="2:2" ht="14.5">
      <c r="B250" s="17" t="s">
        <v>642</v>
      </c>
    </row>
    <row r="251" spans="2:2" ht="14.5">
      <c r="B251" s="17" t="s">
        <v>643</v>
      </c>
    </row>
    <row r="252" spans="2:2" ht="14.5">
      <c r="B252" s="17" t="s">
        <v>644</v>
      </c>
    </row>
    <row r="253" spans="2:2" ht="14.5">
      <c r="B253" s="17" t="s">
        <v>645</v>
      </c>
    </row>
    <row r="254" spans="2:2" ht="14.5">
      <c r="B254" s="17" t="s">
        <v>584</v>
      </c>
    </row>
    <row r="255" spans="2:2" ht="14.5">
      <c r="B255" s="17" t="s">
        <v>646</v>
      </c>
    </row>
    <row r="256" spans="2:2" ht="14.5">
      <c r="B256" s="16" t="s">
        <v>647</v>
      </c>
    </row>
    <row r="257" spans="2:2" ht="14.5">
      <c r="B257" s="17" t="s">
        <v>648</v>
      </c>
    </row>
    <row r="258" spans="2:2" ht="14.5">
      <c r="B258" s="17" t="s">
        <v>649</v>
      </c>
    </row>
    <row r="259" spans="2:2" ht="14.5">
      <c r="B259" s="17" t="s">
        <v>650</v>
      </c>
    </row>
    <row r="260" spans="2:2" ht="14.5">
      <c r="B260" s="17" t="s">
        <v>651</v>
      </c>
    </row>
    <row r="261" spans="2:2" ht="14.5">
      <c r="B261" s="16" t="s">
        <v>652</v>
      </c>
    </row>
    <row r="262" spans="2:2" ht="14.5">
      <c r="B262" s="17" t="s">
        <v>653</v>
      </c>
    </row>
    <row r="263" spans="2:2" ht="14.5">
      <c r="B263" s="17" t="s">
        <v>654</v>
      </c>
    </row>
    <row r="264" spans="2:2" ht="14.5">
      <c r="B264" s="17" t="s">
        <v>655</v>
      </c>
    </row>
    <row r="265" spans="2:2" ht="14.5">
      <c r="B265" s="17" t="s">
        <v>656</v>
      </c>
    </row>
    <row r="266" spans="2:2" ht="14.5">
      <c r="B266" s="17" t="s">
        <v>657</v>
      </c>
    </row>
    <row r="267" spans="2:2" ht="14.5">
      <c r="B267" s="17" t="s">
        <v>658</v>
      </c>
    </row>
    <row r="268" spans="2:2" ht="14.5">
      <c r="B268" s="17" t="s">
        <v>659</v>
      </c>
    </row>
    <row r="269" spans="2:2" ht="14.5">
      <c r="B269" s="17" t="s">
        <v>584</v>
      </c>
    </row>
    <row r="270" spans="2:2" ht="14.5">
      <c r="B270" s="16" t="s">
        <v>660</v>
      </c>
    </row>
    <row r="271" spans="2:2" ht="14.5">
      <c r="B271" s="17" t="s">
        <v>661</v>
      </c>
    </row>
    <row r="272" spans="2:2" ht="14.5">
      <c r="B272" s="17" t="s">
        <v>662</v>
      </c>
    </row>
    <row r="273" spans="2:2" ht="14.5">
      <c r="B273" s="17" t="s">
        <v>663</v>
      </c>
    </row>
    <row r="274" spans="2:2" ht="14.5">
      <c r="B274" s="17" t="s">
        <v>664</v>
      </c>
    </row>
    <row r="275" spans="2:2" ht="14.5">
      <c r="B275" s="17" t="s">
        <v>641</v>
      </c>
    </row>
    <row r="276" spans="2:2" ht="14.5">
      <c r="B276" s="17" t="s">
        <v>665</v>
      </c>
    </row>
    <row r="277" spans="2:2" ht="14.5">
      <c r="B277" s="17" t="s">
        <v>666</v>
      </c>
    </row>
    <row r="278" spans="2:2" ht="14.5">
      <c r="B278" s="17" t="s">
        <v>667</v>
      </c>
    </row>
    <row r="279" spans="2:2" ht="14.5">
      <c r="B279" s="17" t="s">
        <v>668</v>
      </c>
    </row>
    <row r="280" spans="2:2" ht="14.5">
      <c r="B280" s="17" t="s">
        <v>669</v>
      </c>
    </row>
    <row r="281" spans="2:2" ht="14.5">
      <c r="B281" s="17" t="s">
        <v>670</v>
      </c>
    </row>
    <row r="282" spans="2:2" ht="14.5">
      <c r="B282" s="17" t="s">
        <v>671</v>
      </c>
    </row>
    <row r="283" spans="2:2" ht="14.5">
      <c r="B283" s="17" t="s">
        <v>672</v>
      </c>
    </row>
    <row r="284" spans="2:2" ht="14.5">
      <c r="B284" s="17" t="s">
        <v>673</v>
      </c>
    </row>
    <row r="285" spans="2:2" ht="14.5">
      <c r="B285" s="17" t="s">
        <v>674</v>
      </c>
    </row>
    <row r="286" spans="2:2" ht="14.5">
      <c r="B286" s="17" t="s">
        <v>675</v>
      </c>
    </row>
    <row r="287" spans="2:2" ht="14.5">
      <c r="B287" s="17" t="s">
        <v>676</v>
      </c>
    </row>
    <row r="288" spans="2:2" ht="14.5">
      <c r="B288" s="17" t="s">
        <v>584</v>
      </c>
    </row>
    <row r="289" spans="2:2" ht="14.5">
      <c r="B289" s="16" t="s">
        <v>677</v>
      </c>
    </row>
    <row r="290" spans="2:2" ht="14.5">
      <c r="B290" s="17" t="s">
        <v>678</v>
      </c>
    </row>
    <row r="291" spans="2:2" ht="14.5">
      <c r="B291" s="16" t="s">
        <v>531</v>
      </c>
    </row>
    <row r="292" spans="2:2" ht="14.5">
      <c r="B292" s="17" t="s">
        <v>679</v>
      </c>
    </row>
    <row r="293" spans="2:2" ht="14.5">
      <c r="B293" s="17" t="s">
        <v>680</v>
      </c>
    </row>
    <row r="294" spans="2:2" ht="14.5">
      <c r="B294" s="17" t="s">
        <v>681</v>
      </c>
    </row>
    <row r="295" spans="2:2" ht="14.5">
      <c r="B295" s="17" t="s">
        <v>682</v>
      </c>
    </row>
    <row r="296" spans="2:2" ht="14.5">
      <c r="B296" s="17" t="s">
        <v>683</v>
      </c>
    </row>
    <row r="297" spans="2:2" ht="14.5">
      <c r="B297" s="17" t="s">
        <v>684</v>
      </c>
    </row>
    <row r="298" spans="2:2" ht="14.5">
      <c r="B298" s="17" t="s">
        <v>685</v>
      </c>
    </row>
    <row r="299" spans="2:2" ht="14.5">
      <c r="B299" s="17" t="s">
        <v>686</v>
      </c>
    </row>
    <row r="300" spans="2:2" ht="14.5">
      <c r="B300" s="17" t="s">
        <v>584</v>
      </c>
    </row>
    <row r="301" spans="2:2" ht="14.5">
      <c r="B301" s="17" t="s">
        <v>687</v>
      </c>
    </row>
    <row r="302" spans="2:2" ht="14.5">
      <c r="B302" s="17" t="s">
        <v>688</v>
      </c>
    </row>
    <row r="303" spans="2:2" ht="14.5">
      <c r="B303" s="17" t="s">
        <v>689</v>
      </c>
    </row>
    <row r="304" spans="2:2" ht="14.5">
      <c r="B304" s="17" t="s">
        <v>690</v>
      </c>
    </row>
    <row r="305" spans="2:2" ht="14.5">
      <c r="B305" s="17" t="s">
        <v>691</v>
      </c>
    </row>
    <row r="306" spans="2:2" ht="14.5">
      <c r="B306" s="17" t="s">
        <v>692</v>
      </c>
    </row>
    <row r="307" spans="2:2" ht="14.5">
      <c r="B307" s="17" t="s">
        <v>693</v>
      </c>
    </row>
    <row r="308" spans="2:2" ht="14.5">
      <c r="B308" s="17" t="s">
        <v>694</v>
      </c>
    </row>
    <row r="309" spans="2:2" ht="14.5">
      <c r="B309" s="16" t="s">
        <v>533</v>
      </c>
    </row>
    <row r="310" spans="2:2" ht="14.5">
      <c r="B310" s="17" t="s">
        <v>569</v>
      </c>
    </row>
    <row r="311" spans="2:2" ht="14.5">
      <c r="B311" s="17" t="s">
        <v>571</v>
      </c>
    </row>
    <row r="312" spans="2:2" ht="14.5">
      <c r="B312" s="17" t="s">
        <v>695</v>
      </c>
    </row>
    <row r="313" spans="2:2" ht="14.5">
      <c r="B313" s="17" t="s">
        <v>696</v>
      </c>
    </row>
    <row r="314" spans="2:2" ht="14.5">
      <c r="B314" s="17" t="s">
        <v>697</v>
      </c>
    </row>
    <row r="315" spans="2:2" ht="14.5">
      <c r="B315" s="17" t="s">
        <v>698</v>
      </c>
    </row>
    <row r="316" spans="2:2" ht="14.5">
      <c r="B316" s="17" t="s">
        <v>584</v>
      </c>
    </row>
    <row r="317" spans="2:2" ht="14.5">
      <c r="B317" s="16" t="s">
        <v>535</v>
      </c>
    </row>
    <row r="318" spans="2:2" ht="14.5">
      <c r="B318" s="17" t="s">
        <v>699</v>
      </c>
    </row>
    <row r="319" spans="2:2" ht="14.5">
      <c r="B319" s="16" t="s">
        <v>537</v>
      </c>
    </row>
    <row r="320" spans="2:2" ht="14.5">
      <c r="B320" s="17" t="s">
        <v>700</v>
      </c>
    </row>
    <row r="321" spans="2:2" ht="14.5">
      <c r="B321" s="17" t="s">
        <v>701</v>
      </c>
    </row>
    <row r="322" spans="2:2" ht="14.5">
      <c r="B322" s="17" t="s">
        <v>702</v>
      </c>
    </row>
    <row r="323" spans="2:2" ht="14.5">
      <c r="B323" s="17" t="s">
        <v>703</v>
      </c>
    </row>
    <row r="324" spans="2:2" ht="14.5">
      <c r="B324" s="17" t="s">
        <v>704</v>
      </c>
    </row>
    <row r="325" spans="2:2" ht="14.5">
      <c r="B325" s="16" t="s">
        <v>584</v>
      </c>
    </row>
    <row r="326" spans="2:2" ht="14.5">
      <c r="B326" s="17" t="s">
        <v>705</v>
      </c>
    </row>
    <row r="327" spans="2:2" ht="14.5">
      <c r="B327" s="16" t="s">
        <v>539</v>
      </c>
    </row>
    <row r="328" spans="2:2" ht="14.5">
      <c r="B328" s="17" t="s">
        <v>706</v>
      </c>
    </row>
    <row r="329" spans="2:2" ht="14.5">
      <c r="B329" s="17" t="s">
        <v>707</v>
      </c>
    </row>
    <row r="330" spans="2:2" ht="14.5">
      <c r="B330" s="17" t="s">
        <v>708</v>
      </c>
    </row>
    <row r="331" spans="2:2" ht="14.5">
      <c r="B331" s="17" t="s">
        <v>584</v>
      </c>
    </row>
    <row r="332" spans="2:2" ht="14.5">
      <c r="B332" s="17" t="s">
        <v>709</v>
      </c>
    </row>
    <row r="333" spans="2:2" ht="14.5">
      <c r="B333" s="16" t="s">
        <v>541</v>
      </c>
    </row>
    <row r="334" spans="2:2" ht="14.5">
      <c r="B334" s="17" t="s">
        <v>710</v>
      </c>
    </row>
    <row r="335" spans="2:2" ht="14.5">
      <c r="B335" s="17" t="s">
        <v>711</v>
      </c>
    </row>
    <row r="336" spans="2:2" ht="14.5">
      <c r="B336" s="17" t="s">
        <v>712</v>
      </c>
    </row>
    <row r="337" spans="2:2" ht="14.5">
      <c r="B337" s="17" t="s">
        <v>713</v>
      </c>
    </row>
    <row r="338" spans="2:2" ht="14.5">
      <c r="B338" s="17" t="s">
        <v>714</v>
      </c>
    </row>
    <row r="339" spans="2:2" ht="14.5">
      <c r="B339" s="17" t="s">
        <v>715</v>
      </c>
    </row>
    <row r="340" spans="2:2" ht="14.5">
      <c r="B340" s="17" t="s">
        <v>716</v>
      </c>
    </row>
    <row r="341" spans="2:2" ht="14.5">
      <c r="B341" s="17" t="s">
        <v>717</v>
      </c>
    </row>
    <row r="342" spans="2:2" ht="14.5">
      <c r="B342" s="17" t="s">
        <v>718</v>
      </c>
    </row>
    <row r="343" spans="2:2" ht="14.5">
      <c r="B343" s="17" t="s">
        <v>584</v>
      </c>
    </row>
    <row r="344" spans="2:2" ht="14.5">
      <c r="B344" s="16" t="s">
        <v>543</v>
      </c>
    </row>
    <row r="345" spans="2:2" ht="14.5">
      <c r="B345" s="17" t="s">
        <v>584</v>
      </c>
    </row>
    <row r="346" spans="2:2" ht="14.5">
      <c r="B346" s="17" t="s">
        <v>719</v>
      </c>
    </row>
    <row r="347" spans="2:2" ht="14.5">
      <c r="B347" s="17" t="s">
        <v>720</v>
      </c>
    </row>
    <row r="348" spans="2:2" ht="14.5">
      <c r="B348" s="16" t="s">
        <v>545</v>
      </c>
    </row>
    <row r="349" spans="2:2" ht="14.5">
      <c r="B349" s="17" t="s">
        <v>584</v>
      </c>
    </row>
    <row r="350" spans="2:2" ht="14.5">
      <c r="B350" s="17" t="s">
        <v>721</v>
      </c>
    </row>
    <row r="351" spans="2:2" ht="14.5">
      <c r="B351" s="17" t="s">
        <v>646</v>
      </c>
    </row>
    <row r="352" spans="2:2" ht="14.5">
      <c r="B352" s="17" t="s">
        <v>722</v>
      </c>
    </row>
    <row r="353" spans="2:5" ht="14.5">
      <c r="B353" s="17" t="s">
        <v>723</v>
      </c>
    </row>
    <row r="354" spans="2:5" ht="14.5">
      <c r="B354" s="17" t="s">
        <v>724</v>
      </c>
    </row>
    <row r="355" spans="2:5" ht="14.5">
      <c r="B355" s="17" t="s">
        <v>725</v>
      </c>
    </row>
    <row r="358" spans="2:5">
      <c r="B358" s="14" t="s">
        <v>726</v>
      </c>
    </row>
    <row r="359" spans="2:5">
      <c r="B359" s="14" t="s">
        <v>727</v>
      </c>
      <c r="E359" s="183"/>
    </row>
    <row r="360" spans="2:5" ht="14.5">
      <c r="B360" s="16" t="s">
        <v>533</v>
      </c>
      <c r="C360" s="182" t="s">
        <v>728</v>
      </c>
      <c r="D360" s="182"/>
    </row>
    <row r="361" spans="2:5" ht="14.5">
      <c r="B361" s="17" t="s">
        <v>729</v>
      </c>
      <c r="C361">
        <v>13569</v>
      </c>
      <c r="D361" s="188" t="s">
        <v>730</v>
      </c>
    </row>
    <row r="362" spans="2:5" ht="14.5">
      <c r="B362" s="17" t="s">
        <v>731</v>
      </c>
      <c r="C362">
        <v>20417</v>
      </c>
      <c r="D362" s="188" t="s">
        <v>732</v>
      </c>
    </row>
    <row r="363" spans="2:5" ht="14.5">
      <c r="B363" s="17" t="s">
        <v>698</v>
      </c>
      <c r="C363">
        <v>4014</v>
      </c>
      <c r="D363"/>
    </row>
    <row r="364" spans="2:5">
      <c r="B364" s="14" t="s">
        <v>733</v>
      </c>
    </row>
    <row r="365" spans="2:5" ht="14.5">
      <c r="B365" s="16" t="s">
        <v>533</v>
      </c>
      <c r="C365" s="182"/>
      <c r="D365" s="182"/>
    </row>
    <row r="366" spans="2:5" ht="14.5">
      <c r="B366" s="17" t="s">
        <v>729</v>
      </c>
      <c r="C366">
        <v>5822</v>
      </c>
      <c r="D366"/>
    </row>
    <row r="367" spans="2:5" ht="14.5">
      <c r="B367" s="17" t="s">
        <v>731</v>
      </c>
      <c r="C367">
        <v>13252</v>
      </c>
      <c r="D367"/>
    </row>
    <row r="368" spans="2:5" ht="14.5">
      <c r="B368" s="17" t="s">
        <v>698</v>
      </c>
      <c r="C368">
        <v>2426</v>
      </c>
      <c r="D368"/>
    </row>
    <row r="369" spans="2:9">
      <c r="B369" s="14" t="s">
        <v>734</v>
      </c>
    </row>
    <row r="370" spans="2:9" ht="14.5">
      <c r="B370" s="16" t="s">
        <v>533</v>
      </c>
      <c r="C370" s="182" t="s">
        <v>728</v>
      </c>
    </row>
    <row r="371" spans="2:9" ht="14.5">
      <c r="B371" s="17" t="s">
        <v>729</v>
      </c>
      <c r="C371">
        <f>C361+C366</f>
        <v>19391</v>
      </c>
      <c r="D371" s="827" t="s">
        <v>562</v>
      </c>
    </row>
    <row r="372" spans="2:9" ht="14.5">
      <c r="B372" s="17" t="s">
        <v>731</v>
      </c>
      <c r="C372">
        <f t="shared" ref="C372:C373" si="80">C362+C367</f>
        <v>33669</v>
      </c>
      <c r="D372" s="827" t="s">
        <v>561</v>
      </c>
    </row>
    <row r="373" spans="2:9" ht="14.5">
      <c r="B373" s="17" t="s">
        <v>698</v>
      </c>
      <c r="C373">
        <f t="shared" si="80"/>
        <v>6440</v>
      </c>
    </row>
    <row r="374" spans="2:9">
      <c r="B374" s="828"/>
      <c r="C374" s="828">
        <v>2020</v>
      </c>
      <c r="D374" s="828"/>
      <c r="E374" s="828">
        <v>2021</v>
      </c>
      <c r="F374" s="828"/>
      <c r="G374" s="803" t="s">
        <v>550</v>
      </c>
      <c r="H374" s="803" t="s">
        <v>551</v>
      </c>
    </row>
    <row r="375" spans="2:9">
      <c r="B375" s="828" t="s">
        <v>552</v>
      </c>
      <c r="C375" s="828" t="s">
        <v>553</v>
      </c>
      <c r="D375" s="828" t="s">
        <v>554</v>
      </c>
      <c r="E375" s="828" t="s">
        <v>553</v>
      </c>
      <c r="F375" s="828" t="s">
        <v>554</v>
      </c>
      <c r="G375" s="803"/>
      <c r="H375" s="803"/>
    </row>
    <row r="376" spans="2:9">
      <c r="B376" s="828" t="s">
        <v>533</v>
      </c>
      <c r="C376" s="828">
        <f>SUM(C361:C362)</f>
        <v>33986</v>
      </c>
      <c r="D376" s="828">
        <v>3595</v>
      </c>
      <c r="E376" s="828">
        <f>SUM(C366:C367)</f>
        <v>19074</v>
      </c>
      <c r="F376" s="828">
        <v>2047</v>
      </c>
      <c r="G376" s="828">
        <f>C376+E376</f>
        <v>53060</v>
      </c>
      <c r="H376" s="828">
        <f>D376+F376</f>
        <v>5642</v>
      </c>
    </row>
    <row r="377" spans="2:9">
      <c r="B377" s="828" t="s">
        <v>555</v>
      </c>
      <c r="C377" s="828">
        <f>C376</f>
        <v>33986</v>
      </c>
      <c r="D377" s="828">
        <f>D376</f>
        <v>3595</v>
      </c>
      <c r="E377" s="828">
        <f>E376</f>
        <v>19074</v>
      </c>
      <c r="F377" s="828">
        <f>F376</f>
        <v>2047</v>
      </c>
      <c r="G377" s="828">
        <f>SUM(C371:C373)</f>
        <v>59500</v>
      </c>
      <c r="H377" s="828">
        <f>H376</f>
        <v>5642</v>
      </c>
    </row>
    <row r="379" spans="2:9">
      <c r="H379" s="829">
        <f>G377/H377</f>
        <v>10.545905707196029</v>
      </c>
      <c r="I379" s="828" t="s">
        <v>556</v>
      </c>
    </row>
    <row r="380" spans="2:9">
      <c r="H380" s="829">
        <f>SUMPRODUCT(D382:D385,E382:E385)</f>
        <v>-0.67041906143987928</v>
      </c>
      <c r="I380" s="828" t="s">
        <v>557</v>
      </c>
    </row>
    <row r="381" spans="2:9" ht="26">
      <c r="B381" s="823" t="s">
        <v>136</v>
      </c>
      <c r="C381" s="823" t="s">
        <v>137</v>
      </c>
      <c r="D381" s="692" t="s">
        <v>344</v>
      </c>
      <c r="E381" s="803" t="s">
        <v>558</v>
      </c>
      <c r="F381" s="803"/>
      <c r="G381" s="803"/>
      <c r="H381" s="86"/>
    </row>
    <row r="382" spans="2:9">
      <c r="B382" s="827" t="s">
        <v>561</v>
      </c>
      <c r="C382" s="827" t="s">
        <v>561</v>
      </c>
      <c r="D382" s="830">
        <v>-0.83289999999999997</v>
      </c>
      <c r="E382" s="831">
        <f>SUMIF($D$371:$D$372,B382,$C$371:$C$372)/SUM($C$371:$C$372)</f>
        <v>0.63454579721070481</v>
      </c>
      <c r="F382" s="825"/>
      <c r="G382" s="825"/>
      <c r="H382" s="86"/>
    </row>
    <row r="383" spans="2:9">
      <c r="B383" s="827" t="s">
        <v>735</v>
      </c>
      <c r="C383" s="827" t="s">
        <v>561</v>
      </c>
      <c r="D383" s="832">
        <v>-6.9408333333333336E-2</v>
      </c>
      <c r="E383" s="831">
        <f>SUMIF($D$371:$D$372,B383,$C$371:$C$372)/SUM($C$371:$C$372)</f>
        <v>0</v>
      </c>
      <c r="F383" s="825"/>
      <c r="G383" s="825"/>
      <c r="H383" s="86"/>
    </row>
    <row r="384" spans="2:9">
      <c r="B384" s="827" t="s">
        <v>562</v>
      </c>
      <c r="C384" s="827" t="s">
        <v>562</v>
      </c>
      <c r="D384" s="830">
        <v>-0.38829999999999998</v>
      </c>
      <c r="E384" s="831">
        <f>SUMIF($D$371:$D$372,B384,$C$371:$C$372)/SUM($C$371:$C$372)</f>
        <v>0.36545420278929514</v>
      </c>
      <c r="F384" s="825"/>
      <c r="G384" s="825"/>
      <c r="H384" s="86"/>
    </row>
    <row r="385" spans="2:8">
      <c r="B385" s="827" t="s">
        <v>736</v>
      </c>
      <c r="C385" s="827" t="s">
        <v>562</v>
      </c>
      <c r="D385" s="832">
        <v>-3.2358333333333336E-2</v>
      </c>
      <c r="E385" s="831">
        <f>SUMIF($D$371:$D$372,B385,$C$371:$C$372)/SUM($C$371:$C$372)</f>
        <v>0</v>
      </c>
      <c r="F385" s="825"/>
      <c r="G385" s="825"/>
      <c r="H385" s="86"/>
    </row>
  </sheetData>
  <autoFilter ref="A5:ER5" xr:uid="{00000000-0009-0000-0000-000008000000}"/>
  <mergeCells count="17">
    <mergeCell ref="CY2:DZ2"/>
    <mergeCell ref="EA2:EG2"/>
    <mergeCell ref="EH2:EN2"/>
    <mergeCell ref="EO2:EU2"/>
    <mergeCell ref="BB2:CC2"/>
    <mergeCell ref="CD2:CJ2"/>
    <mergeCell ref="CK2:CQ2"/>
    <mergeCell ref="CR2:CX2"/>
    <mergeCell ref="I146:K146"/>
    <mergeCell ref="F146:H146"/>
    <mergeCell ref="F4:P4"/>
    <mergeCell ref="EV4:FC4"/>
    <mergeCell ref="Q4:T4"/>
    <mergeCell ref="U4:AG4"/>
    <mergeCell ref="AK4:AX4"/>
    <mergeCell ref="AZ4:BA4"/>
    <mergeCell ref="L146:N146"/>
  </mergeCells>
  <dataValidations disablePrompts="1" count="1">
    <dataValidation type="list" allowBlank="1" showInputMessage="1" showErrorMessage="1" sqref="AS9:AU10 AS6:AU7 AS12:AU13" xr:uid="{EECA91A7-216A-4C69-93DA-FB3A90CEE768}">
      <formula1>#REF!</formula1>
    </dataValidation>
  </dataValidations>
  <hyperlinks>
    <hyperlink ref="W36" r:id="rId1" xr:uid="{5C89913E-27CE-4435-AB83-4A8AE257CB49}"/>
    <hyperlink ref="W37" r:id="rId2" xr:uid="{0A253C2C-D6F0-4EF9-8769-6CDD53F9BBAE}"/>
    <hyperlink ref="C124" r:id="rId3" xr:uid="{2871E4BC-98DF-4451-BB78-CC170BF21289}"/>
  </hyperlinks>
  <pageMargins left="0.7" right="0.7" top="0.75" bottom="0.75" header="0.3" footer="0.3"/>
  <pageSetup orientation="portrait" r:id="rId4"/>
  <headerFooter>
    <oddFooter>&amp;L&amp;1#&amp;"Calibri"&amp;14&amp;K000000Business Use</oddFooter>
  </headerFooter>
  <drawing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7BFE-DB9E-4314-B39E-B5AB308BF480}">
  <sheetPr>
    <tabColor theme="5"/>
  </sheetPr>
  <dimension ref="A1:FL74"/>
  <sheetViews>
    <sheetView topLeftCell="A76" zoomScale="85" zoomScaleNormal="85" workbookViewId="0">
      <selection activeCell="L61" sqref="L61"/>
    </sheetView>
  </sheetViews>
  <sheetFormatPr defaultColWidth="9.1796875" defaultRowHeight="13"/>
  <cols>
    <col min="1" max="1" width="13.1796875" style="2" customWidth="1"/>
    <col min="2" max="2" width="40.26953125" style="2" customWidth="1"/>
    <col min="3" max="3" width="26.1796875" style="2" customWidth="1"/>
    <col min="4" max="4" width="23.54296875" style="2" customWidth="1"/>
    <col min="5" max="5" width="16" style="2" customWidth="1"/>
    <col min="6" max="6" width="16.453125" style="2" customWidth="1"/>
    <col min="7" max="7" width="17.26953125" style="2" customWidth="1"/>
    <col min="8" max="8" width="14.54296875" style="2" customWidth="1"/>
    <col min="9" max="9" width="13" style="2" customWidth="1"/>
    <col min="10" max="10" width="14.54296875" style="2" customWidth="1"/>
    <col min="11" max="11" width="15.453125" style="2" customWidth="1"/>
    <col min="12" max="13" width="15.26953125" style="2" customWidth="1"/>
    <col min="14" max="14" width="15" style="2" customWidth="1"/>
    <col min="15" max="16" width="10.7265625" style="2" customWidth="1"/>
    <col min="17" max="17" width="13.453125" style="2" customWidth="1"/>
    <col min="18" max="19" width="12.1796875" style="2" customWidth="1"/>
    <col min="20" max="20" width="15.7265625" style="3" customWidth="1"/>
    <col min="21" max="26" width="10.81640625" style="3" customWidth="1"/>
    <col min="27" max="36" width="10.1796875" style="3" customWidth="1"/>
    <col min="37" max="44" width="14.453125" style="2" customWidth="1"/>
    <col min="45" max="45" width="20.81640625" style="2" customWidth="1"/>
    <col min="46" max="46" width="14.453125" style="2" customWidth="1"/>
    <col min="47" max="47" width="16.453125" style="2" customWidth="1"/>
    <col min="48" max="53" width="12" style="2" customWidth="1"/>
    <col min="54" max="56" width="17.81640625" style="2" customWidth="1"/>
    <col min="57" max="60" width="15.7265625" style="2" customWidth="1"/>
    <col min="61" max="67" width="12" style="2" customWidth="1"/>
    <col min="68" max="81" width="11.7265625" style="2" customWidth="1"/>
    <col min="82" max="159" width="15.54296875" style="2" customWidth="1"/>
    <col min="160" max="16384" width="9.1796875" style="2"/>
  </cols>
  <sheetData>
    <row r="1" spans="1:168" ht="15" thickBot="1">
      <c r="A1" t="str">
        <f>A3&amp;"_"&amp;A4&amp;"_"&amp;A5</f>
        <v>_Measure Details_Measure ID</v>
      </c>
      <c r="B1" t="str">
        <f t="shared" ref="B1:CB1" si="0">B3&amp;"_"&amp;B4&amp;"_"&amp;B5</f>
        <v>__Measure Name</v>
      </c>
      <c r="C1" t="str">
        <f t="shared" si="0"/>
        <v>__Measure Description/Qualification</v>
      </c>
      <c r="D1" t="str">
        <f t="shared" si="0"/>
        <v>__Base Equipment</v>
      </c>
      <c r="E1" t="str">
        <f t="shared" si="0"/>
        <v>__Per Unit Assumption</v>
      </c>
      <c r="F1" t="str">
        <f t="shared" si="0"/>
        <v>_First Year Costs_Full or Incremental Cost</v>
      </c>
      <c r="G1" t="str">
        <f t="shared" si="0"/>
        <v>__Full/Incremental Equipment Cost (Per Unit)</v>
      </c>
      <c r="H1" t="str">
        <f t="shared" si="0"/>
        <v>__Full/Incremental Labor Cost (Per Unit)</v>
      </c>
      <c r="I1" t="str">
        <f t="shared" si="0"/>
        <v>__Full/Incremental Cost (Per Unit)</v>
      </c>
      <c r="J1" t="str">
        <f t="shared" si="0"/>
        <v>__Incremental Annual O&amp;M (Per Unit)</v>
      </c>
      <c r="K1" t="str">
        <f t="shared" si="0"/>
        <v>__50% of Incremental Cost</v>
      </c>
      <c r="L1" t="str">
        <f t="shared" si="0"/>
        <v>__Cost Sources</v>
      </c>
      <c r="M1" t="str">
        <f t="shared" si="0"/>
        <v>__Current Incentive</v>
      </c>
      <c r="N1" t="str">
        <f t="shared" si="0"/>
        <v>__Proposed Incentive Level</v>
      </c>
      <c r="O1" t="str">
        <f t="shared" si="0"/>
        <v>__Dealer Incentive</v>
      </c>
      <c r="P1" t="str">
        <f t="shared" si="0"/>
        <v>__Implementation Cost</v>
      </c>
      <c r="Q1" t="str">
        <f t="shared" si="0"/>
        <v>_First Year Energy Savings_Electric kWh Savings Per Unit</v>
      </c>
      <c r="R1" t="str">
        <f t="shared" si="0"/>
        <v>__Electric kW Savings Per Unit</v>
      </c>
      <c r="S1" t="str">
        <f t="shared" si="0"/>
        <v>__Natural Gas Therms Savings Per Unit</v>
      </c>
      <c r="T1" t="str">
        <f t="shared" si="0"/>
        <v>__Energy Savings Source</v>
      </c>
      <c r="U1" t="str">
        <f t="shared" si="0"/>
        <v>_Participation Assumptions_Escalation Rate</v>
      </c>
      <c r="V1" t="str">
        <f t="shared" si="0"/>
        <v>__Number of Unit Per Participant</v>
      </c>
      <c r="W1" t="str">
        <f t="shared" si="0"/>
        <v>1__2017</v>
      </c>
      <c r="X1" t="str">
        <f t="shared" si="0"/>
        <v>2__2018</v>
      </c>
      <c r="Y1" t="str">
        <f t="shared" si="0"/>
        <v>3__2019</v>
      </c>
      <c r="Z1" t="str">
        <f t="shared" si="0"/>
        <v>4__2020</v>
      </c>
      <c r="AA1" t="str">
        <f t="shared" si="0"/>
        <v>__2021</v>
      </c>
      <c r="AB1" t="str">
        <f t="shared" si="0"/>
        <v>__2022</v>
      </c>
      <c r="AC1" t="str">
        <f>AC3&amp;"_"&amp;AC4&amp;"_"&amp;AC5</f>
        <v>__Projected 2023</v>
      </c>
      <c r="AD1" t="str">
        <f t="shared" si="0"/>
        <v>__Participation 2024</v>
      </c>
      <c r="AE1" t="str">
        <f t="shared" si="0"/>
        <v>__Participation 2025</v>
      </c>
      <c r="AF1" t="str">
        <f t="shared" si="0"/>
        <v>__Participation 2026</v>
      </c>
      <c r="AG1" t="str">
        <f t="shared" si="0"/>
        <v>__Participation 2027</v>
      </c>
      <c r="AH1" t="str">
        <f>AH3&amp;"_"&amp;AH4&amp;"_"&amp;AH5</f>
        <v>__Participation 2028</v>
      </c>
      <c r="AI1" t="str">
        <f t="shared" si="0"/>
        <v>__Participation 2029</v>
      </c>
      <c r="AJ1" t="str">
        <f t="shared" ref="AJ1" si="1">AJ3&amp;"_"&amp;AJ4&amp;"_"&amp;AJ5</f>
        <v>__Participation 2030</v>
      </c>
      <c r="AK1" t="str">
        <f t="shared" si="0"/>
        <v>_Modeling Measure-level Inputs_Fuel Type</v>
      </c>
      <c r="AL1" t="str">
        <f t="shared" si="0"/>
        <v>__Sector</v>
      </c>
      <c r="AM1" t="str">
        <f t="shared" si="0"/>
        <v>__Segment</v>
      </c>
      <c r="AN1" t="str">
        <f t="shared" si="0"/>
        <v>__Enduse</v>
      </c>
      <c r="AO1" t="str">
        <f t="shared" si="0"/>
        <v>__Construction Type</v>
      </c>
      <c r="AP1" t="str">
        <f t="shared" si="0"/>
        <v>__Potential Study Measure Name</v>
      </c>
      <c r="AQ1" t="str">
        <f t="shared" si="0"/>
        <v>__Potential Study Measure Description</v>
      </c>
      <c r="AR1" t="str">
        <f t="shared" si="0"/>
        <v>__Potential Study Baseline Description</v>
      </c>
      <c r="AS1" t="str">
        <f t="shared" si="0"/>
        <v>__Electric Load Shape</v>
      </c>
      <c r="AT1" t="str">
        <f t="shared" si="0"/>
        <v>__Natural Gas Load Shape</v>
      </c>
      <c r="AU1" t="str">
        <f t="shared" si="0"/>
        <v>__Customer Rate Class</v>
      </c>
      <c r="AV1" t="str">
        <f t="shared" si="0"/>
        <v>__Measure Life</v>
      </c>
      <c r="AW1" t="str">
        <f t="shared" si="0"/>
        <v>__Baseline Life</v>
      </c>
      <c r="AX1" t="str">
        <f t="shared" si="0"/>
        <v>__Life Source</v>
      </c>
      <c r="AY1" t="str">
        <f t="shared" si="0"/>
        <v>_Measure Tier Share_Tier Share</v>
      </c>
      <c r="AZ1" t="str">
        <f t="shared" si="0"/>
        <v>_Measure Fuel Weights_Electric Share</v>
      </c>
      <c r="BA1" t="str">
        <f t="shared" si="0"/>
        <v>__Natural Gas Share</v>
      </c>
      <c r="BB1" t="str">
        <f t="shared" si="0"/>
        <v>Per Unit_Incremental Costs_2024</v>
      </c>
      <c r="BC1" t="str">
        <f>BC3&amp;"_"&amp;BC4&amp;"_"&amp;BC5</f>
        <v>Per Unit_Incremental Costs_2025</v>
      </c>
      <c r="BD1" t="str">
        <f t="shared" si="0"/>
        <v>Per Unit_Incremental Costs_2026</v>
      </c>
      <c r="BE1" t="str">
        <f t="shared" si="0"/>
        <v>Per Unit_Incremental Costs_2027</v>
      </c>
      <c r="BF1" t="str">
        <f t="shared" si="0"/>
        <v>Per Unit_Incremental Costs_2028</v>
      </c>
      <c r="BG1" t="str">
        <f t="shared" si="0"/>
        <v>Per Unit_Incremental Costs_2029</v>
      </c>
      <c r="BH1" t="str">
        <f t="shared" ref="BH1" si="2">BH3&amp;"_"&amp;BH4&amp;"_"&amp;BH5</f>
        <v>Per Unit_Incremental Costs_2030</v>
      </c>
      <c r="BI1" t="str">
        <f t="shared" si="0"/>
        <v>Per Unit_Incremental Annual O&amp;M_2024</v>
      </c>
      <c r="BJ1" t="str">
        <f t="shared" si="0"/>
        <v>Per Unit_Incremental Annual O&amp;M_2025</v>
      </c>
      <c r="BK1" t="str">
        <f t="shared" si="0"/>
        <v>Per Unit_Incremental Annual O&amp;M_2026</v>
      </c>
      <c r="BL1" t="str">
        <f t="shared" si="0"/>
        <v>Per Unit_Incremental Annual O&amp;M_2027</v>
      </c>
      <c r="BM1" t="str">
        <f t="shared" si="0"/>
        <v>Per Unit_Incremental Annual O&amp;M_2028</v>
      </c>
      <c r="BN1" t="str">
        <f t="shared" si="0"/>
        <v>Per Unit_Incremental Annual O&amp;M_2029</v>
      </c>
      <c r="BO1" t="str">
        <f t="shared" ref="BO1" si="3">BO3&amp;"_"&amp;BO4&amp;"_"&amp;BO5</f>
        <v>Per Unit_Incremental Annual O&amp;M_2030</v>
      </c>
      <c r="BP1" t="str">
        <f t="shared" si="0"/>
        <v>Per Unit_Customer &amp; Dealer Incentives_2024</v>
      </c>
      <c r="BQ1" t="str">
        <f t="shared" si="0"/>
        <v>Per Unit_Customer &amp; Dealer Incentives_2025</v>
      </c>
      <c r="BR1" t="str">
        <f t="shared" si="0"/>
        <v>Per Unit_Customer &amp; Dealer Incentives_2026</v>
      </c>
      <c r="BS1" t="str">
        <f t="shared" si="0"/>
        <v>Per Unit_Customer &amp; Dealer Incentives_2027</v>
      </c>
      <c r="BT1" t="str">
        <f t="shared" si="0"/>
        <v>Per Unit_Customer &amp; Dealer Incentives_2028</v>
      </c>
      <c r="BU1" t="str">
        <f t="shared" si="0"/>
        <v>Per Unit_Customer &amp; Dealer Incentives_2029</v>
      </c>
      <c r="BV1" t="str">
        <f t="shared" ref="BV1" si="4">BV3&amp;"_"&amp;BV4&amp;"_"&amp;BV5</f>
        <v>Per Unit_Customer &amp; Dealer Incentives_2030</v>
      </c>
      <c r="BW1" t="str">
        <f t="shared" si="0"/>
        <v>Per Unit_Implementation Cost_2024</v>
      </c>
      <c r="BX1" t="str">
        <f t="shared" si="0"/>
        <v>Per Unit_Implementation Cost_2025</v>
      </c>
      <c r="BY1" t="str">
        <f t="shared" si="0"/>
        <v>Per Unit_Implementation Cost_2026</v>
      </c>
      <c r="BZ1" t="str">
        <f t="shared" si="0"/>
        <v>Per Unit_Implementation Cost_2027</v>
      </c>
      <c r="CA1" t="str">
        <f t="shared" si="0"/>
        <v>Per Unit_Implementation Cost_2028</v>
      </c>
      <c r="CB1" t="str">
        <f t="shared" si="0"/>
        <v>Per Unit_Implementation Cost_2029</v>
      </c>
      <c r="CC1" t="str">
        <f t="shared" ref="CC1" si="5">CC3&amp;"_"&amp;CC4&amp;"_"&amp;CC5</f>
        <v>Per Unit_Implementation Cost_2030</v>
      </c>
      <c r="CD1" t="str">
        <f t="shared" ref="CD1:FC1" si="6">CD3&amp;"_"&amp;CD4&amp;"_"&amp;CD5</f>
        <v>Per Unit_kWh _2024</v>
      </c>
      <c r="CE1" t="str">
        <f t="shared" si="6"/>
        <v>Per Unit_kWh _2025</v>
      </c>
      <c r="CF1" t="str">
        <f t="shared" si="6"/>
        <v>Per Unit_kWh _2026</v>
      </c>
      <c r="CG1" t="str">
        <f t="shared" si="6"/>
        <v>Per Unit_kWh _2027</v>
      </c>
      <c r="CH1" t="str">
        <f t="shared" si="6"/>
        <v>Per Unit_kWh _2028</v>
      </c>
      <c r="CI1" t="str">
        <f t="shared" si="6"/>
        <v>Per Unit_kWh _2029</v>
      </c>
      <c r="CJ1" t="str">
        <f t="shared" ref="CJ1" si="7">CJ3&amp;"_"&amp;CJ4&amp;"_"&amp;CJ5</f>
        <v>Per Unit_kWh _2030</v>
      </c>
      <c r="CK1" t="str">
        <f t="shared" si="6"/>
        <v>Per Unit_kW_2024</v>
      </c>
      <c r="CL1" t="str">
        <f t="shared" si="6"/>
        <v>Per Unit_kW_2025</v>
      </c>
      <c r="CM1" t="str">
        <f t="shared" si="6"/>
        <v>Per Unit_kW_2026</v>
      </c>
      <c r="CN1" t="str">
        <f t="shared" si="6"/>
        <v>Per Unit_kW_2027</v>
      </c>
      <c r="CO1" t="str">
        <f t="shared" si="6"/>
        <v>Per Unit_kW_2028</v>
      </c>
      <c r="CP1" t="str">
        <f t="shared" si="6"/>
        <v>Per Unit_kW_2029</v>
      </c>
      <c r="CQ1" t="str">
        <f t="shared" ref="CQ1" si="8">CQ3&amp;"_"&amp;CQ4&amp;"_"&amp;CQ5</f>
        <v>Per Unit_kW_2030</v>
      </c>
      <c r="CR1" t="str">
        <f t="shared" si="6"/>
        <v>Per Unit_Therms_2024</v>
      </c>
      <c r="CS1" t="str">
        <f t="shared" si="6"/>
        <v>Per Unit_Therms_2025</v>
      </c>
      <c r="CT1" t="str">
        <f t="shared" si="6"/>
        <v>Per Unit_Therms_2026</v>
      </c>
      <c r="CU1" t="str">
        <f t="shared" si="6"/>
        <v>Per Unit_Therms_2027</v>
      </c>
      <c r="CV1" t="str">
        <f t="shared" si="6"/>
        <v>Per Unit_Therms_2028</v>
      </c>
      <c r="CW1" t="str">
        <f t="shared" si="6"/>
        <v>Per Unit_Therms_2029</v>
      </c>
      <c r="CX1" t="str">
        <f t="shared" ref="CX1" si="9">CX3&amp;"_"&amp;CX4&amp;"_"&amp;CX5</f>
        <v>Per Unit_Therms_2030</v>
      </c>
      <c r="CY1" t="str">
        <f t="shared" si="6"/>
        <v>Program_Incremental Costs_2024</v>
      </c>
      <c r="CZ1" t="str">
        <f t="shared" si="6"/>
        <v>Program_Incremental Costs_2025</v>
      </c>
      <c r="DA1" t="str">
        <f t="shared" si="6"/>
        <v>Program_Incremental Costs_2026</v>
      </c>
      <c r="DB1" t="str">
        <f t="shared" si="6"/>
        <v>Program_Incremental Costs_2027</v>
      </c>
      <c r="DC1" t="str">
        <f t="shared" si="6"/>
        <v>Program_Incremental Costs_2028</v>
      </c>
      <c r="DD1" t="str">
        <f t="shared" si="6"/>
        <v>Program_Incremental Costs_2029</v>
      </c>
      <c r="DE1" t="str">
        <f t="shared" ref="DE1" si="10">DE3&amp;"_"&amp;DE4&amp;"_"&amp;DE5</f>
        <v>Program_Incremental Costs_2030</v>
      </c>
      <c r="DF1" t="str">
        <f t="shared" si="6"/>
        <v>Program_Incremental Annual O&amp;M_2024</v>
      </c>
      <c r="DG1" t="str">
        <f t="shared" si="6"/>
        <v>Program_Incremental Annual O&amp;M_2025</v>
      </c>
      <c r="DH1" t="str">
        <f t="shared" si="6"/>
        <v>Program_Incremental Annual O&amp;M_2026</v>
      </c>
      <c r="DI1" t="str">
        <f t="shared" si="6"/>
        <v>Program_Incremental Annual O&amp;M_2027</v>
      </c>
      <c r="DJ1" t="str">
        <f t="shared" si="6"/>
        <v>Program_Incremental Annual O&amp;M_2028</v>
      </c>
      <c r="DK1" t="str">
        <f t="shared" si="6"/>
        <v>Program_Incremental Annual O&amp;M_2029</v>
      </c>
      <c r="DL1" t="str">
        <f t="shared" ref="DL1" si="11">DL3&amp;"_"&amp;DL4&amp;"_"&amp;DL5</f>
        <v>Program_Incremental Annual O&amp;M_2030</v>
      </c>
      <c r="DM1" t="str">
        <f t="shared" si="6"/>
        <v>Program_Customer &amp; Dealer Incentives_2024</v>
      </c>
      <c r="DN1" t="str">
        <f t="shared" si="6"/>
        <v>Program_Customer &amp; Dealer Incentives_2025</v>
      </c>
      <c r="DO1" t="str">
        <f t="shared" si="6"/>
        <v>Program_Customer &amp; Dealer Incentives_2026</v>
      </c>
      <c r="DP1" t="str">
        <f t="shared" si="6"/>
        <v>Program_Customer &amp; Dealer Incentives_2027</v>
      </c>
      <c r="DQ1" t="str">
        <f t="shared" si="6"/>
        <v>Program_Customer &amp; Dealer Incentives_2028</v>
      </c>
      <c r="DR1" t="str">
        <f t="shared" si="6"/>
        <v>Program_Customer &amp; Dealer Incentives_2029</v>
      </c>
      <c r="DS1" t="str">
        <f t="shared" ref="DS1" si="12">DS3&amp;"_"&amp;DS4&amp;"_"&amp;DS5</f>
        <v>Program_Customer &amp; Dealer Incentives_2030</v>
      </c>
      <c r="DT1" t="str">
        <f t="shared" si="6"/>
        <v>Program_Implementation Costs_2024</v>
      </c>
      <c r="DU1" t="str">
        <f t="shared" si="6"/>
        <v>Program_Implementation Costs_2025</v>
      </c>
      <c r="DV1" t="str">
        <f t="shared" si="6"/>
        <v>Program_Implementation Costs_2026</v>
      </c>
      <c r="DW1" t="str">
        <f t="shared" si="6"/>
        <v>Program_Implementation Costs_2027</v>
      </c>
      <c r="DX1" t="str">
        <f t="shared" si="6"/>
        <v>Program_Implementation Costs_2028</v>
      </c>
      <c r="DY1" t="str">
        <f t="shared" si="6"/>
        <v>Program_Implementation Costs_2029</v>
      </c>
      <c r="DZ1" t="str">
        <f t="shared" ref="DZ1" si="13">DZ3&amp;"_"&amp;DZ4&amp;"_"&amp;DZ5</f>
        <v>Program_Implementation Costs_2030</v>
      </c>
      <c r="EA1" t="str">
        <f t="shared" si="6"/>
        <v>Program_kWh _2024</v>
      </c>
      <c r="EB1" t="str">
        <f t="shared" si="6"/>
        <v>Program_kWh _2025</v>
      </c>
      <c r="EC1" t="str">
        <f t="shared" si="6"/>
        <v>Program_kWh _2026</v>
      </c>
      <c r="ED1" t="str">
        <f t="shared" si="6"/>
        <v>Program_kWh _2027</v>
      </c>
      <c r="EE1" t="str">
        <f t="shared" si="6"/>
        <v>Program_kWh _2028</v>
      </c>
      <c r="EF1" t="str">
        <f t="shared" si="6"/>
        <v>Program_kWh _2029</v>
      </c>
      <c r="EG1" t="str">
        <f t="shared" ref="EG1" si="14">EG3&amp;"_"&amp;EG4&amp;"_"&amp;EG5</f>
        <v>Program_kWh _2030</v>
      </c>
      <c r="EH1" t="str">
        <f t="shared" si="6"/>
        <v>Program_kW_2024</v>
      </c>
      <c r="EI1" t="str">
        <f t="shared" si="6"/>
        <v>Program_kW_2025</v>
      </c>
      <c r="EJ1" t="str">
        <f t="shared" si="6"/>
        <v>Program_kW_2026</v>
      </c>
      <c r="EK1" t="str">
        <f t="shared" si="6"/>
        <v>Program_kW_2027</v>
      </c>
      <c r="EL1" t="str">
        <f t="shared" si="6"/>
        <v>Program_kW_2028</v>
      </c>
      <c r="EM1" t="str">
        <f t="shared" si="6"/>
        <v>Program_kW_2029</v>
      </c>
      <c r="EN1" t="str">
        <f t="shared" ref="EN1" si="15">EN3&amp;"_"&amp;EN4&amp;"_"&amp;EN5</f>
        <v>Program_kW_2030</v>
      </c>
      <c r="EO1" t="str">
        <f t="shared" si="6"/>
        <v>Program_Therms_2024</v>
      </c>
      <c r="EP1" t="str">
        <f t="shared" si="6"/>
        <v>Program_Therms_2025</v>
      </c>
      <c r="EQ1" t="str">
        <f t="shared" si="6"/>
        <v>Program_Therms_2026</v>
      </c>
      <c r="ER1" t="str">
        <f t="shared" si="6"/>
        <v>Program_Therms_2027</v>
      </c>
      <c r="ES1" t="str">
        <f t="shared" si="6"/>
        <v>Program_Therms_2028</v>
      </c>
      <c r="ET1" t="str">
        <f t="shared" si="6"/>
        <v>Program_Therms_2029</v>
      </c>
      <c r="EU1" t="str">
        <f t="shared" ref="EU1" si="16">EU3&amp;"_"&amp;EU4&amp;"_"&amp;EU5</f>
        <v>Program_Therms_2030</v>
      </c>
      <c r="EV1" t="str">
        <f>EV3&amp;"_"&amp;EV4&amp;"_"&amp;EV5</f>
        <v>_Total Plan Summary 2024-2030_Participation</v>
      </c>
      <c r="EW1" t="str">
        <f>EW3&amp;"_"&amp;EW4&amp;"_"&amp;EW5</f>
        <v>__Incremental Costs ($)</v>
      </c>
      <c r="EX1" t="str">
        <f t="shared" si="6"/>
        <v>__Incremental Annual O&amp;M ($)</v>
      </c>
      <c r="EY1" t="str">
        <f t="shared" si="6"/>
        <v>__Customer &amp; Dealer Incentives ($)</v>
      </c>
      <c r="EZ1" t="str">
        <f t="shared" si="6"/>
        <v>__Implementation Costs ($)</v>
      </c>
      <c r="FA1" t="str">
        <f t="shared" si="6"/>
        <v>__Electric kWh  Benefits</v>
      </c>
      <c r="FB1" t="str">
        <f t="shared" si="6"/>
        <v>__Electric kW Peak Demand Benefits</v>
      </c>
      <c r="FC1" t="str">
        <f t="shared" si="6"/>
        <v>__Natural Gas Therms Benefits</v>
      </c>
    </row>
    <row r="2" spans="1:168" s="5" customFormat="1" ht="16" thickBot="1">
      <c r="A2" s="1" t="s">
        <v>59</v>
      </c>
      <c r="B2" s="4"/>
      <c r="C2" s="4"/>
      <c r="U2" s="6"/>
      <c r="V2" s="6"/>
      <c r="W2" s="6"/>
      <c r="X2" s="6"/>
      <c r="Y2" s="6"/>
      <c r="Z2" s="6"/>
      <c r="AA2" s="6"/>
      <c r="AB2" s="6"/>
      <c r="AC2" s="6"/>
      <c r="AD2" s="6"/>
      <c r="AE2" s="6"/>
      <c r="AF2" s="6"/>
      <c r="AG2" s="6"/>
      <c r="AH2" s="6"/>
      <c r="AI2" s="6"/>
      <c r="AJ2" s="6"/>
      <c r="AK2" s="6"/>
      <c r="AL2" s="6"/>
      <c r="AM2" s="6"/>
      <c r="AN2" s="7"/>
      <c r="AO2" s="7"/>
      <c r="AP2" s="7"/>
      <c r="AQ2" s="7"/>
      <c r="AR2" s="7"/>
      <c r="AS2" s="7"/>
      <c r="AT2" s="7"/>
      <c r="AU2" s="7"/>
      <c r="BB2" s="1388" t="s">
        <v>327</v>
      </c>
      <c r="BC2" s="1388"/>
      <c r="BD2" s="1388"/>
      <c r="BE2" s="1388"/>
      <c r="BF2" s="1388"/>
      <c r="BG2" s="1388"/>
      <c r="BH2" s="1388"/>
      <c r="BI2" s="1388"/>
      <c r="BJ2" s="1388"/>
      <c r="BK2" s="1388"/>
      <c r="BL2" s="1388"/>
      <c r="BM2" s="1388"/>
      <c r="BN2" s="1388"/>
      <c r="BO2" s="1388"/>
      <c r="BP2" s="1388"/>
      <c r="BQ2" s="1388"/>
      <c r="BR2" s="1388"/>
      <c r="BS2" s="1388"/>
      <c r="BT2" s="1388"/>
      <c r="BU2" s="1388"/>
      <c r="BV2" s="1388"/>
      <c r="BW2" s="1388"/>
      <c r="BX2" s="1388"/>
      <c r="BY2" s="1388"/>
      <c r="BZ2" s="1388"/>
      <c r="CA2" s="1388"/>
      <c r="CB2" s="1388"/>
      <c r="CC2" s="1397"/>
      <c r="CD2" s="1401" t="s">
        <v>328</v>
      </c>
      <c r="CE2" s="1390"/>
      <c r="CF2" s="1390"/>
      <c r="CG2" s="1390"/>
      <c r="CH2" s="1390"/>
      <c r="CI2" s="1390"/>
      <c r="CJ2" s="1403"/>
      <c r="CK2" s="1401" t="s">
        <v>329</v>
      </c>
      <c r="CL2" s="1390"/>
      <c r="CM2" s="1390"/>
      <c r="CN2" s="1390"/>
      <c r="CO2" s="1390"/>
      <c r="CP2" s="1390"/>
      <c r="CQ2" s="1403"/>
      <c r="CR2" s="1401" t="s">
        <v>330</v>
      </c>
      <c r="CS2" s="1390"/>
      <c r="CT2" s="1390"/>
      <c r="CU2" s="1390"/>
      <c r="CV2" s="1390"/>
      <c r="CW2" s="1390"/>
      <c r="CX2" s="1402"/>
      <c r="CY2" s="1384" t="s">
        <v>327</v>
      </c>
      <c r="CZ2" s="1385"/>
      <c r="DA2" s="1385"/>
      <c r="DB2" s="1385"/>
      <c r="DC2" s="1385"/>
      <c r="DD2" s="1385"/>
      <c r="DE2" s="1385"/>
      <c r="DF2" s="1385"/>
      <c r="DG2" s="1385"/>
      <c r="DH2" s="1385"/>
      <c r="DI2" s="1385"/>
      <c r="DJ2" s="1385"/>
      <c r="DK2" s="1385"/>
      <c r="DL2" s="1385"/>
      <c r="DM2" s="1385"/>
      <c r="DN2" s="1385"/>
      <c r="DO2" s="1385"/>
      <c r="DP2" s="1385"/>
      <c r="DQ2" s="1385"/>
      <c r="DR2" s="1385"/>
      <c r="DS2" s="1385"/>
      <c r="DT2" s="1385"/>
      <c r="DU2" s="1385"/>
      <c r="DV2" s="1385"/>
      <c r="DW2" s="1385"/>
      <c r="DX2" s="1385"/>
      <c r="DY2" s="1385"/>
      <c r="DZ2" s="1386"/>
      <c r="EA2" s="1381" t="s">
        <v>328</v>
      </c>
      <c r="EB2" s="1382"/>
      <c r="EC2" s="1382"/>
      <c r="ED2" s="1382"/>
      <c r="EE2" s="1382"/>
      <c r="EF2" s="1382"/>
      <c r="EG2" s="1383"/>
      <c r="EH2" s="1381" t="s">
        <v>329</v>
      </c>
      <c r="EI2" s="1382"/>
      <c r="EJ2" s="1382"/>
      <c r="EK2" s="1382"/>
      <c r="EL2" s="1382"/>
      <c r="EM2" s="1382"/>
      <c r="EN2" s="1383"/>
      <c r="EO2" s="1398" t="s">
        <v>330</v>
      </c>
      <c r="EP2" s="1399"/>
      <c r="EQ2" s="1399"/>
      <c r="ER2" s="1399"/>
      <c r="ES2" s="1399"/>
      <c r="ET2" s="1399"/>
      <c r="EU2" s="1400"/>
    </row>
    <row r="3" spans="1:168">
      <c r="B3" s="8"/>
      <c r="C3" s="8"/>
      <c r="T3" s="2"/>
      <c r="W3" s="3">
        <v>1</v>
      </c>
      <c r="X3" s="3">
        <v>2</v>
      </c>
      <c r="Y3" s="3">
        <v>3</v>
      </c>
      <c r="Z3" s="3">
        <v>4</v>
      </c>
      <c r="AK3" s="3"/>
      <c r="AL3" s="3"/>
      <c r="AM3" s="3"/>
      <c r="AN3" s="9"/>
      <c r="AO3" s="9"/>
      <c r="AP3" s="9"/>
      <c r="AQ3" s="9"/>
      <c r="AR3" s="9"/>
      <c r="AS3" s="9"/>
      <c r="AT3" s="9"/>
      <c r="AU3" s="9"/>
      <c r="BB3" s="109" t="s">
        <v>331</v>
      </c>
      <c r="BC3" s="110" t="s">
        <v>331</v>
      </c>
      <c r="BD3" s="110" t="s">
        <v>331</v>
      </c>
      <c r="BE3" s="110" t="s">
        <v>331</v>
      </c>
      <c r="BF3" s="110" t="s">
        <v>331</v>
      </c>
      <c r="BG3" s="110" t="s">
        <v>331</v>
      </c>
      <c r="BH3" s="111" t="s">
        <v>331</v>
      </c>
      <c r="BI3" s="110" t="s">
        <v>331</v>
      </c>
      <c r="BJ3" s="110" t="s">
        <v>331</v>
      </c>
      <c r="BK3" s="110" t="s">
        <v>331</v>
      </c>
      <c r="BL3" s="110" t="s">
        <v>331</v>
      </c>
      <c r="BM3" s="110" t="s">
        <v>331</v>
      </c>
      <c r="BN3" s="110" t="s">
        <v>331</v>
      </c>
      <c r="BO3" s="111" t="s">
        <v>331</v>
      </c>
      <c r="BP3" s="110" t="s">
        <v>331</v>
      </c>
      <c r="BQ3" s="110" t="s">
        <v>331</v>
      </c>
      <c r="BR3" s="110" t="s">
        <v>331</v>
      </c>
      <c r="BS3" s="110" t="s">
        <v>331</v>
      </c>
      <c r="BT3" s="110" t="s">
        <v>331</v>
      </c>
      <c r="BU3" s="110" t="s">
        <v>331</v>
      </c>
      <c r="BV3" s="282" t="s">
        <v>331</v>
      </c>
      <c r="BW3" s="109" t="s">
        <v>331</v>
      </c>
      <c r="BX3" s="110" t="s">
        <v>331</v>
      </c>
      <c r="BY3" s="110" t="s">
        <v>331</v>
      </c>
      <c r="BZ3" s="110" t="s">
        <v>331</v>
      </c>
      <c r="CA3" s="110" t="s">
        <v>331</v>
      </c>
      <c r="CB3" s="110" t="s">
        <v>331</v>
      </c>
      <c r="CC3" s="111" t="s">
        <v>331</v>
      </c>
      <c r="CD3" s="112" t="s">
        <v>331</v>
      </c>
      <c r="CE3" s="113" t="s">
        <v>331</v>
      </c>
      <c r="CF3" s="113" t="s">
        <v>331</v>
      </c>
      <c r="CG3" s="113" t="s">
        <v>331</v>
      </c>
      <c r="CH3" s="113" t="s">
        <v>331</v>
      </c>
      <c r="CI3" s="113" t="s">
        <v>331</v>
      </c>
      <c r="CJ3" s="114" t="s">
        <v>331</v>
      </c>
      <c r="CK3" s="112" t="s">
        <v>331</v>
      </c>
      <c r="CL3" s="113" t="s">
        <v>331</v>
      </c>
      <c r="CM3" s="113" t="s">
        <v>331</v>
      </c>
      <c r="CN3" s="113" t="s">
        <v>331</v>
      </c>
      <c r="CO3" s="113" t="s">
        <v>331</v>
      </c>
      <c r="CP3" s="113" t="s">
        <v>331</v>
      </c>
      <c r="CQ3" s="114" t="s">
        <v>331</v>
      </c>
      <c r="CR3" s="112" t="s">
        <v>331</v>
      </c>
      <c r="CS3" s="113" t="s">
        <v>331</v>
      </c>
      <c r="CT3" s="113" t="s">
        <v>331</v>
      </c>
      <c r="CU3" s="113" t="s">
        <v>331</v>
      </c>
      <c r="CV3" s="113" t="s">
        <v>331</v>
      </c>
      <c r="CW3" s="113" t="s">
        <v>331</v>
      </c>
      <c r="CX3" s="114" t="s">
        <v>331</v>
      </c>
      <c r="CY3" s="109" t="s">
        <v>0</v>
      </c>
      <c r="CZ3" s="110" t="s">
        <v>0</v>
      </c>
      <c r="DA3" s="110" t="s">
        <v>0</v>
      </c>
      <c r="DB3" s="110" t="s">
        <v>0</v>
      </c>
      <c r="DC3" s="110" t="s">
        <v>0</v>
      </c>
      <c r="DD3" s="110" t="s">
        <v>0</v>
      </c>
      <c r="DE3" s="111" t="s">
        <v>0</v>
      </c>
      <c r="DF3" s="109" t="s">
        <v>0</v>
      </c>
      <c r="DG3" s="110" t="s">
        <v>0</v>
      </c>
      <c r="DH3" s="110" t="s">
        <v>0</v>
      </c>
      <c r="DI3" s="110" t="s">
        <v>0</v>
      </c>
      <c r="DJ3" s="110" t="s">
        <v>0</v>
      </c>
      <c r="DK3" s="110" t="s">
        <v>0</v>
      </c>
      <c r="DL3" s="111" t="s">
        <v>0</v>
      </c>
      <c r="DM3" s="288" t="s">
        <v>0</v>
      </c>
      <c r="DN3" s="110" t="s">
        <v>0</v>
      </c>
      <c r="DO3" s="110" t="s">
        <v>0</v>
      </c>
      <c r="DP3" s="110" t="s">
        <v>0</v>
      </c>
      <c r="DQ3" s="110" t="s">
        <v>0</v>
      </c>
      <c r="DR3" s="110" t="s">
        <v>0</v>
      </c>
      <c r="DS3" s="282" t="s">
        <v>0</v>
      </c>
      <c r="DT3" s="109" t="s">
        <v>0</v>
      </c>
      <c r="DU3" s="110" t="s">
        <v>0</v>
      </c>
      <c r="DV3" s="110" t="s">
        <v>0</v>
      </c>
      <c r="DW3" s="110" t="s">
        <v>0</v>
      </c>
      <c r="DX3" s="110" t="s">
        <v>0</v>
      </c>
      <c r="DY3" s="110" t="s">
        <v>0</v>
      </c>
      <c r="DZ3" s="111" t="s">
        <v>0</v>
      </c>
      <c r="EA3" s="115" t="s">
        <v>0</v>
      </c>
      <c r="EB3" s="116" t="s">
        <v>0</v>
      </c>
      <c r="EC3" s="116" t="s">
        <v>0</v>
      </c>
      <c r="ED3" s="116" t="s">
        <v>0</v>
      </c>
      <c r="EE3" s="116" t="s">
        <v>0</v>
      </c>
      <c r="EF3" s="116" t="s">
        <v>0</v>
      </c>
      <c r="EG3" s="117" t="s">
        <v>0</v>
      </c>
      <c r="EH3" s="115" t="s">
        <v>0</v>
      </c>
      <c r="EI3" s="116" t="s">
        <v>0</v>
      </c>
      <c r="EJ3" s="116" t="s">
        <v>0</v>
      </c>
      <c r="EK3" s="116" t="s">
        <v>0</v>
      </c>
      <c r="EL3" s="116" t="s">
        <v>0</v>
      </c>
      <c r="EM3" s="116" t="s">
        <v>0</v>
      </c>
      <c r="EN3" s="117" t="s">
        <v>0</v>
      </c>
      <c r="EO3" s="115" t="s">
        <v>0</v>
      </c>
      <c r="EP3" s="116" t="s">
        <v>0</v>
      </c>
      <c r="EQ3" s="116" t="s">
        <v>0</v>
      </c>
      <c r="ER3" s="116" t="s">
        <v>0</v>
      </c>
      <c r="ES3" s="116" t="s">
        <v>0</v>
      </c>
      <c r="ET3" s="116" t="s">
        <v>0</v>
      </c>
      <c r="EU3" s="117" t="s">
        <v>0</v>
      </c>
    </row>
    <row r="4" spans="1:168" ht="39">
      <c r="A4" s="656" t="s">
        <v>127</v>
      </c>
      <c r="B4" s="656"/>
      <c r="C4" s="656"/>
      <c r="D4" s="656"/>
      <c r="E4" s="656"/>
      <c r="F4" s="1370" t="s">
        <v>332</v>
      </c>
      <c r="G4" s="1371"/>
      <c r="H4" s="1371"/>
      <c r="I4" s="1371"/>
      <c r="J4" s="1371"/>
      <c r="K4" s="1371"/>
      <c r="L4" s="1371"/>
      <c r="M4" s="1371"/>
      <c r="N4" s="1371"/>
      <c r="O4" s="1371"/>
      <c r="P4" s="1372"/>
      <c r="Q4" s="1373" t="s">
        <v>333</v>
      </c>
      <c r="R4" s="1373"/>
      <c r="S4" s="1373"/>
      <c r="T4" s="1373"/>
      <c r="U4" s="1374" t="s">
        <v>334</v>
      </c>
      <c r="V4" s="1375"/>
      <c r="W4" s="1375"/>
      <c r="X4" s="1375"/>
      <c r="Y4" s="1375"/>
      <c r="Z4" s="1375"/>
      <c r="AA4" s="1375"/>
      <c r="AB4" s="1375"/>
      <c r="AC4" s="1375"/>
      <c r="AD4" s="1375"/>
      <c r="AE4" s="1375"/>
      <c r="AF4" s="1375"/>
      <c r="AG4" s="1375"/>
      <c r="AH4" s="440"/>
      <c r="AI4" s="440"/>
      <c r="AJ4" s="440"/>
      <c r="AK4" s="1376" t="s">
        <v>335</v>
      </c>
      <c r="AL4" s="1377"/>
      <c r="AM4" s="1377"/>
      <c r="AN4" s="1377"/>
      <c r="AO4" s="1377"/>
      <c r="AP4" s="1377"/>
      <c r="AQ4" s="1377"/>
      <c r="AR4" s="1377"/>
      <c r="AS4" s="1377"/>
      <c r="AT4" s="1377"/>
      <c r="AU4" s="1377"/>
      <c r="AV4" s="1377"/>
      <c r="AW4" s="1377"/>
      <c r="AX4" s="1378"/>
      <c r="AY4" s="687" t="s">
        <v>336</v>
      </c>
      <c r="AZ4" s="1376" t="s">
        <v>337</v>
      </c>
      <c r="BA4" s="1377"/>
      <c r="BB4" s="688" t="s">
        <v>128</v>
      </c>
      <c r="BC4" s="476" t="s">
        <v>128</v>
      </c>
      <c r="BD4" s="476" t="s">
        <v>128</v>
      </c>
      <c r="BE4" s="476" t="s">
        <v>128</v>
      </c>
      <c r="BF4" s="476" t="s">
        <v>128</v>
      </c>
      <c r="BG4" s="476" t="s">
        <v>128</v>
      </c>
      <c r="BH4" s="689" t="s">
        <v>128</v>
      </c>
      <c r="BI4" s="476" t="s">
        <v>129</v>
      </c>
      <c r="BJ4" s="476" t="s">
        <v>129</v>
      </c>
      <c r="BK4" s="476" t="s">
        <v>129</v>
      </c>
      <c r="BL4" s="476" t="s">
        <v>129</v>
      </c>
      <c r="BM4" s="476" t="s">
        <v>129</v>
      </c>
      <c r="BN4" s="476" t="s">
        <v>129</v>
      </c>
      <c r="BO4" s="689" t="s">
        <v>129</v>
      </c>
      <c r="BP4" s="476" t="s">
        <v>130</v>
      </c>
      <c r="BQ4" s="476" t="s">
        <v>130</v>
      </c>
      <c r="BR4" s="476" t="s">
        <v>130</v>
      </c>
      <c r="BS4" s="476" t="s">
        <v>130</v>
      </c>
      <c r="BT4" s="476" t="s">
        <v>130</v>
      </c>
      <c r="BU4" s="476" t="s">
        <v>130</v>
      </c>
      <c r="BV4" s="502" t="s">
        <v>130</v>
      </c>
      <c r="BW4" s="688" t="s">
        <v>338</v>
      </c>
      <c r="BX4" s="476" t="s">
        <v>338</v>
      </c>
      <c r="BY4" s="476" t="s">
        <v>338</v>
      </c>
      <c r="BZ4" s="476" t="s">
        <v>338</v>
      </c>
      <c r="CA4" s="476" t="s">
        <v>338</v>
      </c>
      <c r="CB4" s="476" t="s">
        <v>338</v>
      </c>
      <c r="CC4" s="689" t="s">
        <v>338</v>
      </c>
      <c r="CD4" s="690" t="s">
        <v>131</v>
      </c>
      <c r="CE4" s="477" t="s">
        <v>131</v>
      </c>
      <c r="CF4" s="477" t="s">
        <v>131</v>
      </c>
      <c r="CG4" s="477" t="s">
        <v>131</v>
      </c>
      <c r="CH4" s="477" t="s">
        <v>131</v>
      </c>
      <c r="CI4" s="477" t="s">
        <v>131</v>
      </c>
      <c r="CJ4" s="691" t="s">
        <v>131</v>
      </c>
      <c r="CK4" s="690" t="s">
        <v>132</v>
      </c>
      <c r="CL4" s="477" t="s">
        <v>132</v>
      </c>
      <c r="CM4" s="477" t="s">
        <v>132</v>
      </c>
      <c r="CN4" s="477" t="s">
        <v>132</v>
      </c>
      <c r="CO4" s="477" t="s">
        <v>132</v>
      </c>
      <c r="CP4" s="477" t="s">
        <v>132</v>
      </c>
      <c r="CQ4" s="691" t="s">
        <v>132</v>
      </c>
      <c r="CR4" s="690" t="s">
        <v>133</v>
      </c>
      <c r="CS4" s="477" t="s">
        <v>133</v>
      </c>
      <c r="CT4" s="477" t="s">
        <v>133</v>
      </c>
      <c r="CU4" s="477" t="s">
        <v>133</v>
      </c>
      <c r="CV4" s="477" t="s">
        <v>133</v>
      </c>
      <c r="CW4" s="477" t="s">
        <v>133</v>
      </c>
      <c r="CX4" s="691" t="s">
        <v>133</v>
      </c>
      <c r="CY4" s="688" t="s">
        <v>128</v>
      </c>
      <c r="CZ4" s="476" t="s">
        <v>128</v>
      </c>
      <c r="DA4" s="476" t="s">
        <v>128</v>
      </c>
      <c r="DB4" s="476" t="s">
        <v>128</v>
      </c>
      <c r="DC4" s="476" t="s">
        <v>128</v>
      </c>
      <c r="DD4" s="476" t="s">
        <v>128</v>
      </c>
      <c r="DE4" s="689" t="s">
        <v>128</v>
      </c>
      <c r="DF4" s="688" t="s">
        <v>129</v>
      </c>
      <c r="DG4" s="476" t="s">
        <v>129</v>
      </c>
      <c r="DH4" s="476" t="s">
        <v>129</v>
      </c>
      <c r="DI4" s="476" t="s">
        <v>129</v>
      </c>
      <c r="DJ4" s="476" t="s">
        <v>129</v>
      </c>
      <c r="DK4" s="476" t="s">
        <v>129</v>
      </c>
      <c r="DL4" s="689" t="s">
        <v>129</v>
      </c>
      <c r="DM4" s="490" t="s">
        <v>130</v>
      </c>
      <c r="DN4" s="476" t="s">
        <v>130</v>
      </c>
      <c r="DO4" s="476" t="s">
        <v>130</v>
      </c>
      <c r="DP4" s="476" t="s">
        <v>130</v>
      </c>
      <c r="DQ4" s="476" t="s">
        <v>130</v>
      </c>
      <c r="DR4" s="476" t="s">
        <v>130</v>
      </c>
      <c r="DS4" s="502" t="s">
        <v>130</v>
      </c>
      <c r="DT4" s="688" t="s">
        <v>165</v>
      </c>
      <c r="DU4" s="476" t="s">
        <v>165</v>
      </c>
      <c r="DV4" s="476" t="s">
        <v>165</v>
      </c>
      <c r="DW4" s="476" t="s">
        <v>165</v>
      </c>
      <c r="DX4" s="476" t="s">
        <v>165</v>
      </c>
      <c r="DY4" s="476" t="s">
        <v>165</v>
      </c>
      <c r="DZ4" s="689" t="s">
        <v>165</v>
      </c>
      <c r="EA4" s="690" t="s">
        <v>131</v>
      </c>
      <c r="EB4" s="477" t="s">
        <v>131</v>
      </c>
      <c r="EC4" s="477" t="s">
        <v>131</v>
      </c>
      <c r="ED4" s="477" t="s">
        <v>131</v>
      </c>
      <c r="EE4" s="477" t="s">
        <v>131</v>
      </c>
      <c r="EF4" s="477" t="s">
        <v>131</v>
      </c>
      <c r="EG4" s="691" t="s">
        <v>131</v>
      </c>
      <c r="EH4" s="690" t="s">
        <v>132</v>
      </c>
      <c r="EI4" s="477" t="s">
        <v>132</v>
      </c>
      <c r="EJ4" s="477" t="s">
        <v>132</v>
      </c>
      <c r="EK4" s="477" t="s">
        <v>132</v>
      </c>
      <c r="EL4" s="477" t="s">
        <v>132</v>
      </c>
      <c r="EM4" s="477" t="s">
        <v>132</v>
      </c>
      <c r="EN4" s="691" t="s">
        <v>132</v>
      </c>
      <c r="EO4" s="690" t="s">
        <v>133</v>
      </c>
      <c r="EP4" s="477" t="s">
        <v>133</v>
      </c>
      <c r="EQ4" s="477" t="s">
        <v>133</v>
      </c>
      <c r="ER4" s="477" t="s">
        <v>133</v>
      </c>
      <c r="ES4" s="477" t="s">
        <v>133</v>
      </c>
      <c r="ET4" s="477" t="s">
        <v>133</v>
      </c>
      <c r="EU4" s="691" t="s">
        <v>133</v>
      </c>
      <c r="EV4" s="1345" t="s">
        <v>134</v>
      </c>
      <c r="EW4" s="1342"/>
      <c r="EX4" s="1342"/>
      <c r="EY4" s="1342"/>
      <c r="EZ4" s="1342"/>
      <c r="FA4" s="1342"/>
      <c r="FB4" s="1342"/>
      <c r="FC4" s="1342"/>
    </row>
    <row r="5" spans="1:168" ht="39">
      <c r="A5" s="443" t="s">
        <v>135</v>
      </c>
      <c r="B5" s="443" t="s">
        <v>136</v>
      </c>
      <c r="C5" s="443" t="s">
        <v>137</v>
      </c>
      <c r="D5" s="443" t="s">
        <v>339</v>
      </c>
      <c r="E5" s="443" t="s">
        <v>138</v>
      </c>
      <c r="F5" s="692" t="s">
        <v>340</v>
      </c>
      <c r="G5" s="692" t="s">
        <v>341</v>
      </c>
      <c r="H5" s="692" t="s">
        <v>342</v>
      </c>
      <c r="I5" s="692" t="s">
        <v>343</v>
      </c>
      <c r="J5" s="692" t="s">
        <v>344</v>
      </c>
      <c r="K5" s="692" t="s">
        <v>345</v>
      </c>
      <c r="L5" s="692" t="s">
        <v>346</v>
      </c>
      <c r="M5" s="692" t="s">
        <v>347</v>
      </c>
      <c r="N5" s="692" t="s">
        <v>348</v>
      </c>
      <c r="O5" s="692" t="s">
        <v>349</v>
      </c>
      <c r="P5" s="692" t="s">
        <v>338</v>
      </c>
      <c r="Q5" s="693" t="s">
        <v>350</v>
      </c>
      <c r="R5" s="693" t="s">
        <v>351</v>
      </c>
      <c r="S5" s="693" t="s">
        <v>352</v>
      </c>
      <c r="T5" s="693" t="s">
        <v>353</v>
      </c>
      <c r="U5" s="658" t="s">
        <v>354</v>
      </c>
      <c r="V5" s="658" t="s">
        <v>355</v>
      </c>
      <c r="W5" s="694">
        <v>2017</v>
      </c>
      <c r="X5" s="694">
        <v>2018</v>
      </c>
      <c r="Y5" s="694">
        <v>2019</v>
      </c>
      <c r="Z5" s="694">
        <v>2020</v>
      </c>
      <c r="AA5" s="694">
        <v>2021</v>
      </c>
      <c r="AB5" s="694">
        <v>2022</v>
      </c>
      <c r="AC5" s="694" t="s">
        <v>390</v>
      </c>
      <c r="AD5" s="695" t="s">
        <v>15</v>
      </c>
      <c r="AE5" s="695" t="s">
        <v>16</v>
      </c>
      <c r="AF5" s="695" t="s">
        <v>17</v>
      </c>
      <c r="AG5" s="695" t="s">
        <v>18</v>
      </c>
      <c r="AH5" s="695" t="s">
        <v>19</v>
      </c>
      <c r="AI5" s="695" t="s">
        <v>20</v>
      </c>
      <c r="AJ5" s="695" t="s">
        <v>21</v>
      </c>
      <c r="AK5" s="697" t="s">
        <v>359</v>
      </c>
      <c r="AL5" s="697" t="s">
        <v>166</v>
      </c>
      <c r="AM5" s="697" t="s">
        <v>360</v>
      </c>
      <c r="AN5" s="697" t="s">
        <v>361</v>
      </c>
      <c r="AO5" s="697" t="s">
        <v>362</v>
      </c>
      <c r="AP5" s="697" t="s">
        <v>363</v>
      </c>
      <c r="AQ5" s="697" t="s">
        <v>364</v>
      </c>
      <c r="AR5" s="697" t="s">
        <v>365</v>
      </c>
      <c r="AS5" s="698" t="s">
        <v>167</v>
      </c>
      <c r="AT5" s="698" t="s">
        <v>168</v>
      </c>
      <c r="AU5" s="698" t="s">
        <v>169</v>
      </c>
      <c r="AV5" s="697" t="s">
        <v>170</v>
      </c>
      <c r="AW5" s="697" t="s">
        <v>366</v>
      </c>
      <c r="AX5" s="699" t="s">
        <v>367</v>
      </c>
      <c r="AY5" s="699" t="s">
        <v>368</v>
      </c>
      <c r="AZ5" s="699" t="s">
        <v>369</v>
      </c>
      <c r="BA5" s="699" t="s">
        <v>370</v>
      </c>
      <c r="BB5" s="700">
        <v>2024</v>
      </c>
      <c r="BC5" s="486">
        <v>2025</v>
      </c>
      <c r="BD5" s="486">
        <v>2026</v>
      </c>
      <c r="BE5" s="486">
        <v>2027</v>
      </c>
      <c r="BF5" s="486">
        <v>2028</v>
      </c>
      <c r="BG5" s="486">
        <v>2029</v>
      </c>
      <c r="BH5" s="910">
        <v>2030</v>
      </c>
      <c r="BI5" s="486">
        <v>2024</v>
      </c>
      <c r="BJ5" s="486">
        <v>2025</v>
      </c>
      <c r="BK5" s="486">
        <v>2026</v>
      </c>
      <c r="BL5" s="486">
        <v>2027</v>
      </c>
      <c r="BM5" s="486">
        <v>2028</v>
      </c>
      <c r="BN5" s="486">
        <v>2029</v>
      </c>
      <c r="BO5" s="910">
        <v>2030</v>
      </c>
      <c r="BP5" s="486">
        <v>2024</v>
      </c>
      <c r="BQ5" s="486">
        <v>2025</v>
      </c>
      <c r="BR5" s="486">
        <v>2026</v>
      </c>
      <c r="BS5" s="486">
        <v>2027</v>
      </c>
      <c r="BT5" s="486">
        <v>2028</v>
      </c>
      <c r="BU5" s="486">
        <v>2029</v>
      </c>
      <c r="BV5" s="479">
        <v>2030</v>
      </c>
      <c r="BW5" s="700">
        <v>2024</v>
      </c>
      <c r="BX5" s="486">
        <v>2025</v>
      </c>
      <c r="BY5" s="486">
        <v>2026</v>
      </c>
      <c r="BZ5" s="486">
        <v>2027</v>
      </c>
      <c r="CA5" s="486">
        <v>2028</v>
      </c>
      <c r="CB5" s="486">
        <v>2029</v>
      </c>
      <c r="CC5" s="910">
        <v>2030</v>
      </c>
      <c r="CD5" s="700">
        <v>2024</v>
      </c>
      <c r="CE5" s="486">
        <v>2025</v>
      </c>
      <c r="CF5" s="486">
        <v>2026</v>
      </c>
      <c r="CG5" s="486">
        <v>2027</v>
      </c>
      <c r="CH5" s="486">
        <v>2028</v>
      </c>
      <c r="CI5" s="486">
        <v>2029</v>
      </c>
      <c r="CJ5" s="910">
        <v>2030</v>
      </c>
      <c r="CK5" s="700">
        <v>2024</v>
      </c>
      <c r="CL5" s="486">
        <v>2025</v>
      </c>
      <c r="CM5" s="486">
        <v>2026</v>
      </c>
      <c r="CN5" s="486">
        <v>2027</v>
      </c>
      <c r="CO5" s="486">
        <v>2028</v>
      </c>
      <c r="CP5" s="486">
        <v>2029</v>
      </c>
      <c r="CQ5" s="910">
        <v>2030</v>
      </c>
      <c r="CR5" s="700">
        <v>2024</v>
      </c>
      <c r="CS5" s="486">
        <v>2025</v>
      </c>
      <c r="CT5" s="486">
        <v>2026</v>
      </c>
      <c r="CU5" s="486">
        <v>2027</v>
      </c>
      <c r="CV5" s="486">
        <v>2028</v>
      </c>
      <c r="CW5" s="486">
        <v>2029</v>
      </c>
      <c r="CX5" s="910">
        <v>2030</v>
      </c>
      <c r="CY5" s="700">
        <v>2024</v>
      </c>
      <c r="CZ5" s="486">
        <v>2025</v>
      </c>
      <c r="DA5" s="486">
        <v>2026</v>
      </c>
      <c r="DB5" s="486">
        <v>2027</v>
      </c>
      <c r="DC5" s="486">
        <v>2028</v>
      </c>
      <c r="DD5" s="486">
        <v>2029</v>
      </c>
      <c r="DE5" s="910">
        <v>2030</v>
      </c>
      <c r="DF5" s="700">
        <v>2024</v>
      </c>
      <c r="DG5" s="486">
        <v>2025</v>
      </c>
      <c r="DH5" s="486">
        <v>2026</v>
      </c>
      <c r="DI5" s="486">
        <v>2027</v>
      </c>
      <c r="DJ5" s="486">
        <v>2028</v>
      </c>
      <c r="DK5" s="486">
        <v>2029</v>
      </c>
      <c r="DL5" s="910">
        <v>2030</v>
      </c>
      <c r="DM5" s="485">
        <v>2024</v>
      </c>
      <c r="DN5" s="486">
        <v>2025</v>
      </c>
      <c r="DO5" s="486">
        <v>2026</v>
      </c>
      <c r="DP5" s="486">
        <v>2027</v>
      </c>
      <c r="DQ5" s="486">
        <v>2028</v>
      </c>
      <c r="DR5" s="486">
        <v>2029</v>
      </c>
      <c r="DS5" s="479">
        <v>2030</v>
      </c>
      <c r="DT5" s="700">
        <v>2024</v>
      </c>
      <c r="DU5" s="486">
        <v>2025</v>
      </c>
      <c r="DV5" s="486">
        <v>2026</v>
      </c>
      <c r="DW5" s="486">
        <v>2027</v>
      </c>
      <c r="DX5" s="486">
        <v>2028</v>
      </c>
      <c r="DY5" s="486">
        <v>2029</v>
      </c>
      <c r="DZ5" s="910">
        <v>2030</v>
      </c>
      <c r="EA5" s="700">
        <v>2024</v>
      </c>
      <c r="EB5" s="486">
        <v>2025</v>
      </c>
      <c r="EC5" s="486">
        <v>2026</v>
      </c>
      <c r="ED5" s="486">
        <v>2027</v>
      </c>
      <c r="EE5" s="486">
        <v>2028</v>
      </c>
      <c r="EF5" s="486">
        <v>2029</v>
      </c>
      <c r="EG5" s="910">
        <v>2030</v>
      </c>
      <c r="EH5" s="700">
        <v>2024</v>
      </c>
      <c r="EI5" s="486">
        <v>2025</v>
      </c>
      <c r="EJ5" s="486">
        <v>2026</v>
      </c>
      <c r="EK5" s="486">
        <v>2027</v>
      </c>
      <c r="EL5" s="486">
        <v>2028</v>
      </c>
      <c r="EM5" s="486">
        <v>2029</v>
      </c>
      <c r="EN5" s="910">
        <v>2030</v>
      </c>
      <c r="EO5" s="700">
        <v>2024</v>
      </c>
      <c r="EP5" s="486">
        <v>2025</v>
      </c>
      <c r="EQ5" s="486">
        <v>2026</v>
      </c>
      <c r="ER5" s="486">
        <v>2027</v>
      </c>
      <c r="ES5" s="486">
        <v>2028</v>
      </c>
      <c r="ET5" s="486">
        <v>2029</v>
      </c>
      <c r="EU5" s="910">
        <v>2030</v>
      </c>
      <c r="EV5" s="514" t="s">
        <v>9</v>
      </c>
      <c r="EW5" s="659" t="s">
        <v>139</v>
      </c>
      <c r="EX5" s="659" t="s">
        <v>140</v>
      </c>
      <c r="EY5" s="659" t="s">
        <v>141</v>
      </c>
      <c r="EZ5" s="659" t="s">
        <v>142</v>
      </c>
      <c r="FA5" s="659" t="s">
        <v>12</v>
      </c>
      <c r="FB5" s="659" t="s">
        <v>13</v>
      </c>
      <c r="FC5" s="659" t="s">
        <v>14</v>
      </c>
    </row>
    <row r="6" spans="1:168" s="10" customFormat="1" ht="12.75" customHeight="1">
      <c r="A6" s="663">
        <v>1</v>
      </c>
      <c r="B6" s="663" t="s">
        <v>853</v>
      </c>
      <c r="C6" s="663" t="s">
        <v>854</v>
      </c>
      <c r="D6" s="663" t="s">
        <v>855</v>
      </c>
      <c r="E6" s="663" t="s">
        <v>331</v>
      </c>
      <c r="F6" s="704" t="s">
        <v>402</v>
      </c>
      <c r="G6" s="704">
        <v>0</v>
      </c>
      <c r="H6" s="704">
        <v>0</v>
      </c>
      <c r="I6" s="704">
        <f>G6+H6</f>
        <v>0</v>
      </c>
      <c r="J6" s="704">
        <v>0</v>
      </c>
      <c r="K6" s="704">
        <v>0</v>
      </c>
      <c r="L6" s="711" t="s">
        <v>856</v>
      </c>
      <c r="M6" s="707">
        <v>0</v>
      </c>
      <c r="N6" s="707">
        <v>50</v>
      </c>
      <c r="O6" s="707">
        <v>0</v>
      </c>
      <c r="P6" s="707">
        <v>0</v>
      </c>
      <c r="Q6" s="780">
        <v>750</v>
      </c>
      <c r="R6" s="911">
        <v>8.5000000000000006E-2</v>
      </c>
      <c r="S6" s="912">
        <v>0</v>
      </c>
      <c r="T6" s="913" t="s">
        <v>857</v>
      </c>
      <c r="U6" s="712"/>
      <c r="V6" s="713">
        <v>1</v>
      </c>
      <c r="W6" s="773">
        <f t="shared" ref="W6:Z9" si="17">W11+W16</f>
        <v>9270.3125316874248</v>
      </c>
      <c r="X6" s="773">
        <f t="shared" si="17"/>
        <v>6727.9798082221987</v>
      </c>
      <c r="Y6" s="661">
        <f t="shared" si="17"/>
        <v>0</v>
      </c>
      <c r="Z6" s="661">
        <f t="shared" si="17"/>
        <v>0</v>
      </c>
      <c r="AA6" s="714">
        <f>(Z6+($U6*Z6))</f>
        <v>0</v>
      </c>
      <c r="AB6" s="714">
        <f t="shared" ref="AB6" si="18">(AA6+($U6*AA6))</f>
        <v>0</v>
      </c>
      <c r="AC6" s="714">
        <f>U40*$V$35</f>
        <v>0</v>
      </c>
      <c r="AD6" s="773">
        <f>V40*$V$35</f>
        <v>0</v>
      </c>
      <c r="AE6" s="773">
        <f t="shared" ref="AE6:AF6" si="19">W40*$V$35</f>
        <v>0</v>
      </c>
      <c r="AF6" s="773">
        <f t="shared" si="19"/>
        <v>4885.9693596384877</v>
      </c>
      <c r="AG6" s="773">
        <f t="shared" ref="AG6" si="20">Y40*$V$35</f>
        <v>5700.297586244903</v>
      </c>
      <c r="AH6" s="773">
        <f t="shared" ref="AH6:AJ6" si="21">Z40*$V$35</f>
        <v>6514.6258128513173</v>
      </c>
      <c r="AI6" s="773">
        <f t="shared" si="21"/>
        <v>6514.6258128513173</v>
      </c>
      <c r="AJ6" s="914">
        <f t="shared" si="21"/>
        <v>6514.6258128513173</v>
      </c>
      <c r="AK6" s="711" t="s">
        <v>384</v>
      </c>
      <c r="AL6" s="711" t="s">
        <v>375</v>
      </c>
      <c r="AM6" s="711" t="s">
        <v>377</v>
      </c>
      <c r="AN6" s="711" t="s">
        <v>858</v>
      </c>
      <c r="AO6" s="711" t="s">
        <v>1</v>
      </c>
      <c r="AP6" s="711" t="s">
        <v>378</v>
      </c>
      <c r="AQ6" s="711" t="s">
        <v>378</v>
      </c>
      <c r="AR6" s="711" t="s">
        <v>378</v>
      </c>
      <c r="AS6" s="715" t="s">
        <v>859</v>
      </c>
      <c r="AT6" s="715" t="s">
        <v>380</v>
      </c>
      <c r="AU6" s="715" t="s">
        <v>381</v>
      </c>
      <c r="AV6" s="915">
        <v>8</v>
      </c>
      <c r="AW6" s="661"/>
      <c r="AX6" s="711" t="s">
        <v>860</v>
      </c>
      <c r="AY6" s="716">
        <v>1</v>
      </c>
      <c r="AZ6" s="716">
        <v>1</v>
      </c>
      <c r="BA6" s="717">
        <v>0</v>
      </c>
      <c r="BB6" s="721">
        <f>I6</f>
        <v>0</v>
      </c>
      <c r="BC6" s="499">
        <f t="shared" ref="BC6:BD11" si="22">BB6</f>
        <v>0</v>
      </c>
      <c r="BD6" s="499">
        <f t="shared" si="22"/>
        <v>0</v>
      </c>
      <c r="BE6" s="499">
        <f t="shared" ref="BE6:BH6" si="23">BB6</f>
        <v>0</v>
      </c>
      <c r="BF6" s="499">
        <f t="shared" si="23"/>
        <v>0</v>
      </c>
      <c r="BG6" s="499">
        <f t="shared" si="23"/>
        <v>0</v>
      </c>
      <c r="BH6" s="719">
        <f t="shared" si="23"/>
        <v>0</v>
      </c>
      <c r="BI6" s="499">
        <f>J6</f>
        <v>0</v>
      </c>
      <c r="BJ6" s="499">
        <f t="shared" ref="BJ6:BO11" si="24">BI6</f>
        <v>0</v>
      </c>
      <c r="BK6" s="499">
        <f t="shared" si="24"/>
        <v>0</v>
      </c>
      <c r="BL6" s="499">
        <f>BK6</f>
        <v>0</v>
      </c>
      <c r="BM6" s="499">
        <f t="shared" ref="BM6" si="25">BL6</f>
        <v>0</v>
      </c>
      <c r="BN6" s="499">
        <f t="shared" ref="BN6:BO9" si="26">BM6</f>
        <v>0</v>
      </c>
      <c r="BO6" s="719">
        <f t="shared" si="26"/>
        <v>0</v>
      </c>
      <c r="BP6" s="499">
        <f>N6+O6</f>
        <v>50</v>
      </c>
      <c r="BQ6" s="499">
        <f t="shared" ref="BQ6:BV11" si="27">BP6</f>
        <v>50</v>
      </c>
      <c r="BR6" s="499">
        <f t="shared" si="27"/>
        <v>50</v>
      </c>
      <c r="BS6" s="499">
        <f>BR6</f>
        <v>50</v>
      </c>
      <c r="BT6" s="499">
        <f t="shared" ref="BT6:BV6" si="28">BS6</f>
        <v>50</v>
      </c>
      <c r="BU6" s="499">
        <f t="shared" si="28"/>
        <v>50</v>
      </c>
      <c r="BV6" s="720">
        <f t="shared" si="28"/>
        <v>50</v>
      </c>
      <c r="BW6" s="916">
        <f t="shared" ref="BW6:CC16" si="29">$P6</f>
        <v>0</v>
      </c>
      <c r="BX6" s="720">
        <f>$P6</f>
        <v>0</v>
      </c>
      <c r="BY6" s="720">
        <f t="shared" si="29"/>
        <v>0</v>
      </c>
      <c r="BZ6" s="720">
        <f t="shared" si="29"/>
        <v>0</v>
      </c>
      <c r="CA6" s="720">
        <f t="shared" si="29"/>
        <v>0</v>
      </c>
      <c r="CB6" s="720">
        <f t="shared" si="29"/>
        <v>0</v>
      </c>
      <c r="CC6" s="719">
        <f t="shared" si="29"/>
        <v>0</v>
      </c>
      <c r="CD6" s="722">
        <f>Q6*AZ6</f>
        <v>750</v>
      </c>
      <c r="CE6" s="511">
        <f t="shared" ref="CE6:CJ11" si="30">CD6</f>
        <v>750</v>
      </c>
      <c r="CF6" s="511">
        <f t="shared" si="30"/>
        <v>750</v>
      </c>
      <c r="CG6" s="511">
        <f>CF6</f>
        <v>750</v>
      </c>
      <c r="CH6" s="511">
        <f t="shared" ref="CH6:CJ6" si="31">CG6</f>
        <v>750</v>
      </c>
      <c r="CI6" s="511">
        <f t="shared" si="31"/>
        <v>750</v>
      </c>
      <c r="CJ6" s="723">
        <f t="shared" si="31"/>
        <v>750</v>
      </c>
      <c r="CK6" s="722">
        <f>R6*AZ6</f>
        <v>8.5000000000000006E-2</v>
      </c>
      <c r="CL6" s="511">
        <f t="shared" ref="CL6:CQ11" si="32">CK6</f>
        <v>8.5000000000000006E-2</v>
      </c>
      <c r="CM6" s="511">
        <f t="shared" si="32"/>
        <v>8.5000000000000006E-2</v>
      </c>
      <c r="CN6" s="511">
        <f>CM6</f>
        <v>8.5000000000000006E-2</v>
      </c>
      <c r="CO6" s="511">
        <f t="shared" ref="CO6:CQ6" si="33">CN6</f>
        <v>8.5000000000000006E-2</v>
      </c>
      <c r="CP6" s="511">
        <f t="shared" si="33"/>
        <v>8.5000000000000006E-2</v>
      </c>
      <c r="CQ6" s="723">
        <f t="shared" si="33"/>
        <v>8.5000000000000006E-2</v>
      </c>
      <c r="CR6" s="722">
        <f>S6*BA6</f>
        <v>0</v>
      </c>
      <c r="CS6" s="511">
        <f t="shared" ref="CS6:CT11" si="34">CR6</f>
        <v>0</v>
      </c>
      <c r="CT6" s="511">
        <f t="shared" si="34"/>
        <v>0</v>
      </c>
      <c r="CU6" s="511">
        <f>CT6</f>
        <v>0</v>
      </c>
      <c r="CV6" s="511">
        <f t="shared" ref="CV6:CX6" si="35">CU6</f>
        <v>0</v>
      </c>
      <c r="CW6" s="511">
        <f t="shared" si="35"/>
        <v>0</v>
      </c>
      <c r="CX6" s="723">
        <f t="shared" si="35"/>
        <v>0</v>
      </c>
      <c r="CY6" s="724">
        <f t="shared" ref="CY6:DE9" si="36">AD6*BB6</f>
        <v>0</v>
      </c>
      <c r="CZ6" s="508">
        <f t="shared" si="36"/>
        <v>0</v>
      </c>
      <c r="DA6" s="508">
        <f t="shared" si="36"/>
        <v>0</v>
      </c>
      <c r="DB6" s="508">
        <f t="shared" si="36"/>
        <v>0</v>
      </c>
      <c r="DC6" s="508">
        <f t="shared" si="36"/>
        <v>0</v>
      </c>
      <c r="DD6" s="508">
        <f t="shared" si="36"/>
        <v>0</v>
      </c>
      <c r="DE6" s="725">
        <f t="shared" si="36"/>
        <v>0</v>
      </c>
      <c r="DF6" s="724">
        <f t="shared" ref="DF6:DL9" si="37">AD6*BI6</f>
        <v>0</v>
      </c>
      <c r="DG6" s="508">
        <f t="shared" si="37"/>
        <v>0</v>
      </c>
      <c r="DH6" s="508">
        <f t="shared" si="37"/>
        <v>0</v>
      </c>
      <c r="DI6" s="508">
        <f t="shared" si="37"/>
        <v>0</v>
      </c>
      <c r="DJ6" s="508">
        <f t="shared" si="37"/>
        <v>0</v>
      </c>
      <c r="DK6" s="508">
        <f t="shared" si="37"/>
        <v>0</v>
      </c>
      <c r="DL6" s="725">
        <f t="shared" si="37"/>
        <v>0</v>
      </c>
      <c r="DM6" s="917">
        <f t="shared" ref="DM6:DS9" si="38">AD6*BP6</f>
        <v>0</v>
      </c>
      <c r="DN6" s="728">
        <f t="shared" si="38"/>
        <v>0</v>
      </c>
      <c r="DO6" s="728">
        <f t="shared" si="38"/>
        <v>244298.46798192439</v>
      </c>
      <c r="DP6" s="728">
        <f t="shared" si="38"/>
        <v>285014.87931224518</v>
      </c>
      <c r="DQ6" s="728">
        <f t="shared" si="38"/>
        <v>325731.29064256587</v>
      </c>
      <c r="DR6" s="728">
        <f t="shared" si="38"/>
        <v>325731.29064256587</v>
      </c>
      <c r="DS6" s="918">
        <f t="shared" si="38"/>
        <v>325731.29064256587</v>
      </c>
      <c r="DT6" s="724">
        <f t="shared" ref="DT6:DZ9" si="39">BW6*AD6</f>
        <v>0</v>
      </c>
      <c r="DU6" s="508">
        <f t="shared" si="39"/>
        <v>0</v>
      </c>
      <c r="DV6" s="508">
        <f t="shared" si="39"/>
        <v>0</v>
      </c>
      <c r="DW6" s="508">
        <f t="shared" si="39"/>
        <v>0</v>
      </c>
      <c r="DX6" s="508">
        <f t="shared" si="39"/>
        <v>0</v>
      </c>
      <c r="DY6" s="508">
        <f t="shared" si="39"/>
        <v>0</v>
      </c>
      <c r="DZ6" s="725">
        <f t="shared" si="39"/>
        <v>0</v>
      </c>
      <c r="EA6" s="919">
        <f t="shared" ref="EA6:EG9" si="40">AD6*CD6</f>
        <v>0</v>
      </c>
      <c r="EB6" s="778">
        <f t="shared" si="40"/>
        <v>0</v>
      </c>
      <c r="EC6" s="778">
        <f t="shared" si="40"/>
        <v>3664477.0197288659</v>
      </c>
      <c r="ED6" s="778">
        <f t="shared" si="40"/>
        <v>4275223.1896836776</v>
      </c>
      <c r="EE6" s="778">
        <f t="shared" si="40"/>
        <v>4885969.3596384879</v>
      </c>
      <c r="EF6" s="778">
        <f t="shared" si="40"/>
        <v>4885969.3596384879</v>
      </c>
      <c r="EG6" s="920">
        <f t="shared" si="40"/>
        <v>4885969.3596384879</v>
      </c>
      <c r="EH6" s="722">
        <f t="shared" ref="EH6:EN9" si="41">AD6*CK6</f>
        <v>0</v>
      </c>
      <c r="EI6" s="511">
        <f t="shared" si="41"/>
        <v>0</v>
      </c>
      <c r="EJ6" s="511">
        <f t="shared" si="41"/>
        <v>415.30739556927148</v>
      </c>
      <c r="EK6" s="511">
        <f t="shared" si="41"/>
        <v>484.52529483081679</v>
      </c>
      <c r="EL6" s="511">
        <f t="shared" si="41"/>
        <v>553.74319409236205</v>
      </c>
      <c r="EM6" s="511">
        <f t="shared" si="41"/>
        <v>553.74319409236205</v>
      </c>
      <c r="EN6" s="723">
        <f t="shared" si="41"/>
        <v>553.74319409236205</v>
      </c>
      <c r="EO6" s="722">
        <f t="shared" ref="EO6:EU9" si="42">AD6*CR6</f>
        <v>0</v>
      </c>
      <c r="EP6" s="511">
        <f t="shared" si="42"/>
        <v>0</v>
      </c>
      <c r="EQ6" s="511">
        <f t="shared" si="42"/>
        <v>0</v>
      </c>
      <c r="ER6" s="511">
        <f t="shared" si="42"/>
        <v>0</v>
      </c>
      <c r="ES6" s="511">
        <f t="shared" si="42"/>
        <v>0</v>
      </c>
      <c r="ET6" s="511">
        <f t="shared" si="42"/>
        <v>0</v>
      </c>
      <c r="EU6" s="723">
        <f t="shared" si="42"/>
        <v>0</v>
      </c>
      <c r="EV6" s="921">
        <f>SUM(AD6:AJ6)</f>
        <v>30130.144384437346</v>
      </c>
      <c r="EW6" s="922">
        <f>SUM(CY6:DE6)</f>
        <v>0</v>
      </c>
      <c r="EX6" s="922">
        <f>SUM(DF6:DL6)</f>
        <v>0</v>
      </c>
      <c r="EY6" s="922">
        <f>SUM(DM6:DS6)</f>
        <v>1506507.2192218672</v>
      </c>
      <c r="EZ6" s="922">
        <f>SUM(DT6:DZ6)</f>
        <v>0</v>
      </c>
      <c r="FA6" s="923">
        <f>SUM(EA6:EG6)</f>
        <v>22597608.288328007</v>
      </c>
      <c r="FB6" s="923">
        <f>SUM(EH6:EN6)</f>
        <v>2561.0622726771744</v>
      </c>
      <c r="FC6" s="924">
        <f>SUM(EO6:EU6)</f>
        <v>0</v>
      </c>
      <c r="FE6" s="10" t="b">
        <f t="shared" ref="FE6:FL6" si="43">EV6=SUM(EV11,EV16)</f>
        <v>1</v>
      </c>
      <c r="FF6" s="10" t="b">
        <f t="shared" si="43"/>
        <v>1</v>
      </c>
      <c r="FG6" s="10" t="b">
        <f t="shared" si="43"/>
        <v>1</v>
      </c>
      <c r="FH6" s="10" t="b">
        <f t="shared" si="43"/>
        <v>1</v>
      </c>
      <c r="FI6" s="10" t="b">
        <f t="shared" si="43"/>
        <v>1</v>
      </c>
      <c r="FJ6" s="10" t="b">
        <f t="shared" si="43"/>
        <v>1</v>
      </c>
      <c r="FK6" s="10" t="b">
        <f t="shared" si="43"/>
        <v>1</v>
      </c>
      <c r="FL6" s="10" t="b">
        <f t="shared" si="43"/>
        <v>1</v>
      </c>
    </row>
    <row r="7" spans="1:168" s="10" customFormat="1" ht="12.75" customHeight="1">
      <c r="A7" s="663">
        <v>2</v>
      </c>
      <c r="B7" s="663" t="s">
        <v>861</v>
      </c>
      <c r="C7" s="663" t="s">
        <v>862</v>
      </c>
      <c r="D7" s="663" t="s">
        <v>863</v>
      </c>
      <c r="E7" s="663" t="s">
        <v>331</v>
      </c>
      <c r="F7" s="704" t="s">
        <v>402</v>
      </c>
      <c r="G7" s="704">
        <v>0</v>
      </c>
      <c r="H7" s="704">
        <v>0</v>
      </c>
      <c r="I7" s="704">
        <f t="shared" ref="I7:I9" si="44">G7+H7</f>
        <v>0</v>
      </c>
      <c r="J7" s="704">
        <v>0</v>
      </c>
      <c r="K7" s="704">
        <v>0</v>
      </c>
      <c r="L7" s="711" t="s">
        <v>856</v>
      </c>
      <c r="M7" s="707">
        <v>0</v>
      </c>
      <c r="N7" s="707">
        <v>50</v>
      </c>
      <c r="O7" s="707">
        <v>0</v>
      </c>
      <c r="P7" s="707">
        <v>0</v>
      </c>
      <c r="Q7" s="780">
        <v>750</v>
      </c>
      <c r="R7" s="911">
        <v>8.5000000000000006E-2</v>
      </c>
      <c r="S7" s="912">
        <v>0</v>
      </c>
      <c r="T7" s="913" t="s">
        <v>857</v>
      </c>
      <c r="U7" s="712"/>
      <c r="V7" s="713">
        <v>1</v>
      </c>
      <c r="W7" s="773">
        <f t="shared" si="17"/>
        <v>2113.6874683125757</v>
      </c>
      <c r="X7" s="773">
        <f t="shared" si="17"/>
        <v>1534.0201917778022</v>
      </c>
      <c r="Y7" s="661">
        <f t="shared" si="17"/>
        <v>0</v>
      </c>
      <c r="Z7" s="661">
        <f t="shared" si="17"/>
        <v>0</v>
      </c>
      <c r="AA7" s="714">
        <f>(Z7+($U7*Z7))</f>
        <v>0</v>
      </c>
      <c r="AB7" s="714">
        <f t="shared" ref="AB7:AB8" si="45">(AA7+($U7*AA7))</f>
        <v>0</v>
      </c>
      <c r="AC7" s="714">
        <f>U40*$V$34</f>
        <v>0</v>
      </c>
      <c r="AD7" s="773">
        <f t="shared" ref="AD7:AF7" si="46">V40*$V$34</f>
        <v>0</v>
      </c>
      <c r="AE7" s="773">
        <f t="shared" si="46"/>
        <v>0</v>
      </c>
      <c r="AF7" s="773">
        <f t="shared" si="46"/>
        <v>1114.0306403615123</v>
      </c>
      <c r="AG7" s="773">
        <f t="shared" ref="AG7" si="47">Y40*$V$34</f>
        <v>1299.7024137550975</v>
      </c>
      <c r="AH7" s="773">
        <f t="shared" ref="AH7:AJ7" si="48">Z40*$V$34</f>
        <v>1485.3741871486829</v>
      </c>
      <c r="AI7" s="773">
        <f t="shared" si="48"/>
        <v>1485.3741871486829</v>
      </c>
      <c r="AJ7" s="914">
        <f t="shared" si="48"/>
        <v>1485.3741871486829</v>
      </c>
      <c r="AK7" s="711" t="s">
        <v>384</v>
      </c>
      <c r="AL7" s="711" t="s">
        <v>375</v>
      </c>
      <c r="AM7" s="711" t="s">
        <v>377</v>
      </c>
      <c r="AN7" s="711" t="s">
        <v>864</v>
      </c>
      <c r="AO7" s="711" t="s">
        <v>1</v>
      </c>
      <c r="AP7" s="711" t="s">
        <v>378</v>
      </c>
      <c r="AQ7" s="711" t="s">
        <v>378</v>
      </c>
      <c r="AR7" s="711" t="s">
        <v>378</v>
      </c>
      <c r="AS7" s="715" t="s">
        <v>865</v>
      </c>
      <c r="AT7" s="715" t="s">
        <v>380</v>
      </c>
      <c r="AU7" s="715" t="s">
        <v>381</v>
      </c>
      <c r="AV7" s="915">
        <v>8</v>
      </c>
      <c r="AW7" s="661"/>
      <c r="AX7" s="711" t="s">
        <v>866</v>
      </c>
      <c r="AY7" s="716">
        <v>1</v>
      </c>
      <c r="AZ7" s="716">
        <v>1</v>
      </c>
      <c r="BA7" s="717">
        <v>0</v>
      </c>
      <c r="BB7" s="721">
        <f t="shared" ref="BB7:BB9" si="49">I7</f>
        <v>0</v>
      </c>
      <c r="BC7" s="499">
        <f t="shared" ref="BC7:BD9" si="50">BB7</f>
        <v>0</v>
      </c>
      <c r="BD7" s="499">
        <f t="shared" si="50"/>
        <v>0</v>
      </c>
      <c r="BE7" s="499">
        <f t="shared" ref="BE7:BH9" si="51">BB7</f>
        <v>0</v>
      </c>
      <c r="BF7" s="499">
        <f t="shared" si="51"/>
        <v>0</v>
      </c>
      <c r="BG7" s="499">
        <f t="shared" si="51"/>
        <v>0</v>
      </c>
      <c r="BH7" s="719">
        <f t="shared" si="51"/>
        <v>0</v>
      </c>
      <c r="BI7" s="499">
        <f t="shared" ref="BI7:BI9" si="52">J7</f>
        <v>0</v>
      </c>
      <c r="BJ7" s="499">
        <f t="shared" ref="BJ7:BK9" si="53">BI7</f>
        <v>0</v>
      </c>
      <c r="BK7" s="499">
        <f t="shared" si="53"/>
        <v>0</v>
      </c>
      <c r="BL7" s="499">
        <f>BK7</f>
        <v>0</v>
      </c>
      <c r="BM7" s="499">
        <f>BL7</f>
        <v>0</v>
      </c>
      <c r="BN7" s="499">
        <f t="shared" si="26"/>
        <v>0</v>
      </c>
      <c r="BO7" s="719">
        <f t="shared" si="26"/>
        <v>0</v>
      </c>
      <c r="BP7" s="499">
        <f t="shared" ref="BP7:BP9" si="54">N7+O7</f>
        <v>50</v>
      </c>
      <c r="BQ7" s="499">
        <f t="shared" ref="BQ7:BR9" si="55">BP7</f>
        <v>50</v>
      </c>
      <c r="BR7" s="499">
        <f t="shared" si="55"/>
        <v>50</v>
      </c>
      <c r="BS7" s="499">
        <f>BR7</f>
        <v>50</v>
      </c>
      <c r="BT7" s="499">
        <f t="shared" ref="BT7:BV9" si="56">BS7</f>
        <v>50</v>
      </c>
      <c r="BU7" s="499">
        <f t="shared" si="56"/>
        <v>50</v>
      </c>
      <c r="BV7" s="720">
        <f t="shared" si="56"/>
        <v>50</v>
      </c>
      <c r="BW7" s="916">
        <f t="shared" ref="BW7:CC9" si="57">$P7</f>
        <v>0</v>
      </c>
      <c r="BX7" s="720">
        <f t="shared" si="57"/>
        <v>0</v>
      </c>
      <c r="BY7" s="720">
        <f t="shared" si="57"/>
        <v>0</v>
      </c>
      <c r="BZ7" s="720">
        <f t="shared" si="57"/>
        <v>0</v>
      </c>
      <c r="CA7" s="720">
        <f t="shared" si="57"/>
        <v>0</v>
      </c>
      <c r="CB7" s="720">
        <f t="shared" si="57"/>
        <v>0</v>
      </c>
      <c r="CC7" s="719">
        <f t="shared" si="57"/>
        <v>0</v>
      </c>
      <c r="CD7" s="722">
        <f t="shared" ref="CD7:CD9" si="58">Q7*AZ7</f>
        <v>750</v>
      </c>
      <c r="CE7" s="511">
        <f t="shared" ref="CE7:CF9" si="59">CD7</f>
        <v>750</v>
      </c>
      <c r="CF7" s="511">
        <f t="shared" si="59"/>
        <v>750</v>
      </c>
      <c r="CG7" s="511">
        <f>CF7</f>
        <v>750</v>
      </c>
      <c r="CH7" s="511">
        <f t="shared" ref="CH7:CJ9" si="60">CG7</f>
        <v>750</v>
      </c>
      <c r="CI7" s="511">
        <f t="shared" si="60"/>
        <v>750</v>
      </c>
      <c r="CJ7" s="723">
        <f t="shared" si="60"/>
        <v>750</v>
      </c>
      <c r="CK7" s="722">
        <f t="shared" ref="CK7:CK9" si="61">R7*AZ7</f>
        <v>8.5000000000000006E-2</v>
      </c>
      <c r="CL7" s="511">
        <f t="shared" ref="CL7:CM9" si="62">CK7</f>
        <v>8.5000000000000006E-2</v>
      </c>
      <c r="CM7" s="511">
        <f t="shared" si="62"/>
        <v>8.5000000000000006E-2</v>
      </c>
      <c r="CN7" s="511">
        <f>CM7</f>
        <v>8.5000000000000006E-2</v>
      </c>
      <c r="CO7" s="511">
        <f t="shared" ref="CO7:CQ9" si="63">CN7</f>
        <v>8.5000000000000006E-2</v>
      </c>
      <c r="CP7" s="511">
        <f t="shared" si="63"/>
        <v>8.5000000000000006E-2</v>
      </c>
      <c r="CQ7" s="723">
        <f t="shared" si="63"/>
        <v>8.5000000000000006E-2</v>
      </c>
      <c r="CR7" s="722">
        <f t="shared" ref="CR7:CR9" si="64">S7*BA7</f>
        <v>0</v>
      </c>
      <c r="CS7" s="511">
        <f t="shared" ref="CS7:CT9" si="65">CR7</f>
        <v>0</v>
      </c>
      <c r="CT7" s="511">
        <f t="shared" si="65"/>
        <v>0</v>
      </c>
      <c r="CU7" s="511">
        <f>CT7</f>
        <v>0</v>
      </c>
      <c r="CV7" s="511">
        <f t="shared" ref="CV7:CX9" si="66">CU7</f>
        <v>0</v>
      </c>
      <c r="CW7" s="511">
        <f t="shared" si="66"/>
        <v>0</v>
      </c>
      <c r="CX7" s="723">
        <f t="shared" si="66"/>
        <v>0</v>
      </c>
      <c r="CY7" s="724">
        <f t="shared" si="36"/>
        <v>0</v>
      </c>
      <c r="CZ7" s="508">
        <f t="shared" si="36"/>
        <v>0</v>
      </c>
      <c r="DA7" s="508">
        <f t="shared" si="36"/>
        <v>0</v>
      </c>
      <c r="DB7" s="508">
        <f t="shared" si="36"/>
        <v>0</v>
      </c>
      <c r="DC7" s="508">
        <f t="shared" si="36"/>
        <v>0</v>
      </c>
      <c r="DD7" s="508">
        <f t="shared" si="36"/>
        <v>0</v>
      </c>
      <c r="DE7" s="725">
        <f t="shared" si="36"/>
        <v>0</v>
      </c>
      <c r="DF7" s="724">
        <f t="shared" si="37"/>
        <v>0</v>
      </c>
      <c r="DG7" s="508">
        <f t="shared" si="37"/>
        <v>0</v>
      </c>
      <c r="DH7" s="508">
        <f t="shared" si="37"/>
        <v>0</v>
      </c>
      <c r="DI7" s="508">
        <f t="shared" si="37"/>
        <v>0</v>
      </c>
      <c r="DJ7" s="508">
        <f t="shared" si="37"/>
        <v>0</v>
      </c>
      <c r="DK7" s="508">
        <f t="shared" si="37"/>
        <v>0</v>
      </c>
      <c r="DL7" s="725">
        <f t="shared" si="37"/>
        <v>0</v>
      </c>
      <c r="DM7" s="917">
        <f t="shared" si="38"/>
        <v>0</v>
      </c>
      <c r="DN7" s="728">
        <f t="shared" si="38"/>
        <v>0</v>
      </c>
      <c r="DO7" s="728">
        <f t="shared" si="38"/>
        <v>55701.53201807561</v>
      </c>
      <c r="DP7" s="728">
        <f t="shared" si="38"/>
        <v>64985.120687754876</v>
      </c>
      <c r="DQ7" s="728">
        <f t="shared" si="38"/>
        <v>74268.709357434142</v>
      </c>
      <c r="DR7" s="728">
        <f t="shared" si="38"/>
        <v>74268.709357434142</v>
      </c>
      <c r="DS7" s="918">
        <f t="shared" si="38"/>
        <v>74268.709357434142</v>
      </c>
      <c r="DT7" s="724">
        <f t="shared" si="39"/>
        <v>0</v>
      </c>
      <c r="DU7" s="508">
        <f t="shared" si="39"/>
        <v>0</v>
      </c>
      <c r="DV7" s="508">
        <f t="shared" si="39"/>
        <v>0</v>
      </c>
      <c r="DW7" s="508">
        <f t="shared" si="39"/>
        <v>0</v>
      </c>
      <c r="DX7" s="508">
        <f t="shared" si="39"/>
        <v>0</v>
      </c>
      <c r="DY7" s="508">
        <f t="shared" si="39"/>
        <v>0</v>
      </c>
      <c r="DZ7" s="725">
        <f t="shared" si="39"/>
        <v>0</v>
      </c>
      <c r="EA7" s="919">
        <f t="shared" si="40"/>
        <v>0</v>
      </c>
      <c r="EB7" s="778">
        <f t="shared" si="40"/>
        <v>0</v>
      </c>
      <c r="EC7" s="778">
        <f t="shared" si="40"/>
        <v>835522.98027113418</v>
      </c>
      <c r="ED7" s="778">
        <f t="shared" si="40"/>
        <v>974776.81031632307</v>
      </c>
      <c r="EE7" s="778">
        <f t="shared" si="40"/>
        <v>1114030.6403615123</v>
      </c>
      <c r="EF7" s="778">
        <f t="shared" si="40"/>
        <v>1114030.6403615123</v>
      </c>
      <c r="EG7" s="920">
        <f t="shared" si="40"/>
        <v>1114030.6403615123</v>
      </c>
      <c r="EH7" s="722">
        <f t="shared" si="41"/>
        <v>0</v>
      </c>
      <c r="EI7" s="511">
        <f t="shared" si="41"/>
        <v>0</v>
      </c>
      <c r="EJ7" s="511">
        <f t="shared" si="41"/>
        <v>94.692604430728551</v>
      </c>
      <c r="EK7" s="511">
        <f t="shared" si="41"/>
        <v>110.4747051691833</v>
      </c>
      <c r="EL7" s="511">
        <f t="shared" si="41"/>
        <v>126.25680590763805</v>
      </c>
      <c r="EM7" s="511">
        <f t="shared" si="41"/>
        <v>126.25680590763805</v>
      </c>
      <c r="EN7" s="723">
        <f t="shared" si="41"/>
        <v>126.25680590763805</v>
      </c>
      <c r="EO7" s="722">
        <f t="shared" si="42"/>
        <v>0</v>
      </c>
      <c r="EP7" s="511">
        <f t="shared" si="42"/>
        <v>0</v>
      </c>
      <c r="EQ7" s="511">
        <f t="shared" si="42"/>
        <v>0</v>
      </c>
      <c r="ER7" s="511">
        <f t="shared" si="42"/>
        <v>0</v>
      </c>
      <c r="ES7" s="511">
        <f t="shared" si="42"/>
        <v>0</v>
      </c>
      <c r="ET7" s="511">
        <f t="shared" si="42"/>
        <v>0</v>
      </c>
      <c r="EU7" s="723">
        <f t="shared" si="42"/>
        <v>0</v>
      </c>
      <c r="EV7" s="921">
        <f>SUM(AD7:AJ7)</f>
        <v>6869.8556155626584</v>
      </c>
      <c r="EW7" s="922">
        <f t="shared" ref="EW7:EW9" si="67">SUM(CY7:DE7)</f>
        <v>0</v>
      </c>
      <c r="EX7" s="922">
        <f t="shared" ref="EX7:EX9" si="68">SUM(DF7:DL7)</f>
        <v>0</v>
      </c>
      <c r="EY7" s="922">
        <f t="shared" ref="EY7:EY9" si="69">SUM(DM7:DS7)</f>
        <v>343492.7807781329</v>
      </c>
      <c r="EZ7" s="922">
        <f t="shared" ref="EZ7:EZ9" si="70">SUM(DT7:DZ7)</f>
        <v>0</v>
      </c>
      <c r="FA7" s="923">
        <f t="shared" ref="FA7:FA9" si="71">SUM(EA7:EG7)</f>
        <v>5152391.7116719941</v>
      </c>
      <c r="FB7" s="923">
        <f t="shared" ref="FB7:FB9" si="72">SUM(EH7:EN7)</f>
        <v>583.93772732282605</v>
      </c>
      <c r="FC7" s="924">
        <f t="shared" ref="FC7:FC9" si="73">SUM(EO7:EU7)</f>
        <v>0</v>
      </c>
      <c r="FE7" s="10" t="b">
        <f t="shared" ref="FE7:FL7" si="74">EV7=SUM(EV12,EV17)</f>
        <v>1</v>
      </c>
      <c r="FF7" s="10" t="b">
        <f t="shared" si="74"/>
        <v>1</v>
      </c>
      <c r="FG7" s="10" t="b">
        <f t="shared" si="74"/>
        <v>1</v>
      </c>
      <c r="FH7" s="10" t="b">
        <f t="shared" si="74"/>
        <v>1</v>
      </c>
      <c r="FI7" s="10" t="b">
        <f t="shared" si="74"/>
        <v>1</v>
      </c>
      <c r="FJ7" s="10" t="b">
        <f t="shared" si="74"/>
        <v>1</v>
      </c>
      <c r="FK7" s="10" t="b">
        <f t="shared" si="74"/>
        <v>1</v>
      </c>
      <c r="FL7" s="10" t="b">
        <f t="shared" si="74"/>
        <v>1</v>
      </c>
    </row>
    <row r="8" spans="1:168" s="10" customFormat="1" ht="12.75" customHeight="1">
      <c r="A8" s="662">
        <v>3</v>
      </c>
      <c r="B8" s="663" t="s">
        <v>867</v>
      </c>
      <c r="C8" s="663" t="s">
        <v>868</v>
      </c>
      <c r="D8" s="663" t="s">
        <v>869</v>
      </c>
      <c r="E8" s="663" t="s">
        <v>331</v>
      </c>
      <c r="F8" s="704" t="s">
        <v>402</v>
      </c>
      <c r="G8" s="704">
        <v>0</v>
      </c>
      <c r="H8" s="704">
        <v>0</v>
      </c>
      <c r="I8" s="704">
        <f t="shared" si="44"/>
        <v>0</v>
      </c>
      <c r="J8" s="704">
        <v>0</v>
      </c>
      <c r="K8" s="704">
        <v>0</v>
      </c>
      <c r="L8" s="711" t="s">
        <v>856</v>
      </c>
      <c r="M8" s="707">
        <v>0</v>
      </c>
      <c r="N8" s="707">
        <v>0</v>
      </c>
      <c r="O8" s="707">
        <v>0</v>
      </c>
      <c r="P8" s="707">
        <v>0</v>
      </c>
      <c r="Q8" s="780">
        <f>$C$51</f>
        <v>281.88775510204079</v>
      </c>
      <c r="R8" s="710">
        <f>$G$51</f>
        <v>0.26887755102040817</v>
      </c>
      <c r="S8" s="912">
        <v>0</v>
      </c>
      <c r="T8" s="913" t="s">
        <v>870</v>
      </c>
      <c r="U8" s="712"/>
      <c r="V8" s="713">
        <v>1</v>
      </c>
      <c r="W8" s="661">
        <f t="shared" si="17"/>
        <v>0</v>
      </c>
      <c r="X8" s="661">
        <f t="shared" si="17"/>
        <v>0</v>
      </c>
      <c r="Y8" s="661">
        <f t="shared" si="17"/>
        <v>0</v>
      </c>
      <c r="Z8" s="661">
        <f t="shared" si="17"/>
        <v>0</v>
      </c>
      <c r="AA8" s="714">
        <f>(Z8+($U8*Z8))</f>
        <v>0</v>
      </c>
      <c r="AB8" s="714">
        <f t="shared" si="45"/>
        <v>0</v>
      </c>
      <c r="AC8" s="714">
        <f t="shared" ref="AC8:AI8" si="75">(AC6+AC7)*$U$43</f>
        <v>0</v>
      </c>
      <c r="AD8" s="773">
        <f t="shared" si="75"/>
        <v>0</v>
      </c>
      <c r="AE8" s="773">
        <f t="shared" si="75"/>
        <v>0</v>
      </c>
      <c r="AF8" s="773">
        <f t="shared" si="75"/>
        <v>60</v>
      </c>
      <c r="AG8" s="773">
        <f t="shared" si="75"/>
        <v>70</v>
      </c>
      <c r="AH8" s="773">
        <f t="shared" si="75"/>
        <v>80</v>
      </c>
      <c r="AI8" s="773">
        <f t="shared" si="75"/>
        <v>80</v>
      </c>
      <c r="AJ8" s="914">
        <f t="shared" ref="AJ8" si="76">(AJ6+AJ7)*$U$43</f>
        <v>80</v>
      </c>
      <c r="AK8" s="711" t="s">
        <v>384</v>
      </c>
      <c r="AL8" s="711" t="s">
        <v>375</v>
      </c>
      <c r="AM8" s="711" t="s">
        <v>377</v>
      </c>
      <c r="AN8" s="711" t="s">
        <v>871</v>
      </c>
      <c r="AO8" s="711" t="s">
        <v>1</v>
      </c>
      <c r="AP8" s="711" t="s">
        <v>378</v>
      </c>
      <c r="AQ8" s="711" t="s">
        <v>378</v>
      </c>
      <c r="AR8" s="711" t="s">
        <v>378</v>
      </c>
      <c r="AS8" s="715" t="s">
        <v>872</v>
      </c>
      <c r="AT8" s="715" t="s">
        <v>380</v>
      </c>
      <c r="AU8" s="715" t="s">
        <v>381</v>
      </c>
      <c r="AV8" s="915">
        <v>3</v>
      </c>
      <c r="AW8" s="661"/>
      <c r="AX8" s="711" t="s">
        <v>873</v>
      </c>
      <c r="AY8" s="716">
        <v>1</v>
      </c>
      <c r="AZ8" s="716">
        <v>1</v>
      </c>
      <c r="BA8" s="717">
        <v>0</v>
      </c>
      <c r="BB8" s="721">
        <f t="shared" si="49"/>
        <v>0</v>
      </c>
      <c r="BC8" s="499">
        <f t="shared" si="50"/>
        <v>0</v>
      </c>
      <c r="BD8" s="499">
        <f t="shared" si="50"/>
        <v>0</v>
      </c>
      <c r="BE8" s="499">
        <f t="shared" si="51"/>
        <v>0</v>
      </c>
      <c r="BF8" s="499">
        <f t="shared" si="51"/>
        <v>0</v>
      </c>
      <c r="BG8" s="499">
        <f t="shared" si="51"/>
        <v>0</v>
      </c>
      <c r="BH8" s="719">
        <f t="shared" si="51"/>
        <v>0</v>
      </c>
      <c r="BI8" s="499">
        <f t="shared" si="52"/>
        <v>0</v>
      </c>
      <c r="BJ8" s="499">
        <f t="shared" si="53"/>
        <v>0</v>
      </c>
      <c r="BK8" s="499">
        <f t="shared" si="53"/>
        <v>0</v>
      </c>
      <c r="BL8" s="499">
        <f>BK8</f>
        <v>0</v>
      </c>
      <c r="BM8" s="499">
        <f>BL8</f>
        <v>0</v>
      </c>
      <c r="BN8" s="499">
        <f t="shared" si="26"/>
        <v>0</v>
      </c>
      <c r="BO8" s="719">
        <f t="shared" si="26"/>
        <v>0</v>
      </c>
      <c r="BP8" s="499">
        <f t="shared" si="54"/>
        <v>0</v>
      </c>
      <c r="BQ8" s="499">
        <f t="shared" si="55"/>
        <v>0</v>
      </c>
      <c r="BR8" s="499">
        <f t="shared" si="55"/>
        <v>0</v>
      </c>
      <c r="BS8" s="499">
        <f>BR8</f>
        <v>0</v>
      </c>
      <c r="BT8" s="499">
        <f t="shared" si="56"/>
        <v>0</v>
      </c>
      <c r="BU8" s="499">
        <f t="shared" si="56"/>
        <v>0</v>
      </c>
      <c r="BV8" s="720">
        <f t="shared" si="56"/>
        <v>0</v>
      </c>
      <c r="BW8" s="916">
        <f t="shared" si="57"/>
        <v>0</v>
      </c>
      <c r="BX8" s="720">
        <f t="shared" si="57"/>
        <v>0</v>
      </c>
      <c r="BY8" s="720">
        <f t="shared" si="57"/>
        <v>0</v>
      </c>
      <c r="BZ8" s="720">
        <f t="shared" si="57"/>
        <v>0</v>
      </c>
      <c r="CA8" s="720">
        <f t="shared" si="57"/>
        <v>0</v>
      </c>
      <c r="CB8" s="720">
        <f t="shared" si="57"/>
        <v>0</v>
      </c>
      <c r="CC8" s="719">
        <f t="shared" si="57"/>
        <v>0</v>
      </c>
      <c r="CD8" s="722">
        <f t="shared" si="58"/>
        <v>281.88775510204079</v>
      </c>
      <c r="CE8" s="511">
        <f t="shared" si="59"/>
        <v>281.88775510204079</v>
      </c>
      <c r="CF8" s="511">
        <f t="shared" si="59"/>
        <v>281.88775510204079</v>
      </c>
      <c r="CG8" s="511">
        <f>CF8</f>
        <v>281.88775510204079</v>
      </c>
      <c r="CH8" s="511">
        <f t="shared" si="60"/>
        <v>281.88775510204079</v>
      </c>
      <c r="CI8" s="511">
        <f t="shared" si="60"/>
        <v>281.88775510204079</v>
      </c>
      <c r="CJ8" s="723">
        <f t="shared" si="60"/>
        <v>281.88775510204079</v>
      </c>
      <c r="CK8" s="722">
        <f t="shared" si="61"/>
        <v>0.26887755102040817</v>
      </c>
      <c r="CL8" s="511">
        <f t="shared" si="62"/>
        <v>0.26887755102040817</v>
      </c>
      <c r="CM8" s="511">
        <f t="shared" si="62"/>
        <v>0.26887755102040817</v>
      </c>
      <c r="CN8" s="511">
        <f>CM8</f>
        <v>0.26887755102040817</v>
      </c>
      <c r="CO8" s="511">
        <f t="shared" si="63"/>
        <v>0.26887755102040817</v>
      </c>
      <c r="CP8" s="511">
        <f t="shared" si="63"/>
        <v>0.26887755102040817</v>
      </c>
      <c r="CQ8" s="723">
        <f t="shared" si="63"/>
        <v>0.26887755102040817</v>
      </c>
      <c r="CR8" s="722">
        <f t="shared" si="64"/>
        <v>0</v>
      </c>
      <c r="CS8" s="511">
        <f t="shared" si="65"/>
        <v>0</v>
      </c>
      <c r="CT8" s="511">
        <f t="shared" si="65"/>
        <v>0</v>
      </c>
      <c r="CU8" s="511">
        <f>CT8</f>
        <v>0</v>
      </c>
      <c r="CV8" s="511">
        <f t="shared" si="66"/>
        <v>0</v>
      </c>
      <c r="CW8" s="511">
        <f t="shared" si="66"/>
        <v>0</v>
      </c>
      <c r="CX8" s="723">
        <f t="shared" si="66"/>
        <v>0</v>
      </c>
      <c r="CY8" s="724">
        <f t="shared" si="36"/>
        <v>0</v>
      </c>
      <c r="CZ8" s="508">
        <f t="shared" si="36"/>
        <v>0</v>
      </c>
      <c r="DA8" s="508">
        <f t="shared" si="36"/>
        <v>0</v>
      </c>
      <c r="DB8" s="508">
        <f t="shared" si="36"/>
        <v>0</v>
      </c>
      <c r="DC8" s="508">
        <f t="shared" si="36"/>
        <v>0</v>
      </c>
      <c r="DD8" s="508">
        <f t="shared" si="36"/>
        <v>0</v>
      </c>
      <c r="DE8" s="725">
        <f t="shared" si="36"/>
        <v>0</v>
      </c>
      <c r="DF8" s="724">
        <f t="shared" si="37"/>
        <v>0</v>
      </c>
      <c r="DG8" s="508">
        <f t="shared" si="37"/>
        <v>0</v>
      </c>
      <c r="DH8" s="508">
        <f t="shared" si="37"/>
        <v>0</v>
      </c>
      <c r="DI8" s="508">
        <f t="shared" si="37"/>
        <v>0</v>
      </c>
      <c r="DJ8" s="508">
        <f t="shared" si="37"/>
        <v>0</v>
      </c>
      <c r="DK8" s="508">
        <f t="shared" si="37"/>
        <v>0</v>
      </c>
      <c r="DL8" s="725">
        <f t="shared" si="37"/>
        <v>0</v>
      </c>
      <c r="DM8" s="917">
        <f t="shared" si="38"/>
        <v>0</v>
      </c>
      <c r="DN8" s="728">
        <f t="shared" si="38"/>
        <v>0</v>
      </c>
      <c r="DO8" s="728">
        <f t="shared" si="38"/>
        <v>0</v>
      </c>
      <c r="DP8" s="728">
        <f t="shared" si="38"/>
        <v>0</v>
      </c>
      <c r="DQ8" s="728">
        <f t="shared" si="38"/>
        <v>0</v>
      </c>
      <c r="DR8" s="728">
        <f t="shared" si="38"/>
        <v>0</v>
      </c>
      <c r="DS8" s="918">
        <f t="shared" si="38"/>
        <v>0</v>
      </c>
      <c r="DT8" s="724">
        <f t="shared" si="39"/>
        <v>0</v>
      </c>
      <c r="DU8" s="508">
        <f t="shared" si="39"/>
        <v>0</v>
      </c>
      <c r="DV8" s="508">
        <f t="shared" si="39"/>
        <v>0</v>
      </c>
      <c r="DW8" s="508">
        <f t="shared" si="39"/>
        <v>0</v>
      </c>
      <c r="DX8" s="508">
        <f t="shared" si="39"/>
        <v>0</v>
      </c>
      <c r="DY8" s="508">
        <f t="shared" si="39"/>
        <v>0</v>
      </c>
      <c r="DZ8" s="725">
        <f t="shared" si="39"/>
        <v>0</v>
      </c>
      <c r="EA8" s="919">
        <f t="shared" si="40"/>
        <v>0</v>
      </c>
      <c r="EB8" s="778">
        <f t="shared" si="40"/>
        <v>0</v>
      </c>
      <c r="EC8" s="778">
        <f t="shared" si="40"/>
        <v>16913.265306122448</v>
      </c>
      <c r="ED8" s="778">
        <f t="shared" si="40"/>
        <v>19732.142857142855</v>
      </c>
      <c r="EE8" s="778">
        <f t="shared" si="40"/>
        <v>22551.020408163262</v>
      </c>
      <c r="EF8" s="778">
        <f t="shared" si="40"/>
        <v>22551.020408163262</v>
      </c>
      <c r="EG8" s="920">
        <f t="shared" si="40"/>
        <v>22551.020408163262</v>
      </c>
      <c r="EH8" s="722">
        <f t="shared" si="41"/>
        <v>0</v>
      </c>
      <c r="EI8" s="511">
        <f t="shared" si="41"/>
        <v>0</v>
      </c>
      <c r="EJ8" s="511">
        <f t="shared" si="41"/>
        <v>16.132653061224492</v>
      </c>
      <c r="EK8" s="511">
        <f t="shared" si="41"/>
        <v>18.821428571428573</v>
      </c>
      <c r="EL8" s="511">
        <f t="shared" si="41"/>
        <v>21.510204081632654</v>
      </c>
      <c r="EM8" s="511">
        <f t="shared" si="41"/>
        <v>21.510204081632654</v>
      </c>
      <c r="EN8" s="723">
        <f t="shared" si="41"/>
        <v>21.510204081632654</v>
      </c>
      <c r="EO8" s="722">
        <f t="shared" si="42"/>
        <v>0</v>
      </c>
      <c r="EP8" s="511">
        <f t="shared" si="42"/>
        <v>0</v>
      </c>
      <c r="EQ8" s="511">
        <f t="shared" si="42"/>
        <v>0</v>
      </c>
      <c r="ER8" s="511">
        <f t="shared" si="42"/>
        <v>0</v>
      </c>
      <c r="ES8" s="511">
        <f t="shared" si="42"/>
        <v>0</v>
      </c>
      <c r="ET8" s="511">
        <f t="shared" si="42"/>
        <v>0</v>
      </c>
      <c r="EU8" s="723">
        <f t="shared" si="42"/>
        <v>0</v>
      </c>
      <c r="EV8" s="921">
        <f>SUM(AD8:AJ8)</f>
        <v>370</v>
      </c>
      <c r="EW8" s="922">
        <f t="shared" si="67"/>
        <v>0</v>
      </c>
      <c r="EX8" s="922">
        <f t="shared" si="68"/>
        <v>0</v>
      </c>
      <c r="EY8" s="922">
        <f t="shared" si="69"/>
        <v>0</v>
      </c>
      <c r="EZ8" s="922">
        <f t="shared" si="70"/>
        <v>0</v>
      </c>
      <c r="FA8" s="923">
        <f t="shared" si="71"/>
        <v>104298.46938775509</v>
      </c>
      <c r="FB8" s="923">
        <f t="shared" si="72"/>
        <v>99.484693877551024</v>
      </c>
      <c r="FC8" s="924">
        <f t="shared" si="73"/>
        <v>0</v>
      </c>
      <c r="FE8" s="10" t="b">
        <f t="shared" ref="FE8:FL8" si="77">EV8=SUM(EV13,EV18)</f>
        <v>1</v>
      </c>
      <c r="FF8" s="10" t="b">
        <f t="shared" si="77"/>
        <v>1</v>
      </c>
      <c r="FG8" s="10" t="b">
        <f t="shared" si="77"/>
        <v>1</v>
      </c>
      <c r="FH8" s="10" t="b">
        <f t="shared" si="77"/>
        <v>1</v>
      </c>
      <c r="FI8" s="10" t="b">
        <f t="shared" si="77"/>
        <v>1</v>
      </c>
      <c r="FJ8" s="10" t="b">
        <f t="shared" si="77"/>
        <v>1</v>
      </c>
      <c r="FK8" s="10" t="b">
        <f t="shared" si="77"/>
        <v>1</v>
      </c>
      <c r="FL8" s="10" t="b">
        <f t="shared" si="77"/>
        <v>1</v>
      </c>
    </row>
    <row r="9" spans="1:168" s="10" customFormat="1" ht="12.75" customHeight="1">
      <c r="A9" s="662">
        <v>4</v>
      </c>
      <c r="B9" s="663" t="s">
        <v>874</v>
      </c>
      <c r="C9" s="663" t="s">
        <v>875</v>
      </c>
      <c r="D9" s="663" t="s">
        <v>876</v>
      </c>
      <c r="E9" s="663" t="s">
        <v>331</v>
      </c>
      <c r="F9" s="704" t="s">
        <v>402</v>
      </c>
      <c r="G9" s="704">
        <v>0</v>
      </c>
      <c r="H9" s="704">
        <v>0</v>
      </c>
      <c r="I9" s="704">
        <f t="shared" si="44"/>
        <v>0</v>
      </c>
      <c r="J9" s="704">
        <v>0</v>
      </c>
      <c r="K9" s="704">
        <v>0</v>
      </c>
      <c r="L9" s="711" t="s">
        <v>856</v>
      </c>
      <c r="M9" s="707">
        <v>0</v>
      </c>
      <c r="N9" s="707">
        <v>0</v>
      </c>
      <c r="O9" s="707">
        <v>0</v>
      </c>
      <c r="P9" s="707">
        <v>0</v>
      </c>
      <c r="Q9" s="780">
        <f>$C$72</f>
        <v>858</v>
      </c>
      <c r="R9" s="710">
        <f>$G$72</f>
        <v>0.19400000000000001</v>
      </c>
      <c r="S9" s="912">
        <v>0</v>
      </c>
      <c r="T9" s="913" t="s">
        <v>870</v>
      </c>
      <c r="U9" s="712"/>
      <c r="V9" s="713">
        <v>1</v>
      </c>
      <c r="W9" s="661">
        <f t="shared" si="17"/>
        <v>0</v>
      </c>
      <c r="X9" s="661">
        <f t="shared" si="17"/>
        <v>0</v>
      </c>
      <c r="Y9" s="661">
        <f t="shared" si="17"/>
        <v>0</v>
      </c>
      <c r="Z9" s="661">
        <f t="shared" si="17"/>
        <v>0</v>
      </c>
      <c r="AA9" s="714">
        <f>(Z9+($U9*Z9))</f>
        <v>0</v>
      </c>
      <c r="AB9" s="714">
        <f t="shared" ref="AB9" si="78">(AA9+($U9*AA9))</f>
        <v>0</v>
      </c>
      <c r="AC9" s="714">
        <f t="shared" ref="AC9:AI9" si="79">(AC6+AC7)*$U$45</f>
        <v>0</v>
      </c>
      <c r="AD9" s="661">
        <f t="shared" si="79"/>
        <v>0</v>
      </c>
      <c r="AE9" s="661">
        <f t="shared" si="79"/>
        <v>0</v>
      </c>
      <c r="AF9" s="661">
        <f t="shared" si="79"/>
        <v>30</v>
      </c>
      <c r="AG9" s="661">
        <f t="shared" si="79"/>
        <v>35</v>
      </c>
      <c r="AH9" s="661">
        <f t="shared" si="79"/>
        <v>40</v>
      </c>
      <c r="AI9" s="661">
        <f t="shared" si="79"/>
        <v>40</v>
      </c>
      <c r="AJ9" s="925">
        <f t="shared" ref="AJ9" si="80">(AJ6+AJ7)*$U$45</f>
        <v>40</v>
      </c>
      <c r="AK9" s="711" t="s">
        <v>384</v>
      </c>
      <c r="AL9" s="711" t="s">
        <v>375</v>
      </c>
      <c r="AM9" s="711" t="s">
        <v>377</v>
      </c>
      <c r="AN9" s="711" t="s">
        <v>877</v>
      </c>
      <c r="AO9" s="711" t="s">
        <v>1</v>
      </c>
      <c r="AP9" s="711" t="s">
        <v>378</v>
      </c>
      <c r="AQ9" s="711" t="s">
        <v>378</v>
      </c>
      <c r="AR9" s="711" t="s">
        <v>378</v>
      </c>
      <c r="AS9" s="715" t="s">
        <v>872</v>
      </c>
      <c r="AT9" s="715" t="s">
        <v>380</v>
      </c>
      <c r="AU9" s="715" t="s">
        <v>381</v>
      </c>
      <c r="AV9" s="661">
        <v>3</v>
      </c>
      <c r="AW9" s="661"/>
      <c r="AX9" s="711" t="s">
        <v>878</v>
      </c>
      <c r="AY9" s="716">
        <v>1</v>
      </c>
      <c r="AZ9" s="716">
        <v>1</v>
      </c>
      <c r="BA9" s="717">
        <v>0</v>
      </c>
      <c r="BB9" s="721">
        <f t="shared" si="49"/>
        <v>0</v>
      </c>
      <c r="BC9" s="499">
        <f t="shared" si="50"/>
        <v>0</v>
      </c>
      <c r="BD9" s="499">
        <f t="shared" si="50"/>
        <v>0</v>
      </c>
      <c r="BE9" s="499">
        <f t="shared" si="51"/>
        <v>0</v>
      </c>
      <c r="BF9" s="499">
        <f t="shared" si="51"/>
        <v>0</v>
      </c>
      <c r="BG9" s="499">
        <f t="shared" si="51"/>
        <v>0</v>
      </c>
      <c r="BH9" s="719">
        <f t="shared" si="51"/>
        <v>0</v>
      </c>
      <c r="BI9" s="499">
        <f t="shared" si="52"/>
        <v>0</v>
      </c>
      <c r="BJ9" s="499">
        <f t="shared" si="53"/>
        <v>0</v>
      </c>
      <c r="BK9" s="499">
        <f t="shared" si="53"/>
        <v>0</v>
      </c>
      <c r="BL9" s="499">
        <f>BK9</f>
        <v>0</v>
      </c>
      <c r="BM9" s="499">
        <f>BL9</f>
        <v>0</v>
      </c>
      <c r="BN9" s="499">
        <f t="shared" si="26"/>
        <v>0</v>
      </c>
      <c r="BO9" s="719">
        <f t="shared" si="26"/>
        <v>0</v>
      </c>
      <c r="BP9" s="499">
        <f t="shared" si="54"/>
        <v>0</v>
      </c>
      <c r="BQ9" s="499">
        <f t="shared" si="55"/>
        <v>0</v>
      </c>
      <c r="BR9" s="499">
        <f t="shared" si="55"/>
        <v>0</v>
      </c>
      <c r="BS9" s="499">
        <f>BR9</f>
        <v>0</v>
      </c>
      <c r="BT9" s="499">
        <f t="shared" si="56"/>
        <v>0</v>
      </c>
      <c r="BU9" s="499">
        <f t="shared" si="56"/>
        <v>0</v>
      </c>
      <c r="BV9" s="720">
        <f t="shared" si="56"/>
        <v>0</v>
      </c>
      <c r="BW9" s="916">
        <f t="shared" si="57"/>
        <v>0</v>
      </c>
      <c r="BX9" s="720">
        <f t="shared" si="57"/>
        <v>0</v>
      </c>
      <c r="BY9" s="720">
        <f t="shared" si="57"/>
        <v>0</v>
      </c>
      <c r="BZ9" s="720">
        <f t="shared" si="57"/>
        <v>0</v>
      </c>
      <c r="CA9" s="720">
        <f t="shared" si="57"/>
        <v>0</v>
      </c>
      <c r="CB9" s="720">
        <f t="shared" si="57"/>
        <v>0</v>
      </c>
      <c r="CC9" s="719">
        <f t="shared" si="57"/>
        <v>0</v>
      </c>
      <c r="CD9" s="722">
        <f t="shared" si="58"/>
        <v>858</v>
      </c>
      <c r="CE9" s="511">
        <f t="shared" si="59"/>
        <v>858</v>
      </c>
      <c r="CF9" s="511">
        <f t="shared" si="59"/>
        <v>858</v>
      </c>
      <c r="CG9" s="511">
        <f>CF9</f>
        <v>858</v>
      </c>
      <c r="CH9" s="511">
        <f t="shared" si="60"/>
        <v>858</v>
      </c>
      <c r="CI9" s="511">
        <f t="shared" si="60"/>
        <v>858</v>
      </c>
      <c r="CJ9" s="723">
        <f t="shared" si="60"/>
        <v>858</v>
      </c>
      <c r="CK9" s="722">
        <f t="shared" si="61"/>
        <v>0.19400000000000001</v>
      </c>
      <c r="CL9" s="511">
        <f t="shared" si="62"/>
        <v>0.19400000000000001</v>
      </c>
      <c r="CM9" s="511">
        <f t="shared" si="62"/>
        <v>0.19400000000000001</v>
      </c>
      <c r="CN9" s="511">
        <f>CM9</f>
        <v>0.19400000000000001</v>
      </c>
      <c r="CO9" s="511">
        <f t="shared" si="63"/>
        <v>0.19400000000000001</v>
      </c>
      <c r="CP9" s="511">
        <f t="shared" si="63"/>
        <v>0.19400000000000001</v>
      </c>
      <c r="CQ9" s="723">
        <f t="shared" si="63"/>
        <v>0.19400000000000001</v>
      </c>
      <c r="CR9" s="722">
        <f t="shared" si="64"/>
        <v>0</v>
      </c>
      <c r="CS9" s="511">
        <f t="shared" si="65"/>
        <v>0</v>
      </c>
      <c r="CT9" s="511">
        <f t="shared" si="65"/>
        <v>0</v>
      </c>
      <c r="CU9" s="511">
        <f>CT9</f>
        <v>0</v>
      </c>
      <c r="CV9" s="511">
        <f t="shared" si="66"/>
        <v>0</v>
      </c>
      <c r="CW9" s="511">
        <f t="shared" si="66"/>
        <v>0</v>
      </c>
      <c r="CX9" s="723">
        <f t="shared" si="66"/>
        <v>0</v>
      </c>
      <c r="CY9" s="724">
        <f t="shared" si="36"/>
        <v>0</v>
      </c>
      <c r="CZ9" s="508">
        <f t="shared" si="36"/>
        <v>0</v>
      </c>
      <c r="DA9" s="508">
        <f t="shared" si="36"/>
        <v>0</v>
      </c>
      <c r="DB9" s="508">
        <f t="shared" si="36"/>
        <v>0</v>
      </c>
      <c r="DC9" s="508">
        <f t="shared" si="36"/>
        <v>0</v>
      </c>
      <c r="DD9" s="508">
        <f t="shared" si="36"/>
        <v>0</v>
      </c>
      <c r="DE9" s="725">
        <f t="shared" si="36"/>
        <v>0</v>
      </c>
      <c r="DF9" s="724">
        <f t="shared" si="37"/>
        <v>0</v>
      </c>
      <c r="DG9" s="508">
        <f t="shared" si="37"/>
        <v>0</v>
      </c>
      <c r="DH9" s="508">
        <f t="shared" si="37"/>
        <v>0</v>
      </c>
      <c r="DI9" s="508">
        <f t="shared" si="37"/>
        <v>0</v>
      </c>
      <c r="DJ9" s="508">
        <f t="shared" si="37"/>
        <v>0</v>
      </c>
      <c r="DK9" s="508">
        <f t="shared" si="37"/>
        <v>0</v>
      </c>
      <c r="DL9" s="725">
        <f t="shared" si="37"/>
        <v>0</v>
      </c>
      <c r="DM9" s="917">
        <f t="shared" si="38"/>
        <v>0</v>
      </c>
      <c r="DN9" s="728">
        <f t="shared" si="38"/>
        <v>0</v>
      </c>
      <c r="DO9" s="728">
        <f t="shared" si="38"/>
        <v>0</v>
      </c>
      <c r="DP9" s="728">
        <f t="shared" si="38"/>
        <v>0</v>
      </c>
      <c r="DQ9" s="728">
        <f t="shared" si="38"/>
        <v>0</v>
      </c>
      <c r="DR9" s="728">
        <f t="shared" si="38"/>
        <v>0</v>
      </c>
      <c r="DS9" s="918">
        <f t="shared" si="38"/>
        <v>0</v>
      </c>
      <c r="DT9" s="724">
        <f t="shared" si="39"/>
        <v>0</v>
      </c>
      <c r="DU9" s="508">
        <f t="shared" si="39"/>
        <v>0</v>
      </c>
      <c r="DV9" s="508">
        <f t="shared" si="39"/>
        <v>0</v>
      </c>
      <c r="DW9" s="508">
        <f t="shared" si="39"/>
        <v>0</v>
      </c>
      <c r="DX9" s="508">
        <f t="shared" si="39"/>
        <v>0</v>
      </c>
      <c r="DY9" s="508">
        <f t="shared" si="39"/>
        <v>0</v>
      </c>
      <c r="DZ9" s="725">
        <f t="shared" si="39"/>
        <v>0</v>
      </c>
      <c r="EA9" s="919">
        <f t="shared" si="40"/>
        <v>0</v>
      </c>
      <c r="EB9" s="778">
        <f t="shared" si="40"/>
        <v>0</v>
      </c>
      <c r="EC9" s="778">
        <f t="shared" si="40"/>
        <v>25740</v>
      </c>
      <c r="ED9" s="778">
        <f t="shared" si="40"/>
        <v>30030</v>
      </c>
      <c r="EE9" s="778">
        <f t="shared" si="40"/>
        <v>34320</v>
      </c>
      <c r="EF9" s="778">
        <f t="shared" si="40"/>
        <v>34320</v>
      </c>
      <c r="EG9" s="920">
        <f t="shared" si="40"/>
        <v>34320</v>
      </c>
      <c r="EH9" s="722">
        <f t="shared" si="41"/>
        <v>0</v>
      </c>
      <c r="EI9" s="511">
        <f t="shared" si="41"/>
        <v>0</v>
      </c>
      <c r="EJ9" s="511">
        <f t="shared" si="41"/>
        <v>5.82</v>
      </c>
      <c r="EK9" s="511">
        <f t="shared" si="41"/>
        <v>6.79</v>
      </c>
      <c r="EL9" s="511">
        <f t="shared" si="41"/>
        <v>7.76</v>
      </c>
      <c r="EM9" s="511">
        <f t="shared" si="41"/>
        <v>7.76</v>
      </c>
      <c r="EN9" s="723">
        <f t="shared" si="41"/>
        <v>7.76</v>
      </c>
      <c r="EO9" s="722">
        <f t="shared" si="42"/>
        <v>0</v>
      </c>
      <c r="EP9" s="511">
        <f t="shared" si="42"/>
        <v>0</v>
      </c>
      <c r="EQ9" s="511">
        <f t="shared" si="42"/>
        <v>0</v>
      </c>
      <c r="ER9" s="511">
        <f t="shared" si="42"/>
        <v>0</v>
      </c>
      <c r="ES9" s="511">
        <f t="shared" si="42"/>
        <v>0</v>
      </c>
      <c r="ET9" s="511">
        <f t="shared" si="42"/>
        <v>0</v>
      </c>
      <c r="EU9" s="723">
        <f t="shared" si="42"/>
        <v>0</v>
      </c>
      <c r="EV9" s="921">
        <f>SUM(AD9:AJ9)</f>
        <v>185</v>
      </c>
      <c r="EW9" s="922">
        <f t="shared" si="67"/>
        <v>0</v>
      </c>
      <c r="EX9" s="922">
        <f t="shared" si="68"/>
        <v>0</v>
      </c>
      <c r="EY9" s="922">
        <f t="shared" si="69"/>
        <v>0</v>
      </c>
      <c r="EZ9" s="922">
        <f t="shared" si="70"/>
        <v>0</v>
      </c>
      <c r="FA9" s="923">
        <f t="shared" si="71"/>
        <v>158730</v>
      </c>
      <c r="FB9" s="923">
        <f t="shared" si="72"/>
        <v>35.889999999999993</v>
      </c>
      <c r="FC9" s="924">
        <f t="shared" si="73"/>
        <v>0</v>
      </c>
      <c r="FE9" s="10" t="b">
        <f t="shared" ref="FE9:FL9" si="81">EV9=SUM(EV14,EV19)</f>
        <v>1</v>
      </c>
      <c r="FF9" s="10" t="b">
        <f t="shared" si="81"/>
        <v>1</v>
      </c>
      <c r="FG9" s="10" t="b">
        <f t="shared" si="81"/>
        <v>1</v>
      </c>
      <c r="FH9" s="10" t="b">
        <f t="shared" si="81"/>
        <v>1</v>
      </c>
      <c r="FI9" s="10" t="b">
        <f t="shared" si="81"/>
        <v>1</v>
      </c>
      <c r="FJ9" s="10" t="b">
        <f t="shared" si="81"/>
        <v>1</v>
      </c>
      <c r="FK9" s="10" t="b">
        <f t="shared" si="81"/>
        <v>1</v>
      </c>
      <c r="FL9" s="10" t="b">
        <f t="shared" si="81"/>
        <v>1</v>
      </c>
    </row>
    <row r="10" spans="1:168" s="10" customFormat="1" ht="12.75" customHeight="1">
      <c r="A10" s="729"/>
      <c r="B10" s="730"/>
      <c r="C10" s="730"/>
      <c r="D10" s="730"/>
      <c r="E10" s="730"/>
      <c r="F10" s="731"/>
      <c r="G10" s="731"/>
      <c r="H10" s="731"/>
      <c r="I10" s="731"/>
      <c r="J10" s="731"/>
      <c r="K10" s="731"/>
      <c r="L10" s="733"/>
      <c r="M10" s="734"/>
      <c r="N10" s="734"/>
      <c r="O10" s="734"/>
      <c r="P10" s="735"/>
      <c r="Q10" s="736"/>
      <c r="R10" s="737"/>
      <c r="S10" s="926"/>
      <c r="T10" s="733"/>
      <c r="U10" s="738"/>
      <c r="V10" s="739"/>
      <c r="W10" s="740"/>
      <c r="X10" s="740"/>
      <c r="Y10" s="740"/>
      <c r="Z10" s="740"/>
      <c r="AA10" s="741"/>
      <c r="AB10" s="741"/>
      <c r="AC10" s="741"/>
      <c r="AD10" s="742"/>
      <c r="AE10" s="742"/>
      <c r="AF10" s="742"/>
      <c r="AG10" s="742"/>
      <c r="AH10" s="742"/>
      <c r="AI10" s="742"/>
      <c r="AJ10" s="742"/>
      <c r="AK10" s="733"/>
      <c r="AL10" s="733"/>
      <c r="AM10" s="733"/>
      <c r="AN10" s="733"/>
      <c r="AO10" s="733"/>
      <c r="AP10" s="733"/>
      <c r="AQ10" s="733"/>
      <c r="AR10" s="733"/>
      <c r="AS10" s="743"/>
      <c r="AT10" s="760"/>
      <c r="AU10" s="743"/>
      <c r="AV10" s="740"/>
      <c r="AW10" s="740"/>
      <c r="AX10" s="733"/>
      <c r="AY10" s="733"/>
      <c r="AZ10" s="733"/>
      <c r="BA10" s="744"/>
      <c r="BB10" s="745"/>
      <c r="BC10" s="746"/>
      <c r="BD10" s="746"/>
      <c r="BE10" s="746"/>
      <c r="BF10" s="746"/>
      <c r="BG10" s="746"/>
      <c r="BH10" s="747"/>
      <c r="BI10" s="746"/>
      <c r="BJ10" s="746"/>
      <c r="BK10" s="746"/>
      <c r="BL10" s="746"/>
      <c r="BM10" s="746"/>
      <c r="BN10" s="746"/>
      <c r="BO10" s="747"/>
      <c r="BP10" s="746"/>
      <c r="BQ10" s="746"/>
      <c r="BR10" s="746"/>
      <c r="BS10" s="746"/>
      <c r="BT10" s="746"/>
      <c r="BU10" s="746"/>
      <c r="BV10" s="749"/>
      <c r="BW10" s="745"/>
      <c r="BX10" s="746"/>
      <c r="BY10" s="746"/>
      <c r="BZ10" s="746"/>
      <c r="CA10" s="746"/>
      <c r="CB10" s="746"/>
      <c r="CC10" s="747"/>
      <c r="CD10" s="750"/>
      <c r="CE10" s="487"/>
      <c r="CF10" s="487"/>
      <c r="CG10" s="487"/>
      <c r="CH10" s="487"/>
      <c r="CI10" s="487"/>
      <c r="CJ10" s="751"/>
      <c r="CK10" s="750"/>
      <c r="CL10" s="487"/>
      <c r="CM10" s="487"/>
      <c r="CN10" s="487"/>
      <c r="CO10" s="487"/>
      <c r="CP10" s="487"/>
      <c r="CQ10" s="751"/>
      <c r="CR10" s="750"/>
      <c r="CS10" s="487"/>
      <c r="CT10" s="487"/>
      <c r="CU10" s="487"/>
      <c r="CV10" s="487"/>
      <c r="CW10" s="487"/>
      <c r="CX10" s="751"/>
      <c r="CY10" s="752"/>
      <c r="CZ10" s="492"/>
      <c r="DA10" s="492"/>
      <c r="DB10" s="492"/>
      <c r="DC10" s="492"/>
      <c r="DD10" s="492"/>
      <c r="DE10" s="753"/>
      <c r="DF10" s="752"/>
      <c r="DG10" s="492"/>
      <c r="DH10" s="492"/>
      <c r="DI10" s="492"/>
      <c r="DJ10" s="492"/>
      <c r="DK10" s="492"/>
      <c r="DL10" s="753"/>
      <c r="DM10" s="927"/>
      <c r="DN10" s="755"/>
      <c r="DO10" s="755"/>
      <c r="DP10" s="755"/>
      <c r="DQ10" s="755"/>
      <c r="DR10" s="755"/>
      <c r="DS10" s="928"/>
      <c r="DT10" s="752"/>
      <c r="DU10" s="492"/>
      <c r="DV10" s="492"/>
      <c r="DW10" s="492"/>
      <c r="DX10" s="492"/>
      <c r="DY10" s="492"/>
      <c r="DZ10" s="753"/>
      <c r="EA10" s="929"/>
      <c r="EB10" s="757"/>
      <c r="EC10" s="757"/>
      <c r="ED10" s="757"/>
      <c r="EE10" s="757"/>
      <c r="EF10" s="757"/>
      <c r="EG10" s="930"/>
      <c r="EH10" s="750"/>
      <c r="EI10" s="487"/>
      <c r="EJ10" s="487"/>
      <c r="EK10" s="487"/>
      <c r="EL10" s="487"/>
      <c r="EM10" s="487"/>
      <c r="EN10" s="751"/>
      <c r="EO10" s="750"/>
      <c r="EP10" s="487"/>
      <c r="EQ10" s="487"/>
      <c r="ER10" s="487"/>
      <c r="ES10" s="487"/>
      <c r="ET10" s="487"/>
      <c r="EU10" s="751"/>
      <c r="EV10" s="515"/>
      <c r="EW10" s="755"/>
      <c r="EX10" s="755"/>
      <c r="EY10" s="755"/>
      <c r="EZ10" s="755"/>
      <c r="FA10" s="756"/>
      <c r="FB10" s="756"/>
      <c r="FC10" s="757"/>
    </row>
    <row r="11" spans="1:168" s="10" customFormat="1" ht="12.75" customHeight="1">
      <c r="A11" s="661" t="s">
        <v>171</v>
      </c>
      <c r="B11" s="663" t="s">
        <v>879</v>
      </c>
      <c r="C11" s="663" t="s">
        <v>854</v>
      </c>
      <c r="D11" s="663" t="s">
        <v>855</v>
      </c>
      <c r="E11" s="663" t="s">
        <v>331</v>
      </c>
      <c r="F11" s="704" t="s">
        <v>402</v>
      </c>
      <c r="G11" s="704">
        <v>0</v>
      </c>
      <c r="H11" s="704">
        <v>0</v>
      </c>
      <c r="I11" s="704">
        <f>G11+H11</f>
        <v>0</v>
      </c>
      <c r="J11" s="704">
        <v>0</v>
      </c>
      <c r="K11" s="704">
        <v>0</v>
      </c>
      <c r="L11" s="711" t="s">
        <v>856</v>
      </c>
      <c r="M11" s="707">
        <v>0</v>
      </c>
      <c r="N11" s="707">
        <v>50</v>
      </c>
      <c r="O11" s="707">
        <v>0</v>
      </c>
      <c r="P11" s="707">
        <v>0</v>
      </c>
      <c r="Q11" s="780">
        <v>750</v>
      </c>
      <c r="R11" s="911">
        <v>8.5000000000000006E-2</v>
      </c>
      <c r="S11" s="912">
        <v>0</v>
      </c>
      <c r="T11" s="913" t="s">
        <v>857</v>
      </c>
      <c r="U11" s="712"/>
      <c r="V11" s="713">
        <v>1</v>
      </c>
      <c r="W11" s="773">
        <v>3862.3587787942247</v>
      </c>
      <c r="X11" s="773">
        <v>2807.803725338918</v>
      </c>
      <c r="Y11" s="661">
        <v>0</v>
      </c>
      <c r="Z11" s="661">
        <v>0</v>
      </c>
      <c r="AA11" s="661">
        <v>0</v>
      </c>
      <c r="AB11" s="661">
        <v>0</v>
      </c>
      <c r="AC11" s="714">
        <f>AC6*0.5</f>
        <v>0</v>
      </c>
      <c r="AD11" s="773">
        <f t="shared" ref="AD11:AI11" si="82">AD6*0.5</f>
        <v>0</v>
      </c>
      <c r="AE11" s="773">
        <f t="shared" si="82"/>
        <v>0</v>
      </c>
      <c r="AF11" s="773">
        <f t="shared" si="82"/>
        <v>2442.9846798192439</v>
      </c>
      <c r="AG11" s="773">
        <f t="shared" si="82"/>
        <v>2850.1487931224515</v>
      </c>
      <c r="AH11" s="773">
        <f t="shared" si="82"/>
        <v>3257.3129064256586</v>
      </c>
      <c r="AI11" s="773">
        <f t="shared" si="82"/>
        <v>3257.3129064256586</v>
      </c>
      <c r="AJ11" s="914">
        <f t="shared" ref="AJ11" si="83">AJ6*0.5</f>
        <v>3257.3129064256586</v>
      </c>
      <c r="AK11" s="711" t="s">
        <v>384</v>
      </c>
      <c r="AL11" s="711" t="s">
        <v>375</v>
      </c>
      <c r="AM11" s="711" t="s">
        <v>377</v>
      </c>
      <c r="AN11" s="711" t="s">
        <v>858</v>
      </c>
      <c r="AO11" s="711" t="s">
        <v>1</v>
      </c>
      <c r="AP11" s="711" t="s">
        <v>378</v>
      </c>
      <c r="AQ11" s="711" t="s">
        <v>378</v>
      </c>
      <c r="AR11" s="711" t="s">
        <v>378</v>
      </c>
      <c r="AS11" s="715" t="s">
        <v>859</v>
      </c>
      <c r="AT11" s="715" t="s">
        <v>380</v>
      </c>
      <c r="AU11" s="715" t="s">
        <v>385</v>
      </c>
      <c r="AV11" s="915">
        <v>8</v>
      </c>
      <c r="AW11" s="661"/>
      <c r="AX11" s="711" t="s">
        <v>860</v>
      </c>
      <c r="AY11" s="716">
        <v>1</v>
      </c>
      <c r="AZ11" s="716">
        <v>1</v>
      </c>
      <c r="BA11" s="717">
        <v>0</v>
      </c>
      <c r="BB11" s="721">
        <f>I11</f>
        <v>0</v>
      </c>
      <c r="BC11" s="499">
        <f t="shared" si="22"/>
        <v>0</v>
      </c>
      <c r="BD11" s="499">
        <f t="shared" si="22"/>
        <v>0</v>
      </c>
      <c r="BE11" s="499">
        <f>BB11</f>
        <v>0</v>
      </c>
      <c r="BF11" s="499">
        <f t="shared" ref="BF11:BH11" si="84">BC11</f>
        <v>0</v>
      </c>
      <c r="BG11" s="499">
        <f t="shared" si="84"/>
        <v>0</v>
      </c>
      <c r="BH11" s="719">
        <f t="shared" si="84"/>
        <v>0</v>
      </c>
      <c r="BI11" s="499">
        <f>J11</f>
        <v>0</v>
      </c>
      <c r="BJ11" s="499">
        <f t="shared" si="24"/>
        <v>0</v>
      </c>
      <c r="BK11" s="499">
        <f t="shared" si="24"/>
        <v>0</v>
      </c>
      <c r="BL11" s="499">
        <f t="shared" si="24"/>
        <v>0</v>
      </c>
      <c r="BM11" s="499">
        <f t="shared" si="24"/>
        <v>0</v>
      </c>
      <c r="BN11" s="499">
        <f t="shared" si="24"/>
        <v>0</v>
      </c>
      <c r="BO11" s="719">
        <f t="shared" si="24"/>
        <v>0</v>
      </c>
      <c r="BP11" s="499">
        <f>N11+O11</f>
        <v>50</v>
      </c>
      <c r="BQ11" s="499">
        <f t="shared" si="27"/>
        <v>50</v>
      </c>
      <c r="BR11" s="499">
        <f t="shared" si="27"/>
        <v>50</v>
      </c>
      <c r="BS11" s="499">
        <f t="shared" si="27"/>
        <v>50</v>
      </c>
      <c r="BT11" s="499">
        <f t="shared" si="27"/>
        <v>50</v>
      </c>
      <c r="BU11" s="499">
        <f t="shared" si="27"/>
        <v>50</v>
      </c>
      <c r="BV11" s="720">
        <f t="shared" si="27"/>
        <v>50</v>
      </c>
      <c r="BW11" s="916">
        <f t="shared" si="29"/>
        <v>0</v>
      </c>
      <c r="BX11" s="720">
        <f t="shared" si="29"/>
        <v>0</v>
      </c>
      <c r="BY11" s="720">
        <f t="shared" si="29"/>
        <v>0</v>
      </c>
      <c r="BZ11" s="720">
        <f t="shared" si="29"/>
        <v>0</v>
      </c>
      <c r="CA11" s="720">
        <f t="shared" si="29"/>
        <v>0</v>
      </c>
      <c r="CB11" s="720">
        <f t="shared" si="29"/>
        <v>0</v>
      </c>
      <c r="CC11" s="719">
        <f t="shared" si="29"/>
        <v>0</v>
      </c>
      <c r="CD11" s="722">
        <f>Q11*AZ11</f>
        <v>750</v>
      </c>
      <c r="CE11" s="511">
        <f t="shared" si="30"/>
        <v>750</v>
      </c>
      <c r="CF11" s="511">
        <f t="shared" si="30"/>
        <v>750</v>
      </c>
      <c r="CG11" s="511">
        <f t="shared" si="30"/>
        <v>750</v>
      </c>
      <c r="CH11" s="511">
        <f t="shared" si="30"/>
        <v>750</v>
      </c>
      <c r="CI11" s="511">
        <f t="shared" si="30"/>
        <v>750</v>
      </c>
      <c r="CJ11" s="723">
        <f t="shared" si="30"/>
        <v>750</v>
      </c>
      <c r="CK11" s="722">
        <f>R11*AZ11</f>
        <v>8.5000000000000006E-2</v>
      </c>
      <c r="CL11" s="511">
        <f t="shared" si="32"/>
        <v>8.5000000000000006E-2</v>
      </c>
      <c r="CM11" s="511">
        <f t="shared" si="32"/>
        <v>8.5000000000000006E-2</v>
      </c>
      <c r="CN11" s="511">
        <f t="shared" si="32"/>
        <v>8.5000000000000006E-2</v>
      </c>
      <c r="CO11" s="511">
        <f t="shared" si="32"/>
        <v>8.5000000000000006E-2</v>
      </c>
      <c r="CP11" s="511">
        <f t="shared" si="32"/>
        <v>8.5000000000000006E-2</v>
      </c>
      <c r="CQ11" s="723">
        <f t="shared" si="32"/>
        <v>8.5000000000000006E-2</v>
      </c>
      <c r="CR11" s="722">
        <f>S11*BA11</f>
        <v>0</v>
      </c>
      <c r="CS11" s="511">
        <f t="shared" si="34"/>
        <v>0</v>
      </c>
      <c r="CT11" s="511">
        <f t="shared" si="34"/>
        <v>0</v>
      </c>
      <c r="CU11" s="511">
        <f>CT11</f>
        <v>0</v>
      </c>
      <c r="CV11" s="511">
        <f t="shared" ref="CV11:CX11" si="85">CU11</f>
        <v>0</v>
      </c>
      <c r="CW11" s="511">
        <f t="shared" si="85"/>
        <v>0</v>
      </c>
      <c r="CX11" s="723">
        <f t="shared" si="85"/>
        <v>0</v>
      </c>
      <c r="CY11" s="724">
        <f t="shared" ref="CY11:DE14" si="86">AD11*BB11</f>
        <v>0</v>
      </c>
      <c r="CZ11" s="508">
        <f t="shared" si="86"/>
        <v>0</v>
      </c>
      <c r="DA11" s="508">
        <f t="shared" si="86"/>
        <v>0</v>
      </c>
      <c r="DB11" s="508">
        <f t="shared" si="86"/>
        <v>0</v>
      </c>
      <c r="DC11" s="508">
        <f t="shared" si="86"/>
        <v>0</v>
      </c>
      <c r="DD11" s="508">
        <f t="shared" si="86"/>
        <v>0</v>
      </c>
      <c r="DE11" s="725">
        <f t="shared" si="86"/>
        <v>0</v>
      </c>
      <c r="DF11" s="724">
        <f t="shared" ref="DF11:DL14" si="87">AD11*BI11</f>
        <v>0</v>
      </c>
      <c r="DG11" s="508">
        <f t="shared" si="87"/>
        <v>0</v>
      </c>
      <c r="DH11" s="508">
        <f t="shared" si="87"/>
        <v>0</v>
      </c>
      <c r="DI11" s="508">
        <f t="shared" si="87"/>
        <v>0</v>
      </c>
      <c r="DJ11" s="508">
        <f t="shared" si="87"/>
        <v>0</v>
      </c>
      <c r="DK11" s="508">
        <f t="shared" si="87"/>
        <v>0</v>
      </c>
      <c r="DL11" s="725">
        <f t="shared" si="87"/>
        <v>0</v>
      </c>
      <c r="DM11" s="917">
        <f t="shared" ref="DM11:DS14" si="88">AD11*BP11</f>
        <v>0</v>
      </c>
      <c r="DN11" s="728">
        <f t="shared" si="88"/>
        <v>0</v>
      </c>
      <c r="DO11" s="728">
        <f t="shared" si="88"/>
        <v>122149.2339909622</v>
      </c>
      <c r="DP11" s="728">
        <f t="shared" si="88"/>
        <v>142507.43965612259</v>
      </c>
      <c r="DQ11" s="728">
        <f t="shared" si="88"/>
        <v>162865.64532128294</v>
      </c>
      <c r="DR11" s="728">
        <f t="shared" si="88"/>
        <v>162865.64532128294</v>
      </c>
      <c r="DS11" s="918">
        <f t="shared" si="88"/>
        <v>162865.64532128294</v>
      </c>
      <c r="DT11" s="724">
        <f t="shared" ref="DT11:DZ14" si="89">BW11*AD11</f>
        <v>0</v>
      </c>
      <c r="DU11" s="508">
        <f t="shared" si="89"/>
        <v>0</v>
      </c>
      <c r="DV11" s="508">
        <f t="shared" si="89"/>
        <v>0</v>
      </c>
      <c r="DW11" s="508">
        <f t="shared" si="89"/>
        <v>0</v>
      </c>
      <c r="DX11" s="508">
        <f t="shared" si="89"/>
        <v>0</v>
      </c>
      <c r="DY11" s="508">
        <f t="shared" si="89"/>
        <v>0</v>
      </c>
      <c r="DZ11" s="725">
        <f t="shared" si="89"/>
        <v>0</v>
      </c>
      <c r="EA11" s="919">
        <f t="shared" ref="EA11:EG14" si="90">AD11*CD11</f>
        <v>0</v>
      </c>
      <c r="EB11" s="778">
        <f t="shared" si="90"/>
        <v>0</v>
      </c>
      <c r="EC11" s="778">
        <f t="shared" si="90"/>
        <v>1832238.509864433</v>
      </c>
      <c r="ED11" s="778">
        <f t="shared" si="90"/>
        <v>2137611.5948418388</v>
      </c>
      <c r="EE11" s="778">
        <f t="shared" si="90"/>
        <v>2442984.679819244</v>
      </c>
      <c r="EF11" s="778">
        <f t="shared" si="90"/>
        <v>2442984.679819244</v>
      </c>
      <c r="EG11" s="920">
        <f t="shared" si="90"/>
        <v>2442984.679819244</v>
      </c>
      <c r="EH11" s="722">
        <f t="shared" ref="EH11:EN14" si="91">AD11*CK11</f>
        <v>0</v>
      </c>
      <c r="EI11" s="511">
        <f t="shared" si="91"/>
        <v>0</v>
      </c>
      <c r="EJ11" s="511">
        <f t="shared" si="91"/>
        <v>207.65369778463574</v>
      </c>
      <c r="EK11" s="511">
        <f t="shared" si="91"/>
        <v>242.2626474154084</v>
      </c>
      <c r="EL11" s="511">
        <f t="shared" si="91"/>
        <v>276.87159704618102</v>
      </c>
      <c r="EM11" s="511">
        <f t="shared" si="91"/>
        <v>276.87159704618102</v>
      </c>
      <c r="EN11" s="723">
        <f t="shared" si="91"/>
        <v>276.87159704618102</v>
      </c>
      <c r="EO11" s="722">
        <f t="shared" ref="EO11:EU14" si="92">AD11*CR11</f>
        <v>0</v>
      </c>
      <c r="EP11" s="511">
        <f t="shared" si="92"/>
        <v>0</v>
      </c>
      <c r="EQ11" s="511">
        <f t="shared" si="92"/>
        <v>0</v>
      </c>
      <c r="ER11" s="511">
        <f t="shared" si="92"/>
        <v>0</v>
      </c>
      <c r="ES11" s="511">
        <f t="shared" si="92"/>
        <v>0</v>
      </c>
      <c r="ET11" s="511">
        <f t="shared" si="92"/>
        <v>0</v>
      </c>
      <c r="EU11" s="723">
        <f t="shared" si="92"/>
        <v>0</v>
      </c>
      <c r="EV11" s="921">
        <f>SUM(AD11:AJ11)</f>
        <v>15065.072192218673</v>
      </c>
      <c r="EW11" s="922">
        <f>SUM(CY11:DE11)</f>
        <v>0</v>
      </c>
      <c r="EX11" s="922">
        <f>SUM(DF11:DL11)</f>
        <v>0</v>
      </c>
      <c r="EY11" s="922">
        <f>SUM(DM11:DS11)</f>
        <v>753253.60961093358</v>
      </c>
      <c r="EZ11" s="922">
        <f>SUM(DT11:DZ11)</f>
        <v>0</v>
      </c>
      <c r="FA11" s="923">
        <f>SUM(EA11:EG11)</f>
        <v>11298804.144164003</v>
      </c>
      <c r="FB11" s="923">
        <f>SUM(EH11:EN11)</f>
        <v>1280.5311363385872</v>
      </c>
      <c r="FC11" s="924">
        <f>SUM(EO11:EU11)</f>
        <v>0</v>
      </c>
    </row>
    <row r="12" spans="1:168" s="10" customFormat="1" ht="12.75" customHeight="1">
      <c r="A12" s="661" t="s">
        <v>173</v>
      </c>
      <c r="B12" s="663" t="s">
        <v>880</v>
      </c>
      <c r="C12" s="663" t="s">
        <v>862</v>
      </c>
      <c r="D12" s="663" t="s">
        <v>863</v>
      </c>
      <c r="E12" s="663" t="s">
        <v>331</v>
      </c>
      <c r="F12" s="704" t="s">
        <v>402</v>
      </c>
      <c r="G12" s="704">
        <v>0</v>
      </c>
      <c r="H12" s="704">
        <v>0</v>
      </c>
      <c r="I12" s="704">
        <f t="shared" ref="I12:I14" si="93">G12+H12</f>
        <v>0</v>
      </c>
      <c r="J12" s="704">
        <v>0</v>
      </c>
      <c r="K12" s="704">
        <v>0</v>
      </c>
      <c r="L12" s="711" t="s">
        <v>856</v>
      </c>
      <c r="M12" s="707">
        <v>0</v>
      </c>
      <c r="N12" s="707">
        <v>50</v>
      </c>
      <c r="O12" s="707">
        <v>0</v>
      </c>
      <c r="P12" s="707">
        <v>0</v>
      </c>
      <c r="Q12" s="780">
        <v>750</v>
      </c>
      <c r="R12" s="911">
        <v>8.5000000000000006E-2</v>
      </c>
      <c r="S12" s="912">
        <v>0</v>
      </c>
      <c r="T12" s="913" t="s">
        <v>857</v>
      </c>
      <c r="U12" s="712"/>
      <c r="V12" s="713">
        <v>1</v>
      </c>
      <c r="W12" s="773">
        <v>880.64122120577542</v>
      </c>
      <c r="X12" s="773">
        <v>640.19627466108238</v>
      </c>
      <c r="Y12" s="661">
        <v>0</v>
      </c>
      <c r="Z12" s="661">
        <v>0</v>
      </c>
      <c r="AA12" s="661">
        <v>0</v>
      </c>
      <c r="AB12" s="661">
        <v>0</v>
      </c>
      <c r="AC12" s="714">
        <f t="shared" ref="AC12:AI14" si="94">AC7*0.5</f>
        <v>0</v>
      </c>
      <c r="AD12" s="773">
        <f t="shared" si="94"/>
        <v>0</v>
      </c>
      <c r="AE12" s="773">
        <f t="shared" si="94"/>
        <v>0</v>
      </c>
      <c r="AF12" s="773">
        <f t="shared" si="94"/>
        <v>557.01532018075613</v>
      </c>
      <c r="AG12" s="773">
        <f t="shared" si="94"/>
        <v>649.85120687754875</v>
      </c>
      <c r="AH12" s="773">
        <f t="shared" si="94"/>
        <v>742.68709357434147</v>
      </c>
      <c r="AI12" s="773">
        <f t="shared" si="94"/>
        <v>742.68709357434147</v>
      </c>
      <c r="AJ12" s="914">
        <f t="shared" ref="AJ12" si="95">AJ7*0.5</f>
        <v>742.68709357434147</v>
      </c>
      <c r="AK12" s="711" t="s">
        <v>384</v>
      </c>
      <c r="AL12" s="711" t="s">
        <v>375</v>
      </c>
      <c r="AM12" s="711" t="s">
        <v>377</v>
      </c>
      <c r="AN12" s="711" t="s">
        <v>864</v>
      </c>
      <c r="AO12" s="711" t="s">
        <v>1</v>
      </c>
      <c r="AP12" s="711" t="s">
        <v>378</v>
      </c>
      <c r="AQ12" s="711" t="s">
        <v>378</v>
      </c>
      <c r="AR12" s="711" t="s">
        <v>378</v>
      </c>
      <c r="AS12" s="715" t="s">
        <v>865</v>
      </c>
      <c r="AT12" s="715" t="s">
        <v>380</v>
      </c>
      <c r="AU12" s="715" t="s">
        <v>385</v>
      </c>
      <c r="AV12" s="915">
        <v>8</v>
      </c>
      <c r="AW12" s="661"/>
      <c r="AX12" s="711" t="s">
        <v>866</v>
      </c>
      <c r="AY12" s="716">
        <v>1</v>
      </c>
      <c r="AZ12" s="716">
        <v>1</v>
      </c>
      <c r="BA12" s="717">
        <v>0</v>
      </c>
      <c r="BB12" s="721">
        <f t="shared" ref="BB12:BB14" si="96">I12</f>
        <v>0</v>
      </c>
      <c r="BC12" s="499">
        <f t="shared" ref="BC12:BD14" si="97">BB12</f>
        <v>0</v>
      </c>
      <c r="BD12" s="499">
        <f t="shared" si="97"/>
        <v>0</v>
      </c>
      <c r="BE12" s="499">
        <f>BB12</f>
        <v>0</v>
      </c>
      <c r="BF12" s="499">
        <f t="shared" ref="BF12:BH14" si="98">BC12</f>
        <v>0</v>
      </c>
      <c r="BG12" s="499">
        <f t="shared" si="98"/>
        <v>0</v>
      </c>
      <c r="BH12" s="719">
        <f t="shared" si="98"/>
        <v>0</v>
      </c>
      <c r="BI12" s="499">
        <f t="shared" ref="BI12:BI14" si="99">J12</f>
        <v>0</v>
      </c>
      <c r="BJ12" s="499">
        <f t="shared" ref="BJ12:BO14" si="100">BI12</f>
        <v>0</v>
      </c>
      <c r="BK12" s="499">
        <f t="shared" si="100"/>
        <v>0</v>
      </c>
      <c r="BL12" s="499">
        <f t="shared" si="100"/>
        <v>0</v>
      </c>
      <c r="BM12" s="499">
        <f t="shared" si="100"/>
        <v>0</v>
      </c>
      <c r="BN12" s="499">
        <f t="shared" si="100"/>
        <v>0</v>
      </c>
      <c r="BO12" s="719">
        <f t="shared" si="100"/>
        <v>0</v>
      </c>
      <c r="BP12" s="499">
        <f t="shared" ref="BP12:BP14" si="101">N12+O12</f>
        <v>50</v>
      </c>
      <c r="BQ12" s="499">
        <f t="shared" ref="BQ12:BV14" si="102">BP12</f>
        <v>50</v>
      </c>
      <c r="BR12" s="499">
        <f t="shared" si="102"/>
        <v>50</v>
      </c>
      <c r="BS12" s="499">
        <f t="shared" si="102"/>
        <v>50</v>
      </c>
      <c r="BT12" s="499">
        <f t="shared" si="102"/>
        <v>50</v>
      </c>
      <c r="BU12" s="499">
        <f t="shared" si="102"/>
        <v>50</v>
      </c>
      <c r="BV12" s="720">
        <f t="shared" si="102"/>
        <v>50</v>
      </c>
      <c r="BW12" s="916">
        <f t="shared" ref="BW12:CC14" si="103">$P12</f>
        <v>0</v>
      </c>
      <c r="BX12" s="720">
        <f t="shared" si="103"/>
        <v>0</v>
      </c>
      <c r="BY12" s="720">
        <f t="shared" si="103"/>
        <v>0</v>
      </c>
      <c r="BZ12" s="720">
        <f t="shared" si="103"/>
        <v>0</v>
      </c>
      <c r="CA12" s="720">
        <f t="shared" si="103"/>
        <v>0</v>
      </c>
      <c r="CB12" s="720">
        <f t="shared" si="103"/>
        <v>0</v>
      </c>
      <c r="CC12" s="719">
        <f t="shared" si="103"/>
        <v>0</v>
      </c>
      <c r="CD12" s="722">
        <f t="shared" ref="CD12:CD14" si="104">Q12*AZ12</f>
        <v>750</v>
      </c>
      <c r="CE12" s="511">
        <f t="shared" ref="CE12:CJ14" si="105">CD12</f>
        <v>750</v>
      </c>
      <c r="CF12" s="511">
        <f t="shared" si="105"/>
        <v>750</v>
      </c>
      <c r="CG12" s="511">
        <f t="shared" si="105"/>
        <v>750</v>
      </c>
      <c r="CH12" s="511">
        <f t="shared" si="105"/>
        <v>750</v>
      </c>
      <c r="CI12" s="511">
        <f t="shared" si="105"/>
        <v>750</v>
      </c>
      <c r="CJ12" s="723">
        <f t="shared" si="105"/>
        <v>750</v>
      </c>
      <c r="CK12" s="722">
        <f t="shared" ref="CK12:CK14" si="106">R12*AZ12</f>
        <v>8.5000000000000006E-2</v>
      </c>
      <c r="CL12" s="511">
        <f t="shared" ref="CL12:CQ14" si="107">CK12</f>
        <v>8.5000000000000006E-2</v>
      </c>
      <c r="CM12" s="511">
        <f t="shared" si="107"/>
        <v>8.5000000000000006E-2</v>
      </c>
      <c r="CN12" s="511">
        <f t="shared" si="107"/>
        <v>8.5000000000000006E-2</v>
      </c>
      <c r="CO12" s="511">
        <f t="shared" si="107"/>
        <v>8.5000000000000006E-2</v>
      </c>
      <c r="CP12" s="511">
        <f t="shared" si="107"/>
        <v>8.5000000000000006E-2</v>
      </c>
      <c r="CQ12" s="723">
        <f t="shared" si="107"/>
        <v>8.5000000000000006E-2</v>
      </c>
      <c r="CR12" s="722">
        <f t="shared" ref="CR12:CR14" si="108">S12*BA12</f>
        <v>0</v>
      </c>
      <c r="CS12" s="511">
        <f t="shared" ref="CS12:CT14" si="109">CR12</f>
        <v>0</v>
      </c>
      <c r="CT12" s="511">
        <f t="shared" si="109"/>
        <v>0</v>
      </c>
      <c r="CU12" s="511">
        <f>CT12</f>
        <v>0</v>
      </c>
      <c r="CV12" s="511">
        <f t="shared" ref="CV12:CX14" si="110">CU12</f>
        <v>0</v>
      </c>
      <c r="CW12" s="511">
        <f t="shared" si="110"/>
        <v>0</v>
      </c>
      <c r="CX12" s="723">
        <f t="shared" si="110"/>
        <v>0</v>
      </c>
      <c r="CY12" s="724">
        <f t="shared" si="86"/>
        <v>0</v>
      </c>
      <c r="CZ12" s="508">
        <f t="shared" si="86"/>
        <v>0</v>
      </c>
      <c r="DA12" s="508">
        <f t="shared" si="86"/>
        <v>0</v>
      </c>
      <c r="DB12" s="508">
        <f t="shared" si="86"/>
        <v>0</v>
      </c>
      <c r="DC12" s="508">
        <f t="shared" si="86"/>
        <v>0</v>
      </c>
      <c r="DD12" s="508">
        <f t="shared" si="86"/>
        <v>0</v>
      </c>
      <c r="DE12" s="725">
        <f t="shared" si="86"/>
        <v>0</v>
      </c>
      <c r="DF12" s="724">
        <f t="shared" si="87"/>
        <v>0</v>
      </c>
      <c r="DG12" s="508">
        <f t="shared" si="87"/>
        <v>0</v>
      </c>
      <c r="DH12" s="508">
        <f t="shared" si="87"/>
        <v>0</v>
      </c>
      <c r="DI12" s="508">
        <f t="shared" si="87"/>
        <v>0</v>
      </c>
      <c r="DJ12" s="508">
        <f t="shared" si="87"/>
        <v>0</v>
      </c>
      <c r="DK12" s="508">
        <f t="shared" si="87"/>
        <v>0</v>
      </c>
      <c r="DL12" s="725">
        <f t="shared" si="87"/>
        <v>0</v>
      </c>
      <c r="DM12" s="917">
        <f t="shared" si="88"/>
        <v>0</v>
      </c>
      <c r="DN12" s="728">
        <f t="shared" si="88"/>
        <v>0</v>
      </c>
      <c r="DO12" s="728">
        <f t="shared" si="88"/>
        <v>27850.766009037805</v>
      </c>
      <c r="DP12" s="728">
        <f t="shared" si="88"/>
        <v>32492.560343877438</v>
      </c>
      <c r="DQ12" s="728">
        <f t="shared" si="88"/>
        <v>37134.354678717071</v>
      </c>
      <c r="DR12" s="728">
        <f t="shared" si="88"/>
        <v>37134.354678717071</v>
      </c>
      <c r="DS12" s="918">
        <f t="shared" si="88"/>
        <v>37134.354678717071</v>
      </c>
      <c r="DT12" s="724">
        <f t="shared" si="89"/>
        <v>0</v>
      </c>
      <c r="DU12" s="508">
        <f t="shared" si="89"/>
        <v>0</v>
      </c>
      <c r="DV12" s="508">
        <f t="shared" si="89"/>
        <v>0</v>
      </c>
      <c r="DW12" s="508">
        <f t="shared" si="89"/>
        <v>0</v>
      </c>
      <c r="DX12" s="508">
        <f t="shared" si="89"/>
        <v>0</v>
      </c>
      <c r="DY12" s="508">
        <f t="shared" si="89"/>
        <v>0</v>
      </c>
      <c r="DZ12" s="725">
        <f t="shared" si="89"/>
        <v>0</v>
      </c>
      <c r="EA12" s="919">
        <f t="shared" si="90"/>
        <v>0</v>
      </c>
      <c r="EB12" s="778">
        <f t="shared" si="90"/>
        <v>0</v>
      </c>
      <c r="EC12" s="778">
        <f t="shared" si="90"/>
        <v>417761.49013556709</v>
      </c>
      <c r="ED12" s="778">
        <f t="shared" si="90"/>
        <v>487388.40515816153</v>
      </c>
      <c r="EE12" s="778">
        <f t="shared" si="90"/>
        <v>557015.32018075616</v>
      </c>
      <c r="EF12" s="778">
        <f t="shared" si="90"/>
        <v>557015.32018075616</v>
      </c>
      <c r="EG12" s="920">
        <f t="shared" si="90"/>
        <v>557015.32018075616</v>
      </c>
      <c r="EH12" s="722">
        <f t="shared" si="91"/>
        <v>0</v>
      </c>
      <c r="EI12" s="511">
        <f t="shared" si="91"/>
        <v>0</v>
      </c>
      <c r="EJ12" s="511">
        <f t="shared" si="91"/>
        <v>47.346302215364275</v>
      </c>
      <c r="EK12" s="511">
        <f t="shared" si="91"/>
        <v>55.237352584591648</v>
      </c>
      <c r="EL12" s="511">
        <f t="shared" si="91"/>
        <v>63.128402953819027</v>
      </c>
      <c r="EM12" s="511">
        <f t="shared" si="91"/>
        <v>63.128402953819027</v>
      </c>
      <c r="EN12" s="723">
        <f t="shared" si="91"/>
        <v>63.128402953819027</v>
      </c>
      <c r="EO12" s="722">
        <f t="shared" si="92"/>
        <v>0</v>
      </c>
      <c r="EP12" s="511">
        <f t="shared" si="92"/>
        <v>0</v>
      </c>
      <c r="EQ12" s="511">
        <f t="shared" si="92"/>
        <v>0</v>
      </c>
      <c r="ER12" s="511">
        <f t="shared" si="92"/>
        <v>0</v>
      </c>
      <c r="ES12" s="511">
        <f t="shared" si="92"/>
        <v>0</v>
      </c>
      <c r="ET12" s="511">
        <f t="shared" si="92"/>
        <v>0</v>
      </c>
      <c r="EU12" s="723">
        <f t="shared" si="92"/>
        <v>0</v>
      </c>
      <c r="EV12" s="921">
        <f>SUM(AD12:AJ12)</f>
        <v>3434.9278077813292</v>
      </c>
      <c r="EW12" s="922">
        <f t="shared" ref="EW12:EW14" si="111">SUM(CY12:DE12)</f>
        <v>0</v>
      </c>
      <c r="EX12" s="922">
        <f t="shared" ref="EX12:EX14" si="112">SUM(DF12:DL12)</f>
        <v>0</v>
      </c>
      <c r="EY12" s="922">
        <f t="shared" ref="EY12:EY14" si="113">SUM(DM12:DS12)</f>
        <v>171746.39038906645</v>
      </c>
      <c r="EZ12" s="922">
        <f t="shared" ref="EZ12:EZ14" si="114">SUM(DT12:DZ12)</f>
        <v>0</v>
      </c>
      <c r="FA12" s="923">
        <f t="shared" ref="FA12:FA14" si="115">SUM(EA12:EG12)</f>
        <v>2576195.855835997</v>
      </c>
      <c r="FB12" s="923">
        <f t="shared" ref="FB12:FB14" si="116">SUM(EH12:EN12)</f>
        <v>291.96886366141302</v>
      </c>
      <c r="FC12" s="924">
        <f t="shared" ref="FC12:FC14" si="117">SUM(EO12:EU12)</f>
        <v>0</v>
      </c>
    </row>
    <row r="13" spans="1:168" s="10" customFormat="1" ht="12.75" customHeight="1">
      <c r="A13" s="661" t="s">
        <v>175</v>
      </c>
      <c r="B13" s="663" t="s">
        <v>881</v>
      </c>
      <c r="C13" s="663" t="s">
        <v>868</v>
      </c>
      <c r="D13" s="663" t="s">
        <v>869</v>
      </c>
      <c r="E13" s="663" t="s">
        <v>331</v>
      </c>
      <c r="F13" s="704" t="s">
        <v>402</v>
      </c>
      <c r="G13" s="704">
        <v>0</v>
      </c>
      <c r="H13" s="704">
        <v>0</v>
      </c>
      <c r="I13" s="704">
        <f t="shared" si="93"/>
        <v>0</v>
      </c>
      <c r="J13" s="704">
        <v>0</v>
      </c>
      <c r="K13" s="704">
        <v>0</v>
      </c>
      <c r="L13" s="711" t="s">
        <v>856</v>
      </c>
      <c r="M13" s="707">
        <v>0</v>
      </c>
      <c r="N13" s="707">
        <v>0</v>
      </c>
      <c r="O13" s="707">
        <v>0</v>
      </c>
      <c r="P13" s="707">
        <v>0</v>
      </c>
      <c r="Q13" s="780">
        <f>$C$51</f>
        <v>281.88775510204079</v>
      </c>
      <c r="R13" s="710">
        <f>$G$51</f>
        <v>0.26887755102040817</v>
      </c>
      <c r="S13" s="912">
        <v>0</v>
      </c>
      <c r="T13" s="913" t="s">
        <v>870</v>
      </c>
      <c r="U13" s="712"/>
      <c r="V13" s="713">
        <v>1</v>
      </c>
      <c r="W13" s="661">
        <v>0</v>
      </c>
      <c r="X13" s="661">
        <v>0</v>
      </c>
      <c r="Y13" s="661">
        <v>0</v>
      </c>
      <c r="Z13" s="661">
        <v>0</v>
      </c>
      <c r="AA13" s="661">
        <v>0</v>
      </c>
      <c r="AB13" s="661">
        <v>0</v>
      </c>
      <c r="AC13" s="714">
        <f t="shared" si="94"/>
        <v>0</v>
      </c>
      <c r="AD13" s="773">
        <f t="shared" si="94"/>
        <v>0</v>
      </c>
      <c r="AE13" s="773">
        <f t="shared" si="94"/>
        <v>0</v>
      </c>
      <c r="AF13" s="773">
        <f t="shared" si="94"/>
        <v>30</v>
      </c>
      <c r="AG13" s="773">
        <f t="shared" si="94"/>
        <v>35</v>
      </c>
      <c r="AH13" s="773">
        <f t="shared" si="94"/>
        <v>40</v>
      </c>
      <c r="AI13" s="773">
        <f t="shared" si="94"/>
        <v>40</v>
      </c>
      <c r="AJ13" s="914">
        <f t="shared" ref="AJ13" si="118">AJ8*0.5</f>
        <v>40</v>
      </c>
      <c r="AK13" s="711" t="s">
        <v>384</v>
      </c>
      <c r="AL13" s="711" t="s">
        <v>375</v>
      </c>
      <c r="AM13" s="711" t="s">
        <v>377</v>
      </c>
      <c r="AN13" s="711" t="s">
        <v>871</v>
      </c>
      <c r="AO13" s="711" t="s">
        <v>1</v>
      </c>
      <c r="AP13" s="711" t="s">
        <v>378</v>
      </c>
      <c r="AQ13" s="711" t="s">
        <v>378</v>
      </c>
      <c r="AR13" s="711" t="s">
        <v>378</v>
      </c>
      <c r="AS13" s="715" t="s">
        <v>872</v>
      </c>
      <c r="AT13" s="715" t="s">
        <v>380</v>
      </c>
      <c r="AU13" s="715" t="s">
        <v>385</v>
      </c>
      <c r="AV13" s="915">
        <v>3</v>
      </c>
      <c r="AW13" s="661"/>
      <c r="AX13" s="711" t="s">
        <v>873</v>
      </c>
      <c r="AY13" s="716">
        <v>1</v>
      </c>
      <c r="AZ13" s="716">
        <v>1</v>
      </c>
      <c r="BA13" s="717">
        <v>0</v>
      </c>
      <c r="BB13" s="721">
        <f t="shared" si="96"/>
        <v>0</v>
      </c>
      <c r="BC13" s="499">
        <f t="shared" si="97"/>
        <v>0</v>
      </c>
      <c r="BD13" s="499">
        <f t="shared" si="97"/>
        <v>0</v>
      </c>
      <c r="BE13" s="499">
        <f>BB13</f>
        <v>0</v>
      </c>
      <c r="BF13" s="499">
        <f t="shared" si="98"/>
        <v>0</v>
      </c>
      <c r="BG13" s="499">
        <f t="shared" si="98"/>
        <v>0</v>
      </c>
      <c r="BH13" s="719">
        <f t="shared" si="98"/>
        <v>0</v>
      </c>
      <c r="BI13" s="499">
        <f t="shared" si="99"/>
        <v>0</v>
      </c>
      <c r="BJ13" s="499">
        <f t="shared" si="100"/>
        <v>0</v>
      </c>
      <c r="BK13" s="499">
        <f t="shared" si="100"/>
        <v>0</v>
      </c>
      <c r="BL13" s="499">
        <f t="shared" si="100"/>
        <v>0</v>
      </c>
      <c r="BM13" s="499">
        <f t="shared" si="100"/>
        <v>0</v>
      </c>
      <c r="BN13" s="499">
        <f t="shared" si="100"/>
        <v>0</v>
      </c>
      <c r="BO13" s="719">
        <f t="shared" si="100"/>
        <v>0</v>
      </c>
      <c r="BP13" s="499">
        <f t="shared" si="101"/>
        <v>0</v>
      </c>
      <c r="BQ13" s="499">
        <f t="shared" si="102"/>
        <v>0</v>
      </c>
      <c r="BR13" s="499">
        <f t="shared" si="102"/>
        <v>0</v>
      </c>
      <c r="BS13" s="499">
        <f t="shared" si="102"/>
        <v>0</v>
      </c>
      <c r="BT13" s="499">
        <f t="shared" si="102"/>
        <v>0</v>
      </c>
      <c r="BU13" s="499">
        <f t="shared" si="102"/>
        <v>0</v>
      </c>
      <c r="BV13" s="720">
        <f t="shared" si="102"/>
        <v>0</v>
      </c>
      <c r="BW13" s="916">
        <f t="shared" si="103"/>
        <v>0</v>
      </c>
      <c r="BX13" s="720">
        <f t="shared" si="103"/>
        <v>0</v>
      </c>
      <c r="BY13" s="720">
        <f t="shared" si="103"/>
        <v>0</v>
      </c>
      <c r="BZ13" s="720">
        <f t="shared" si="103"/>
        <v>0</v>
      </c>
      <c r="CA13" s="720">
        <f t="shared" si="103"/>
        <v>0</v>
      </c>
      <c r="CB13" s="720">
        <f t="shared" si="103"/>
        <v>0</v>
      </c>
      <c r="CC13" s="719">
        <f t="shared" si="103"/>
        <v>0</v>
      </c>
      <c r="CD13" s="722">
        <f t="shared" si="104"/>
        <v>281.88775510204079</v>
      </c>
      <c r="CE13" s="511">
        <f t="shared" si="105"/>
        <v>281.88775510204079</v>
      </c>
      <c r="CF13" s="511">
        <f t="shared" si="105"/>
        <v>281.88775510204079</v>
      </c>
      <c r="CG13" s="511">
        <f t="shared" si="105"/>
        <v>281.88775510204079</v>
      </c>
      <c r="CH13" s="511">
        <f t="shared" si="105"/>
        <v>281.88775510204079</v>
      </c>
      <c r="CI13" s="511">
        <f t="shared" si="105"/>
        <v>281.88775510204079</v>
      </c>
      <c r="CJ13" s="723">
        <f t="shared" si="105"/>
        <v>281.88775510204079</v>
      </c>
      <c r="CK13" s="722">
        <f t="shared" si="106"/>
        <v>0.26887755102040817</v>
      </c>
      <c r="CL13" s="511">
        <f t="shared" si="107"/>
        <v>0.26887755102040817</v>
      </c>
      <c r="CM13" s="511">
        <f t="shared" si="107"/>
        <v>0.26887755102040817</v>
      </c>
      <c r="CN13" s="511">
        <f t="shared" si="107"/>
        <v>0.26887755102040817</v>
      </c>
      <c r="CO13" s="511">
        <f t="shared" si="107"/>
        <v>0.26887755102040817</v>
      </c>
      <c r="CP13" s="511">
        <f t="shared" si="107"/>
        <v>0.26887755102040817</v>
      </c>
      <c r="CQ13" s="723">
        <f t="shared" si="107"/>
        <v>0.26887755102040817</v>
      </c>
      <c r="CR13" s="722">
        <f t="shared" si="108"/>
        <v>0</v>
      </c>
      <c r="CS13" s="511">
        <f t="shared" si="109"/>
        <v>0</v>
      </c>
      <c r="CT13" s="511">
        <f t="shared" si="109"/>
        <v>0</v>
      </c>
      <c r="CU13" s="511">
        <f>CT13</f>
        <v>0</v>
      </c>
      <c r="CV13" s="511">
        <f t="shared" si="110"/>
        <v>0</v>
      </c>
      <c r="CW13" s="511">
        <f t="shared" si="110"/>
        <v>0</v>
      </c>
      <c r="CX13" s="723">
        <f t="shared" si="110"/>
        <v>0</v>
      </c>
      <c r="CY13" s="724">
        <f t="shared" si="86"/>
        <v>0</v>
      </c>
      <c r="CZ13" s="508">
        <f t="shared" si="86"/>
        <v>0</v>
      </c>
      <c r="DA13" s="508">
        <f t="shared" si="86"/>
        <v>0</v>
      </c>
      <c r="DB13" s="508">
        <f t="shared" si="86"/>
        <v>0</v>
      </c>
      <c r="DC13" s="508">
        <f t="shared" si="86"/>
        <v>0</v>
      </c>
      <c r="DD13" s="508">
        <f t="shared" si="86"/>
        <v>0</v>
      </c>
      <c r="DE13" s="725">
        <f t="shared" si="86"/>
        <v>0</v>
      </c>
      <c r="DF13" s="724">
        <f t="shared" si="87"/>
        <v>0</v>
      </c>
      <c r="DG13" s="508">
        <f t="shared" si="87"/>
        <v>0</v>
      </c>
      <c r="DH13" s="508">
        <f t="shared" si="87"/>
        <v>0</v>
      </c>
      <c r="DI13" s="508">
        <f t="shared" si="87"/>
        <v>0</v>
      </c>
      <c r="DJ13" s="508">
        <f t="shared" si="87"/>
        <v>0</v>
      </c>
      <c r="DK13" s="508">
        <f t="shared" si="87"/>
        <v>0</v>
      </c>
      <c r="DL13" s="725">
        <f t="shared" si="87"/>
        <v>0</v>
      </c>
      <c r="DM13" s="917">
        <f t="shared" si="88"/>
        <v>0</v>
      </c>
      <c r="DN13" s="728">
        <f t="shared" si="88"/>
        <v>0</v>
      </c>
      <c r="DO13" s="728">
        <f t="shared" si="88"/>
        <v>0</v>
      </c>
      <c r="DP13" s="728">
        <f t="shared" si="88"/>
        <v>0</v>
      </c>
      <c r="DQ13" s="728">
        <f t="shared" si="88"/>
        <v>0</v>
      </c>
      <c r="DR13" s="728">
        <f t="shared" si="88"/>
        <v>0</v>
      </c>
      <c r="DS13" s="918">
        <f t="shared" si="88"/>
        <v>0</v>
      </c>
      <c r="DT13" s="724">
        <f t="shared" si="89"/>
        <v>0</v>
      </c>
      <c r="DU13" s="508">
        <f t="shared" si="89"/>
        <v>0</v>
      </c>
      <c r="DV13" s="508">
        <f t="shared" si="89"/>
        <v>0</v>
      </c>
      <c r="DW13" s="508">
        <f t="shared" si="89"/>
        <v>0</v>
      </c>
      <c r="DX13" s="508">
        <f t="shared" si="89"/>
        <v>0</v>
      </c>
      <c r="DY13" s="508">
        <f t="shared" si="89"/>
        <v>0</v>
      </c>
      <c r="DZ13" s="725">
        <f t="shared" si="89"/>
        <v>0</v>
      </c>
      <c r="EA13" s="919">
        <f t="shared" si="90"/>
        <v>0</v>
      </c>
      <c r="EB13" s="778">
        <f t="shared" si="90"/>
        <v>0</v>
      </c>
      <c r="EC13" s="778">
        <f t="shared" si="90"/>
        <v>8456.6326530612241</v>
      </c>
      <c r="ED13" s="778">
        <f t="shared" si="90"/>
        <v>9866.0714285714275</v>
      </c>
      <c r="EE13" s="778">
        <f t="shared" si="90"/>
        <v>11275.510204081631</v>
      </c>
      <c r="EF13" s="778">
        <f t="shared" si="90"/>
        <v>11275.510204081631</v>
      </c>
      <c r="EG13" s="920">
        <f t="shared" si="90"/>
        <v>11275.510204081631</v>
      </c>
      <c r="EH13" s="722">
        <f t="shared" si="91"/>
        <v>0</v>
      </c>
      <c r="EI13" s="511">
        <f t="shared" si="91"/>
        <v>0</v>
      </c>
      <c r="EJ13" s="511">
        <f t="shared" si="91"/>
        <v>8.0663265306122458</v>
      </c>
      <c r="EK13" s="511">
        <f t="shared" si="91"/>
        <v>9.4107142857142865</v>
      </c>
      <c r="EL13" s="511">
        <f t="shared" si="91"/>
        <v>10.755102040816327</v>
      </c>
      <c r="EM13" s="511">
        <f t="shared" si="91"/>
        <v>10.755102040816327</v>
      </c>
      <c r="EN13" s="723">
        <f t="shared" si="91"/>
        <v>10.755102040816327</v>
      </c>
      <c r="EO13" s="722">
        <f t="shared" si="92"/>
        <v>0</v>
      </c>
      <c r="EP13" s="511">
        <f t="shared" si="92"/>
        <v>0</v>
      </c>
      <c r="EQ13" s="511">
        <f t="shared" si="92"/>
        <v>0</v>
      </c>
      <c r="ER13" s="511">
        <f t="shared" si="92"/>
        <v>0</v>
      </c>
      <c r="ES13" s="511">
        <f t="shared" si="92"/>
        <v>0</v>
      </c>
      <c r="ET13" s="511">
        <f t="shared" si="92"/>
        <v>0</v>
      </c>
      <c r="EU13" s="723">
        <f t="shared" si="92"/>
        <v>0</v>
      </c>
      <c r="EV13" s="921">
        <f>SUM(AD13:AJ13)</f>
        <v>185</v>
      </c>
      <c r="EW13" s="922">
        <f t="shared" si="111"/>
        <v>0</v>
      </c>
      <c r="EX13" s="922">
        <f t="shared" si="112"/>
        <v>0</v>
      </c>
      <c r="EY13" s="922">
        <f t="shared" si="113"/>
        <v>0</v>
      </c>
      <c r="EZ13" s="922">
        <f t="shared" si="114"/>
        <v>0</v>
      </c>
      <c r="FA13" s="923">
        <f t="shared" si="115"/>
        <v>52149.234693877544</v>
      </c>
      <c r="FB13" s="923">
        <f t="shared" si="116"/>
        <v>49.742346938775512</v>
      </c>
      <c r="FC13" s="924">
        <f t="shared" si="117"/>
        <v>0</v>
      </c>
    </row>
    <row r="14" spans="1:168" s="10" customFormat="1" ht="12.75" customHeight="1">
      <c r="A14" s="661" t="s">
        <v>176</v>
      </c>
      <c r="B14" s="663" t="s">
        <v>882</v>
      </c>
      <c r="C14" s="663" t="s">
        <v>875</v>
      </c>
      <c r="D14" s="663" t="s">
        <v>876</v>
      </c>
      <c r="E14" s="663" t="s">
        <v>331</v>
      </c>
      <c r="F14" s="704" t="s">
        <v>402</v>
      </c>
      <c r="G14" s="704">
        <v>0</v>
      </c>
      <c r="H14" s="704">
        <v>0</v>
      </c>
      <c r="I14" s="704">
        <f t="shared" si="93"/>
        <v>0</v>
      </c>
      <c r="J14" s="704">
        <v>0</v>
      </c>
      <c r="K14" s="704">
        <v>0</v>
      </c>
      <c r="L14" s="711" t="s">
        <v>856</v>
      </c>
      <c r="M14" s="707">
        <v>0</v>
      </c>
      <c r="N14" s="707">
        <v>0</v>
      </c>
      <c r="O14" s="707">
        <v>0</v>
      </c>
      <c r="P14" s="707">
        <v>0</v>
      </c>
      <c r="Q14" s="780">
        <f>$C$72</f>
        <v>858</v>
      </c>
      <c r="R14" s="710">
        <f>$G$72</f>
        <v>0.19400000000000001</v>
      </c>
      <c r="S14" s="912">
        <v>0</v>
      </c>
      <c r="T14" s="913" t="s">
        <v>870</v>
      </c>
      <c r="U14" s="712"/>
      <c r="V14" s="713">
        <v>1</v>
      </c>
      <c r="W14" s="661">
        <v>0</v>
      </c>
      <c r="X14" s="661">
        <v>0</v>
      </c>
      <c r="Y14" s="661">
        <v>0</v>
      </c>
      <c r="Z14" s="661">
        <v>0</v>
      </c>
      <c r="AA14" s="661">
        <v>0</v>
      </c>
      <c r="AB14" s="661">
        <v>0</v>
      </c>
      <c r="AC14" s="714">
        <f t="shared" si="94"/>
        <v>0</v>
      </c>
      <c r="AD14" s="773">
        <f t="shared" si="94"/>
        <v>0</v>
      </c>
      <c r="AE14" s="773">
        <f t="shared" si="94"/>
        <v>0</v>
      </c>
      <c r="AF14" s="773">
        <f t="shared" si="94"/>
        <v>15</v>
      </c>
      <c r="AG14" s="773">
        <f t="shared" si="94"/>
        <v>17.5</v>
      </c>
      <c r="AH14" s="773">
        <f t="shared" si="94"/>
        <v>20</v>
      </c>
      <c r="AI14" s="773">
        <f t="shared" si="94"/>
        <v>20</v>
      </c>
      <c r="AJ14" s="914">
        <f t="shared" ref="AJ14" si="119">AJ9*0.5</f>
        <v>20</v>
      </c>
      <c r="AK14" s="711" t="s">
        <v>384</v>
      </c>
      <c r="AL14" s="711" t="s">
        <v>375</v>
      </c>
      <c r="AM14" s="711" t="s">
        <v>377</v>
      </c>
      <c r="AN14" s="711" t="s">
        <v>877</v>
      </c>
      <c r="AO14" s="711" t="s">
        <v>1</v>
      </c>
      <c r="AP14" s="711" t="s">
        <v>378</v>
      </c>
      <c r="AQ14" s="711" t="s">
        <v>378</v>
      </c>
      <c r="AR14" s="711" t="s">
        <v>378</v>
      </c>
      <c r="AS14" s="715" t="s">
        <v>872</v>
      </c>
      <c r="AT14" s="715" t="s">
        <v>380</v>
      </c>
      <c r="AU14" s="715" t="s">
        <v>385</v>
      </c>
      <c r="AV14" s="661">
        <v>3</v>
      </c>
      <c r="AW14" s="661"/>
      <c r="AX14" s="711" t="s">
        <v>878</v>
      </c>
      <c r="AY14" s="716">
        <v>1</v>
      </c>
      <c r="AZ14" s="716">
        <v>1</v>
      </c>
      <c r="BA14" s="717">
        <v>0</v>
      </c>
      <c r="BB14" s="721">
        <f t="shared" si="96"/>
        <v>0</v>
      </c>
      <c r="BC14" s="499">
        <f t="shared" si="97"/>
        <v>0</v>
      </c>
      <c r="BD14" s="499">
        <f t="shared" si="97"/>
        <v>0</v>
      </c>
      <c r="BE14" s="499">
        <f>BB14</f>
        <v>0</v>
      </c>
      <c r="BF14" s="499">
        <f t="shared" si="98"/>
        <v>0</v>
      </c>
      <c r="BG14" s="499">
        <f t="shared" si="98"/>
        <v>0</v>
      </c>
      <c r="BH14" s="719">
        <f t="shared" si="98"/>
        <v>0</v>
      </c>
      <c r="BI14" s="499">
        <f t="shared" si="99"/>
        <v>0</v>
      </c>
      <c r="BJ14" s="499">
        <f t="shared" si="100"/>
        <v>0</v>
      </c>
      <c r="BK14" s="499">
        <f t="shared" si="100"/>
        <v>0</v>
      </c>
      <c r="BL14" s="499">
        <f t="shared" si="100"/>
        <v>0</v>
      </c>
      <c r="BM14" s="499">
        <f t="shared" si="100"/>
        <v>0</v>
      </c>
      <c r="BN14" s="499">
        <f t="shared" si="100"/>
        <v>0</v>
      </c>
      <c r="BO14" s="719">
        <f t="shared" si="100"/>
        <v>0</v>
      </c>
      <c r="BP14" s="499">
        <f t="shared" si="101"/>
        <v>0</v>
      </c>
      <c r="BQ14" s="499">
        <f t="shared" si="102"/>
        <v>0</v>
      </c>
      <c r="BR14" s="499">
        <f t="shared" si="102"/>
        <v>0</v>
      </c>
      <c r="BS14" s="499">
        <f t="shared" si="102"/>
        <v>0</v>
      </c>
      <c r="BT14" s="499">
        <f t="shared" si="102"/>
        <v>0</v>
      </c>
      <c r="BU14" s="499">
        <f t="shared" si="102"/>
        <v>0</v>
      </c>
      <c r="BV14" s="720">
        <f t="shared" si="102"/>
        <v>0</v>
      </c>
      <c r="BW14" s="916">
        <f t="shared" si="103"/>
        <v>0</v>
      </c>
      <c r="BX14" s="720">
        <f t="shared" si="103"/>
        <v>0</v>
      </c>
      <c r="BY14" s="720">
        <f t="shared" si="103"/>
        <v>0</v>
      </c>
      <c r="BZ14" s="720">
        <f t="shared" si="103"/>
        <v>0</v>
      </c>
      <c r="CA14" s="720">
        <f t="shared" si="103"/>
        <v>0</v>
      </c>
      <c r="CB14" s="720">
        <f t="shared" si="103"/>
        <v>0</v>
      </c>
      <c r="CC14" s="719">
        <f t="shared" si="103"/>
        <v>0</v>
      </c>
      <c r="CD14" s="722">
        <f t="shared" si="104"/>
        <v>858</v>
      </c>
      <c r="CE14" s="511">
        <f t="shared" si="105"/>
        <v>858</v>
      </c>
      <c r="CF14" s="511">
        <f t="shared" si="105"/>
        <v>858</v>
      </c>
      <c r="CG14" s="511">
        <f t="shared" si="105"/>
        <v>858</v>
      </c>
      <c r="CH14" s="511">
        <f t="shared" si="105"/>
        <v>858</v>
      </c>
      <c r="CI14" s="511">
        <f t="shared" si="105"/>
        <v>858</v>
      </c>
      <c r="CJ14" s="723">
        <f t="shared" si="105"/>
        <v>858</v>
      </c>
      <c r="CK14" s="722">
        <f t="shared" si="106"/>
        <v>0.19400000000000001</v>
      </c>
      <c r="CL14" s="511">
        <f t="shared" si="107"/>
        <v>0.19400000000000001</v>
      </c>
      <c r="CM14" s="511">
        <f t="shared" si="107"/>
        <v>0.19400000000000001</v>
      </c>
      <c r="CN14" s="511">
        <f t="shared" si="107"/>
        <v>0.19400000000000001</v>
      </c>
      <c r="CO14" s="511">
        <f t="shared" si="107"/>
        <v>0.19400000000000001</v>
      </c>
      <c r="CP14" s="511">
        <f t="shared" si="107"/>
        <v>0.19400000000000001</v>
      </c>
      <c r="CQ14" s="723">
        <f t="shared" si="107"/>
        <v>0.19400000000000001</v>
      </c>
      <c r="CR14" s="722">
        <f t="shared" si="108"/>
        <v>0</v>
      </c>
      <c r="CS14" s="511">
        <f t="shared" si="109"/>
        <v>0</v>
      </c>
      <c r="CT14" s="511">
        <f t="shared" si="109"/>
        <v>0</v>
      </c>
      <c r="CU14" s="511">
        <f>CT14</f>
        <v>0</v>
      </c>
      <c r="CV14" s="511">
        <f t="shared" si="110"/>
        <v>0</v>
      </c>
      <c r="CW14" s="511">
        <f t="shared" si="110"/>
        <v>0</v>
      </c>
      <c r="CX14" s="723">
        <f t="shared" si="110"/>
        <v>0</v>
      </c>
      <c r="CY14" s="724">
        <f t="shared" si="86"/>
        <v>0</v>
      </c>
      <c r="CZ14" s="508">
        <f t="shared" si="86"/>
        <v>0</v>
      </c>
      <c r="DA14" s="508">
        <f t="shared" si="86"/>
        <v>0</v>
      </c>
      <c r="DB14" s="508">
        <f t="shared" si="86"/>
        <v>0</v>
      </c>
      <c r="DC14" s="508">
        <f t="shared" si="86"/>
        <v>0</v>
      </c>
      <c r="DD14" s="508">
        <f t="shared" si="86"/>
        <v>0</v>
      </c>
      <c r="DE14" s="725">
        <f t="shared" si="86"/>
        <v>0</v>
      </c>
      <c r="DF14" s="724">
        <f t="shared" si="87"/>
        <v>0</v>
      </c>
      <c r="DG14" s="508">
        <f t="shared" si="87"/>
        <v>0</v>
      </c>
      <c r="DH14" s="508">
        <f t="shared" si="87"/>
        <v>0</v>
      </c>
      <c r="DI14" s="508">
        <f t="shared" si="87"/>
        <v>0</v>
      </c>
      <c r="DJ14" s="508">
        <f t="shared" si="87"/>
        <v>0</v>
      </c>
      <c r="DK14" s="508">
        <f t="shared" si="87"/>
        <v>0</v>
      </c>
      <c r="DL14" s="725">
        <f t="shared" si="87"/>
        <v>0</v>
      </c>
      <c r="DM14" s="917">
        <f t="shared" si="88"/>
        <v>0</v>
      </c>
      <c r="DN14" s="728">
        <f t="shared" si="88"/>
        <v>0</v>
      </c>
      <c r="DO14" s="728">
        <f t="shared" si="88"/>
        <v>0</v>
      </c>
      <c r="DP14" s="728">
        <f t="shared" si="88"/>
        <v>0</v>
      </c>
      <c r="DQ14" s="728">
        <f t="shared" si="88"/>
        <v>0</v>
      </c>
      <c r="DR14" s="728">
        <f t="shared" si="88"/>
        <v>0</v>
      </c>
      <c r="DS14" s="918">
        <f t="shared" si="88"/>
        <v>0</v>
      </c>
      <c r="DT14" s="724">
        <f t="shared" si="89"/>
        <v>0</v>
      </c>
      <c r="DU14" s="508">
        <f t="shared" si="89"/>
        <v>0</v>
      </c>
      <c r="DV14" s="508">
        <f t="shared" si="89"/>
        <v>0</v>
      </c>
      <c r="DW14" s="508">
        <f t="shared" si="89"/>
        <v>0</v>
      </c>
      <c r="DX14" s="508">
        <f t="shared" si="89"/>
        <v>0</v>
      </c>
      <c r="DY14" s="508">
        <f t="shared" si="89"/>
        <v>0</v>
      </c>
      <c r="DZ14" s="725">
        <f t="shared" si="89"/>
        <v>0</v>
      </c>
      <c r="EA14" s="919">
        <f t="shared" si="90"/>
        <v>0</v>
      </c>
      <c r="EB14" s="778">
        <f t="shared" si="90"/>
        <v>0</v>
      </c>
      <c r="EC14" s="778">
        <f t="shared" si="90"/>
        <v>12870</v>
      </c>
      <c r="ED14" s="778">
        <f t="shared" si="90"/>
        <v>15015</v>
      </c>
      <c r="EE14" s="778">
        <f t="shared" si="90"/>
        <v>17160</v>
      </c>
      <c r="EF14" s="778">
        <f t="shared" si="90"/>
        <v>17160</v>
      </c>
      <c r="EG14" s="920">
        <f t="shared" si="90"/>
        <v>17160</v>
      </c>
      <c r="EH14" s="722">
        <f t="shared" si="91"/>
        <v>0</v>
      </c>
      <c r="EI14" s="511">
        <f t="shared" si="91"/>
        <v>0</v>
      </c>
      <c r="EJ14" s="511">
        <f t="shared" si="91"/>
        <v>2.91</v>
      </c>
      <c r="EK14" s="511">
        <f t="shared" si="91"/>
        <v>3.395</v>
      </c>
      <c r="EL14" s="511">
        <f t="shared" si="91"/>
        <v>3.88</v>
      </c>
      <c r="EM14" s="511">
        <f t="shared" si="91"/>
        <v>3.88</v>
      </c>
      <c r="EN14" s="723">
        <f t="shared" si="91"/>
        <v>3.88</v>
      </c>
      <c r="EO14" s="722">
        <f t="shared" si="92"/>
        <v>0</v>
      </c>
      <c r="EP14" s="511">
        <f t="shared" si="92"/>
        <v>0</v>
      </c>
      <c r="EQ14" s="511">
        <f t="shared" si="92"/>
        <v>0</v>
      </c>
      <c r="ER14" s="511">
        <f t="shared" si="92"/>
        <v>0</v>
      </c>
      <c r="ES14" s="511">
        <f t="shared" si="92"/>
        <v>0</v>
      </c>
      <c r="ET14" s="511">
        <f t="shared" si="92"/>
        <v>0</v>
      </c>
      <c r="EU14" s="723">
        <f t="shared" si="92"/>
        <v>0</v>
      </c>
      <c r="EV14" s="921">
        <f>SUM(AD14:AJ14)</f>
        <v>92.5</v>
      </c>
      <c r="EW14" s="922">
        <f t="shared" si="111"/>
        <v>0</v>
      </c>
      <c r="EX14" s="922">
        <f t="shared" si="112"/>
        <v>0</v>
      </c>
      <c r="EY14" s="922">
        <f t="shared" si="113"/>
        <v>0</v>
      </c>
      <c r="EZ14" s="922">
        <f t="shared" si="114"/>
        <v>0</v>
      </c>
      <c r="FA14" s="923">
        <f t="shared" si="115"/>
        <v>79365</v>
      </c>
      <c r="FB14" s="923">
        <f t="shared" si="116"/>
        <v>17.944999999999997</v>
      </c>
      <c r="FC14" s="924">
        <f t="shared" si="117"/>
        <v>0</v>
      </c>
    </row>
    <row r="15" spans="1:168" s="10" customFormat="1" ht="12.75" customHeight="1">
      <c r="A15" s="740"/>
      <c r="B15" s="730"/>
      <c r="C15" s="730"/>
      <c r="D15" s="730"/>
      <c r="E15" s="730"/>
      <c r="F15" s="731"/>
      <c r="G15" s="731"/>
      <c r="H15" s="731"/>
      <c r="I15" s="731"/>
      <c r="J15" s="731"/>
      <c r="K15" s="731"/>
      <c r="L15" s="733"/>
      <c r="M15" s="734"/>
      <c r="N15" s="734"/>
      <c r="O15" s="734"/>
      <c r="P15" s="735"/>
      <c r="Q15" s="736"/>
      <c r="R15" s="758"/>
      <c r="S15" s="926"/>
      <c r="T15" s="733"/>
      <c r="U15" s="738"/>
      <c r="V15" s="739"/>
      <c r="W15" s="740"/>
      <c r="X15" s="740"/>
      <c r="Y15" s="740"/>
      <c r="Z15" s="740"/>
      <c r="AA15" s="741"/>
      <c r="AB15" s="741"/>
      <c r="AC15" s="741"/>
      <c r="AD15" s="931"/>
      <c r="AE15" s="931"/>
      <c r="AF15" s="931"/>
      <c r="AG15" s="931"/>
      <c r="AH15" s="931"/>
      <c r="AI15" s="931"/>
      <c r="AJ15" s="931"/>
      <c r="AK15" s="733"/>
      <c r="AL15" s="733"/>
      <c r="AM15" s="733"/>
      <c r="AN15" s="733"/>
      <c r="AO15" s="733"/>
      <c r="AP15" s="733"/>
      <c r="AQ15" s="733"/>
      <c r="AR15" s="733"/>
      <c r="AS15" s="743"/>
      <c r="AT15" s="760"/>
      <c r="AU15" s="743"/>
      <c r="AV15" s="733"/>
      <c r="AW15" s="733"/>
      <c r="AX15" s="733"/>
      <c r="AY15" s="733"/>
      <c r="AZ15" s="733"/>
      <c r="BA15" s="744"/>
      <c r="BB15" s="745"/>
      <c r="BC15" s="746"/>
      <c r="BD15" s="746"/>
      <c r="BE15" s="746"/>
      <c r="BF15" s="746"/>
      <c r="BG15" s="746"/>
      <c r="BH15" s="747"/>
      <c r="BI15" s="746"/>
      <c r="BJ15" s="746"/>
      <c r="BK15" s="746"/>
      <c r="BL15" s="746"/>
      <c r="BM15" s="746"/>
      <c r="BN15" s="746"/>
      <c r="BO15" s="747"/>
      <c r="BP15" s="746"/>
      <c r="BQ15" s="746"/>
      <c r="BR15" s="746"/>
      <c r="BS15" s="746"/>
      <c r="BT15" s="746"/>
      <c r="BU15" s="746"/>
      <c r="BV15" s="749"/>
      <c r="BW15" s="745"/>
      <c r="BX15" s="746"/>
      <c r="BY15" s="746"/>
      <c r="BZ15" s="746"/>
      <c r="CA15" s="746"/>
      <c r="CB15" s="746"/>
      <c r="CC15" s="747"/>
      <c r="CD15" s="750"/>
      <c r="CE15" s="487"/>
      <c r="CF15" s="487"/>
      <c r="CG15" s="487"/>
      <c r="CH15" s="487"/>
      <c r="CI15" s="487"/>
      <c r="CJ15" s="751"/>
      <c r="CK15" s="750"/>
      <c r="CL15" s="487"/>
      <c r="CM15" s="487"/>
      <c r="CN15" s="487"/>
      <c r="CO15" s="487"/>
      <c r="CP15" s="487"/>
      <c r="CQ15" s="751"/>
      <c r="CR15" s="750"/>
      <c r="CS15" s="487"/>
      <c r="CT15" s="487"/>
      <c r="CU15" s="487"/>
      <c r="CV15" s="487"/>
      <c r="CW15" s="487"/>
      <c r="CX15" s="751"/>
      <c r="CY15" s="752"/>
      <c r="CZ15" s="492"/>
      <c r="DA15" s="492"/>
      <c r="DB15" s="492"/>
      <c r="DC15" s="492"/>
      <c r="DD15" s="492"/>
      <c r="DE15" s="753"/>
      <c r="DF15" s="752"/>
      <c r="DG15" s="492"/>
      <c r="DH15" s="492"/>
      <c r="DI15" s="492"/>
      <c r="DJ15" s="492"/>
      <c r="DK15" s="492"/>
      <c r="DL15" s="753"/>
      <c r="DM15" s="927"/>
      <c r="DN15" s="755"/>
      <c r="DO15" s="755"/>
      <c r="DP15" s="755"/>
      <c r="DQ15" s="755"/>
      <c r="DR15" s="755"/>
      <c r="DS15" s="928"/>
      <c r="DT15" s="752"/>
      <c r="DU15" s="492"/>
      <c r="DV15" s="492"/>
      <c r="DW15" s="492"/>
      <c r="DX15" s="492"/>
      <c r="DY15" s="492"/>
      <c r="DZ15" s="753"/>
      <c r="EA15" s="929"/>
      <c r="EB15" s="757"/>
      <c r="EC15" s="757"/>
      <c r="ED15" s="757"/>
      <c r="EE15" s="757"/>
      <c r="EF15" s="757"/>
      <c r="EG15" s="930"/>
      <c r="EH15" s="750"/>
      <c r="EI15" s="487"/>
      <c r="EJ15" s="487"/>
      <c r="EK15" s="487"/>
      <c r="EL15" s="487"/>
      <c r="EM15" s="487"/>
      <c r="EN15" s="751"/>
      <c r="EO15" s="750"/>
      <c r="EP15" s="487"/>
      <c r="EQ15" s="487"/>
      <c r="ER15" s="487"/>
      <c r="ES15" s="487"/>
      <c r="ET15" s="487"/>
      <c r="EU15" s="751"/>
      <c r="EV15" s="515"/>
      <c r="EW15" s="755"/>
      <c r="EX15" s="755"/>
      <c r="EY15" s="755"/>
      <c r="EZ15" s="755"/>
      <c r="FA15" s="756"/>
      <c r="FB15" s="756"/>
      <c r="FC15" s="757"/>
    </row>
    <row r="16" spans="1:168" s="10" customFormat="1" ht="12.75" customHeight="1">
      <c r="A16" s="661" t="s">
        <v>172</v>
      </c>
      <c r="B16" s="663" t="s">
        <v>883</v>
      </c>
      <c r="C16" s="663" t="s">
        <v>854</v>
      </c>
      <c r="D16" s="663" t="s">
        <v>855</v>
      </c>
      <c r="E16" s="663" t="s">
        <v>331</v>
      </c>
      <c r="F16" s="704" t="s">
        <v>402</v>
      </c>
      <c r="G16" s="704">
        <v>0</v>
      </c>
      <c r="H16" s="704">
        <v>0</v>
      </c>
      <c r="I16" s="704">
        <f>G16+H16</f>
        <v>0</v>
      </c>
      <c r="J16" s="704">
        <v>0</v>
      </c>
      <c r="K16" s="704">
        <v>0</v>
      </c>
      <c r="L16" s="711" t="s">
        <v>856</v>
      </c>
      <c r="M16" s="707">
        <v>0</v>
      </c>
      <c r="N16" s="707">
        <v>50</v>
      </c>
      <c r="O16" s="707">
        <v>0</v>
      </c>
      <c r="P16" s="707">
        <v>0</v>
      </c>
      <c r="Q16" s="780">
        <v>750</v>
      </c>
      <c r="R16" s="911">
        <v>8.5000000000000006E-2</v>
      </c>
      <c r="S16" s="912">
        <v>0</v>
      </c>
      <c r="T16" s="913" t="s">
        <v>857</v>
      </c>
      <c r="U16" s="712"/>
      <c r="V16" s="713">
        <v>1</v>
      </c>
      <c r="W16" s="932">
        <v>5407.9537528931996</v>
      </c>
      <c r="X16" s="773">
        <v>3920.1760828832803</v>
      </c>
      <c r="Y16" s="661">
        <v>0</v>
      </c>
      <c r="Z16" s="661">
        <v>0</v>
      </c>
      <c r="AA16" s="661">
        <v>0</v>
      </c>
      <c r="AB16" s="661">
        <v>0</v>
      </c>
      <c r="AC16" s="714">
        <f>AC6*0.5</f>
        <v>0</v>
      </c>
      <c r="AD16" s="773">
        <f t="shared" ref="AD16:AI16" si="120">AD6*0.5</f>
        <v>0</v>
      </c>
      <c r="AE16" s="773">
        <f t="shared" si="120"/>
        <v>0</v>
      </c>
      <c r="AF16" s="773">
        <f t="shared" si="120"/>
        <v>2442.9846798192439</v>
      </c>
      <c r="AG16" s="773">
        <f t="shared" si="120"/>
        <v>2850.1487931224515</v>
      </c>
      <c r="AH16" s="773">
        <f t="shared" si="120"/>
        <v>3257.3129064256586</v>
      </c>
      <c r="AI16" s="773">
        <f t="shared" si="120"/>
        <v>3257.3129064256586</v>
      </c>
      <c r="AJ16" s="914">
        <f t="shared" ref="AJ16" si="121">AJ6*0.5</f>
        <v>3257.3129064256586</v>
      </c>
      <c r="AK16" s="711" t="s">
        <v>384</v>
      </c>
      <c r="AL16" s="711" t="s">
        <v>375</v>
      </c>
      <c r="AM16" s="711" t="s">
        <v>377</v>
      </c>
      <c r="AN16" s="711" t="s">
        <v>858</v>
      </c>
      <c r="AO16" s="711" t="s">
        <v>1</v>
      </c>
      <c r="AP16" s="711" t="s">
        <v>378</v>
      </c>
      <c r="AQ16" s="711" t="s">
        <v>378</v>
      </c>
      <c r="AR16" s="711" t="s">
        <v>378</v>
      </c>
      <c r="AS16" s="715" t="s">
        <v>859</v>
      </c>
      <c r="AT16" s="715" t="s">
        <v>380</v>
      </c>
      <c r="AU16" s="715" t="s">
        <v>381</v>
      </c>
      <c r="AV16" s="915">
        <v>8</v>
      </c>
      <c r="AW16" s="661"/>
      <c r="AX16" s="711" t="s">
        <v>860</v>
      </c>
      <c r="AY16" s="716">
        <v>1</v>
      </c>
      <c r="AZ16" s="716">
        <v>1</v>
      </c>
      <c r="BA16" s="717">
        <v>0</v>
      </c>
      <c r="BB16" s="721">
        <f>I16</f>
        <v>0</v>
      </c>
      <c r="BC16" s="499">
        <f t="shared" ref="BC16:BD16" si="122">BB16</f>
        <v>0</v>
      </c>
      <c r="BD16" s="499">
        <f t="shared" si="122"/>
        <v>0</v>
      </c>
      <c r="BE16" s="499">
        <f>BB16</f>
        <v>0</v>
      </c>
      <c r="BF16" s="499">
        <f t="shared" ref="BF16:BH16" si="123">BC16</f>
        <v>0</v>
      </c>
      <c r="BG16" s="499">
        <f t="shared" si="123"/>
        <v>0</v>
      </c>
      <c r="BH16" s="719">
        <f t="shared" si="123"/>
        <v>0</v>
      </c>
      <c r="BI16" s="499">
        <f>J16</f>
        <v>0</v>
      </c>
      <c r="BJ16" s="499">
        <f t="shared" ref="BJ16:BO16" si="124">BI16</f>
        <v>0</v>
      </c>
      <c r="BK16" s="499">
        <f t="shared" si="124"/>
        <v>0</v>
      </c>
      <c r="BL16" s="499">
        <f t="shared" si="124"/>
        <v>0</v>
      </c>
      <c r="BM16" s="499">
        <f t="shared" si="124"/>
        <v>0</v>
      </c>
      <c r="BN16" s="499">
        <f t="shared" si="124"/>
        <v>0</v>
      </c>
      <c r="BO16" s="719">
        <f t="shared" si="124"/>
        <v>0</v>
      </c>
      <c r="BP16" s="499">
        <f>N16+O16</f>
        <v>50</v>
      </c>
      <c r="BQ16" s="499">
        <f t="shared" ref="BQ16:BV16" si="125">BP16</f>
        <v>50</v>
      </c>
      <c r="BR16" s="499">
        <f t="shared" si="125"/>
        <v>50</v>
      </c>
      <c r="BS16" s="499">
        <f t="shared" si="125"/>
        <v>50</v>
      </c>
      <c r="BT16" s="499">
        <f t="shared" si="125"/>
        <v>50</v>
      </c>
      <c r="BU16" s="499">
        <f t="shared" si="125"/>
        <v>50</v>
      </c>
      <c r="BV16" s="720">
        <f t="shared" si="125"/>
        <v>50</v>
      </c>
      <c r="BW16" s="916">
        <f t="shared" si="29"/>
        <v>0</v>
      </c>
      <c r="BX16" s="720">
        <f t="shared" si="29"/>
        <v>0</v>
      </c>
      <c r="BY16" s="720">
        <f t="shared" si="29"/>
        <v>0</v>
      </c>
      <c r="BZ16" s="720">
        <f t="shared" si="29"/>
        <v>0</v>
      </c>
      <c r="CA16" s="720">
        <f t="shared" si="29"/>
        <v>0</v>
      </c>
      <c r="CB16" s="720">
        <f t="shared" si="29"/>
        <v>0</v>
      </c>
      <c r="CC16" s="719">
        <f t="shared" si="29"/>
        <v>0</v>
      </c>
      <c r="CD16" s="722">
        <f>Q16*AZ16</f>
        <v>750</v>
      </c>
      <c r="CE16" s="511">
        <f t="shared" ref="CE16:CJ16" si="126">CD16</f>
        <v>750</v>
      </c>
      <c r="CF16" s="511">
        <f t="shared" si="126"/>
        <v>750</v>
      </c>
      <c r="CG16" s="511">
        <f t="shared" si="126"/>
        <v>750</v>
      </c>
      <c r="CH16" s="511">
        <f t="shared" si="126"/>
        <v>750</v>
      </c>
      <c r="CI16" s="511">
        <f t="shared" si="126"/>
        <v>750</v>
      </c>
      <c r="CJ16" s="723">
        <f t="shared" si="126"/>
        <v>750</v>
      </c>
      <c r="CK16" s="722">
        <f>R16*AZ16</f>
        <v>8.5000000000000006E-2</v>
      </c>
      <c r="CL16" s="511">
        <f t="shared" ref="CL16:CQ16" si="127">CK16</f>
        <v>8.5000000000000006E-2</v>
      </c>
      <c r="CM16" s="511">
        <f t="shared" si="127"/>
        <v>8.5000000000000006E-2</v>
      </c>
      <c r="CN16" s="511">
        <f t="shared" si="127"/>
        <v>8.5000000000000006E-2</v>
      </c>
      <c r="CO16" s="511">
        <f t="shared" si="127"/>
        <v>8.5000000000000006E-2</v>
      </c>
      <c r="CP16" s="511">
        <f t="shared" si="127"/>
        <v>8.5000000000000006E-2</v>
      </c>
      <c r="CQ16" s="723">
        <f t="shared" si="127"/>
        <v>8.5000000000000006E-2</v>
      </c>
      <c r="CR16" s="722">
        <f>S16*BA16</f>
        <v>0</v>
      </c>
      <c r="CS16" s="511">
        <f t="shared" ref="CS16:CX16" si="128">CR16</f>
        <v>0</v>
      </c>
      <c r="CT16" s="511">
        <f t="shared" si="128"/>
        <v>0</v>
      </c>
      <c r="CU16" s="511">
        <f t="shared" si="128"/>
        <v>0</v>
      </c>
      <c r="CV16" s="511">
        <f t="shared" si="128"/>
        <v>0</v>
      </c>
      <c r="CW16" s="511">
        <f t="shared" si="128"/>
        <v>0</v>
      </c>
      <c r="CX16" s="723">
        <f t="shared" si="128"/>
        <v>0</v>
      </c>
      <c r="CY16" s="724">
        <f t="shared" ref="CY16:DE19" si="129">AD16*BB16</f>
        <v>0</v>
      </c>
      <c r="CZ16" s="508">
        <f t="shared" si="129"/>
        <v>0</v>
      </c>
      <c r="DA16" s="508">
        <f t="shared" si="129"/>
        <v>0</v>
      </c>
      <c r="DB16" s="508">
        <f t="shared" si="129"/>
        <v>0</v>
      </c>
      <c r="DC16" s="508">
        <f t="shared" si="129"/>
        <v>0</v>
      </c>
      <c r="DD16" s="508">
        <f t="shared" si="129"/>
        <v>0</v>
      </c>
      <c r="DE16" s="725">
        <f t="shared" si="129"/>
        <v>0</v>
      </c>
      <c r="DF16" s="724">
        <f t="shared" ref="DF16:DL19" si="130">AD16*BI16</f>
        <v>0</v>
      </c>
      <c r="DG16" s="508">
        <f t="shared" si="130"/>
        <v>0</v>
      </c>
      <c r="DH16" s="508">
        <f t="shared" si="130"/>
        <v>0</v>
      </c>
      <c r="DI16" s="508">
        <f t="shared" si="130"/>
        <v>0</v>
      </c>
      <c r="DJ16" s="508">
        <f t="shared" si="130"/>
        <v>0</v>
      </c>
      <c r="DK16" s="508">
        <f t="shared" si="130"/>
        <v>0</v>
      </c>
      <c r="DL16" s="725">
        <f t="shared" si="130"/>
        <v>0</v>
      </c>
      <c r="DM16" s="917">
        <f t="shared" ref="DM16:DS19" si="131">AD16*BP16</f>
        <v>0</v>
      </c>
      <c r="DN16" s="728">
        <f t="shared" si="131"/>
        <v>0</v>
      </c>
      <c r="DO16" s="728">
        <f t="shared" si="131"/>
        <v>122149.2339909622</v>
      </c>
      <c r="DP16" s="728">
        <f t="shared" si="131"/>
        <v>142507.43965612259</v>
      </c>
      <c r="DQ16" s="728">
        <f t="shared" si="131"/>
        <v>162865.64532128294</v>
      </c>
      <c r="DR16" s="728">
        <f t="shared" si="131"/>
        <v>162865.64532128294</v>
      </c>
      <c r="DS16" s="918">
        <f t="shared" si="131"/>
        <v>162865.64532128294</v>
      </c>
      <c r="DT16" s="724">
        <f t="shared" ref="DT16:DZ19" si="132">BW16*AD16</f>
        <v>0</v>
      </c>
      <c r="DU16" s="508">
        <f t="shared" si="132"/>
        <v>0</v>
      </c>
      <c r="DV16" s="508">
        <f t="shared" si="132"/>
        <v>0</v>
      </c>
      <c r="DW16" s="508">
        <f t="shared" si="132"/>
        <v>0</v>
      </c>
      <c r="DX16" s="508">
        <f t="shared" si="132"/>
        <v>0</v>
      </c>
      <c r="DY16" s="508">
        <f t="shared" si="132"/>
        <v>0</v>
      </c>
      <c r="DZ16" s="725">
        <f t="shared" si="132"/>
        <v>0</v>
      </c>
      <c r="EA16" s="919">
        <f t="shared" ref="EA16:EG19" si="133">AD16*CD16</f>
        <v>0</v>
      </c>
      <c r="EB16" s="778">
        <f t="shared" si="133"/>
        <v>0</v>
      </c>
      <c r="EC16" s="778">
        <f t="shared" si="133"/>
        <v>1832238.509864433</v>
      </c>
      <c r="ED16" s="778">
        <f t="shared" si="133"/>
        <v>2137611.5948418388</v>
      </c>
      <c r="EE16" s="778">
        <f t="shared" si="133"/>
        <v>2442984.679819244</v>
      </c>
      <c r="EF16" s="778">
        <f t="shared" si="133"/>
        <v>2442984.679819244</v>
      </c>
      <c r="EG16" s="920">
        <f t="shared" si="133"/>
        <v>2442984.679819244</v>
      </c>
      <c r="EH16" s="722">
        <f t="shared" ref="EH16:EN19" si="134">AD16*CK16</f>
        <v>0</v>
      </c>
      <c r="EI16" s="511">
        <f t="shared" si="134"/>
        <v>0</v>
      </c>
      <c r="EJ16" s="511">
        <f t="shared" si="134"/>
        <v>207.65369778463574</v>
      </c>
      <c r="EK16" s="511">
        <f t="shared" si="134"/>
        <v>242.2626474154084</v>
      </c>
      <c r="EL16" s="511">
        <f t="shared" si="134"/>
        <v>276.87159704618102</v>
      </c>
      <c r="EM16" s="511">
        <f t="shared" si="134"/>
        <v>276.87159704618102</v>
      </c>
      <c r="EN16" s="723">
        <f t="shared" si="134"/>
        <v>276.87159704618102</v>
      </c>
      <c r="EO16" s="722">
        <f t="shared" ref="EO16:EU19" si="135">AD16*CR16</f>
        <v>0</v>
      </c>
      <c r="EP16" s="511">
        <f t="shared" si="135"/>
        <v>0</v>
      </c>
      <c r="EQ16" s="511">
        <f t="shared" si="135"/>
        <v>0</v>
      </c>
      <c r="ER16" s="511">
        <f t="shared" si="135"/>
        <v>0</v>
      </c>
      <c r="ES16" s="511">
        <f t="shared" si="135"/>
        <v>0</v>
      </c>
      <c r="ET16" s="511">
        <f t="shared" si="135"/>
        <v>0</v>
      </c>
      <c r="EU16" s="723">
        <f t="shared" si="135"/>
        <v>0</v>
      </c>
      <c r="EV16" s="921">
        <f>SUM(AD16:AJ16)</f>
        <v>15065.072192218673</v>
      </c>
      <c r="EW16" s="922">
        <f>SUM(CY16:DE16)</f>
        <v>0</v>
      </c>
      <c r="EX16" s="922">
        <f>SUM(DF16:DL16)</f>
        <v>0</v>
      </c>
      <c r="EY16" s="922">
        <f>SUM(DM16:DS16)</f>
        <v>753253.60961093358</v>
      </c>
      <c r="EZ16" s="922">
        <f>SUM(DT16:DZ16)</f>
        <v>0</v>
      </c>
      <c r="FA16" s="923">
        <f>SUM(EA16:EG16)</f>
        <v>11298804.144164003</v>
      </c>
      <c r="FB16" s="923">
        <f>SUM(EH16:EN16)</f>
        <v>1280.5311363385872</v>
      </c>
      <c r="FC16" s="924">
        <f>SUM(EO16:EU16)</f>
        <v>0</v>
      </c>
    </row>
    <row r="17" spans="1:159" s="10" customFormat="1" ht="12.75" customHeight="1">
      <c r="A17" s="661" t="s">
        <v>174</v>
      </c>
      <c r="B17" s="663" t="s">
        <v>884</v>
      </c>
      <c r="C17" s="663" t="s">
        <v>862</v>
      </c>
      <c r="D17" s="663" t="s">
        <v>863</v>
      </c>
      <c r="E17" s="663" t="s">
        <v>331</v>
      </c>
      <c r="F17" s="704" t="s">
        <v>402</v>
      </c>
      <c r="G17" s="704">
        <v>0</v>
      </c>
      <c r="H17" s="704">
        <v>0</v>
      </c>
      <c r="I17" s="704">
        <f t="shared" ref="I17:I19" si="136">G17+H17</f>
        <v>0</v>
      </c>
      <c r="J17" s="704">
        <v>0</v>
      </c>
      <c r="K17" s="704">
        <v>0</v>
      </c>
      <c r="L17" s="711" t="s">
        <v>856</v>
      </c>
      <c r="M17" s="707">
        <v>0</v>
      </c>
      <c r="N17" s="707">
        <v>50</v>
      </c>
      <c r="O17" s="707">
        <v>0</v>
      </c>
      <c r="P17" s="707">
        <v>0</v>
      </c>
      <c r="Q17" s="780">
        <v>750</v>
      </c>
      <c r="R17" s="911">
        <v>8.5000000000000006E-2</v>
      </c>
      <c r="S17" s="912">
        <v>0</v>
      </c>
      <c r="T17" s="913" t="s">
        <v>857</v>
      </c>
      <c r="U17" s="712"/>
      <c r="V17" s="713">
        <v>1</v>
      </c>
      <c r="W17" s="932">
        <v>1233.0462471068004</v>
      </c>
      <c r="X17" s="773">
        <v>893.82391711671994</v>
      </c>
      <c r="Y17" s="661">
        <v>0</v>
      </c>
      <c r="Z17" s="661">
        <v>0</v>
      </c>
      <c r="AA17" s="661">
        <v>0</v>
      </c>
      <c r="AB17" s="661">
        <v>0</v>
      </c>
      <c r="AC17" s="714">
        <f t="shared" ref="AC17:AI19" si="137">AC7*0.5</f>
        <v>0</v>
      </c>
      <c r="AD17" s="773">
        <f t="shared" si="137"/>
        <v>0</v>
      </c>
      <c r="AE17" s="773">
        <f t="shared" si="137"/>
        <v>0</v>
      </c>
      <c r="AF17" s="773">
        <f t="shared" si="137"/>
        <v>557.01532018075613</v>
      </c>
      <c r="AG17" s="773">
        <f t="shared" si="137"/>
        <v>649.85120687754875</v>
      </c>
      <c r="AH17" s="773">
        <f t="shared" si="137"/>
        <v>742.68709357434147</v>
      </c>
      <c r="AI17" s="773">
        <f t="shared" si="137"/>
        <v>742.68709357434147</v>
      </c>
      <c r="AJ17" s="914">
        <f t="shared" ref="AJ17" si="138">AJ7*0.5</f>
        <v>742.68709357434147</v>
      </c>
      <c r="AK17" s="711" t="s">
        <v>384</v>
      </c>
      <c r="AL17" s="711" t="s">
        <v>375</v>
      </c>
      <c r="AM17" s="711" t="s">
        <v>377</v>
      </c>
      <c r="AN17" s="711" t="s">
        <v>864</v>
      </c>
      <c r="AO17" s="711" t="s">
        <v>1</v>
      </c>
      <c r="AP17" s="711" t="s">
        <v>378</v>
      </c>
      <c r="AQ17" s="711" t="s">
        <v>378</v>
      </c>
      <c r="AR17" s="711" t="s">
        <v>378</v>
      </c>
      <c r="AS17" s="715" t="s">
        <v>865</v>
      </c>
      <c r="AT17" s="715" t="s">
        <v>380</v>
      </c>
      <c r="AU17" s="715" t="s">
        <v>381</v>
      </c>
      <c r="AV17" s="915">
        <v>8</v>
      </c>
      <c r="AW17" s="661"/>
      <c r="AX17" s="711" t="s">
        <v>866</v>
      </c>
      <c r="AY17" s="716">
        <v>1</v>
      </c>
      <c r="AZ17" s="716">
        <v>1</v>
      </c>
      <c r="BA17" s="717">
        <v>0</v>
      </c>
      <c r="BB17" s="721">
        <f t="shared" ref="BB17:BB19" si="139">I17</f>
        <v>0</v>
      </c>
      <c r="BC17" s="499">
        <f t="shared" ref="BC17:BD19" si="140">BB17</f>
        <v>0</v>
      </c>
      <c r="BD17" s="499">
        <f t="shared" si="140"/>
        <v>0</v>
      </c>
      <c r="BE17" s="499">
        <f>BB17</f>
        <v>0</v>
      </c>
      <c r="BF17" s="499">
        <f t="shared" ref="BF17:BH19" si="141">BC17</f>
        <v>0</v>
      </c>
      <c r="BG17" s="499">
        <f t="shared" si="141"/>
        <v>0</v>
      </c>
      <c r="BH17" s="719">
        <f t="shared" si="141"/>
        <v>0</v>
      </c>
      <c r="BI17" s="499">
        <f t="shared" ref="BI17:BI19" si="142">J17</f>
        <v>0</v>
      </c>
      <c r="BJ17" s="499">
        <f t="shared" ref="BJ17:BO19" si="143">BI17</f>
        <v>0</v>
      </c>
      <c r="BK17" s="499">
        <f t="shared" si="143"/>
        <v>0</v>
      </c>
      <c r="BL17" s="499">
        <f t="shared" si="143"/>
        <v>0</v>
      </c>
      <c r="BM17" s="499">
        <f t="shared" si="143"/>
        <v>0</v>
      </c>
      <c r="BN17" s="499">
        <f t="shared" si="143"/>
        <v>0</v>
      </c>
      <c r="BO17" s="719">
        <f t="shared" si="143"/>
        <v>0</v>
      </c>
      <c r="BP17" s="499">
        <f t="shared" ref="BP17:BP19" si="144">N17+O17</f>
        <v>50</v>
      </c>
      <c r="BQ17" s="499">
        <f t="shared" ref="BQ17:BV19" si="145">BP17</f>
        <v>50</v>
      </c>
      <c r="BR17" s="499">
        <f t="shared" si="145"/>
        <v>50</v>
      </c>
      <c r="BS17" s="499">
        <f t="shared" si="145"/>
        <v>50</v>
      </c>
      <c r="BT17" s="499">
        <f t="shared" si="145"/>
        <v>50</v>
      </c>
      <c r="BU17" s="499">
        <f t="shared" si="145"/>
        <v>50</v>
      </c>
      <c r="BV17" s="720">
        <f t="shared" si="145"/>
        <v>50</v>
      </c>
      <c r="BW17" s="916">
        <f t="shared" ref="BW17:CC19" si="146">$P17</f>
        <v>0</v>
      </c>
      <c r="BX17" s="720">
        <f t="shared" si="146"/>
        <v>0</v>
      </c>
      <c r="BY17" s="720">
        <f t="shared" si="146"/>
        <v>0</v>
      </c>
      <c r="BZ17" s="720">
        <f t="shared" si="146"/>
        <v>0</v>
      </c>
      <c r="CA17" s="720">
        <f t="shared" si="146"/>
        <v>0</v>
      </c>
      <c r="CB17" s="720">
        <f t="shared" si="146"/>
        <v>0</v>
      </c>
      <c r="CC17" s="719">
        <f t="shared" si="146"/>
        <v>0</v>
      </c>
      <c r="CD17" s="722">
        <f t="shared" ref="CD17:CD19" si="147">Q17*AZ17</f>
        <v>750</v>
      </c>
      <c r="CE17" s="511">
        <f t="shared" ref="CE17:CJ19" si="148">CD17</f>
        <v>750</v>
      </c>
      <c r="CF17" s="511">
        <f t="shared" si="148"/>
        <v>750</v>
      </c>
      <c r="CG17" s="511">
        <f t="shared" si="148"/>
        <v>750</v>
      </c>
      <c r="CH17" s="511">
        <f t="shared" si="148"/>
        <v>750</v>
      </c>
      <c r="CI17" s="511">
        <f t="shared" si="148"/>
        <v>750</v>
      </c>
      <c r="CJ17" s="723">
        <f t="shared" si="148"/>
        <v>750</v>
      </c>
      <c r="CK17" s="722">
        <f t="shared" ref="CK17:CK19" si="149">R17*AZ17</f>
        <v>8.5000000000000006E-2</v>
      </c>
      <c r="CL17" s="511">
        <f t="shared" ref="CL17:CQ19" si="150">CK17</f>
        <v>8.5000000000000006E-2</v>
      </c>
      <c r="CM17" s="511">
        <f t="shared" si="150"/>
        <v>8.5000000000000006E-2</v>
      </c>
      <c r="CN17" s="511">
        <f t="shared" si="150"/>
        <v>8.5000000000000006E-2</v>
      </c>
      <c r="CO17" s="511">
        <f t="shared" si="150"/>
        <v>8.5000000000000006E-2</v>
      </c>
      <c r="CP17" s="511">
        <f t="shared" si="150"/>
        <v>8.5000000000000006E-2</v>
      </c>
      <c r="CQ17" s="723">
        <f t="shared" si="150"/>
        <v>8.5000000000000006E-2</v>
      </c>
      <c r="CR17" s="722">
        <f t="shared" ref="CR17:CR19" si="151">S17*BA17</f>
        <v>0</v>
      </c>
      <c r="CS17" s="511">
        <f t="shared" ref="CS17:CX19" si="152">CR17</f>
        <v>0</v>
      </c>
      <c r="CT17" s="511">
        <f t="shared" si="152"/>
        <v>0</v>
      </c>
      <c r="CU17" s="511">
        <f t="shared" si="152"/>
        <v>0</v>
      </c>
      <c r="CV17" s="511">
        <f t="shared" si="152"/>
        <v>0</v>
      </c>
      <c r="CW17" s="511">
        <f t="shared" si="152"/>
        <v>0</v>
      </c>
      <c r="CX17" s="723">
        <f t="shared" si="152"/>
        <v>0</v>
      </c>
      <c r="CY17" s="724">
        <f t="shared" si="129"/>
        <v>0</v>
      </c>
      <c r="CZ17" s="508">
        <f t="shared" si="129"/>
        <v>0</v>
      </c>
      <c r="DA17" s="508">
        <f t="shared" si="129"/>
        <v>0</v>
      </c>
      <c r="DB17" s="508">
        <f t="shared" si="129"/>
        <v>0</v>
      </c>
      <c r="DC17" s="508">
        <f t="shared" si="129"/>
        <v>0</v>
      </c>
      <c r="DD17" s="508">
        <f t="shared" si="129"/>
        <v>0</v>
      </c>
      <c r="DE17" s="725">
        <f t="shared" si="129"/>
        <v>0</v>
      </c>
      <c r="DF17" s="724">
        <f t="shared" si="130"/>
        <v>0</v>
      </c>
      <c r="DG17" s="508">
        <f t="shared" si="130"/>
        <v>0</v>
      </c>
      <c r="DH17" s="508">
        <f t="shared" si="130"/>
        <v>0</v>
      </c>
      <c r="DI17" s="508">
        <f t="shared" si="130"/>
        <v>0</v>
      </c>
      <c r="DJ17" s="508">
        <f t="shared" si="130"/>
        <v>0</v>
      </c>
      <c r="DK17" s="508">
        <f t="shared" si="130"/>
        <v>0</v>
      </c>
      <c r="DL17" s="725">
        <f t="shared" si="130"/>
        <v>0</v>
      </c>
      <c r="DM17" s="917">
        <f t="shared" si="131"/>
        <v>0</v>
      </c>
      <c r="DN17" s="728">
        <f t="shared" si="131"/>
        <v>0</v>
      </c>
      <c r="DO17" s="728">
        <f t="shared" si="131"/>
        <v>27850.766009037805</v>
      </c>
      <c r="DP17" s="728">
        <f t="shared" si="131"/>
        <v>32492.560343877438</v>
      </c>
      <c r="DQ17" s="728">
        <f t="shared" si="131"/>
        <v>37134.354678717071</v>
      </c>
      <c r="DR17" s="728">
        <f t="shared" si="131"/>
        <v>37134.354678717071</v>
      </c>
      <c r="DS17" s="918">
        <f t="shared" si="131"/>
        <v>37134.354678717071</v>
      </c>
      <c r="DT17" s="724">
        <f t="shared" si="132"/>
        <v>0</v>
      </c>
      <c r="DU17" s="508">
        <f t="shared" si="132"/>
        <v>0</v>
      </c>
      <c r="DV17" s="508">
        <f t="shared" si="132"/>
        <v>0</v>
      </c>
      <c r="DW17" s="508">
        <f t="shared" si="132"/>
        <v>0</v>
      </c>
      <c r="DX17" s="508">
        <f t="shared" si="132"/>
        <v>0</v>
      </c>
      <c r="DY17" s="508">
        <f t="shared" si="132"/>
        <v>0</v>
      </c>
      <c r="DZ17" s="725">
        <f t="shared" si="132"/>
        <v>0</v>
      </c>
      <c r="EA17" s="919">
        <f t="shared" si="133"/>
        <v>0</v>
      </c>
      <c r="EB17" s="778">
        <f t="shared" si="133"/>
        <v>0</v>
      </c>
      <c r="EC17" s="778">
        <f t="shared" si="133"/>
        <v>417761.49013556709</v>
      </c>
      <c r="ED17" s="778">
        <f t="shared" si="133"/>
        <v>487388.40515816153</v>
      </c>
      <c r="EE17" s="778">
        <f t="shared" si="133"/>
        <v>557015.32018075616</v>
      </c>
      <c r="EF17" s="778">
        <f t="shared" si="133"/>
        <v>557015.32018075616</v>
      </c>
      <c r="EG17" s="920">
        <f t="shared" si="133"/>
        <v>557015.32018075616</v>
      </c>
      <c r="EH17" s="722">
        <f t="shared" si="134"/>
        <v>0</v>
      </c>
      <c r="EI17" s="511">
        <f t="shared" si="134"/>
        <v>0</v>
      </c>
      <c r="EJ17" s="511">
        <f t="shared" si="134"/>
        <v>47.346302215364275</v>
      </c>
      <c r="EK17" s="511">
        <f t="shared" si="134"/>
        <v>55.237352584591648</v>
      </c>
      <c r="EL17" s="511">
        <f t="shared" si="134"/>
        <v>63.128402953819027</v>
      </c>
      <c r="EM17" s="511">
        <f t="shared" si="134"/>
        <v>63.128402953819027</v>
      </c>
      <c r="EN17" s="723">
        <f t="shared" si="134"/>
        <v>63.128402953819027</v>
      </c>
      <c r="EO17" s="722">
        <f t="shared" si="135"/>
        <v>0</v>
      </c>
      <c r="EP17" s="511">
        <f t="shared" si="135"/>
        <v>0</v>
      </c>
      <c r="EQ17" s="511">
        <f t="shared" si="135"/>
        <v>0</v>
      </c>
      <c r="ER17" s="511">
        <f t="shared" si="135"/>
        <v>0</v>
      </c>
      <c r="ES17" s="511">
        <f t="shared" si="135"/>
        <v>0</v>
      </c>
      <c r="ET17" s="511">
        <f t="shared" si="135"/>
        <v>0</v>
      </c>
      <c r="EU17" s="723">
        <f t="shared" si="135"/>
        <v>0</v>
      </c>
      <c r="EV17" s="921">
        <f t="shared" ref="EV17:EV19" si="153">SUM(AD17:AJ17)</f>
        <v>3434.9278077813292</v>
      </c>
      <c r="EW17" s="922">
        <f t="shared" ref="EW17:EW19" si="154">SUM(CY17:DE17)</f>
        <v>0</v>
      </c>
      <c r="EX17" s="922">
        <f t="shared" ref="EX17:EX19" si="155">SUM(DF17:DL17)</f>
        <v>0</v>
      </c>
      <c r="EY17" s="922">
        <f t="shared" ref="EY17:EY19" si="156">SUM(DM17:DS17)</f>
        <v>171746.39038906645</v>
      </c>
      <c r="EZ17" s="922">
        <f t="shared" ref="EZ17:EZ19" si="157">SUM(DT17:DZ17)</f>
        <v>0</v>
      </c>
      <c r="FA17" s="923">
        <f t="shared" ref="FA17:FA19" si="158">SUM(EA17:EG17)</f>
        <v>2576195.855835997</v>
      </c>
      <c r="FB17" s="923">
        <f t="shared" ref="FB17:FB19" si="159">SUM(EH17:EN17)</f>
        <v>291.96886366141302</v>
      </c>
      <c r="FC17" s="924">
        <f t="shared" ref="FC17:FC19" si="160">SUM(EO17:EU17)</f>
        <v>0</v>
      </c>
    </row>
    <row r="18" spans="1:159" s="10" customFormat="1" ht="12.75" customHeight="1">
      <c r="A18" s="661" t="s">
        <v>179</v>
      </c>
      <c r="B18" s="663" t="s">
        <v>885</v>
      </c>
      <c r="C18" s="663" t="s">
        <v>868</v>
      </c>
      <c r="D18" s="663" t="s">
        <v>869</v>
      </c>
      <c r="E18" s="663" t="s">
        <v>331</v>
      </c>
      <c r="F18" s="704" t="s">
        <v>402</v>
      </c>
      <c r="G18" s="704">
        <v>0</v>
      </c>
      <c r="H18" s="704">
        <v>0</v>
      </c>
      <c r="I18" s="704">
        <f t="shared" si="136"/>
        <v>0</v>
      </c>
      <c r="J18" s="704">
        <v>0</v>
      </c>
      <c r="K18" s="704">
        <v>0</v>
      </c>
      <c r="L18" s="711" t="s">
        <v>856</v>
      </c>
      <c r="M18" s="707">
        <v>0</v>
      </c>
      <c r="N18" s="707">
        <v>0</v>
      </c>
      <c r="O18" s="707">
        <v>0</v>
      </c>
      <c r="P18" s="707">
        <v>0</v>
      </c>
      <c r="Q18" s="780">
        <f>$C$51</f>
        <v>281.88775510204079</v>
      </c>
      <c r="R18" s="710">
        <f>$G$51</f>
        <v>0.26887755102040817</v>
      </c>
      <c r="S18" s="912">
        <v>0</v>
      </c>
      <c r="T18" s="913" t="s">
        <v>870</v>
      </c>
      <c r="U18" s="712"/>
      <c r="V18" s="713">
        <v>1</v>
      </c>
      <c r="W18" s="661">
        <v>0</v>
      </c>
      <c r="X18" s="661">
        <v>0</v>
      </c>
      <c r="Y18" s="661">
        <v>0</v>
      </c>
      <c r="Z18" s="661">
        <v>0</v>
      </c>
      <c r="AA18" s="661">
        <v>0</v>
      </c>
      <c r="AB18" s="661">
        <v>0</v>
      </c>
      <c r="AC18" s="714">
        <f>AC8*0.5</f>
        <v>0</v>
      </c>
      <c r="AD18" s="773">
        <f t="shared" ref="AD18:AI18" si="161">AD8*0.5</f>
        <v>0</v>
      </c>
      <c r="AE18" s="773">
        <f t="shared" si="161"/>
        <v>0</v>
      </c>
      <c r="AF18" s="773">
        <f t="shared" si="161"/>
        <v>30</v>
      </c>
      <c r="AG18" s="773">
        <f t="shared" si="161"/>
        <v>35</v>
      </c>
      <c r="AH18" s="773">
        <f t="shared" si="161"/>
        <v>40</v>
      </c>
      <c r="AI18" s="773">
        <f t="shared" si="161"/>
        <v>40</v>
      </c>
      <c r="AJ18" s="914">
        <f t="shared" ref="AJ18" si="162">AJ8*0.5</f>
        <v>40</v>
      </c>
      <c r="AK18" s="711" t="s">
        <v>384</v>
      </c>
      <c r="AL18" s="711" t="s">
        <v>375</v>
      </c>
      <c r="AM18" s="711" t="s">
        <v>377</v>
      </c>
      <c r="AN18" s="711" t="s">
        <v>871</v>
      </c>
      <c r="AO18" s="711" t="s">
        <v>1</v>
      </c>
      <c r="AP18" s="711" t="s">
        <v>378</v>
      </c>
      <c r="AQ18" s="711" t="s">
        <v>378</v>
      </c>
      <c r="AR18" s="711" t="s">
        <v>378</v>
      </c>
      <c r="AS18" s="715" t="s">
        <v>872</v>
      </c>
      <c r="AT18" s="715" t="s">
        <v>380</v>
      </c>
      <c r="AU18" s="715" t="s">
        <v>381</v>
      </c>
      <c r="AV18" s="915">
        <v>3</v>
      </c>
      <c r="AW18" s="661"/>
      <c r="AX18" s="711" t="s">
        <v>873</v>
      </c>
      <c r="AY18" s="716">
        <v>1</v>
      </c>
      <c r="AZ18" s="716">
        <v>1</v>
      </c>
      <c r="BA18" s="717">
        <v>0</v>
      </c>
      <c r="BB18" s="721">
        <f t="shared" si="139"/>
        <v>0</v>
      </c>
      <c r="BC18" s="499">
        <f t="shared" si="140"/>
        <v>0</v>
      </c>
      <c r="BD18" s="499">
        <f t="shared" si="140"/>
        <v>0</v>
      </c>
      <c r="BE18" s="499">
        <f>BB18</f>
        <v>0</v>
      </c>
      <c r="BF18" s="499">
        <f t="shared" si="141"/>
        <v>0</v>
      </c>
      <c r="BG18" s="499">
        <f t="shared" si="141"/>
        <v>0</v>
      </c>
      <c r="BH18" s="719">
        <f t="shared" si="141"/>
        <v>0</v>
      </c>
      <c r="BI18" s="499">
        <f t="shared" si="142"/>
        <v>0</v>
      </c>
      <c r="BJ18" s="499">
        <f t="shared" si="143"/>
        <v>0</v>
      </c>
      <c r="BK18" s="499">
        <f t="shared" si="143"/>
        <v>0</v>
      </c>
      <c r="BL18" s="499">
        <f t="shared" si="143"/>
        <v>0</v>
      </c>
      <c r="BM18" s="499">
        <f t="shared" si="143"/>
        <v>0</v>
      </c>
      <c r="BN18" s="499">
        <f t="shared" si="143"/>
        <v>0</v>
      </c>
      <c r="BO18" s="719">
        <f t="shared" si="143"/>
        <v>0</v>
      </c>
      <c r="BP18" s="499">
        <f t="shared" si="144"/>
        <v>0</v>
      </c>
      <c r="BQ18" s="499">
        <f t="shared" si="145"/>
        <v>0</v>
      </c>
      <c r="BR18" s="499">
        <f t="shared" si="145"/>
        <v>0</v>
      </c>
      <c r="BS18" s="499">
        <f t="shared" si="145"/>
        <v>0</v>
      </c>
      <c r="BT18" s="499">
        <f t="shared" si="145"/>
        <v>0</v>
      </c>
      <c r="BU18" s="499">
        <f t="shared" si="145"/>
        <v>0</v>
      </c>
      <c r="BV18" s="720">
        <f t="shared" si="145"/>
        <v>0</v>
      </c>
      <c r="BW18" s="916">
        <f t="shared" si="146"/>
        <v>0</v>
      </c>
      <c r="BX18" s="720">
        <f t="shared" si="146"/>
        <v>0</v>
      </c>
      <c r="BY18" s="720">
        <f t="shared" si="146"/>
        <v>0</v>
      </c>
      <c r="BZ18" s="720">
        <f t="shared" si="146"/>
        <v>0</v>
      </c>
      <c r="CA18" s="720">
        <f t="shared" si="146"/>
        <v>0</v>
      </c>
      <c r="CB18" s="720">
        <f t="shared" si="146"/>
        <v>0</v>
      </c>
      <c r="CC18" s="719">
        <f t="shared" si="146"/>
        <v>0</v>
      </c>
      <c r="CD18" s="722">
        <f t="shared" si="147"/>
        <v>281.88775510204079</v>
      </c>
      <c r="CE18" s="511">
        <f t="shared" si="148"/>
        <v>281.88775510204079</v>
      </c>
      <c r="CF18" s="511">
        <f t="shared" si="148"/>
        <v>281.88775510204079</v>
      </c>
      <c r="CG18" s="511">
        <f t="shared" si="148"/>
        <v>281.88775510204079</v>
      </c>
      <c r="CH18" s="511">
        <f t="shared" si="148"/>
        <v>281.88775510204079</v>
      </c>
      <c r="CI18" s="511">
        <f t="shared" si="148"/>
        <v>281.88775510204079</v>
      </c>
      <c r="CJ18" s="723">
        <f t="shared" si="148"/>
        <v>281.88775510204079</v>
      </c>
      <c r="CK18" s="722">
        <f t="shared" si="149"/>
        <v>0.26887755102040817</v>
      </c>
      <c r="CL18" s="511">
        <f t="shared" si="150"/>
        <v>0.26887755102040817</v>
      </c>
      <c r="CM18" s="511">
        <f t="shared" si="150"/>
        <v>0.26887755102040817</v>
      </c>
      <c r="CN18" s="511">
        <f t="shared" si="150"/>
        <v>0.26887755102040817</v>
      </c>
      <c r="CO18" s="511">
        <f t="shared" si="150"/>
        <v>0.26887755102040817</v>
      </c>
      <c r="CP18" s="511">
        <f t="shared" si="150"/>
        <v>0.26887755102040817</v>
      </c>
      <c r="CQ18" s="723">
        <f t="shared" si="150"/>
        <v>0.26887755102040817</v>
      </c>
      <c r="CR18" s="722">
        <f t="shared" si="151"/>
        <v>0</v>
      </c>
      <c r="CS18" s="511">
        <f t="shared" si="152"/>
        <v>0</v>
      </c>
      <c r="CT18" s="511">
        <f t="shared" si="152"/>
        <v>0</v>
      </c>
      <c r="CU18" s="511">
        <f t="shared" si="152"/>
        <v>0</v>
      </c>
      <c r="CV18" s="511">
        <f t="shared" si="152"/>
        <v>0</v>
      </c>
      <c r="CW18" s="511">
        <f t="shared" si="152"/>
        <v>0</v>
      </c>
      <c r="CX18" s="723">
        <f t="shared" si="152"/>
        <v>0</v>
      </c>
      <c r="CY18" s="724">
        <f t="shared" si="129"/>
        <v>0</v>
      </c>
      <c r="CZ18" s="508">
        <f t="shared" si="129"/>
        <v>0</v>
      </c>
      <c r="DA18" s="508">
        <f t="shared" si="129"/>
        <v>0</v>
      </c>
      <c r="DB18" s="508">
        <f t="shared" si="129"/>
        <v>0</v>
      </c>
      <c r="DC18" s="508">
        <f t="shared" si="129"/>
        <v>0</v>
      </c>
      <c r="DD18" s="508">
        <f t="shared" si="129"/>
        <v>0</v>
      </c>
      <c r="DE18" s="725">
        <f t="shared" si="129"/>
        <v>0</v>
      </c>
      <c r="DF18" s="724">
        <f t="shared" si="130"/>
        <v>0</v>
      </c>
      <c r="DG18" s="508">
        <f t="shared" si="130"/>
        <v>0</v>
      </c>
      <c r="DH18" s="508">
        <f t="shared" si="130"/>
        <v>0</v>
      </c>
      <c r="DI18" s="508">
        <f t="shared" si="130"/>
        <v>0</v>
      </c>
      <c r="DJ18" s="508">
        <f t="shared" si="130"/>
        <v>0</v>
      </c>
      <c r="DK18" s="508">
        <f t="shared" si="130"/>
        <v>0</v>
      </c>
      <c r="DL18" s="725">
        <f t="shared" si="130"/>
        <v>0</v>
      </c>
      <c r="DM18" s="917">
        <f t="shared" si="131"/>
        <v>0</v>
      </c>
      <c r="DN18" s="728">
        <f t="shared" si="131"/>
        <v>0</v>
      </c>
      <c r="DO18" s="728">
        <f t="shared" si="131"/>
        <v>0</v>
      </c>
      <c r="DP18" s="728">
        <f t="shared" si="131"/>
        <v>0</v>
      </c>
      <c r="DQ18" s="728">
        <f t="shared" si="131"/>
        <v>0</v>
      </c>
      <c r="DR18" s="728">
        <f t="shared" si="131"/>
        <v>0</v>
      </c>
      <c r="DS18" s="918">
        <f t="shared" si="131"/>
        <v>0</v>
      </c>
      <c r="DT18" s="724">
        <f t="shared" si="132"/>
        <v>0</v>
      </c>
      <c r="DU18" s="508">
        <f t="shared" si="132"/>
        <v>0</v>
      </c>
      <c r="DV18" s="508">
        <f t="shared" si="132"/>
        <v>0</v>
      </c>
      <c r="DW18" s="508">
        <f t="shared" si="132"/>
        <v>0</v>
      </c>
      <c r="DX18" s="508">
        <f t="shared" si="132"/>
        <v>0</v>
      </c>
      <c r="DY18" s="508">
        <f t="shared" si="132"/>
        <v>0</v>
      </c>
      <c r="DZ18" s="725">
        <f t="shared" si="132"/>
        <v>0</v>
      </c>
      <c r="EA18" s="919">
        <f t="shared" si="133"/>
        <v>0</v>
      </c>
      <c r="EB18" s="778">
        <f t="shared" si="133"/>
        <v>0</v>
      </c>
      <c r="EC18" s="778">
        <f t="shared" si="133"/>
        <v>8456.6326530612241</v>
      </c>
      <c r="ED18" s="778">
        <f t="shared" si="133"/>
        <v>9866.0714285714275</v>
      </c>
      <c r="EE18" s="778">
        <f t="shared" si="133"/>
        <v>11275.510204081631</v>
      </c>
      <c r="EF18" s="778">
        <f t="shared" si="133"/>
        <v>11275.510204081631</v>
      </c>
      <c r="EG18" s="920">
        <f t="shared" si="133"/>
        <v>11275.510204081631</v>
      </c>
      <c r="EH18" s="722">
        <f t="shared" si="134"/>
        <v>0</v>
      </c>
      <c r="EI18" s="511">
        <f t="shared" si="134"/>
        <v>0</v>
      </c>
      <c r="EJ18" s="511">
        <f t="shared" si="134"/>
        <v>8.0663265306122458</v>
      </c>
      <c r="EK18" s="511">
        <f t="shared" si="134"/>
        <v>9.4107142857142865</v>
      </c>
      <c r="EL18" s="511">
        <f t="shared" si="134"/>
        <v>10.755102040816327</v>
      </c>
      <c r="EM18" s="511">
        <f t="shared" si="134"/>
        <v>10.755102040816327</v>
      </c>
      <c r="EN18" s="723">
        <f t="shared" si="134"/>
        <v>10.755102040816327</v>
      </c>
      <c r="EO18" s="722">
        <f t="shared" si="135"/>
        <v>0</v>
      </c>
      <c r="EP18" s="511">
        <f t="shared" si="135"/>
        <v>0</v>
      </c>
      <c r="EQ18" s="511">
        <f t="shared" si="135"/>
        <v>0</v>
      </c>
      <c r="ER18" s="511">
        <f t="shared" si="135"/>
        <v>0</v>
      </c>
      <c r="ES18" s="511">
        <f t="shared" si="135"/>
        <v>0</v>
      </c>
      <c r="ET18" s="511">
        <f t="shared" si="135"/>
        <v>0</v>
      </c>
      <c r="EU18" s="723">
        <f t="shared" si="135"/>
        <v>0</v>
      </c>
      <c r="EV18" s="921">
        <f t="shared" si="153"/>
        <v>185</v>
      </c>
      <c r="EW18" s="922">
        <f t="shared" si="154"/>
        <v>0</v>
      </c>
      <c r="EX18" s="922">
        <f t="shared" si="155"/>
        <v>0</v>
      </c>
      <c r="EY18" s="922">
        <f t="shared" si="156"/>
        <v>0</v>
      </c>
      <c r="EZ18" s="922">
        <f t="shared" si="157"/>
        <v>0</v>
      </c>
      <c r="FA18" s="923">
        <f t="shared" si="158"/>
        <v>52149.234693877544</v>
      </c>
      <c r="FB18" s="923">
        <f t="shared" si="159"/>
        <v>49.742346938775512</v>
      </c>
      <c r="FC18" s="924">
        <f t="shared" si="160"/>
        <v>0</v>
      </c>
    </row>
    <row r="19" spans="1:159" s="10" customFormat="1" ht="12.75" customHeight="1">
      <c r="A19" s="661" t="s">
        <v>180</v>
      </c>
      <c r="B19" s="663" t="s">
        <v>886</v>
      </c>
      <c r="C19" s="663" t="s">
        <v>875</v>
      </c>
      <c r="D19" s="663" t="s">
        <v>876</v>
      </c>
      <c r="E19" s="663" t="s">
        <v>331</v>
      </c>
      <c r="F19" s="704" t="s">
        <v>402</v>
      </c>
      <c r="G19" s="704">
        <v>0</v>
      </c>
      <c r="H19" s="704">
        <v>0</v>
      </c>
      <c r="I19" s="704">
        <f t="shared" si="136"/>
        <v>0</v>
      </c>
      <c r="J19" s="704">
        <v>0</v>
      </c>
      <c r="K19" s="704">
        <v>0</v>
      </c>
      <c r="L19" s="711" t="s">
        <v>856</v>
      </c>
      <c r="M19" s="707">
        <v>0</v>
      </c>
      <c r="N19" s="707">
        <v>0</v>
      </c>
      <c r="O19" s="707">
        <v>0</v>
      </c>
      <c r="P19" s="707">
        <v>0</v>
      </c>
      <c r="Q19" s="780">
        <f>$C$72</f>
        <v>858</v>
      </c>
      <c r="R19" s="710">
        <f>$G$72</f>
        <v>0.19400000000000001</v>
      </c>
      <c r="S19" s="912">
        <v>0</v>
      </c>
      <c r="T19" s="913" t="s">
        <v>870</v>
      </c>
      <c r="U19" s="712"/>
      <c r="V19" s="713">
        <v>1</v>
      </c>
      <c r="W19" s="661">
        <v>0</v>
      </c>
      <c r="X19" s="661">
        <v>0</v>
      </c>
      <c r="Y19" s="661">
        <v>0</v>
      </c>
      <c r="Z19" s="661">
        <v>0</v>
      </c>
      <c r="AA19" s="661">
        <v>0</v>
      </c>
      <c r="AB19" s="661">
        <v>0</v>
      </c>
      <c r="AC19" s="714">
        <f t="shared" si="137"/>
        <v>0</v>
      </c>
      <c r="AD19" s="773">
        <f t="shared" si="137"/>
        <v>0</v>
      </c>
      <c r="AE19" s="773">
        <f t="shared" si="137"/>
        <v>0</v>
      </c>
      <c r="AF19" s="773">
        <f t="shared" si="137"/>
        <v>15</v>
      </c>
      <c r="AG19" s="773">
        <f t="shared" si="137"/>
        <v>17.5</v>
      </c>
      <c r="AH19" s="773">
        <f t="shared" si="137"/>
        <v>20</v>
      </c>
      <c r="AI19" s="773">
        <f t="shared" si="137"/>
        <v>20</v>
      </c>
      <c r="AJ19" s="914">
        <f t="shared" ref="AJ19" si="163">AJ9*0.5</f>
        <v>20</v>
      </c>
      <c r="AK19" s="711" t="s">
        <v>384</v>
      </c>
      <c r="AL19" s="711" t="s">
        <v>375</v>
      </c>
      <c r="AM19" s="711" t="s">
        <v>377</v>
      </c>
      <c r="AN19" s="711" t="s">
        <v>877</v>
      </c>
      <c r="AO19" s="711" t="s">
        <v>1</v>
      </c>
      <c r="AP19" s="711" t="s">
        <v>378</v>
      </c>
      <c r="AQ19" s="711" t="s">
        <v>378</v>
      </c>
      <c r="AR19" s="711" t="s">
        <v>378</v>
      </c>
      <c r="AS19" s="715" t="s">
        <v>872</v>
      </c>
      <c r="AT19" s="715" t="s">
        <v>380</v>
      </c>
      <c r="AU19" s="715" t="s">
        <v>381</v>
      </c>
      <c r="AV19" s="661">
        <v>3</v>
      </c>
      <c r="AW19" s="661"/>
      <c r="AX19" s="711" t="s">
        <v>878</v>
      </c>
      <c r="AY19" s="716">
        <v>1</v>
      </c>
      <c r="AZ19" s="716">
        <v>1</v>
      </c>
      <c r="BA19" s="717">
        <v>0</v>
      </c>
      <c r="BB19" s="721">
        <f t="shared" si="139"/>
        <v>0</v>
      </c>
      <c r="BC19" s="499">
        <f t="shared" si="140"/>
        <v>0</v>
      </c>
      <c r="BD19" s="499">
        <f t="shared" si="140"/>
        <v>0</v>
      </c>
      <c r="BE19" s="499">
        <f>BB19</f>
        <v>0</v>
      </c>
      <c r="BF19" s="499">
        <f t="shared" si="141"/>
        <v>0</v>
      </c>
      <c r="BG19" s="499">
        <f t="shared" si="141"/>
        <v>0</v>
      </c>
      <c r="BH19" s="719">
        <f t="shared" si="141"/>
        <v>0</v>
      </c>
      <c r="BI19" s="499">
        <f t="shared" si="142"/>
        <v>0</v>
      </c>
      <c r="BJ19" s="499">
        <f t="shared" si="143"/>
        <v>0</v>
      </c>
      <c r="BK19" s="499">
        <f t="shared" si="143"/>
        <v>0</v>
      </c>
      <c r="BL19" s="499">
        <f t="shared" si="143"/>
        <v>0</v>
      </c>
      <c r="BM19" s="499">
        <f t="shared" si="143"/>
        <v>0</v>
      </c>
      <c r="BN19" s="499">
        <f t="shared" si="143"/>
        <v>0</v>
      </c>
      <c r="BO19" s="719">
        <f t="shared" si="143"/>
        <v>0</v>
      </c>
      <c r="BP19" s="499">
        <f t="shared" si="144"/>
        <v>0</v>
      </c>
      <c r="BQ19" s="499">
        <f t="shared" si="145"/>
        <v>0</v>
      </c>
      <c r="BR19" s="499">
        <f t="shared" si="145"/>
        <v>0</v>
      </c>
      <c r="BS19" s="499">
        <f t="shared" si="145"/>
        <v>0</v>
      </c>
      <c r="BT19" s="499">
        <f t="shared" si="145"/>
        <v>0</v>
      </c>
      <c r="BU19" s="499">
        <f t="shared" si="145"/>
        <v>0</v>
      </c>
      <c r="BV19" s="720">
        <f t="shared" si="145"/>
        <v>0</v>
      </c>
      <c r="BW19" s="916">
        <f t="shared" si="146"/>
        <v>0</v>
      </c>
      <c r="BX19" s="720">
        <f t="shared" si="146"/>
        <v>0</v>
      </c>
      <c r="BY19" s="720">
        <f t="shared" si="146"/>
        <v>0</v>
      </c>
      <c r="BZ19" s="720">
        <f t="shared" si="146"/>
        <v>0</v>
      </c>
      <c r="CA19" s="720">
        <f t="shared" si="146"/>
        <v>0</v>
      </c>
      <c r="CB19" s="720">
        <f t="shared" si="146"/>
        <v>0</v>
      </c>
      <c r="CC19" s="719">
        <f t="shared" si="146"/>
        <v>0</v>
      </c>
      <c r="CD19" s="722">
        <f t="shared" si="147"/>
        <v>858</v>
      </c>
      <c r="CE19" s="511">
        <f t="shared" si="148"/>
        <v>858</v>
      </c>
      <c r="CF19" s="511">
        <f t="shared" si="148"/>
        <v>858</v>
      </c>
      <c r="CG19" s="511">
        <f t="shared" si="148"/>
        <v>858</v>
      </c>
      <c r="CH19" s="511">
        <f t="shared" si="148"/>
        <v>858</v>
      </c>
      <c r="CI19" s="511">
        <f t="shared" si="148"/>
        <v>858</v>
      </c>
      <c r="CJ19" s="723">
        <f t="shared" si="148"/>
        <v>858</v>
      </c>
      <c r="CK19" s="722">
        <f t="shared" si="149"/>
        <v>0.19400000000000001</v>
      </c>
      <c r="CL19" s="511">
        <f t="shared" si="150"/>
        <v>0.19400000000000001</v>
      </c>
      <c r="CM19" s="511">
        <f t="shared" si="150"/>
        <v>0.19400000000000001</v>
      </c>
      <c r="CN19" s="511">
        <f t="shared" si="150"/>
        <v>0.19400000000000001</v>
      </c>
      <c r="CO19" s="511">
        <f t="shared" si="150"/>
        <v>0.19400000000000001</v>
      </c>
      <c r="CP19" s="511">
        <f t="shared" si="150"/>
        <v>0.19400000000000001</v>
      </c>
      <c r="CQ19" s="723">
        <f t="shared" si="150"/>
        <v>0.19400000000000001</v>
      </c>
      <c r="CR19" s="722">
        <f t="shared" si="151"/>
        <v>0</v>
      </c>
      <c r="CS19" s="511">
        <f t="shared" si="152"/>
        <v>0</v>
      </c>
      <c r="CT19" s="511">
        <f t="shared" si="152"/>
        <v>0</v>
      </c>
      <c r="CU19" s="511">
        <f t="shared" si="152"/>
        <v>0</v>
      </c>
      <c r="CV19" s="511">
        <f t="shared" si="152"/>
        <v>0</v>
      </c>
      <c r="CW19" s="511">
        <f t="shared" si="152"/>
        <v>0</v>
      </c>
      <c r="CX19" s="723">
        <f t="shared" si="152"/>
        <v>0</v>
      </c>
      <c r="CY19" s="724">
        <f t="shared" si="129"/>
        <v>0</v>
      </c>
      <c r="CZ19" s="508">
        <f t="shared" si="129"/>
        <v>0</v>
      </c>
      <c r="DA19" s="508">
        <f t="shared" si="129"/>
        <v>0</v>
      </c>
      <c r="DB19" s="508">
        <f t="shared" si="129"/>
        <v>0</v>
      </c>
      <c r="DC19" s="508">
        <f t="shared" si="129"/>
        <v>0</v>
      </c>
      <c r="DD19" s="508">
        <f t="shared" si="129"/>
        <v>0</v>
      </c>
      <c r="DE19" s="725">
        <f t="shared" si="129"/>
        <v>0</v>
      </c>
      <c r="DF19" s="724">
        <f t="shared" si="130"/>
        <v>0</v>
      </c>
      <c r="DG19" s="508">
        <f t="shared" si="130"/>
        <v>0</v>
      </c>
      <c r="DH19" s="508">
        <f t="shared" si="130"/>
        <v>0</v>
      </c>
      <c r="DI19" s="508">
        <f t="shared" si="130"/>
        <v>0</v>
      </c>
      <c r="DJ19" s="508">
        <f t="shared" si="130"/>
        <v>0</v>
      </c>
      <c r="DK19" s="508">
        <f t="shared" si="130"/>
        <v>0</v>
      </c>
      <c r="DL19" s="725">
        <f t="shared" si="130"/>
        <v>0</v>
      </c>
      <c r="DM19" s="917">
        <f t="shared" si="131"/>
        <v>0</v>
      </c>
      <c r="DN19" s="728">
        <f t="shared" si="131"/>
        <v>0</v>
      </c>
      <c r="DO19" s="728">
        <f t="shared" si="131"/>
        <v>0</v>
      </c>
      <c r="DP19" s="728">
        <f t="shared" si="131"/>
        <v>0</v>
      </c>
      <c r="DQ19" s="728">
        <f t="shared" si="131"/>
        <v>0</v>
      </c>
      <c r="DR19" s="728">
        <f t="shared" si="131"/>
        <v>0</v>
      </c>
      <c r="DS19" s="918">
        <f t="shared" si="131"/>
        <v>0</v>
      </c>
      <c r="DT19" s="724">
        <f t="shared" si="132"/>
        <v>0</v>
      </c>
      <c r="DU19" s="508">
        <f t="shared" si="132"/>
        <v>0</v>
      </c>
      <c r="DV19" s="508">
        <f t="shared" si="132"/>
        <v>0</v>
      </c>
      <c r="DW19" s="508">
        <f t="shared" si="132"/>
        <v>0</v>
      </c>
      <c r="DX19" s="508">
        <f t="shared" si="132"/>
        <v>0</v>
      </c>
      <c r="DY19" s="508">
        <f t="shared" si="132"/>
        <v>0</v>
      </c>
      <c r="DZ19" s="725">
        <f t="shared" si="132"/>
        <v>0</v>
      </c>
      <c r="EA19" s="919">
        <f t="shared" si="133"/>
        <v>0</v>
      </c>
      <c r="EB19" s="778">
        <f t="shared" si="133"/>
        <v>0</v>
      </c>
      <c r="EC19" s="778">
        <f t="shared" si="133"/>
        <v>12870</v>
      </c>
      <c r="ED19" s="778">
        <f t="shared" si="133"/>
        <v>15015</v>
      </c>
      <c r="EE19" s="778">
        <f t="shared" si="133"/>
        <v>17160</v>
      </c>
      <c r="EF19" s="778">
        <f t="shared" si="133"/>
        <v>17160</v>
      </c>
      <c r="EG19" s="920">
        <f t="shared" si="133"/>
        <v>17160</v>
      </c>
      <c r="EH19" s="722">
        <f t="shared" si="134"/>
        <v>0</v>
      </c>
      <c r="EI19" s="511">
        <f t="shared" si="134"/>
        <v>0</v>
      </c>
      <c r="EJ19" s="511">
        <f t="shared" si="134"/>
        <v>2.91</v>
      </c>
      <c r="EK19" s="511">
        <f t="shared" si="134"/>
        <v>3.395</v>
      </c>
      <c r="EL19" s="511">
        <f t="shared" si="134"/>
        <v>3.88</v>
      </c>
      <c r="EM19" s="511">
        <f t="shared" si="134"/>
        <v>3.88</v>
      </c>
      <c r="EN19" s="723">
        <f t="shared" si="134"/>
        <v>3.88</v>
      </c>
      <c r="EO19" s="722">
        <f t="shared" si="135"/>
        <v>0</v>
      </c>
      <c r="EP19" s="511">
        <f t="shared" si="135"/>
        <v>0</v>
      </c>
      <c r="EQ19" s="511">
        <f t="shared" si="135"/>
        <v>0</v>
      </c>
      <c r="ER19" s="511">
        <f t="shared" si="135"/>
        <v>0</v>
      </c>
      <c r="ES19" s="511">
        <f t="shared" si="135"/>
        <v>0</v>
      </c>
      <c r="ET19" s="511">
        <f t="shared" si="135"/>
        <v>0</v>
      </c>
      <c r="EU19" s="723">
        <f t="shared" si="135"/>
        <v>0</v>
      </c>
      <c r="EV19" s="921">
        <f t="shared" si="153"/>
        <v>92.5</v>
      </c>
      <c r="EW19" s="922">
        <f t="shared" si="154"/>
        <v>0</v>
      </c>
      <c r="EX19" s="922">
        <f t="shared" si="155"/>
        <v>0</v>
      </c>
      <c r="EY19" s="922">
        <f t="shared" si="156"/>
        <v>0</v>
      </c>
      <c r="EZ19" s="922">
        <f t="shared" si="157"/>
        <v>0</v>
      </c>
      <c r="FA19" s="923">
        <f t="shared" si="158"/>
        <v>79365</v>
      </c>
      <c r="FB19" s="923">
        <f t="shared" si="159"/>
        <v>17.944999999999997</v>
      </c>
      <c r="FC19" s="924">
        <f t="shared" si="160"/>
        <v>0</v>
      </c>
    </row>
    <row r="20" spans="1:159" s="10" customFormat="1" ht="12.75" customHeight="1" thickBot="1">
      <c r="A20" s="729"/>
      <c r="B20" s="759"/>
      <c r="C20" s="759"/>
      <c r="D20" s="759"/>
      <c r="E20" s="759"/>
      <c r="F20" s="731"/>
      <c r="G20" s="731"/>
      <c r="H20" s="731"/>
      <c r="I20" s="731"/>
      <c r="J20" s="731"/>
      <c r="K20" s="731"/>
      <c r="L20" s="733"/>
      <c r="M20" s="734"/>
      <c r="N20" s="734"/>
      <c r="O20" s="734"/>
      <c r="P20" s="734"/>
      <c r="Q20" s="736"/>
      <c r="R20" s="758"/>
      <c r="S20" s="737"/>
      <c r="T20" s="733"/>
      <c r="U20" s="738"/>
      <c r="V20" s="739"/>
      <c r="W20" s="740"/>
      <c r="X20" s="740"/>
      <c r="Y20" s="740"/>
      <c r="Z20" s="740"/>
      <c r="AA20" s="741"/>
      <c r="AB20" s="741"/>
      <c r="AC20" s="741"/>
      <c r="AD20" s="742"/>
      <c r="AE20" s="742"/>
      <c r="AF20" s="742"/>
      <c r="AG20" s="742"/>
      <c r="AH20" s="742"/>
      <c r="AI20" s="742"/>
      <c r="AJ20" s="742"/>
      <c r="AK20" s="733"/>
      <c r="AL20" s="733"/>
      <c r="AM20" s="733"/>
      <c r="AN20" s="733"/>
      <c r="AO20" s="733"/>
      <c r="AP20" s="733"/>
      <c r="AQ20" s="733"/>
      <c r="AR20" s="733"/>
      <c r="AS20" s="760"/>
      <c r="AT20" s="760"/>
      <c r="AU20" s="743"/>
      <c r="AV20" s="733"/>
      <c r="AW20" s="733"/>
      <c r="AX20" s="733"/>
      <c r="AY20" s="733"/>
      <c r="AZ20" s="733"/>
      <c r="BA20" s="744"/>
      <c r="BB20" s="761"/>
      <c r="BC20" s="762"/>
      <c r="BD20" s="762"/>
      <c r="BE20" s="762"/>
      <c r="BF20" s="762"/>
      <c r="BG20" s="762"/>
      <c r="BH20" s="763"/>
      <c r="BI20" s="762"/>
      <c r="BJ20" s="762"/>
      <c r="BK20" s="762"/>
      <c r="BL20" s="762"/>
      <c r="BM20" s="762"/>
      <c r="BN20" s="762"/>
      <c r="BO20" s="763"/>
      <c r="BP20" s="762"/>
      <c r="BQ20" s="762"/>
      <c r="BR20" s="762"/>
      <c r="BS20" s="762"/>
      <c r="BT20" s="762"/>
      <c r="BU20" s="762"/>
      <c r="BV20" s="765"/>
      <c r="BW20" s="761"/>
      <c r="BX20" s="762"/>
      <c r="BY20" s="762"/>
      <c r="BZ20" s="762"/>
      <c r="CA20" s="762"/>
      <c r="CB20" s="762"/>
      <c r="CC20" s="763"/>
      <c r="CD20" s="488"/>
      <c r="CE20" s="766"/>
      <c r="CF20" s="766"/>
      <c r="CG20" s="766"/>
      <c r="CH20" s="766"/>
      <c r="CI20" s="766"/>
      <c r="CJ20" s="489"/>
      <c r="CK20" s="488"/>
      <c r="CL20" s="766"/>
      <c r="CM20" s="766"/>
      <c r="CN20" s="766"/>
      <c r="CO20" s="766"/>
      <c r="CP20" s="766"/>
      <c r="CQ20" s="489"/>
      <c r="CR20" s="488"/>
      <c r="CS20" s="766"/>
      <c r="CT20" s="766"/>
      <c r="CU20" s="766"/>
      <c r="CV20" s="766"/>
      <c r="CW20" s="766"/>
      <c r="CX20" s="489"/>
      <c r="CY20" s="493"/>
      <c r="CZ20" s="769"/>
      <c r="DA20" s="769"/>
      <c r="DB20" s="769"/>
      <c r="DC20" s="769"/>
      <c r="DD20" s="769"/>
      <c r="DE20" s="494"/>
      <c r="DF20" s="493"/>
      <c r="DG20" s="769"/>
      <c r="DH20" s="769"/>
      <c r="DI20" s="769"/>
      <c r="DJ20" s="769"/>
      <c r="DK20" s="769"/>
      <c r="DL20" s="494"/>
      <c r="DM20" s="770"/>
      <c r="DN20" s="769"/>
      <c r="DO20" s="769"/>
      <c r="DP20" s="769"/>
      <c r="DQ20" s="769"/>
      <c r="DR20" s="769"/>
      <c r="DS20" s="771"/>
      <c r="DT20" s="493"/>
      <c r="DU20" s="769"/>
      <c r="DV20" s="769"/>
      <c r="DW20" s="769"/>
      <c r="DX20" s="769"/>
      <c r="DY20" s="769"/>
      <c r="DZ20" s="494"/>
      <c r="EA20" s="488"/>
      <c r="EB20" s="766"/>
      <c r="EC20" s="766"/>
      <c r="ED20" s="766"/>
      <c r="EE20" s="766"/>
      <c r="EF20" s="766"/>
      <c r="EG20" s="489"/>
      <c r="EH20" s="488"/>
      <c r="EI20" s="766"/>
      <c r="EJ20" s="766"/>
      <c r="EK20" s="766"/>
      <c r="EL20" s="766"/>
      <c r="EM20" s="766"/>
      <c r="EN20" s="489"/>
      <c r="EO20" s="488"/>
      <c r="EP20" s="766"/>
      <c r="EQ20" s="766"/>
      <c r="ER20" s="766"/>
      <c r="ES20" s="766"/>
      <c r="ET20" s="766"/>
      <c r="EU20" s="489"/>
      <c r="EV20" s="515"/>
      <c r="EW20" s="755"/>
      <c r="EX20" s="755"/>
      <c r="EY20" s="755"/>
      <c r="EZ20" s="755"/>
      <c r="FA20" s="756"/>
      <c r="FB20" s="756"/>
      <c r="FC20" s="487"/>
    </row>
    <row r="21" spans="1:159">
      <c r="Z21" s="2"/>
      <c r="AA21" s="2"/>
    </row>
    <row r="22" spans="1:159">
      <c r="A22" s="280"/>
      <c r="B22" s="280"/>
      <c r="Z22" s="2"/>
      <c r="AA22" s="2"/>
      <c r="AF22" s="402"/>
      <c r="AG22" s="402"/>
      <c r="AH22" s="402"/>
      <c r="AI22" s="402"/>
      <c r="AJ22" s="402"/>
    </row>
    <row r="23" spans="1:159">
      <c r="B23" s="280"/>
      <c r="Z23" s="2"/>
      <c r="AA23" s="2"/>
    </row>
    <row r="24" spans="1:159">
      <c r="Z24" s="2"/>
      <c r="AA24" s="2"/>
    </row>
    <row r="25" spans="1:159">
      <c r="Z25" s="2"/>
      <c r="AA25" s="2"/>
    </row>
    <row r="26" spans="1:159">
      <c r="Z26" s="2"/>
      <c r="AA26" s="2"/>
    </row>
    <row r="27" spans="1:159">
      <c r="Z27" s="2"/>
      <c r="AA27" s="2"/>
    </row>
    <row r="28" spans="1:159">
      <c r="Z28" s="2"/>
      <c r="AA28" s="2"/>
    </row>
    <row r="29" spans="1:159">
      <c r="U29" s="548">
        <v>44840</v>
      </c>
      <c r="Z29" s="2"/>
      <c r="AA29" s="2"/>
    </row>
    <row r="30" spans="1:159" ht="14.5">
      <c r="B30" s="17"/>
      <c r="U30" s="18" t="s">
        <v>887</v>
      </c>
      <c r="W30" s="549"/>
      <c r="AC30" s="3">
        <v>0</v>
      </c>
      <c r="AD30" s="3">
        <v>0</v>
      </c>
      <c r="AE30" s="3">
        <v>0</v>
      </c>
      <c r="AF30" s="3">
        <v>6000</v>
      </c>
      <c r="AG30" s="3">
        <v>7000</v>
      </c>
      <c r="AH30" s="3">
        <v>8000</v>
      </c>
      <c r="AI30" s="3">
        <v>8000</v>
      </c>
      <c r="AJ30" s="3">
        <v>8000</v>
      </c>
      <c r="AK30" s="3"/>
    </row>
    <row r="31" spans="1:159" ht="14.5">
      <c r="B31" s="16" t="s">
        <v>888</v>
      </c>
      <c r="F31" s="16" t="s">
        <v>889</v>
      </c>
      <c r="V31" s="2"/>
    </row>
    <row r="32" spans="1:159" ht="14.5">
      <c r="B32" s="17" t="s">
        <v>890</v>
      </c>
      <c r="F32" s="17" t="s">
        <v>891</v>
      </c>
      <c r="U32" s="2" t="s">
        <v>892</v>
      </c>
      <c r="V32" s="2"/>
    </row>
    <row r="33" spans="2:28" ht="14.5">
      <c r="B33" s="17"/>
      <c r="U33" s="203" t="s">
        <v>893</v>
      </c>
      <c r="V33" s="2"/>
    </row>
    <row r="34" spans="2:28" ht="14.5">
      <c r="B34" s="17"/>
      <c r="U34" s="685" t="s">
        <v>864</v>
      </c>
      <c r="V34" s="793">
        <v>0.18567177339358537</v>
      </c>
    </row>
    <row r="35" spans="2:28" ht="14.5">
      <c r="B35" s="17"/>
      <c r="U35" s="685" t="s">
        <v>894</v>
      </c>
      <c r="V35" s="933">
        <v>0.81432822660641468</v>
      </c>
    </row>
    <row r="36" spans="2:28" ht="14.5">
      <c r="B36" s="17"/>
      <c r="U36" s="203"/>
      <c r="V36" s="550"/>
    </row>
    <row r="37" spans="2:28" ht="14.5">
      <c r="B37" s="17"/>
      <c r="U37" s="18" t="s">
        <v>895</v>
      </c>
    </row>
    <row r="38" spans="2:28" ht="14.5">
      <c r="B38" s="17"/>
      <c r="U38" s="18" t="s">
        <v>896</v>
      </c>
    </row>
    <row r="39" spans="2:28" ht="14.5">
      <c r="B39" s="17"/>
      <c r="U39" s="787">
        <v>2023</v>
      </c>
      <c r="V39" s="787">
        <v>2024</v>
      </c>
      <c r="W39" s="787">
        <v>2025</v>
      </c>
      <c r="X39" s="787">
        <v>2026</v>
      </c>
      <c r="Y39" s="787">
        <v>2027</v>
      </c>
      <c r="Z39" s="787">
        <v>2028</v>
      </c>
      <c r="AA39" s="787">
        <v>2029</v>
      </c>
      <c r="AB39" s="787">
        <v>2030</v>
      </c>
    </row>
    <row r="40" spans="2:28" ht="14.5">
      <c r="B40" s="16"/>
      <c r="U40" s="787">
        <v>0</v>
      </c>
      <c r="V40" s="787">
        <v>0</v>
      </c>
      <c r="W40" s="787">
        <v>0</v>
      </c>
      <c r="X40" s="787">
        <v>6000</v>
      </c>
      <c r="Y40" s="787">
        <v>7000</v>
      </c>
      <c r="Z40" s="787">
        <v>8000</v>
      </c>
      <c r="AA40" s="787">
        <v>8000</v>
      </c>
      <c r="AB40" s="787">
        <v>8000</v>
      </c>
    </row>
    <row r="41" spans="2:28" ht="14.5">
      <c r="B41" s="17"/>
    </row>
    <row r="42" spans="2:28" ht="14.5">
      <c r="B42" s="16"/>
      <c r="U42" s="18" t="s">
        <v>897</v>
      </c>
    </row>
    <row r="43" spans="2:28" ht="14.5">
      <c r="B43" s="17"/>
      <c r="U43" s="551">
        <v>0.01</v>
      </c>
      <c r="V43" s="18" t="s">
        <v>898</v>
      </c>
    </row>
    <row r="44" spans="2:28" ht="14.5">
      <c r="B44" s="17"/>
      <c r="U44" s="18" t="s">
        <v>899</v>
      </c>
    </row>
    <row r="45" spans="2:28" ht="14.5">
      <c r="B45" s="17"/>
      <c r="U45" s="549">
        <v>5.0000000000000001E-3</v>
      </c>
      <c r="V45" s="18" t="s">
        <v>898</v>
      </c>
    </row>
    <row r="46" spans="2:28" ht="14.5">
      <c r="B46" s="17"/>
    </row>
    <row r="47" spans="2:28" ht="14.5">
      <c r="B47" s="17"/>
    </row>
    <row r="48" spans="2:28" ht="14.5">
      <c r="B48" s="17" t="s">
        <v>900</v>
      </c>
      <c r="C48" s="17">
        <v>325</v>
      </c>
      <c r="F48" s="17" t="s">
        <v>901</v>
      </c>
      <c r="G48" s="17">
        <v>0.31</v>
      </c>
    </row>
    <row r="49" spans="2:7" ht="14.5">
      <c r="B49" s="17" t="s">
        <v>902</v>
      </c>
      <c r="C49" s="17">
        <v>8500</v>
      </c>
      <c r="F49" s="17" t="s">
        <v>902</v>
      </c>
      <c r="G49" s="17">
        <v>8500</v>
      </c>
    </row>
    <row r="50" spans="2:7" ht="15" thickBot="1">
      <c r="B50" s="17" t="s">
        <v>903</v>
      </c>
      <c r="C50" s="17">
        <v>9.8000000000000007</v>
      </c>
      <c r="F50" s="17" t="s">
        <v>903</v>
      </c>
      <c r="G50" s="17">
        <v>9.8000000000000007</v>
      </c>
    </row>
    <row r="51" spans="2:7" ht="15" thickBot="1">
      <c r="B51" s="146" t="s">
        <v>904</v>
      </c>
      <c r="C51" s="147">
        <f>(C48*C49*(1/C50))/1000</f>
        <v>281.88775510204079</v>
      </c>
      <c r="F51" s="146" t="s">
        <v>905</v>
      </c>
      <c r="G51" s="147">
        <f>G49*(1/G50)/1000*G48</f>
        <v>0.26887755102040817</v>
      </c>
    </row>
    <row r="54" spans="2:7" ht="14.5">
      <c r="B54" s="16" t="s">
        <v>906</v>
      </c>
      <c r="F54" s="16" t="s">
        <v>907</v>
      </c>
    </row>
    <row r="55" spans="2:7" ht="14.5">
      <c r="B55" s="17" t="s">
        <v>908</v>
      </c>
      <c r="F55" s="17" t="s">
        <v>909</v>
      </c>
    </row>
    <row r="56" spans="2:7" ht="14.5">
      <c r="B56" s="17"/>
    </row>
    <row r="57" spans="2:7" ht="14.5">
      <c r="B57" s="17"/>
    </row>
    <row r="58" spans="2:7" ht="14.5">
      <c r="B58" s="17"/>
    </row>
    <row r="59" spans="2:7" ht="14.5">
      <c r="B59" s="17"/>
    </row>
    <row r="60" spans="2:7" ht="14.5">
      <c r="B60" s="17"/>
    </row>
    <row r="61" spans="2:7" ht="14.5">
      <c r="B61" s="17"/>
    </row>
    <row r="62" spans="2:7" ht="14.5">
      <c r="B62" s="17"/>
    </row>
    <row r="63" spans="2:7" ht="14.5">
      <c r="B63" s="16"/>
    </row>
    <row r="64" spans="2:7" ht="14.5">
      <c r="B64" s="17"/>
    </row>
    <row r="65" spans="2:7" ht="14.5">
      <c r="B65" s="17"/>
    </row>
    <row r="66" spans="2:7" ht="14.5">
      <c r="B66" s="17"/>
    </row>
    <row r="67" spans="2:7" ht="14.5">
      <c r="B67" s="16"/>
    </row>
    <row r="68" spans="2:7" ht="14.5">
      <c r="B68" s="17"/>
    </row>
    <row r="69" spans="2:7" ht="14.5">
      <c r="B69" s="17"/>
    </row>
    <row r="70" spans="2:7" ht="14.5">
      <c r="B70" s="17"/>
    </row>
    <row r="71" spans="2:7" ht="14.5">
      <c r="B71" s="17"/>
    </row>
    <row r="72" spans="2:7" ht="58">
      <c r="B72" s="148" t="s">
        <v>910</v>
      </c>
      <c r="C72" s="148">
        <v>858</v>
      </c>
      <c r="F72" s="148" t="s">
        <v>911</v>
      </c>
      <c r="G72" s="148">
        <v>0.19400000000000001</v>
      </c>
    </row>
    <row r="73" spans="2:7" ht="14.5">
      <c r="B73" s="17"/>
    </row>
    <row r="74" spans="2:7" ht="14.5">
      <c r="B74" s="17"/>
    </row>
  </sheetData>
  <autoFilter ref="A5:ER5" xr:uid="{00000000-0009-0000-0000-000008000000}"/>
  <mergeCells count="14">
    <mergeCell ref="BB2:CC2"/>
    <mergeCell ref="EH2:EN2"/>
    <mergeCell ref="EO2:EU2"/>
    <mergeCell ref="CR2:CX2"/>
    <mergeCell ref="CK2:CQ2"/>
    <mergeCell ref="CD2:CJ2"/>
    <mergeCell ref="CY2:DZ2"/>
    <mergeCell ref="EA2:EG2"/>
    <mergeCell ref="EV4:FC4"/>
    <mergeCell ref="F4:P4"/>
    <mergeCell ref="Q4:T4"/>
    <mergeCell ref="U4:AG4"/>
    <mergeCell ref="AK4:AX4"/>
    <mergeCell ref="AZ4:BA4"/>
  </mergeCells>
  <dataValidations count="1">
    <dataValidation type="list" allowBlank="1" showInputMessage="1" showErrorMessage="1" sqref="AS11:AU14 AS6:AU9 AS16:AU19" xr:uid="{914070BD-93D7-4DA5-8994-A432463F9FA0}">
      <formula1>#REF!</formula1>
    </dataValidation>
  </dataValidations>
  <pageMargins left="0.7" right="0.7" top="0.75" bottom="0.75" header="0.3" footer="0.3"/>
  <pageSetup orientation="portrait" r:id="rId1"/>
  <headerFooter>
    <oddFooter>&amp;L&amp;1#&amp;"Calibri"&amp;14&amp;K000000Business Use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U k / S i t m m / 2 m A A A A + A A A A B I A H A B D b 2 5 m a W c v U G F j a 2 F n Z S 5 4 b W w g o h g A K K A U A A A A A A A A A A A A A A A A A A A A A A A A A A A A h Y 8 x D o I w G E a v Q r r T l p a o I T 9 l c J X E h G h c G 6 z Q C M X Q Y r m b g 0 f y C p I o 6 u b 4 v b z h f Y / b H b K x b Y K r 6 q 3 u T I o i T F G g T N k d t a l S N L h T u E K Z g K 0 s z 7 J S w S Q b m 4 z 2 m K L a u U t C i P c e e 4 6 7 v i K M 0 o g c 8 k 1 R 1 q q V 6 C P r / 3 K o j X X S l A o J 2 L 9 i B M M 8 x j F f M h w t O J A Z Q 6 7 N V 2 F T M a Z A f i C s h 8 Y N v R L K h L s C y D y B v F + I J 1 B L A w Q U A A I A C A D 5 S T 9 K 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k / S i i K R 7 g O A A A A E Q A A A B M A H A B G b 3 J t d W x h c y 9 T Z W N 0 a W 9 u M S 5 t I K I Y A C i g F A A A A A A A A A A A A A A A A A A A A A A A A A A A A C t O T S 7 J z M 9 T C I b Q h t Y A U E s B A i 0 A F A A C A A g A + U k / S i t m m / 2 m A A A A + A A A A B I A A A A A A A A A A A A A A A A A A A A A A E N v b m Z p Z y 9 Q Y W N r Y W d l L n h t b F B L A Q I t A B Q A A g A I A P l J P 0 o P y u m r p A A A A O k A A A A T A A A A A A A A A A A A A A A A A P I A A A B b Q 2 9 u d G V u d F 9 U e X B l c 1 0 u e G 1 s U E s B A i 0 A F A A C A A g A + U k / S 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5 r z u e z 7 u J A l d c Q b B 0 P 9 z o A A A A A A g A A A A A A A 2 Y A A M A A A A A Q A A A A p x / Z v 4 O 9 g m z 3 g i U d 1 i 4 C Y A A A A A A E g A A A o A A A A B A A A A D q h 3 Z 3 i 1 A g / 9 8 5 w 6 4 R A d s N U A A A A L Q J V a m 8 E Y 0 5 Q a K H 0 r n e c t d k M f 7 4 O c J e 4 o w W e l f S U 1 u s w p L E F t N o T q x 7 u Z d u e f y O g L S f 6 x T f 4 V j U i 4 M t O C i P s z q C J w O 5 6 u O h C 7 2 M X z L h n f l 0 F A A A A H M O k Z W 4 + F D e / 9 K V a R V S x X 7 e D x m S < / 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59d1c9a-4b33-4de5-87a1-41e178649937" xsi:nil="true"/>
    <lcf76f155ced4ddcb4097134ff3c332f xmlns="166e7583-8208-4572-8cf2-c7f87f8406c6">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02D7A589371CA45A23A81589450A046" ma:contentTypeVersion="11" ma:contentTypeDescription="Create a new document." ma:contentTypeScope="" ma:versionID="40fdcd57197cdc76d1a492ac225001bb">
  <xsd:schema xmlns:xsd="http://www.w3.org/2001/XMLSchema" xmlns:xs="http://www.w3.org/2001/XMLSchema" xmlns:p="http://schemas.microsoft.com/office/2006/metadata/properties" xmlns:ns2="166e7583-8208-4572-8cf2-c7f87f8406c6" xmlns:ns3="859d1c9a-4b33-4de5-87a1-41e178649937" targetNamespace="http://schemas.microsoft.com/office/2006/metadata/properties" ma:root="true" ma:fieldsID="fe2540102dcf61a26f18bad35174cb76" ns2:_="" ns3:_="">
    <xsd:import namespace="166e7583-8208-4572-8cf2-c7f87f8406c6"/>
    <xsd:import namespace="859d1c9a-4b33-4de5-87a1-41e17864993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6e7583-8208-4572-8cf2-c7f87f8406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9c83298-ab33-4bcc-aefe-996cd4cca3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59d1c9a-4b33-4de5-87a1-41e17864993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f2bacf4-bf87-45c5-9603-7fec0faa27e0}" ma:internalName="TaxCatchAll" ma:showField="CatchAllData" ma:web="189f98db-a58d-4030-9fae-059747eb97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918830-926B-494E-9DAE-38CD364961D2}">
  <ds:schemaRefs>
    <ds:schemaRef ds:uri="http://schemas.microsoft.com/DataMashup"/>
  </ds:schemaRefs>
</ds:datastoreItem>
</file>

<file path=customXml/itemProps2.xml><?xml version="1.0" encoding="utf-8"?>
<ds:datastoreItem xmlns:ds="http://schemas.openxmlformats.org/officeDocument/2006/customXml" ds:itemID="{D02AA7AB-88A1-4422-AB50-0C274ADBB3F3}">
  <ds:schemaRefs>
    <ds:schemaRef ds:uri="http://schemas.microsoft.com/sharepoint/v3/contenttype/forms"/>
  </ds:schemaRefs>
</ds:datastoreItem>
</file>

<file path=customXml/itemProps3.xml><?xml version="1.0" encoding="utf-8"?>
<ds:datastoreItem xmlns:ds="http://schemas.openxmlformats.org/officeDocument/2006/customXml" ds:itemID="{8CEDD8C6-AB09-4B64-AC97-59FA920C46D1}">
  <ds:schemaRefs>
    <ds:schemaRef ds:uri="http://schemas.microsoft.com/office/2006/documentManagement/types"/>
    <ds:schemaRef ds:uri="http://purl.org/dc/terms/"/>
    <ds:schemaRef ds:uri="166e7583-8208-4572-8cf2-c7f87f8406c6"/>
    <ds:schemaRef ds:uri="http://schemas.microsoft.com/office/2006/metadata/properties"/>
    <ds:schemaRef ds:uri="http://purl.org/dc/elements/1.1/"/>
    <ds:schemaRef ds:uri="859d1c9a-4b33-4de5-87a1-41e178649937"/>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customXml/itemProps4.xml><?xml version="1.0" encoding="utf-8"?>
<ds:datastoreItem xmlns:ds="http://schemas.openxmlformats.org/officeDocument/2006/customXml" ds:itemID="{34267762-780C-42B2-AF3E-AB9E75FEE3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6e7583-8208-4572-8cf2-c7f87f8406c6"/>
    <ds:schemaRef ds:uri="859d1c9a-4b33-4de5-87a1-41e1786499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9</vt:i4>
      </vt:variant>
    </vt:vector>
  </HeadingPairs>
  <TitlesOfParts>
    <vt:vector size="36" baseType="lpstr">
      <vt:lpstr>Program Summary</vt:lpstr>
      <vt:lpstr>AE charts</vt:lpstr>
      <vt:lpstr>Company Portfolio Summary</vt:lpstr>
      <vt:lpstr>Utility Portfolio Summary</vt:lpstr>
      <vt:lpstr>LGE-KU Budgets</vt:lpstr>
      <vt:lpstr>LI Multifamily - Whole Building</vt:lpstr>
      <vt:lpstr>PDA</vt:lpstr>
      <vt:lpstr>WeCare V2</vt:lpstr>
      <vt:lpstr>Appliance Recycling</vt:lpstr>
      <vt:lpstr>AE analysis - Res Online Audit</vt:lpstr>
      <vt:lpstr>Residential Audit Online</vt:lpstr>
      <vt:lpstr>Small Business - Audit &amp; DI</vt:lpstr>
      <vt:lpstr>AE analysis - Biz rebate</vt:lpstr>
      <vt:lpstr>Business Rebates</vt:lpstr>
      <vt:lpstr>NonRes Midstream Lighting</vt:lpstr>
      <vt:lpstr>Residential Demand Conservation</vt:lpstr>
      <vt:lpstr>Online Marketplace</vt:lpstr>
      <vt:lpstr>BYOT &amp; BYOD</vt:lpstr>
      <vt:lpstr>Residential Managed Charging</vt:lpstr>
      <vt:lpstr>Peak Time Rebate</vt:lpstr>
      <vt:lpstr>Large Nonres Demand Con.</vt:lpstr>
      <vt:lpstr>----&gt;Reference Files</vt:lpstr>
      <vt:lpstr>REFERENCE-HomeEnergyPerformance</vt:lpstr>
      <vt:lpstr>Water Reset Reference</vt:lpstr>
      <vt:lpstr>BizRebates_Costs</vt:lpstr>
      <vt:lpstr>LGE_KU_ComReb_Report_Data</vt:lpstr>
      <vt:lpstr>Custom Benchmarking</vt:lpstr>
      <vt:lpstr>'Custom Benchmarking'!_ftn1</vt:lpstr>
      <vt:lpstr>'Water Reset Reference'!_ftn2</vt:lpstr>
      <vt:lpstr>'Custom Benchmarking'!_ftnref1</vt:lpstr>
      <vt:lpstr>'Water Reset Reference'!_ftnref2</vt:lpstr>
      <vt:lpstr>'Water Reset Reference'!_Ref409457430</vt:lpstr>
      <vt:lpstr>'Custom Benchmarking'!_Toc208494236</vt:lpstr>
      <vt:lpstr>'Online Marketplace'!_Toc92882575</vt:lpstr>
      <vt:lpstr>'Online Marketplace'!_Toc92882577</vt:lpstr>
      <vt:lpstr>IndustrialAdder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 Berkowitz</dc:creator>
  <cp:keywords/>
  <dc:description/>
  <cp:lastModifiedBy>Andy Eiden</cp:lastModifiedBy>
  <cp:revision/>
  <dcterms:created xsi:type="dcterms:W3CDTF">2011-08-07T19:13:29Z</dcterms:created>
  <dcterms:modified xsi:type="dcterms:W3CDTF">2025-07-02T06:14:07Z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0x010100902D7A589371CA45A23A81589450A046</vt:lpwstr>
  </property>
  <property fmtid="{D5CDD505-2E9C-101B-9397-08002B2CF9AE}" pid="3" name="TaxKeyword">
    <vt:lpwstr/>
  </property>
  <property fmtid="{D5CDD505-2E9C-101B-9397-08002B2CF9AE}" pid="4" name="Locations">
    <vt:lpwstr/>
  </property>
  <property fmtid="{D5CDD505-2E9C-101B-9397-08002B2CF9AE}" pid="5" name="ProjectSubjectAreas">
    <vt:lpwstr/>
  </property>
  <property fmtid="{D5CDD505-2E9C-101B-9397-08002B2CF9AE}" pid="6" name="ServiceSectors">
    <vt:lpwstr/>
  </property>
  <property fmtid="{D5CDD505-2E9C-101B-9397-08002B2CF9AE}" pid="7" name="WorkType">
    <vt:lpwstr/>
  </property>
  <property fmtid="{D5CDD505-2E9C-101B-9397-08002B2CF9AE}" pid="8" name="ContractDivisions">
    <vt:lpwstr/>
  </property>
  <property fmtid="{D5CDD505-2E9C-101B-9397-08002B2CF9AE}" pid="9" name="ContractClients">
    <vt:lpwstr/>
  </property>
  <property fmtid="{D5CDD505-2E9C-101B-9397-08002B2CF9AE}" pid="10" name="ProjectClients">
    <vt:lpwstr/>
  </property>
  <property fmtid="{D5CDD505-2E9C-101B-9397-08002B2CF9AE}" pid="11" name="ProjectServiceSectors">
    <vt:lpwstr/>
  </property>
  <property fmtid="{D5CDD505-2E9C-101B-9397-08002B2CF9AE}" pid="12" name="AreaOfExpertise">
    <vt:lpwstr/>
  </property>
  <property fmtid="{D5CDD505-2E9C-101B-9397-08002B2CF9AE}" pid="13" name="ProjectLocations">
    <vt:lpwstr/>
  </property>
  <property fmtid="{D5CDD505-2E9C-101B-9397-08002B2CF9AE}" pid="14" name="MediaServiceImageTags">
    <vt:lpwstr/>
  </property>
  <property fmtid="{D5CDD505-2E9C-101B-9397-08002B2CF9AE}" pid="15" name="eDOCS AutoSave">
    <vt:lpwstr>20221206101426919</vt:lpwstr>
  </property>
  <property fmtid="{D5CDD505-2E9C-101B-9397-08002B2CF9AE}" pid="16" name="MSIP_Label_0adee1c6-0c13-46fe-9f7d-d5b32ad2c571_Enabled">
    <vt:lpwstr>true</vt:lpwstr>
  </property>
  <property fmtid="{D5CDD505-2E9C-101B-9397-08002B2CF9AE}" pid="17" name="MSIP_Label_0adee1c6-0c13-46fe-9f7d-d5b32ad2c571_SetDate">
    <vt:lpwstr>2022-11-14T22:00:17Z</vt:lpwstr>
  </property>
  <property fmtid="{D5CDD505-2E9C-101B-9397-08002B2CF9AE}" pid="18" name="MSIP_Label_0adee1c6-0c13-46fe-9f7d-d5b32ad2c571_Method">
    <vt:lpwstr>Privileged</vt:lpwstr>
  </property>
  <property fmtid="{D5CDD505-2E9C-101B-9397-08002B2CF9AE}" pid="19" name="MSIP_Label_0adee1c6-0c13-46fe-9f7d-d5b32ad2c571_Name">
    <vt:lpwstr>0adee1c6-0c13-46fe-9f7d-d5b32ad2c571</vt:lpwstr>
  </property>
  <property fmtid="{D5CDD505-2E9C-101B-9397-08002B2CF9AE}" pid="20" name="MSIP_Label_0adee1c6-0c13-46fe-9f7d-d5b32ad2c571_SiteId">
    <vt:lpwstr>5ee3b0ba-a559-45ee-a69e-6d3e963a3e72</vt:lpwstr>
  </property>
  <property fmtid="{D5CDD505-2E9C-101B-9397-08002B2CF9AE}" pid="21" name="MSIP_Label_0adee1c6-0c13-46fe-9f7d-d5b32ad2c571_ActionId">
    <vt:lpwstr>4354b99c-7542-4a00-8c52-80d8ea269f37</vt:lpwstr>
  </property>
  <property fmtid="{D5CDD505-2E9C-101B-9397-08002B2CF9AE}" pid="22" name="MSIP_Label_0adee1c6-0c13-46fe-9f7d-d5b32ad2c571_ContentBits">
    <vt:lpwstr>2</vt:lpwstr>
  </property>
</Properties>
</file>